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7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55" windowWidth="18300" windowHeight="6450" tabRatio="857"/>
  </bookViews>
  <sheets>
    <sheet name="Settings" sheetId="82" r:id="rId1"/>
    <sheet name="Instruments" sheetId="136" state="hidden" r:id="rId2"/>
    <sheet name="Instrument Data" sheetId="137" state="hidden" r:id="rId3"/>
    <sheet name="EUR Market Data" sheetId="112" state="hidden" r:id="rId4"/>
    <sheet name="USD Market Data" sheetId="117" state="hidden" r:id="rId5"/>
    <sheet name="GBP Market Data" sheetId="120" state="hidden" r:id="rId6"/>
    <sheet name="JPY Market Data" sheetId="121" state="hidden" r:id="rId7"/>
    <sheet name="EUR Curve Config" sheetId="55" state="hidden" r:id="rId8"/>
    <sheet name="USD Curve Config" sheetId="54" state="hidden" r:id="rId9"/>
    <sheet name="GBP Curve Config" sheetId="56" state="hidden" r:id="rId10"/>
    <sheet name="JPY Curve Config" sheetId="57" state="hidden" r:id="rId11"/>
    <sheet name="Multi-Curves" sheetId="118" state="hidden" r:id="rId12"/>
    <sheet name="Forward Charts" sheetId="139" state="hidden" r:id="rId13"/>
    <sheet name="EUR OIS" sheetId="178" state="hidden" r:id="rId14"/>
    <sheet name="USD OIS" sheetId="179" state="hidden" r:id="rId15"/>
    <sheet name="GBP OIS" sheetId="180" state="hidden" r:id="rId16"/>
    <sheet name="JPY OIS" sheetId="181" state="hidden" r:id="rId17"/>
    <sheet name="JPY-LCH Curve" sheetId="200" state="hidden" r:id="rId18"/>
    <sheet name="EUR Swaps" sheetId="104" r:id="rId19"/>
    <sheet name="USD Swaps" sheetId="123" r:id="rId20"/>
    <sheet name="GBP Swaps" sheetId="124" r:id="rId21"/>
    <sheet name="JPY-JSCC Swaps" sheetId="125" r:id="rId22"/>
    <sheet name="JPY-LCH Swaps" sheetId="198" r:id="rId23"/>
    <sheet name="EUR Swap Cashflows" sheetId="122" state="hidden" r:id="rId24"/>
    <sheet name="USD Swap Cashflows" sheetId="140" state="hidden" r:id="rId25"/>
    <sheet name="GBP Swap Cashflows" sheetId="142" state="hidden" r:id="rId26"/>
    <sheet name="JPY Swap Cashflows" sheetId="143" state="hidden" r:id="rId27"/>
    <sheet name="EUR Asset Swaps" sheetId="154" state="hidden" r:id="rId28"/>
    <sheet name="USD Asset Swaps" sheetId="156" state="hidden" r:id="rId29"/>
    <sheet name="GBP Asset Swaps" sheetId="157" state="hidden" r:id="rId30"/>
    <sheet name="JPY Asset Swaps" sheetId="155" state="hidden" r:id="rId31"/>
    <sheet name="EUR ASW Cashflows" sheetId="133" state="hidden" r:id="rId32"/>
    <sheet name="USD ASW Cashflows" sheetId="148" state="hidden" r:id="rId33"/>
    <sheet name="GBP ASW Cashflows" sheetId="149" state="hidden" r:id="rId34"/>
    <sheet name="JPY ASW Cashflows" sheetId="150" state="hidden" r:id="rId35"/>
    <sheet name="EUR Tenor Basis" sheetId="159" state="hidden" r:id="rId36"/>
    <sheet name="USD Tenor Basis" sheetId="167" state="hidden" r:id="rId37"/>
    <sheet name="GBP Tenor Basis" sheetId="168" state="hidden" r:id="rId38"/>
    <sheet name="JPY Tenor Basis" sheetId="169" state="hidden" r:id="rId39"/>
    <sheet name="EUR VNS Schedules" sheetId="163" state="hidden" r:id="rId40"/>
    <sheet name="EUR VNS" sheetId="160" state="hidden" r:id="rId41"/>
    <sheet name="USD VNS Schedules" sheetId="170" state="hidden" r:id="rId42"/>
    <sheet name="USD VNS" sheetId="172" state="hidden" r:id="rId43"/>
    <sheet name="GBP VNS Schedules" sheetId="171" state="hidden" r:id="rId44"/>
    <sheet name="GBP VNS" sheetId="173" state="hidden" r:id="rId45"/>
    <sheet name="JPY VNS Schedules" sheetId="174" state="hidden" r:id="rId46"/>
    <sheet name="JPY VNS" sheetId="175" state="hidden" r:id="rId47"/>
    <sheet name="Standard Swap Pricing" sheetId="184" state="hidden" r:id="rId48"/>
    <sheet name="EUR Custom Swap" sheetId="186" state="hidden" r:id="rId49"/>
    <sheet name="EUR Cashflows" sheetId="189" state="hidden" r:id="rId50"/>
    <sheet name="USD Custom Swap" sheetId="190" state="hidden" r:id="rId51"/>
    <sheet name="USD Cashflows" sheetId="191" state="hidden" r:id="rId52"/>
    <sheet name="EUR XCCY" sheetId="194" state="hidden" r:id="rId53"/>
    <sheet name="EUR XCCY Structure" sheetId="195" state="hidden" r:id="rId54"/>
  </sheets>
  <functionGroups builtInGroupCount="17"/>
  <externalReferences>
    <externalReference r:id="rId55"/>
  </externalReferences>
  <definedNames>
    <definedName name="ALL_DATA" localSheetId="2">'Instrument Data'!$9:$436</definedName>
    <definedName name="ALL_DATA" localSheetId="1">Instruments!$10:$437</definedName>
    <definedName name="AsOfDate" localSheetId="43">'GBP VNS Schedules'!$C$10</definedName>
    <definedName name="AsOfDate" localSheetId="45">'JPY VNS Schedules'!$C$10</definedName>
    <definedName name="AsOfDate" localSheetId="41">'USD VNS Schedules'!$C$10</definedName>
    <definedName name="AsOfDate">'EUR VNS Schedules'!$C$10</definedName>
    <definedName name="AssetSwap.FieldNames" localSheetId="27">'EUR Asset Swaps'!$B$17:$B$40</definedName>
    <definedName name="AssetSwap.FieldNames" localSheetId="31">'EUR ASW Cashflows'!$B$17:$B$40</definedName>
    <definedName name="AssetSwap.FieldNames" localSheetId="29">'GBP Asset Swaps'!$B$17:$B$40</definedName>
    <definedName name="AssetSwap.FieldNames" localSheetId="33">'GBP ASW Cashflows'!$B$17:$B$40</definedName>
    <definedName name="AssetSwap.FieldNames" localSheetId="30">'JPY Asset Swaps'!$B$17:$B$40</definedName>
    <definedName name="AssetSwap.FieldNames" localSheetId="34">'JPY ASW Cashflows'!$B$17:$B$40</definedName>
    <definedName name="AssetSwap.FieldNames" localSheetId="28">'USD Asset Swaps'!$B$17:$B$40</definedName>
    <definedName name="AssetSwap.FieldNames" localSheetId="32">'USD ASW Cashflows'!$B$17:$B$40</definedName>
    <definedName name="AssetSwap.Fields" localSheetId="27">'EUR Asset Swaps'!$C$17:$C$40</definedName>
    <definedName name="AssetSwap.Fields" localSheetId="31">'EUR ASW Cashflows'!$C$17:$C$40</definedName>
    <definedName name="AssetSwap.Fields" localSheetId="29">'GBP Asset Swaps'!$C$17:$C$40</definedName>
    <definedName name="AssetSwap.Fields" localSheetId="33">'GBP ASW Cashflows'!$C$17:$C$40</definedName>
    <definedName name="AssetSwap.Fields" localSheetId="30">'JPY Asset Swaps'!$C$17:$C$40</definedName>
    <definedName name="AssetSwap.Fields" localSheetId="34">'JPY ASW Cashflows'!$C$17:$C$40</definedName>
    <definedName name="AssetSwap.Fields" localSheetId="28">'USD Asset Swaps'!$C$17:$C$40</definedName>
    <definedName name="AssetSwap.Fields" localSheetId="32">'USD ASW Cashflows'!$C$17:$C$40</definedName>
    <definedName name="AssetSwap.ISIN1" localSheetId="27">'EUR Asset Swaps'!$E$6</definedName>
    <definedName name="AssetSwap.ISIN1" localSheetId="31">'EUR ASW Cashflows'!$E$6</definedName>
    <definedName name="AssetSwap.ISIN1" localSheetId="29">'GBP Asset Swaps'!$E$6</definedName>
    <definedName name="AssetSwap.ISIN1" localSheetId="33">'GBP ASW Cashflows'!$E$6</definedName>
    <definedName name="AssetSwap.ISIN1" localSheetId="30">'JPY Asset Swaps'!$E$6</definedName>
    <definedName name="AssetSwap.ISIN1" localSheetId="34">'JPY ASW Cashflows'!$E$6</definedName>
    <definedName name="AssetSwap.ISIN1" localSheetId="28">'USD Asset Swaps'!$E$6</definedName>
    <definedName name="AssetSwap.ISIN1" localSheetId="32">'USD ASW Cashflows'!$E$6</definedName>
    <definedName name="AssetSwap.ISIN2" localSheetId="27">'EUR Asset Swaps'!$E$7</definedName>
    <definedName name="AssetSwap.ISIN2" localSheetId="31">'EUR ASW Cashflows'!$E$7</definedName>
    <definedName name="AssetSwap.ISIN2" localSheetId="29">'GBP Asset Swaps'!$E$7</definedName>
    <definedName name="AssetSwap.ISIN2" localSheetId="33">'GBP ASW Cashflows'!$E$7</definedName>
    <definedName name="AssetSwap.ISIN2" localSheetId="30">'JPY Asset Swaps'!$E$7</definedName>
    <definedName name="AssetSwap.ISIN2" localSheetId="34">'JPY ASW Cashflows'!$E$7</definedName>
    <definedName name="AssetSwap.ISIN2" localSheetId="28">'USD Asset Swaps'!$E$7</definedName>
    <definedName name="AssetSwap.ISIN2" localSheetId="32">'USD ASW Cashflows'!$E$7</definedName>
    <definedName name="AssetSwap.ISIN3" localSheetId="27">'EUR Asset Swaps'!$E$8</definedName>
    <definedName name="AssetSwap.ISIN3" localSheetId="31">'EUR ASW Cashflows'!$E$8</definedName>
    <definedName name="AssetSwap.ISIN3" localSheetId="29">'GBP Asset Swaps'!$E$8</definedName>
    <definedName name="AssetSwap.ISIN3" localSheetId="33">'GBP ASW Cashflows'!$E$8</definedName>
    <definedName name="AssetSwap.ISIN3" localSheetId="30">'JPY Asset Swaps'!$E$8</definedName>
    <definedName name="AssetSwap.ISIN3" localSheetId="34">'JPY ASW Cashflows'!$E$8</definedName>
    <definedName name="AssetSwap.ISIN3" localSheetId="28">'USD Asset Swaps'!$E$8</definedName>
    <definedName name="AssetSwap.ISIN3" localSheetId="32">'USD ASW Cashflows'!$E$8</definedName>
    <definedName name="AssetSwap.ISIN4" localSheetId="27">'EUR Asset Swaps'!$E$9</definedName>
    <definedName name="AssetSwap.ISIN4" localSheetId="31">'EUR ASW Cashflows'!$E$9</definedName>
    <definedName name="AssetSwap.ISIN4" localSheetId="29">'GBP Asset Swaps'!$E$9</definedName>
    <definedName name="AssetSwap.ISIN4" localSheetId="33">'GBP ASW Cashflows'!$E$9</definedName>
    <definedName name="AssetSwap.ISIN4" localSheetId="30">'JPY Asset Swaps'!$E$9</definedName>
    <definedName name="AssetSwap.ISIN4" localSheetId="34">'JPY ASW Cashflows'!$E$9</definedName>
    <definedName name="AssetSwap.ISIN4" localSheetId="28">'USD Asset Swaps'!$E$9</definedName>
    <definedName name="AssetSwap.ISIN4" localSheetId="32">'USD ASW Cashflows'!$E$9</definedName>
    <definedName name="AssetSwap.ISIN5" localSheetId="27">'EUR Asset Swaps'!$E$10</definedName>
    <definedName name="AssetSwap.ISIN5" localSheetId="31">'EUR ASW Cashflows'!$E$10</definedName>
    <definedName name="AssetSwap.ISIN5" localSheetId="29">'GBP Asset Swaps'!$E$10</definedName>
    <definedName name="AssetSwap.ISIN5" localSheetId="33">'GBP ASW Cashflows'!$E$10</definedName>
    <definedName name="AssetSwap.ISIN5" localSheetId="30">'JPY Asset Swaps'!$E$10</definedName>
    <definedName name="AssetSwap.ISIN5" localSheetId="34">'JPY ASW Cashflows'!$E$10</definedName>
    <definedName name="AssetSwap.ISIN5" localSheetId="28">'USD Asset Swaps'!$E$10</definedName>
    <definedName name="AssetSwap.ISIN5" localSheetId="32">'USD ASW Cashflows'!$E$10</definedName>
    <definedName name="AssetSwap.ISIN6" localSheetId="27">'EUR Asset Swaps'!$E$11</definedName>
    <definedName name="AssetSwap.ISIN6" localSheetId="31">'EUR ASW Cashflows'!$E$11</definedName>
    <definedName name="AssetSwap.ISIN6" localSheetId="29">'GBP Asset Swaps'!$E$11</definedName>
    <definedName name="AssetSwap.ISIN6" localSheetId="33">'GBP ASW Cashflows'!$E$11</definedName>
    <definedName name="AssetSwap.ISIN6" localSheetId="30">'JPY Asset Swaps'!$E$11</definedName>
    <definedName name="AssetSwap.ISIN6" localSheetId="34">'JPY ASW Cashflows'!$E$11</definedName>
    <definedName name="AssetSwap.ISIN6" localSheetId="28">'USD Asset Swaps'!$E$11</definedName>
    <definedName name="AssetSwap.ISIN6" localSheetId="32">'USD ASW Cashflows'!$E$11</definedName>
    <definedName name="AssetSwap.Output" localSheetId="27">'EUR Asset Swaps'!$F$6:$AD$11</definedName>
    <definedName name="AssetSwap.Output" localSheetId="31">'EUR ASW Cashflows'!$F$6:$AD$11</definedName>
    <definedName name="AssetSwap.Output" localSheetId="29">'GBP Asset Swaps'!$F$6:$AD$11</definedName>
    <definedName name="AssetSwap.Output" localSheetId="33">'GBP ASW Cashflows'!$F$6:$AD$11</definedName>
    <definedName name="AssetSwap.Output" localSheetId="30">'JPY Asset Swaps'!$F$6:$AD$11</definedName>
    <definedName name="AssetSwap.Output" localSheetId="34">'JPY ASW Cashflows'!$F$6:$AD$11</definedName>
    <definedName name="AssetSwap.Output" localSheetId="28">'USD Asset Swaps'!$F$6:$AD$11</definedName>
    <definedName name="AssetSwap.Output" localSheetId="32">'USD ASW Cashflows'!$F$6:$AD$11</definedName>
    <definedName name="AssetSwap.OutputTopLeft1" localSheetId="27">'EUR Asset Swaps'!$F$6</definedName>
    <definedName name="AssetSwap.OutputTopLeft1" localSheetId="31">'EUR ASW Cashflows'!$F$6</definedName>
    <definedName name="AssetSwap.OutputTopLeft1" localSheetId="29">'GBP Asset Swaps'!$F$6</definedName>
    <definedName name="AssetSwap.OutputTopLeft1" localSheetId="33">'GBP ASW Cashflows'!$F$6</definedName>
    <definedName name="AssetSwap.OutputTopLeft1" localSheetId="30">'JPY Asset Swaps'!$F$6</definedName>
    <definedName name="AssetSwap.OutputTopLeft1" localSheetId="34">'JPY ASW Cashflows'!$F$6</definedName>
    <definedName name="AssetSwap.OutputTopLeft1" localSheetId="28">'USD Asset Swaps'!$F$6</definedName>
    <definedName name="AssetSwap.OutputTopLeft1" localSheetId="32">'USD ASW Cashflows'!$F$6</definedName>
    <definedName name="AssetSwap.OutputTopLeft2" localSheetId="27">'EUR Asset Swaps'!$F$7</definedName>
    <definedName name="AssetSwap.OutputTopLeft2" localSheetId="31">'EUR ASW Cashflows'!$F$7</definedName>
    <definedName name="AssetSwap.OutputTopLeft2" localSheetId="29">'GBP Asset Swaps'!$F$7</definedName>
    <definedName name="AssetSwap.OutputTopLeft2" localSheetId="33">'GBP ASW Cashflows'!$F$7</definedName>
    <definedName name="AssetSwap.OutputTopLeft2" localSheetId="30">'JPY Asset Swaps'!$F$7</definedName>
    <definedName name="AssetSwap.OutputTopLeft2" localSheetId="34">'JPY ASW Cashflows'!$F$7</definedName>
    <definedName name="AssetSwap.OutputTopLeft2" localSheetId="28">'USD Asset Swaps'!$F$7</definedName>
    <definedName name="AssetSwap.OutputTopLeft2" localSheetId="32">'USD ASW Cashflows'!$F$7</definedName>
    <definedName name="AssetSwap.OutputTopLeft3" localSheetId="27">'EUR Asset Swaps'!$F$8</definedName>
    <definedName name="AssetSwap.OutputTopLeft3" localSheetId="31">'EUR ASW Cashflows'!$F$8</definedName>
    <definedName name="AssetSwap.OutputTopLeft3" localSheetId="29">'GBP Asset Swaps'!$F$8</definedName>
    <definedName name="AssetSwap.OutputTopLeft3" localSheetId="33">'GBP ASW Cashflows'!$F$8</definedName>
    <definedName name="AssetSwap.OutputTopLeft3" localSheetId="30">'JPY Asset Swaps'!$F$8</definedName>
    <definedName name="AssetSwap.OutputTopLeft3" localSheetId="34">'JPY ASW Cashflows'!$F$8</definedName>
    <definedName name="AssetSwap.OutputTopLeft3" localSheetId="28">'USD Asset Swaps'!$F$8</definedName>
    <definedName name="AssetSwap.OutputTopLeft3" localSheetId="32">'USD ASW Cashflows'!$F$8</definedName>
    <definedName name="AssetSwap.OutputTopLeft4" localSheetId="27">'EUR Asset Swaps'!$F$9</definedName>
    <definedName name="AssetSwap.OutputTopLeft4" localSheetId="31">'EUR ASW Cashflows'!$F$9</definedName>
    <definedName name="AssetSwap.OutputTopLeft4" localSheetId="29">'GBP Asset Swaps'!$F$9</definedName>
    <definedName name="AssetSwap.OutputTopLeft4" localSheetId="33">'GBP ASW Cashflows'!$F$9</definedName>
    <definedName name="AssetSwap.OutputTopLeft4" localSheetId="30">'JPY Asset Swaps'!$F$9</definedName>
    <definedName name="AssetSwap.OutputTopLeft4" localSheetId="34">'JPY ASW Cashflows'!$F$9</definedName>
    <definedName name="AssetSwap.OutputTopLeft4" localSheetId="28">'USD Asset Swaps'!$F$9</definedName>
    <definedName name="AssetSwap.OutputTopLeft4" localSheetId="32">'USD ASW Cashflows'!$F$9</definedName>
    <definedName name="AssetSwap.OutputTopLeft5" localSheetId="27">'EUR Asset Swaps'!$F$10</definedName>
    <definedName name="AssetSwap.OutputTopLeft5" localSheetId="31">'EUR ASW Cashflows'!$F$10</definedName>
    <definedName name="AssetSwap.OutputTopLeft5" localSheetId="29">'GBP Asset Swaps'!$F$10</definedName>
    <definedName name="AssetSwap.OutputTopLeft5" localSheetId="33">'GBP ASW Cashflows'!$F$10</definedName>
    <definedName name="AssetSwap.OutputTopLeft5" localSheetId="30">'JPY Asset Swaps'!$F$10</definedName>
    <definedName name="AssetSwap.OutputTopLeft5" localSheetId="34">'JPY ASW Cashflows'!$F$10</definedName>
    <definedName name="AssetSwap.OutputTopLeft5" localSheetId="28">'USD Asset Swaps'!$F$10</definedName>
    <definedName name="AssetSwap.OutputTopLeft5" localSheetId="32">'USD ASW Cashflows'!$F$10</definedName>
    <definedName name="AssetSwap.OutputTopLeft6" localSheetId="27">'EUR Asset Swaps'!$F$11</definedName>
    <definedName name="AssetSwap.OutputTopLeft6" localSheetId="31">'EUR ASW Cashflows'!$F$11</definedName>
    <definedName name="AssetSwap.OutputTopLeft6" localSheetId="29">'GBP Asset Swaps'!$F$11</definedName>
    <definedName name="AssetSwap.OutputTopLeft6" localSheetId="33">'GBP ASW Cashflows'!$F$11</definedName>
    <definedName name="AssetSwap.OutputTopLeft6" localSheetId="30">'JPY Asset Swaps'!$F$11</definedName>
    <definedName name="AssetSwap.OutputTopLeft6" localSheetId="34">'JPY ASW Cashflows'!$F$11</definedName>
    <definedName name="AssetSwap.OutputTopLeft6" localSheetId="28">'USD Asset Swaps'!$F$11</definedName>
    <definedName name="AssetSwap.OutputTopLeft6" localSheetId="32">'USD ASW Cashflows'!$F$11</definedName>
    <definedName name="AssetSwap.Request1" localSheetId="27">'EUR Asset Swaps'!$C$6</definedName>
    <definedName name="AssetSwap.Request1" localSheetId="31">'EUR ASW Cashflows'!$C$6</definedName>
    <definedName name="AssetSwap.Request1" localSheetId="29">'GBP Asset Swaps'!$C$6</definedName>
    <definedName name="AssetSwap.Request1" localSheetId="33">'GBP ASW Cashflows'!$C$6</definedName>
    <definedName name="AssetSwap.Request1" localSheetId="30">'JPY Asset Swaps'!$C$6</definedName>
    <definedName name="AssetSwap.Request1" localSheetId="34">'JPY ASW Cashflows'!$C$6</definedName>
    <definedName name="AssetSwap.Request1" localSheetId="28">'USD Asset Swaps'!$C$6</definedName>
    <definedName name="AssetSwap.Request1" localSheetId="32">'USD ASW Cashflows'!$C$6</definedName>
    <definedName name="AssetSwap.Request2" localSheetId="27">'EUR Asset Swaps'!$C$7</definedName>
    <definedName name="AssetSwap.Request2" localSheetId="31">'EUR ASW Cashflows'!$C$7</definedName>
    <definedName name="AssetSwap.Request2" localSheetId="29">'GBP Asset Swaps'!$C$7</definedName>
    <definedName name="AssetSwap.Request2" localSheetId="33">'GBP ASW Cashflows'!$C$7</definedName>
    <definedName name="AssetSwap.Request2" localSheetId="30">'JPY Asset Swaps'!$C$7</definedName>
    <definedName name="AssetSwap.Request2" localSheetId="34">'JPY ASW Cashflows'!$C$7</definedName>
    <definedName name="AssetSwap.Request2" localSheetId="28">'USD Asset Swaps'!$C$7</definedName>
    <definedName name="AssetSwap.Request2" localSheetId="32">'USD ASW Cashflows'!$C$7</definedName>
    <definedName name="AssetSwap.Request3" localSheetId="27">'EUR Asset Swaps'!$C$8</definedName>
    <definedName name="AssetSwap.Request3" localSheetId="31">'EUR ASW Cashflows'!$C$8</definedName>
    <definedName name="AssetSwap.Request3" localSheetId="29">'GBP Asset Swaps'!$C$8</definedName>
    <definedName name="AssetSwap.Request3" localSheetId="33">'GBP ASW Cashflows'!$C$8</definedName>
    <definedName name="AssetSwap.Request3" localSheetId="30">'JPY Asset Swaps'!$C$8</definedName>
    <definedName name="AssetSwap.Request3" localSheetId="34">'JPY ASW Cashflows'!$C$8</definedName>
    <definedName name="AssetSwap.Request3" localSheetId="28">'USD Asset Swaps'!$C$8</definedName>
    <definedName name="AssetSwap.Request3" localSheetId="32">'USD ASW Cashflows'!$C$8</definedName>
    <definedName name="AssetSwap.Request4" localSheetId="27">'EUR Asset Swaps'!$C$9</definedName>
    <definedName name="AssetSwap.Request4" localSheetId="31">'EUR ASW Cashflows'!$C$9</definedName>
    <definedName name="AssetSwap.Request4" localSheetId="29">'GBP Asset Swaps'!$C$9</definedName>
    <definedName name="AssetSwap.Request4" localSheetId="33">'GBP ASW Cashflows'!$C$9</definedName>
    <definedName name="AssetSwap.Request4" localSheetId="30">'JPY Asset Swaps'!$C$9</definedName>
    <definedName name="AssetSwap.Request4" localSheetId="34">'JPY ASW Cashflows'!$C$9</definedName>
    <definedName name="AssetSwap.Request4" localSheetId="28">'USD Asset Swaps'!$C$9</definedName>
    <definedName name="AssetSwap.Request4" localSheetId="32">'USD ASW Cashflows'!$C$9</definedName>
    <definedName name="AssetSwap.Request5" localSheetId="27">'EUR Asset Swaps'!$C$10</definedName>
    <definedName name="AssetSwap.Request5" localSheetId="31">'EUR ASW Cashflows'!$C$10</definedName>
    <definedName name="AssetSwap.Request5" localSheetId="29">'GBP Asset Swaps'!$C$10</definedName>
    <definedName name="AssetSwap.Request5" localSheetId="33">'GBP ASW Cashflows'!$C$10</definedName>
    <definedName name="AssetSwap.Request5" localSheetId="30">'JPY Asset Swaps'!$C$10</definedName>
    <definedName name="AssetSwap.Request5" localSheetId="34">'JPY ASW Cashflows'!$C$10</definedName>
    <definedName name="AssetSwap.Request5" localSheetId="28">'USD Asset Swaps'!$C$10</definedName>
    <definedName name="AssetSwap.Request5" localSheetId="32">'USD ASW Cashflows'!$C$10</definedName>
    <definedName name="AssetSwap.Request6" localSheetId="27">'EUR Asset Swaps'!$C$11</definedName>
    <definedName name="AssetSwap.Request6" localSheetId="31">'EUR ASW Cashflows'!$C$11</definedName>
    <definedName name="AssetSwap.Request6" localSheetId="29">'GBP Asset Swaps'!$C$11</definedName>
    <definedName name="AssetSwap.Request6" localSheetId="33">'GBP ASW Cashflows'!$C$11</definedName>
    <definedName name="AssetSwap.Request6" localSheetId="30">'JPY Asset Swaps'!$C$11</definedName>
    <definedName name="AssetSwap.Request6" localSheetId="34">'JPY ASW Cashflows'!$C$11</definedName>
    <definedName name="AssetSwap.Request6" localSheetId="28">'USD Asset Swaps'!$C$11</definedName>
    <definedName name="AssetSwap.Request6" localSheetId="32">'USD ASW Cashflows'!$C$11</definedName>
    <definedName name="AssetSwap.RequestList" localSheetId="27">'EUR Asset Swaps'!$C$6:$C$11</definedName>
    <definedName name="AssetSwap.RequestList" localSheetId="31">'EUR ASW Cashflows'!$C$6:$C$11</definedName>
    <definedName name="AssetSwap.RequestList" localSheetId="29">'GBP Asset Swaps'!$C$6:$C$11</definedName>
    <definedName name="AssetSwap.RequestList" localSheetId="33">'GBP ASW Cashflows'!$C$6:$C$11</definedName>
    <definedName name="AssetSwap.RequestList" localSheetId="30">'JPY Asset Swaps'!$C$6:$C$11</definedName>
    <definedName name="AssetSwap.RequestList" localSheetId="34">'JPY ASW Cashflows'!$C$6:$C$11</definedName>
    <definedName name="AssetSwap.RequestList" localSheetId="28">'USD Asset Swaps'!$C$6:$C$11</definedName>
    <definedName name="AssetSwap.RequestList" localSheetId="32">'USD ASW Cashflows'!$C$6:$C$11</definedName>
    <definedName name="AssetSwap.RequestName" localSheetId="27">'EUR Asset Swaps'!#REF!</definedName>
    <definedName name="AssetSwap.RequestName" localSheetId="31">'EUR ASW Cashflows'!#REF!</definedName>
    <definedName name="AssetSwap.RequestName" localSheetId="29">'GBP Asset Swaps'!#REF!</definedName>
    <definedName name="AssetSwap.RequestName" localSheetId="33">'GBP ASW Cashflows'!#REF!</definedName>
    <definedName name="AssetSwap.RequestName" localSheetId="30">'JPY Asset Swaps'!#REF!</definedName>
    <definedName name="AssetSwap.RequestName" localSheetId="34">'JPY ASW Cashflows'!#REF!</definedName>
    <definedName name="AssetSwap.RequestName" localSheetId="28">'USD Asset Swaps'!#REF!</definedName>
    <definedName name="AssetSwap.RequestName" localSheetId="32">'USD ASW Cashflows'!#REF!</definedName>
    <definedName name="AssetSwapSpread" localSheetId="27">'EUR Asset Swaps'!$J$5</definedName>
    <definedName name="AssetSwapSpread" localSheetId="29">'GBP Asset Swaps'!$J$5</definedName>
    <definedName name="AssetSwapSpread" localSheetId="33">'GBP ASW Cashflows'!$J$5</definedName>
    <definedName name="AssetSwapSpread" localSheetId="30">'JPY Asset Swaps'!$J$5</definedName>
    <definedName name="AssetSwapSpread" localSheetId="34">'JPY ASW Cashflows'!$J$5</definedName>
    <definedName name="AssetSwapSpread" localSheetId="28">'USD Asset Swaps'!$J$5</definedName>
    <definedName name="AssetSwapSpread" localSheetId="32">'USD ASW Cashflows'!$J$5</definedName>
    <definedName name="AssetSwapSpread">'EUR ASW Cashflows'!$J$5</definedName>
    <definedName name="BasisConv1x3" localSheetId="7">'EUR Curve Config'!$BM$9:$BN$78</definedName>
    <definedName name="BasisConv1x3" localSheetId="9">'GBP Curve Config'!$BM$9:$BN$78</definedName>
    <definedName name="BasisConv1x3" localSheetId="10">'JPY Curve Config'!$BM$9:$BN$78</definedName>
    <definedName name="BasisConv1x3">'USD Curve Config'!$BM$9:$BN$78</definedName>
    <definedName name="BasisConv3x12">'USD Curve Config'!$BS$9:$BT$78</definedName>
    <definedName name="BasisConv3x6" localSheetId="7">'EUR Curve Config'!$BG$9:$BH$78</definedName>
    <definedName name="BasisConv3x6" localSheetId="9">'GBP Curve Config'!$BG$9:$BH$78</definedName>
    <definedName name="BasisConv3x6" localSheetId="10">'JPY Curve Config'!$BG$9:$BH$78</definedName>
    <definedName name="BasisConv3x6">'USD Curve Config'!$BG$9:$BH$78</definedName>
    <definedName name="BasisConv6x12" localSheetId="7">'EUR Curve Config'!$BS$9:$BT$78</definedName>
    <definedName name="BasisConv6x12" localSheetId="9">'GBP Curve Config'!$BS$9:$BT$78</definedName>
    <definedName name="BasisConv6x12" localSheetId="10">'JPY Curve Config'!$BS$9:$BT$78</definedName>
    <definedName name="BasisConv6x12">'USD Curve Config'!$BS$9:$BT$78</definedName>
    <definedName name="BasisData1x3" localSheetId="7">'EUR Curve Config'!$BP$9:$BQ$78</definedName>
    <definedName name="BasisData1x3" localSheetId="9">'GBP Curve Config'!$BP$9:$BQ$78</definedName>
    <definedName name="BasisData1x3" localSheetId="10">'JPY Curve Config'!$BP$9:$BQ$78</definedName>
    <definedName name="BasisData1x3">'USD Curve Config'!$BP$9:$BQ$78</definedName>
    <definedName name="BasisData3x12">'USD Curve Config'!$BV$9:$BW$78</definedName>
    <definedName name="BasisData3x6" localSheetId="7">'EUR Curve Config'!$BJ$9:$BK$78</definedName>
    <definedName name="BasisData3x6" localSheetId="9">'GBP Curve Config'!$BJ$9:$BK$78</definedName>
    <definedName name="BasisData3x6" localSheetId="10">'JPY Curve Config'!$BJ$9:$BK$78</definedName>
    <definedName name="BasisData3x6">'USD Curve Config'!$BJ$9:$BK$78</definedName>
    <definedName name="BasisData6x12" localSheetId="7">'EUR Curve Config'!$BV$9:$BW$78</definedName>
    <definedName name="BasisData6x12" localSheetId="9">'GBP Curve Config'!$BV$9:$BW$78</definedName>
    <definedName name="BasisData6x12" localSheetId="10">'JPY Curve Config'!$BV$9:$BW$78</definedName>
    <definedName name="BasisData6x12">'USD Curve Config'!$BV$9:$BW$78</definedName>
    <definedName name="BlockConstForwardFX" localSheetId="7">'EUR Curve Config'!$CQ:$DB</definedName>
    <definedName name="BlockConstForwardFX" localSheetId="9">'GBP Curve Config'!$CQ:$DB</definedName>
    <definedName name="BlockConstForwardFX" localSheetId="10">'JPY Curve Config'!$CQ:$DB</definedName>
    <definedName name="BlockConstForwardFX" localSheetId="8">'USD Curve Config'!$CH:$CS</definedName>
    <definedName name="BlockCurveNames" localSheetId="7">'EUR Curve Config'!$B:$F</definedName>
    <definedName name="BlockCurveNames" localSheetId="9">'GBP Curve Config'!$B:$F</definedName>
    <definedName name="BlockCurveNames" localSheetId="10">'JPY Curve Config'!$B:$F</definedName>
    <definedName name="BlockCurveNames" localSheetId="8">'USD Curve Config'!$B:$F</definedName>
    <definedName name="BlockOISCurve" localSheetId="7">'EUR Curve Config'!$G:$AG</definedName>
    <definedName name="BlockOISCurve" localSheetId="9">'GBP Curve Config'!$G:$AG</definedName>
    <definedName name="BlockOISCurve" localSheetId="10">'JPY Curve Config'!$G:$AG</definedName>
    <definedName name="BlockOISCurve" localSheetId="8">'USD Curve Config'!$G:$AG</definedName>
    <definedName name="BlockSwapCurve" localSheetId="7">'EUR Curve Config'!$AH:$BC</definedName>
    <definedName name="BlockSwapCurve" localSheetId="9">'GBP Curve Config'!$AH:$BC</definedName>
    <definedName name="BlockSwapCurve" localSheetId="10">'JPY Curve Config'!$AH:$BC</definedName>
    <definedName name="BlockSwapCurve" localSheetId="8">'USD Curve Config'!$AH:$BC</definedName>
    <definedName name="BlockTenorBasis" localSheetId="7">'EUR Curve Config'!$BD:$BX</definedName>
    <definedName name="BlockTenorBasis" localSheetId="9">'GBP Curve Config'!$BD:$BX</definedName>
    <definedName name="BlockTenorBasis" localSheetId="10">'JPY Curve Config'!$BD:$BX</definedName>
    <definedName name="BlockTenorBasis" localSheetId="8">'USD Curve Config'!$BD:$BX</definedName>
    <definedName name="BlockXccyBasis" localSheetId="7">'EUR Curve Config'!$BY:$CP</definedName>
    <definedName name="BlockXccyBasis" localSheetId="9">'GBP Curve Config'!$BY:$CP</definedName>
    <definedName name="BlockXccyBasis" localSheetId="10">'JPY Curve Config'!$BY:$CP</definedName>
    <definedName name="BlockXccyBasis" localSheetId="8">'USD Curve Config'!$BY:$CG</definedName>
    <definedName name="BloombergAccess">Settings!$C$4</definedName>
    <definedName name="Bpipe.Response.OIS.EUR">'Instrument Data'!$D$117</definedName>
    <definedName name="Bpipe.Response.OIS.GBP">'Instrument Data'!$D$224</definedName>
    <definedName name="Bpipe.Response.OIS.JPY">'Instrument Data'!$D$331</definedName>
    <definedName name="Bpipe.Response.OIS.USD">'Instrument Data'!$D$10</definedName>
    <definedName name="Bpipe.Response.Swaps.EUR">'Instrument Data'!$K$117</definedName>
    <definedName name="Bpipe.Response.Swaps.GBP">'Instrument Data'!$K$224</definedName>
    <definedName name="Bpipe.Response.Swaps.JPY">'Instrument Data'!$K$331</definedName>
    <definedName name="Bpipe.Response.Swaps.USD">'Instrument Data'!$K$10</definedName>
    <definedName name="Bpipe.Response.TenorBasis1.EUR">'Instrument Data'!$T$117</definedName>
    <definedName name="Bpipe.Response.TenorBasis1.GBP">'Instrument Data'!$T$224</definedName>
    <definedName name="Bpipe.Response.TenorBasis1.JPY">'Instrument Data'!$T$331</definedName>
    <definedName name="Bpipe.Response.TenorBasis1.USD">'Instrument Data'!$T$10</definedName>
    <definedName name="Bpipe.Response.TenorBasis2.EUR">'Instrument Data'!$AA$117</definedName>
    <definedName name="Bpipe.Response.TenorBasis2.GBP">'Instrument Data'!$AA$224</definedName>
    <definedName name="Bpipe.Response.TenorBasis2.JPY">'Instrument Data'!$AA$331</definedName>
    <definedName name="Bpipe.Response.TenorBasis2.USD">'Instrument Data'!$AA$10</definedName>
    <definedName name="Bpipe.Response.TenorBasis3.EUR">'Instrument Data'!$AH$117</definedName>
    <definedName name="Bpipe.Response.TenorBasis3.GBP">'Instrument Data'!$AH$224</definedName>
    <definedName name="Bpipe.Response.TenorBasis3.JPY">'Instrument Data'!$AH$331</definedName>
    <definedName name="Bpipe.Response.TenorBasis3.USD">'Instrument Data'!$AH$10</definedName>
    <definedName name="Bpipe.Response.XccyBasis.EUR">'Instrument Data'!$AO$117</definedName>
    <definedName name="Bpipe.Response.XccyBasis.GBP">'Instrument Data'!$AO$224</definedName>
    <definedName name="Bpipe.Response.XccyBasis.JPY">'Instrument Data'!$AO$331</definedName>
    <definedName name="Bpipe.Response.XccyBasis.USD">'Instrument Data'!$AO$10</definedName>
    <definedName name="Bpipe.Results.OIS.EUR">'Instrument Data'!$D$120</definedName>
    <definedName name="Bpipe.Results.OIS.GBP">'Instrument Data'!$D$227</definedName>
    <definedName name="Bpipe.Results.OIS.JPY">'Instrument Data'!$D$334</definedName>
    <definedName name="Bpipe.Results.OIS.USD">'Instrument Data'!$D$13</definedName>
    <definedName name="Bpipe.Results.Swaps.EUR">'Instrument Data'!$K$120</definedName>
    <definedName name="Bpipe.Results.Swaps.GBP">'Instrument Data'!$K$227</definedName>
    <definedName name="Bpipe.Results.Swaps.JPY">'Instrument Data'!$K$334</definedName>
    <definedName name="Bpipe.Results.Swaps.USD">'Instrument Data'!$K$13</definedName>
    <definedName name="Bpipe.Results.TenorBasis1.EUR">'Instrument Data'!$T$120</definedName>
    <definedName name="Bpipe.Results.TenorBasis1.GBP">'Instrument Data'!$T$227</definedName>
    <definedName name="Bpipe.Results.TenorBasis1.JPY">'Instrument Data'!$T$334</definedName>
    <definedName name="Bpipe.Results.TenorBasis1.USD">'Instrument Data'!$T$13</definedName>
    <definedName name="Bpipe.Results.TenorBasis2.EUR">'Instrument Data'!$AA$120</definedName>
    <definedName name="Bpipe.Results.TenorBasis2.GBP">'Instrument Data'!$AA$227</definedName>
    <definedName name="Bpipe.Results.TenorBasis2.JPY">'Instrument Data'!$AA$334</definedName>
    <definedName name="Bpipe.Results.TenorBasis2.USD">'Instrument Data'!$AA$13</definedName>
    <definedName name="Bpipe.Results.TenorBasis3.EUR">'Instrument Data'!$AH$120</definedName>
    <definedName name="Bpipe.Results.TenorBasis3.GBP">'Instrument Data'!$AH$227</definedName>
    <definedName name="Bpipe.Results.TenorBasis3.JPY">'Instrument Data'!$AH$334</definedName>
    <definedName name="Bpipe.Results.TenorBasis3.USD">'Instrument Data'!$AH$13</definedName>
    <definedName name="Bpipe.Results.XccyBasis.EUR">'Instrument Data'!$AO$120</definedName>
    <definedName name="Bpipe.Results.XccyBasis.GBP">'Instrument Data'!$AO$227</definedName>
    <definedName name="Bpipe.Results.XccyBasis.JPY">'Instrument Data'!$AO$334</definedName>
    <definedName name="Bpipe.Results.XccyBasis.USD">'Instrument Data'!$AO$13</definedName>
    <definedName name="CalculationMode">Settings!$C$8</definedName>
    <definedName name="CleanPrice" localSheetId="27">'EUR Asset Swaps'!$G$5</definedName>
    <definedName name="CleanPrice" localSheetId="29">'GBP Asset Swaps'!$G$5</definedName>
    <definedName name="CleanPrice" localSheetId="33">'GBP ASW Cashflows'!$G$5</definedName>
    <definedName name="CleanPrice" localSheetId="30">'JPY Asset Swaps'!$G$5</definedName>
    <definedName name="CleanPrice" localSheetId="34">'JPY ASW Cashflows'!$G$5</definedName>
    <definedName name="CleanPrice" localSheetId="28">'USD Asset Swaps'!$G$5</definedName>
    <definedName name="CleanPrice" localSheetId="32">'USD ASW Cashflows'!$G$5</definedName>
    <definedName name="CleanPrice">'EUR ASW Cashflows'!$G$5</definedName>
    <definedName name="COB">Settings!$C$2</definedName>
    <definedName name="ConstForwardFXEURCSA" localSheetId="7">'EUR Curve Config'!$CT$8:$CU$78</definedName>
    <definedName name="ConstForwardFXEURCSA" localSheetId="9">'GBP Curve Config'!$CT$8:$CU$78</definedName>
    <definedName name="ConstForwardFXEURCSA" localSheetId="10">'JPY Curve Config'!$CT$8:$CU$78</definedName>
    <definedName name="ConstForwardFXEURCSA">'USD Curve Config'!$CK$8:$CL$78</definedName>
    <definedName name="ConstForwardFXGBPCSA" localSheetId="7">'EUR Curve Config'!$CW$8:$CX$78</definedName>
    <definedName name="ConstForwardFXGBPCSA" localSheetId="9">'GBP Curve Config'!$CW$8:$CX$78</definedName>
    <definedName name="ConstForwardFXGBPCSA" localSheetId="10">'JPY Curve Config'!$CW$8:$CX$78</definedName>
    <definedName name="ConstForwardFXGBPCSA">'USD Curve Config'!$CN$8:$CO$78</definedName>
    <definedName name="ConstForwardFXJPYCSA" localSheetId="7">'EUR Curve Config'!$CZ$8:$DA$78</definedName>
    <definedName name="ConstForwardFXJPYCSA" localSheetId="9">'GBP Curve Config'!$CZ$8:$DA$78</definedName>
    <definedName name="ConstForwardFXJPYCSA" localSheetId="10">'JPY Curve Config'!$CZ$8:$DA$78</definedName>
    <definedName name="ConstForwardFXJPYCSA">'USD Curve Config'!$CQ$8:$CR$78</definedName>
    <definedName name="ConstForwardFXProperties" localSheetId="7">'EUR Curve Config'!$CQ$8:$CR$78</definedName>
    <definedName name="ConstForwardFXProperties" localSheetId="9">'GBP Curve Config'!$CQ$8:$CR$78</definedName>
    <definedName name="ConstForwardFXProperties" localSheetId="10">'JPY Curve Config'!$CQ$8:$CR$78</definedName>
    <definedName name="ConstForwardFXProperties">'USD Curve Config'!$CH$8:$CI$78</definedName>
    <definedName name="CurveBuildErrorCount" localSheetId="11">'Multi-Curves'!$M$3</definedName>
    <definedName name="CurveConfig.FixingRate" localSheetId="7">'EUR Curve Config'!$AL$29</definedName>
    <definedName name="CurveConfig.FixingRate" localSheetId="9">'GBP Curve Config'!$AL$29</definedName>
    <definedName name="CurveConfig.FixingRate" localSheetId="10">'JPY Curve Config'!$AL$29</definedName>
    <definedName name="CurveConfig.FixingRate">'USD Curve Config'!$AL$29</definedName>
    <definedName name="CurveDataStatusBasis">Settings!$G$26</definedName>
    <definedName name="CurveDataStatusOIS">Settings!$G$12</definedName>
    <definedName name="CurveDataStatusSwaps">Settings!$G$19</definedName>
    <definedName name="CurveDependencyTreeAndErrorCounts" localSheetId="11">'Multi-Curves'!$G:$M</definedName>
    <definedName name="CurveEnablement.EUR">Settings!$G$4</definedName>
    <definedName name="CurveEnablement.GBP">Settings!$G$6</definedName>
    <definedName name="CurveEnablement.JPY">Settings!$G$7</definedName>
    <definedName name="CurveEnablement.USD">Settings!$G$5</definedName>
    <definedName name="CurveErrorsEUR" localSheetId="11">'Multi-Curves'!$M$18</definedName>
    <definedName name="CurveErrorsGBP" localSheetId="11">'Multi-Curves'!$M$29</definedName>
    <definedName name="CurveErrorsJPY" localSheetId="11">'Multi-Curves'!$M$40</definedName>
    <definedName name="CurveErrorsNativeCSAEUR">'Multi-Curves'!$M$21</definedName>
    <definedName name="CurveErrorsNativeCSAGBP">'Multi-Curves'!$M$32</definedName>
    <definedName name="CurveErrorsNativeCSAJPY">'Multi-Curves'!$M$43</definedName>
    <definedName name="CurveErrorsNativeCSAUSD">'Multi-Curves'!$M$10</definedName>
    <definedName name="CurveErrorsUSD" localSheetId="11">'Multi-Curves'!$M$7</definedName>
    <definedName name="Data.OIS.EUR" localSheetId="2">'Instrument Data'!$D$120:$G$219</definedName>
    <definedName name="Data.OIS.GBP" localSheetId="2">'Instrument Data'!$D$227:$G$326</definedName>
    <definedName name="Data.OIS.JPY" localSheetId="2">'Instrument Data'!$D$334:$G$433</definedName>
    <definedName name="Data.OIS.USD" localSheetId="2">'Instrument Data'!$D$13:$G$112</definedName>
    <definedName name="Data.Swaps.EUR" localSheetId="2">'Instrument Data'!$K$120:$P$219</definedName>
    <definedName name="Data.Swaps.GBP" localSheetId="2">'Instrument Data'!$K$227:$P$326</definedName>
    <definedName name="Data.Swaps.GBP">'Instrument Data'!$K$227:$P$326</definedName>
    <definedName name="Data.Swaps.JPY" localSheetId="2">'Instrument Data'!$K$334:$P$433</definedName>
    <definedName name="Data.Swaps.USD" localSheetId="2">'Instrument Data'!$K$13:$P$112</definedName>
    <definedName name="Data.TenorBasis1.EUR" localSheetId="2">'Instrument Data'!$T$120:$W$219</definedName>
    <definedName name="Data.TenorBasis1.GBP" localSheetId="2">'Instrument Data'!$T$227:$W$326</definedName>
    <definedName name="Data.TenorBasis1.JPY" localSheetId="2">'Instrument Data'!$T$334:$W$433</definedName>
    <definedName name="Data.TenorBasis1.USD" localSheetId="2">'Instrument Data'!$T$13:$W$112</definedName>
    <definedName name="Data.TenorBasis2.EUR" localSheetId="2">'Instrument Data'!$AA$120:$AD$219</definedName>
    <definedName name="Data.TenorBasis2.GBP" localSheetId="2">'Instrument Data'!$AA$227:$AD$326</definedName>
    <definedName name="Data.TenorBasis2.JPY" localSheetId="2">'Instrument Data'!$AA$334:$AD$433</definedName>
    <definedName name="Data.TenorBasis2.USD" localSheetId="2">'Instrument Data'!$AA$13:$AD$112</definedName>
    <definedName name="Data.TenorBasis3.EUR" localSheetId="2">'Instrument Data'!$AH$120:$AK$219</definedName>
    <definedName name="Data.TenorBasis3.GBP" localSheetId="2">'Instrument Data'!$AH$227:$AK$326</definedName>
    <definedName name="Data.TenorBasis3.JPY" localSheetId="2">'Instrument Data'!$AH$334:$AK$433</definedName>
    <definedName name="Data.TenorBasis3.USD" localSheetId="2">'Instrument Data'!$AH$13:$AK$112</definedName>
    <definedName name="Data.Xccy.EUR" localSheetId="2">'Instrument Data'!$AO$120:$AR$219</definedName>
    <definedName name="Data.Xccy.GBP" localSheetId="2">'Instrument Data'!$AO$227:$AR$326</definedName>
    <definedName name="Data.Xccy.JPY" localSheetId="2">'Instrument Data'!$AO$334:$AR$433</definedName>
    <definedName name="Data.Xccy.USD" localSheetId="2">'Instrument Data'!$AO$13:$AR$112</definedName>
    <definedName name="Data.XccyBasis.EUR">'Instrument Data'!$AO$120:$AR$219</definedName>
    <definedName name="Data.XccyBasis.GBP">'Instrument Data'!$AO$227:$AR$326</definedName>
    <definedName name="Data.XccyBasis.JPY">'Instrument Data'!$AO$334:$AR$433</definedName>
    <definedName name="Data.XccyBasis.USD">'Instrument Data'!$AO$13:$AR$112</definedName>
    <definedName name="DirtyPrice" localSheetId="27">'EUR Asset Swaps'!$G$6</definedName>
    <definedName name="DirtyPrice" localSheetId="29">'GBP Asset Swaps'!$G$6</definedName>
    <definedName name="DirtyPrice" localSheetId="33">'GBP ASW Cashflows'!$G$6</definedName>
    <definedName name="DirtyPrice" localSheetId="30">'JPY Asset Swaps'!$G$6</definedName>
    <definedName name="DirtyPrice" localSheetId="34">'JPY ASW Cashflows'!$G$6</definedName>
    <definedName name="DirtyPrice" localSheetId="28">'USD Asset Swaps'!$G$6</definedName>
    <definedName name="DirtyPrice" localSheetId="32">'USD ASW Cashflows'!$G$6</definedName>
    <definedName name="DirtyPrice">'EUR ASW Cashflows'!$G$6</definedName>
    <definedName name="DiscFactTableCount12ML" localSheetId="25">#REF!</definedName>
    <definedName name="DiscFactTableCount12ML" localSheetId="26">#REF!</definedName>
    <definedName name="DiscFactTableCount12ML" localSheetId="24">#REF!</definedName>
    <definedName name="DiscFactTableCount1ML" localSheetId="25">#REF!</definedName>
    <definedName name="DiscFactTableCount1ML" localSheetId="26">#REF!</definedName>
    <definedName name="DiscFactTableCount1ML" localSheetId="24">#REF!</definedName>
    <definedName name="DiscFactTableCount3ML" localSheetId="25">#REF!</definedName>
    <definedName name="DiscFactTableCount3ML" localSheetId="26">#REF!</definedName>
    <definedName name="DiscFactTableCount3ML" localSheetId="24">#REF!</definedName>
    <definedName name="DiscFactTableCount6ML" localSheetId="25">#REF!</definedName>
    <definedName name="DiscFactTableCount6ML" localSheetId="26">#REF!</definedName>
    <definedName name="DiscFactTableCount6ML" localSheetId="24">#REF!</definedName>
    <definedName name="DiscFactTableCountEurCsa" localSheetId="25">#REF!</definedName>
    <definedName name="DiscFactTableCountEurCsa" localSheetId="26">#REF!</definedName>
    <definedName name="DiscFactTableCountEurCsa" localSheetId="24">#REF!</definedName>
    <definedName name="DiscFactTableCountGbpCsa" localSheetId="25">#REF!</definedName>
    <definedName name="DiscFactTableCountGbpCsa" localSheetId="26">#REF!</definedName>
    <definedName name="DiscFactTableCountGbpCsa" localSheetId="24">#REF!</definedName>
    <definedName name="DiscFactTableCountJpyCsa" localSheetId="25">#REF!</definedName>
    <definedName name="DiscFactTableCountJpyCsa" localSheetId="26">#REF!</definedName>
    <definedName name="DiscFactTableCountJpyCsa" localSheetId="24">#REF!</definedName>
    <definedName name="DiscFactTableCountNoCsa" localSheetId="25">#REF!</definedName>
    <definedName name="DiscFactTableCountNoCsa" localSheetId="26">#REF!</definedName>
    <definedName name="DiscFactTableCountNoCsa" localSheetId="24">#REF!</definedName>
    <definedName name="DiscFactTableCountOIS" localSheetId="25">#REF!</definedName>
    <definedName name="DiscFactTableCountOIS" localSheetId="26">#REF!</definedName>
    <definedName name="DiscFactTableCountOIS" localSheetId="24">#REF!</definedName>
    <definedName name="DiscFactTableCountUsdCsa" localSheetId="25">#REF!</definedName>
    <definedName name="DiscFactTableCountUsdCsa" localSheetId="26">#REF!</definedName>
    <definedName name="DiscFactTableCountUsdCsa" localSheetId="24">#REF!</definedName>
    <definedName name="Display12MLRates" localSheetId="25">#REF!:OFFSET(#REF!,#REF!-1,0)</definedName>
    <definedName name="Display12MLRates" localSheetId="26">#REF!:OFFSET(#REF!,#REF!-1,0)</definedName>
    <definedName name="Display12MLRates" localSheetId="24">#REF!:OFFSET(#REF!,#REF!-1,0)</definedName>
    <definedName name="Display12MLTenors" localSheetId="25">#REF!:OFFSET(#REF!,#REF!-1,0)</definedName>
    <definedName name="Display12MLTenors" localSheetId="26">#REF!:OFFSET(#REF!,#REF!-1,0)</definedName>
    <definedName name="Display12MLTenors" localSheetId="24">#REF!:OFFSET(#REF!,#REF!-1,0)</definedName>
    <definedName name="Display1MLRates" localSheetId="25">#REF!:OFFSET(#REF!,#REF!-1,0)</definedName>
    <definedName name="Display1MLRates" localSheetId="26">#REF!:OFFSET(#REF!,#REF!-1,0)</definedName>
    <definedName name="Display1MLRates" localSheetId="24">#REF!:OFFSET(#REF!,#REF!-1,0)</definedName>
    <definedName name="Display1MLTenors" localSheetId="25">#REF!:OFFSET(#REF!,#REF!-1,0)</definedName>
    <definedName name="Display1MLTenors" localSheetId="26">#REF!:OFFSET(#REF!,#REF!-1,0)</definedName>
    <definedName name="Display1MLTenors" localSheetId="24">#REF!:OFFSET(#REF!,#REF!-1,0)</definedName>
    <definedName name="Display3MLRates" localSheetId="25">#REF!:OFFSET(#REF!,#REF!-1,0)</definedName>
    <definedName name="Display3MLRates" localSheetId="26">#REF!:OFFSET(#REF!,#REF!-1,0)</definedName>
    <definedName name="Display3MLRates" localSheetId="24">#REF!:OFFSET(#REF!,#REF!-1,0)</definedName>
    <definedName name="Display3MLTenors" localSheetId="25">#REF!:OFFSET(#REF!,#REF!-1,0)</definedName>
    <definedName name="Display3MLTenors" localSheetId="26">#REF!:OFFSET(#REF!,#REF!-1,0)</definedName>
    <definedName name="Display3MLTenors" localSheetId="24">#REF!:OFFSET(#REF!,#REF!-1,0)</definedName>
    <definedName name="Display6MLRates" localSheetId="25">#REF!:OFFSET(#REF!,#REF!-1,0)</definedName>
    <definedName name="Display6MLRates" localSheetId="26">#REF!:OFFSET(#REF!,#REF!-1,0)</definedName>
    <definedName name="Display6MLRates" localSheetId="24">#REF!:OFFSET(#REF!,#REF!-1,0)</definedName>
    <definedName name="Display6MLTenors" localSheetId="25">#REF!:OFFSET(#REF!,#REF!-1,0)</definedName>
    <definedName name="Display6MLTenors" localSheetId="26">#REF!:OFFSET(#REF!,#REF!-1,0)</definedName>
    <definedName name="Display6MLTenors" localSheetId="24">#REF!:OFFSET(#REF!,#REF!-1,0)</definedName>
    <definedName name="DisplayCurveID" localSheetId="25">#REF!</definedName>
    <definedName name="DisplayCurveID" localSheetId="26">#REF!</definedName>
    <definedName name="DisplayCurveID" localSheetId="24">#REF!</definedName>
    <definedName name="DisplayEurCsaRates" localSheetId="25">#REF!:OFFSET(#REF!,#REF!-1,0)</definedName>
    <definedName name="DisplayEurCsaRates" localSheetId="26">#REF!:OFFSET(#REF!,#REF!-1,0)</definedName>
    <definedName name="DisplayEurCsaRates" localSheetId="24">#REF!:OFFSET(#REF!,#REF!-1,0)</definedName>
    <definedName name="DisplayEurCsaTenors" localSheetId="25">#REF!:OFFSET(#REF!,#REF!-1,0)</definedName>
    <definedName name="DisplayEurCsaTenors" localSheetId="26">#REF!:OFFSET(#REF!,#REF!-1,0)</definedName>
    <definedName name="DisplayEurCsaTenors" localSheetId="24">#REF!:OFFSET(#REF!,#REF!-1,0)</definedName>
    <definedName name="DisplayGbpCsaRates" localSheetId="25">#REF!:OFFSET(#REF!,#REF!-1,0)</definedName>
    <definedName name="DisplayGbpCsaRates" localSheetId="26">#REF!:OFFSET(#REF!,#REF!-1,0)</definedName>
    <definedName name="DisplayGbpCsaRates" localSheetId="24">#REF!:OFFSET(#REF!,#REF!-1,0)</definedName>
    <definedName name="DisplayGbpCsaTenors" localSheetId="25">#REF!:OFFSET(#REF!,#REF!-1,0)</definedName>
    <definedName name="DisplayGbpCsaTenors" localSheetId="26">#REF!:OFFSET(#REF!,#REF!-1,0)</definedName>
    <definedName name="DisplayGbpCsaTenors" localSheetId="24">#REF!:OFFSET(#REF!,#REF!-1,0)</definedName>
    <definedName name="DisplayJpyCsaRates" localSheetId="25">#REF!:OFFSET(#REF!,#REF!-1,0)</definedName>
    <definedName name="DisplayJpyCsaRates" localSheetId="26">#REF!:OFFSET(#REF!,#REF!-1,0)</definedName>
    <definedName name="DisplayJpyCsaRates" localSheetId="24">#REF!:OFFSET(#REF!,#REF!-1,0)</definedName>
    <definedName name="DisplayJpyCsaTenors" localSheetId="25">#REF!:OFFSET(#REF!,#REF!-1,0)</definedName>
    <definedName name="DisplayJpyCsaTenors" localSheetId="26">#REF!:OFFSET(#REF!,#REF!-1,0)</definedName>
    <definedName name="DisplayJpyCsaTenors" localSheetId="24">#REF!:OFFSET(#REF!,#REF!-1,0)</definedName>
    <definedName name="DisplayNoCsaRates" localSheetId="25">#REF!:OFFSET(#REF!,#REF!-1,0)</definedName>
    <definedName name="DisplayNoCsaRates" localSheetId="26">#REF!:OFFSET(#REF!,#REF!-1,0)</definedName>
    <definedName name="DisplayNoCsaRates" localSheetId="24">#REF!:OFFSET(#REF!,#REF!-1,0)</definedName>
    <definedName name="DisplayNoCsaTenors" localSheetId="25">#REF!:OFFSET(#REF!,#REF!-1,0)</definedName>
    <definedName name="DisplayNoCsaTenors" localSheetId="26">#REF!:OFFSET(#REF!,#REF!-1,0)</definedName>
    <definedName name="DisplayNoCsaTenors" localSheetId="24">#REF!:OFFSET(#REF!,#REF!-1,0)</definedName>
    <definedName name="DisplayOISRates" localSheetId="25">#REF!:OFFSET(#REF!,#REF!-1,0)</definedName>
    <definedName name="DisplayOISRates" localSheetId="26">#REF!:OFFSET(#REF!,#REF!-1,0)</definedName>
    <definedName name="DisplayOISRates" localSheetId="24">#REF!:OFFSET(#REF!,#REF!-1,0)</definedName>
    <definedName name="DisplayOISTenors" localSheetId="25">#REF!:OFFSET(#REF!,#REF!-1,0)</definedName>
    <definedName name="DisplayOISTenors" localSheetId="26">#REF!:OFFSET(#REF!,#REF!-1,0)</definedName>
    <definedName name="DisplayOISTenors" localSheetId="24">#REF!:OFFSET(#REF!,#REF!-1,0)</definedName>
    <definedName name="DisplayUsdCsaRates" localSheetId="25">#REF!:OFFSET(#REF!,#REF!-1,0)</definedName>
    <definedName name="DisplayUsdCsaRates" localSheetId="26">#REF!:OFFSET(#REF!,#REF!-1,0)</definedName>
    <definedName name="DisplayUsdCsaRates" localSheetId="24">#REF!:OFFSET(#REF!,#REF!-1,0)</definedName>
    <definedName name="DisplayUsdCsaTenors" localSheetId="25">#REF!:OFFSET(#REF!,#REF!-1,0)</definedName>
    <definedName name="DisplayUsdCsaTenors" localSheetId="26">#REF!:OFFSET(#REF!,#REF!-1,0)</definedName>
    <definedName name="DisplayUsdCsaTenors" localSheetId="24">#REF!:OFFSET(#REF!,#REF!-1,0)</definedName>
    <definedName name="EffectiveLag" localSheetId="43">'GBP VNS Schedules'!$C$11</definedName>
    <definedName name="EffectiveLag" localSheetId="45">'JPY VNS Schedules'!$C$11</definedName>
    <definedName name="EffectiveLag" localSheetId="41">'USD VNS Schedules'!$C$11</definedName>
    <definedName name="EffectiveLag">'EUR VNS Schedules'!$C$11</definedName>
    <definedName name="enableGlobalCalibration">[1]Settings!$E$4</definedName>
    <definedName name="ErrorCountEURUSDCSA" localSheetId="11">'Multi-Curves'!$K$17:$K$23</definedName>
    <definedName name="ErrorCountGBPUSDCSA" localSheetId="11">'Multi-Curves'!$K$28:$K$34</definedName>
    <definedName name="ErrorCountJPYUSDCSA" localSheetId="11">'Multi-Curves'!$K$39:$K$45</definedName>
    <definedName name="ErrorCountUSDUSDCSA" localSheetId="11">'Multi-Curves'!$K$6:$K$12</definedName>
    <definedName name="EUR_COB">'Standard Swap Pricing'!$B$147</definedName>
    <definedName name="EUR_DATA" localSheetId="2">'Instrument Data'!$116:$222</definedName>
    <definedName name="EUR_DATA" localSheetId="1">Instruments!$117:$223</definedName>
    <definedName name="EURAccrualCalendar">'Standard Swap Pricing'!$B$150</definedName>
    <definedName name="EURBusinessDayAdjustment">'Standard Swap Pricing'!$B$148</definedName>
    <definedName name="EURFixingCalendar">'Standard Swap Pricing'!$B$149</definedName>
    <definedName name="Fields.OIS.EUR">'Instrument Data'!$C$120:$C$122</definedName>
    <definedName name="Fields.OIS.GBP">'Instrument Data'!$C$227:$C$229</definedName>
    <definedName name="Fields.OIS.JPY">'Instrument Data'!$C$334:$C$336</definedName>
    <definedName name="Fields.OIS.USD">'Instrument Data'!$C$13:$C$15</definedName>
    <definedName name="Fields.Swaps.EUR">'Instrument Data'!$J$120:$J$124</definedName>
    <definedName name="Fields.Swaps.GBP">'Instrument Data'!$J$227:$J$231</definedName>
    <definedName name="Fields.Swaps.JPY">'Instrument Data'!$J$334:$J$338</definedName>
    <definedName name="Fields.Swaps.USD">'Instrument Data'!$J$13:$J$17</definedName>
    <definedName name="Fields.TenorBasis1.EUR">'Instrument Data'!$S$120:$S$122</definedName>
    <definedName name="Fields.TenorBasis1.GBP">'Instrument Data'!$S$227:$S$229</definedName>
    <definedName name="Fields.TenorBasis1.JPY">'Instrument Data'!$S$334:$S$336</definedName>
    <definedName name="Fields.TenorBasis1.USD">'Instrument Data'!$S$13:$S$15</definedName>
    <definedName name="Fields.TenorBasis2.EUR">'Instrument Data'!$Z$120:$Z$122</definedName>
    <definedName name="Fields.TenorBasis2.GBP">'Instrument Data'!$Z$227:$Z$229</definedName>
    <definedName name="Fields.TenorBasis2.JPY">'Instrument Data'!$Z$334:$Z$336</definedName>
    <definedName name="Fields.TenorBasis2.USD">'Instrument Data'!$Z$13:$Z$15</definedName>
    <definedName name="Fields.TenorBasis3.EUR">'Instrument Data'!$AG$120:$AG$122</definedName>
    <definedName name="Fields.TenorBasis3.GBP">'Instrument Data'!$AG$227:$AG$229</definedName>
    <definedName name="Fields.TenorBasis3.JPY">'Instrument Data'!$AG$334:$AG$336</definedName>
    <definedName name="Fields.TenorBasis3.USD">'Instrument Data'!$AG$13:$AG$15</definedName>
    <definedName name="Fields.XccyBasis.EUR">'Instrument Data'!$AN$120:$AN$122</definedName>
    <definedName name="Fields.XccyBasis.GBP">'Instrument Data'!$AN$227:$AN$229</definedName>
    <definedName name="Fields.XccyBasis.JPY">'Instrument Data'!$AN$334:$AN$336</definedName>
    <definedName name="Fields.XccyBasis.USD">'Instrument Data'!$AN$13:$AN$15</definedName>
    <definedName name="ForwardCharts.ApplyTension">'Forward Charts'!$C$12</definedName>
    <definedName name="ForwardCharts.TensionGap">'Forward Charts'!$C$13</definedName>
    <definedName name="ForwardCurves.ChartSeriesName1">'Forward Charts'!$F$5</definedName>
    <definedName name="ForwardCurves.ChartSeriesName2">'Forward Charts'!$G$5</definedName>
    <definedName name="ForwardCurves.CurveID">'Forward Charts'!$C$5</definedName>
    <definedName name="ForwardCurves.Data">'Forward Charts'!$E$6:OFFSET('Forward Charts'!$E$6,'Forward Charts'!$B$20-1,0),'Forward Charts'!$F$6:OFFSET('Forward Charts'!$F$6,'Forward Charts'!$B$20-1,1)</definedName>
    <definedName name="ForwardCurves.Dates">'Forward Charts'!$E$6:OFFSET('Forward Charts'!$E$6,'Forward Charts'!$B$20-1,0)</definedName>
    <definedName name="ForwardCurves.DisplayYears">'Forward Charts'!$C$9</definedName>
    <definedName name="ForwardCurves.Periodicity">'Forward Charts'!$C$8</definedName>
    <definedName name="ForwardCurves.Values">'Forward Charts'!$F$6:OFFSET('Forward Charts'!$F$6,'Forward Charts'!$E$25-1,0)</definedName>
    <definedName name="FRAConv" localSheetId="7">'EUR Curve Config'!$AN$6:$AO$12</definedName>
    <definedName name="FRAConv" localSheetId="9">'GBP Curve Config'!$AN$6:$AO$12</definedName>
    <definedName name="FRAConv" localSheetId="10">'JPY Curve Config'!$AN$6:$AO$12</definedName>
    <definedName name="FRAConv">'USD Curve Config'!$AN$6:$AO$12</definedName>
    <definedName name="FRADatax3" localSheetId="7">'EUR Curve Config'!$AN$16:$AO$25</definedName>
    <definedName name="FRADatax3" localSheetId="9">'GBP Curve Config'!$AN$16:$AO$25</definedName>
    <definedName name="FRADatax3" localSheetId="10">'JPY Curve Config'!$AN$16:$AO$25</definedName>
    <definedName name="FRADatax3">'USD Curve Config'!$AN$16:$AO$25</definedName>
    <definedName name="FRADatax6" localSheetId="7">'EUR Curve Config'!$AN$29:$AO$78</definedName>
    <definedName name="FRADatax6" localSheetId="9">'GBP Curve Config'!$AN$29:$AO$78</definedName>
    <definedName name="FRADatax6" localSheetId="10">'JPY Curve Config'!$AN$29:$AO$78</definedName>
    <definedName name="FRADatax6">'USD Curve Config'!$AN$29:$AO$78</definedName>
    <definedName name="FutureCurve.ChartRows">'Forward Charts'!$B$20</definedName>
    <definedName name="FuturesConv" localSheetId="7">'EUR Curve Config'!$AQ$6:$AR$12</definedName>
    <definedName name="FuturesConv" localSheetId="9">'GBP Curve Config'!$AQ$6:$AR$12</definedName>
    <definedName name="FuturesConv" localSheetId="10">'JPY Curve Config'!$AQ$6:$AR$12</definedName>
    <definedName name="FuturesConv">'USD Curve Config'!$AQ$6:$AR$12</definedName>
    <definedName name="FuturesCurve.Copy">'Forward Charts'!$F$6:$F$4100</definedName>
    <definedName name="FuturesCurve.Paste">'Forward Charts'!$G$6:$G$4100</definedName>
    <definedName name="FuturesData" localSheetId="7">'EUR Curve Config'!$AQ$16:$AU$78</definedName>
    <definedName name="FuturesData" localSheetId="9">'GBP Curve Config'!$AQ$16:$AU$78</definedName>
    <definedName name="FuturesData" localSheetId="10">'JPY Curve Config'!$AQ$16:$AU$78</definedName>
    <definedName name="FuturesData">'USD Curve Config'!$AQ$16:$AU$78</definedName>
    <definedName name="FuturesQuotes" localSheetId="7">'EUR Curve Config'!$R$17:$R$79</definedName>
    <definedName name="FuturesQuotes" localSheetId="9">'GBP Curve Config'!$R$17:$R$79</definedName>
    <definedName name="FuturesQuotes" localSheetId="10">'JPY Curve Config'!$R$17:$R$79</definedName>
    <definedName name="FuturesQuotes" localSheetId="8">'USD Curve Config'!$R$17:$R$79</definedName>
    <definedName name="FwdFXConstCurveNamesCombinedEUR" localSheetId="7">'EUR Curve Config'!$C$14</definedName>
    <definedName name="FwdFXConstCurveNamesCombinedEUR" localSheetId="9">'GBP Curve Config'!$C$14</definedName>
    <definedName name="FwdFXConstCurveNamesCombinedEUR" localSheetId="10">'JPY Curve Config'!$C$14</definedName>
    <definedName name="FwdFXConstCurveNamesCombinedEUR">'USD Curve Config'!$C$14</definedName>
    <definedName name="FwdFXConstCurveNamesCombinedGBP" localSheetId="7">'EUR Curve Config'!$C$15</definedName>
    <definedName name="FwdFXConstCurveNamesCombinedGBP" localSheetId="9">'GBP Curve Config'!$C$15</definedName>
    <definedName name="FwdFXConstCurveNamesCombinedGBP" localSheetId="10">'JPY Curve Config'!$C$15</definedName>
    <definedName name="FwdFXConstCurveNamesCombinedGBP">'USD Curve Config'!$C$15</definedName>
    <definedName name="FwdFXConstCurveNamesCombinedJPY" localSheetId="7">'EUR Curve Config'!$C$16</definedName>
    <definedName name="FwdFXConstCurveNamesCombinedJPY" localSheetId="9">'GBP Curve Config'!$C$16</definedName>
    <definedName name="FwdFXConstCurveNamesCombinedJPY" localSheetId="10">'JPY Curve Config'!$C$16</definedName>
    <definedName name="FwdFXConstCurveNamesCombinedJPY">'USD Curve Config'!$C$16</definedName>
    <definedName name="FwdFXConstCurveNamesFWDFX" localSheetId="7">'EUR Curve Config'!$C$55</definedName>
    <definedName name="FwdFXConstCurveNamesFWDFX" localSheetId="9">'GBP Curve Config'!$C$55</definedName>
    <definedName name="FwdFXConstCurveNamesFWDFX" localSheetId="10">'JPY Curve Config'!$C$55</definedName>
    <definedName name="FwdFXConstCurveNamesFWDFX">'USD Curve Config'!$C$55</definedName>
    <definedName name="FwdFXConstCurveNamesXCCYandFWDFX" localSheetId="7">'EUR Curve Config'!$C$66</definedName>
    <definedName name="FwdFXConstCurveNamesXCCYandFWDFX" localSheetId="9">'GBP Curve Config'!$C$66</definedName>
    <definedName name="FwdFXConstCurveNamesXCCYandFWDFX" localSheetId="10">'JPY Curve Config'!$C$66</definedName>
    <definedName name="FwdFXConstCurveNamesXCCYandFWDFX">'USD Curve Config'!$C$66</definedName>
    <definedName name="GBP_COB">'Standard Swap Pricing'!$B$163</definedName>
    <definedName name="GBP_DATA" localSheetId="2">'Instrument Data'!$223:$329</definedName>
    <definedName name="GBP_DATA" localSheetId="1">Instruments!$224:$330</definedName>
    <definedName name="GBPAccrualCalendar">'Standard Swap Pricing'!$B$166</definedName>
    <definedName name="GBPBusinessDayAdjustment">'Standard Swap Pricing'!$B$164</definedName>
    <definedName name="GBPFixingCalendar">'Standard Swap Pricing'!$B$165</definedName>
    <definedName name="GeneratorList" localSheetId="47">'Standard Swap Pricing'!$B$5:OFFSET('Standard Swap Pricing'!$B$5,'Standard Swap Pricing'!$A$4-1,0)</definedName>
    <definedName name="INSTRUMENTS">Instruments!$C:$AV</definedName>
    <definedName name="Instruments.OIS.EUR">Instruments!$B$120:$H$219</definedName>
    <definedName name="Instruments.OIS.GBP">Instruments!$B$227:$H$326</definedName>
    <definedName name="Instruments.OIS.JPY">Instruments!$B$334:$H$433</definedName>
    <definedName name="Instruments.OIS.USD">Instruments!$B$13:$H$112</definedName>
    <definedName name="Instruments.Swaps.EUR">Instruments!$J$120:$P$219</definedName>
    <definedName name="Instruments.Swaps.GBP">Instruments!$J$227:$P$326</definedName>
    <definedName name="Instruments.Swaps.JPY">Instruments!$J$334:$P$433</definedName>
    <definedName name="Instruments.Swaps.USD">Instruments!$J$13:$P$112</definedName>
    <definedName name="Instruments.TenorBasis1.EUR">Instruments!$R$120:$X$219</definedName>
    <definedName name="Instruments.TenorBasis1.GBP">Instruments!$R$227:$X$326</definedName>
    <definedName name="Instruments.TenorBasis1.JPY">Instruments!$R$334:$X$433</definedName>
    <definedName name="Instruments.TenorBasis1.USD">Instruments!$R$13:$X$112</definedName>
    <definedName name="Instruments.TenorBasis2.EUR">Instruments!$Z$120:$AF$219</definedName>
    <definedName name="Instruments.TenorBasis2.GBP">Instruments!$Z$227:$AF$326</definedName>
    <definedName name="Instruments.TenorBasis2.JPY">Instruments!$Z$334:$AF$433</definedName>
    <definedName name="Instruments.TenorBasis2.USD">Instruments!$Z$13:$AF$112</definedName>
    <definedName name="Instruments.TenorBasis3.EUR">Instruments!$AH$120:$AN$219</definedName>
    <definedName name="Instruments.TenorBasis3.GBP">Instruments!$AH$227:$AN$326</definedName>
    <definedName name="Instruments.TenorBasis3.JPY">Instruments!$AH$334:$AN$433</definedName>
    <definedName name="Instruments.TenorBasis3.USD">Instruments!$AH$13:$AN$112</definedName>
    <definedName name="Instruments.XccyBasis.EUR">Instruments!$AP$120:$AV$219</definedName>
    <definedName name="Instruments.XccyBasis.GBP">Instruments!$AP$227:$AV$326</definedName>
    <definedName name="Instruments.XccyBasis.JPY">Instruments!$AP$334:$AV$433</definedName>
    <definedName name="Instruments.XccyBasis.USD">Instruments!$AP$13:$AV$112</definedName>
    <definedName name="isOISCurveLoaded_JPYJSCC">'JPY-LCH Curve'!$C$27</definedName>
    <definedName name="isSTDCurveLoaded_JPYJSCC">'JPY-LCH Curve'!$C$59</definedName>
    <definedName name="JPY_COB">'Standard Swap Pricing'!$B$171</definedName>
    <definedName name="JPY_DATA" localSheetId="2">'Instrument Data'!$330:$436</definedName>
    <definedName name="JPY_DATA" localSheetId="1">Instruments!$331:$437</definedName>
    <definedName name="JPYAccrualCalendar">'Standard Swap Pricing'!$B$174</definedName>
    <definedName name="JPYBusinessDayAdjustment">'Standard Swap Pricing'!$B$172</definedName>
    <definedName name="JPYFixingCalendar">'Standard Swap Pricing'!$B$173</definedName>
    <definedName name="Leg1Keys" localSheetId="37">'GBP Tenor Basis'!$N$5:$AQ$5</definedName>
    <definedName name="Leg1Keys" localSheetId="38">'JPY Tenor Basis'!$N$5:$AQ$5</definedName>
    <definedName name="Leg1Keys" localSheetId="36">'USD Tenor Basis'!$N$5:$AR$5</definedName>
    <definedName name="Leg1Keys">'EUR Tenor Basis'!$N$5:$AQ$5</definedName>
    <definedName name="Leg2Keys" localSheetId="37">'GBP Tenor Basis'!$AS$5:$BV$5</definedName>
    <definedName name="Leg2Keys" localSheetId="38">'JPY Tenor Basis'!$AS$5:$BV$5</definedName>
    <definedName name="Leg2Keys" localSheetId="36">'USD Tenor Basis'!$AT$5:$BW$5</definedName>
    <definedName name="Leg2Keys">'EUR Tenor Basis'!$AS$5:$BX$5</definedName>
    <definedName name="LiborConv" localSheetId="7">'EUR Curve Config'!$AK$15:$AL$25</definedName>
    <definedName name="LiborConv" localSheetId="9">'GBP Curve Config'!$AK$15:$AL$25</definedName>
    <definedName name="LiborConv" localSheetId="10">'JPY Curve Config'!$AK$15:$AL$25</definedName>
    <definedName name="LiborConv">'USD Curve Config'!$AK$15:$AL$25</definedName>
    <definedName name="LiborData" localSheetId="7">'EUR Curve Config'!$AK$29:$AL$78</definedName>
    <definedName name="LiborData" localSheetId="9">'GBP Curve Config'!$AK$29:$AL$78</definedName>
    <definedName name="LiborData" localSheetId="10">'JPY Curve Config'!$AK$29:$AL$78</definedName>
    <definedName name="LiborData">'USD Curve Config'!$AK$29:$AL$78</definedName>
    <definedName name="MaturityDate" localSheetId="43">'GBP VNS Schedules'!$C$12</definedName>
    <definedName name="MaturityDate" localSheetId="45">'JPY VNS Schedules'!$C$12</definedName>
    <definedName name="MaturityDate" localSheetId="41">'USD VNS Schedules'!$C$12</definedName>
    <definedName name="MaturityDate">'EUR VNS Schedules'!$C$12</definedName>
    <definedName name="MoneyMarketData" localSheetId="7">'EUR Curve Config'!$AK$8:$AL$12</definedName>
    <definedName name="MoneyMarketData" localSheetId="9">'GBP Curve Config'!$AK$8:$AL$12</definedName>
    <definedName name="MoneyMarketData" localSheetId="10">'JPY Curve Config'!$AK$8:$AL$12</definedName>
    <definedName name="MoneyMarketData">'USD Curve Config'!$AK$8:$AL$12</definedName>
    <definedName name="OIS.LOBasisConv" localSheetId="7">'EUR Curve Config'!$V$8:$W$24</definedName>
    <definedName name="OIS.LOBasisConv" localSheetId="9">'GBP Curve Config'!$V$8:$W$24</definedName>
    <definedName name="OIS.LOBasisConv" localSheetId="10">'JPY Curve Config'!$V$8:$W$24</definedName>
    <definedName name="OIS.LOBasisConv" localSheetId="8">'USD Curve Config'!$V$8:$W$24</definedName>
    <definedName name="OIS.LobRates" localSheetId="7">'EUR Curve Config'!$Y$9:$Z$78</definedName>
    <definedName name="OIS.LobRates" localSheetId="9">'GBP Curve Config'!$Y$9:$Z$78</definedName>
    <definedName name="OIS.LobRates" localSheetId="10">'JPY Curve Config'!$Y$9:$Z$78</definedName>
    <definedName name="OIS.LobRates" localSheetId="8">'USD Curve Config'!$Y$9:$Z$78</definedName>
    <definedName name="OIS.SwapConv" localSheetId="7">'EUR Curve Config'!$AB$8:$AC$24</definedName>
    <definedName name="OIS.SwapConv" localSheetId="9">'GBP Curve Config'!$AB$8:$AC$24</definedName>
    <definedName name="OIS.SwapConv" localSheetId="10">'JPY Curve Config'!$AB$8:$AC$24</definedName>
    <definedName name="OIS.SwapConv" localSheetId="8">'USD Curve Config'!$AB$8:$AC$24</definedName>
    <definedName name="OIS.SwapRates" localSheetId="7">'EUR Curve Config'!$AE$9:$AF$78</definedName>
    <definedName name="OIS.SwapRates" localSheetId="9">'GBP Curve Config'!$AE$9:$AF$78</definedName>
    <definedName name="OIS.SwapRates" localSheetId="10">'JPY Curve Config'!$AE$9:$AF$78</definedName>
    <definedName name="OIS.SwapRates" localSheetId="8">'USD Curve Config'!$AE$9:$AF$78</definedName>
    <definedName name="OISConv" localSheetId="7">'EUR Curve Config'!$J$8:$K$24</definedName>
    <definedName name="OISConv" localSheetId="9">'GBP Curve Config'!$J$8:$K$24</definedName>
    <definedName name="OISConv" localSheetId="10">'JPY Curve Config'!$J$8:$K$24</definedName>
    <definedName name="OISConv">'USD Curve Config'!$J$8:$K$24</definedName>
    <definedName name="OISCurveNamesCombined" localSheetId="7">'EUR Curve Config'!$C$8</definedName>
    <definedName name="OISCurveNamesCombined" localSheetId="9">'GBP Curve Config'!$C$8</definedName>
    <definedName name="OISCurveNamesCombined" localSheetId="10">'JPY Curve Config'!$C$8</definedName>
    <definedName name="OISCurveNamesCombined">'USD Curve Config'!$C$8</definedName>
    <definedName name="OISCurveNamesFWDFX" localSheetId="7">'EUR Curve Config'!$C$50</definedName>
    <definedName name="OISCurveNamesFWDFX" localSheetId="9">'GBP Curve Config'!$C$50</definedName>
    <definedName name="OISCurveNamesFWDFX" localSheetId="10">'JPY Curve Config'!$C$50</definedName>
    <definedName name="OISCurveNamesFWDFX">'USD Curve Config'!$C$50</definedName>
    <definedName name="OISCurveNamesNativeCSA" localSheetId="7">'EUR Curve Config'!$C$20</definedName>
    <definedName name="OISCurveNamesNativeCSA" localSheetId="9">'GBP Curve Config'!$C$20</definedName>
    <definedName name="OISCurveNamesNativeCSA" localSheetId="10">'JPY Curve Config'!$C$20</definedName>
    <definedName name="OISCurveNamesNativeCSA">'USD Curve Config'!$C$20</definedName>
    <definedName name="OISCurveNamesSTD" localSheetId="7">'EUR Curve Config'!$C$30</definedName>
    <definedName name="OISCurveNamesSTD" localSheetId="9">'GBP Curve Config'!$C$30</definedName>
    <definedName name="OISCurveNamesSTD" localSheetId="10">'JPY Curve Config'!$C$30</definedName>
    <definedName name="OISCurveNamesSTD">'USD Curve Config'!$C$30</definedName>
    <definedName name="OISCurveNamesXCCY" localSheetId="7">'EUR Curve Config'!$C$40</definedName>
    <definedName name="OISCurveNamesXCCY" localSheetId="9">'GBP Curve Config'!$C$40</definedName>
    <definedName name="OISCurveNamesXCCY" localSheetId="10">'JPY Curve Config'!$C$40</definedName>
    <definedName name="OISCurveNamesXCCY">'USD Curve Config'!$C$40</definedName>
    <definedName name="OISCurveNamesXCCYandFWDFX" localSheetId="7">'EUR Curve Config'!$C$60</definedName>
    <definedName name="OISCurveNamesXCCYandFWDFX" localSheetId="9">'GBP Curve Config'!$C$60</definedName>
    <definedName name="OISCurveNamesXCCYandFWDFX" localSheetId="10">'JPY Curve Config'!$C$60</definedName>
    <definedName name="OISCurveNamesXCCYandFWDFX">'USD Curve Config'!$C$60</definedName>
    <definedName name="OISHistoricalRates" localSheetId="7">'EUR Curve Config'!$S$9:$T$78</definedName>
    <definedName name="OISHistoricalRates" localSheetId="9">'GBP Curve Config'!$S$9:$T$78</definedName>
    <definedName name="OISHistoricalRates" localSheetId="10">'JPY Curve Config'!$S$9:$T$78</definedName>
    <definedName name="OISHistoricalRates">'USD Curve Config'!$S$9:$T$78</definedName>
    <definedName name="OISRates" localSheetId="7">'EUR Curve Config'!$M$9:$Q$78</definedName>
    <definedName name="OISRates" localSheetId="9">'GBP Curve Config'!$M$9:$Q$78</definedName>
    <definedName name="OISRates" localSheetId="10">'JPY Curve Config'!$M$9:$Q$78</definedName>
    <definedName name="OISRates">'USD Curve Config'!$M$9:$Q$78</definedName>
    <definedName name="PulseSeconds">Settings!$C$6</definedName>
    <definedName name="RequestID.OIS.EUR">'Instrument Data'!$B$117</definedName>
    <definedName name="RequestID.OIS.GBP">'Instrument Data'!$B$224</definedName>
    <definedName name="RequestID.OIS.JPY">'Instrument Data'!$B$331</definedName>
    <definedName name="RequestID.OIS.USD">'Instrument Data'!$B$10</definedName>
    <definedName name="RequestID.Swaps.EUR">'Instrument Data'!$I$117</definedName>
    <definedName name="RequestID.Swaps.GBP">'Instrument Data'!$I$224</definedName>
    <definedName name="RequestID.Swaps.JPY">'Instrument Data'!$I$331</definedName>
    <definedName name="RequestID.Swaps.USD">'Instrument Data'!$I$10</definedName>
    <definedName name="RequestID.TenorBasis1.EUR">'Instrument Data'!$R$117</definedName>
    <definedName name="RequestID.TenorBasis1.GBP">'Instrument Data'!$R$224</definedName>
    <definedName name="RequestID.TenorBasis1.JPY">'Instrument Data'!$R$331</definedName>
    <definedName name="RequestID.TenorBasis1.USD">'Instrument Data'!$R$10</definedName>
    <definedName name="RequestID.TenorBasis2.EUR">'Instrument Data'!$Y$117</definedName>
    <definedName name="RequestID.TenorBasis2.GBP">'Instrument Data'!$Y$224</definedName>
    <definedName name="RequestID.TenorBasis2.JPY">'Instrument Data'!$Y$331</definedName>
    <definedName name="RequestID.TenorBasis2.USD">'Instrument Data'!$Y$10</definedName>
    <definedName name="RequestID.TenorBasis3.EUR">'Instrument Data'!$AF$117</definedName>
    <definedName name="RequestID.TenorBasis3.GBP">'Instrument Data'!$AF$224</definedName>
    <definedName name="RequestID.TenorBasis3.JPY">'Instrument Data'!$AF$331</definedName>
    <definedName name="RequestID.TenorBasis3.USD">'Instrument Data'!$AF$10</definedName>
    <definedName name="RequestID.XccyBasis.EUR">'Instrument Data'!$AM$117</definedName>
    <definedName name="RequestID.XccyBasis.GBP">'Instrument Data'!$AM$224</definedName>
    <definedName name="RequestID.XccyBasis.JPY">'Instrument Data'!$AM$331</definedName>
    <definedName name="RequestID.XccyBasis.USD">'Instrument Data'!$AM$10</definedName>
    <definedName name="SelectOutputCurve" localSheetId="12">'Forward Charts'!$N$5</definedName>
    <definedName name="Settings.COB">[1]Settings!$C$4</definedName>
    <definedName name="Settings.FrequencyLookupTable">Settings!$B$206:$C$210</definedName>
    <definedName name="SwapCurveNameDF2" localSheetId="7">'EUR Curve Config'!$C$32</definedName>
    <definedName name="SwapCurveNameDF2" localSheetId="9">'GBP Curve Config'!$C$32</definedName>
    <definedName name="SwapCurveNameDF2" localSheetId="10">'JPY Curve Config'!$C$32</definedName>
    <definedName name="SwapCurveNameDF2">'USD Curve Config'!$C$32</definedName>
    <definedName name="SwapCurveNamesCombined" localSheetId="7">'EUR Curve Config'!$C$9</definedName>
    <definedName name="SwapCurveNamesCombined" localSheetId="9">'GBP Curve Config'!$C$9</definedName>
    <definedName name="SwapCurveNamesCombined" localSheetId="10">'JPY Curve Config'!$C$9</definedName>
    <definedName name="SwapCurveNamesCombined">'USD Curve Config'!$C$9</definedName>
    <definedName name="SwapCurveNamesFWDFX" localSheetId="7">'EUR Curve Config'!$C$51</definedName>
    <definedName name="SwapCurveNamesFWDFX" localSheetId="9">'GBP Curve Config'!$C$51</definedName>
    <definedName name="SwapCurveNamesFWDFX" localSheetId="10">'JPY Curve Config'!$C$51</definedName>
    <definedName name="SwapCurveNamesFWDFX">'USD Curve Config'!$C$51</definedName>
    <definedName name="SwapCurveNamesNativeCSA" localSheetId="7">'EUR Curve Config'!$C$21</definedName>
    <definedName name="SwapCurveNamesNativeCSA" localSheetId="9">'GBP Curve Config'!$C$21</definedName>
    <definedName name="SwapCurveNamesNativeCSA" localSheetId="10">'JPY Curve Config'!$C$21</definedName>
    <definedName name="SwapCurveNamesNativeCSA">'USD Curve Config'!$C$21</definedName>
    <definedName name="SwapCurveNamesSTD" localSheetId="7">'EUR Curve Config'!$C$31</definedName>
    <definedName name="SwapCurveNamesSTD" localSheetId="9">'GBP Curve Config'!$C$31</definedName>
    <definedName name="SwapCurveNamesSTD" localSheetId="10">'JPY Curve Config'!$C$31</definedName>
    <definedName name="SwapCurveNamesSTD">'USD Curve Config'!$C$31</definedName>
    <definedName name="SwapCurveNamesXCCY" localSheetId="7">'EUR Curve Config'!$C$41</definedName>
    <definedName name="SwapCurveNamesXCCY" localSheetId="9">'GBP Curve Config'!$C$41</definedName>
    <definedName name="SwapCurveNamesXCCY" localSheetId="10">'JPY Curve Config'!$C$41</definedName>
    <definedName name="SwapCurveNamesXCCY">'USD Curve Config'!$C$41</definedName>
    <definedName name="SwapCurveNamesXCCYandFWDFX" localSheetId="7">'EUR Curve Config'!$C$61</definedName>
    <definedName name="SwapCurveNamesXCCYandFWDFX" localSheetId="9">'GBP Curve Config'!$C$61</definedName>
    <definedName name="SwapCurveNamesXCCYandFWDFX" localSheetId="10">'JPY Curve Config'!$C$61</definedName>
    <definedName name="SwapCurveNamesXCCYandFWDFX">'USD Curve Config'!$C$61</definedName>
    <definedName name="SwapsConv" localSheetId="7">'EUR Curve Config'!$AW$8:$AX$78</definedName>
    <definedName name="SwapsConv" localSheetId="9">'GBP Curve Config'!$AW$8:$AX$78</definedName>
    <definedName name="SwapsConv" localSheetId="10">'JPY Curve Config'!$AW$8:$AX$78</definedName>
    <definedName name="SwapsConv">'USD Curve Config'!$AW$8:$AX$78</definedName>
    <definedName name="SwapsData" localSheetId="7">'EUR Curve Config'!$AZ$9:$BB$78</definedName>
    <definedName name="SwapsData" localSheetId="9">'GBP Curve Config'!$AZ$9:$BB$78</definedName>
    <definedName name="SwapsData" localSheetId="10">'JPY Curve Config'!$AZ$9:$BB$78</definedName>
    <definedName name="SwapsData">'USD Curve Config'!$AZ$9:$BB$78</definedName>
    <definedName name="TenorBasis1x3CurveNamesCombined" localSheetId="7">'EUR Curve Config'!$C$11</definedName>
    <definedName name="TenorBasis1x3CurveNamesCombined">'USD Curve Config'!$C$11</definedName>
    <definedName name="TenorBasis1x3CurveNamesFWDFX" localSheetId="7">'EUR Curve Config'!$C$53</definedName>
    <definedName name="TenorBasis1x3CurveNamesFWDFX">'USD Curve Config'!$C$53</definedName>
    <definedName name="TenorBasis1x3CurveNamesNativeCSA" localSheetId="7">'EUR Curve Config'!$C$23</definedName>
    <definedName name="TenorBasis1x3CurveNamesNativeCSA">'USD Curve Config'!$C$23</definedName>
    <definedName name="TenorBasis1x3CurveNamesSTD" localSheetId="7">'EUR Curve Config'!$C$34</definedName>
    <definedName name="TenorBasis1x3CurveNamesSTD">'USD Curve Config'!$C$34</definedName>
    <definedName name="TenorBasis1x3CurveNamesXCCY" localSheetId="7">'EUR Curve Config'!$C$43</definedName>
    <definedName name="TenorBasis1x3CurveNamesXCCY">'USD Curve Config'!$C$43</definedName>
    <definedName name="TenorBasis1x3CurveNamesXCCYandFWDFX" localSheetId="7">'EUR Curve Config'!$C$63</definedName>
    <definedName name="TenorBasis1x3CurveNamesXCCYandFWDFX">'USD Curve Config'!$C$63</definedName>
    <definedName name="TenorBasis1x6CurveNamesCombined" localSheetId="9">'GBP Curve Config'!$C$11</definedName>
    <definedName name="TenorBasis1x6CurveNamesCombined" localSheetId="10">'JPY Curve Config'!$C$11</definedName>
    <definedName name="TenorBasis1x6CurveNamesFWDFX" localSheetId="9">'GBP Curve Config'!$C$53</definedName>
    <definedName name="TenorBasis1x6CurveNamesFWDFX" localSheetId="10">'JPY Curve Config'!$C$53</definedName>
    <definedName name="TenorBasis1x6CurveNamesNativeCSA" localSheetId="9">'GBP Curve Config'!$C$23</definedName>
    <definedName name="TenorBasis1x6CurveNamesNativeCSA" localSheetId="10">'JPY Curve Config'!$C$23</definedName>
    <definedName name="TenorBasis1x6CurveNamesSTD" localSheetId="9">'GBP Curve Config'!$C$34</definedName>
    <definedName name="TenorBasis1x6CurveNamesSTD" localSheetId="10">'JPY Curve Config'!$C$34</definedName>
    <definedName name="TenorBasis1x6CurveNamesXCCY" localSheetId="9">'GBP Curve Config'!$C$43</definedName>
    <definedName name="TenorBasis1x6CurveNamesXCCY" localSheetId="10">'JPY Curve Config'!$C$43</definedName>
    <definedName name="TenorBasis1x6CurveNamesXCCYandFWDFX" localSheetId="9">'GBP Curve Config'!$C$63</definedName>
    <definedName name="TenorBasis1x6CurveNamesXCCYandFWDFX" localSheetId="10">'JPY Curve Config'!$C$63</definedName>
    <definedName name="TenorBasis3x12CurveNamesCombined">'USD Curve Config'!$C$12</definedName>
    <definedName name="TenorBasis3x12CurveNamesFWDFX">'USD Curve Config'!$C$54</definedName>
    <definedName name="TenorBasis3x12CurveNamesNativeCSA">'USD Curve Config'!$C$24</definedName>
    <definedName name="TenorBasis3x12CurveNamesSTD">'USD Curve Config'!$C$35</definedName>
    <definedName name="TenorBasis3x12CurveNamesXCCY">'USD Curve Config'!$C$44</definedName>
    <definedName name="TenorBasis3x12CurveNamesXCCYandFWDFX">'USD Curve Config'!$C$64</definedName>
    <definedName name="TenorBasis3x6CurveNamesCombined" localSheetId="7">'EUR Curve Config'!$C$10</definedName>
    <definedName name="TenorBasis3x6CurveNamesCombined" localSheetId="9">'GBP Curve Config'!$C$10</definedName>
    <definedName name="TenorBasis3x6CurveNamesCombined" localSheetId="10">'JPY Curve Config'!$C$10</definedName>
    <definedName name="TenorBasis3x6CurveNamesCombined">'USD Curve Config'!$C$10</definedName>
    <definedName name="TenorBasis3x6CurveNamesFWDFX" localSheetId="7">'EUR Curve Config'!$C$52</definedName>
    <definedName name="TenorBasis3x6CurveNamesFWDFX" localSheetId="9">'GBP Curve Config'!$C$52</definedName>
    <definedName name="TenorBasis3x6CurveNamesFWDFX" localSheetId="10">'JPY Curve Config'!$C$52</definedName>
    <definedName name="TenorBasis3x6CurveNamesFWDFX">'USD Curve Config'!$C$52</definedName>
    <definedName name="TenorBasis3x6CurveNamesNativeCSA" localSheetId="7">'EUR Curve Config'!$C$22</definedName>
    <definedName name="TenorBasis3x6CurveNamesNativeCSA" localSheetId="9">'GBP Curve Config'!$C$22</definedName>
    <definedName name="TenorBasis3x6CurveNamesNativeCSA" localSheetId="10">'JPY Curve Config'!$C$22</definedName>
    <definedName name="TenorBasis3x6CurveNamesNativeCSA">'USD Curve Config'!$C$22</definedName>
    <definedName name="TenorBasis3x6CurveNamesSTD" localSheetId="7">'EUR Curve Config'!$C$33</definedName>
    <definedName name="TenorBasis3x6CurveNamesSTD" localSheetId="9">'GBP Curve Config'!$C$33</definedName>
    <definedName name="TenorBasis3x6CurveNamesSTD" localSheetId="10">'JPY Curve Config'!$C$33</definedName>
    <definedName name="TenorBasis3x6CurveNamesSTD">'USD Curve Config'!$C$33</definedName>
    <definedName name="TenorBasis3x6CurveNamesXCCY" localSheetId="7">'EUR Curve Config'!$C$42</definedName>
    <definedName name="TenorBasis3x6CurveNamesXCCY" localSheetId="9">'GBP Curve Config'!$C$42</definedName>
    <definedName name="TenorBasis3x6CurveNamesXCCY" localSheetId="10">'JPY Curve Config'!$C$42</definedName>
    <definedName name="TenorBasis3x6CurveNamesXCCY">'USD Curve Config'!$C$42</definedName>
    <definedName name="TenorBasis3x6CurveNamesXCCYandFWDFX" localSheetId="7">'EUR Curve Config'!$C$62</definedName>
    <definedName name="TenorBasis3x6CurveNamesXCCYandFWDFX" localSheetId="9">'GBP Curve Config'!$C$62</definedName>
    <definedName name="TenorBasis3x6CurveNamesXCCYandFWDFX" localSheetId="10">'JPY Curve Config'!$C$62</definedName>
    <definedName name="TenorBasis3x6CurveNamesXCCYandFWDFX">'USD Curve Config'!$C$62</definedName>
    <definedName name="TenorBasis6x12CurveNamesCombined" localSheetId="7">'EUR Curve Config'!$C$12</definedName>
    <definedName name="TenorBasis6x12CurveNamesCombined" localSheetId="9">'GBP Curve Config'!$C$12</definedName>
    <definedName name="TenorBasis6x12CurveNamesCombined" localSheetId="10">'JPY Curve Config'!$C$12</definedName>
    <definedName name="TenorBasis6x12CurveNamesFWDFX" localSheetId="7">'EUR Curve Config'!$C$54</definedName>
    <definedName name="TenorBasis6x12CurveNamesFWDFX" localSheetId="9">'GBP Curve Config'!$C$54</definedName>
    <definedName name="TenorBasis6x12CurveNamesFWDFX" localSheetId="10">'JPY Curve Config'!$C$54</definedName>
    <definedName name="TenorBasis6x12CurveNamesNativeCSA" localSheetId="7">'EUR Curve Config'!$C$24</definedName>
    <definedName name="TenorBasis6x12CurveNamesNativeCSA" localSheetId="9">'GBP Curve Config'!$C$24</definedName>
    <definedName name="TenorBasis6x12CurveNamesNativeCSA" localSheetId="10">'JPY Curve Config'!$C$24</definedName>
    <definedName name="TenorBasis6x12CurveNamesSTD" localSheetId="7">'EUR Curve Config'!$C$35</definedName>
    <definedName name="TenorBasis6x12CurveNamesSTD" localSheetId="9">'GBP Curve Config'!$C$35</definedName>
    <definedName name="TenorBasis6x12CurveNamesSTD" localSheetId="10">'JPY Curve Config'!$C$35</definedName>
    <definedName name="TenorBasis6x12CurveNamesXCCY" localSheetId="7">'EUR Curve Config'!$C$44</definedName>
    <definedName name="TenorBasis6x12CurveNamesXCCY" localSheetId="9">'GBP Curve Config'!$C$44</definedName>
    <definedName name="TenorBasis6x12CurveNamesXCCY" localSheetId="10">'JPY Curve Config'!$C$44</definedName>
    <definedName name="TenorBasis6x12CurveNamesXCCY">'USD Curve Config'!$C$44</definedName>
    <definedName name="TenorBasis6x12CurveNamesXCCYandFWDFX" localSheetId="7">'EUR Curve Config'!$C$64</definedName>
    <definedName name="TenorBasis6x12CurveNamesXCCYandFWDFX" localSheetId="9">'GBP Curve Config'!$C$64</definedName>
    <definedName name="TenorBasis6x12CurveNamesXCCYandFWDFX" localSheetId="10">'JPY Curve Config'!$C$64</definedName>
    <definedName name="TenorBasis6x12CurveNamesXCCYandFWDFX">'USD Curve Config'!$C$64</definedName>
    <definedName name="Tickers.OIS.EUR">'Instrument Data'!$B$120:$B$219</definedName>
    <definedName name="Tickers.OIS.GBP">'Instrument Data'!$B$227:$B$326</definedName>
    <definedName name="Tickers.OIS.JPY">'Instrument Data'!$B$334:$B$433</definedName>
    <definedName name="Tickers.OIS.USD">'Instrument Data'!$B$13:$B$112</definedName>
    <definedName name="Tickers.Swaps.EUR">'Instrument Data'!$I$120:$I$219</definedName>
    <definedName name="Tickers.Swaps.GBP">'Instrument Data'!$I$227:$I$326</definedName>
    <definedName name="Tickers.Swaps.JPY">'Instrument Data'!$I$334:$I$433</definedName>
    <definedName name="Tickers.Swaps.USD">'Instrument Data'!$I$13:$I$112</definedName>
    <definedName name="Tickers.TenorBasis1.EUR">'Instrument Data'!$R$120:$R$219</definedName>
    <definedName name="Tickers.TenorBasis1.GBP">'Instrument Data'!$R$227:$R$326</definedName>
    <definedName name="Tickers.TenorBasis1.JPY">'Instrument Data'!$R$334:$R$433</definedName>
    <definedName name="Tickers.TenorBasis1.USD">'Instrument Data'!$R$13:$R$112</definedName>
    <definedName name="Tickers.TenorBasis2.EUR">'Instrument Data'!$Y$120:$Y$219</definedName>
    <definedName name="Tickers.TenorBasis2.GBP">'Instrument Data'!$Y$227:$Y$326</definedName>
    <definedName name="Tickers.TenorBasis2.JPY">'Instrument Data'!$Y$334:$Y$433</definedName>
    <definedName name="Tickers.TenorBasis2.USD">'Instrument Data'!$Y$13:$Y$112</definedName>
    <definedName name="Tickers.TenorBasis3.EUR">'Instrument Data'!$AF$120:$AF$219</definedName>
    <definedName name="Tickers.TenorBasis3.GBP">'Instrument Data'!$AF$227:$AF$326</definedName>
    <definedName name="Tickers.TenorBasis3.JPY">'Instrument Data'!$AF$334:$AF$433</definedName>
    <definedName name="Tickers.TenorBasis3.USD">'Instrument Data'!$AF$13:$AF$112</definedName>
    <definedName name="Tickers.XccyBasis.EUR">'Instrument Data'!$AM$120:$AM$219</definedName>
    <definedName name="Tickers.XccyBasis.GBP">'Instrument Data'!$AM$227:$AM$326</definedName>
    <definedName name="Tickers.XccyBasis.JPY">'Instrument Data'!$AM$334:$AM$433</definedName>
    <definedName name="Tickers.XccyBasis.USD">'Instrument Data'!$AM$13:$AM$112</definedName>
    <definedName name="USD_COB">'Standard Swap Pricing'!$B$155</definedName>
    <definedName name="USD_DATA" localSheetId="2">'Instrument Data'!$9:$115</definedName>
    <definedName name="USD_DATA" localSheetId="1">Instruments!$10:$116</definedName>
    <definedName name="USDAccrualCalendar">'Standard Swap Pricing'!$B$158</definedName>
    <definedName name="USDBusinessDayAdjustment">'Standard Swap Pricing'!$B$156</definedName>
    <definedName name="USDFixingCalendar">'Standard Swap Pricing'!$B$157</definedName>
    <definedName name="VNS" localSheetId="40">'EUR VNS'!$C$4</definedName>
    <definedName name="VNS" localSheetId="44">'GBP VNS'!$C$4</definedName>
    <definedName name="VNS" localSheetId="46">'JPY VNS'!$C$4</definedName>
    <definedName name="VNS" localSheetId="42">'USD VNS'!$C$4</definedName>
    <definedName name="VNS.CreateSchedules" localSheetId="39">'EUR VNS Schedules'!$C$3:$C$4</definedName>
    <definedName name="VNS.CreateSchedules" localSheetId="43">'GBP VNS Schedules'!$C$3:$C$4</definedName>
    <definedName name="VNS.CreateSchedules" localSheetId="45">'JPY VNS Schedules'!$C$3:$C$4</definedName>
    <definedName name="VNS.CreateSchedules" localSheetId="41">'USD VNS Schedules'!$C$3:$C$4</definedName>
    <definedName name="VNS.Daycount.Fixed" localSheetId="39">'EUR VNS Schedules'!$C$22</definedName>
    <definedName name="VNS.Daycount.Fixed" localSheetId="43">'GBP VNS Schedules'!$C$22</definedName>
    <definedName name="VNS.Daycount.Fixed" localSheetId="45">'JPY VNS Schedules'!$C$22</definedName>
    <definedName name="VNS.Daycount.Fixed" localSheetId="41">'USD VNS Schedules'!$C$22</definedName>
    <definedName name="VNS.Daycount.Float" localSheetId="39">'EUR VNS Schedules'!$C$42</definedName>
    <definedName name="VNS.Daycount.Float" localSheetId="43">'GBP VNS Schedules'!$C$42</definedName>
    <definedName name="VNS.Daycount.Float" localSheetId="45">'JPY VNS Schedules'!$C$42</definedName>
    <definedName name="VNS.Daycount.Float" localSheetId="41">'USD VNS Schedules'!$C$42</definedName>
    <definedName name="VNS.FixedAmortization" localSheetId="39">'EUR VNS Schedules'!$AC$14</definedName>
    <definedName name="VNS.FixedAmortization" localSheetId="43">'GBP VNS Schedules'!$AC$14</definedName>
    <definedName name="VNS.FixedAmortization" localSheetId="45">'JPY VNS Schedules'!$AC$14</definedName>
    <definedName name="VNS.FixedAmortization" localSheetId="41">'USD VNS Schedules'!$AC$14</definedName>
    <definedName name="VNS.FixedAmortization.Frequency" localSheetId="39">'EUR VNS Schedules'!$AC$15</definedName>
    <definedName name="VNS.FixedAmortization.Frequency" localSheetId="43">'GBP VNS Schedules'!$AC$15</definedName>
    <definedName name="VNS.FixedAmortization.Frequency" localSheetId="45">'JPY VNS Schedules'!$AC$15</definedName>
    <definedName name="VNS.FixedAmortization.Frequency" localSheetId="41">'USD VNS Schedules'!$AC$15</definedName>
    <definedName name="VNS.FixedCashflow.Count" localSheetId="39">'EUR VNS Schedules'!$AC$12</definedName>
    <definedName name="VNS.FixedCashflow.Count" localSheetId="43">'GBP VNS Schedules'!$AC$12</definedName>
    <definedName name="VNS.FixedCashflow.Count" localSheetId="45">'JPY VNS Schedules'!$AC$12</definedName>
    <definedName name="VNS.FixedCashflow.Count" localSheetId="41">'USD VNS Schedules'!$AC$12</definedName>
    <definedName name="VNS.FixedCashflowSchedule" localSheetId="39">'EUR VNS Schedules'!$AB$18:OFFSET('EUR VNS Schedules'!$AJ$18,'EUR VNS Schedules'!$AC$12,0)</definedName>
    <definedName name="VNS.FixedCashflowSchedule" localSheetId="43">'GBP VNS Schedules'!$AB$18:OFFSET('GBP VNS Schedules'!$AJ$18,'GBP VNS Schedules'!$AC$12,0)</definedName>
    <definedName name="VNS.FixedCashflowSchedule" localSheetId="45">'JPY VNS Schedules'!$AB$18:OFFSET('JPY VNS Schedules'!$AJ$18,'JPY VNS Schedules'!$AC$12,0)</definedName>
    <definedName name="VNS.FixedCashflowSchedule" localSheetId="41">'USD VNS Schedules'!$AB$18:OFFSET('USD VNS Schedules'!$AJ$18,'USD VNS Schedules'!$AC$12,0)</definedName>
    <definedName name="VNS.FixedLegTemplate" localSheetId="39">'EUR VNS Schedules'!$AA:$AI</definedName>
    <definedName name="VNS.FixedLegTemplate" localSheetId="43">'GBP VNS Schedules'!$AA:$AJ</definedName>
    <definedName name="VNS.FixedLegTemplate" localSheetId="45">'JPY VNS Schedules'!$AA:$AJ</definedName>
    <definedName name="VNS.FixedLegTemplate" localSheetId="41">'USD VNS Schedules'!$AA:$AJ</definedName>
    <definedName name="VNS.FixedRate" localSheetId="39">'EUR VNS Schedules'!$C$16</definedName>
    <definedName name="VNS.FixedRate" localSheetId="43">'GBP VNS Schedules'!$C$16</definedName>
    <definedName name="VNS.FixedRate" localSheetId="45">'JPY VNS Schedules'!$C$16</definedName>
    <definedName name="VNS.FixedRate" localSheetId="41">'USD VNS Schedules'!$C$16</definedName>
    <definedName name="VNS.FixedSchedule.Copy" localSheetId="39">'EUR VNS Schedules'!$F$18:$N$518</definedName>
    <definedName name="VNS.FixedSchedule.Copy" localSheetId="43">'GBP VNS Schedules'!$F$18:$N$518</definedName>
    <definedName name="VNS.FixedSchedule.Copy" localSheetId="45">'JPY VNS Schedules'!$F$18:$N$518</definedName>
    <definedName name="VNS.FixedSchedule.Copy" localSheetId="41">'USD VNS Schedules'!$F$18:$N$518</definedName>
    <definedName name="VNS.FixedSchedule.Paste" localSheetId="39">'EUR VNS Schedules'!$AB$18:$AJ$518</definedName>
    <definedName name="VNS.FixedSchedule.Paste" localSheetId="43">'GBP VNS Schedules'!$AB$18:$AJ$518</definedName>
    <definedName name="VNS.FixedSchedule.Paste" localSheetId="45">'JPY VNS Schedules'!$AB$18:$AJ$518</definedName>
    <definedName name="VNS.FixedSchedule.Paste" localSheetId="41">'USD VNS Schedules'!$AB$18:$AJ$518</definedName>
    <definedName name="VNS.FixedSchedule.Properties" localSheetId="39">'EUR VNS Schedules'!$AI$8:$AJ$14</definedName>
    <definedName name="VNS.FixedSchedule.Properties" localSheetId="43">'GBP VNS Schedules'!$AI$8:$AJ$14</definedName>
    <definedName name="VNS.FixedSchedule.Properties" localSheetId="45">'JPY VNS Schedules'!$AI$8:$AJ$14</definedName>
    <definedName name="VNS.FixedSchedule.Properties" localSheetId="41">'USD VNS Schedules'!$AI$8:$AJ$14</definedName>
    <definedName name="VNS.FloatAmortization" localSheetId="39">'EUR VNS Schedules'!$AN$14</definedName>
    <definedName name="VNS.FloatAmortization" localSheetId="43">'GBP VNS Schedules'!$AN$14</definedName>
    <definedName name="VNS.FloatAmortization" localSheetId="45">'JPY VNS Schedules'!$AN$14</definedName>
    <definedName name="VNS.FloatAmortization" localSheetId="41">'USD VNS Schedules'!$AN$14</definedName>
    <definedName name="VNS.FloatAmortization.Frequency" localSheetId="39">'EUR VNS Schedules'!$AN$15</definedName>
    <definedName name="VNS.FloatAmortization.Frequency" localSheetId="43">'GBP VNS Schedules'!$AN$15</definedName>
    <definedName name="VNS.FloatAmortization.Frequency" localSheetId="45">'JPY VNS Schedules'!$AN$15</definedName>
    <definedName name="VNS.FloatAmortization.Frequency" localSheetId="41">'USD VNS Schedules'!$AN$15</definedName>
    <definedName name="VNS.FloatCashflow.Count" localSheetId="39">'EUR VNS Schedules'!$AN$12</definedName>
    <definedName name="VNS.FloatCashflow.Count" localSheetId="43">'GBP VNS Schedules'!$AN$12</definedName>
    <definedName name="VNS.FloatCashflow.Count" localSheetId="45">'JPY VNS Schedules'!$AN$12</definedName>
    <definedName name="VNS.FloatCashflow.Count" localSheetId="41">'USD VNS Schedules'!$AN$12</definedName>
    <definedName name="VNS.FloatCashflowSchedule" localSheetId="39">'EUR VNS Schedules'!$AM$18:OFFSET('EUR VNS Schedules'!$AU$18,'EUR VNS Schedules'!$AN$12,0)</definedName>
    <definedName name="VNS.FloatCashflowSchedule" localSheetId="43">'GBP VNS Schedules'!$AM$18:OFFSET('GBP VNS Schedules'!$AU$18,'GBP VNS Schedules'!$AN$12,0)</definedName>
    <definedName name="VNS.FloatCashflowSchedule" localSheetId="45">'JPY VNS Schedules'!$AM$18:OFFSET('JPY VNS Schedules'!$AU$18,'JPY VNS Schedules'!$AN$12,0)</definedName>
    <definedName name="VNS.FloatCashflowSchedule" localSheetId="41">'USD VNS Schedules'!$AM$18:OFFSET('USD VNS Schedules'!$AU$18,'USD VNS Schedules'!$AN$12,0)</definedName>
    <definedName name="VNS.FloatLegTemplate" localSheetId="39">'EUR VNS Schedules'!$AL:$AU</definedName>
    <definedName name="VNS.FloatLegTemplate" localSheetId="43">'GBP VNS Schedules'!$AL:$AU</definedName>
    <definedName name="VNS.FloatLegTemplate" localSheetId="45">'JPY VNS Schedules'!$AL:$AU</definedName>
    <definedName name="VNS.FloatLegTemplate" localSheetId="41">'USD VNS Schedules'!$AL:$AU</definedName>
    <definedName name="VNS.FloatSchedule.Copy" localSheetId="39">'EUR VNS Schedules'!$Q$18:$Y$518</definedName>
    <definedName name="VNS.FloatSchedule.Copy" localSheetId="43">'GBP VNS Schedules'!$Q$18:$Y$518</definedName>
    <definedName name="VNS.FloatSchedule.Copy" localSheetId="45">'JPY VNS Schedules'!$Q$18:$Y$518</definedName>
    <definedName name="VNS.FloatSchedule.Copy" localSheetId="41">'USD VNS Schedules'!$Q$18:$Y$518</definedName>
    <definedName name="VNS.FloatSchedule.Paste" localSheetId="39">'EUR VNS Schedules'!$AM$18:$AU$518</definedName>
    <definedName name="VNS.FloatSchedule.Paste" localSheetId="43">'GBP VNS Schedules'!$AM$18:$AU$518</definedName>
    <definedName name="VNS.FloatSchedule.Paste" localSheetId="45">'JPY VNS Schedules'!$AM$18:$AU$518</definedName>
    <definedName name="VNS.FloatSchedule.Paste" localSheetId="41">'USD VNS Schedules'!$AM$18:$AU$518</definedName>
    <definedName name="VNS.FloatSchedule.Properties" localSheetId="39">'EUR VNS Schedules'!$AT$8:$AU$14</definedName>
    <definedName name="VNS.FloatSchedule.Properties" localSheetId="43">'GBP VNS Schedules'!$AT$8:$AU$14</definedName>
    <definedName name="VNS.FloatSchedule.Properties" localSheetId="45">'JPY VNS Schedules'!$AT$8:$AU$14</definedName>
    <definedName name="VNS.FloatSchedule.Properties" localSheetId="41">'USD VNS Schedules'!$AT$8:$AU$14</definedName>
    <definedName name="VNS.FloatSpread" localSheetId="39">'EUR VNS Schedules'!$C$17</definedName>
    <definedName name="VNS.FloatSpread" localSheetId="43">'GBP VNS Schedules'!$C$17</definedName>
    <definedName name="VNS.FloatSpread" localSheetId="45">'JPY VNS Schedules'!$C$17</definedName>
    <definedName name="VNS.FloatSpread" localSheetId="41">'USD VNS Schedules'!$C$17</definedName>
    <definedName name="VNS.Notional.Upfront" localSheetId="39">'EUR VNS Schedules'!$C$15</definedName>
    <definedName name="VNS.Notional.Upfront" localSheetId="43">'GBP VNS Schedules'!$C$15</definedName>
    <definedName name="VNS.Notional.Upfront" localSheetId="45">'JPY VNS Schedules'!$C$15</definedName>
    <definedName name="VNS.Notional.Upfront" localSheetId="41">'USD VNS Schedules'!$C$15</definedName>
    <definedName name="VNS.Schedules.AllRows" localSheetId="39">'EUR VNS Schedules'!$5:$519</definedName>
    <definedName name="VNS.Schedules.AllRows" localSheetId="43">'GBP VNS Schedules'!$5:$519</definedName>
    <definedName name="VNS.Schedules.AllRows" localSheetId="45">'JPY VNS Schedules'!$5:$519</definedName>
    <definedName name="VNS.Schedules.AllRows" localSheetId="41">'USD VNS Schedules'!$5:$519</definedName>
    <definedName name="XccyBasisConv">'USD Curve Config'!$CB$9:$CC$78</definedName>
    <definedName name="XccyBasisConvEURCSA" localSheetId="7">'EUR Curve Config'!$CE$9:$CF$78</definedName>
    <definedName name="XccyBasisConvEURCSA" localSheetId="9">'GBP Curve Config'!$CE$9:$CF$78</definedName>
    <definedName name="XccyBasisConvEURCSA" localSheetId="10">'JPY Curve Config'!$CE$9:$CF$78</definedName>
    <definedName name="XccyBasisConvEURCSA">'USD Curve Config'!$CE$9:$CF$78</definedName>
    <definedName name="XccyBasisConvGBPCSA" localSheetId="7">'EUR Curve Config'!$CH$9:$CI$78</definedName>
    <definedName name="XccyBasisConvGBPCSA" localSheetId="9">'GBP Curve Config'!$CH$9:$CI$78</definedName>
    <definedName name="XccyBasisConvGBPCSA" localSheetId="10">'JPY Curve Config'!$CH$9:$CI$78</definedName>
    <definedName name="XccyBasisConvGBPCSA">'USD Curve Config'!$CH$9:$CI$78</definedName>
    <definedName name="XccyBasisConvJPYCSA" localSheetId="7">'EUR Curve Config'!$CK$9:$CL$78</definedName>
    <definedName name="XccyBasisConvJPYCSA" localSheetId="9">'GBP Curve Config'!$CK$9:$CL$78</definedName>
    <definedName name="XccyBasisConvJPYCSA" localSheetId="10">'JPY Curve Config'!$CK$9:$CL$78</definedName>
    <definedName name="XccyBasisConvJPYCSA">'USD Curve Config'!$CK$9:$CL$78</definedName>
    <definedName name="XccyBasisConvUSDCSA" localSheetId="7">'EUR Curve Config'!$CB$9:$CC$78</definedName>
    <definedName name="XccyBasisConvUSDCSA" localSheetId="9">'GBP Curve Config'!$CB$9:$CC$78</definedName>
    <definedName name="XccyBasisConvUSDCSA" localSheetId="10">'JPY Curve Config'!$CB$9:$CC$78</definedName>
    <definedName name="XccyBasisConvUSDCSA">'USD Curve Config'!$CB$9:$CC$78</definedName>
    <definedName name="XccyBasisCurveNamesCombined" localSheetId="7">'EUR Curve Config'!$C$13</definedName>
    <definedName name="XccyBasisCurveNamesCombined" localSheetId="9">'GBP Curve Config'!$C$13</definedName>
    <definedName name="XccyBasisCurveNamesCombined" localSheetId="10">'JPY Curve Config'!$C$13</definedName>
    <definedName name="XccyBasisCurveNamesCombined">'USD Curve Config'!$C$13</definedName>
    <definedName name="XccyBasisCurveNamesNativeCSA" localSheetId="7">'EUR Curve Config'!$C$25</definedName>
    <definedName name="XccyBasisCurveNamesNativeCSA" localSheetId="9">'GBP Curve Config'!$C$25</definedName>
    <definedName name="XccyBasisCurveNamesNativeCSA" localSheetId="10">'JPY Curve Config'!$C$25</definedName>
    <definedName name="XccyBasisCurveNamesNativeCSA">'USD Curve Config'!$C$25</definedName>
    <definedName name="XccyBasisCurveNamesXCCY" localSheetId="7">'EUR Curve Config'!$C$45</definedName>
    <definedName name="XccyBasisCurveNamesXCCY" localSheetId="9">'GBP Curve Config'!$C$45</definedName>
    <definedName name="XccyBasisCurveNamesXCCY" localSheetId="10">'JPY Curve Config'!$C$45</definedName>
    <definedName name="XccyBasisCurveNamesXCCY">'USD Curve Config'!$C$45</definedName>
    <definedName name="XccyBasisCurveNamesXCCYandFWDFX" localSheetId="7">'EUR Curve Config'!$C$65</definedName>
    <definedName name="XccyBasisCurveNamesXCCYandFWDFX" localSheetId="9">'GBP Curve Config'!$C$65</definedName>
    <definedName name="XccyBasisCurveNamesXCCYandFWDFX" localSheetId="10">'JPY Curve Config'!$C$65</definedName>
    <definedName name="XccyBasisCurveNamesXCCYandFWDFX">'USD Curve Config'!$C$65</definedName>
    <definedName name="XccyBasisData" localSheetId="7">'EUR Curve Config'!$CN$9:$CO$78</definedName>
    <definedName name="XccyBasisData" localSheetId="9">'GBP Curve Config'!$CN$9:$CO$78</definedName>
    <definedName name="XccyBasisData" localSheetId="10">'JPY Curve Config'!$CN$9:$CO$78</definedName>
    <definedName name="XccyBasisData">'USD Curve Config'!$CE$9:$CF$78</definedName>
    <definedName name="XccyBasisProperties" localSheetId="7">'EUR Curve Config'!$BY$8:$BZ$78</definedName>
    <definedName name="XccyBasisProperties" localSheetId="9">'GBP Curve Config'!$BY$8:$BZ$78</definedName>
    <definedName name="XccyBasisProperties" localSheetId="10">'JPY Curve Config'!$BY$8:$BZ$78</definedName>
    <definedName name="XccyBasisProperties">'USD Curve Config'!$BY$8:$BZ$78</definedName>
    <definedName name="YieldCurvePropertiesOIS" localSheetId="7">'EUR Curve Config'!$G$8:$H$24</definedName>
    <definedName name="YieldCurvePropertiesOIS" localSheetId="9">'GBP Curve Config'!$G$8:$H$25</definedName>
    <definedName name="YieldCurvePropertiesOIS" localSheetId="10">'JPY Curve Config'!$G$8:$H$24</definedName>
    <definedName name="YieldCurvePropertiesOIS">'USD Curve Config'!$G$8:$H$24</definedName>
    <definedName name="YieldCurvePropertiesSTD" localSheetId="7">'EUR Curve Config'!$AH$8:$AI$78</definedName>
    <definedName name="YieldCurvePropertiesSTD" localSheetId="9">'GBP Curve Config'!$AH$8:$AI$78</definedName>
    <definedName name="YieldCurvePropertiesSTD" localSheetId="10">'JPY Curve Config'!$AH$8:$AI$78</definedName>
    <definedName name="YieldCurvePropertiesSTD">'USD Curve Config'!$AH$8:$AI$78</definedName>
    <definedName name="YieldCurvePropertiesTenorBasis" localSheetId="7">'EUR Curve Config'!$BD$8:$BE$78</definedName>
    <definedName name="YieldCurvePropertiesTenorBasis" localSheetId="9">'GBP Curve Config'!$BD$8:$BE$78</definedName>
    <definedName name="YieldCurvePropertiesTenorBasis" localSheetId="10">'JPY Curve Config'!$BD$8:$BE$78</definedName>
    <definedName name="YieldCurvePropertiesTenorBasis">'USD Curve Config'!$BD$8:$BE$78</definedName>
    <definedName name="YieldCurvePropertiesXccyBasis" localSheetId="7">'EUR Curve Config'!$BY$8:$BZ$78</definedName>
    <definedName name="YieldCurvePropertiesXccyBasis" localSheetId="9">'GBP Curve Config'!$BY$8:$BZ$78</definedName>
    <definedName name="YieldCurvePropertiesXccyBasis" localSheetId="10">'JPY Curve Config'!$BY$8:$BZ$78</definedName>
    <definedName name="YieldCurvePropertiesXccyBasis">'USD Curve Config'!$BY$8:$BZ$78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T7" i="198" l="1"/>
  <c r="T8" i="198"/>
  <c r="T9" i="198"/>
  <c r="T10" i="198"/>
  <c r="T11" i="198"/>
  <c r="T12" i="198"/>
  <c r="T13" i="198"/>
  <c r="T14" i="198"/>
  <c r="T15" i="198"/>
  <c r="T16" i="198"/>
  <c r="T17" i="198"/>
  <c r="T18" i="198"/>
  <c r="T19" i="198"/>
  <c r="T20" i="198"/>
  <c r="T21" i="198"/>
  <c r="T22" i="198"/>
  <c r="B42" i="198" l="1"/>
  <c r="B41" i="198"/>
  <c r="B40" i="198"/>
  <c r="B39" i="198"/>
  <c r="B38" i="198"/>
  <c r="B37" i="198"/>
  <c r="B36" i="198"/>
  <c r="B35" i="198"/>
  <c r="B34" i="198"/>
  <c r="B33" i="198"/>
  <c r="B32" i="198"/>
  <c r="B31" i="198"/>
  <c r="B30" i="198"/>
  <c r="B29" i="198"/>
  <c r="B28" i="198"/>
  <c r="B27" i="198"/>
  <c r="B26" i="198"/>
  <c r="B25" i="198"/>
  <c r="B24" i="198"/>
  <c r="B23" i="198"/>
  <c r="N42" i="198"/>
  <c r="M42" i="198"/>
  <c r="Q42" i="198" s="1"/>
  <c r="C42" i="198"/>
  <c r="N41" i="198"/>
  <c r="M41" i="198"/>
  <c r="Q41" i="198" s="1"/>
  <c r="C41" i="198"/>
  <c r="N40" i="198"/>
  <c r="M40" i="198"/>
  <c r="P40" i="198" s="1"/>
  <c r="C40" i="198"/>
  <c r="N39" i="198"/>
  <c r="M39" i="198"/>
  <c r="P39" i="198" s="1"/>
  <c r="C39" i="198"/>
  <c r="N38" i="198"/>
  <c r="M38" i="198"/>
  <c r="Q38" i="198" s="1"/>
  <c r="C38" i="198"/>
  <c r="N37" i="198"/>
  <c r="M37" i="198"/>
  <c r="Q37" i="198" s="1"/>
  <c r="C37" i="198"/>
  <c r="N36" i="198"/>
  <c r="M36" i="198"/>
  <c r="P36" i="198" s="1"/>
  <c r="C36" i="198"/>
  <c r="N35" i="198"/>
  <c r="M35" i="198"/>
  <c r="P35" i="198" s="1"/>
  <c r="C35" i="198"/>
  <c r="N34" i="198"/>
  <c r="M34" i="198"/>
  <c r="Q34" i="198" s="1"/>
  <c r="C34" i="198"/>
  <c r="N33" i="198"/>
  <c r="M33" i="198"/>
  <c r="Q33" i="198" s="1"/>
  <c r="C33" i="198"/>
  <c r="N32" i="198"/>
  <c r="M32" i="198"/>
  <c r="Q32" i="198" s="1"/>
  <c r="C32" i="198"/>
  <c r="N31" i="198"/>
  <c r="M31" i="198"/>
  <c r="O31" i="198" s="1"/>
  <c r="C31" i="198"/>
  <c r="N30" i="198"/>
  <c r="M30" i="198"/>
  <c r="Q30" i="198" s="1"/>
  <c r="C30" i="198"/>
  <c r="N29" i="198"/>
  <c r="M29" i="198"/>
  <c r="Q29" i="198" s="1"/>
  <c r="C29" i="198"/>
  <c r="N28" i="198"/>
  <c r="M28" i="198"/>
  <c r="O28" i="198" s="1"/>
  <c r="C28" i="198"/>
  <c r="N27" i="198"/>
  <c r="M27" i="198"/>
  <c r="Q27" i="198" s="1"/>
  <c r="C27" i="198"/>
  <c r="N26" i="198"/>
  <c r="M26" i="198"/>
  <c r="Q26" i="198" s="1"/>
  <c r="C26" i="198"/>
  <c r="N25" i="198"/>
  <c r="M25" i="198"/>
  <c r="Q25" i="198" s="1"/>
  <c r="C25" i="198"/>
  <c r="N24" i="198"/>
  <c r="M24" i="198"/>
  <c r="O24" i="198" s="1"/>
  <c r="C24" i="198"/>
  <c r="N23" i="198"/>
  <c r="M23" i="198"/>
  <c r="P23" i="198" s="1"/>
  <c r="C23" i="198"/>
  <c r="N22" i="198"/>
  <c r="N21" i="198"/>
  <c r="N20" i="198"/>
  <c r="N19" i="198"/>
  <c r="N18" i="198"/>
  <c r="N17" i="198"/>
  <c r="N16" i="198"/>
  <c r="N15" i="198"/>
  <c r="N14" i="198"/>
  <c r="N13" i="198"/>
  <c r="N12" i="198"/>
  <c r="N11" i="198"/>
  <c r="N10" i="198"/>
  <c r="N9" i="198"/>
  <c r="N8" i="198"/>
  <c r="N7" i="198"/>
  <c r="P26" i="198" l="1"/>
  <c r="Q23" i="198"/>
  <c r="O30" i="198"/>
  <c r="Q24" i="198"/>
  <c r="P28" i="198"/>
  <c r="P31" i="198"/>
  <c r="O23" i="198"/>
  <c r="Q31" i="198"/>
  <c r="Q28" i="198"/>
  <c r="P30" i="198"/>
  <c r="Q36" i="198"/>
  <c r="Q40" i="198"/>
  <c r="O27" i="198"/>
  <c r="P27" i="198"/>
  <c r="O35" i="198"/>
  <c r="O39" i="198"/>
  <c r="P24" i="198"/>
  <c r="O26" i="198"/>
  <c r="Q35" i="198"/>
  <c r="P37" i="198"/>
  <c r="Q39" i="198"/>
  <c r="P41" i="198"/>
  <c r="O34" i="198"/>
  <c r="O38" i="198"/>
  <c r="O42" i="198"/>
  <c r="P34" i="198"/>
  <c r="P38" i="198"/>
  <c r="P42" i="198"/>
  <c r="O33" i="198"/>
  <c r="O37" i="198"/>
  <c r="O41" i="198"/>
  <c r="O25" i="198"/>
  <c r="O29" i="198"/>
  <c r="P25" i="198"/>
  <c r="P29" i="198"/>
  <c r="P33" i="198"/>
  <c r="O32" i="198"/>
  <c r="O36" i="198"/>
  <c r="O40" i="198"/>
  <c r="P32" i="198"/>
  <c r="J34" i="195" l="1"/>
  <c r="I34" i="195"/>
  <c r="H34" i="195"/>
  <c r="G34" i="195"/>
  <c r="F34" i="195"/>
  <c r="E34" i="195"/>
  <c r="D34" i="195"/>
  <c r="C34" i="195"/>
  <c r="J32" i="195"/>
  <c r="I32" i="195"/>
  <c r="H32" i="195"/>
  <c r="G32" i="195"/>
  <c r="F32" i="195"/>
  <c r="E32" i="195"/>
  <c r="D32" i="195"/>
  <c r="C32" i="195"/>
  <c r="D28" i="195"/>
  <c r="C28" i="195"/>
  <c r="D21" i="195"/>
  <c r="J6" i="195"/>
  <c r="J28" i="195" s="1"/>
  <c r="H6" i="195"/>
  <c r="H28" i="195" s="1"/>
  <c r="F6" i="195"/>
  <c r="F28" i="195" s="1"/>
  <c r="CV26" i="194"/>
  <c r="CU26" i="194"/>
  <c r="CS26" i="194"/>
  <c r="CR26" i="194"/>
  <c r="CQ26" i="194"/>
  <c r="CM26" i="194"/>
  <c r="CL26" i="194"/>
  <c r="BX26" i="194"/>
  <c r="BW26" i="194"/>
  <c r="BT26" i="194"/>
  <c r="BS26" i="194"/>
  <c r="BR26" i="194"/>
  <c r="BO26" i="194"/>
  <c r="BM26" i="194"/>
  <c r="BL26" i="194"/>
  <c r="BK26" i="194"/>
  <c r="BJ26" i="194"/>
  <c r="BH26" i="194"/>
  <c r="BG26" i="194"/>
  <c r="AS26" i="194"/>
  <c r="AR26" i="194"/>
  <c r="AO26" i="194"/>
  <c r="AN26" i="194"/>
  <c r="AM26" i="194"/>
  <c r="AJ26" i="194"/>
  <c r="AH26" i="194"/>
  <c r="AG26" i="194"/>
  <c r="AF26" i="194"/>
  <c r="AE26" i="194"/>
  <c r="AC26" i="194"/>
  <c r="AB26" i="194"/>
  <c r="J26" i="194"/>
  <c r="CN26" i="194" s="1"/>
  <c r="C26" i="194"/>
  <c r="BV26" i="194" s="1"/>
  <c r="CV25" i="194"/>
  <c r="CU25" i="194"/>
  <c r="CS25" i="194"/>
  <c r="CR25" i="194"/>
  <c r="CQ25" i="194"/>
  <c r="CM25" i="194"/>
  <c r="CL25" i="194"/>
  <c r="BX25" i="194"/>
  <c r="BW25" i="194"/>
  <c r="BT25" i="194"/>
  <c r="BS25" i="194"/>
  <c r="BR25" i="194"/>
  <c r="BO25" i="194"/>
  <c r="BM25" i="194"/>
  <c r="BL25" i="194"/>
  <c r="BK25" i="194"/>
  <c r="BJ25" i="194"/>
  <c r="BH25" i="194"/>
  <c r="BG25" i="194"/>
  <c r="AS25" i="194"/>
  <c r="AR25" i="194"/>
  <c r="AO25" i="194"/>
  <c r="AN25" i="194"/>
  <c r="AM25" i="194"/>
  <c r="AJ25" i="194"/>
  <c r="AH25" i="194"/>
  <c r="AG25" i="194"/>
  <c r="AF25" i="194"/>
  <c r="AE25" i="194"/>
  <c r="AC25" i="194"/>
  <c r="AB25" i="194"/>
  <c r="J25" i="194"/>
  <c r="CN25" i="194" s="1"/>
  <c r="C25" i="194"/>
  <c r="BV25" i="194" s="1"/>
  <c r="CV24" i="194"/>
  <c r="CU24" i="194"/>
  <c r="CS24" i="194"/>
  <c r="CR24" i="194"/>
  <c r="CQ24" i="194"/>
  <c r="CM24" i="194"/>
  <c r="CL24" i="194"/>
  <c r="BX24" i="194"/>
  <c r="BW24" i="194"/>
  <c r="BT24" i="194"/>
  <c r="BS24" i="194"/>
  <c r="BR24" i="194"/>
  <c r="BO24" i="194"/>
  <c r="BM24" i="194"/>
  <c r="BL24" i="194"/>
  <c r="BK24" i="194"/>
  <c r="BJ24" i="194"/>
  <c r="BH24" i="194"/>
  <c r="BG24" i="194"/>
  <c r="AS24" i="194"/>
  <c r="AR24" i="194"/>
  <c r="AO24" i="194"/>
  <c r="AN24" i="194"/>
  <c r="AM24" i="194"/>
  <c r="AJ24" i="194"/>
  <c r="AH24" i="194"/>
  <c r="AG24" i="194"/>
  <c r="AF24" i="194"/>
  <c r="AE24" i="194"/>
  <c r="AC24" i="194"/>
  <c r="AB24" i="194"/>
  <c r="J24" i="194"/>
  <c r="CN24" i="194" s="1"/>
  <c r="C24" i="194"/>
  <c r="BV24" i="194" s="1"/>
  <c r="CV23" i="194"/>
  <c r="CU23" i="194"/>
  <c r="CS23" i="194"/>
  <c r="CR23" i="194"/>
  <c r="CQ23" i="194"/>
  <c r="CM23" i="194"/>
  <c r="CL23" i="194"/>
  <c r="BX23" i="194"/>
  <c r="BW23" i="194"/>
  <c r="BT23" i="194"/>
  <c r="BS23" i="194"/>
  <c r="BR23" i="194"/>
  <c r="BO23" i="194"/>
  <c r="BM23" i="194"/>
  <c r="BL23" i="194"/>
  <c r="BK23" i="194"/>
  <c r="BJ23" i="194"/>
  <c r="BH23" i="194"/>
  <c r="BG23" i="194"/>
  <c r="AS23" i="194"/>
  <c r="AR23" i="194"/>
  <c r="AO23" i="194"/>
  <c r="AN23" i="194"/>
  <c r="AM23" i="194"/>
  <c r="AJ23" i="194"/>
  <c r="AH23" i="194"/>
  <c r="AG23" i="194"/>
  <c r="AF23" i="194"/>
  <c r="AE23" i="194"/>
  <c r="AC23" i="194"/>
  <c r="AB23" i="194"/>
  <c r="J23" i="194"/>
  <c r="CN23" i="194" s="1"/>
  <c r="C23" i="194"/>
  <c r="BV23" i="194" s="1"/>
  <c r="CV22" i="194"/>
  <c r="CU22" i="194"/>
  <c r="CS22" i="194"/>
  <c r="CR22" i="194"/>
  <c r="CQ22" i="194"/>
  <c r="CM22" i="194"/>
  <c r="CL22" i="194"/>
  <c r="BX22" i="194"/>
  <c r="BW22" i="194"/>
  <c r="BT22" i="194"/>
  <c r="BS22" i="194"/>
  <c r="BR22" i="194"/>
  <c r="BO22" i="194"/>
  <c r="BM22" i="194"/>
  <c r="BL22" i="194"/>
  <c r="BK22" i="194"/>
  <c r="BJ22" i="194"/>
  <c r="BH22" i="194"/>
  <c r="BG22" i="194"/>
  <c r="AS22" i="194"/>
  <c r="AR22" i="194"/>
  <c r="AO22" i="194"/>
  <c r="AN22" i="194"/>
  <c r="AM22" i="194"/>
  <c r="AJ22" i="194"/>
  <c r="AH22" i="194"/>
  <c r="AG22" i="194"/>
  <c r="AF22" i="194"/>
  <c r="AE22" i="194"/>
  <c r="AC22" i="194"/>
  <c r="AB22" i="194"/>
  <c r="J22" i="194"/>
  <c r="CN22" i="194" s="1"/>
  <c r="C22" i="194"/>
  <c r="BV22" i="194" s="1"/>
  <c r="CV21" i="194"/>
  <c r="CU21" i="194"/>
  <c r="CS21" i="194"/>
  <c r="CR21" i="194"/>
  <c r="CQ21" i="194"/>
  <c r="CM21" i="194"/>
  <c r="CL21" i="194"/>
  <c r="BX21" i="194"/>
  <c r="BW21" i="194"/>
  <c r="BT21" i="194"/>
  <c r="BS21" i="194"/>
  <c r="BR21" i="194"/>
  <c r="BO21" i="194"/>
  <c r="BM21" i="194"/>
  <c r="BL21" i="194"/>
  <c r="BK21" i="194"/>
  <c r="BJ21" i="194"/>
  <c r="BH21" i="194"/>
  <c r="BG21" i="194"/>
  <c r="AS21" i="194"/>
  <c r="AR21" i="194"/>
  <c r="AO21" i="194"/>
  <c r="AN21" i="194"/>
  <c r="AM21" i="194"/>
  <c r="AJ21" i="194"/>
  <c r="AH21" i="194"/>
  <c r="AG21" i="194"/>
  <c r="AF21" i="194"/>
  <c r="AE21" i="194"/>
  <c r="AC21" i="194"/>
  <c r="AB21" i="194"/>
  <c r="J21" i="194"/>
  <c r="CN21" i="194" s="1"/>
  <c r="C21" i="194"/>
  <c r="BV21" i="194" s="1"/>
  <c r="CS20" i="194"/>
  <c r="CR20" i="194"/>
  <c r="CM20" i="194"/>
  <c r="CL20" i="194"/>
  <c r="BX20" i="194"/>
  <c r="BW20" i="194"/>
  <c r="BT20" i="194"/>
  <c r="BS20" i="194"/>
  <c r="BR20" i="194"/>
  <c r="BO20" i="194"/>
  <c r="BM20" i="194"/>
  <c r="BL20" i="194"/>
  <c r="BK20" i="194"/>
  <c r="BJ20" i="194"/>
  <c r="BH20" i="194"/>
  <c r="BG20" i="194"/>
  <c r="AS20" i="194"/>
  <c r="AR20" i="194"/>
  <c r="AO20" i="194"/>
  <c r="AN20" i="194"/>
  <c r="AM20" i="194"/>
  <c r="AJ20" i="194"/>
  <c r="AH20" i="194"/>
  <c r="AG20" i="194"/>
  <c r="AF20" i="194"/>
  <c r="AE20" i="194"/>
  <c r="AC20" i="194"/>
  <c r="AB20" i="194"/>
  <c r="J20" i="194"/>
  <c r="CN20" i="194" s="1"/>
  <c r="CS19" i="194"/>
  <c r="CR19" i="194"/>
  <c r="CM19" i="194"/>
  <c r="CL19" i="194"/>
  <c r="BX19" i="194"/>
  <c r="BW19" i="194"/>
  <c r="BT19" i="194"/>
  <c r="BS19" i="194"/>
  <c r="BR19" i="194"/>
  <c r="BO19" i="194"/>
  <c r="BM19" i="194"/>
  <c r="BL19" i="194"/>
  <c r="BK19" i="194"/>
  <c r="BJ19" i="194"/>
  <c r="BH19" i="194"/>
  <c r="BG19" i="194"/>
  <c r="AS19" i="194"/>
  <c r="AR19" i="194"/>
  <c r="AO19" i="194"/>
  <c r="AN19" i="194"/>
  <c r="AM19" i="194"/>
  <c r="AJ19" i="194"/>
  <c r="AH19" i="194"/>
  <c r="AG19" i="194"/>
  <c r="AF19" i="194"/>
  <c r="AE19" i="194"/>
  <c r="AC19" i="194"/>
  <c r="AB19" i="194"/>
  <c r="J19" i="194"/>
  <c r="CN19" i="194" s="1"/>
  <c r="CS18" i="194"/>
  <c r="CR18" i="194"/>
  <c r="CM18" i="194"/>
  <c r="CL18" i="194"/>
  <c r="BX18" i="194"/>
  <c r="BW18" i="194"/>
  <c r="BT18" i="194"/>
  <c r="BS18" i="194"/>
  <c r="BR18" i="194"/>
  <c r="BO18" i="194"/>
  <c r="BM18" i="194"/>
  <c r="BL18" i="194"/>
  <c r="BK18" i="194"/>
  <c r="BJ18" i="194"/>
  <c r="BH18" i="194"/>
  <c r="BG18" i="194"/>
  <c r="AS18" i="194"/>
  <c r="AR18" i="194"/>
  <c r="AO18" i="194"/>
  <c r="AN18" i="194"/>
  <c r="AM18" i="194"/>
  <c r="AJ18" i="194"/>
  <c r="AH18" i="194"/>
  <c r="AG18" i="194"/>
  <c r="AF18" i="194"/>
  <c r="AE18" i="194"/>
  <c r="AC18" i="194"/>
  <c r="AB18" i="194"/>
  <c r="J18" i="194"/>
  <c r="CN18" i="194" s="1"/>
  <c r="CS17" i="194"/>
  <c r="CR17" i="194"/>
  <c r="CM17" i="194"/>
  <c r="CL17" i="194"/>
  <c r="BX17" i="194"/>
  <c r="BW17" i="194"/>
  <c r="BT17" i="194"/>
  <c r="BS17" i="194"/>
  <c r="BR17" i="194"/>
  <c r="BO17" i="194"/>
  <c r="BM17" i="194"/>
  <c r="BL17" i="194"/>
  <c r="BK17" i="194"/>
  <c r="BJ17" i="194"/>
  <c r="BH17" i="194"/>
  <c r="BG17" i="194"/>
  <c r="AS17" i="194"/>
  <c r="AR17" i="194"/>
  <c r="AO17" i="194"/>
  <c r="AN17" i="194"/>
  <c r="AM17" i="194"/>
  <c r="AJ17" i="194"/>
  <c r="AH17" i="194"/>
  <c r="AG17" i="194"/>
  <c r="AF17" i="194"/>
  <c r="AE17" i="194"/>
  <c r="AC17" i="194"/>
  <c r="AB17" i="194"/>
  <c r="J17" i="194"/>
  <c r="CN17" i="194" s="1"/>
  <c r="CS16" i="194"/>
  <c r="CR16" i="194"/>
  <c r="CM16" i="194"/>
  <c r="CL16" i="194"/>
  <c r="BX16" i="194"/>
  <c r="BW16" i="194"/>
  <c r="BT16" i="194"/>
  <c r="BS16" i="194"/>
  <c r="BR16" i="194"/>
  <c r="BO16" i="194"/>
  <c r="BM16" i="194"/>
  <c r="BL16" i="194"/>
  <c r="BK16" i="194"/>
  <c r="BJ16" i="194"/>
  <c r="BH16" i="194"/>
  <c r="BG16" i="194"/>
  <c r="AS16" i="194"/>
  <c r="AR16" i="194"/>
  <c r="AO16" i="194"/>
  <c r="AN16" i="194"/>
  <c r="AM16" i="194"/>
  <c r="AJ16" i="194"/>
  <c r="AH16" i="194"/>
  <c r="AG16" i="194"/>
  <c r="AF16" i="194"/>
  <c r="AE16" i="194"/>
  <c r="AC16" i="194"/>
  <c r="AB16" i="194"/>
  <c r="J16" i="194"/>
  <c r="CN16" i="194" s="1"/>
  <c r="CS15" i="194"/>
  <c r="CR15" i="194"/>
  <c r="CM15" i="194"/>
  <c r="CL15" i="194"/>
  <c r="BX15" i="194"/>
  <c r="BW15" i="194"/>
  <c r="BT15" i="194"/>
  <c r="BS15" i="194"/>
  <c r="BR15" i="194"/>
  <c r="BO15" i="194"/>
  <c r="BM15" i="194"/>
  <c r="BL15" i="194"/>
  <c r="BK15" i="194"/>
  <c r="BJ15" i="194"/>
  <c r="BH15" i="194"/>
  <c r="BG15" i="194"/>
  <c r="AS15" i="194"/>
  <c r="AR15" i="194"/>
  <c r="AO15" i="194"/>
  <c r="AN15" i="194"/>
  <c r="AM15" i="194"/>
  <c r="AJ15" i="194"/>
  <c r="AH15" i="194"/>
  <c r="AG15" i="194"/>
  <c r="AF15" i="194"/>
  <c r="AE15" i="194"/>
  <c r="AC15" i="194"/>
  <c r="AB15" i="194"/>
  <c r="J15" i="194"/>
  <c r="CN15" i="194" s="1"/>
  <c r="CS14" i="194"/>
  <c r="CR14" i="194"/>
  <c r="CM14" i="194"/>
  <c r="CL14" i="194"/>
  <c r="BX14" i="194"/>
  <c r="BW14" i="194"/>
  <c r="BT14" i="194"/>
  <c r="BS14" i="194"/>
  <c r="BR14" i="194"/>
  <c r="BO14" i="194"/>
  <c r="BM14" i="194"/>
  <c r="BL14" i="194"/>
  <c r="BK14" i="194"/>
  <c r="BJ14" i="194"/>
  <c r="BH14" i="194"/>
  <c r="BG14" i="194"/>
  <c r="AS14" i="194"/>
  <c r="AR14" i="194"/>
  <c r="AO14" i="194"/>
  <c r="AN14" i="194"/>
  <c r="AM14" i="194"/>
  <c r="AJ14" i="194"/>
  <c r="AH14" i="194"/>
  <c r="AG14" i="194"/>
  <c r="AF14" i="194"/>
  <c r="AE14" i="194"/>
  <c r="AC14" i="194"/>
  <c r="AB14" i="194"/>
  <c r="J14" i="194"/>
  <c r="CN14" i="194" s="1"/>
  <c r="CS13" i="194"/>
  <c r="CR13" i="194"/>
  <c r="CM13" i="194"/>
  <c r="CL13" i="194"/>
  <c r="BX13" i="194"/>
  <c r="BW13" i="194"/>
  <c r="BT13" i="194"/>
  <c r="BS13" i="194"/>
  <c r="BR13" i="194"/>
  <c r="BO13" i="194"/>
  <c r="BM13" i="194"/>
  <c r="BL13" i="194"/>
  <c r="BK13" i="194"/>
  <c r="BJ13" i="194"/>
  <c r="BH13" i="194"/>
  <c r="BG13" i="194"/>
  <c r="AS13" i="194"/>
  <c r="AR13" i="194"/>
  <c r="AO13" i="194"/>
  <c r="AN13" i="194"/>
  <c r="AM13" i="194"/>
  <c r="AJ13" i="194"/>
  <c r="AH13" i="194"/>
  <c r="AG13" i="194"/>
  <c r="AF13" i="194"/>
  <c r="AE13" i="194"/>
  <c r="AC13" i="194"/>
  <c r="AB13" i="194"/>
  <c r="J13" i="194"/>
  <c r="CN13" i="194" s="1"/>
  <c r="CS12" i="194"/>
  <c r="CR12" i="194"/>
  <c r="CM12" i="194"/>
  <c r="CL12" i="194"/>
  <c r="BX12" i="194"/>
  <c r="BW12" i="194"/>
  <c r="BT12" i="194"/>
  <c r="BS12" i="194"/>
  <c r="BR12" i="194"/>
  <c r="BO12" i="194"/>
  <c r="BM12" i="194"/>
  <c r="BL12" i="194"/>
  <c r="BK12" i="194"/>
  <c r="BJ12" i="194"/>
  <c r="BH12" i="194"/>
  <c r="BG12" i="194"/>
  <c r="AS12" i="194"/>
  <c r="AR12" i="194"/>
  <c r="AO12" i="194"/>
  <c r="AN12" i="194"/>
  <c r="AM12" i="194"/>
  <c r="AJ12" i="194"/>
  <c r="AH12" i="194"/>
  <c r="AG12" i="194"/>
  <c r="AF12" i="194"/>
  <c r="AE12" i="194"/>
  <c r="AC12" i="194"/>
  <c r="AB12" i="194"/>
  <c r="J12" i="194"/>
  <c r="CN12" i="194" s="1"/>
  <c r="CS11" i="194"/>
  <c r="CR11" i="194"/>
  <c r="CM11" i="194"/>
  <c r="CL11" i="194"/>
  <c r="BX11" i="194"/>
  <c r="BW11" i="194"/>
  <c r="BT11" i="194"/>
  <c r="BS11" i="194"/>
  <c r="BR11" i="194"/>
  <c r="BO11" i="194"/>
  <c r="BM11" i="194"/>
  <c r="BL11" i="194"/>
  <c r="BK11" i="194"/>
  <c r="BJ11" i="194"/>
  <c r="BH11" i="194"/>
  <c r="BG11" i="194"/>
  <c r="AS11" i="194"/>
  <c r="AR11" i="194"/>
  <c r="AO11" i="194"/>
  <c r="AN11" i="194"/>
  <c r="AM11" i="194"/>
  <c r="AJ11" i="194"/>
  <c r="AH11" i="194"/>
  <c r="AG11" i="194"/>
  <c r="AF11" i="194"/>
  <c r="AE11" i="194"/>
  <c r="AC11" i="194"/>
  <c r="AB11" i="194"/>
  <c r="J11" i="194"/>
  <c r="CN11" i="194" s="1"/>
  <c r="CS10" i="194"/>
  <c r="CR10" i="194"/>
  <c r="CM10" i="194"/>
  <c r="CL10" i="194"/>
  <c r="BX10" i="194"/>
  <c r="BW10" i="194"/>
  <c r="BT10" i="194"/>
  <c r="BS10" i="194"/>
  <c r="BR10" i="194"/>
  <c r="BO10" i="194"/>
  <c r="BM10" i="194"/>
  <c r="BL10" i="194"/>
  <c r="BK10" i="194"/>
  <c r="BJ10" i="194"/>
  <c r="BH10" i="194"/>
  <c r="BG10" i="194"/>
  <c r="AS10" i="194"/>
  <c r="AR10" i="194"/>
  <c r="AO10" i="194"/>
  <c r="AN10" i="194"/>
  <c r="AM10" i="194"/>
  <c r="AJ10" i="194"/>
  <c r="AH10" i="194"/>
  <c r="AG10" i="194"/>
  <c r="AF10" i="194"/>
  <c r="AE10" i="194"/>
  <c r="AC10" i="194"/>
  <c r="AB10" i="194"/>
  <c r="J10" i="194"/>
  <c r="CN10" i="194" s="1"/>
  <c r="CS9" i="194"/>
  <c r="CR9" i="194"/>
  <c r="CM9" i="194"/>
  <c r="CL9" i="194"/>
  <c r="BX9" i="194"/>
  <c r="BW9" i="194"/>
  <c r="BT9" i="194"/>
  <c r="BS9" i="194"/>
  <c r="BR9" i="194"/>
  <c r="BO9" i="194"/>
  <c r="BM9" i="194"/>
  <c r="BL9" i="194"/>
  <c r="BK9" i="194"/>
  <c r="BJ9" i="194"/>
  <c r="BH9" i="194"/>
  <c r="BG9" i="194"/>
  <c r="AS9" i="194"/>
  <c r="AR9" i="194"/>
  <c r="AO9" i="194"/>
  <c r="AN9" i="194"/>
  <c r="AM9" i="194"/>
  <c r="AJ9" i="194"/>
  <c r="AH9" i="194"/>
  <c r="AG9" i="194"/>
  <c r="AF9" i="194"/>
  <c r="AE9" i="194"/>
  <c r="AC9" i="194"/>
  <c r="AB9" i="194"/>
  <c r="J9" i="194"/>
  <c r="CN9" i="194" s="1"/>
  <c r="CS8" i="194"/>
  <c r="CR8" i="194"/>
  <c r="CM8" i="194"/>
  <c r="CL8" i="194"/>
  <c r="BX8" i="194"/>
  <c r="BW8" i="194"/>
  <c r="BT8" i="194"/>
  <c r="BS8" i="194"/>
  <c r="BR8" i="194"/>
  <c r="BO8" i="194"/>
  <c r="BM8" i="194"/>
  <c r="BL8" i="194"/>
  <c r="BK8" i="194"/>
  <c r="BJ8" i="194"/>
  <c r="BH8" i="194"/>
  <c r="BG8" i="194"/>
  <c r="AS8" i="194"/>
  <c r="AR8" i="194"/>
  <c r="AO8" i="194"/>
  <c r="AN8" i="194"/>
  <c r="AM8" i="194"/>
  <c r="AJ8" i="194"/>
  <c r="AH8" i="194"/>
  <c r="AG8" i="194"/>
  <c r="AF8" i="194"/>
  <c r="AE8" i="194"/>
  <c r="AC8" i="194"/>
  <c r="AB8" i="194"/>
  <c r="J8" i="194"/>
  <c r="CN8" i="194" s="1"/>
  <c r="CS7" i="194"/>
  <c r="CR7" i="194"/>
  <c r="CP7" i="194"/>
  <c r="CP8" i="194" s="1"/>
  <c r="CM7" i="194"/>
  <c r="CL7" i="194"/>
  <c r="BX7" i="194"/>
  <c r="BW7" i="194"/>
  <c r="BT7" i="194"/>
  <c r="BS7" i="194"/>
  <c r="BR7" i="194"/>
  <c r="BO7" i="194"/>
  <c r="BM7" i="194"/>
  <c r="BL7" i="194"/>
  <c r="BK7" i="194"/>
  <c r="BJ7" i="194"/>
  <c r="BH7" i="194"/>
  <c r="BG7" i="194"/>
  <c r="AS7" i="194"/>
  <c r="AR7" i="194"/>
  <c r="AO7" i="194"/>
  <c r="AN7" i="194"/>
  <c r="AM7" i="194"/>
  <c r="AJ7" i="194"/>
  <c r="AH7" i="194"/>
  <c r="AG7" i="194"/>
  <c r="AF7" i="194"/>
  <c r="AE7" i="194"/>
  <c r="AC7" i="194"/>
  <c r="AB7" i="194"/>
  <c r="J7" i="194"/>
  <c r="CN7" i="194" s="1"/>
  <c r="D7" i="194"/>
  <c r="D8" i="194" s="1"/>
  <c r="D9" i="194" s="1"/>
  <c r="D10" i="194" s="1"/>
  <c r="D11" i="194" s="1"/>
  <c r="D12" i="194" s="1"/>
  <c r="D13" i="194" s="1"/>
  <c r="D14" i="194" s="1"/>
  <c r="D15" i="194" s="1"/>
  <c r="D16" i="194" s="1"/>
  <c r="D17" i="194" s="1"/>
  <c r="D18" i="194" s="1"/>
  <c r="D19" i="194" s="1"/>
  <c r="D20" i="194" s="1"/>
  <c r="D21" i="194" s="1"/>
  <c r="D22" i="194" s="1"/>
  <c r="D23" i="194" s="1"/>
  <c r="D24" i="194" s="1"/>
  <c r="D25" i="194" s="1"/>
  <c r="D26" i="194" s="1"/>
  <c r="CS6" i="194"/>
  <c r="CR6" i="194"/>
  <c r="CM6" i="194"/>
  <c r="CL6" i="194"/>
  <c r="BX6" i="194"/>
  <c r="BW6" i="194"/>
  <c r="BT6" i="194"/>
  <c r="BS6" i="194"/>
  <c r="BR6" i="194"/>
  <c r="BO6" i="194"/>
  <c r="BM6" i="194"/>
  <c r="BL6" i="194"/>
  <c r="BK6" i="194"/>
  <c r="BJ6" i="194"/>
  <c r="BH6" i="194"/>
  <c r="BG6" i="194"/>
  <c r="AS6" i="194"/>
  <c r="AR6" i="194"/>
  <c r="AO6" i="194"/>
  <c r="AN6" i="194"/>
  <c r="AM6" i="194"/>
  <c r="AJ6" i="194"/>
  <c r="AH6" i="194"/>
  <c r="AG6" i="194"/>
  <c r="AF6" i="194"/>
  <c r="AE6" i="194"/>
  <c r="AC6" i="194"/>
  <c r="AB6" i="194"/>
  <c r="J6" i="194"/>
  <c r="CN6" i="194" s="1"/>
  <c r="B23" i="191"/>
  <c r="B5" i="191"/>
  <c r="L48" i="190"/>
  <c r="L43" i="190"/>
  <c r="H2" i="194"/>
  <c r="D22" i="195"/>
  <c r="CP9" i="194" l="1"/>
  <c r="AQ21" i="194"/>
  <c r="AQ22" i="194"/>
  <c r="AQ23" i="194"/>
  <c r="AQ24" i="194"/>
  <c r="AQ25" i="194"/>
  <c r="AQ26" i="194"/>
  <c r="E28" i="195"/>
  <c r="G28" i="195"/>
  <c r="I28" i="195"/>
  <c r="C11" i="190"/>
  <c r="C3" i="191" s="1"/>
  <c r="C10" i="190"/>
  <c r="L36" i="190" s="1"/>
  <c r="CP10" i="194" l="1"/>
  <c r="L47" i="190"/>
  <c r="L42" i="190"/>
  <c r="D6" i="190"/>
  <c r="D5" i="190"/>
  <c r="B23" i="189"/>
  <c r="B5" i="189"/>
  <c r="L48" i="186"/>
  <c r="L43" i="186"/>
  <c r="CP11" i="194" l="1"/>
  <c r="C11" i="186"/>
  <c r="C3" i="189" s="1"/>
  <c r="C10" i="186"/>
  <c r="L36" i="186" s="1"/>
  <c r="CP12" i="194" l="1"/>
  <c r="L47" i="186"/>
  <c r="L42" i="186"/>
  <c r="D6" i="186"/>
  <c r="D5" i="186"/>
  <c r="V44" i="184"/>
  <c r="S44" i="184"/>
  <c r="Q44" i="184"/>
  <c r="P44" i="184"/>
  <c r="E44" i="184"/>
  <c r="D44" i="184"/>
  <c r="V43" i="184"/>
  <c r="S43" i="184"/>
  <c r="Q43" i="184"/>
  <c r="P43" i="184"/>
  <c r="E43" i="184"/>
  <c r="D43" i="184"/>
  <c r="V42" i="184"/>
  <c r="S42" i="184"/>
  <c r="Q42" i="184"/>
  <c r="P42" i="184"/>
  <c r="E42" i="184"/>
  <c r="D42" i="184"/>
  <c r="V41" i="184"/>
  <c r="S41" i="184"/>
  <c r="Q41" i="184"/>
  <c r="P41" i="184"/>
  <c r="E41" i="184"/>
  <c r="D41" i="184"/>
  <c r="V40" i="184"/>
  <c r="S40" i="184"/>
  <c r="Q40" i="184"/>
  <c r="P40" i="184"/>
  <c r="E40" i="184"/>
  <c r="D40" i="184"/>
  <c r="V39" i="184"/>
  <c r="S39" i="184"/>
  <c r="Q39" i="184"/>
  <c r="P39" i="184"/>
  <c r="E39" i="184"/>
  <c r="D39" i="184"/>
  <c r="V38" i="184"/>
  <c r="S38" i="184"/>
  <c r="Q38" i="184"/>
  <c r="P38" i="184"/>
  <c r="E38" i="184"/>
  <c r="D38" i="184"/>
  <c r="V37" i="184"/>
  <c r="S37" i="184"/>
  <c r="Q37" i="184"/>
  <c r="P37" i="184"/>
  <c r="E37" i="184"/>
  <c r="D37" i="184"/>
  <c r="V36" i="184"/>
  <c r="S36" i="184"/>
  <c r="Q36" i="184"/>
  <c r="P36" i="184"/>
  <c r="E36" i="184"/>
  <c r="D36" i="184"/>
  <c r="V35" i="184"/>
  <c r="S35" i="184"/>
  <c r="Q35" i="184"/>
  <c r="P35" i="184"/>
  <c r="E35" i="184"/>
  <c r="D35" i="184"/>
  <c r="V34" i="184"/>
  <c r="S34" i="184"/>
  <c r="Q34" i="184"/>
  <c r="P34" i="184"/>
  <c r="E34" i="184"/>
  <c r="D34" i="184"/>
  <c r="V33" i="184"/>
  <c r="S33" i="184"/>
  <c r="Q33" i="184"/>
  <c r="P33" i="184"/>
  <c r="E33" i="184"/>
  <c r="D33" i="184"/>
  <c r="Q32" i="184"/>
  <c r="V31" i="184"/>
  <c r="S31" i="184"/>
  <c r="Q31" i="184"/>
  <c r="P31" i="184"/>
  <c r="E31" i="184"/>
  <c r="D31" i="184"/>
  <c r="V30" i="184"/>
  <c r="S30" i="184"/>
  <c r="Q30" i="184"/>
  <c r="P30" i="184"/>
  <c r="E30" i="184"/>
  <c r="D30" i="184"/>
  <c r="Q29" i="184"/>
  <c r="V28" i="184"/>
  <c r="S28" i="184"/>
  <c r="Q28" i="184"/>
  <c r="P28" i="184"/>
  <c r="E28" i="184"/>
  <c r="D28" i="184"/>
  <c r="V27" i="184"/>
  <c r="S27" i="184"/>
  <c r="Q27" i="184"/>
  <c r="P27" i="184"/>
  <c r="E27" i="184"/>
  <c r="D27" i="184"/>
  <c r="Q26" i="184"/>
  <c r="V25" i="184"/>
  <c r="S25" i="184"/>
  <c r="Q25" i="184"/>
  <c r="P25" i="184"/>
  <c r="E25" i="184"/>
  <c r="D25" i="184"/>
  <c r="V24" i="184"/>
  <c r="S24" i="184"/>
  <c r="Q24" i="184"/>
  <c r="P24" i="184"/>
  <c r="E24" i="184"/>
  <c r="D24" i="184"/>
  <c r="Q23" i="184"/>
  <c r="V22" i="184"/>
  <c r="S22" i="184"/>
  <c r="Q22" i="184"/>
  <c r="P22" i="184"/>
  <c r="E22" i="184"/>
  <c r="D22" i="184"/>
  <c r="V21" i="184"/>
  <c r="S21" i="184"/>
  <c r="Q21" i="184"/>
  <c r="P21" i="184"/>
  <c r="E21" i="184"/>
  <c r="D21" i="184"/>
  <c r="Q20" i="184"/>
  <c r="V19" i="184"/>
  <c r="S19" i="184"/>
  <c r="Q19" i="184"/>
  <c r="P19" i="184"/>
  <c r="E19" i="184"/>
  <c r="D19" i="184"/>
  <c r="V18" i="184"/>
  <c r="S18" i="184"/>
  <c r="Q18" i="184"/>
  <c r="P18" i="184"/>
  <c r="E18" i="184"/>
  <c r="D18" i="184"/>
  <c r="Q17" i="184"/>
  <c r="V16" i="184"/>
  <c r="S16" i="184"/>
  <c r="Q16" i="184"/>
  <c r="P16" i="184"/>
  <c r="E16" i="184"/>
  <c r="D16" i="184"/>
  <c r="V15" i="184"/>
  <c r="S15" i="184"/>
  <c r="Q15" i="184"/>
  <c r="P15" i="184"/>
  <c r="E15" i="184"/>
  <c r="D15" i="184"/>
  <c r="Q14" i="184"/>
  <c r="V13" i="184"/>
  <c r="S13" i="184"/>
  <c r="Q13" i="184"/>
  <c r="P13" i="184"/>
  <c r="E13" i="184"/>
  <c r="D13" i="184"/>
  <c r="V12" i="184"/>
  <c r="S12" i="184"/>
  <c r="Q12" i="184"/>
  <c r="P12" i="184"/>
  <c r="E12" i="184"/>
  <c r="D12" i="184"/>
  <c r="Q11" i="184"/>
  <c r="V10" i="184"/>
  <c r="S10" i="184"/>
  <c r="Q10" i="184"/>
  <c r="P10" i="184"/>
  <c r="E10" i="184"/>
  <c r="D10" i="184"/>
  <c r="V9" i="184"/>
  <c r="S9" i="184"/>
  <c r="Q9" i="184"/>
  <c r="P9" i="184"/>
  <c r="E9" i="184"/>
  <c r="D9" i="184"/>
  <c r="Q8" i="184"/>
  <c r="V7" i="184"/>
  <c r="S7" i="184"/>
  <c r="Q7" i="184"/>
  <c r="P7" i="184"/>
  <c r="E7" i="184"/>
  <c r="D7" i="184"/>
  <c r="V6" i="184"/>
  <c r="S6" i="184"/>
  <c r="Q6" i="184"/>
  <c r="P6" i="184"/>
  <c r="E6" i="184"/>
  <c r="D6" i="184"/>
  <c r="Q5" i="184"/>
  <c r="C41" i="174"/>
  <c r="C21" i="174"/>
  <c r="AU14" i="174"/>
  <c r="AJ14" i="174"/>
  <c r="AU13" i="174"/>
  <c r="AN13" i="174"/>
  <c r="AJ13" i="174"/>
  <c r="AC13" i="174"/>
  <c r="AU12" i="174"/>
  <c r="AN12" i="174"/>
  <c r="AJ12" i="174"/>
  <c r="AC12" i="174"/>
  <c r="AU11" i="174"/>
  <c r="AJ11" i="174"/>
  <c r="AU10" i="174"/>
  <c r="AJ10" i="174"/>
  <c r="AU9" i="174"/>
  <c r="AJ9" i="174"/>
  <c r="C41" i="171"/>
  <c r="C21" i="171"/>
  <c r="AU14" i="171"/>
  <c r="AJ14" i="171"/>
  <c r="AU13" i="171"/>
  <c r="AN13" i="171"/>
  <c r="AJ13" i="171"/>
  <c r="AC13" i="171"/>
  <c r="AU12" i="171"/>
  <c r="AN12" i="171"/>
  <c r="AJ12" i="171"/>
  <c r="AC12" i="171"/>
  <c r="AU11" i="171"/>
  <c r="AJ11" i="171"/>
  <c r="AU10" i="171"/>
  <c r="AJ10" i="171"/>
  <c r="AU9" i="171"/>
  <c r="AJ9" i="171"/>
  <c r="C41" i="170"/>
  <c r="C21" i="170"/>
  <c r="AU14" i="170"/>
  <c r="AJ14" i="170"/>
  <c r="AU13" i="170"/>
  <c r="AN13" i="170"/>
  <c r="AJ13" i="170"/>
  <c r="AC13" i="170"/>
  <c r="AU12" i="170"/>
  <c r="AN12" i="170"/>
  <c r="AJ12" i="170"/>
  <c r="AC12" i="170"/>
  <c r="AU11" i="170"/>
  <c r="AJ11" i="170"/>
  <c r="AU10" i="170"/>
  <c r="AJ10" i="170"/>
  <c r="AU9" i="170"/>
  <c r="AJ9" i="170"/>
  <c r="C41" i="163"/>
  <c r="C21" i="163"/>
  <c r="AU14" i="163"/>
  <c r="AJ14" i="163"/>
  <c r="AU13" i="163"/>
  <c r="AN13" i="163"/>
  <c r="AJ13" i="163"/>
  <c r="AC13" i="163"/>
  <c r="AU12" i="163"/>
  <c r="AN12" i="163"/>
  <c r="AJ12" i="163"/>
  <c r="AC12" i="163"/>
  <c r="AU11" i="163"/>
  <c r="AJ11" i="163"/>
  <c r="AU10" i="163"/>
  <c r="AJ10" i="163"/>
  <c r="AU9" i="163"/>
  <c r="AJ9" i="163"/>
  <c r="CE25" i="169"/>
  <c r="BZ25" i="169"/>
  <c r="BY25" i="169"/>
  <c r="BX25" i="169"/>
  <c r="BE25" i="169"/>
  <c r="BD25" i="169"/>
  <c r="BC25" i="169"/>
  <c r="BB25" i="169"/>
  <c r="BA25" i="169"/>
  <c r="AZ25" i="169"/>
  <c r="AV25" i="169"/>
  <c r="AU25" i="169"/>
  <c r="AT25" i="169"/>
  <c r="Z25" i="169"/>
  <c r="Y25" i="169"/>
  <c r="X25" i="169"/>
  <c r="W25" i="169"/>
  <c r="V25" i="169"/>
  <c r="U25" i="169"/>
  <c r="Q25" i="169"/>
  <c r="P25" i="169"/>
  <c r="O25" i="169"/>
  <c r="C25" i="169"/>
  <c r="AY25" i="169" s="1"/>
  <c r="CE24" i="169"/>
  <c r="BZ24" i="169"/>
  <c r="BY24" i="169"/>
  <c r="BX24" i="169"/>
  <c r="BE24" i="169"/>
  <c r="BD24" i="169"/>
  <c r="BC24" i="169"/>
  <c r="BB24" i="169"/>
  <c r="BA24" i="169"/>
  <c r="AZ24" i="169"/>
  <c r="AV24" i="169"/>
  <c r="AU24" i="169"/>
  <c r="AT24" i="169"/>
  <c r="Z24" i="169"/>
  <c r="Y24" i="169"/>
  <c r="X24" i="169"/>
  <c r="W24" i="169"/>
  <c r="V24" i="169"/>
  <c r="U24" i="169"/>
  <c r="Q24" i="169"/>
  <c r="P24" i="169"/>
  <c r="O24" i="169"/>
  <c r="C24" i="169"/>
  <c r="T24" i="169" s="1"/>
  <c r="CE23" i="169"/>
  <c r="BZ23" i="169"/>
  <c r="BY23" i="169"/>
  <c r="BX23" i="169"/>
  <c r="BE23" i="169"/>
  <c r="BD23" i="169"/>
  <c r="BC23" i="169"/>
  <c r="BB23" i="169"/>
  <c r="BA23" i="169"/>
  <c r="AZ23" i="169"/>
  <c r="AV23" i="169"/>
  <c r="AU23" i="169"/>
  <c r="AT23" i="169"/>
  <c r="Z23" i="169"/>
  <c r="Y23" i="169"/>
  <c r="X23" i="169"/>
  <c r="W23" i="169"/>
  <c r="V23" i="169"/>
  <c r="U23" i="169"/>
  <c r="Q23" i="169"/>
  <c r="P23" i="169"/>
  <c r="O23" i="169"/>
  <c r="C23" i="169"/>
  <c r="AY23" i="169" s="1"/>
  <c r="CE22" i="169"/>
  <c r="BZ22" i="169"/>
  <c r="BY22" i="169"/>
  <c r="BX22" i="169"/>
  <c r="BE22" i="169"/>
  <c r="BD22" i="169"/>
  <c r="BC22" i="169"/>
  <c r="BB22" i="169"/>
  <c r="BA22" i="169"/>
  <c r="AZ22" i="169"/>
  <c r="AV22" i="169"/>
  <c r="AU22" i="169"/>
  <c r="AT22" i="169"/>
  <c r="Z22" i="169"/>
  <c r="Y22" i="169"/>
  <c r="X22" i="169"/>
  <c r="W22" i="169"/>
  <c r="V22" i="169"/>
  <c r="U22" i="169"/>
  <c r="Q22" i="169"/>
  <c r="P22" i="169"/>
  <c r="O22" i="169"/>
  <c r="C22" i="169"/>
  <c r="T22" i="169" s="1"/>
  <c r="BE21" i="169"/>
  <c r="BD21" i="169"/>
  <c r="BC21" i="169"/>
  <c r="BB21" i="169"/>
  <c r="BA21" i="169"/>
  <c r="AZ21" i="169"/>
  <c r="AV21" i="169"/>
  <c r="AU21" i="169"/>
  <c r="AT21" i="169"/>
  <c r="Z21" i="169"/>
  <c r="Y21" i="169"/>
  <c r="X21" i="169"/>
  <c r="W21" i="169"/>
  <c r="V21" i="169"/>
  <c r="U21" i="169"/>
  <c r="Q21" i="169"/>
  <c r="P21" i="169"/>
  <c r="O21" i="169"/>
  <c r="BE20" i="169"/>
  <c r="BD20" i="169"/>
  <c r="BC20" i="169"/>
  <c r="BB20" i="169"/>
  <c r="BA20" i="169"/>
  <c r="AZ20" i="169"/>
  <c r="AV20" i="169"/>
  <c r="AU20" i="169"/>
  <c r="AT20" i="169"/>
  <c r="Z20" i="169"/>
  <c r="Y20" i="169"/>
  <c r="X20" i="169"/>
  <c r="W20" i="169"/>
  <c r="V20" i="169"/>
  <c r="U20" i="169"/>
  <c r="Q20" i="169"/>
  <c r="P20" i="169"/>
  <c r="O20" i="169"/>
  <c r="BE19" i="169"/>
  <c r="BD19" i="169"/>
  <c r="BC19" i="169"/>
  <c r="BB19" i="169"/>
  <c r="BA19" i="169"/>
  <c r="AZ19" i="169"/>
  <c r="AV19" i="169"/>
  <c r="AU19" i="169"/>
  <c r="AT19" i="169"/>
  <c r="Z19" i="169"/>
  <c r="Y19" i="169"/>
  <c r="X19" i="169"/>
  <c r="W19" i="169"/>
  <c r="V19" i="169"/>
  <c r="U19" i="169"/>
  <c r="Q19" i="169"/>
  <c r="P19" i="169"/>
  <c r="O19" i="169"/>
  <c r="BE18" i="169"/>
  <c r="BD18" i="169"/>
  <c r="BC18" i="169"/>
  <c r="BB18" i="169"/>
  <c r="BA18" i="169"/>
  <c r="AZ18" i="169"/>
  <c r="AV18" i="169"/>
  <c r="AU18" i="169"/>
  <c r="AT18" i="169"/>
  <c r="Z18" i="169"/>
  <c r="Y18" i="169"/>
  <c r="X18" i="169"/>
  <c r="W18" i="169"/>
  <c r="V18" i="169"/>
  <c r="U18" i="169"/>
  <c r="Q18" i="169"/>
  <c r="P18" i="169"/>
  <c r="O18" i="169"/>
  <c r="BE17" i="169"/>
  <c r="BD17" i="169"/>
  <c r="BC17" i="169"/>
  <c r="BB17" i="169"/>
  <c r="BA17" i="169"/>
  <c r="AZ17" i="169"/>
  <c r="AV17" i="169"/>
  <c r="AU17" i="169"/>
  <c r="AT17" i="169"/>
  <c r="Z17" i="169"/>
  <c r="Y17" i="169"/>
  <c r="X17" i="169"/>
  <c r="W17" i="169"/>
  <c r="V17" i="169"/>
  <c r="U17" i="169"/>
  <c r="Q17" i="169"/>
  <c r="P17" i="169"/>
  <c r="O17" i="169"/>
  <c r="BE16" i="169"/>
  <c r="BD16" i="169"/>
  <c r="BC16" i="169"/>
  <c r="BB16" i="169"/>
  <c r="BA16" i="169"/>
  <c r="AZ16" i="169"/>
  <c r="AV16" i="169"/>
  <c r="AU16" i="169"/>
  <c r="AT16" i="169"/>
  <c r="Z16" i="169"/>
  <c r="Y16" i="169"/>
  <c r="X16" i="169"/>
  <c r="W16" i="169"/>
  <c r="V16" i="169"/>
  <c r="U16" i="169"/>
  <c r="Q16" i="169"/>
  <c r="P16" i="169"/>
  <c r="O16" i="169"/>
  <c r="BE15" i="169"/>
  <c r="BD15" i="169"/>
  <c r="BC15" i="169"/>
  <c r="BB15" i="169"/>
  <c r="BA15" i="169"/>
  <c r="AZ15" i="169"/>
  <c r="AV15" i="169"/>
  <c r="AU15" i="169"/>
  <c r="AT15" i="169"/>
  <c r="Z15" i="169"/>
  <c r="Y15" i="169"/>
  <c r="X15" i="169"/>
  <c r="W15" i="169"/>
  <c r="V15" i="169"/>
  <c r="U15" i="169"/>
  <c r="Q15" i="169"/>
  <c r="P15" i="169"/>
  <c r="O15" i="169"/>
  <c r="BE14" i="169"/>
  <c r="BD14" i="169"/>
  <c r="BC14" i="169"/>
  <c r="BB14" i="169"/>
  <c r="BA14" i="169"/>
  <c r="AZ14" i="169"/>
  <c r="AV14" i="169"/>
  <c r="AU14" i="169"/>
  <c r="AT14" i="169"/>
  <c r="Z14" i="169"/>
  <c r="Y14" i="169"/>
  <c r="X14" i="169"/>
  <c r="W14" i="169"/>
  <c r="V14" i="169"/>
  <c r="U14" i="169"/>
  <c r="Q14" i="169"/>
  <c r="P14" i="169"/>
  <c r="O14" i="169"/>
  <c r="BE13" i="169"/>
  <c r="BD13" i="169"/>
  <c r="BC13" i="169"/>
  <c r="BB13" i="169"/>
  <c r="BA13" i="169"/>
  <c r="AZ13" i="169"/>
  <c r="AV13" i="169"/>
  <c r="AU13" i="169"/>
  <c r="AT13" i="169"/>
  <c r="Z13" i="169"/>
  <c r="Y13" i="169"/>
  <c r="X13" i="169"/>
  <c r="W13" i="169"/>
  <c r="V13" i="169"/>
  <c r="U13" i="169"/>
  <c r="Q13" i="169"/>
  <c r="P13" i="169"/>
  <c r="O13" i="169"/>
  <c r="BE12" i="169"/>
  <c r="BD12" i="169"/>
  <c r="BC12" i="169"/>
  <c r="BB12" i="169"/>
  <c r="BA12" i="169"/>
  <c r="AZ12" i="169"/>
  <c r="AV12" i="169"/>
  <c r="AU12" i="169"/>
  <c r="AT12" i="169"/>
  <c r="Z12" i="169"/>
  <c r="Y12" i="169"/>
  <c r="X12" i="169"/>
  <c r="W12" i="169"/>
  <c r="V12" i="169"/>
  <c r="U12" i="169"/>
  <c r="Q12" i="169"/>
  <c r="P12" i="169"/>
  <c r="O12" i="169"/>
  <c r="BE11" i="169"/>
  <c r="BD11" i="169"/>
  <c r="BC11" i="169"/>
  <c r="BB11" i="169"/>
  <c r="BA11" i="169"/>
  <c r="AZ11" i="169"/>
  <c r="AV11" i="169"/>
  <c r="AU11" i="169"/>
  <c r="AT11" i="169"/>
  <c r="Z11" i="169"/>
  <c r="Y11" i="169"/>
  <c r="X11" i="169"/>
  <c r="W11" i="169"/>
  <c r="V11" i="169"/>
  <c r="U11" i="169"/>
  <c r="Q11" i="169"/>
  <c r="P11" i="169"/>
  <c r="O11" i="169"/>
  <c r="BE10" i="169"/>
  <c r="BD10" i="169"/>
  <c r="BC10" i="169"/>
  <c r="BB10" i="169"/>
  <c r="BA10" i="169"/>
  <c r="AZ10" i="169"/>
  <c r="AV10" i="169"/>
  <c r="AU10" i="169"/>
  <c r="AT10" i="169"/>
  <c r="Z10" i="169"/>
  <c r="Y10" i="169"/>
  <c r="X10" i="169"/>
  <c r="W10" i="169"/>
  <c r="V10" i="169"/>
  <c r="U10" i="169"/>
  <c r="Q10" i="169"/>
  <c r="P10" i="169"/>
  <c r="O10" i="169"/>
  <c r="BE9" i="169"/>
  <c r="BD9" i="169"/>
  <c r="BC9" i="169"/>
  <c r="BB9" i="169"/>
  <c r="BA9" i="169"/>
  <c r="AZ9" i="169"/>
  <c r="AV9" i="169"/>
  <c r="AU9" i="169"/>
  <c r="AT9" i="169"/>
  <c r="Z9" i="169"/>
  <c r="Y9" i="169"/>
  <c r="X9" i="169"/>
  <c r="W9" i="169"/>
  <c r="V9" i="169"/>
  <c r="U9" i="169"/>
  <c r="Q9" i="169"/>
  <c r="P9" i="169"/>
  <c r="O9" i="169"/>
  <c r="BE8" i="169"/>
  <c r="BD8" i="169"/>
  <c r="BC8" i="169"/>
  <c r="BB8" i="169"/>
  <c r="BA8" i="169"/>
  <c r="AZ8" i="169"/>
  <c r="AV8" i="169"/>
  <c r="AU8" i="169"/>
  <c r="AT8" i="169"/>
  <c r="Z8" i="169"/>
  <c r="Y8" i="169"/>
  <c r="X8" i="169"/>
  <c r="W8" i="169"/>
  <c r="V8" i="169"/>
  <c r="U8" i="169"/>
  <c r="Q8" i="169"/>
  <c r="P8" i="169"/>
  <c r="O8" i="169"/>
  <c r="BE7" i="169"/>
  <c r="BD7" i="169"/>
  <c r="BC7" i="169"/>
  <c r="BB7" i="169"/>
  <c r="BA7" i="169"/>
  <c r="AZ7" i="169"/>
  <c r="AV7" i="169"/>
  <c r="AU7" i="169"/>
  <c r="AT7" i="169"/>
  <c r="Z7" i="169"/>
  <c r="Y7" i="169"/>
  <c r="X7" i="169"/>
  <c r="W7" i="169"/>
  <c r="V7" i="169"/>
  <c r="U7" i="169"/>
  <c r="Q7" i="169"/>
  <c r="P7" i="169"/>
  <c r="O7" i="169"/>
  <c r="A7" i="169"/>
  <c r="A8" i="169" s="1"/>
  <c r="BE6" i="169"/>
  <c r="BD6" i="169"/>
  <c r="BC6" i="169"/>
  <c r="BB6" i="169"/>
  <c r="BA6" i="169"/>
  <c r="AZ6" i="169"/>
  <c r="AV6" i="169"/>
  <c r="AU6" i="169"/>
  <c r="AT6" i="169"/>
  <c r="Z6" i="169"/>
  <c r="Y6" i="169"/>
  <c r="X6" i="169"/>
  <c r="W6" i="169"/>
  <c r="V6" i="169"/>
  <c r="U6" i="169"/>
  <c r="Q6" i="169"/>
  <c r="P6" i="169"/>
  <c r="O6" i="169"/>
  <c r="CE25" i="168"/>
  <c r="BZ25" i="168"/>
  <c r="BY25" i="168"/>
  <c r="BX25" i="168"/>
  <c r="BE25" i="168"/>
  <c r="BD25" i="168"/>
  <c r="BC25" i="168"/>
  <c r="BB25" i="168"/>
  <c r="BA25" i="168"/>
  <c r="AZ25" i="168"/>
  <c r="AV25" i="168"/>
  <c r="AU25" i="168"/>
  <c r="AT25" i="168"/>
  <c r="Z25" i="168"/>
  <c r="Y25" i="168"/>
  <c r="X25" i="168"/>
  <c r="W25" i="168"/>
  <c r="V25" i="168"/>
  <c r="U25" i="168"/>
  <c r="Q25" i="168"/>
  <c r="P25" i="168"/>
  <c r="O25" i="168"/>
  <c r="C25" i="168"/>
  <c r="AY25" i="168" s="1"/>
  <c r="CE24" i="168"/>
  <c r="BZ24" i="168"/>
  <c r="BY24" i="168"/>
  <c r="BX24" i="168"/>
  <c r="BE24" i="168"/>
  <c r="BD24" i="168"/>
  <c r="BC24" i="168"/>
  <c r="BB24" i="168"/>
  <c r="BA24" i="168"/>
  <c r="AZ24" i="168"/>
  <c r="AV24" i="168"/>
  <c r="AU24" i="168"/>
  <c r="AT24" i="168"/>
  <c r="Z24" i="168"/>
  <c r="Y24" i="168"/>
  <c r="X24" i="168"/>
  <c r="W24" i="168"/>
  <c r="V24" i="168"/>
  <c r="U24" i="168"/>
  <c r="Q24" i="168"/>
  <c r="P24" i="168"/>
  <c r="O24" i="168"/>
  <c r="C24" i="168"/>
  <c r="T24" i="168" s="1"/>
  <c r="CE23" i="168"/>
  <c r="BZ23" i="168"/>
  <c r="BY23" i="168"/>
  <c r="BX23" i="168"/>
  <c r="BE23" i="168"/>
  <c r="BD23" i="168"/>
  <c r="BC23" i="168"/>
  <c r="BB23" i="168"/>
  <c r="BA23" i="168"/>
  <c r="AZ23" i="168"/>
  <c r="AV23" i="168"/>
  <c r="AU23" i="168"/>
  <c r="AT23" i="168"/>
  <c r="Z23" i="168"/>
  <c r="Y23" i="168"/>
  <c r="X23" i="168"/>
  <c r="W23" i="168"/>
  <c r="V23" i="168"/>
  <c r="U23" i="168"/>
  <c r="Q23" i="168"/>
  <c r="P23" i="168"/>
  <c r="O23" i="168"/>
  <c r="C23" i="168"/>
  <c r="AY23" i="168" s="1"/>
  <c r="CE22" i="168"/>
  <c r="BZ22" i="168"/>
  <c r="BY22" i="168"/>
  <c r="BX22" i="168"/>
  <c r="BE22" i="168"/>
  <c r="BD22" i="168"/>
  <c r="BC22" i="168"/>
  <c r="BB22" i="168"/>
  <c r="BA22" i="168"/>
  <c r="AZ22" i="168"/>
  <c r="AV22" i="168"/>
  <c r="AU22" i="168"/>
  <c r="AT22" i="168"/>
  <c r="Z22" i="168"/>
  <c r="Y22" i="168"/>
  <c r="X22" i="168"/>
  <c r="W22" i="168"/>
  <c r="V22" i="168"/>
  <c r="U22" i="168"/>
  <c r="Q22" i="168"/>
  <c r="P22" i="168"/>
  <c r="O22" i="168"/>
  <c r="C22" i="168"/>
  <c r="T22" i="168" s="1"/>
  <c r="BE21" i="168"/>
  <c r="BD21" i="168"/>
  <c r="BC21" i="168"/>
  <c r="BB21" i="168"/>
  <c r="BA21" i="168"/>
  <c r="AZ21" i="168"/>
  <c r="AV21" i="168"/>
  <c r="AU21" i="168"/>
  <c r="AT21" i="168"/>
  <c r="Z21" i="168"/>
  <c r="Y21" i="168"/>
  <c r="X21" i="168"/>
  <c r="W21" i="168"/>
  <c r="V21" i="168"/>
  <c r="U21" i="168"/>
  <c r="Q21" i="168"/>
  <c r="P21" i="168"/>
  <c r="O21" i="168"/>
  <c r="BE20" i="168"/>
  <c r="BD20" i="168"/>
  <c r="BC20" i="168"/>
  <c r="BB20" i="168"/>
  <c r="BA20" i="168"/>
  <c r="AZ20" i="168"/>
  <c r="AV20" i="168"/>
  <c r="AU20" i="168"/>
  <c r="AT20" i="168"/>
  <c r="Z20" i="168"/>
  <c r="Y20" i="168"/>
  <c r="X20" i="168"/>
  <c r="W20" i="168"/>
  <c r="V20" i="168"/>
  <c r="U20" i="168"/>
  <c r="Q20" i="168"/>
  <c r="P20" i="168"/>
  <c r="O20" i="168"/>
  <c r="BE19" i="168"/>
  <c r="BD19" i="168"/>
  <c r="BC19" i="168"/>
  <c r="BB19" i="168"/>
  <c r="BA19" i="168"/>
  <c r="AZ19" i="168"/>
  <c r="AV19" i="168"/>
  <c r="AU19" i="168"/>
  <c r="AT19" i="168"/>
  <c r="Z19" i="168"/>
  <c r="Y19" i="168"/>
  <c r="X19" i="168"/>
  <c r="W19" i="168"/>
  <c r="V19" i="168"/>
  <c r="U19" i="168"/>
  <c r="Q19" i="168"/>
  <c r="P19" i="168"/>
  <c r="O19" i="168"/>
  <c r="BE18" i="168"/>
  <c r="BD18" i="168"/>
  <c r="BC18" i="168"/>
  <c r="BB18" i="168"/>
  <c r="BA18" i="168"/>
  <c r="AZ18" i="168"/>
  <c r="AV18" i="168"/>
  <c r="AU18" i="168"/>
  <c r="AT18" i="168"/>
  <c r="Z18" i="168"/>
  <c r="Y18" i="168"/>
  <c r="X18" i="168"/>
  <c r="W18" i="168"/>
  <c r="V18" i="168"/>
  <c r="U18" i="168"/>
  <c r="Q18" i="168"/>
  <c r="P18" i="168"/>
  <c r="O18" i="168"/>
  <c r="BE17" i="168"/>
  <c r="BD17" i="168"/>
  <c r="BC17" i="168"/>
  <c r="BB17" i="168"/>
  <c r="BA17" i="168"/>
  <c r="AZ17" i="168"/>
  <c r="AV17" i="168"/>
  <c r="AU17" i="168"/>
  <c r="AT17" i="168"/>
  <c r="Z17" i="168"/>
  <c r="Y17" i="168"/>
  <c r="X17" i="168"/>
  <c r="W17" i="168"/>
  <c r="V17" i="168"/>
  <c r="U17" i="168"/>
  <c r="Q17" i="168"/>
  <c r="P17" i="168"/>
  <c r="O17" i="168"/>
  <c r="BE16" i="168"/>
  <c r="BD16" i="168"/>
  <c r="BC16" i="168"/>
  <c r="BB16" i="168"/>
  <c r="BA16" i="168"/>
  <c r="AZ16" i="168"/>
  <c r="AV16" i="168"/>
  <c r="AU16" i="168"/>
  <c r="AT16" i="168"/>
  <c r="Z16" i="168"/>
  <c r="Y16" i="168"/>
  <c r="X16" i="168"/>
  <c r="W16" i="168"/>
  <c r="V16" i="168"/>
  <c r="U16" i="168"/>
  <c r="Q16" i="168"/>
  <c r="P16" i="168"/>
  <c r="O16" i="168"/>
  <c r="BE15" i="168"/>
  <c r="BD15" i="168"/>
  <c r="BC15" i="168"/>
  <c r="BB15" i="168"/>
  <c r="BA15" i="168"/>
  <c r="AZ15" i="168"/>
  <c r="AV15" i="168"/>
  <c r="AU15" i="168"/>
  <c r="AT15" i="168"/>
  <c r="Z15" i="168"/>
  <c r="Y15" i="168"/>
  <c r="X15" i="168"/>
  <c r="W15" i="168"/>
  <c r="V15" i="168"/>
  <c r="U15" i="168"/>
  <c r="Q15" i="168"/>
  <c r="P15" i="168"/>
  <c r="O15" i="168"/>
  <c r="BE14" i="168"/>
  <c r="BD14" i="168"/>
  <c r="BC14" i="168"/>
  <c r="BB14" i="168"/>
  <c r="BA14" i="168"/>
  <c r="AZ14" i="168"/>
  <c r="AV14" i="168"/>
  <c r="AU14" i="168"/>
  <c r="AT14" i="168"/>
  <c r="Z14" i="168"/>
  <c r="Y14" i="168"/>
  <c r="X14" i="168"/>
  <c r="W14" i="168"/>
  <c r="V14" i="168"/>
  <c r="U14" i="168"/>
  <c r="Q14" i="168"/>
  <c r="P14" i="168"/>
  <c r="O14" i="168"/>
  <c r="BE13" i="168"/>
  <c r="BD13" i="168"/>
  <c r="BC13" i="168"/>
  <c r="BB13" i="168"/>
  <c r="BA13" i="168"/>
  <c r="AZ13" i="168"/>
  <c r="AV13" i="168"/>
  <c r="AU13" i="168"/>
  <c r="AT13" i="168"/>
  <c r="Z13" i="168"/>
  <c r="Y13" i="168"/>
  <c r="X13" i="168"/>
  <c r="W13" i="168"/>
  <c r="V13" i="168"/>
  <c r="U13" i="168"/>
  <c r="Q13" i="168"/>
  <c r="P13" i="168"/>
  <c r="O13" i="168"/>
  <c r="BE12" i="168"/>
  <c r="BD12" i="168"/>
  <c r="BC12" i="168"/>
  <c r="BB12" i="168"/>
  <c r="BA12" i="168"/>
  <c r="AZ12" i="168"/>
  <c r="AV12" i="168"/>
  <c r="AU12" i="168"/>
  <c r="AT12" i="168"/>
  <c r="Z12" i="168"/>
  <c r="Y12" i="168"/>
  <c r="X12" i="168"/>
  <c r="W12" i="168"/>
  <c r="V12" i="168"/>
  <c r="U12" i="168"/>
  <c r="Q12" i="168"/>
  <c r="P12" i="168"/>
  <c r="O12" i="168"/>
  <c r="BE11" i="168"/>
  <c r="BD11" i="168"/>
  <c r="BC11" i="168"/>
  <c r="BB11" i="168"/>
  <c r="BA11" i="168"/>
  <c r="AZ11" i="168"/>
  <c r="AV11" i="168"/>
  <c r="AU11" i="168"/>
  <c r="AT11" i="168"/>
  <c r="Z11" i="168"/>
  <c r="Y11" i="168"/>
  <c r="X11" i="168"/>
  <c r="W11" i="168"/>
  <c r="V11" i="168"/>
  <c r="U11" i="168"/>
  <c r="Q11" i="168"/>
  <c r="P11" i="168"/>
  <c r="O11" i="168"/>
  <c r="BE10" i="168"/>
  <c r="BD10" i="168"/>
  <c r="BC10" i="168"/>
  <c r="BB10" i="168"/>
  <c r="BA10" i="168"/>
  <c r="AZ10" i="168"/>
  <c r="AV10" i="168"/>
  <c r="AU10" i="168"/>
  <c r="AT10" i="168"/>
  <c r="Z10" i="168"/>
  <c r="Y10" i="168"/>
  <c r="X10" i="168"/>
  <c r="W10" i="168"/>
  <c r="V10" i="168"/>
  <c r="U10" i="168"/>
  <c r="Q10" i="168"/>
  <c r="P10" i="168"/>
  <c r="O10" i="168"/>
  <c r="BE9" i="168"/>
  <c r="BD9" i="168"/>
  <c r="BC9" i="168"/>
  <c r="BB9" i="168"/>
  <c r="BA9" i="168"/>
  <c r="AZ9" i="168"/>
  <c r="AV9" i="168"/>
  <c r="AU9" i="168"/>
  <c r="AT9" i="168"/>
  <c r="Z9" i="168"/>
  <c r="Y9" i="168"/>
  <c r="X9" i="168"/>
  <c r="W9" i="168"/>
  <c r="V9" i="168"/>
  <c r="U9" i="168"/>
  <c r="Q9" i="168"/>
  <c r="P9" i="168"/>
  <c r="O9" i="168"/>
  <c r="BE8" i="168"/>
  <c r="BD8" i="168"/>
  <c r="BC8" i="168"/>
  <c r="BB8" i="168"/>
  <c r="BA8" i="168"/>
  <c r="AZ8" i="168"/>
  <c r="AV8" i="168"/>
  <c r="AU8" i="168"/>
  <c r="AT8" i="168"/>
  <c r="Z8" i="168"/>
  <c r="Y8" i="168"/>
  <c r="X8" i="168"/>
  <c r="W8" i="168"/>
  <c r="V8" i="168"/>
  <c r="U8" i="168"/>
  <c r="Q8" i="168"/>
  <c r="P8" i="168"/>
  <c r="O8" i="168"/>
  <c r="BE7" i="168"/>
  <c r="BD7" i="168"/>
  <c r="BC7" i="168"/>
  <c r="BB7" i="168"/>
  <c r="BA7" i="168"/>
  <c r="AZ7" i="168"/>
  <c r="AV7" i="168"/>
  <c r="AU7" i="168"/>
  <c r="AT7" i="168"/>
  <c r="Z7" i="168"/>
  <c r="Y7" i="168"/>
  <c r="X7" i="168"/>
  <c r="W7" i="168"/>
  <c r="V7" i="168"/>
  <c r="U7" i="168"/>
  <c r="Q7" i="168"/>
  <c r="P7" i="168"/>
  <c r="O7" i="168"/>
  <c r="A7" i="168"/>
  <c r="A8" i="168" s="1"/>
  <c r="A9" i="168" s="1"/>
  <c r="BE6" i="168"/>
  <c r="BD6" i="168"/>
  <c r="BC6" i="168"/>
  <c r="BB6" i="168"/>
  <c r="BA6" i="168"/>
  <c r="AZ6" i="168"/>
  <c r="AV6" i="168"/>
  <c r="AU6" i="168"/>
  <c r="AT6" i="168"/>
  <c r="Z6" i="168"/>
  <c r="Y6" i="168"/>
  <c r="X6" i="168"/>
  <c r="W6" i="168"/>
  <c r="V6" i="168"/>
  <c r="U6" i="168"/>
  <c r="Q6" i="168"/>
  <c r="P6" i="168"/>
  <c r="O6" i="168"/>
  <c r="CF25" i="167"/>
  <c r="CA25" i="167"/>
  <c r="BZ25" i="167"/>
  <c r="BY25" i="167"/>
  <c r="BF25" i="167"/>
  <c r="BE25" i="167"/>
  <c r="BD25" i="167"/>
  <c r="BC25" i="167"/>
  <c r="BB25" i="167"/>
  <c r="W25" i="167" s="1"/>
  <c r="BA25" i="167"/>
  <c r="AW25" i="167"/>
  <c r="AV25" i="167"/>
  <c r="AU25" i="167"/>
  <c r="AA25" i="167"/>
  <c r="Z25" i="167"/>
  <c r="Y25" i="167"/>
  <c r="X25" i="167"/>
  <c r="V25" i="167"/>
  <c r="U25" i="167"/>
  <c r="Q25" i="167"/>
  <c r="P25" i="167"/>
  <c r="O25" i="167"/>
  <c r="C25" i="167"/>
  <c r="AZ25" i="167" s="1"/>
  <c r="CF24" i="167"/>
  <c r="CA24" i="167"/>
  <c r="BZ24" i="167"/>
  <c r="BY24" i="167"/>
  <c r="BF24" i="167"/>
  <c r="BE24" i="167"/>
  <c r="BD24" i="167"/>
  <c r="BC24" i="167"/>
  <c r="BB24" i="167"/>
  <c r="W24" i="167" s="1"/>
  <c r="BA24" i="167"/>
  <c r="AW24" i="167"/>
  <c r="AV24" i="167"/>
  <c r="AU24" i="167"/>
  <c r="AA24" i="167"/>
  <c r="Z24" i="167"/>
  <c r="Y24" i="167"/>
  <c r="X24" i="167"/>
  <c r="V24" i="167"/>
  <c r="U24" i="167"/>
  <c r="Q24" i="167"/>
  <c r="P24" i="167"/>
  <c r="O24" i="167"/>
  <c r="C24" i="167"/>
  <c r="AK24" i="167" s="1"/>
  <c r="CF23" i="167"/>
  <c r="CA23" i="167"/>
  <c r="BZ23" i="167"/>
  <c r="BY23" i="167"/>
  <c r="BF23" i="167"/>
  <c r="BE23" i="167"/>
  <c r="BD23" i="167"/>
  <c r="BC23" i="167"/>
  <c r="BB23" i="167"/>
  <c r="W23" i="167" s="1"/>
  <c r="BA23" i="167"/>
  <c r="AW23" i="167"/>
  <c r="AV23" i="167"/>
  <c r="AU23" i="167"/>
  <c r="AA23" i="167"/>
  <c r="Z23" i="167"/>
  <c r="Y23" i="167"/>
  <c r="X23" i="167"/>
  <c r="V23" i="167"/>
  <c r="U23" i="167"/>
  <c r="Q23" i="167"/>
  <c r="P23" i="167"/>
  <c r="O23" i="167"/>
  <c r="C23" i="167"/>
  <c r="AZ23" i="167" s="1"/>
  <c r="CF22" i="167"/>
  <c r="CA22" i="167"/>
  <c r="BZ22" i="167"/>
  <c r="BY22" i="167"/>
  <c r="BF22" i="167"/>
  <c r="BE22" i="167"/>
  <c r="BD22" i="167"/>
  <c r="BC22" i="167"/>
  <c r="BB22" i="167"/>
  <c r="W22" i="167" s="1"/>
  <c r="BA22" i="167"/>
  <c r="AW22" i="167"/>
  <c r="AV22" i="167"/>
  <c r="AU22" i="167"/>
  <c r="AA22" i="167"/>
  <c r="Z22" i="167"/>
  <c r="Y22" i="167"/>
  <c r="X22" i="167"/>
  <c r="V22" i="167"/>
  <c r="U22" i="167"/>
  <c r="Q22" i="167"/>
  <c r="P22" i="167"/>
  <c r="O22" i="167"/>
  <c r="C22" i="167"/>
  <c r="BP22" i="167" s="1"/>
  <c r="CF21" i="167"/>
  <c r="BF21" i="167"/>
  <c r="BE21" i="167"/>
  <c r="BD21" i="167"/>
  <c r="BC21" i="167"/>
  <c r="BB21" i="167"/>
  <c r="W21" i="167" s="1"/>
  <c r="BA21" i="167"/>
  <c r="AW21" i="167"/>
  <c r="AV21" i="167"/>
  <c r="AU21" i="167"/>
  <c r="AA21" i="167"/>
  <c r="Z21" i="167"/>
  <c r="Y21" i="167"/>
  <c r="X21" i="167"/>
  <c r="V21" i="167"/>
  <c r="U21" i="167"/>
  <c r="Q21" i="167"/>
  <c r="P21" i="167"/>
  <c r="O21" i="167"/>
  <c r="BF20" i="167"/>
  <c r="BE20" i="167"/>
  <c r="BD20" i="167"/>
  <c r="BC20" i="167"/>
  <c r="BB20" i="167"/>
  <c r="W20" i="167" s="1"/>
  <c r="BA20" i="167"/>
  <c r="AW20" i="167"/>
  <c r="AV20" i="167"/>
  <c r="AU20" i="167"/>
  <c r="AA20" i="167"/>
  <c r="Z20" i="167"/>
  <c r="Y20" i="167"/>
  <c r="X20" i="167"/>
  <c r="V20" i="167"/>
  <c r="U20" i="167"/>
  <c r="Q20" i="167"/>
  <c r="P20" i="167"/>
  <c r="O20" i="167"/>
  <c r="BF19" i="167"/>
  <c r="BE19" i="167"/>
  <c r="BD19" i="167"/>
  <c r="BC19" i="167"/>
  <c r="BB19" i="167"/>
  <c r="W19" i="167" s="1"/>
  <c r="BA19" i="167"/>
  <c r="AW19" i="167"/>
  <c r="AV19" i="167"/>
  <c r="AU19" i="167"/>
  <c r="AA19" i="167"/>
  <c r="Z19" i="167"/>
  <c r="Y19" i="167"/>
  <c r="X19" i="167"/>
  <c r="V19" i="167"/>
  <c r="U19" i="167"/>
  <c r="Q19" i="167"/>
  <c r="P19" i="167"/>
  <c r="O19" i="167"/>
  <c r="BF18" i="167"/>
  <c r="BE18" i="167"/>
  <c r="BD18" i="167"/>
  <c r="BC18" i="167"/>
  <c r="BB18" i="167"/>
  <c r="W18" i="167" s="1"/>
  <c r="BA18" i="167"/>
  <c r="AW18" i="167"/>
  <c r="AV18" i="167"/>
  <c r="AU18" i="167"/>
  <c r="AA18" i="167"/>
  <c r="Z18" i="167"/>
  <c r="Y18" i="167"/>
  <c r="X18" i="167"/>
  <c r="V18" i="167"/>
  <c r="U18" i="167"/>
  <c r="Q18" i="167"/>
  <c r="P18" i="167"/>
  <c r="O18" i="167"/>
  <c r="BF17" i="167"/>
  <c r="BE17" i="167"/>
  <c r="BD17" i="167"/>
  <c r="BC17" i="167"/>
  <c r="BB17" i="167"/>
  <c r="W17" i="167" s="1"/>
  <c r="BA17" i="167"/>
  <c r="AW17" i="167"/>
  <c r="AV17" i="167"/>
  <c r="AU17" i="167"/>
  <c r="AA17" i="167"/>
  <c r="Z17" i="167"/>
  <c r="Y17" i="167"/>
  <c r="X17" i="167"/>
  <c r="V17" i="167"/>
  <c r="U17" i="167"/>
  <c r="Q17" i="167"/>
  <c r="P17" i="167"/>
  <c r="O17" i="167"/>
  <c r="BF16" i="167"/>
  <c r="BE16" i="167"/>
  <c r="BD16" i="167"/>
  <c r="BC16" i="167"/>
  <c r="BB16" i="167"/>
  <c r="W16" i="167" s="1"/>
  <c r="BA16" i="167"/>
  <c r="AW16" i="167"/>
  <c r="AV16" i="167"/>
  <c r="AU16" i="167"/>
  <c r="AA16" i="167"/>
  <c r="Z16" i="167"/>
  <c r="Y16" i="167"/>
  <c r="X16" i="167"/>
  <c r="V16" i="167"/>
  <c r="U16" i="167"/>
  <c r="Q16" i="167"/>
  <c r="P16" i="167"/>
  <c r="O16" i="167"/>
  <c r="BF15" i="167"/>
  <c r="BE15" i="167"/>
  <c r="BD15" i="167"/>
  <c r="BC15" i="167"/>
  <c r="BB15" i="167"/>
  <c r="W15" i="167" s="1"/>
  <c r="BA15" i="167"/>
  <c r="AW15" i="167"/>
  <c r="AV15" i="167"/>
  <c r="AU15" i="167"/>
  <c r="AA15" i="167"/>
  <c r="Z15" i="167"/>
  <c r="Y15" i="167"/>
  <c r="X15" i="167"/>
  <c r="V15" i="167"/>
  <c r="U15" i="167"/>
  <c r="Q15" i="167"/>
  <c r="P15" i="167"/>
  <c r="O15" i="167"/>
  <c r="BF14" i="167"/>
  <c r="BE14" i="167"/>
  <c r="BD14" i="167"/>
  <c r="BC14" i="167"/>
  <c r="BB14" i="167"/>
  <c r="W14" i="167" s="1"/>
  <c r="BA14" i="167"/>
  <c r="AW14" i="167"/>
  <c r="AV14" i="167"/>
  <c r="AU14" i="167"/>
  <c r="AA14" i="167"/>
  <c r="Z14" i="167"/>
  <c r="Y14" i="167"/>
  <c r="X14" i="167"/>
  <c r="V14" i="167"/>
  <c r="U14" i="167"/>
  <c r="Q14" i="167"/>
  <c r="P14" i="167"/>
  <c r="O14" i="167"/>
  <c r="BF13" i="167"/>
  <c r="BE13" i="167"/>
  <c r="BD13" i="167"/>
  <c r="BC13" i="167"/>
  <c r="BB13" i="167"/>
  <c r="W13" i="167" s="1"/>
  <c r="BA13" i="167"/>
  <c r="AW13" i="167"/>
  <c r="AV13" i="167"/>
  <c r="AU13" i="167"/>
  <c r="AA13" i="167"/>
  <c r="Z13" i="167"/>
  <c r="Y13" i="167"/>
  <c r="X13" i="167"/>
  <c r="V13" i="167"/>
  <c r="U13" i="167"/>
  <c r="Q13" i="167"/>
  <c r="P13" i="167"/>
  <c r="O13" i="167"/>
  <c r="BF12" i="167"/>
  <c r="BE12" i="167"/>
  <c r="BD12" i="167"/>
  <c r="BC12" i="167"/>
  <c r="BB12" i="167"/>
  <c r="W12" i="167" s="1"/>
  <c r="BA12" i="167"/>
  <c r="AW12" i="167"/>
  <c r="AV12" i="167"/>
  <c r="AU12" i="167"/>
  <c r="AA12" i="167"/>
  <c r="Z12" i="167"/>
  <c r="Y12" i="167"/>
  <c r="X12" i="167"/>
  <c r="V12" i="167"/>
  <c r="U12" i="167"/>
  <c r="Q12" i="167"/>
  <c r="P12" i="167"/>
  <c r="O12" i="167"/>
  <c r="BF11" i="167"/>
  <c r="BE11" i="167"/>
  <c r="BD11" i="167"/>
  <c r="BC11" i="167"/>
  <c r="BB11" i="167"/>
  <c r="W11" i="167" s="1"/>
  <c r="BA11" i="167"/>
  <c r="AW11" i="167"/>
  <c r="AV11" i="167"/>
  <c r="AU11" i="167"/>
  <c r="AA11" i="167"/>
  <c r="Z11" i="167"/>
  <c r="Y11" i="167"/>
  <c r="X11" i="167"/>
  <c r="V11" i="167"/>
  <c r="U11" i="167"/>
  <c r="Q11" i="167"/>
  <c r="P11" i="167"/>
  <c r="O11" i="167"/>
  <c r="BF10" i="167"/>
  <c r="BE10" i="167"/>
  <c r="BD10" i="167"/>
  <c r="BC10" i="167"/>
  <c r="BB10" i="167"/>
  <c r="W10" i="167" s="1"/>
  <c r="BA10" i="167"/>
  <c r="AW10" i="167"/>
  <c r="AV10" i="167"/>
  <c r="AU10" i="167"/>
  <c r="AA10" i="167"/>
  <c r="Z10" i="167"/>
  <c r="Y10" i="167"/>
  <c r="X10" i="167"/>
  <c r="V10" i="167"/>
  <c r="U10" i="167"/>
  <c r="Q10" i="167"/>
  <c r="P10" i="167"/>
  <c r="O10" i="167"/>
  <c r="BF9" i="167"/>
  <c r="BE9" i="167"/>
  <c r="BD9" i="167"/>
  <c r="BC9" i="167"/>
  <c r="BB9" i="167"/>
  <c r="W9" i="167" s="1"/>
  <c r="BA9" i="167"/>
  <c r="AW9" i="167"/>
  <c r="AV9" i="167"/>
  <c r="AU9" i="167"/>
  <c r="AA9" i="167"/>
  <c r="Z9" i="167"/>
  <c r="Y9" i="167"/>
  <c r="X9" i="167"/>
  <c r="V9" i="167"/>
  <c r="U9" i="167"/>
  <c r="Q9" i="167"/>
  <c r="P9" i="167"/>
  <c r="O9" i="167"/>
  <c r="BF8" i="167"/>
  <c r="BE8" i="167"/>
  <c r="BD8" i="167"/>
  <c r="BC8" i="167"/>
  <c r="BB8" i="167"/>
  <c r="W8" i="167" s="1"/>
  <c r="BA8" i="167"/>
  <c r="AW8" i="167"/>
  <c r="AV8" i="167"/>
  <c r="AU8" i="167"/>
  <c r="AA8" i="167"/>
  <c r="Z8" i="167"/>
  <c r="Y8" i="167"/>
  <c r="X8" i="167"/>
  <c r="V8" i="167"/>
  <c r="U8" i="167"/>
  <c r="Q8" i="167"/>
  <c r="P8" i="167"/>
  <c r="O8" i="167"/>
  <c r="BF7" i="167"/>
  <c r="BE7" i="167"/>
  <c r="BD7" i="167"/>
  <c r="BC7" i="167"/>
  <c r="BB7" i="167"/>
  <c r="W7" i="167" s="1"/>
  <c r="BA7" i="167"/>
  <c r="AW7" i="167"/>
  <c r="AV7" i="167"/>
  <c r="AU7" i="167"/>
  <c r="AA7" i="167"/>
  <c r="Z7" i="167"/>
  <c r="Y7" i="167"/>
  <c r="X7" i="167"/>
  <c r="V7" i="167"/>
  <c r="U7" i="167"/>
  <c r="Q7" i="167"/>
  <c r="P7" i="167"/>
  <c r="O7" i="167"/>
  <c r="A7" i="167"/>
  <c r="A8" i="167" s="1"/>
  <c r="BF6" i="167"/>
  <c r="BE6" i="167"/>
  <c r="BD6" i="167"/>
  <c r="BC6" i="167"/>
  <c r="BB6" i="167"/>
  <c r="W6" i="167" s="1"/>
  <c r="BA6" i="167"/>
  <c r="AW6" i="167"/>
  <c r="AV6" i="167"/>
  <c r="AU6" i="167"/>
  <c r="AA6" i="167"/>
  <c r="Z6" i="167"/>
  <c r="Y6" i="167"/>
  <c r="X6" i="167"/>
  <c r="V6" i="167"/>
  <c r="U6" i="167"/>
  <c r="Q6" i="167"/>
  <c r="P6" i="167"/>
  <c r="O6" i="167"/>
  <c r="CG25" i="159"/>
  <c r="CB25" i="159"/>
  <c r="CA25" i="159"/>
  <c r="BZ25" i="159"/>
  <c r="BE25" i="159"/>
  <c r="BD25" i="159"/>
  <c r="BC25" i="159"/>
  <c r="BB25" i="159"/>
  <c r="BA25" i="159"/>
  <c r="AZ25" i="159"/>
  <c r="AV25" i="159"/>
  <c r="AU25" i="159"/>
  <c r="AT25" i="159"/>
  <c r="Z25" i="159"/>
  <c r="Y25" i="159"/>
  <c r="X25" i="159"/>
  <c r="W25" i="159"/>
  <c r="V25" i="159"/>
  <c r="BS25" i="159" s="1"/>
  <c r="U25" i="159"/>
  <c r="BR25" i="159" s="1"/>
  <c r="Q25" i="159"/>
  <c r="P25" i="159"/>
  <c r="O25" i="159"/>
  <c r="C25" i="159"/>
  <c r="T25" i="159" s="1"/>
  <c r="CG24" i="159"/>
  <c r="CB24" i="159"/>
  <c r="CA24" i="159"/>
  <c r="BZ24" i="159"/>
  <c r="BE24" i="159"/>
  <c r="BD24" i="159"/>
  <c r="BC24" i="159"/>
  <c r="BB24" i="159"/>
  <c r="BA24" i="159"/>
  <c r="AZ24" i="159"/>
  <c r="AV24" i="159"/>
  <c r="AU24" i="159"/>
  <c r="AT24" i="159"/>
  <c r="Z24" i="159"/>
  <c r="Y24" i="159"/>
  <c r="X24" i="159"/>
  <c r="W24" i="159"/>
  <c r="V24" i="159"/>
  <c r="BS24" i="159" s="1"/>
  <c r="U24" i="159"/>
  <c r="BR24" i="159" s="1"/>
  <c r="Q24" i="159"/>
  <c r="P24" i="159"/>
  <c r="O24" i="159"/>
  <c r="C24" i="159"/>
  <c r="AY24" i="159" s="1"/>
  <c r="CG23" i="159"/>
  <c r="CB23" i="159"/>
  <c r="CA23" i="159"/>
  <c r="BZ23" i="159"/>
  <c r="BE23" i="159"/>
  <c r="BD23" i="159"/>
  <c r="BC23" i="159"/>
  <c r="BB23" i="159"/>
  <c r="BA23" i="159"/>
  <c r="AZ23" i="159"/>
  <c r="AV23" i="159"/>
  <c r="AU23" i="159"/>
  <c r="AT23" i="159"/>
  <c r="Z23" i="159"/>
  <c r="Y23" i="159"/>
  <c r="X23" i="159"/>
  <c r="W23" i="159"/>
  <c r="V23" i="159"/>
  <c r="BS23" i="159" s="1"/>
  <c r="U23" i="159"/>
  <c r="BR23" i="159" s="1"/>
  <c r="Q23" i="159"/>
  <c r="P23" i="159"/>
  <c r="O23" i="159"/>
  <c r="C23" i="159"/>
  <c r="AJ23" i="159" s="1"/>
  <c r="CG22" i="159"/>
  <c r="CB22" i="159"/>
  <c r="CA22" i="159"/>
  <c r="BZ22" i="159"/>
  <c r="BE22" i="159"/>
  <c r="BD22" i="159"/>
  <c r="BC22" i="159"/>
  <c r="BB22" i="159"/>
  <c r="BA22" i="159"/>
  <c r="AZ22" i="159"/>
  <c r="AV22" i="159"/>
  <c r="AU22" i="159"/>
  <c r="AT22" i="159"/>
  <c r="Z22" i="159"/>
  <c r="Y22" i="159"/>
  <c r="X22" i="159"/>
  <c r="W22" i="159"/>
  <c r="V22" i="159"/>
  <c r="BS22" i="159" s="1"/>
  <c r="U22" i="159"/>
  <c r="BR22" i="159" s="1"/>
  <c r="Q22" i="159"/>
  <c r="P22" i="159"/>
  <c r="O22" i="159"/>
  <c r="C22" i="159"/>
  <c r="AJ22" i="159" s="1"/>
  <c r="BE21" i="159"/>
  <c r="BD21" i="159"/>
  <c r="BC21" i="159"/>
  <c r="BB21" i="159"/>
  <c r="BA21" i="159"/>
  <c r="AZ21" i="159"/>
  <c r="AV21" i="159"/>
  <c r="AU21" i="159"/>
  <c r="AT21" i="159"/>
  <c r="Z21" i="159"/>
  <c r="Y21" i="159"/>
  <c r="X21" i="159"/>
  <c r="W21" i="159"/>
  <c r="V21" i="159"/>
  <c r="BS21" i="159" s="1"/>
  <c r="U21" i="159"/>
  <c r="BR21" i="159" s="1"/>
  <c r="Q21" i="159"/>
  <c r="P21" i="159"/>
  <c r="O21" i="159"/>
  <c r="BE20" i="159"/>
  <c r="BD20" i="159"/>
  <c r="BC20" i="159"/>
  <c r="BB20" i="159"/>
  <c r="BA20" i="159"/>
  <c r="AZ20" i="159"/>
  <c r="AV20" i="159"/>
  <c r="AU20" i="159"/>
  <c r="AT20" i="159"/>
  <c r="Z20" i="159"/>
  <c r="Y20" i="159"/>
  <c r="X20" i="159"/>
  <c r="W20" i="159"/>
  <c r="V20" i="159"/>
  <c r="BS20" i="159" s="1"/>
  <c r="U20" i="159"/>
  <c r="BR20" i="159" s="1"/>
  <c r="Q20" i="159"/>
  <c r="P20" i="159"/>
  <c r="O20" i="159"/>
  <c r="BE19" i="159"/>
  <c r="BD19" i="159"/>
  <c r="BC19" i="159"/>
  <c r="BB19" i="159"/>
  <c r="BA19" i="159"/>
  <c r="AZ19" i="159"/>
  <c r="AV19" i="159"/>
  <c r="AU19" i="159"/>
  <c r="AT19" i="159"/>
  <c r="Z19" i="159"/>
  <c r="Y19" i="159"/>
  <c r="X19" i="159"/>
  <c r="W19" i="159"/>
  <c r="V19" i="159"/>
  <c r="BS19" i="159" s="1"/>
  <c r="U19" i="159"/>
  <c r="BR19" i="159" s="1"/>
  <c r="Q19" i="159"/>
  <c r="P19" i="159"/>
  <c r="O19" i="159"/>
  <c r="BE18" i="159"/>
  <c r="BD18" i="159"/>
  <c r="BC18" i="159"/>
  <c r="BB18" i="159"/>
  <c r="BA18" i="159"/>
  <c r="AZ18" i="159"/>
  <c r="AV18" i="159"/>
  <c r="AU18" i="159"/>
  <c r="AT18" i="159"/>
  <c r="Z18" i="159"/>
  <c r="Y18" i="159"/>
  <c r="X18" i="159"/>
  <c r="W18" i="159"/>
  <c r="V18" i="159"/>
  <c r="BS18" i="159" s="1"/>
  <c r="U18" i="159"/>
  <c r="BR18" i="159" s="1"/>
  <c r="Q18" i="159"/>
  <c r="P18" i="159"/>
  <c r="O18" i="159"/>
  <c r="BE17" i="159"/>
  <c r="BD17" i="159"/>
  <c r="BC17" i="159"/>
  <c r="BB17" i="159"/>
  <c r="BA17" i="159"/>
  <c r="AZ17" i="159"/>
  <c r="AV17" i="159"/>
  <c r="AU17" i="159"/>
  <c r="AT17" i="159"/>
  <c r="Z17" i="159"/>
  <c r="Y17" i="159"/>
  <c r="X17" i="159"/>
  <c r="W17" i="159"/>
  <c r="V17" i="159"/>
  <c r="BS17" i="159" s="1"/>
  <c r="U17" i="159"/>
  <c r="BR17" i="159" s="1"/>
  <c r="Q17" i="159"/>
  <c r="P17" i="159"/>
  <c r="O17" i="159"/>
  <c r="BE16" i="159"/>
  <c r="BD16" i="159"/>
  <c r="BC16" i="159"/>
  <c r="BB16" i="159"/>
  <c r="BA16" i="159"/>
  <c r="AZ16" i="159"/>
  <c r="AV16" i="159"/>
  <c r="AU16" i="159"/>
  <c r="AT16" i="159"/>
  <c r="Z16" i="159"/>
  <c r="Y16" i="159"/>
  <c r="X16" i="159"/>
  <c r="W16" i="159"/>
  <c r="V16" i="159"/>
  <c r="BS16" i="159" s="1"/>
  <c r="U16" i="159"/>
  <c r="BR16" i="159" s="1"/>
  <c r="Q16" i="159"/>
  <c r="P16" i="159"/>
  <c r="O16" i="159"/>
  <c r="BE15" i="159"/>
  <c r="BD15" i="159"/>
  <c r="BC15" i="159"/>
  <c r="BB15" i="159"/>
  <c r="BA15" i="159"/>
  <c r="AZ15" i="159"/>
  <c r="AV15" i="159"/>
  <c r="AU15" i="159"/>
  <c r="AT15" i="159"/>
  <c r="Z15" i="159"/>
  <c r="Y15" i="159"/>
  <c r="X15" i="159"/>
  <c r="W15" i="159"/>
  <c r="V15" i="159"/>
  <c r="BS15" i="159" s="1"/>
  <c r="U15" i="159"/>
  <c r="BR15" i="159" s="1"/>
  <c r="Q15" i="159"/>
  <c r="P15" i="159"/>
  <c r="O15" i="159"/>
  <c r="BE14" i="159"/>
  <c r="BD14" i="159"/>
  <c r="BC14" i="159"/>
  <c r="BB14" i="159"/>
  <c r="BA14" i="159"/>
  <c r="AZ14" i="159"/>
  <c r="AV14" i="159"/>
  <c r="AU14" i="159"/>
  <c r="AT14" i="159"/>
  <c r="Z14" i="159"/>
  <c r="Y14" i="159"/>
  <c r="X14" i="159"/>
  <c r="W14" i="159"/>
  <c r="V14" i="159"/>
  <c r="BS14" i="159" s="1"/>
  <c r="U14" i="159"/>
  <c r="BR14" i="159" s="1"/>
  <c r="Q14" i="159"/>
  <c r="P14" i="159"/>
  <c r="O14" i="159"/>
  <c r="BE13" i="159"/>
  <c r="BD13" i="159"/>
  <c r="BC13" i="159"/>
  <c r="BB13" i="159"/>
  <c r="BA13" i="159"/>
  <c r="AZ13" i="159"/>
  <c r="AV13" i="159"/>
  <c r="AU13" i="159"/>
  <c r="AT13" i="159"/>
  <c r="Z13" i="159"/>
  <c r="Y13" i="159"/>
  <c r="X13" i="159"/>
  <c r="W13" i="159"/>
  <c r="V13" i="159"/>
  <c r="BS13" i="159" s="1"/>
  <c r="U13" i="159"/>
  <c r="BR13" i="159" s="1"/>
  <c r="Q13" i="159"/>
  <c r="P13" i="159"/>
  <c r="O13" i="159"/>
  <c r="BE12" i="159"/>
  <c r="BD12" i="159"/>
  <c r="BC12" i="159"/>
  <c r="BB12" i="159"/>
  <c r="BA12" i="159"/>
  <c r="AZ12" i="159"/>
  <c r="AV12" i="159"/>
  <c r="AU12" i="159"/>
  <c r="AT12" i="159"/>
  <c r="Z12" i="159"/>
  <c r="Y12" i="159"/>
  <c r="X12" i="159"/>
  <c r="W12" i="159"/>
  <c r="V12" i="159"/>
  <c r="BS12" i="159" s="1"/>
  <c r="U12" i="159"/>
  <c r="BR12" i="159" s="1"/>
  <c r="Q12" i="159"/>
  <c r="P12" i="159"/>
  <c r="O12" i="159"/>
  <c r="BE11" i="159"/>
  <c r="BD11" i="159"/>
  <c r="BC11" i="159"/>
  <c r="BB11" i="159"/>
  <c r="BA11" i="159"/>
  <c r="AZ11" i="159"/>
  <c r="AV11" i="159"/>
  <c r="AU11" i="159"/>
  <c r="AT11" i="159"/>
  <c r="Z11" i="159"/>
  <c r="Y11" i="159"/>
  <c r="X11" i="159"/>
  <c r="W11" i="159"/>
  <c r="V11" i="159"/>
  <c r="BS11" i="159" s="1"/>
  <c r="U11" i="159"/>
  <c r="BR11" i="159" s="1"/>
  <c r="Q11" i="159"/>
  <c r="P11" i="159"/>
  <c r="O11" i="159"/>
  <c r="BE10" i="159"/>
  <c r="BD10" i="159"/>
  <c r="BC10" i="159"/>
  <c r="BB10" i="159"/>
  <c r="BA10" i="159"/>
  <c r="AZ10" i="159"/>
  <c r="AV10" i="159"/>
  <c r="AU10" i="159"/>
  <c r="AT10" i="159"/>
  <c r="Z10" i="159"/>
  <c r="Y10" i="159"/>
  <c r="X10" i="159"/>
  <c r="W10" i="159"/>
  <c r="V10" i="159"/>
  <c r="BS10" i="159" s="1"/>
  <c r="U10" i="159"/>
  <c r="BR10" i="159" s="1"/>
  <c r="Q10" i="159"/>
  <c r="P10" i="159"/>
  <c r="O10" i="159"/>
  <c r="BE9" i="159"/>
  <c r="BD9" i="159"/>
  <c r="BC9" i="159"/>
  <c r="BB9" i="159"/>
  <c r="BA9" i="159"/>
  <c r="AZ9" i="159"/>
  <c r="AV9" i="159"/>
  <c r="AU9" i="159"/>
  <c r="AT9" i="159"/>
  <c r="Z9" i="159"/>
  <c r="Y9" i="159"/>
  <c r="X9" i="159"/>
  <c r="W9" i="159"/>
  <c r="V9" i="159"/>
  <c r="BS9" i="159" s="1"/>
  <c r="U9" i="159"/>
  <c r="BR9" i="159" s="1"/>
  <c r="Q9" i="159"/>
  <c r="P9" i="159"/>
  <c r="O9" i="159"/>
  <c r="BE8" i="159"/>
  <c r="BD8" i="159"/>
  <c r="BC8" i="159"/>
  <c r="BB8" i="159"/>
  <c r="BA8" i="159"/>
  <c r="AZ8" i="159"/>
  <c r="AV8" i="159"/>
  <c r="AU8" i="159"/>
  <c r="AT8" i="159"/>
  <c r="Z8" i="159"/>
  <c r="Y8" i="159"/>
  <c r="X8" i="159"/>
  <c r="W8" i="159"/>
  <c r="V8" i="159"/>
  <c r="BS8" i="159" s="1"/>
  <c r="U8" i="159"/>
  <c r="BR8" i="159" s="1"/>
  <c r="Q8" i="159"/>
  <c r="P8" i="159"/>
  <c r="O8" i="159"/>
  <c r="BE7" i="159"/>
  <c r="BD7" i="159"/>
  <c r="BC7" i="159"/>
  <c r="BB7" i="159"/>
  <c r="BA7" i="159"/>
  <c r="AZ7" i="159"/>
  <c r="AV7" i="159"/>
  <c r="AU7" i="159"/>
  <c r="AT7" i="159"/>
  <c r="Z7" i="159"/>
  <c r="Y7" i="159"/>
  <c r="X7" i="159"/>
  <c r="W7" i="159"/>
  <c r="V7" i="159"/>
  <c r="BS7" i="159" s="1"/>
  <c r="U7" i="159"/>
  <c r="BR7" i="159" s="1"/>
  <c r="Q7" i="159"/>
  <c r="P7" i="159"/>
  <c r="O7" i="159"/>
  <c r="A7" i="159"/>
  <c r="BE6" i="159"/>
  <c r="BD6" i="159"/>
  <c r="BC6" i="159"/>
  <c r="BB6" i="159"/>
  <c r="BA6" i="159"/>
  <c r="AZ6" i="159"/>
  <c r="AV6" i="159"/>
  <c r="AU6" i="159"/>
  <c r="AT6" i="159"/>
  <c r="Z6" i="159"/>
  <c r="Y6" i="159"/>
  <c r="X6" i="159"/>
  <c r="W6" i="159"/>
  <c r="V6" i="159"/>
  <c r="BS6" i="159" s="1"/>
  <c r="U6" i="159"/>
  <c r="BR6" i="159" s="1"/>
  <c r="Q6" i="159"/>
  <c r="P6" i="159"/>
  <c r="O6" i="159"/>
  <c r="F45" i="150"/>
  <c r="F40" i="150"/>
  <c r="B40" i="150"/>
  <c r="B39" i="150"/>
  <c r="B38" i="150"/>
  <c r="F37" i="150"/>
  <c r="B37" i="150"/>
  <c r="F36" i="150"/>
  <c r="B36" i="150"/>
  <c r="F35" i="150"/>
  <c r="B35" i="150"/>
  <c r="F34" i="150"/>
  <c r="G34" i="150" s="1"/>
  <c r="B34" i="150"/>
  <c r="F33" i="150"/>
  <c r="B33" i="150"/>
  <c r="F32" i="150"/>
  <c r="B32" i="150"/>
  <c r="B31" i="150"/>
  <c r="F30" i="150"/>
  <c r="F28" i="150"/>
  <c r="F25" i="150"/>
  <c r="F19" i="150"/>
  <c r="F16" i="150"/>
  <c r="T13" i="184"/>
  <c r="T27" i="184"/>
  <c r="T35" i="184"/>
  <c r="T18" i="184"/>
  <c r="T16" i="184"/>
  <c r="T41" i="184"/>
  <c r="T30" i="184"/>
  <c r="T22" i="184"/>
  <c r="T24" i="184"/>
  <c r="C3" i="170"/>
  <c r="C3" i="163"/>
  <c r="T36" i="184"/>
  <c r="T38" i="184"/>
  <c r="C3" i="171"/>
  <c r="T39" i="184"/>
  <c r="T44" i="184"/>
  <c r="C4" i="170"/>
  <c r="T15" i="184"/>
  <c r="T42" i="184"/>
  <c r="T19" i="184"/>
  <c r="T6" i="184"/>
  <c r="T34" i="184"/>
  <c r="T7" i="184"/>
  <c r="T40" i="184"/>
  <c r="T10" i="184"/>
  <c r="T12" i="184"/>
  <c r="T9" i="184"/>
  <c r="T25" i="184"/>
  <c r="T33" i="184"/>
  <c r="T37" i="184"/>
  <c r="T43" i="184"/>
  <c r="T31" i="184"/>
  <c r="T21" i="184"/>
  <c r="B5" i="184" a="1"/>
  <c r="C4" i="174"/>
  <c r="T28" i="184"/>
  <c r="C4" i="163"/>
  <c r="C3" i="174"/>
  <c r="C4" i="171"/>
  <c r="T25" i="168" l="1"/>
  <c r="AY25" i="159"/>
  <c r="AJ25" i="159"/>
  <c r="BO25" i="159"/>
  <c r="AJ23" i="168"/>
  <c r="AY23" i="159"/>
  <c r="AJ25" i="168"/>
  <c r="T25" i="169"/>
  <c r="BO25" i="169"/>
  <c r="T23" i="159"/>
  <c r="AJ24" i="159"/>
  <c r="BP23" i="167"/>
  <c r="T25" i="167"/>
  <c r="AK25" i="167"/>
  <c r="BO23" i="159"/>
  <c r="AY22" i="168"/>
  <c r="T24" i="159"/>
  <c r="AK22" i="167"/>
  <c r="AY24" i="168"/>
  <c r="BO22" i="169"/>
  <c r="T23" i="168"/>
  <c r="T22" i="167"/>
  <c r="T23" i="169"/>
  <c r="BO23" i="169"/>
  <c r="BO24" i="169"/>
  <c r="C13" i="160"/>
  <c r="C21" i="160"/>
  <c r="C13" i="172"/>
  <c r="C21" i="172"/>
  <c r="C21" i="173"/>
  <c r="C13" i="173"/>
  <c r="C21" i="175"/>
  <c r="C13" i="175"/>
  <c r="U16" i="184"/>
  <c r="U9" i="184"/>
  <c r="U24" i="184"/>
  <c r="U25" i="184"/>
  <c r="U40" i="184"/>
  <c r="U41" i="184"/>
  <c r="U33" i="184"/>
  <c r="B43" i="184"/>
  <c r="B35" i="184"/>
  <c r="B27" i="184"/>
  <c r="B19" i="184"/>
  <c r="B11" i="184"/>
  <c r="B42" i="184"/>
  <c r="B34" i="184"/>
  <c r="B26" i="184"/>
  <c r="B18" i="184"/>
  <c r="B10" i="184"/>
  <c r="B41" i="184"/>
  <c r="B33" i="184"/>
  <c r="B25" i="184"/>
  <c r="B17" i="184"/>
  <c r="B9" i="184"/>
  <c r="B40" i="184"/>
  <c r="B32" i="184"/>
  <c r="B24" i="184"/>
  <c r="B16" i="184"/>
  <c r="B8" i="184"/>
  <c r="B37" i="184"/>
  <c r="B29" i="184"/>
  <c r="B21" i="184"/>
  <c r="B13" i="184"/>
  <c r="B44" i="184"/>
  <c r="B36" i="184"/>
  <c r="B28" i="184"/>
  <c r="B20" i="184"/>
  <c r="B12" i="184"/>
  <c r="B31" i="184"/>
  <c r="B5" i="184"/>
  <c r="B22" i="184"/>
  <c r="B15" i="184"/>
  <c r="B23" i="184"/>
  <c r="B7" i="184"/>
  <c r="B6" i="184"/>
  <c r="B38" i="184"/>
  <c r="B14" i="184"/>
  <c r="B39" i="184"/>
  <c r="B30" i="184"/>
  <c r="U6" i="184"/>
  <c r="U22" i="184"/>
  <c r="U30" i="184"/>
  <c r="U38" i="184"/>
  <c r="U7" i="184"/>
  <c r="U15" i="184"/>
  <c r="U31" i="184"/>
  <c r="U39" i="184"/>
  <c r="U10" i="184"/>
  <c r="U18" i="184"/>
  <c r="U34" i="184"/>
  <c r="U42" i="184"/>
  <c r="U19" i="184"/>
  <c r="U27" i="184"/>
  <c r="U35" i="184"/>
  <c r="U43" i="184"/>
  <c r="U12" i="184"/>
  <c r="U28" i="184"/>
  <c r="U36" i="184"/>
  <c r="U44" i="184"/>
  <c r="U13" i="184"/>
  <c r="U21" i="184"/>
  <c r="U37" i="184"/>
  <c r="A10" i="168"/>
  <c r="A9" i="169"/>
  <c r="A9" i="167"/>
  <c r="T22" i="159"/>
  <c r="AZ22" i="167"/>
  <c r="T23" i="167"/>
  <c r="AK23" i="167"/>
  <c r="BP24" i="167"/>
  <c r="BO22" i="168"/>
  <c r="BO24" i="168"/>
  <c r="AY22" i="169"/>
  <c r="AJ23" i="169"/>
  <c r="AY24" i="169"/>
  <c r="AJ25" i="169"/>
  <c r="BO22" i="159"/>
  <c r="AZ24" i="167"/>
  <c r="AY22" i="159"/>
  <c r="A8" i="159"/>
  <c r="BO23" i="168"/>
  <c r="BO25" i="168"/>
  <c r="AJ22" i="169"/>
  <c r="AJ24" i="169"/>
  <c r="BO24" i="159"/>
  <c r="T24" i="167"/>
  <c r="BP25" i="167"/>
  <c r="AJ22" i="168"/>
  <c r="AJ24" i="168"/>
  <c r="CP13" i="194"/>
  <c r="C4" i="172"/>
  <c r="E3" i="172" a="1"/>
  <c r="C4" i="173"/>
  <c r="C8" i="172"/>
  <c r="C4" i="175"/>
  <c r="E3" i="173" a="1"/>
  <c r="C7" i="175"/>
  <c r="E3" i="175" a="1"/>
  <c r="C4" i="160"/>
  <c r="C8" i="175"/>
  <c r="C9" i="160"/>
  <c r="C8" i="160"/>
  <c r="C8" i="173"/>
  <c r="C9" i="173"/>
  <c r="C7" i="172"/>
  <c r="S3" i="172" a="1"/>
  <c r="C9" i="172"/>
  <c r="C7" i="173"/>
  <c r="S3" i="173" a="1"/>
  <c r="E3" i="160" a="1"/>
  <c r="S3" i="160" a="1"/>
  <c r="C7" i="160"/>
  <c r="A4" i="184" l="1"/>
  <c r="Q100" i="175"/>
  <c r="I100" i="175"/>
  <c r="M99" i="175"/>
  <c r="E99" i="175"/>
  <c r="Q98" i="175"/>
  <c r="I98" i="175"/>
  <c r="M97" i="175"/>
  <c r="E97" i="175"/>
  <c r="Q96" i="175"/>
  <c r="I96" i="175"/>
  <c r="M95" i="175"/>
  <c r="E95" i="175"/>
  <c r="Q94" i="175"/>
  <c r="I94" i="175"/>
  <c r="M93" i="175"/>
  <c r="E93" i="175"/>
  <c r="Q92" i="175"/>
  <c r="I92" i="175"/>
  <c r="M91" i="175"/>
  <c r="E91" i="175"/>
  <c r="Q90" i="175"/>
  <c r="I90" i="175"/>
  <c r="M89" i="175"/>
  <c r="E89" i="175"/>
  <c r="Q88" i="175"/>
  <c r="I88" i="175"/>
  <c r="M87" i="175"/>
  <c r="E87" i="175"/>
  <c r="Q86" i="175"/>
  <c r="I86" i="175"/>
  <c r="M85" i="175"/>
  <c r="E85" i="175"/>
  <c r="Q84" i="175"/>
  <c r="I84" i="175"/>
  <c r="M83" i="175"/>
  <c r="E83" i="175"/>
  <c r="Q82" i="175"/>
  <c r="I82" i="175"/>
  <c r="P100" i="175"/>
  <c r="H100" i="175"/>
  <c r="L99" i="175"/>
  <c r="P98" i="175"/>
  <c r="H98" i="175"/>
  <c r="L97" i="175"/>
  <c r="P96" i="175"/>
  <c r="H96" i="175"/>
  <c r="L95" i="175"/>
  <c r="P94" i="175"/>
  <c r="H94" i="175"/>
  <c r="L93" i="175"/>
  <c r="P92" i="175"/>
  <c r="H92" i="175"/>
  <c r="L91" i="175"/>
  <c r="P90" i="175"/>
  <c r="H90" i="175"/>
  <c r="L89" i="175"/>
  <c r="P88" i="175"/>
  <c r="H88" i="175"/>
  <c r="L87" i="175"/>
  <c r="P86" i="175"/>
  <c r="H86" i="175"/>
  <c r="L85" i="175"/>
  <c r="P84" i="175"/>
  <c r="H84" i="175"/>
  <c r="O100" i="175"/>
  <c r="G100" i="175"/>
  <c r="K99" i="175"/>
  <c r="O98" i="175"/>
  <c r="G98" i="175"/>
  <c r="K97" i="175"/>
  <c r="O96" i="175"/>
  <c r="G96" i="175"/>
  <c r="K95" i="175"/>
  <c r="O94" i="175"/>
  <c r="G94" i="175"/>
  <c r="K93" i="175"/>
  <c r="O92" i="175"/>
  <c r="G92" i="175"/>
  <c r="K91" i="175"/>
  <c r="O90" i="175"/>
  <c r="G90" i="175"/>
  <c r="K89" i="175"/>
  <c r="O88" i="175"/>
  <c r="G88" i="175"/>
  <c r="K87" i="175"/>
  <c r="O86" i="175"/>
  <c r="G86" i="175"/>
  <c r="K85" i="175"/>
  <c r="O84" i="175"/>
  <c r="G84" i="175"/>
  <c r="K83" i="175"/>
  <c r="N100" i="175"/>
  <c r="F100" i="175"/>
  <c r="J99" i="175"/>
  <c r="N98" i="175"/>
  <c r="F98" i="175"/>
  <c r="J97" i="175"/>
  <c r="N96" i="175"/>
  <c r="F96" i="175"/>
  <c r="J95" i="175"/>
  <c r="N94" i="175"/>
  <c r="F94" i="175"/>
  <c r="J93" i="175"/>
  <c r="N92" i="175"/>
  <c r="F92" i="175"/>
  <c r="J91" i="175"/>
  <c r="N90" i="175"/>
  <c r="F90" i="175"/>
  <c r="J89" i="175"/>
  <c r="N88" i="175"/>
  <c r="F88" i="175"/>
  <c r="J87" i="175"/>
  <c r="N86" i="175"/>
  <c r="F86" i="175"/>
  <c r="J85" i="175"/>
  <c r="N84" i="175"/>
  <c r="F84" i="175"/>
  <c r="J83" i="175"/>
  <c r="N82" i="175"/>
  <c r="F82" i="175"/>
  <c r="J100" i="175"/>
  <c r="N99" i="175"/>
  <c r="F99" i="175"/>
  <c r="J98" i="175"/>
  <c r="N97" i="175"/>
  <c r="F97" i="175"/>
  <c r="J96" i="175"/>
  <c r="N95" i="175"/>
  <c r="F95" i="175"/>
  <c r="J94" i="175"/>
  <c r="N93" i="175"/>
  <c r="F93" i="175"/>
  <c r="J92" i="175"/>
  <c r="N91" i="175"/>
  <c r="F91" i="175"/>
  <c r="J90" i="175"/>
  <c r="N89" i="175"/>
  <c r="F89" i="175"/>
  <c r="M100" i="175"/>
  <c r="E98" i="175"/>
  <c r="O97" i="175"/>
  <c r="G95" i="175"/>
  <c r="L94" i="175"/>
  <c r="Q93" i="175"/>
  <c r="I91" i="175"/>
  <c r="L88" i="175"/>
  <c r="H87" i="175"/>
  <c r="P85" i="175"/>
  <c r="L84" i="175"/>
  <c r="N83" i="175"/>
  <c r="G82" i="175"/>
  <c r="J81" i="175"/>
  <c r="N80" i="175"/>
  <c r="F80" i="175"/>
  <c r="J79" i="175"/>
  <c r="N78" i="175"/>
  <c r="F78" i="175"/>
  <c r="J77" i="175"/>
  <c r="N76" i="175"/>
  <c r="F76" i="175"/>
  <c r="J75" i="175"/>
  <c r="N74" i="175"/>
  <c r="F74" i="175"/>
  <c r="J73" i="175"/>
  <c r="N72" i="175"/>
  <c r="F72" i="175"/>
  <c r="J71" i="175"/>
  <c r="N70" i="175"/>
  <c r="F70" i="175"/>
  <c r="J69" i="175"/>
  <c r="N68" i="175"/>
  <c r="F68" i="175"/>
  <c r="J67" i="175"/>
  <c r="N66" i="175"/>
  <c r="F66" i="175"/>
  <c r="J65" i="175"/>
  <c r="N64" i="175"/>
  <c r="F64" i="175"/>
  <c r="J63" i="175"/>
  <c r="N62" i="175"/>
  <c r="F62" i="175"/>
  <c r="J61" i="175"/>
  <c r="N60" i="175"/>
  <c r="F60" i="175"/>
  <c r="J59" i="175"/>
  <c r="N58" i="175"/>
  <c r="F58" i="175"/>
  <c r="J57" i="175"/>
  <c r="N56" i="175"/>
  <c r="F56" i="175"/>
  <c r="J55" i="175"/>
  <c r="N54" i="175"/>
  <c r="F54" i="175"/>
  <c r="J53" i="175"/>
  <c r="N52" i="175"/>
  <c r="L100" i="175"/>
  <c r="Q99" i="175"/>
  <c r="I97" i="175"/>
  <c r="K94" i="175"/>
  <c r="P93" i="175"/>
  <c r="H91" i="175"/>
  <c r="M90" i="175"/>
  <c r="K88" i="175"/>
  <c r="G87" i="175"/>
  <c r="O85" i="175"/>
  <c r="K84" i="175"/>
  <c r="L83" i="175"/>
  <c r="P82" i="175"/>
  <c r="E82" i="175"/>
  <c r="Q81" i="175"/>
  <c r="I81" i="175"/>
  <c r="M80" i="175"/>
  <c r="E80" i="175"/>
  <c r="Q79" i="175"/>
  <c r="I79" i="175"/>
  <c r="M78" i="175"/>
  <c r="E78" i="175"/>
  <c r="Q77" i="175"/>
  <c r="I77" i="175"/>
  <c r="M76" i="175"/>
  <c r="E76" i="175"/>
  <c r="Q75" i="175"/>
  <c r="I75" i="175"/>
  <c r="M74" i="175"/>
  <c r="E74" i="175"/>
  <c r="Q73" i="175"/>
  <c r="I73" i="175"/>
  <c r="M72" i="175"/>
  <c r="E72" i="175"/>
  <c r="Q71" i="175"/>
  <c r="I71" i="175"/>
  <c r="M70" i="175"/>
  <c r="E70" i="175"/>
  <c r="Q69" i="175"/>
  <c r="I69" i="175"/>
  <c r="M68" i="175"/>
  <c r="E68" i="175"/>
  <c r="Q67" i="175"/>
  <c r="I67" i="175"/>
  <c r="M66" i="175"/>
  <c r="E66" i="175"/>
  <c r="Q65" i="175"/>
  <c r="I65" i="175"/>
  <c r="M64" i="175"/>
  <c r="E64" i="175"/>
  <c r="Q63" i="175"/>
  <c r="I63" i="175"/>
  <c r="M62" i="175"/>
  <c r="E62" i="175"/>
  <c r="Q61" i="175"/>
  <c r="I61" i="175"/>
  <c r="M60" i="175"/>
  <c r="E60" i="175"/>
  <c r="Q59" i="175"/>
  <c r="I59" i="175"/>
  <c r="M58" i="175"/>
  <c r="E58" i="175"/>
  <c r="Q57" i="175"/>
  <c r="I57" i="175"/>
  <c r="M56" i="175"/>
  <c r="E56" i="175"/>
  <c r="Q55" i="175"/>
  <c r="I55" i="175"/>
  <c r="M54" i="175"/>
  <c r="E54" i="175"/>
  <c r="Q53" i="175"/>
  <c r="I53" i="175"/>
  <c r="M52" i="175"/>
  <c r="E52" i="175"/>
  <c r="Q51" i="175"/>
  <c r="I51" i="175"/>
  <c r="M50" i="175"/>
  <c r="E50" i="175"/>
  <c r="Q49" i="175"/>
  <c r="I49" i="175"/>
  <c r="K100" i="175"/>
  <c r="P99" i="175"/>
  <c r="H97" i="175"/>
  <c r="M96" i="175"/>
  <c r="E94" i="175"/>
  <c r="O93" i="175"/>
  <c r="G91" i="175"/>
  <c r="L90" i="175"/>
  <c r="Q89" i="175"/>
  <c r="J88" i="175"/>
  <c r="F87" i="175"/>
  <c r="N85" i="175"/>
  <c r="J84" i="175"/>
  <c r="I83" i="175"/>
  <c r="O82" i="175"/>
  <c r="P81" i="175"/>
  <c r="H81" i="175"/>
  <c r="L80" i="175"/>
  <c r="P79" i="175"/>
  <c r="H79" i="175"/>
  <c r="L78" i="175"/>
  <c r="P77" i="175"/>
  <c r="H77" i="175"/>
  <c r="L76" i="175"/>
  <c r="P75" i="175"/>
  <c r="H75" i="175"/>
  <c r="L74" i="175"/>
  <c r="P73" i="175"/>
  <c r="H73" i="175"/>
  <c r="L72" i="175"/>
  <c r="P71" i="175"/>
  <c r="H71" i="175"/>
  <c r="L70" i="175"/>
  <c r="P69" i="175"/>
  <c r="H69" i="175"/>
  <c r="L68" i="175"/>
  <c r="P67" i="175"/>
  <c r="H67" i="175"/>
  <c r="E100" i="175"/>
  <c r="O99" i="175"/>
  <c r="G97" i="175"/>
  <c r="L96" i="175"/>
  <c r="Q95" i="175"/>
  <c r="I93" i="175"/>
  <c r="K90" i="175"/>
  <c r="P89" i="175"/>
  <c r="E88" i="175"/>
  <c r="Q87" i="175"/>
  <c r="M86" i="175"/>
  <c r="I85" i="175"/>
  <c r="E84" i="175"/>
  <c r="H83" i="175"/>
  <c r="M82" i="175"/>
  <c r="O81" i="175"/>
  <c r="I99" i="175"/>
  <c r="K96" i="175"/>
  <c r="P95" i="175"/>
  <c r="H93" i="175"/>
  <c r="M92" i="175"/>
  <c r="E90" i="175"/>
  <c r="O89" i="175"/>
  <c r="P87" i="175"/>
  <c r="L86" i="175"/>
  <c r="H85" i="175"/>
  <c r="G83" i="175"/>
  <c r="L82" i="175"/>
  <c r="N81" i="175"/>
  <c r="F81" i="175"/>
  <c r="J80" i="175"/>
  <c r="N79" i="175"/>
  <c r="F79" i="175"/>
  <c r="J78" i="175"/>
  <c r="N77" i="175"/>
  <c r="F77" i="175"/>
  <c r="J76" i="175"/>
  <c r="N75" i="175"/>
  <c r="F75" i="175"/>
  <c r="J74" i="175"/>
  <c r="N73" i="175"/>
  <c r="F73" i="175"/>
  <c r="J72" i="175"/>
  <c r="N71" i="175"/>
  <c r="F71" i="175"/>
  <c r="J70" i="175"/>
  <c r="N69" i="175"/>
  <c r="F69" i="175"/>
  <c r="J68" i="175"/>
  <c r="N67" i="175"/>
  <c r="F67" i="175"/>
  <c r="J66" i="175"/>
  <c r="N65" i="175"/>
  <c r="F65" i="175"/>
  <c r="J64" i="175"/>
  <c r="G99" i="175"/>
  <c r="L98" i="175"/>
  <c r="Q97" i="175"/>
  <c r="I95" i="175"/>
  <c r="K92" i="175"/>
  <c r="P91" i="175"/>
  <c r="H89" i="175"/>
  <c r="N87" i="175"/>
  <c r="J86" i="175"/>
  <c r="F85" i="175"/>
  <c r="P83" i="175"/>
  <c r="J82" i="175"/>
  <c r="L81" i="175"/>
  <c r="P80" i="175"/>
  <c r="H80" i="175"/>
  <c r="L79" i="175"/>
  <c r="P78" i="175"/>
  <c r="H78" i="175"/>
  <c r="L77" i="175"/>
  <c r="P76" i="175"/>
  <c r="H76" i="175"/>
  <c r="L75" i="175"/>
  <c r="P74" i="175"/>
  <c r="H74" i="175"/>
  <c r="L73" i="175"/>
  <c r="P72" i="175"/>
  <c r="H72" i="175"/>
  <c r="L71" i="175"/>
  <c r="P70" i="175"/>
  <c r="H70" i="175"/>
  <c r="L69" i="175"/>
  <c r="P68" i="175"/>
  <c r="H68" i="175"/>
  <c r="L67" i="175"/>
  <c r="P66" i="175"/>
  <c r="H66" i="175"/>
  <c r="L65" i="175"/>
  <c r="P64" i="175"/>
  <c r="H64" i="175"/>
  <c r="L63" i="175"/>
  <c r="P62" i="175"/>
  <c r="H62" i="175"/>
  <c r="L61" i="175"/>
  <c r="P60" i="175"/>
  <c r="H60" i="175"/>
  <c r="K98" i="175"/>
  <c r="P97" i="175"/>
  <c r="H95" i="175"/>
  <c r="M94" i="175"/>
  <c r="E92" i="175"/>
  <c r="O91" i="175"/>
  <c r="G89" i="175"/>
  <c r="M88" i="175"/>
  <c r="I87" i="175"/>
  <c r="E86" i="175"/>
  <c r="Q85" i="175"/>
  <c r="M84" i="175"/>
  <c r="O83" i="175"/>
  <c r="H82" i="175"/>
  <c r="K81" i="175"/>
  <c r="O80" i="175"/>
  <c r="G80" i="175"/>
  <c r="K79" i="175"/>
  <c r="O78" i="175"/>
  <c r="G78" i="175"/>
  <c r="K77" i="175"/>
  <c r="O76" i="175"/>
  <c r="G76" i="175"/>
  <c r="K75" i="175"/>
  <c r="O74" i="175"/>
  <c r="G74" i="175"/>
  <c r="K73" i="175"/>
  <c r="O72" i="175"/>
  <c r="G72" i="175"/>
  <c r="K71" i="175"/>
  <c r="O70" i="175"/>
  <c r="G70" i="175"/>
  <c r="K69" i="175"/>
  <c r="O68" i="175"/>
  <c r="G68" i="175"/>
  <c r="K67" i="175"/>
  <c r="O66" i="175"/>
  <c r="G66" i="175"/>
  <c r="K65" i="175"/>
  <c r="O64" i="175"/>
  <c r="G64" i="175"/>
  <c r="K63" i="175"/>
  <c r="O62" i="175"/>
  <c r="G62" i="175"/>
  <c r="K61" i="175"/>
  <c r="O60" i="175"/>
  <c r="G60" i="175"/>
  <c r="K59" i="175"/>
  <c r="O58" i="175"/>
  <c r="G58" i="175"/>
  <c r="K57" i="175"/>
  <c r="O56" i="175"/>
  <c r="G56" i="175"/>
  <c r="K55" i="175"/>
  <c r="Q80" i="175"/>
  <c r="M79" i="175"/>
  <c r="I78" i="175"/>
  <c r="E77" i="175"/>
  <c r="Q72" i="175"/>
  <c r="M71" i="175"/>
  <c r="I70" i="175"/>
  <c r="E69" i="175"/>
  <c r="G65" i="175"/>
  <c r="L64" i="175"/>
  <c r="E63" i="175"/>
  <c r="Q62" i="175"/>
  <c r="M61" i="175"/>
  <c r="I60" i="175"/>
  <c r="H59" i="175"/>
  <c r="K58" i="175"/>
  <c r="N57" i="175"/>
  <c r="Q56" i="175"/>
  <c r="F55" i="175"/>
  <c r="J54" i="175"/>
  <c r="P53" i="175"/>
  <c r="F53" i="175"/>
  <c r="L52" i="175"/>
  <c r="M51" i="175"/>
  <c r="N50" i="175"/>
  <c r="N49" i="175"/>
  <c r="E49" i="175"/>
  <c r="Q48" i="175"/>
  <c r="I48" i="175"/>
  <c r="M47" i="175"/>
  <c r="E47" i="175"/>
  <c r="Q46" i="175"/>
  <c r="I46" i="175"/>
  <c r="M45" i="175"/>
  <c r="E45" i="175"/>
  <c r="Q44" i="175"/>
  <c r="I44" i="175"/>
  <c r="M43" i="175"/>
  <c r="E43" i="175"/>
  <c r="Q42" i="175"/>
  <c r="I42" i="175"/>
  <c r="M41" i="175"/>
  <c r="E41" i="175"/>
  <c r="Q40" i="175"/>
  <c r="I40" i="175"/>
  <c r="M39" i="175"/>
  <c r="E39" i="175"/>
  <c r="Q38" i="175"/>
  <c r="I38" i="175"/>
  <c r="M37" i="175"/>
  <c r="E37" i="175"/>
  <c r="Q36" i="175"/>
  <c r="I36" i="175"/>
  <c r="M35" i="175"/>
  <c r="E35" i="175"/>
  <c r="Q34" i="175"/>
  <c r="I34" i="175"/>
  <c r="M33" i="175"/>
  <c r="E33" i="175"/>
  <c r="Q32" i="175"/>
  <c r="I32" i="175"/>
  <c r="M31" i="175"/>
  <c r="E31" i="175"/>
  <c r="Q30" i="175"/>
  <c r="I30" i="175"/>
  <c r="M29" i="175"/>
  <c r="E29" i="175"/>
  <c r="Q28" i="175"/>
  <c r="I28" i="175"/>
  <c r="M27" i="175"/>
  <c r="E27" i="175"/>
  <c r="Q26" i="175"/>
  <c r="I26" i="175"/>
  <c r="M25" i="175"/>
  <c r="E25" i="175"/>
  <c r="Q24" i="175"/>
  <c r="I24" i="175"/>
  <c r="M23" i="175"/>
  <c r="E23" i="175"/>
  <c r="Q22" i="175"/>
  <c r="I22" i="175"/>
  <c r="M21" i="175"/>
  <c r="E21" i="175"/>
  <c r="J20" i="175"/>
  <c r="N19" i="175"/>
  <c r="F19" i="175"/>
  <c r="J18" i="175"/>
  <c r="N17" i="175"/>
  <c r="F17" i="175"/>
  <c r="E96" i="175"/>
  <c r="G85" i="175"/>
  <c r="K80" i="175"/>
  <c r="G79" i="175"/>
  <c r="O73" i="175"/>
  <c r="K72" i="175"/>
  <c r="G71" i="175"/>
  <c r="E65" i="175"/>
  <c r="K64" i="175"/>
  <c r="P63" i="175"/>
  <c r="L62" i="175"/>
  <c r="H61" i="175"/>
  <c r="G59" i="175"/>
  <c r="J58" i="175"/>
  <c r="M57" i="175"/>
  <c r="P56" i="175"/>
  <c r="P55" i="175"/>
  <c r="E55" i="175"/>
  <c r="I54" i="175"/>
  <c r="O53" i="175"/>
  <c r="E53" i="175"/>
  <c r="K52" i="175"/>
  <c r="L51" i="175"/>
  <c r="L50" i="175"/>
  <c r="M49" i="175"/>
  <c r="G81" i="175"/>
  <c r="O75" i="175"/>
  <c r="K74" i="175"/>
  <c r="G73" i="175"/>
  <c r="O67" i="175"/>
  <c r="L66" i="175"/>
  <c r="N63" i="175"/>
  <c r="J62" i="175"/>
  <c r="F61" i="175"/>
  <c r="P59" i="175"/>
  <c r="E59" i="175"/>
  <c r="H58" i="175"/>
  <c r="H57" i="175"/>
  <c r="K56" i="175"/>
  <c r="N55" i="175"/>
  <c r="Q54" i="175"/>
  <c r="G54" i="175"/>
  <c r="M53" i="175"/>
  <c r="I52" i="175"/>
  <c r="J51" i="175"/>
  <c r="J50" i="175"/>
  <c r="K49" i="175"/>
  <c r="N48" i="175"/>
  <c r="F48" i="175"/>
  <c r="J47" i="175"/>
  <c r="N46" i="175"/>
  <c r="F46" i="175"/>
  <c r="J45" i="175"/>
  <c r="N44" i="175"/>
  <c r="F44" i="175"/>
  <c r="J43" i="175"/>
  <c r="N42" i="175"/>
  <c r="F42" i="175"/>
  <c r="J41" i="175"/>
  <c r="N40" i="175"/>
  <c r="F40" i="175"/>
  <c r="J39" i="175"/>
  <c r="N38" i="175"/>
  <c r="F38" i="175"/>
  <c r="J37" i="175"/>
  <c r="N36" i="175"/>
  <c r="F36" i="175"/>
  <c r="J35" i="175"/>
  <c r="N34" i="175"/>
  <c r="F34" i="175"/>
  <c r="J33" i="175"/>
  <c r="N32" i="175"/>
  <c r="F32" i="175"/>
  <c r="J31" i="175"/>
  <c r="N30" i="175"/>
  <c r="F30" i="175"/>
  <c r="J29" i="175"/>
  <c r="N28" i="175"/>
  <c r="F28" i="175"/>
  <c r="J27" i="175"/>
  <c r="N26" i="175"/>
  <c r="F26" i="175"/>
  <c r="J25" i="175"/>
  <c r="N24" i="175"/>
  <c r="F24" i="175"/>
  <c r="J23" i="175"/>
  <c r="N22" i="175"/>
  <c r="F22" i="175"/>
  <c r="J21" i="175"/>
  <c r="O20" i="175"/>
  <c r="G20" i="175"/>
  <c r="K19" i="175"/>
  <c r="O18" i="175"/>
  <c r="G18" i="175"/>
  <c r="K17" i="175"/>
  <c r="Q83" i="175"/>
  <c r="E81" i="175"/>
  <c r="Q76" i="175"/>
  <c r="M75" i="175"/>
  <c r="I74" i="175"/>
  <c r="E73" i="175"/>
  <c r="Q68" i="175"/>
  <c r="M67" i="175"/>
  <c r="K66" i="175"/>
  <c r="P65" i="175"/>
  <c r="M63" i="175"/>
  <c r="I62" i="175"/>
  <c r="E61" i="175"/>
  <c r="Q60" i="175"/>
  <c r="O59" i="175"/>
  <c r="G57" i="175"/>
  <c r="J56" i="175"/>
  <c r="M55" i="175"/>
  <c r="P54" i="175"/>
  <c r="L53" i="175"/>
  <c r="H52" i="175"/>
  <c r="H51" i="175"/>
  <c r="I50" i="175"/>
  <c r="J49" i="175"/>
  <c r="M48" i="175"/>
  <c r="E48" i="175"/>
  <c r="Q47" i="175"/>
  <c r="I47" i="175"/>
  <c r="M46" i="175"/>
  <c r="E46" i="175"/>
  <c r="Q45" i="175"/>
  <c r="I45" i="175"/>
  <c r="M44" i="175"/>
  <c r="E44" i="175"/>
  <c r="Q43" i="175"/>
  <c r="I43" i="175"/>
  <c r="M42" i="175"/>
  <c r="E42" i="175"/>
  <c r="Q41" i="175"/>
  <c r="I41" i="175"/>
  <c r="M40" i="175"/>
  <c r="E40" i="175"/>
  <c r="Q39" i="175"/>
  <c r="I39" i="175"/>
  <c r="M38" i="175"/>
  <c r="E38" i="175"/>
  <c r="Q37" i="175"/>
  <c r="I37" i="175"/>
  <c r="M36" i="175"/>
  <c r="E36" i="175"/>
  <c r="Q35" i="175"/>
  <c r="I35" i="175"/>
  <c r="M34" i="175"/>
  <c r="E34" i="175"/>
  <c r="Q33" i="175"/>
  <c r="I33" i="175"/>
  <c r="M32" i="175"/>
  <c r="E32" i="175"/>
  <c r="Q31" i="175"/>
  <c r="I31" i="175"/>
  <c r="M30" i="175"/>
  <c r="E30" i="175"/>
  <c r="Q29" i="175"/>
  <c r="I29" i="175"/>
  <c r="M28" i="175"/>
  <c r="E28" i="175"/>
  <c r="M98" i="175"/>
  <c r="L92" i="175"/>
  <c r="Q78" i="175"/>
  <c r="M77" i="175"/>
  <c r="I76" i="175"/>
  <c r="E75" i="175"/>
  <c r="Q70" i="175"/>
  <c r="M69" i="175"/>
  <c r="I68" i="175"/>
  <c r="E67" i="175"/>
  <c r="M65" i="175"/>
  <c r="G63" i="175"/>
  <c r="O61" i="175"/>
  <c r="K60" i="175"/>
  <c r="M59" i="175"/>
  <c r="P58" i="175"/>
  <c r="P57" i="175"/>
  <c r="E57" i="175"/>
  <c r="H56" i="175"/>
  <c r="H55" i="175"/>
  <c r="L54" i="175"/>
  <c r="H53" i="175"/>
  <c r="P52" i="175"/>
  <c r="F52" i="175"/>
  <c r="O51" i="175"/>
  <c r="F51" i="175"/>
  <c r="P50" i="175"/>
  <c r="G50" i="175"/>
  <c r="P49" i="175"/>
  <c r="G49" i="175"/>
  <c r="K48" i="175"/>
  <c r="O47" i="175"/>
  <c r="G47" i="175"/>
  <c r="K46" i="175"/>
  <c r="O45" i="175"/>
  <c r="G45" i="175"/>
  <c r="K44" i="175"/>
  <c r="O43" i="175"/>
  <c r="G43" i="175"/>
  <c r="K42" i="175"/>
  <c r="O41" i="175"/>
  <c r="G41" i="175"/>
  <c r="K40" i="175"/>
  <c r="O39" i="175"/>
  <c r="G39" i="175"/>
  <c r="K38" i="175"/>
  <c r="O37" i="175"/>
  <c r="G37" i="175"/>
  <c r="K36" i="175"/>
  <c r="O35" i="175"/>
  <c r="G35" i="175"/>
  <c r="K34" i="175"/>
  <c r="O33" i="175"/>
  <c r="G33" i="175"/>
  <c r="K32" i="175"/>
  <c r="O31" i="175"/>
  <c r="G31" i="175"/>
  <c r="K30" i="175"/>
  <c r="O29" i="175"/>
  <c r="G29" i="175"/>
  <c r="K28" i="175"/>
  <c r="O27" i="175"/>
  <c r="G27" i="175"/>
  <c r="K26" i="175"/>
  <c r="O25" i="175"/>
  <c r="G25" i="175"/>
  <c r="K24" i="175"/>
  <c r="O23" i="175"/>
  <c r="G23" i="175"/>
  <c r="K22" i="175"/>
  <c r="O21" i="175"/>
  <c r="G21" i="175"/>
  <c r="L20" i="175"/>
  <c r="P19" i="175"/>
  <c r="H19" i="175"/>
  <c r="L18" i="175"/>
  <c r="P17" i="175"/>
  <c r="H17" i="175"/>
  <c r="Q91" i="175"/>
  <c r="K86" i="175"/>
  <c r="K82" i="175"/>
  <c r="O79" i="175"/>
  <c r="K78" i="175"/>
  <c r="G77" i="175"/>
  <c r="O71" i="175"/>
  <c r="K70" i="175"/>
  <c r="G69" i="175"/>
  <c r="H65" i="175"/>
  <c r="Q64" i="175"/>
  <c r="F63" i="175"/>
  <c r="N61" i="175"/>
  <c r="J60" i="175"/>
  <c r="L59" i="175"/>
  <c r="L58" i="175"/>
  <c r="O57" i="175"/>
  <c r="G55" i="175"/>
  <c r="K54" i="175"/>
  <c r="G53" i="175"/>
  <c r="O52" i="175"/>
  <c r="N51" i="175"/>
  <c r="E51" i="175"/>
  <c r="O50" i="175"/>
  <c r="F50" i="175"/>
  <c r="O49" i="175"/>
  <c r="F49" i="175"/>
  <c r="J48" i="175"/>
  <c r="N47" i="175"/>
  <c r="F47" i="175"/>
  <c r="J46" i="175"/>
  <c r="N45" i="175"/>
  <c r="F45" i="175"/>
  <c r="J44" i="175"/>
  <c r="N43" i="175"/>
  <c r="F43" i="175"/>
  <c r="J42" i="175"/>
  <c r="N41" i="175"/>
  <c r="F41" i="175"/>
  <c r="J40" i="175"/>
  <c r="N39" i="175"/>
  <c r="F39" i="175"/>
  <c r="J38" i="175"/>
  <c r="N37" i="175"/>
  <c r="F37" i="175"/>
  <c r="J36" i="175"/>
  <c r="N35" i="175"/>
  <c r="F35" i="175"/>
  <c r="J34" i="175"/>
  <c r="N33" i="175"/>
  <c r="F33" i="175"/>
  <c r="J32" i="175"/>
  <c r="N31" i="175"/>
  <c r="F31" i="175"/>
  <c r="J30" i="175"/>
  <c r="N29" i="175"/>
  <c r="F29" i="175"/>
  <c r="J28" i="175"/>
  <c r="N27" i="175"/>
  <c r="F27" i="175"/>
  <c r="J26" i="175"/>
  <c r="N25" i="175"/>
  <c r="F25" i="175"/>
  <c r="J24" i="175"/>
  <c r="N23" i="175"/>
  <c r="F23" i="175"/>
  <c r="J22" i="175"/>
  <c r="N21" i="175"/>
  <c r="F21" i="175"/>
  <c r="K20" i="175"/>
  <c r="O19" i="175"/>
  <c r="G19" i="175"/>
  <c r="K18" i="175"/>
  <c r="O17" i="175"/>
  <c r="G17" i="175"/>
  <c r="O95" i="175"/>
  <c r="I80" i="175"/>
  <c r="E71" i="175"/>
  <c r="Q66" i="175"/>
  <c r="O63" i="175"/>
  <c r="G61" i="175"/>
  <c r="F59" i="175"/>
  <c r="L57" i="175"/>
  <c r="O55" i="175"/>
  <c r="J52" i="175"/>
  <c r="P48" i="175"/>
  <c r="H46" i="175"/>
  <c r="P45" i="175"/>
  <c r="H43" i="175"/>
  <c r="O42" i="175"/>
  <c r="G40" i="175"/>
  <c r="L39" i="175"/>
  <c r="L36" i="175"/>
  <c r="K33" i="175"/>
  <c r="P32" i="175"/>
  <c r="H30" i="175"/>
  <c r="P29" i="175"/>
  <c r="K27" i="175"/>
  <c r="G26" i="175"/>
  <c r="O24" i="175"/>
  <c r="K23" i="175"/>
  <c r="G22" i="175"/>
  <c r="P20" i="175"/>
  <c r="L19" i="175"/>
  <c r="H18" i="175"/>
  <c r="M16" i="175"/>
  <c r="E16" i="175"/>
  <c r="Q15" i="175"/>
  <c r="I15" i="175"/>
  <c r="M14" i="175"/>
  <c r="E14" i="175"/>
  <c r="Q13" i="175"/>
  <c r="I13" i="175"/>
  <c r="N12" i="175"/>
  <c r="F12" i="175"/>
  <c r="J11" i="175"/>
  <c r="N10" i="175"/>
  <c r="F10" i="175"/>
  <c r="J9" i="175"/>
  <c r="O8" i="175"/>
  <c r="G8" i="175"/>
  <c r="L7" i="175"/>
  <c r="Q6" i="175"/>
  <c r="I6" i="175"/>
  <c r="M5" i="175"/>
  <c r="E5" i="175"/>
  <c r="Q4" i="175"/>
  <c r="I4" i="175"/>
  <c r="O3" i="175"/>
  <c r="G3" i="175"/>
  <c r="G93" i="175"/>
  <c r="G75" i="175"/>
  <c r="I66" i="175"/>
  <c r="H63" i="175"/>
  <c r="F57" i="175"/>
  <c r="L55" i="175"/>
  <c r="G52" i="175"/>
  <c r="O48" i="175"/>
  <c r="G46" i="175"/>
  <c r="L45" i="175"/>
  <c r="L42" i="175"/>
  <c r="K39" i="175"/>
  <c r="P38" i="175"/>
  <c r="H36" i="175"/>
  <c r="P35" i="175"/>
  <c r="H33" i="175"/>
  <c r="O32" i="175"/>
  <c r="G30" i="175"/>
  <c r="L29" i="175"/>
  <c r="I27" i="175"/>
  <c r="E26" i="175"/>
  <c r="Q25" i="175"/>
  <c r="M24" i="175"/>
  <c r="I23" i="175"/>
  <c r="E22" i="175"/>
  <c r="Q21" i="175"/>
  <c r="N20" i="175"/>
  <c r="J19" i="175"/>
  <c r="F18" i="175"/>
  <c r="L16" i="175"/>
  <c r="P15" i="175"/>
  <c r="H15" i="175"/>
  <c r="L14" i="175"/>
  <c r="P13" i="175"/>
  <c r="H13" i="175"/>
  <c r="M12" i="175"/>
  <c r="E12" i="175"/>
  <c r="Q11" i="175"/>
  <c r="I11" i="175"/>
  <c r="M10" i="175"/>
  <c r="E10" i="175"/>
  <c r="Q9" i="175"/>
  <c r="I9" i="175"/>
  <c r="N8" i="175"/>
  <c r="F8" i="175"/>
  <c r="K7" i="175"/>
  <c r="P6" i="175"/>
  <c r="H6" i="175"/>
  <c r="L5" i="175"/>
  <c r="P4" i="175"/>
  <c r="H4" i="175"/>
  <c r="N3" i="175"/>
  <c r="F3" i="175"/>
  <c r="I89" i="175"/>
  <c r="E79" i="175"/>
  <c r="Q74" i="175"/>
  <c r="N53" i="175"/>
  <c r="L49" i="175"/>
  <c r="L48" i="175"/>
  <c r="K45" i="175"/>
  <c r="P44" i="175"/>
  <c r="H42" i="175"/>
  <c r="P41" i="175"/>
  <c r="H39" i="175"/>
  <c r="O38" i="175"/>
  <c r="G36" i="175"/>
  <c r="L35" i="175"/>
  <c r="L32" i="175"/>
  <c r="K29" i="175"/>
  <c r="P28" i="175"/>
  <c r="H27" i="175"/>
  <c r="P25" i="175"/>
  <c r="L24" i="175"/>
  <c r="H23" i="175"/>
  <c r="P21" i="175"/>
  <c r="M20" i="175"/>
  <c r="I19" i="175"/>
  <c r="E18" i="175"/>
  <c r="Q17" i="175"/>
  <c r="K16" i="175"/>
  <c r="O15" i="175"/>
  <c r="G15" i="175"/>
  <c r="K14" i="175"/>
  <c r="O13" i="175"/>
  <c r="G13" i="175"/>
  <c r="L12" i="175"/>
  <c r="P11" i="175"/>
  <c r="H11" i="175"/>
  <c r="L10" i="175"/>
  <c r="P9" i="175"/>
  <c r="H9" i="175"/>
  <c r="M8" i="175"/>
  <c r="E8" i="175"/>
  <c r="J7" i="175"/>
  <c r="O6" i="175"/>
  <c r="G6" i="175"/>
  <c r="K5" i="175"/>
  <c r="O4" i="175"/>
  <c r="G4" i="175"/>
  <c r="M3" i="175"/>
  <c r="E3" i="175"/>
  <c r="O87" i="175"/>
  <c r="O69" i="175"/>
  <c r="O65" i="175"/>
  <c r="L60" i="175"/>
  <c r="Q58" i="175"/>
  <c r="K53" i="175"/>
  <c r="Q50" i="175"/>
  <c r="H49" i="175"/>
  <c r="H48" i="175"/>
  <c r="P47" i="175"/>
  <c r="H45" i="175"/>
  <c r="O44" i="175"/>
  <c r="G42" i="175"/>
  <c r="L41" i="175"/>
  <c r="L38" i="175"/>
  <c r="K35" i="175"/>
  <c r="P34" i="175"/>
  <c r="H32" i="175"/>
  <c r="P31" i="175"/>
  <c r="H29" i="175"/>
  <c r="O28" i="175"/>
  <c r="P26" i="175"/>
  <c r="L25" i="175"/>
  <c r="H24" i="175"/>
  <c r="P22" i="175"/>
  <c r="L21" i="175"/>
  <c r="I20" i="175"/>
  <c r="E19" i="175"/>
  <c r="Q18" i="175"/>
  <c r="M17" i="175"/>
  <c r="J16" i="175"/>
  <c r="N15" i="175"/>
  <c r="F15" i="175"/>
  <c r="J14" i="175"/>
  <c r="N13" i="175"/>
  <c r="F13" i="175"/>
  <c r="K12" i="175"/>
  <c r="O11" i="175"/>
  <c r="G11" i="175"/>
  <c r="K10" i="175"/>
  <c r="O9" i="175"/>
  <c r="G9" i="175"/>
  <c r="L8" i="175"/>
  <c r="Q7" i="175"/>
  <c r="I7" i="175"/>
  <c r="N6" i="175"/>
  <c r="F6" i="175"/>
  <c r="J5" i="175"/>
  <c r="N4" i="175"/>
  <c r="F4" i="175"/>
  <c r="L3" i="175"/>
  <c r="M73" i="175"/>
  <c r="K62" i="175"/>
  <c r="I58" i="175"/>
  <c r="L56" i="175"/>
  <c r="K50" i="175"/>
  <c r="G48" i="175"/>
  <c r="L47" i="175"/>
  <c r="L44" i="175"/>
  <c r="K41" i="175"/>
  <c r="P40" i="175"/>
  <c r="H38" i="175"/>
  <c r="P37" i="175"/>
  <c r="H35" i="175"/>
  <c r="O34" i="175"/>
  <c r="G32" i="175"/>
  <c r="L31" i="175"/>
  <c r="L28" i="175"/>
  <c r="O26" i="175"/>
  <c r="K25" i="175"/>
  <c r="G24" i="175"/>
  <c r="O22" i="175"/>
  <c r="K21" i="175"/>
  <c r="H20" i="175"/>
  <c r="P18" i="175"/>
  <c r="L17" i="175"/>
  <c r="Q16" i="175"/>
  <c r="I16" i="175"/>
  <c r="M15" i="175"/>
  <c r="E15" i="175"/>
  <c r="Q14" i="175"/>
  <c r="I14" i="175"/>
  <c r="M13" i="175"/>
  <c r="E13" i="175"/>
  <c r="J12" i="175"/>
  <c r="N11" i="175"/>
  <c r="F11" i="175"/>
  <c r="J10" i="175"/>
  <c r="N9" i="175"/>
  <c r="F9" i="175"/>
  <c r="K8" i="175"/>
  <c r="P7" i="175"/>
  <c r="H7" i="175"/>
  <c r="M6" i="175"/>
  <c r="E6" i="175"/>
  <c r="Q5" i="175"/>
  <c r="I5" i="175"/>
  <c r="M4" i="175"/>
  <c r="E4" i="175"/>
  <c r="K3" i="175"/>
  <c r="M81" i="175"/>
  <c r="I72" i="175"/>
  <c r="I64" i="175"/>
  <c r="H54" i="175"/>
  <c r="K51" i="175"/>
  <c r="H47" i="175"/>
  <c r="O46" i="175"/>
  <c r="G44" i="175"/>
  <c r="L43" i="175"/>
  <c r="L40" i="175"/>
  <c r="K37" i="175"/>
  <c r="P36" i="175"/>
  <c r="H34" i="175"/>
  <c r="P33" i="175"/>
  <c r="H31" i="175"/>
  <c r="O30" i="175"/>
  <c r="G28" i="175"/>
  <c r="P27" i="175"/>
  <c r="L26" i="175"/>
  <c r="H25" i="175"/>
  <c r="P23" i="175"/>
  <c r="L22" i="175"/>
  <c r="H21" i="175"/>
  <c r="E20" i="175"/>
  <c r="Q19" i="175"/>
  <c r="M18" i="175"/>
  <c r="I17" i="175"/>
  <c r="O16" i="175"/>
  <c r="G16" i="175"/>
  <c r="K15" i="175"/>
  <c r="O14" i="175"/>
  <c r="G14" i="175"/>
  <c r="K13" i="175"/>
  <c r="P12" i="175"/>
  <c r="H12" i="175"/>
  <c r="L11" i="175"/>
  <c r="P10" i="175"/>
  <c r="H10" i="175"/>
  <c r="L9" i="175"/>
  <c r="Q8" i="175"/>
  <c r="I8" i="175"/>
  <c r="N7" i="175"/>
  <c r="F7" i="175"/>
  <c r="K6" i="175"/>
  <c r="O5" i="175"/>
  <c r="G5" i="175"/>
  <c r="K4" i="175"/>
  <c r="Q3" i="175"/>
  <c r="I3" i="175"/>
  <c r="H99" i="175"/>
  <c r="K76" i="175"/>
  <c r="G67" i="175"/>
  <c r="P61" i="175"/>
  <c r="N59" i="175"/>
  <c r="Q52" i="175"/>
  <c r="G51" i="175"/>
  <c r="L46" i="175"/>
  <c r="K43" i="175"/>
  <c r="P42" i="175"/>
  <c r="H40" i="175"/>
  <c r="P39" i="175"/>
  <c r="H37" i="175"/>
  <c r="O36" i="175"/>
  <c r="G34" i="175"/>
  <c r="L33" i="175"/>
  <c r="L30" i="175"/>
  <c r="L27" i="175"/>
  <c r="H26" i="175"/>
  <c r="P24" i="175"/>
  <c r="L23" i="175"/>
  <c r="H22" i="175"/>
  <c r="Q20" i="175"/>
  <c r="M19" i="175"/>
  <c r="I18" i="175"/>
  <c r="E17" i="175"/>
  <c r="N16" i="175"/>
  <c r="F16" i="175"/>
  <c r="J15" i="175"/>
  <c r="N14" i="175"/>
  <c r="F14" i="175"/>
  <c r="J13" i="175"/>
  <c r="O12" i="175"/>
  <c r="G12" i="175"/>
  <c r="K11" i="175"/>
  <c r="O10" i="175"/>
  <c r="G10" i="175"/>
  <c r="K9" i="175"/>
  <c r="P8" i="175"/>
  <c r="H8" i="175"/>
  <c r="M7" i="175"/>
  <c r="E7" i="175"/>
  <c r="J6" i="175"/>
  <c r="N5" i="175"/>
  <c r="F5" i="175"/>
  <c r="J4" i="175"/>
  <c r="P3" i="175"/>
  <c r="H3" i="175"/>
  <c r="K47" i="175"/>
  <c r="H41" i="175"/>
  <c r="E24" i="175"/>
  <c r="M11" i="175"/>
  <c r="E9" i="175"/>
  <c r="F83" i="175"/>
  <c r="I56" i="175"/>
  <c r="P46" i="175"/>
  <c r="O40" i="175"/>
  <c r="L34" i="175"/>
  <c r="H28" i="175"/>
  <c r="Q23" i="175"/>
  <c r="L13" i="175"/>
  <c r="E11" i="175"/>
  <c r="L4" i="175"/>
  <c r="O77" i="175"/>
  <c r="O54" i="175"/>
  <c r="Q27" i="175"/>
  <c r="N18" i="175"/>
  <c r="L15" i="175"/>
  <c r="L6" i="175"/>
  <c r="M22" i="175"/>
  <c r="Q10" i="175"/>
  <c r="J8" i="175"/>
  <c r="K68" i="175"/>
  <c r="P51" i="175"/>
  <c r="H44" i="175"/>
  <c r="G38" i="175"/>
  <c r="M26" i="175"/>
  <c r="J17" i="175"/>
  <c r="Q12" i="175"/>
  <c r="I10" i="175"/>
  <c r="P30" i="175"/>
  <c r="I25" i="175"/>
  <c r="P16" i="175"/>
  <c r="H14" i="175"/>
  <c r="O7" i="175"/>
  <c r="H5" i="175"/>
  <c r="F20" i="175"/>
  <c r="H16" i="175"/>
  <c r="M9" i="175"/>
  <c r="G7" i="175"/>
  <c r="H50" i="175"/>
  <c r="I12" i="175"/>
  <c r="P43" i="175"/>
  <c r="L37" i="175"/>
  <c r="K31" i="175"/>
  <c r="P5" i="175"/>
  <c r="J3" i="175"/>
  <c r="P14" i="175"/>
  <c r="I21" i="175"/>
  <c r="Q100" i="173"/>
  <c r="I100" i="173"/>
  <c r="M99" i="173"/>
  <c r="E99" i="173"/>
  <c r="Q98" i="173"/>
  <c r="I98" i="173"/>
  <c r="M97" i="173"/>
  <c r="E97" i="173"/>
  <c r="Q96" i="173"/>
  <c r="I96" i="173"/>
  <c r="M95" i="173"/>
  <c r="E95" i="173"/>
  <c r="Q94" i="173"/>
  <c r="I94" i="173"/>
  <c r="M93" i="173"/>
  <c r="E93" i="173"/>
  <c r="Q92" i="173"/>
  <c r="I92" i="173"/>
  <c r="M91" i="173"/>
  <c r="E91" i="173"/>
  <c r="Q90" i="173"/>
  <c r="I90" i="173"/>
  <c r="M89" i="173"/>
  <c r="E89" i="173"/>
  <c r="Q88" i="173"/>
  <c r="I88" i="173"/>
  <c r="M87" i="173"/>
  <c r="E87" i="173"/>
  <c r="Q86" i="173"/>
  <c r="I86" i="173"/>
  <c r="M85" i="173"/>
  <c r="E85" i="173"/>
  <c r="Q84" i="173"/>
  <c r="I84" i="173"/>
  <c r="M83" i="173"/>
  <c r="E83" i="173"/>
  <c r="Q82" i="173"/>
  <c r="I82" i="173"/>
  <c r="M81" i="173"/>
  <c r="E81" i="173"/>
  <c r="Q80" i="173"/>
  <c r="I80" i="173"/>
  <c r="M79" i="173"/>
  <c r="E79" i="173"/>
  <c r="Q78" i="173"/>
  <c r="I78" i="173"/>
  <c r="M77" i="173"/>
  <c r="E77" i="173"/>
  <c r="Q76" i="173"/>
  <c r="I76" i="173"/>
  <c r="M75" i="173"/>
  <c r="E75" i="173"/>
  <c r="Q74" i="173"/>
  <c r="I74" i="173"/>
  <c r="M73" i="173"/>
  <c r="E73" i="173"/>
  <c r="Q72" i="173"/>
  <c r="I72" i="173"/>
  <c r="M71" i="173"/>
  <c r="E71" i="173"/>
  <c r="Q70" i="173"/>
  <c r="I70" i="173"/>
  <c r="M69" i="173"/>
  <c r="E69" i="173"/>
  <c r="P100" i="173"/>
  <c r="H100" i="173"/>
  <c r="L99" i="173"/>
  <c r="P98" i="173"/>
  <c r="H98" i="173"/>
  <c r="L97" i="173"/>
  <c r="P96" i="173"/>
  <c r="H96" i="173"/>
  <c r="L95" i="173"/>
  <c r="P94" i="173"/>
  <c r="H94" i="173"/>
  <c r="L93" i="173"/>
  <c r="P92" i="173"/>
  <c r="H92" i="173"/>
  <c r="L91" i="173"/>
  <c r="P90" i="173"/>
  <c r="H90" i="173"/>
  <c r="L89" i="173"/>
  <c r="P88" i="173"/>
  <c r="H88" i="173"/>
  <c r="L87" i="173"/>
  <c r="P86" i="173"/>
  <c r="H86" i="173"/>
  <c r="L85" i="173"/>
  <c r="P84" i="173"/>
  <c r="H84" i="173"/>
  <c r="L83" i="173"/>
  <c r="P82" i="173"/>
  <c r="H82" i="173"/>
  <c r="L81" i="173"/>
  <c r="P80" i="173"/>
  <c r="H80" i="173"/>
  <c r="L79" i="173"/>
  <c r="P78" i="173"/>
  <c r="H78" i="173"/>
  <c r="L77" i="173"/>
  <c r="P76" i="173"/>
  <c r="H76" i="173"/>
  <c r="L75" i="173"/>
  <c r="P74" i="173"/>
  <c r="H74" i="173"/>
  <c r="L73" i="173"/>
  <c r="P72" i="173"/>
  <c r="H72" i="173"/>
  <c r="L71" i="173"/>
  <c r="P70" i="173"/>
  <c r="H70" i="173"/>
  <c r="L69" i="173"/>
  <c r="P68" i="173"/>
  <c r="H68" i="173"/>
  <c r="L67" i="173"/>
  <c r="P66" i="173"/>
  <c r="H66" i="173"/>
  <c r="O100" i="173"/>
  <c r="G100" i="173"/>
  <c r="K99" i="173"/>
  <c r="O98" i="173"/>
  <c r="G98" i="173"/>
  <c r="K97" i="173"/>
  <c r="O96" i="173"/>
  <c r="G96" i="173"/>
  <c r="K95" i="173"/>
  <c r="O94" i="173"/>
  <c r="G94" i="173"/>
  <c r="K93" i="173"/>
  <c r="O92" i="173"/>
  <c r="G92" i="173"/>
  <c r="K91" i="173"/>
  <c r="O90" i="173"/>
  <c r="G90" i="173"/>
  <c r="K89" i="173"/>
  <c r="O88" i="173"/>
  <c r="G88" i="173"/>
  <c r="K87" i="173"/>
  <c r="O86" i="173"/>
  <c r="G86" i="173"/>
  <c r="K85" i="173"/>
  <c r="O84" i="173"/>
  <c r="G84" i="173"/>
  <c r="K83" i="173"/>
  <c r="O82" i="173"/>
  <c r="G82" i="173"/>
  <c r="K81" i="173"/>
  <c r="O80" i="173"/>
  <c r="G80" i="173"/>
  <c r="K79" i="173"/>
  <c r="O78" i="173"/>
  <c r="G78" i="173"/>
  <c r="K77" i="173"/>
  <c r="O76" i="173"/>
  <c r="G76" i="173"/>
  <c r="K75" i="173"/>
  <c r="O74" i="173"/>
  <c r="G74" i="173"/>
  <c r="K73" i="173"/>
  <c r="O72" i="173"/>
  <c r="G72" i="173"/>
  <c r="K71" i="173"/>
  <c r="O70" i="173"/>
  <c r="G70" i="173"/>
  <c r="K69" i="173"/>
  <c r="O68" i="173"/>
  <c r="G68" i="173"/>
  <c r="K67" i="173"/>
  <c r="O66" i="173"/>
  <c r="G66" i="173"/>
  <c r="N100" i="173"/>
  <c r="F100" i="173"/>
  <c r="J99" i="173"/>
  <c r="N98" i="173"/>
  <c r="F98" i="173"/>
  <c r="J97" i="173"/>
  <c r="N96" i="173"/>
  <c r="F96" i="173"/>
  <c r="J95" i="173"/>
  <c r="N94" i="173"/>
  <c r="F94" i="173"/>
  <c r="J93" i="173"/>
  <c r="N92" i="173"/>
  <c r="F92" i="173"/>
  <c r="J91" i="173"/>
  <c r="N90" i="173"/>
  <c r="F90" i="173"/>
  <c r="J89" i="173"/>
  <c r="N88" i="173"/>
  <c r="F88" i="173"/>
  <c r="J87" i="173"/>
  <c r="N86" i="173"/>
  <c r="F86" i="173"/>
  <c r="J85" i="173"/>
  <c r="N84" i="173"/>
  <c r="F84" i="173"/>
  <c r="J83" i="173"/>
  <c r="N82" i="173"/>
  <c r="F82" i="173"/>
  <c r="J81" i="173"/>
  <c r="N80" i="173"/>
  <c r="F80" i="173"/>
  <c r="J79" i="173"/>
  <c r="N78" i="173"/>
  <c r="F78" i="173"/>
  <c r="J77" i="173"/>
  <c r="N76" i="173"/>
  <c r="F76" i="173"/>
  <c r="J75" i="173"/>
  <c r="N74" i="173"/>
  <c r="F74" i="173"/>
  <c r="J73" i="173"/>
  <c r="N72" i="173"/>
  <c r="F72" i="173"/>
  <c r="J71" i="173"/>
  <c r="N70" i="173"/>
  <c r="F70" i="173"/>
  <c r="J69" i="173"/>
  <c r="N68" i="173"/>
  <c r="F68" i="173"/>
  <c r="J67" i="173"/>
  <c r="N66" i="173"/>
  <c r="F66" i="173"/>
  <c r="J65" i="173"/>
  <c r="M100" i="173"/>
  <c r="E100" i="173"/>
  <c r="Q99" i="173"/>
  <c r="I99" i="173"/>
  <c r="M98" i="173"/>
  <c r="E98" i="173"/>
  <c r="Q97" i="173"/>
  <c r="I97" i="173"/>
  <c r="M96" i="173"/>
  <c r="E96" i="173"/>
  <c r="Q95" i="173"/>
  <c r="I95" i="173"/>
  <c r="M94" i="173"/>
  <c r="E94" i="173"/>
  <c r="Q93" i="173"/>
  <c r="I93" i="173"/>
  <c r="M92" i="173"/>
  <c r="E92" i="173"/>
  <c r="Q91" i="173"/>
  <c r="I91" i="173"/>
  <c r="M90" i="173"/>
  <c r="E90" i="173"/>
  <c r="Q89" i="173"/>
  <c r="I89" i="173"/>
  <c r="M88" i="173"/>
  <c r="E88" i="173"/>
  <c r="Q87" i="173"/>
  <c r="I87" i="173"/>
  <c r="M86" i="173"/>
  <c r="E86" i="173"/>
  <c r="Q85" i="173"/>
  <c r="I85" i="173"/>
  <c r="M84" i="173"/>
  <c r="E84" i="173"/>
  <c r="Q83" i="173"/>
  <c r="I83" i="173"/>
  <c r="M82" i="173"/>
  <c r="E82" i="173"/>
  <c r="Q81" i="173"/>
  <c r="I81" i="173"/>
  <c r="M80" i="173"/>
  <c r="E80" i="173"/>
  <c r="Q79" i="173"/>
  <c r="I79" i="173"/>
  <c r="M78" i="173"/>
  <c r="E78" i="173"/>
  <c r="Q77" i="173"/>
  <c r="I77" i="173"/>
  <c r="M76" i="173"/>
  <c r="E76" i="173"/>
  <c r="Q75" i="173"/>
  <c r="I75" i="173"/>
  <c r="M74" i="173"/>
  <c r="E74" i="173"/>
  <c r="Q73" i="173"/>
  <c r="I73" i="173"/>
  <c r="M72" i="173"/>
  <c r="E72" i="173"/>
  <c r="Q71" i="173"/>
  <c r="I71" i="173"/>
  <c r="M70" i="173"/>
  <c r="E70" i="173"/>
  <c r="Q69" i="173"/>
  <c r="I69" i="173"/>
  <c r="M68" i="173"/>
  <c r="E68" i="173"/>
  <c r="Q67" i="173"/>
  <c r="I67" i="173"/>
  <c r="M66" i="173"/>
  <c r="E66" i="173"/>
  <c r="Q65" i="173"/>
  <c r="I65" i="173"/>
  <c r="K100" i="173"/>
  <c r="O99" i="173"/>
  <c r="G99" i="173"/>
  <c r="K98" i="173"/>
  <c r="O97" i="173"/>
  <c r="G97" i="173"/>
  <c r="K96" i="173"/>
  <c r="O95" i="173"/>
  <c r="G95" i="173"/>
  <c r="K94" i="173"/>
  <c r="O93" i="173"/>
  <c r="G93" i="173"/>
  <c r="K92" i="173"/>
  <c r="O91" i="173"/>
  <c r="G91" i="173"/>
  <c r="K90" i="173"/>
  <c r="O89" i="173"/>
  <c r="G89" i="173"/>
  <c r="K88" i="173"/>
  <c r="O87" i="173"/>
  <c r="G87" i="173"/>
  <c r="K86" i="173"/>
  <c r="O85" i="173"/>
  <c r="G85" i="173"/>
  <c r="K84" i="173"/>
  <c r="O83" i="173"/>
  <c r="G83" i="173"/>
  <c r="K82" i="173"/>
  <c r="O81" i="173"/>
  <c r="G81" i="173"/>
  <c r="K80" i="173"/>
  <c r="O79" i="173"/>
  <c r="G79" i="173"/>
  <c r="K78" i="173"/>
  <c r="O77" i="173"/>
  <c r="G77" i="173"/>
  <c r="K76" i="173"/>
  <c r="O75" i="173"/>
  <c r="G75" i="173"/>
  <c r="K74" i="173"/>
  <c r="O73" i="173"/>
  <c r="G73" i="173"/>
  <c r="K72" i="173"/>
  <c r="O71" i="173"/>
  <c r="G71" i="173"/>
  <c r="K70" i="173"/>
  <c r="O69" i="173"/>
  <c r="G69" i="173"/>
  <c r="K68" i="173"/>
  <c r="O67" i="173"/>
  <c r="G67" i="173"/>
  <c r="K66" i="173"/>
  <c r="O65" i="173"/>
  <c r="G65" i="173"/>
  <c r="N97" i="173"/>
  <c r="J96" i="173"/>
  <c r="F95" i="173"/>
  <c r="N89" i="173"/>
  <c r="J88" i="173"/>
  <c r="F87" i="173"/>
  <c r="N81" i="173"/>
  <c r="J80" i="173"/>
  <c r="F79" i="173"/>
  <c r="N73" i="173"/>
  <c r="J72" i="173"/>
  <c r="F71" i="173"/>
  <c r="H67" i="173"/>
  <c r="Q66" i="173"/>
  <c r="L65" i="173"/>
  <c r="Q64" i="173"/>
  <c r="I64" i="173"/>
  <c r="M63" i="173"/>
  <c r="E63" i="173"/>
  <c r="Q62" i="173"/>
  <c r="I62" i="173"/>
  <c r="M61" i="173"/>
  <c r="E61" i="173"/>
  <c r="Q60" i="173"/>
  <c r="I60" i="173"/>
  <c r="M59" i="173"/>
  <c r="E59" i="173"/>
  <c r="Q58" i="173"/>
  <c r="I58" i="173"/>
  <c r="M57" i="173"/>
  <c r="E57" i="173"/>
  <c r="Q56" i="173"/>
  <c r="I56" i="173"/>
  <c r="M55" i="173"/>
  <c r="E55" i="173"/>
  <c r="Q54" i="173"/>
  <c r="I54" i="173"/>
  <c r="M53" i="173"/>
  <c r="E53" i="173"/>
  <c r="Q52" i="173"/>
  <c r="I52" i="173"/>
  <c r="M51" i="173"/>
  <c r="E51" i="173"/>
  <c r="Q50" i="173"/>
  <c r="I50" i="173"/>
  <c r="M49" i="173"/>
  <c r="E49" i="173"/>
  <c r="Q48" i="173"/>
  <c r="I48" i="173"/>
  <c r="M47" i="173"/>
  <c r="E47" i="173"/>
  <c r="Q46" i="173"/>
  <c r="I46" i="173"/>
  <c r="M45" i="173"/>
  <c r="E45" i="173"/>
  <c r="Q44" i="173"/>
  <c r="I44" i="173"/>
  <c r="M43" i="173"/>
  <c r="E43" i="173"/>
  <c r="Q42" i="173"/>
  <c r="I42" i="173"/>
  <c r="M41" i="173"/>
  <c r="E41" i="173"/>
  <c r="Q40" i="173"/>
  <c r="I40" i="173"/>
  <c r="M39" i="173"/>
  <c r="E39" i="173"/>
  <c r="Q38" i="173"/>
  <c r="I38" i="173"/>
  <c r="M37" i="173"/>
  <c r="E37" i="173"/>
  <c r="Q36" i="173"/>
  <c r="I36" i="173"/>
  <c r="M35" i="173"/>
  <c r="E35" i="173"/>
  <c r="Q34" i="173"/>
  <c r="I34" i="173"/>
  <c r="M33" i="173"/>
  <c r="E33" i="173"/>
  <c r="Q32" i="173"/>
  <c r="I32" i="173"/>
  <c r="M31" i="173"/>
  <c r="E31" i="173"/>
  <c r="Q30" i="173"/>
  <c r="I30" i="173"/>
  <c r="M29" i="173"/>
  <c r="E29" i="173"/>
  <c r="Q28" i="173"/>
  <c r="I28" i="173"/>
  <c r="M27" i="173"/>
  <c r="E27" i="173"/>
  <c r="Q26" i="173"/>
  <c r="I26" i="173"/>
  <c r="M25" i="173"/>
  <c r="E25" i="173"/>
  <c r="Q24" i="173"/>
  <c r="I24" i="173"/>
  <c r="M23" i="173"/>
  <c r="E23" i="173"/>
  <c r="Q22" i="173"/>
  <c r="I22" i="173"/>
  <c r="M21" i="173"/>
  <c r="E21" i="173"/>
  <c r="J20" i="173"/>
  <c r="N19" i="173"/>
  <c r="F19" i="173"/>
  <c r="J18" i="173"/>
  <c r="N17" i="173"/>
  <c r="F17" i="173"/>
  <c r="J16" i="173"/>
  <c r="N15" i="173"/>
  <c r="F15" i="173"/>
  <c r="J14" i="173"/>
  <c r="N13" i="173"/>
  <c r="F13" i="173"/>
  <c r="K12" i="173"/>
  <c r="O11" i="173"/>
  <c r="G11" i="173"/>
  <c r="K10" i="173"/>
  <c r="O9" i="173"/>
  <c r="G9" i="173"/>
  <c r="L8" i="173"/>
  <c r="Q7" i="173"/>
  <c r="I7" i="173"/>
  <c r="N6" i="173"/>
  <c r="F6" i="173"/>
  <c r="J5" i="173"/>
  <c r="N4" i="173"/>
  <c r="F4" i="173"/>
  <c r="L3" i="173"/>
  <c r="P99" i="173"/>
  <c r="L98" i="173"/>
  <c r="H97" i="173"/>
  <c r="P91" i="173"/>
  <c r="L90" i="173"/>
  <c r="H89" i="173"/>
  <c r="P83" i="173"/>
  <c r="L82" i="173"/>
  <c r="H81" i="173"/>
  <c r="P75" i="173"/>
  <c r="L74" i="173"/>
  <c r="H73" i="173"/>
  <c r="F67" i="173"/>
  <c r="L66" i="173"/>
  <c r="K65" i="173"/>
  <c r="P64" i="173"/>
  <c r="H64" i="173"/>
  <c r="L63" i="173"/>
  <c r="P62" i="173"/>
  <c r="H62" i="173"/>
  <c r="L61" i="173"/>
  <c r="P60" i="173"/>
  <c r="H60" i="173"/>
  <c r="L59" i="173"/>
  <c r="P58" i="173"/>
  <c r="H58" i="173"/>
  <c r="L57" i="173"/>
  <c r="P56" i="173"/>
  <c r="H56" i="173"/>
  <c r="L55" i="173"/>
  <c r="P54" i="173"/>
  <c r="H54" i="173"/>
  <c r="L53" i="173"/>
  <c r="P52" i="173"/>
  <c r="H52" i="173"/>
  <c r="L51" i="173"/>
  <c r="P50" i="173"/>
  <c r="H50" i="173"/>
  <c r="L49" i="173"/>
  <c r="P48" i="173"/>
  <c r="H48" i="173"/>
  <c r="L47" i="173"/>
  <c r="P46" i="173"/>
  <c r="H46" i="173"/>
  <c r="L45" i="173"/>
  <c r="P44" i="173"/>
  <c r="H44" i="173"/>
  <c r="L43" i="173"/>
  <c r="P42" i="173"/>
  <c r="H42" i="173"/>
  <c r="L41" i="173"/>
  <c r="P40" i="173"/>
  <c r="H40" i="173"/>
  <c r="L39" i="173"/>
  <c r="P38" i="173"/>
  <c r="H38" i="173"/>
  <c r="L37" i="173"/>
  <c r="P36" i="173"/>
  <c r="H36" i="173"/>
  <c r="L35" i="173"/>
  <c r="P34" i="173"/>
  <c r="H34" i="173"/>
  <c r="L33" i="173"/>
  <c r="P32" i="173"/>
  <c r="H32" i="173"/>
  <c r="L31" i="173"/>
  <c r="P30" i="173"/>
  <c r="H30" i="173"/>
  <c r="L29" i="173"/>
  <c r="P28" i="173"/>
  <c r="H28" i="173"/>
  <c r="L27" i="173"/>
  <c r="P26" i="173"/>
  <c r="H26" i="173"/>
  <c r="L25" i="173"/>
  <c r="P24" i="173"/>
  <c r="H24" i="173"/>
  <c r="L23" i="173"/>
  <c r="P22" i="173"/>
  <c r="H22" i="173"/>
  <c r="L21" i="173"/>
  <c r="Q20" i="173"/>
  <c r="I20" i="173"/>
  <c r="M19" i="173"/>
  <c r="E19" i="173"/>
  <c r="Q18" i="173"/>
  <c r="I18" i="173"/>
  <c r="M17" i="173"/>
  <c r="E17" i="173"/>
  <c r="Q16" i="173"/>
  <c r="I16" i="173"/>
  <c r="M15" i="173"/>
  <c r="E15" i="173"/>
  <c r="Q14" i="173"/>
  <c r="I14" i="173"/>
  <c r="M13" i="173"/>
  <c r="E13" i="173"/>
  <c r="J12" i="173"/>
  <c r="N11" i="173"/>
  <c r="F11" i="173"/>
  <c r="J10" i="173"/>
  <c r="N9" i="173"/>
  <c r="F9" i="173"/>
  <c r="K8" i="173"/>
  <c r="P7" i="173"/>
  <c r="H7" i="173"/>
  <c r="M6" i="173"/>
  <c r="E6" i="173"/>
  <c r="Q5" i="173"/>
  <c r="I5" i="173"/>
  <c r="M4" i="173"/>
  <c r="E4" i="173"/>
  <c r="K3" i="173"/>
  <c r="N99" i="173"/>
  <c r="J98" i="173"/>
  <c r="F97" i="173"/>
  <c r="N91" i="173"/>
  <c r="J90" i="173"/>
  <c r="F89" i="173"/>
  <c r="N83" i="173"/>
  <c r="J82" i="173"/>
  <c r="F81" i="173"/>
  <c r="N75" i="173"/>
  <c r="J74" i="173"/>
  <c r="F73" i="173"/>
  <c r="E67" i="173"/>
  <c r="J66" i="173"/>
  <c r="H65" i="173"/>
  <c r="O64" i="173"/>
  <c r="G64" i="173"/>
  <c r="K63" i="173"/>
  <c r="O62" i="173"/>
  <c r="G62" i="173"/>
  <c r="K61" i="173"/>
  <c r="O60" i="173"/>
  <c r="G60" i="173"/>
  <c r="K59" i="173"/>
  <c r="O58" i="173"/>
  <c r="G58" i="173"/>
  <c r="K57" i="173"/>
  <c r="O56" i="173"/>
  <c r="G56" i="173"/>
  <c r="K55" i="173"/>
  <c r="O54" i="173"/>
  <c r="G54" i="173"/>
  <c r="K53" i="173"/>
  <c r="O52" i="173"/>
  <c r="G52" i="173"/>
  <c r="K51" i="173"/>
  <c r="O50" i="173"/>
  <c r="G50" i="173"/>
  <c r="K49" i="173"/>
  <c r="O48" i="173"/>
  <c r="G48" i="173"/>
  <c r="K47" i="173"/>
  <c r="O46" i="173"/>
  <c r="G46" i="173"/>
  <c r="K45" i="173"/>
  <c r="O44" i="173"/>
  <c r="G44" i="173"/>
  <c r="K43" i="173"/>
  <c r="O42" i="173"/>
  <c r="G42" i="173"/>
  <c r="K41" i="173"/>
  <c r="O40" i="173"/>
  <c r="G40" i="173"/>
  <c r="K39" i="173"/>
  <c r="O38" i="173"/>
  <c r="G38" i="173"/>
  <c r="K37" i="173"/>
  <c r="O36" i="173"/>
  <c r="G36" i="173"/>
  <c r="K35" i="173"/>
  <c r="O34" i="173"/>
  <c r="G34" i="173"/>
  <c r="K33" i="173"/>
  <c r="O32" i="173"/>
  <c r="G32" i="173"/>
  <c r="K31" i="173"/>
  <c r="O30" i="173"/>
  <c r="G30" i="173"/>
  <c r="K29" i="173"/>
  <c r="O28" i="173"/>
  <c r="G28" i="173"/>
  <c r="K27" i="173"/>
  <c r="O26" i="173"/>
  <c r="G26" i="173"/>
  <c r="K25" i="173"/>
  <c r="O24" i="173"/>
  <c r="G24" i="173"/>
  <c r="K23" i="173"/>
  <c r="O22" i="173"/>
  <c r="G22" i="173"/>
  <c r="K21" i="173"/>
  <c r="P20" i="173"/>
  <c r="H20" i="173"/>
  <c r="L19" i="173"/>
  <c r="P18" i="173"/>
  <c r="H18" i="173"/>
  <c r="L17" i="173"/>
  <c r="P16" i="173"/>
  <c r="H16" i="173"/>
  <c r="L15" i="173"/>
  <c r="P14" i="173"/>
  <c r="H14" i="173"/>
  <c r="L13" i="173"/>
  <c r="Q12" i="173"/>
  <c r="I12" i="173"/>
  <c r="M11" i="173"/>
  <c r="E11" i="173"/>
  <c r="Q10" i="173"/>
  <c r="I10" i="173"/>
  <c r="M9" i="173"/>
  <c r="E9" i="173"/>
  <c r="J8" i="173"/>
  <c r="O7" i="173"/>
  <c r="G7" i="173"/>
  <c r="L6" i="173"/>
  <c r="P5" i="173"/>
  <c r="H5" i="173"/>
  <c r="L4" i="173"/>
  <c r="J3" i="173"/>
  <c r="L100" i="173"/>
  <c r="H99" i="173"/>
  <c r="P93" i="173"/>
  <c r="L92" i="173"/>
  <c r="H91" i="173"/>
  <c r="P85" i="173"/>
  <c r="L84" i="173"/>
  <c r="H83" i="173"/>
  <c r="P77" i="173"/>
  <c r="L76" i="173"/>
  <c r="H75" i="173"/>
  <c r="P69" i="173"/>
  <c r="Q68" i="173"/>
  <c r="I66" i="173"/>
  <c r="F65" i="173"/>
  <c r="N64" i="173"/>
  <c r="F64" i="173"/>
  <c r="J63" i="173"/>
  <c r="N62" i="173"/>
  <c r="F62" i="173"/>
  <c r="J61" i="173"/>
  <c r="N60" i="173"/>
  <c r="F60" i="173"/>
  <c r="J59" i="173"/>
  <c r="N58" i="173"/>
  <c r="F58" i="173"/>
  <c r="J57" i="173"/>
  <c r="N56" i="173"/>
  <c r="F56" i="173"/>
  <c r="J55" i="173"/>
  <c r="N54" i="173"/>
  <c r="F54" i="173"/>
  <c r="J53" i="173"/>
  <c r="N52" i="173"/>
  <c r="F52" i="173"/>
  <c r="J51" i="173"/>
  <c r="N50" i="173"/>
  <c r="F50" i="173"/>
  <c r="J49" i="173"/>
  <c r="N48" i="173"/>
  <c r="F48" i="173"/>
  <c r="J47" i="173"/>
  <c r="N46" i="173"/>
  <c r="F46" i="173"/>
  <c r="J45" i="173"/>
  <c r="N44" i="173"/>
  <c r="F44" i="173"/>
  <c r="J43" i="173"/>
  <c r="N42" i="173"/>
  <c r="F42" i="173"/>
  <c r="J41" i="173"/>
  <c r="N40" i="173"/>
  <c r="F40" i="173"/>
  <c r="J39" i="173"/>
  <c r="N38" i="173"/>
  <c r="F38" i="173"/>
  <c r="J37" i="173"/>
  <c r="N36" i="173"/>
  <c r="F36" i="173"/>
  <c r="J35" i="173"/>
  <c r="N34" i="173"/>
  <c r="F34" i="173"/>
  <c r="J33" i="173"/>
  <c r="N32" i="173"/>
  <c r="F32" i="173"/>
  <c r="J31" i="173"/>
  <c r="N30" i="173"/>
  <c r="F30" i="173"/>
  <c r="J29" i="173"/>
  <c r="N28" i="173"/>
  <c r="F28" i="173"/>
  <c r="J27" i="173"/>
  <c r="N26" i="173"/>
  <c r="F26" i="173"/>
  <c r="J25" i="173"/>
  <c r="N24" i="173"/>
  <c r="F24" i="173"/>
  <c r="J23" i="173"/>
  <c r="N22" i="173"/>
  <c r="F22" i="173"/>
  <c r="J21" i="173"/>
  <c r="O20" i="173"/>
  <c r="G20" i="173"/>
  <c r="K19" i="173"/>
  <c r="O18" i="173"/>
  <c r="G18" i="173"/>
  <c r="K17" i="173"/>
  <c r="O16" i="173"/>
  <c r="G16" i="173"/>
  <c r="K15" i="173"/>
  <c r="O14" i="173"/>
  <c r="G14" i="173"/>
  <c r="K13" i="173"/>
  <c r="P12" i="173"/>
  <c r="H12" i="173"/>
  <c r="L11" i="173"/>
  <c r="P10" i="173"/>
  <c r="H10" i="173"/>
  <c r="L9" i="173"/>
  <c r="Q8" i="173"/>
  <c r="I8" i="173"/>
  <c r="N7" i="173"/>
  <c r="F7" i="173"/>
  <c r="K6" i="173"/>
  <c r="O5" i="173"/>
  <c r="G5" i="173"/>
  <c r="K4" i="173"/>
  <c r="Q3" i="173"/>
  <c r="I3" i="173"/>
  <c r="J100" i="173"/>
  <c r="F99" i="173"/>
  <c r="N93" i="173"/>
  <c r="J92" i="173"/>
  <c r="F91" i="173"/>
  <c r="N85" i="173"/>
  <c r="J84" i="173"/>
  <c r="F83" i="173"/>
  <c r="N77" i="173"/>
  <c r="J76" i="173"/>
  <c r="F75" i="173"/>
  <c r="N69" i="173"/>
  <c r="L68" i="173"/>
  <c r="E65" i="173"/>
  <c r="M64" i="173"/>
  <c r="E64" i="173"/>
  <c r="Q63" i="173"/>
  <c r="I63" i="173"/>
  <c r="M62" i="173"/>
  <c r="E62" i="173"/>
  <c r="Q61" i="173"/>
  <c r="I61" i="173"/>
  <c r="M60" i="173"/>
  <c r="E60" i="173"/>
  <c r="Q59" i="173"/>
  <c r="I59" i="173"/>
  <c r="M58" i="173"/>
  <c r="E58" i="173"/>
  <c r="Q57" i="173"/>
  <c r="I57" i="173"/>
  <c r="M56" i="173"/>
  <c r="E56" i="173"/>
  <c r="Q55" i="173"/>
  <c r="I55" i="173"/>
  <c r="M54" i="173"/>
  <c r="E54" i="173"/>
  <c r="Q53" i="173"/>
  <c r="I53" i="173"/>
  <c r="M52" i="173"/>
  <c r="E52" i="173"/>
  <c r="Q51" i="173"/>
  <c r="I51" i="173"/>
  <c r="M50" i="173"/>
  <c r="E50" i="173"/>
  <c r="Q49" i="173"/>
  <c r="I49" i="173"/>
  <c r="M48" i="173"/>
  <c r="E48" i="173"/>
  <c r="Q47" i="173"/>
  <c r="I47" i="173"/>
  <c r="M46" i="173"/>
  <c r="E46" i="173"/>
  <c r="Q45" i="173"/>
  <c r="I45" i="173"/>
  <c r="M44" i="173"/>
  <c r="E44" i="173"/>
  <c r="Q43" i="173"/>
  <c r="I43" i="173"/>
  <c r="M42" i="173"/>
  <c r="E42" i="173"/>
  <c r="Q41" i="173"/>
  <c r="I41" i="173"/>
  <c r="M40" i="173"/>
  <c r="E40" i="173"/>
  <c r="Q39" i="173"/>
  <c r="I39" i="173"/>
  <c r="M38" i="173"/>
  <c r="E38" i="173"/>
  <c r="Q37" i="173"/>
  <c r="I37" i="173"/>
  <c r="M36" i="173"/>
  <c r="E36" i="173"/>
  <c r="Q35" i="173"/>
  <c r="I35" i="173"/>
  <c r="M34" i="173"/>
  <c r="E34" i="173"/>
  <c r="Q33" i="173"/>
  <c r="I33" i="173"/>
  <c r="M32" i="173"/>
  <c r="E32" i="173"/>
  <c r="Q31" i="173"/>
  <c r="I31" i="173"/>
  <c r="M30" i="173"/>
  <c r="E30" i="173"/>
  <c r="Q29" i="173"/>
  <c r="I29" i="173"/>
  <c r="M28" i="173"/>
  <c r="E28" i="173"/>
  <c r="Q27" i="173"/>
  <c r="I27" i="173"/>
  <c r="M26" i="173"/>
  <c r="E26" i="173"/>
  <c r="Q25" i="173"/>
  <c r="I25" i="173"/>
  <c r="M24" i="173"/>
  <c r="E24" i="173"/>
  <c r="Q23" i="173"/>
  <c r="I23" i="173"/>
  <c r="M22" i="173"/>
  <c r="E22" i="173"/>
  <c r="Q21" i="173"/>
  <c r="I21" i="173"/>
  <c r="N20" i="173"/>
  <c r="F20" i="173"/>
  <c r="J19" i="173"/>
  <c r="N18" i="173"/>
  <c r="F18" i="173"/>
  <c r="J17" i="173"/>
  <c r="N16" i="173"/>
  <c r="F16" i="173"/>
  <c r="J15" i="173"/>
  <c r="N14" i="173"/>
  <c r="F14" i="173"/>
  <c r="J13" i="173"/>
  <c r="O12" i="173"/>
  <c r="G12" i="173"/>
  <c r="K11" i="173"/>
  <c r="O10" i="173"/>
  <c r="G10" i="173"/>
  <c r="K9" i="173"/>
  <c r="P8" i="173"/>
  <c r="H8" i="173"/>
  <c r="M7" i="173"/>
  <c r="E7" i="173"/>
  <c r="J6" i="173"/>
  <c r="N5" i="173"/>
  <c r="F5" i="173"/>
  <c r="J4" i="173"/>
  <c r="P3" i="173"/>
  <c r="H3" i="173"/>
  <c r="N95" i="173"/>
  <c r="J94" i="173"/>
  <c r="F93" i="173"/>
  <c r="N87" i="173"/>
  <c r="J86" i="173"/>
  <c r="F85" i="173"/>
  <c r="N79" i="173"/>
  <c r="J78" i="173"/>
  <c r="F77" i="173"/>
  <c r="N71" i="173"/>
  <c r="J70" i="173"/>
  <c r="F69" i="173"/>
  <c r="I68" i="173"/>
  <c r="N67" i="173"/>
  <c r="N65" i="173"/>
  <c r="K64" i="173"/>
  <c r="O63" i="173"/>
  <c r="G63" i="173"/>
  <c r="K62" i="173"/>
  <c r="O61" i="173"/>
  <c r="G61" i="173"/>
  <c r="K60" i="173"/>
  <c r="O59" i="173"/>
  <c r="G59" i="173"/>
  <c r="K58" i="173"/>
  <c r="O57" i="173"/>
  <c r="G57" i="173"/>
  <c r="K56" i="173"/>
  <c r="O55" i="173"/>
  <c r="G55" i="173"/>
  <c r="K54" i="173"/>
  <c r="O53" i="173"/>
  <c r="G53" i="173"/>
  <c r="K52" i="173"/>
  <c r="O51" i="173"/>
  <c r="G51" i="173"/>
  <c r="K50" i="173"/>
  <c r="O49" i="173"/>
  <c r="G49" i="173"/>
  <c r="K48" i="173"/>
  <c r="O47" i="173"/>
  <c r="G47" i="173"/>
  <c r="K46" i="173"/>
  <c r="O45" i="173"/>
  <c r="G45" i="173"/>
  <c r="K44" i="173"/>
  <c r="O43" i="173"/>
  <c r="G43" i="173"/>
  <c r="K42" i="173"/>
  <c r="O41" i="173"/>
  <c r="G41" i="173"/>
  <c r="K40" i="173"/>
  <c r="O39" i="173"/>
  <c r="G39" i="173"/>
  <c r="K38" i="173"/>
  <c r="O37" i="173"/>
  <c r="G37" i="173"/>
  <c r="K36" i="173"/>
  <c r="O35" i="173"/>
  <c r="G35" i="173"/>
  <c r="K34" i="173"/>
  <c r="O33" i="173"/>
  <c r="G33" i="173"/>
  <c r="K32" i="173"/>
  <c r="O31" i="173"/>
  <c r="G31" i="173"/>
  <c r="K30" i="173"/>
  <c r="O29" i="173"/>
  <c r="G29" i="173"/>
  <c r="K28" i="173"/>
  <c r="O27" i="173"/>
  <c r="G27" i="173"/>
  <c r="K26" i="173"/>
  <c r="O25" i="173"/>
  <c r="G25" i="173"/>
  <c r="K24" i="173"/>
  <c r="O23" i="173"/>
  <c r="G23" i="173"/>
  <c r="K22" i="173"/>
  <c r="O21" i="173"/>
  <c r="G21" i="173"/>
  <c r="L20" i="173"/>
  <c r="P19" i="173"/>
  <c r="H19" i="173"/>
  <c r="L18" i="173"/>
  <c r="P17" i="173"/>
  <c r="H17" i="173"/>
  <c r="L16" i="173"/>
  <c r="P15" i="173"/>
  <c r="H15" i="173"/>
  <c r="L14" i="173"/>
  <c r="P13" i="173"/>
  <c r="H13" i="173"/>
  <c r="M12" i="173"/>
  <c r="E12" i="173"/>
  <c r="Q11" i="173"/>
  <c r="I11" i="173"/>
  <c r="M10" i="173"/>
  <c r="E10" i="173"/>
  <c r="Q9" i="173"/>
  <c r="I9" i="173"/>
  <c r="N8" i="173"/>
  <c r="F8" i="173"/>
  <c r="K7" i="173"/>
  <c r="P6" i="173"/>
  <c r="H6" i="173"/>
  <c r="L5" i="173"/>
  <c r="P4" i="173"/>
  <c r="H4" i="173"/>
  <c r="N3" i="173"/>
  <c r="F3" i="173"/>
  <c r="P97" i="173"/>
  <c r="L96" i="173"/>
  <c r="H95" i="173"/>
  <c r="P89" i="173"/>
  <c r="L88" i="173"/>
  <c r="H87" i="173"/>
  <c r="P81" i="173"/>
  <c r="L80" i="173"/>
  <c r="H79" i="173"/>
  <c r="P73" i="173"/>
  <c r="L72" i="173"/>
  <c r="H71" i="173"/>
  <c r="M67" i="173"/>
  <c r="M65" i="173"/>
  <c r="J64" i="173"/>
  <c r="N63" i="173"/>
  <c r="F63" i="173"/>
  <c r="J62" i="173"/>
  <c r="N61" i="173"/>
  <c r="F61" i="173"/>
  <c r="J60" i="173"/>
  <c r="N59" i="173"/>
  <c r="F59" i="173"/>
  <c r="J58" i="173"/>
  <c r="N57" i="173"/>
  <c r="F57" i="173"/>
  <c r="J56" i="173"/>
  <c r="N55" i="173"/>
  <c r="F55" i="173"/>
  <c r="J54" i="173"/>
  <c r="N53" i="173"/>
  <c r="F53" i="173"/>
  <c r="J52" i="173"/>
  <c r="N51" i="173"/>
  <c r="F51" i="173"/>
  <c r="J50" i="173"/>
  <c r="N49" i="173"/>
  <c r="F49" i="173"/>
  <c r="J48" i="173"/>
  <c r="N47" i="173"/>
  <c r="F47" i="173"/>
  <c r="J46" i="173"/>
  <c r="N45" i="173"/>
  <c r="F45" i="173"/>
  <c r="J44" i="173"/>
  <c r="N43" i="173"/>
  <c r="F43" i="173"/>
  <c r="J42" i="173"/>
  <c r="N41" i="173"/>
  <c r="F41" i="173"/>
  <c r="J40" i="173"/>
  <c r="N39" i="173"/>
  <c r="F39" i="173"/>
  <c r="J38" i="173"/>
  <c r="N37" i="173"/>
  <c r="F37" i="173"/>
  <c r="J36" i="173"/>
  <c r="N35" i="173"/>
  <c r="F35" i="173"/>
  <c r="J34" i="173"/>
  <c r="N33" i="173"/>
  <c r="F33" i="173"/>
  <c r="J32" i="173"/>
  <c r="N31" i="173"/>
  <c r="F31" i="173"/>
  <c r="J30" i="173"/>
  <c r="N29" i="173"/>
  <c r="F29" i="173"/>
  <c r="J28" i="173"/>
  <c r="N27" i="173"/>
  <c r="F27" i="173"/>
  <c r="J26" i="173"/>
  <c r="N25" i="173"/>
  <c r="F25" i="173"/>
  <c r="J24" i="173"/>
  <c r="N23" i="173"/>
  <c r="F23" i="173"/>
  <c r="J22" i="173"/>
  <c r="N21" i="173"/>
  <c r="F21" i="173"/>
  <c r="K20" i="173"/>
  <c r="O19" i="173"/>
  <c r="G19" i="173"/>
  <c r="K18" i="173"/>
  <c r="O17" i="173"/>
  <c r="G17" i="173"/>
  <c r="K16" i="173"/>
  <c r="O15" i="173"/>
  <c r="G15" i="173"/>
  <c r="K14" i="173"/>
  <c r="O13" i="173"/>
  <c r="G13" i="173"/>
  <c r="L12" i="173"/>
  <c r="P11" i="173"/>
  <c r="H11" i="173"/>
  <c r="L10" i="173"/>
  <c r="P9" i="173"/>
  <c r="H9" i="173"/>
  <c r="M8" i="173"/>
  <c r="E8" i="173"/>
  <c r="J7" i="173"/>
  <c r="O6" i="173"/>
  <c r="G6" i="173"/>
  <c r="K5" i="173"/>
  <c r="O4" i="173"/>
  <c r="G4" i="173"/>
  <c r="M3" i="173"/>
  <c r="E3" i="173"/>
  <c r="P95" i="173"/>
  <c r="L86" i="173"/>
  <c r="H77" i="173"/>
  <c r="J68" i="173"/>
  <c r="P59" i="173"/>
  <c r="H57" i="173"/>
  <c r="L50" i="173"/>
  <c r="P43" i="173"/>
  <c r="H41" i="173"/>
  <c r="L34" i="173"/>
  <c r="P27" i="173"/>
  <c r="H25" i="173"/>
  <c r="M18" i="173"/>
  <c r="E16" i="173"/>
  <c r="J9" i="173"/>
  <c r="L94" i="173"/>
  <c r="H85" i="173"/>
  <c r="P67" i="173"/>
  <c r="P61" i="173"/>
  <c r="H59" i="173"/>
  <c r="L52" i="173"/>
  <c r="P45" i="173"/>
  <c r="H43" i="173"/>
  <c r="L36" i="173"/>
  <c r="P29" i="173"/>
  <c r="H27" i="173"/>
  <c r="M20" i="173"/>
  <c r="E18" i="173"/>
  <c r="Q13" i="173"/>
  <c r="J11" i="173"/>
  <c r="Q4" i="173"/>
  <c r="H93" i="173"/>
  <c r="P63" i="173"/>
  <c r="H61" i="173"/>
  <c r="L54" i="173"/>
  <c r="P47" i="173"/>
  <c r="H45" i="173"/>
  <c r="L38" i="173"/>
  <c r="P31" i="173"/>
  <c r="H29" i="173"/>
  <c r="L22" i="173"/>
  <c r="E20" i="173"/>
  <c r="Q15" i="173"/>
  <c r="I13" i="173"/>
  <c r="Q6" i="173"/>
  <c r="I4" i="173"/>
  <c r="H63" i="173"/>
  <c r="L56" i="173"/>
  <c r="P49" i="173"/>
  <c r="H47" i="173"/>
  <c r="L40" i="173"/>
  <c r="P33" i="173"/>
  <c r="H31" i="173"/>
  <c r="L24" i="173"/>
  <c r="Q17" i="173"/>
  <c r="I15" i="173"/>
  <c r="O8" i="173"/>
  <c r="I6" i="173"/>
  <c r="P65" i="173"/>
  <c r="L58" i="173"/>
  <c r="P51" i="173"/>
  <c r="H49" i="173"/>
  <c r="L42" i="173"/>
  <c r="P35" i="173"/>
  <c r="H33" i="173"/>
  <c r="L26" i="173"/>
  <c r="Q19" i="173"/>
  <c r="I17" i="173"/>
  <c r="N10" i="173"/>
  <c r="G8" i="173"/>
  <c r="P79" i="173"/>
  <c r="L70" i="173"/>
  <c r="L62" i="173"/>
  <c r="P55" i="173"/>
  <c r="H53" i="173"/>
  <c r="L46" i="173"/>
  <c r="P39" i="173"/>
  <c r="H37" i="173"/>
  <c r="L30" i="173"/>
  <c r="P23" i="173"/>
  <c r="H21" i="173"/>
  <c r="M14" i="173"/>
  <c r="F12" i="173"/>
  <c r="M5" i="173"/>
  <c r="G3" i="173"/>
  <c r="P87" i="173"/>
  <c r="L78" i="173"/>
  <c r="H69" i="173"/>
  <c r="L64" i="173"/>
  <c r="P57" i="173"/>
  <c r="H55" i="173"/>
  <c r="L48" i="173"/>
  <c r="P41" i="173"/>
  <c r="H39" i="173"/>
  <c r="L32" i="173"/>
  <c r="P25" i="173"/>
  <c r="H23" i="173"/>
  <c r="M16" i="173"/>
  <c r="E14" i="173"/>
  <c r="L7" i="173"/>
  <c r="E5" i="173"/>
  <c r="L28" i="173"/>
  <c r="F10" i="173"/>
  <c r="L44" i="173"/>
  <c r="L60" i="173"/>
  <c r="P21" i="173"/>
  <c r="O3" i="173"/>
  <c r="H51" i="173"/>
  <c r="N12" i="173"/>
  <c r="P37" i="173"/>
  <c r="H35" i="173"/>
  <c r="I19" i="173"/>
  <c r="P53" i="173"/>
  <c r="P71" i="173"/>
  <c r="Z100" i="173"/>
  <c r="AD99" i="173"/>
  <c r="V99" i="173"/>
  <c r="Z98" i="173"/>
  <c r="AD97" i="173"/>
  <c r="V97" i="173"/>
  <c r="Z96" i="173"/>
  <c r="AD95" i="173"/>
  <c r="V95" i="173"/>
  <c r="Z94" i="173"/>
  <c r="AD93" i="173"/>
  <c r="V93" i="173"/>
  <c r="Z92" i="173"/>
  <c r="AD91" i="173"/>
  <c r="V91" i="173"/>
  <c r="Z90" i="173"/>
  <c r="AD89" i="173"/>
  <c r="V89" i="173"/>
  <c r="Z88" i="173"/>
  <c r="AD87" i="173"/>
  <c r="V87" i="173"/>
  <c r="Z86" i="173"/>
  <c r="AD85" i="173"/>
  <c r="V85" i="173"/>
  <c r="Z84" i="173"/>
  <c r="AD83" i="173"/>
  <c r="V83" i="173"/>
  <c r="Z82" i="173"/>
  <c r="AD81" i="173"/>
  <c r="V81" i="173"/>
  <c r="Z80" i="173"/>
  <c r="AD79" i="173"/>
  <c r="V79" i="173"/>
  <c r="Z78" i="173"/>
  <c r="AD77" i="173"/>
  <c r="V77" i="173"/>
  <c r="Z76" i="173"/>
  <c r="AD75" i="173"/>
  <c r="V75" i="173"/>
  <c r="Z74" i="173"/>
  <c r="AD73" i="173"/>
  <c r="V73" i="173"/>
  <c r="Z72" i="173"/>
  <c r="AD71" i="173"/>
  <c r="V71" i="173"/>
  <c r="Z70" i="173"/>
  <c r="AD69" i="173"/>
  <c r="V69" i="173"/>
  <c r="Z68" i="173"/>
  <c r="AG100" i="173"/>
  <c r="Y100" i="173"/>
  <c r="AC99" i="173"/>
  <c r="U99" i="173"/>
  <c r="AG98" i="173"/>
  <c r="Y98" i="173"/>
  <c r="AC97" i="173"/>
  <c r="U97" i="173"/>
  <c r="AG96" i="173"/>
  <c r="Y96" i="173"/>
  <c r="AC95" i="173"/>
  <c r="U95" i="173"/>
  <c r="AG94" i="173"/>
  <c r="Y94" i="173"/>
  <c r="AC93" i="173"/>
  <c r="U93" i="173"/>
  <c r="AG92" i="173"/>
  <c r="Y92" i="173"/>
  <c r="AC91" i="173"/>
  <c r="U91" i="173"/>
  <c r="AG90" i="173"/>
  <c r="Y90" i="173"/>
  <c r="AC89" i="173"/>
  <c r="U89" i="173"/>
  <c r="AG88" i="173"/>
  <c r="Y88" i="173"/>
  <c r="AC87" i="173"/>
  <c r="U87" i="173"/>
  <c r="AG86" i="173"/>
  <c r="Y86" i="173"/>
  <c r="AC85" i="173"/>
  <c r="U85" i="173"/>
  <c r="AG84" i="173"/>
  <c r="Y84" i="173"/>
  <c r="AC83" i="173"/>
  <c r="U83" i="173"/>
  <c r="AG82" i="173"/>
  <c r="Y82" i="173"/>
  <c r="AC81" i="173"/>
  <c r="U81" i="173"/>
  <c r="AG80" i="173"/>
  <c r="Y80" i="173"/>
  <c r="AC79" i="173"/>
  <c r="U79" i="173"/>
  <c r="AG78" i="173"/>
  <c r="Y78" i="173"/>
  <c r="AC77" i="173"/>
  <c r="U77" i="173"/>
  <c r="AG76" i="173"/>
  <c r="Y76" i="173"/>
  <c r="AC75" i="173"/>
  <c r="U75" i="173"/>
  <c r="AG74" i="173"/>
  <c r="Y74" i="173"/>
  <c r="AC73" i="173"/>
  <c r="U73" i="173"/>
  <c r="AG72" i="173"/>
  <c r="Y72" i="173"/>
  <c r="AC71" i="173"/>
  <c r="U71" i="173"/>
  <c r="AG70" i="173"/>
  <c r="Y70" i="173"/>
  <c r="AC69" i="173"/>
  <c r="U69" i="173"/>
  <c r="AG68" i="173"/>
  <c r="Y68" i="173"/>
  <c r="AC67" i="173"/>
  <c r="U67" i="173"/>
  <c r="AG66" i="173"/>
  <c r="Y66" i="173"/>
  <c r="AF100" i="173"/>
  <c r="X100" i="173"/>
  <c r="AB99" i="173"/>
  <c r="T99" i="173"/>
  <c r="AF98" i="173"/>
  <c r="X98" i="173"/>
  <c r="AB97" i="173"/>
  <c r="T97" i="173"/>
  <c r="AF96" i="173"/>
  <c r="X96" i="173"/>
  <c r="AB95" i="173"/>
  <c r="T95" i="173"/>
  <c r="AF94" i="173"/>
  <c r="X94" i="173"/>
  <c r="AB93" i="173"/>
  <c r="T93" i="173"/>
  <c r="AF92" i="173"/>
  <c r="X92" i="173"/>
  <c r="AB91" i="173"/>
  <c r="T91" i="173"/>
  <c r="AF90" i="173"/>
  <c r="X90" i="173"/>
  <c r="AB89" i="173"/>
  <c r="T89" i="173"/>
  <c r="AF88" i="173"/>
  <c r="X88" i="173"/>
  <c r="AB87" i="173"/>
  <c r="T87" i="173"/>
  <c r="AF86" i="173"/>
  <c r="X86" i="173"/>
  <c r="AB85" i="173"/>
  <c r="T85" i="173"/>
  <c r="AF84" i="173"/>
  <c r="X84" i="173"/>
  <c r="AB83" i="173"/>
  <c r="T83" i="173"/>
  <c r="AF82" i="173"/>
  <c r="X82" i="173"/>
  <c r="AB81" i="173"/>
  <c r="T81" i="173"/>
  <c r="AF80" i="173"/>
  <c r="X80" i="173"/>
  <c r="AB79" i="173"/>
  <c r="T79" i="173"/>
  <c r="AF78" i="173"/>
  <c r="X78" i="173"/>
  <c r="AB77" i="173"/>
  <c r="T77" i="173"/>
  <c r="AF76" i="173"/>
  <c r="X76" i="173"/>
  <c r="AB75" i="173"/>
  <c r="T75" i="173"/>
  <c r="AF74" i="173"/>
  <c r="X74" i="173"/>
  <c r="AB73" i="173"/>
  <c r="T73" i="173"/>
  <c r="AF72" i="173"/>
  <c r="X72" i="173"/>
  <c r="AB71" i="173"/>
  <c r="T71" i="173"/>
  <c r="AF70" i="173"/>
  <c r="X70" i="173"/>
  <c r="AB69" i="173"/>
  <c r="T69" i="173"/>
  <c r="AF68" i="173"/>
  <c r="X68" i="173"/>
  <c r="AB67" i="173"/>
  <c r="T67" i="173"/>
  <c r="AF66" i="173"/>
  <c r="X66" i="173"/>
  <c r="AB65" i="173"/>
  <c r="AE100" i="173"/>
  <c r="W100" i="173"/>
  <c r="AA99" i="173"/>
  <c r="S99" i="173"/>
  <c r="AE98" i="173"/>
  <c r="W98" i="173"/>
  <c r="AA97" i="173"/>
  <c r="S97" i="173"/>
  <c r="AE96" i="173"/>
  <c r="W96" i="173"/>
  <c r="AA95" i="173"/>
  <c r="S95" i="173"/>
  <c r="AE94" i="173"/>
  <c r="W94" i="173"/>
  <c r="AA93" i="173"/>
  <c r="S93" i="173"/>
  <c r="AE92" i="173"/>
  <c r="W92" i="173"/>
  <c r="AA91" i="173"/>
  <c r="S91" i="173"/>
  <c r="AE90" i="173"/>
  <c r="W90" i="173"/>
  <c r="AA89" i="173"/>
  <c r="S89" i="173"/>
  <c r="AE88" i="173"/>
  <c r="W88" i="173"/>
  <c r="AA87" i="173"/>
  <c r="S87" i="173"/>
  <c r="AE86" i="173"/>
  <c r="W86" i="173"/>
  <c r="AA85" i="173"/>
  <c r="S85" i="173"/>
  <c r="AE84" i="173"/>
  <c r="W84" i="173"/>
  <c r="AA83" i="173"/>
  <c r="S83" i="173"/>
  <c r="AE82" i="173"/>
  <c r="W82" i="173"/>
  <c r="AA81" i="173"/>
  <c r="S81" i="173"/>
  <c r="AE80" i="173"/>
  <c r="W80" i="173"/>
  <c r="AA79" i="173"/>
  <c r="S79" i="173"/>
  <c r="AE78" i="173"/>
  <c r="W78" i="173"/>
  <c r="AA77" i="173"/>
  <c r="S77" i="173"/>
  <c r="AE76" i="173"/>
  <c r="W76" i="173"/>
  <c r="AA75" i="173"/>
  <c r="S75" i="173"/>
  <c r="AE74" i="173"/>
  <c r="W74" i="173"/>
  <c r="AA73" i="173"/>
  <c r="S73" i="173"/>
  <c r="AE72" i="173"/>
  <c r="W72" i="173"/>
  <c r="AA71" i="173"/>
  <c r="S71" i="173"/>
  <c r="AE70" i="173"/>
  <c r="W70" i="173"/>
  <c r="AA69" i="173"/>
  <c r="S69" i="173"/>
  <c r="AE68" i="173"/>
  <c r="W68" i="173"/>
  <c r="AA67" i="173"/>
  <c r="S67" i="173"/>
  <c r="AE66" i="173"/>
  <c r="W66" i="173"/>
  <c r="AA65" i="173"/>
  <c r="S65" i="173"/>
  <c r="AE64" i="173"/>
  <c r="W64" i="173"/>
  <c r="AD100" i="173"/>
  <c r="V100" i="173"/>
  <c r="Z99" i="173"/>
  <c r="AD98" i="173"/>
  <c r="V98" i="173"/>
  <c r="Z97" i="173"/>
  <c r="AD96" i="173"/>
  <c r="V96" i="173"/>
  <c r="Z95" i="173"/>
  <c r="AD94" i="173"/>
  <c r="V94" i="173"/>
  <c r="Z93" i="173"/>
  <c r="AD92" i="173"/>
  <c r="V92" i="173"/>
  <c r="Z91" i="173"/>
  <c r="AD90" i="173"/>
  <c r="V90" i="173"/>
  <c r="Z89" i="173"/>
  <c r="AD88" i="173"/>
  <c r="V88" i="173"/>
  <c r="Z87" i="173"/>
  <c r="AD86" i="173"/>
  <c r="V86" i="173"/>
  <c r="Z85" i="173"/>
  <c r="AD84" i="173"/>
  <c r="V84" i="173"/>
  <c r="Z83" i="173"/>
  <c r="AD82" i="173"/>
  <c r="V82" i="173"/>
  <c r="Z81" i="173"/>
  <c r="AD80" i="173"/>
  <c r="V80" i="173"/>
  <c r="Z79" i="173"/>
  <c r="AD78" i="173"/>
  <c r="V78" i="173"/>
  <c r="Z77" i="173"/>
  <c r="AD76" i="173"/>
  <c r="V76" i="173"/>
  <c r="Z75" i="173"/>
  <c r="AD74" i="173"/>
  <c r="V74" i="173"/>
  <c r="Z73" i="173"/>
  <c r="AD72" i="173"/>
  <c r="V72" i="173"/>
  <c r="Z71" i="173"/>
  <c r="AD70" i="173"/>
  <c r="V70" i="173"/>
  <c r="Z69" i="173"/>
  <c r="AD68" i="173"/>
  <c r="V68" i="173"/>
  <c r="Z67" i="173"/>
  <c r="AD66" i="173"/>
  <c r="V66" i="173"/>
  <c r="Z65" i="173"/>
  <c r="AD64" i="173"/>
  <c r="AB100" i="173"/>
  <c r="T100" i="173"/>
  <c r="AF99" i="173"/>
  <c r="X99" i="173"/>
  <c r="AB98" i="173"/>
  <c r="T98" i="173"/>
  <c r="AF97" i="173"/>
  <c r="X97" i="173"/>
  <c r="AB96" i="173"/>
  <c r="T96" i="173"/>
  <c r="AF95" i="173"/>
  <c r="X95" i="173"/>
  <c r="AB94" i="173"/>
  <c r="T94" i="173"/>
  <c r="AF93" i="173"/>
  <c r="X93" i="173"/>
  <c r="AB92" i="173"/>
  <c r="T92" i="173"/>
  <c r="AF91" i="173"/>
  <c r="X91" i="173"/>
  <c r="AB90" i="173"/>
  <c r="T90" i="173"/>
  <c r="AF89" i="173"/>
  <c r="X89" i="173"/>
  <c r="AB88" i="173"/>
  <c r="T88" i="173"/>
  <c r="AF87" i="173"/>
  <c r="X87" i="173"/>
  <c r="AB86" i="173"/>
  <c r="T86" i="173"/>
  <c r="AF85" i="173"/>
  <c r="X85" i="173"/>
  <c r="AB84" i="173"/>
  <c r="T84" i="173"/>
  <c r="AF83" i="173"/>
  <c r="X83" i="173"/>
  <c r="AB82" i="173"/>
  <c r="T82" i="173"/>
  <c r="AF81" i="173"/>
  <c r="X81" i="173"/>
  <c r="AB80" i="173"/>
  <c r="T80" i="173"/>
  <c r="AF79" i="173"/>
  <c r="X79" i="173"/>
  <c r="AB78" i="173"/>
  <c r="T78" i="173"/>
  <c r="AF77" i="173"/>
  <c r="X77" i="173"/>
  <c r="AB76" i="173"/>
  <c r="T76" i="173"/>
  <c r="AF75" i="173"/>
  <c r="X75" i="173"/>
  <c r="AB74" i="173"/>
  <c r="T74" i="173"/>
  <c r="AF73" i="173"/>
  <c r="X73" i="173"/>
  <c r="AB72" i="173"/>
  <c r="T72" i="173"/>
  <c r="AF71" i="173"/>
  <c r="X71" i="173"/>
  <c r="AB70" i="173"/>
  <c r="T70" i="173"/>
  <c r="AF69" i="173"/>
  <c r="X69" i="173"/>
  <c r="AB68" i="173"/>
  <c r="T68" i="173"/>
  <c r="AF67" i="173"/>
  <c r="X67" i="173"/>
  <c r="AB66" i="173"/>
  <c r="T66" i="173"/>
  <c r="AF65" i="173"/>
  <c r="X65" i="173"/>
  <c r="AB64" i="173"/>
  <c r="AA100" i="173"/>
  <c r="W99" i="173"/>
  <c r="S98" i="173"/>
  <c r="AE93" i="173"/>
  <c r="AA92" i="173"/>
  <c r="W91" i="173"/>
  <c r="S90" i="173"/>
  <c r="AE85" i="173"/>
  <c r="AA84" i="173"/>
  <c r="W83" i="173"/>
  <c r="S82" i="173"/>
  <c r="AE77" i="173"/>
  <c r="AA76" i="173"/>
  <c r="W75" i="173"/>
  <c r="S74" i="173"/>
  <c r="AE69" i="173"/>
  <c r="AA68" i="173"/>
  <c r="AE67" i="173"/>
  <c r="Y65" i="173"/>
  <c r="AA64" i="173"/>
  <c r="AD63" i="173"/>
  <c r="V63" i="173"/>
  <c r="Z62" i="173"/>
  <c r="AD61" i="173"/>
  <c r="V61" i="173"/>
  <c r="Z60" i="173"/>
  <c r="AD59" i="173"/>
  <c r="V59" i="173"/>
  <c r="Z58" i="173"/>
  <c r="AD57" i="173"/>
  <c r="V57" i="173"/>
  <c r="Z56" i="173"/>
  <c r="AD55" i="173"/>
  <c r="V55" i="173"/>
  <c r="Z54" i="173"/>
  <c r="AD53" i="173"/>
  <c r="V53" i="173"/>
  <c r="Z52" i="173"/>
  <c r="AD51" i="173"/>
  <c r="V51" i="173"/>
  <c r="Z50" i="173"/>
  <c r="AD49" i="173"/>
  <c r="V49" i="173"/>
  <c r="Z48" i="173"/>
  <c r="AD47" i="173"/>
  <c r="V47" i="173"/>
  <c r="Z46" i="173"/>
  <c r="AD45" i="173"/>
  <c r="V45" i="173"/>
  <c r="Z44" i="173"/>
  <c r="AD43" i="173"/>
  <c r="V43" i="173"/>
  <c r="Z42" i="173"/>
  <c r="AD41" i="173"/>
  <c r="V41" i="173"/>
  <c r="Z40" i="173"/>
  <c r="AD39" i="173"/>
  <c r="V39" i="173"/>
  <c r="Z38" i="173"/>
  <c r="AD37" i="173"/>
  <c r="V37" i="173"/>
  <c r="Z36" i="173"/>
  <c r="AD35" i="173"/>
  <c r="V35" i="173"/>
  <c r="Z34" i="173"/>
  <c r="AD33" i="173"/>
  <c r="V33" i="173"/>
  <c r="Z32" i="173"/>
  <c r="AD31" i="173"/>
  <c r="V31" i="173"/>
  <c r="Z30" i="173"/>
  <c r="AD29" i="173"/>
  <c r="V29" i="173"/>
  <c r="Z28" i="173"/>
  <c r="AD27" i="173"/>
  <c r="V27" i="173"/>
  <c r="Z26" i="173"/>
  <c r="AD25" i="173"/>
  <c r="V25" i="173"/>
  <c r="Z24" i="173"/>
  <c r="AD23" i="173"/>
  <c r="V23" i="173"/>
  <c r="Z22" i="173"/>
  <c r="AD21" i="173"/>
  <c r="V21" i="173"/>
  <c r="AA20" i="173"/>
  <c r="S20" i="173"/>
  <c r="AE19" i="173"/>
  <c r="W19" i="173"/>
  <c r="AA18" i="173"/>
  <c r="S18" i="173"/>
  <c r="AE17" i="173"/>
  <c r="W17" i="173"/>
  <c r="AA16" i="173"/>
  <c r="S16" i="173"/>
  <c r="AE15" i="173"/>
  <c r="W15" i="173"/>
  <c r="AA14" i="173"/>
  <c r="S14" i="173"/>
  <c r="AE13" i="173"/>
  <c r="W13" i="173"/>
  <c r="AB12" i="173"/>
  <c r="T12" i="173"/>
  <c r="AF11" i="173"/>
  <c r="X11" i="173"/>
  <c r="AB10" i="173"/>
  <c r="T10" i="173"/>
  <c r="AF9" i="173"/>
  <c r="X9" i="173"/>
  <c r="AC8" i="173"/>
  <c r="U8" i="173"/>
  <c r="Z7" i="173"/>
  <c r="AE6" i="173"/>
  <c r="W6" i="173"/>
  <c r="AA5" i="173"/>
  <c r="S5" i="173"/>
  <c r="AE4" i="173"/>
  <c r="W4" i="173"/>
  <c r="AB3" i="173"/>
  <c r="T3" i="173"/>
  <c r="U100" i="173"/>
  <c r="AG95" i="173"/>
  <c r="AC94" i="173"/>
  <c r="Y93" i="173"/>
  <c r="U92" i="173"/>
  <c r="AG87" i="173"/>
  <c r="AC86" i="173"/>
  <c r="Y85" i="173"/>
  <c r="U84" i="173"/>
  <c r="AG79" i="173"/>
  <c r="AC78" i="173"/>
  <c r="Y77" i="173"/>
  <c r="U76" i="173"/>
  <c r="AG71" i="173"/>
  <c r="AC70" i="173"/>
  <c r="Y69" i="173"/>
  <c r="U68" i="173"/>
  <c r="AD67" i="173"/>
  <c r="W65" i="173"/>
  <c r="Z64" i="173"/>
  <c r="AC63" i="173"/>
  <c r="U63" i="173"/>
  <c r="AG62" i="173"/>
  <c r="Y62" i="173"/>
  <c r="AC61" i="173"/>
  <c r="U61" i="173"/>
  <c r="AG60" i="173"/>
  <c r="Y60" i="173"/>
  <c r="AC59" i="173"/>
  <c r="U59" i="173"/>
  <c r="AG58" i="173"/>
  <c r="Y58" i="173"/>
  <c r="AC57" i="173"/>
  <c r="U57" i="173"/>
  <c r="AG56" i="173"/>
  <c r="Y56" i="173"/>
  <c r="AC55" i="173"/>
  <c r="U55" i="173"/>
  <c r="AG54" i="173"/>
  <c r="Y54" i="173"/>
  <c r="AC53" i="173"/>
  <c r="U53" i="173"/>
  <c r="AG52" i="173"/>
  <c r="Y52" i="173"/>
  <c r="AC51" i="173"/>
  <c r="U51" i="173"/>
  <c r="AG50" i="173"/>
  <c r="Y50" i="173"/>
  <c r="AC49" i="173"/>
  <c r="U49" i="173"/>
  <c r="AG48" i="173"/>
  <c r="Y48" i="173"/>
  <c r="AC47" i="173"/>
  <c r="U47" i="173"/>
  <c r="AG46" i="173"/>
  <c r="Y46" i="173"/>
  <c r="AC45" i="173"/>
  <c r="U45" i="173"/>
  <c r="AG44" i="173"/>
  <c r="Y44" i="173"/>
  <c r="AC43" i="173"/>
  <c r="U43" i="173"/>
  <c r="AG42" i="173"/>
  <c r="Y42" i="173"/>
  <c r="AC41" i="173"/>
  <c r="U41" i="173"/>
  <c r="AG40" i="173"/>
  <c r="Y40" i="173"/>
  <c r="AC39" i="173"/>
  <c r="U39" i="173"/>
  <c r="AG38" i="173"/>
  <c r="Y38" i="173"/>
  <c r="AC37" i="173"/>
  <c r="U37" i="173"/>
  <c r="AG36" i="173"/>
  <c r="Y36" i="173"/>
  <c r="AC35" i="173"/>
  <c r="U35" i="173"/>
  <c r="AG34" i="173"/>
  <c r="Y34" i="173"/>
  <c r="AC33" i="173"/>
  <c r="U33" i="173"/>
  <c r="AG32" i="173"/>
  <c r="Y32" i="173"/>
  <c r="AC31" i="173"/>
  <c r="U31" i="173"/>
  <c r="AG30" i="173"/>
  <c r="Y30" i="173"/>
  <c r="AC29" i="173"/>
  <c r="U29" i="173"/>
  <c r="AG28" i="173"/>
  <c r="Y28" i="173"/>
  <c r="AC27" i="173"/>
  <c r="U27" i="173"/>
  <c r="AG26" i="173"/>
  <c r="Y26" i="173"/>
  <c r="AC25" i="173"/>
  <c r="U25" i="173"/>
  <c r="AG24" i="173"/>
  <c r="Y24" i="173"/>
  <c r="AC23" i="173"/>
  <c r="U23" i="173"/>
  <c r="AG22" i="173"/>
  <c r="Y22" i="173"/>
  <c r="AC21" i="173"/>
  <c r="U21" i="173"/>
  <c r="Z20" i="173"/>
  <c r="AD19" i="173"/>
  <c r="V19" i="173"/>
  <c r="Z18" i="173"/>
  <c r="AD17" i="173"/>
  <c r="V17" i="173"/>
  <c r="Z16" i="173"/>
  <c r="AD15" i="173"/>
  <c r="V15" i="173"/>
  <c r="Z14" i="173"/>
  <c r="AD13" i="173"/>
  <c r="V13" i="173"/>
  <c r="AA12" i="173"/>
  <c r="S12" i="173"/>
  <c r="AE11" i="173"/>
  <c r="W11" i="173"/>
  <c r="AA10" i="173"/>
  <c r="S10" i="173"/>
  <c r="AE9" i="173"/>
  <c r="W9" i="173"/>
  <c r="AB8" i="173"/>
  <c r="T8" i="173"/>
  <c r="AG7" i="173"/>
  <c r="Y7" i="173"/>
  <c r="AD6" i="173"/>
  <c r="V6" i="173"/>
  <c r="Z5" i="173"/>
  <c r="AD4" i="173"/>
  <c r="V4" i="173"/>
  <c r="AA3" i="173"/>
  <c r="S3" i="173"/>
  <c r="S100" i="173"/>
  <c r="AE95" i="173"/>
  <c r="AA94" i="173"/>
  <c r="W93" i="173"/>
  <c r="S92" i="173"/>
  <c r="AE87" i="173"/>
  <c r="AA86" i="173"/>
  <c r="W85" i="173"/>
  <c r="S84" i="173"/>
  <c r="AE79" i="173"/>
  <c r="AA78" i="173"/>
  <c r="W77" i="173"/>
  <c r="S76" i="173"/>
  <c r="AE71" i="173"/>
  <c r="AA70" i="173"/>
  <c r="W69" i="173"/>
  <c r="S68" i="173"/>
  <c r="Y67" i="173"/>
  <c r="V65" i="173"/>
  <c r="Y64" i="173"/>
  <c r="AB63" i="173"/>
  <c r="T63" i="173"/>
  <c r="AF62" i="173"/>
  <c r="X62" i="173"/>
  <c r="AB61" i="173"/>
  <c r="T61" i="173"/>
  <c r="AF60" i="173"/>
  <c r="X60" i="173"/>
  <c r="AB59" i="173"/>
  <c r="T59" i="173"/>
  <c r="AF58" i="173"/>
  <c r="X58" i="173"/>
  <c r="AB57" i="173"/>
  <c r="T57" i="173"/>
  <c r="AF56" i="173"/>
  <c r="X56" i="173"/>
  <c r="AB55" i="173"/>
  <c r="T55" i="173"/>
  <c r="AF54" i="173"/>
  <c r="X54" i="173"/>
  <c r="AB53" i="173"/>
  <c r="T53" i="173"/>
  <c r="AF52" i="173"/>
  <c r="X52" i="173"/>
  <c r="AB51" i="173"/>
  <c r="T51" i="173"/>
  <c r="AF50" i="173"/>
  <c r="X50" i="173"/>
  <c r="AB49" i="173"/>
  <c r="T49" i="173"/>
  <c r="AF48" i="173"/>
  <c r="X48" i="173"/>
  <c r="AB47" i="173"/>
  <c r="T47" i="173"/>
  <c r="AF46" i="173"/>
  <c r="X46" i="173"/>
  <c r="AB45" i="173"/>
  <c r="T45" i="173"/>
  <c r="AF44" i="173"/>
  <c r="X44" i="173"/>
  <c r="AB43" i="173"/>
  <c r="T43" i="173"/>
  <c r="AF42" i="173"/>
  <c r="X42" i="173"/>
  <c r="AB41" i="173"/>
  <c r="T41" i="173"/>
  <c r="AF40" i="173"/>
  <c r="X40" i="173"/>
  <c r="AB39" i="173"/>
  <c r="T39" i="173"/>
  <c r="AF38" i="173"/>
  <c r="X38" i="173"/>
  <c r="AB37" i="173"/>
  <c r="T37" i="173"/>
  <c r="AF36" i="173"/>
  <c r="X36" i="173"/>
  <c r="AB35" i="173"/>
  <c r="T35" i="173"/>
  <c r="AF34" i="173"/>
  <c r="X34" i="173"/>
  <c r="AB33" i="173"/>
  <c r="T33" i="173"/>
  <c r="AF32" i="173"/>
  <c r="X32" i="173"/>
  <c r="AB31" i="173"/>
  <c r="T31" i="173"/>
  <c r="AF30" i="173"/>
  <c r="X30" i="173"/>
  <c r="AB29" i="173"/>
  <c r="T29" i="173"/>
  <c r="AF28" i="173"/>
  <c r="X28" i="173"/>
  <c r="AB27" i="173"/>
  <c r="T27" i="173"/>
  <c r="AF26" i="173"/>
  <c r="X26" i="173"/>
  <c r="AB25" i="173"/>
  <c r="T25" i="173"/>
  <c r="AF24" i="173"/>
  <c r="X24" i="173"/>
  <c r="AB23" i="173"/>
  <c r="T23" i="173"/>
  <c r="AF22" i="173"/>
  <c r="X22" i="173"/>
  <c r="AB21" i="173"/>
  <c r="T21" i="173"/>
  <c r="AG20" i="173"/>
  <c r="Y20" i="173"/>
  <c r="AC19" i="173"/>
  <c r="U19" i="173"/>
  <c r="AG18" i="173"/>
  <c r="Y18" i="173"/>
  <c r="AC17" i="173"/>
  <c r="U17" i="173"/>
  <c r="AG16" i="173"/>
  <c r="Y16" i="173"/>
  <c r="AC15" i="173"/>
  <c r="U15" i="173"/>
  <c r="AG14" i="173"/>
  <c r="Y14" i="173"/>
  <c r="AC13" i="173"/>
  <c r="U13" i="173"/>
  <c r="Z12" i="173"/>
  <c r="AD11" i="173"/>
  <c r="V11" i="173"/>
  <c r="Z10" i="173"/>
  <c r="AD9" i="173"/>
  <c r="V9" i="173"/>
  <c r="AA8" i="173"/>
  <c r="S8" i="173"/>
  <c r="AF7" i="173"/>
  <c r="X7" i="173"/>
  <c r="AC6" i="173"/>
  <c r="U6" i="173"/>
  <c r="AG5" i="173"/>
  <c r="Y5" i="173"/>
  <c r="AC4" i="173"/>
  <c r="U4" i="173"/>
  <c r="Z3" i="173"/>
  <c r="AG97" i="173"/>
  <c r="AC96" i="173"/>
  <c r="Y95" i="173"/>
  <c r="U94" i="173"/>
  <c r="AG89" i="173"/>
  <c r="AC88" i="173"/>
  <c r="Y87" i="173"/>
  <c r="U86" i="173"/>
  <c r="AG81" i="173"/>
  <c r="AC80" i="173"/>
  <c r="Y79" i="173"/>
  <c r="U78" i="173"/>
  <c r="AG73" i="173"/>
  <c r="AC72" i="173"/>
  <c r="Y71" i="173"/>
  <c r="U70" i="173"/>
  <c r="W67" i="173"/>
  <c r="AC66" i="173"/>
  <c r="U65" i="173"/>
  <c r="X64" i="173"/>
  <c r="AA63" i="173"/>
  <c r="S63" i="173"/>
  <c r="AE62" i="173"/>
  <c r="W62" i="173"/>
  <c r="AA61" i="173"/>
  <c r="S61" i="173"/>
  <c r="AE60" i="173"/>
  <c r="W60" i="173"/>
  <c r="AA59" i="173"/>
  <c r="S59" i="173"/>
  <c r="AE58" i="173"/>
  <c r="W58" i="173"/>
  <c r="AA57" i="173"/>
  <c r="S57" i="173"/>
  <c r="AE56" i="173"/>
  <c r="W56" i="173"/>
  <c r="AA55" i="173"/>
  <c r="S55" i="173"/>
  <c r="AE54" i="173"/>
  <c r="W54" i="173"/>
  <c r="AA53" i="173"/>
  <c r="S53" i="173"/>
  <c r="AE52" i="173"/>
  <c r="W52" i="173"/>
  <c r="AA51" i="173"/>
  <c r="S51" i="173"/>
  <c r="AE50" i="173"/>
  <c r="W50" i="173"/>
  <c r="AA49" i="173"/>
  <c r="S49" i="173"/>
  <c r="AE48" i="173"/>
  <c r="W48" i="173"/>
  <c r="AA47" i="173"/>
  <c r="S47" i="173"/>
  <c r="AE46" i="173"/>
  <c r="W46" i="173"/>
  <c r="AA45" i="173"/>
  <c r="S45" i="173"/>
  <c r="AE44" i="173"/>
  <c r="W44" i="173"/>
  <c r="AA43" i="173"/>
  <c r="S43" i="173"/>
  <c r="AE42" i="173"/>
  <c r="W42" i="173"/>
  <c r="AA41" i="173"/>
  <c r="S41" i="173"/>
  <c r="AE40" i="173"/>
  <c r="W40" i="173"/>
  <c r="AA39" i="173"/>
  <c r="S39" i="173"/>
  <c r="AE38" i="173"/>
  <c r="W38" i="173"/>
  <c r="AA37" i="173"/>
  <c r="S37" i="173"/>
  <c r="AE36" i="173"/>
  <c r="W36" i="173"/>
  <c r="AA35" i="173"/>
  <c r="S35" i="173"/>
  <c r="AE34" i="173"/>
  <c r="W34" i="173"/>
  <c r="AA33" i="173"/>
  <c r="S33" i="173"/>
  <c r="AE32" i="173"/>
  <c r="W32" i="173"/>
  <c r="AA31" i="173"/>
  <c r="S31" i="173"/>
  <c r="AE30" i="173"/>
  <c r="W30" i="173"/>
  <c r="AA29" i="173"/>
  <c r="S29" i="173"/>
  <c r="AE28" i="173"/>
  <c r="W28" i="173"/>
  <c r="AA27" i="173"/>
  <c r="S27" i="173"/>
  <c r="AE26" i="173"/>
  <c r="W26" i="173"/>
  <c r="AA25" i="173"/>
  <c r="S25" i="173"/>
  <c r="AE24" i="173"/>
  <c r="W24" i="173"/>
  <c r="AA23" i="173"/>
  <c r="S23" i="173"/>
  <c r="AE22" i="173"/>
  <c r="W22" i="173"/>
  <c r="AA21" i="173"/>
  <c r="S21" i="173"/>
  <c r="AF20" i="173"/>
  <c r="X20" i="173"/>
  <c r="AB19" i="173"/>
  <c r="T19" i="173"/>
  <c r="AF18" i="173"/>
  <c r="X18" i="173"/>
  <c r="AB17" i="173"/>
  <c r="T17" i="173"/>
  <c r="AF16" i="173"/>
  <c r="X16" i="173"/>
  <c r="AB15" i="173"/>
  <c r="T15" i="173"/>
  <c r="AF14" i="173"/>
  <c r="X14" i="173"/>
  <c r="AB13" i="173"/>
  <c r="T13" i="173"/>
  <c r="AG12" i="173"/>
  <c r="Y12" i="173"/>
  <c r="AC11" i="173"/>
  <c r="U11" i="173"/>
  <c r="AG10" i="173"/>
  <c r="Y10" i="173"/>
  <c r="AC9" i="173"/>
  <c r="U9" i="173"/>
  <c r="Z8" i="173"/>
  <c r="AE7" i="173"/>
  <c r="W7" i="173"/>
  <c r="AB6" i="173"/>
  <c r="T6" i="173"/>
  <c r="AF5" i="173"/>
  <c r="X5" i="173"/>
  <c r="AB4" i="173"/>
  <c r="T4" i="173"/>
  <c r="AG3" i="173"/>
  <c r="Y3" i="173"/>
  <c r="AE97" i="173"/>
  <c r="AA96" i="173"/>
  <c r="W95" i="173"/>
  <c r="S94" i="173"/>
  <c r="AE89" i="173"/>
  <c r="AA88" i="173"/>
  <c r="W87" i="173"/>
  <c r="S86" i="173"/>
  <c r="AE81" i="173"/>
  <c r="AA80" i="173"/>
  <c r="W79" i="173"/>
  <c r="S78" i="173"/>
  <c r="AE73" i="173"/>
  <c r="AA72" i="173"/>
  <c r="W71" i="173"/>
  <c r="S70" i="173"/>
  <c r="V67" i="173"/>
  <c r="AA66" i="173"/>
  <c r="AG65" i="173"/>
  <c r="T65" i="173"/>
  <c r="V64" i="173"/>
  <c r="Z63" i="173"/>
  <c r="AD62" i="173"/>
  <c r="V62" i="173"/>
  <c r="Z61" i="173"/>
  <c r="AD60" i="173"/>
  <c r="V60" i="173"/>
  <c r="Z59" i="173"/>
  <c r="AD58" i="173"/>
  <c r="V58" i="173"/>
  <c r="Z57" i="173"/>
  <c r="AD56" i="173"/>
  <c r="V56" i="173"/>
  <c r="Z55" i="173"/>
  <c r="AD54" i="173"/>
  <c r="V54" i="173"/>
  <c r="Z53" i="173"/>
  <c r="AD52" i="173"/>
  <c r="V52" i="173"/>
  <c r="Z51" i="173"/>
  <c r="AD50" i="173"/>
  <c r="V50" i="173"/>
  <c r="Z49" i="173"/>
  <c r="AD48" i="173"/>
  <c r="V48" i="173"/>
  <c r="Z47" i="173"/>
  <c r="AD46" i="173"/>
  <c r="V46" i="173"/>
  <c r="Z45" i="173"/>
  <c r="AD44" i="173"/>
  <c r="V44" i="173"/>
  <c r="Z43" i="173"/>
  <c r="AD42" i="173"/>
  <c r="V42" i="173"/>
  <c r="Z41" i="173"/>
  <c r="AD40" i="173"/>
  <c r="V40" i="173"/>
  <c r="Z39" i="173"/>
  <c r="AD38" i="173"/>
  <c r="V38" i="173"/>
  <c r="Z37" i="173"/>
  <c r="AD36" i="173"/>
  <c r="V36" i="173"/>
  <c r="Z35" i="173"/>
  <c r="AD34" i="173"/>
  <c r="V34" i="173"/>
  <c r="Z33" i="173"/>
  <c r="AD32" i="173"/>
  <c r="V32" i="173"/>
  <c r="Z31" i="173"/>
  <c r="AD30" i="173"/>
  <c r="V30" i="173"/>
  <c r="Z29" i="173"/>
  <c r="AD28" i="173"/>
  <c r="V28" i="173"/>
  <c r="Z27" i="173"/>
  <c r="AD26" i="173"/>
  <c r="V26" i="173"/>
  <c r="Z25" i="173"/>
  <c r="AD24" i="173"/>
  <c r="V24" i="173"/>
  <c r="Z23" i="173"/>
  <c r="AD22" i="173"/>
  <c r="V22" i="173"/>
  <c r="Z21" i="173"/>
  <c r="AE20" i="173"/>
  <c r="W20" i="173"/>
  <c r="AA19" i="173"/>
  <c r="S19" i="173"/>
  <c r="AE18" i="173"/>
  <c r="W18" i="173"/>
  <c r="AA17" i="173"/>
  <c r="S17" i="173"/>
  <c r="AE16" i="173"/>
  <c r="W16" i="173"/>
  <c r="AA15" i="173"/>
  <c r="S15" i="173"/>
  <c r="AE14" i="173"/>
  <c r="W14" i="173"/>
  <c r="AA13" i="173"/>
  <c r="S13" i="173"/>
  <c r="AF12" i="173"/>
  <c r="X12" i="173"/>
  <c r="AB11" i="173"/>
  <c r="T11" i="173"/>
  <c r="AF10" i="173"/>
  <c r="X10" i="173"/>
  <c r="AB9" i="173"/>
  <c r="T9" i="173"/>
  <c r="AG8" i="173"/>
  <c r="Y8" i="173"/>
  <c r="AD7" i="173"/>
  <c r="V7" i="173"/>
  <c r="AA6" i="173"/>
  <c r="S6" i="173"/>
  <c r="AE5" i="173"/>
  <c r="W5" i="173"/>
  <c r="AA4" i="173"/>
  <c r="S4" i="173"/>
  <c r="AF3" i="173"/>
  <c r="X3" i="173"/>
  <c r="AE99" i="173"/>
  <c r="AA98" i="173"/>
  <c r="W97" i="173"/>
  <c r="S96" i="173"/>
  <c r="AE91" i="173"/>
  <c r="AA90" i="173"/>
  <c r="W89" i="173"/>
  <c r="S88" i="173"/>
  <c r="AE83" i="173"/>
  <c r="AA82" i="173"/>
  <c r="W81" i="173"/>
  <c r="S80" i="173"/>
  <c r="AE75" i="173"/>
  <c r="AA74" i="173"/>
  <c r="W73" i="173"/>
  <c r="S72" i="173"/>
  <c r="U66" i="173"/>
  <c r="AD65" i="173"/>
  <c r="AF64" i="173"/>
  <c r="T64" i="173"/>
  <c r="AF63" i="173"/>
  <c r="X63" i="173"/>
  <c r="AB62" i="173"/>
  <c r="T62" i="173"/>
  <c r="AF61" i="173"/>
  <c r="X61" i="173"/>
  <c r="AB60" i="173"/>
  <c r="T60" i="173"/>
  <c r="AF59" i="173"/>
  <c r="X59" i="173"/>
  <c r="AB58" i="173"/>
  <c r="T58" i="173"/>
  <c r="AF57" i="173"/>
  <c r="X57" i="173"/>
  <c r="AB56" i="173"/>
  <c r="T56" i="173"/>
  <c r="AF55" i="173"/>
  <c r="X55" i="173"/>
  <c r="AB54" i="173"/>
  <c r="T54" i="173"/>
  <c r="AF53" i="173"/>
  <c r="X53" i="173"/>
  <c r="AB52" i="173"/>
  <c r="T52" i="173"/>
  <c r="AF51" i="173"/>
  <c r="X51" i="173"/>
  <c r="AB50" i="173"/>
  <c r="T50" i="173"/>
  <c r="AF49" i="173"/>
  <c r="X49" i="173"/>
  <c r="AB48" i="173"/>
  <c r="T48" i="173"/>
  <c r="AF47" i="173"/>
  <c r="X47" i="173"/>
  <c r="AB46" i="173"/>
  <c r="T46" i="173"/>
  <c r="AF45" i="173"/>
  <c r="X45" i="173"/>
  <c r="AB44" i="173"/>
  <c r="T44" i="173"/>
  <c r="AF43" i="173"/>
  <c r="X43" i="173"/>
  <c r="AB42" i="173"/>
  <c r="T42" i="173"/>
  <c r="AF41" i="173"/>
  <c r="X41" i="173"/>
  <c r="AB40" i="173"/>
  <c r="T40" i="173"/>
  <c r="AF39" i="173"/>
  <c r="X39" i="173"/>
  <c r="AB38" i="173"/>
  <c r="T38" i="173"/>
  <c r="AF37" i="173"/>
  <c r="X37" i="173"/>
  <c r="AB36" i="173"/>
  <c r="T36" i="173"/>
  <c r="AF35" i="173"/>
  <c r="X35" i="173"/>
  <c r="AB34" i="173"/>
  <c r="T34" i="173"/>
  <c r="AF33" i="173"/>
  <c r="X33" i="173"/>
  <c r="AB32" i="173"/>
  <c r="T32" i="173"/>
  <c r="AF31" i="173"/>
  <c r="X31" i="173"/>
  <c r="AB30" i="173"/>
  <c r="T30" i="173"/>
  <c r="AF29" i="173"/>
  <c r="X29" i="173"/>
  <c r="AB28" i="173"/>
  <c r="T28" i="173"/>
  <c r="AF27" i="173"/>
  <c r="X27" i="173"/>
  <c r="AB26" i="173"/>
  <c r="T26" i="173"/>
  <c r="AF25" i="173"/>
  <c r="X25" i="173"/>
  <c r="AB24" i="173"/>
  <c r="T24" i="173"/>
  <c r="AF23" i="173"/>
  <c r="X23" i="173"/>
  <c r="AB22" i="173"/>
  <c r="T22" i="173"/>
  <c r="AF21" i="173"/>
  <c r="X21" i="173"/>
  <c r="AC20" i="173"/>
  <c r="U20" i="173"/>
  <c r="AG19" i="173"/>
  <c r="Y19" i="173"/>
  <c r="AC18" i="173"/>
  <c r="U18" i="173"/>
  <c r="AG17" i="173"/>
  <c r="Y17" i="173"/>
  <c r="AC16" i="173"/>
  <c r="U16" i="173"/>
  <c r="AG15" i="173"/>
  <c r="Y15" i="173"/>
  <c r="AC14" i="173"/>
  <c r="U14" i="173"/>
  <c r="AG13" i="173"/>
  <c r="Y13" i="173"/>
  <c r="AD12" i="173"/>
  <c r="V12" i="173"/>
  <c r="Z11" i="173"/>
  <c r="AD10" i="173"/>
  <c r="V10" i="173"/>
  <c r="Z9" i="173"/>
  <c r="AE8" i="173"/>
  <c r="W8" i="173"/>
  <c r="AB7" i="173"/>
  <c r="T7" i="173"/>
  <c r="AG6" i="173"/>
  <c r="Y6" i="173"/>
  <c r="AC5" i="173"/>
  <c r="U5" i="173"/>
  <c r="AG4" i="173"/>
  <c r="Y4" i="173"/>
  <c r="AD3" i="173"/>
  <c r="V3" i="173"/>
  <c r="AC100" i="173"/>
  <c r="Y99" i="173"/>
  <c r="U98" i="173"/>
  <c r="AG93" i="173"/>
  <c r="AC92" i="173"/>
  <c r="Y91" i="173"/>
  <c r="U90" i="173"/>
  <c r="AG85" i="173"/>
  <c r="AC84" i="173"/>
  <c r="Y83" i="173"/>
  <c r="U82" i="173"/>
  <c r="AG77" i="173"/>
  <c r="AC76" i="173"/>
  <c r="Y75" i="173"/>
  <c r="U74" i="173"/>
  <c r="AG69" i="173"/>
  <c r="AC68" i="173"/>
  <c r="AG67" i="173"/>
  <c r="S66" i="173"/>
  <c r="AC65" i="173"/>
  <c r="AC64" i="173"/>
  <c r="S64" i="173"/>
  <c r="AE63" i="173"/>
  <c r="W63" i="173"/>
  <c r="AA62" i="173"/>
  <c r="S62" i="173"/>
  <c r="AE61" i="173"/>
  <c r="W61" i="173"/>
  <c r="AA60" i="173"/>
  <c r="S60" i="173"/>
  <c r="AE59" i="173"/>
  <c r="W59" i="173"/>
  <c r="AA58" i="173"/>
  <c r="S58" i="173"/>
  <c r="AE57" i="173"/>
  <c r="W57" i="173"/>
  <c r="AA56" i="173"/>
  <c r="S56" i="173"/>
  <c r="AE55" i="173"/>
  <c r="W55" i="173"/>
  <c r="AA54" i="173"/>
  <c r="S54" i="173"/>
  <c r="AE53" i="173"/>
  <c r="W53" i="173"/>
  <c r="AA52" i="173"/>
  <c r="S52" i="173"/>
  <c r="AE51" i="173"/>
  <c r="W51" i="173"/>
  <c r="AA50" i="173"/>
  <c r="S50" i="173"/>
  <c r="AE49" i="173"/>
  <c r="W49" i="173"/>
  <c r="AA48" i="173"/>
  <c r="S48" i="173"/>
  <c r="AE47" i="173"/>
  <c r="W47" i="173"/>
  <c r="AA46" i="173"/>
  <c r="S46" i="173"/>
  <c r="AE45" i="173"/>
  <c r="W45" i="173"/>
  <c r="AA44" i="173"/>
  <c r="S44" i="173"/>
  <c r="AE43" i="173"/>
  <c r="W43" i="173"/>
  <c r="AA42" i="173"/>
  <c r="S42" i="173"/>
  <c r="AE41" i="173"/>
  <c r="W41" i="173"/>
  <c r="AA40" i="173"/>
  <c r="S40" i="173"/>
  <c r="AE39" i="173"/>
  <c r="W39" i="173"/>
  <c r="AA38" i="173"/>
  <c r="S38" i="173"/>
  <c r="AE37" i="173"/>
  <c r="W37" i="173"/>
  <c r="AA36" i="173"/>
  <c r="S36" i="173"/>
  <c r="AE35" i="173"/>
  <c r="W35" i="173"/>
  <c r="AA34" i="173"/>
  <c r="S34" i="173"/>
  <c r="AE33" i="173"/>
  <c r="W33" i="173"/>
  <c r="AA32" i="173"/>
  <c r="S32" i="173"/>
  <c r="AE31" i="173"/>
  <c r="W31" i="173"/>
  <c r="AA30" i="173"/>
  <c r="S30" i="173"/>
  <c r="AE29" i="173"/>
  <c r="W29" i="173"/>
  <c r="AA28" i="173"/>
  <c r="S28" i="173"/>
  <c r="AE27" i="173"/>
  <c r="W27" i="173"/>
  <c r="AA26" i="173"/>
  <c r="S26" i="173"/>
  <c r="AE25" i="173"/>
  <c r="W25" i="173"/>
  <c r="AA24" i="173"/>
  <c r="S24" i="173"/>
  <c r="AE23" i="173"/>
  <c r="W23" i="173"/>
  <c r="AA22" i="173"/>
  <c r="S22" i="173"/>
  <c r="AE21" i="173"/>
  <c r="W21" i="173"/>
  <c r="AB20" i="173"/>
  <c r="T20" i="173"/>
  <c r="AF19" i="173"/>
  <c r="X19" i="173"/>
  <c r="AB18" i="173"/>
  <c r="T18" i="173"/>
  <c r="AF17" i="173"/>
  <c r="X17" i="173"/>
  <c r="AB16" i="173"/>
  <c r="T16" i="173"/>
  <c r="AF15" i="173"/>
  <c r="X15" i="173"/>
  <c r="AB14" i="173"/>
  <c r="T14" i="173"/>
  <c r="AF13" i="173"/>
  <c r="X13" i="173"/>
  <c r="AC12" i="173"/>
  <c r="U12" i="173"/>
  <c r="AG11" i="173"/>
  <c r="Y11" i="173"/>
  <c r="AC10" i="173"/>
  <c r="U10" i="173"/>
  <c r="AG9" i="173"/>
  <c r="Y9" i="173"/>
  <c r="AD8" i="173"/>
  <c r="V8" i="173"/>
  <c r="AA7" i="173"/>
  <c r="S7" i="173"/>
  <c r="AF6" i="173"/>
  <c r="X6" i="173"/>
  <c r="AB5" i="173"/>
  <c r="T5" i="173"/>
  <c r="AF4" i="173"/>
  <c r="X4" i="173"/>
  <c r="AC3" i="173"/>
  <c r="U3" i="173"/>
  <c r="AG63" i="173"/>
  <c r="Y61" i="173"/>
  <c r="AC54" i="173"/>
  <c r="U52" i="173"/>
  <c r="AG47" i="173"/>
  <c r="Y45" i="173"/>
  <c r="AC38" i="173"/>
  <c r="U36" i="173"/>
  <c r="AG31" i="173"/>
  <c r="Y29" i="173"/>
  <c r="AC22" i="173"/>
  <c r="V20" i="173"/>
  <c r="Z13" i="173"/>
  <c r="S11" i="173"/>
  <c r="Z4" i="173"/>
  <c r="AG75" i="173"/>
  <c r="Y63" i="173"/>
  <c r="AC56" i="173"/>
  <c r="U54" i="173"/>
  <c r="AG49" i="173"/>
  <c r="Y47" i="173"/>
  <c r="AC40" i="173"/>
  <c r="U38" i="173"/>
  <c r="AG33" i="173"/>
  <c r="Y31" i="173"/>
  <c r="AC24" i="173"/>
  <c r="U22" i="173"/>
  <c r="Z15" i="173"/>
  <c r="AF8" i="173"/>
  <c r="Z6" i="173"/>
  <c r="AG83" i="173"/>
  <c r="AC74" i="173"/>
  <c r="Z66" i="173"/>
  <c r="AC58" i="173"/>
  <c r="U56" i="173"/>
  <c r="AG51" i="173"/>
  <c r="Y49" i="173"/>
  <c r="AC42" i="173"/>
  <c r="U40" i="173"/>
  <c r="AG35" i="173"/>
  <c r="Y33" i="173"/>
  <c r="AC26" i="173"/>
  <c r="U24" i="173"/>
  <c r="Z17" i="173"/>
  <c r="AE10" i="173"/>
  <c r="X8" i="173"/>
  <c r="AG91" i="173"/>
  <c r="AC82" i="173"/>
  <c r="Y73" i="173"/>
  <c r="AE65" i="173"/>
  <c r="AC60" i="173"/>
  <c r="U58" i="173"/>
  <c r="AG53" i="173"/>
  <c r="Y51" i="173"/>
  <c r="AC44" i="173"/>
  <c r="U42" i="173"/>
  <c r="AG37" i="173"/>
  <c r="Y35" i="173"/>
  <c r="AC28" i="173"/>
  <c r="U26" i="173"/>
  <c r="AG21" i="173"/>
  <c r="Z19" i="173"/>
  <c r="AE12" i="173"/>
  <c r="W10" i="173"/>
  <c r="AE3" i="173"/>
  <c r="AG99" i="173"/>
  <c r="AC90" i="173"/>
  <c r="Y81" i="173"/>
  <c r="U72" i="173"/>
  <c r="AC62" i="173"/>
  <c r="U60" i="173"/>
  <c r="AG55" i="173"/>
  <c r="Y53" i="173"/>
  <c r="AC46" i="173"/>
  <c r="U44" i="173"/>
  <c r="AG39" i="173"/>
  <c r="Y37" i="173"/>
  <c r="AC30" i="173"/>
  <c r="U28" i="173"/>
  <c r="AG23" i="173"/>
  <c r="Y21" i="173"/>
  <c r="AD14" i="173"/>
  <c r="W12" i="173"/>
  <c r="AD5" i="173"/>
  <c r="W3" i="173"/>
  <c r="Y97" i="173"/>
  <c r="U88" i="173"/>
  <c r="U64" i="173"/>
  <c r="AG59" i="173"/>
  <c r="Y57" i="173"/>
  <c r="AC50" i="173"/>
  <c r="U48" i="173"/>
  <c r="AG43" i="173"/>
  <c r="Y41" i="173"/>
  <c r="AC34" i="173"/>
  <c r="U32" i="173"/>
  <c r="AG27" i="173"/>
  <c r="Y25" i="173"/>
  <c r="AD18" i="173"/>
  <c r="V16" i="173"/>
  <c r="AA9" i="173"/>
  <c r="U7" i="173"/>
  <c r="U96" i="173"/>
  <c r="AG61" i="173"/>
  <c r="Y59" i="173"/>
  <c r="AC52" i="173"/>
  <c r="U50" i="173"/>
  <c r="AG45" i="173"/>
  <c r="Y43" i="173"/>
  <c r="AC36" i="173"/>
  <c r="U34" i="173"/>
  <c r="AG29" i="173"/>
  <c r="Y27" i="173"/>
  <c r="AD20" i="173"/>
  <c r="V18" i="173"/>
  <c r="AA11" i="173"/>
  <c r="S9" i="173"/>
  <c r="AG64" i="173"/>
  <c r="U46" i="173"/>
  <c r="U62" i="173"/>
  <c r="AG25" i="173"/>
  <c r="AC7" i="173"/>
  <c r="AG41" i="173"/>
  <c r="Y23" i="173"/>
  <c r="V5" i="173"/>
  <c r="AG57" i="173"/>
  <c r="Y39" i="173"/>
  <c r="V14" i="173"/>
  <c r="AC48" i="173"/>
  <c r="AC98" i="173"/>
  <c r="Y89" i="173"/>
  <c r="U80" i="173"/>
  <c r="AC32" i="173"/>
  <c r="Y55" i="173"/>
  <c r="AD16" i="173"/>
  <c r="U30" i="173"/>
  <c r="P100" i="172"/>
  <c r="H100" i="172"/>
  <c r="L99" i="172"/>
  <c r="P98" i="172"/>
  <c r="H98" i="172"/>
  <c r="L97" i="172"/>
  <c r="P96" i="172"/>
  <c r="H96" i="172"/>
  <c r="L95" i="172"/>
  <c r="P94" i="172"/>
  <c r="H94" i="172"/>
  <c r="L93" i="172"/>
  <c r="P92" i="172"/>
  <c r="H92" i="172"/>
  <c r="L91" i="172"/>
  <c r="P90" i="172"/>
  <c r="H90" i="172"/>
  <c r="L89" i="172"/>
  <c r="P88" i="172"/>
  <c r="H88" i="172"/>
  <c r="O100" i="172"/>
  <c r="G100" i="172"/>
  <c r="K99" i="172"/>
  <c r="O98" i="172"/>
  <c r="G98" i="172"/>
  <c r="K97" i="172"/>
  <c r="O96" i="172"/>
  <c r="G96" i="172"/>
  <c r="K95" i="172"/>
  <c r="O94" i="172"/>
  <c r="G94" i="172"/>
  <c r="K93" i="172"/>
  <c r="O92" i="172"/>
  <c r="G92" i="172"/>
  <c r="K91" i="172"/>
  <c r="O90" i="172"/>
  <c r="G90" i="172"/>
  <c r="K89" i="172"/>
  <c r="O88" i="172"/>
  <c r="G88" i="172"/>
  <c r="N100" i="172"/>
  <c r="F100" i="172"/>
  <c r="J99" i="172"/>
  <c r="N98" i="172"/>
  <c r="F98" i="172"/>
  <c r="J97" i="172"/>
  <c r="N96" i="172"/>
  <c r="F96" i="172"/>
  <c r="J95" i="172"/>
  <c r="N94" i="172"/>
  <c r="F94" i="172"/>
  <c r="J93" i="172"/>
  <c r="N92" i="172"/>
  <c r="F92" i="172"/>
  <c r="J91" i="172"/>
  <c r="N90" i="172"/>
  <c r="F90" i="172"/>
  <c r="J89" i="172"/>
  <c r="N88" i="172"/>
  <c r="F88" i="172"/>
  <c r="K100" i="172"/>
  <c r="O99" i="172"/>
  <c r="G99" i="172"/>
  <c r="K98" i="172"/>
  <c r="O97" i="172"/>
  <c r="G97" i="172"/>
  <c r="K96" i="172"/>
  <c r="O95" i="172"/>
  <c r="G95" i="172"/>
  <c r="K94" i="172"/>
  <c r="O93" i="172"/>
  <c r="G93" i="172"/>
  <c r="K92" i="172"/>
  <c r="O91" i="172"/>
  <c r="G91" i="172"/>
  <c r="K90" i="172"/>
  <c r="O89" i="172"/>
  <c r="G89" i="172"/>
  <c r="K88" i="172"/>
  <c r="O87" i="172"/>
  <c r="M100" i="172"/>
  <c r="I99" i="172"/>
  <c r="E98" i="172"/>
  <c r="Q97" i="172"/>
  <c r="M96" i="172"/>
  <c r="I95" i="172"/>
  <c r="E94" i="172"/>
  <c r="Q93" i="172"/>
  <c r="M92" i="172"/>
  <c r="I91" i="172"/>
  <c r="E90" i="172"/>
  <c r="Q89" i="172"/>
  <c r="M88" i="172"/>
  <c r="N87" i="172"/>
  <c r="F87" i="172"/>
  <c r="J86" i="172"/>
  <c r="L100" i="172"/>
  <c r="H99" i="172"/>
  <c r="P97" i="172"/>
  <c r="L96" i="172"/>
  <c r="H95" i="172"/>
  <c r="P93" i="172"/>
  <c r="L92" i="172"/>
  <c r="H91" i="172"/>
  <c r="P89" i="172"/>
  <c r="L88" i="172"/>
  <c r="J100" i="172"/>
  <c r="F99" i="172"/>
  <c r="N97" i="172"/>
  <c r="J96" i="172"/>
  <c r="F95" i="172"/>
  <c r="N93" i="172"/>
  <c r="J92" i="172"/>
  <c r="F91" i="172"/>
  <c r="N89" i="172"/>
  <c r="J88" i="172"/>
  <c r="L87" i="172"/>
  <c r="P86" i="172"/>
  <c r="H86" i="172"/>
  <c r="L85" i="172"/>
  <c r="E100" i="172"/>
  <c r="Q99" i="172"/>
  <c r="M98" i="172"/>
  <c r="I97" i="172"/>
  <c r="E96" i="172"/>
  <c r="Q95" i="172"/>
  <c r="M94" i="172"/>
  <c r="I93" i="172"/>
  <c r="E92" i="172"/>
  <c r="Q91" i="172"/>
  <c r="M90" i="172"/>
  <c r="P99" i="172"/>
  <c r="N99" i="172"/>
  <c r="J98" i="172"/>
  <c r="F97" i="172"/>
  <c r="N95" i="172"/>
  <c r="J94" i="172"/>
  <c r="F93" i="172"/>
  <c r="N91" i="172"/>
  <c r="J90" i="172"/>
  <c r="F89" i="172"/>
  <c r="Q87" i="172"/>
  <c r="H87" i="172"/>
  <c r="L86" i="172"/>
  <c r="P85" i="172"/>
  <c r="H85" i="172"/>
  <c r="M99" i="172"/>
  <c r="Q94" i="172"/>
  <c r="E93" i="172"/>
  <c r="P91" i="172"/>
  <c r="G87" i="172"/>
  <c r="I86" i="172"/>
  <c r="N85" i="172"/>
  <c r="P84" i="172"/>
  <c r="H84" i="172"/>
  <c r="L83" i="172"/>
  <c r="P82" i="172"/>
  <c r="H82" i="172"/>
  <c r="L81" i="172"/>
  <c r="P80" i="172"/>
  <c r="H80" i="172"/>
  <c r="L79" i="172"/>
  <c r="P78" i="172"/>
  <c r="H78" i="172"/>
  <c r="L77" i="172"/>
  <c r="P76" i="172"/>
  <c r="H76" i="172"/>
  <c r="L75" i="172"/>
  <c r="P74" i="172"/>
  <c r="H74" i="172"/>
  <c r="L73" i="172"/>
  <c r="P72" i="172"/>
  <c r="H72" i="172"/>
  <c r="L71" i="172"/>
  <c r="P70" i="172"/>
  <c r="H70" i="172"/>
  <c r="L69" i="172"/>
  <c r="P68" i="172"/>
  <c r="H68" i="172"/>
  <c r="L67" i="172"/>
  <c r="P66" i="172"/>
  <c r="H66" i="172"/>
  <c r="L65" i="172"/>
  <c r="P64" i="172"/>
  <c r="H64" i="172"/>
  <c r="L63" i="172"/>
  <c r="P62" i="172"/>
  <c r="H62" i="172"/>
  <c r="L61" i="172"/>
  <c r="P60" i="172"/>
  <c r="H60" i="172"/>
  <c r="L59" i="172"/>
  <c r="P58" i="172"/>
  <c r="H58" i="172"/>
  <c r="L57" i="172"/>
  <c r="P56" i="172"/>
  <c r="H56" i="172"/>
  <c r="L55" i="172"/>
  <c r="P54" i="172"/>
  <c r="H54" i="172"/>
  <c r="L53" i="172"/>
  <c r="P52" i="172"/>
  <c r="H52" i="172"/>
  <c r="L51" i="172"/>
  <c r="P50" i="172"/>
  <c r="H50" i="172"/>
  <c r="L49" i="172"/>
  <c r="P48" i="172"/>
  <c r="H48" i="172"/>
  <c r="L47" i="172"/>
  <c r="P46" i="172"/>
  <c r="H46" i="172"/>
  <c r="L45" i="172"/>
  <c r="P44" i="172"/>
  <c r="H44" i="172"/>
  <c r="L43" i="172"/>
  <c r="P42" i="172"/>
  <c r="H42" i="172"/>
  <c r="L41" i="172"/>
  <c r="P40" i="172"/>
  <c r="H40" i="172"/>
  <c r="L39" i="172"/>
  <c r="P38" i="172"/>
  <c r="H38" i="172"/>
  <c r="L37" i="172"/>
  <c r="P36" i="172"/>
  <c r="H36" i="172"/>
  <c r="L35" i="172"/>
  <c r="P34" i="172"/>
  <c r="H34" i="172"/>
  <c r="L33" i="172"/>
  <c r="P32" i="172"/>
  <c r="H32" i="172"/>
  <c r="L31" i="172"/>
  <c r="P30" i="172"/>
  <c r="H30" i="172"/>
  <c r="L29" i="172"/>
  <c r="P28" i="172"/>
  <c r="H28" i="172"/>
  <c r="L27" i="172"/>
  <c r="P26" i="172"/>
  <c r="H26" i="172"/>
  <c r="L25" i="172"/>
  <c r="P24" i="172"/>
  <c r="H24" i="172"/>
  <c r="L23" i="172"/>
  <c r="P22" i="172"/>
  <c r="H22" i="172"/>
  <c r="L21" i="172"/>
  <c r="H97" i="172"/>
  <c r="I94" i="172"/>
  <c r="E91" i="172"/>
  <c r="F86" i="172"/>
  <c r="K85" i="172"/>
  <c r="N84" i="172"/>
  <c r="F84" i="172"/>
  <c r="J83" i="172"/>
  <c r="N82" i="172"/>
  <c r="F82" i="172"/>
  <c r="J81" i="172"/>
  <c r="N80" i="172"/>
  <c r="F80" i="172"/>
  <c r="J79" i="172"/>
  <c r="N78" i="172"/>
  <c r="F78" i="172"/>
  <c r="J77" i="172"/>
  <c r="N76" i="172"/>
  <c r="F76" i="172"/>
  <c r="J75" i="172"/>
  <c r="N74" i="172"/>
  <c r="F74" i="172"/>
  <c r="J73" i="172"/>
  <c r="N72" i="172"/>
  <c r="F72" i="172"/>
  <c r="J71" i="172"/>
  <c r="N70" i="172"/>
  <c r="F70" i="172"/>
  <c r="J69" i="172"/>
  <c r="N68" i="172"/>
  <c r="F68" i="172"/>
  <c r="J67" i="172"/>
  <c r="N66" i="172"/>
  <c r="F66" i="172"/>
  <c r="J65" i="172"/>
  <c r="N64" i="172"/>
  <c r="F64" i="172"/>
  <c r="J63" i="172"/>
  <c r="N62" i="172"/>
  <c r="F62" i="172"/>
  <c r="J61" i="172"/>
  <c r="N60" i="172"/>
  <c r="F60" i="172"/>
  <c r="J59" i="172"/>
  <c r="N58" i="172"/>
  <c r="F58" i="172"/>
  <c r="J57" i="172"/>
  <c r="N56" i="172"/>
  <c r="F56" i="172"/>
  <c r="J55" i="172"/>
  <c r="N54" i="172"/>
  <c r="F54" i="172"/>
  <c r="J53" i="172"/>
  <c r="N52" i="172"/>
  <c r="F52" i="172"/>
  <c r="J51" i="172"/>
  <c r="N50" i="172"/>
  <c r="F50" i="172"/>
  <c r="J49" i="172"/>
  <c r="N48" i="172"/>
  <c r="F48" i="172"/>
  <c r="J47" i="172"/>
  <c r="N46" i="172"/>
  <c r="F46" i="172"/>
  <c r="J45" i="172"/>
  <c r="N44" i="172"/>
  <c r="F44" i="172"/>
  <c r="J43" i="172"/>
  <c r="N42" i="172"/>
  <c r="F42" i="172"/>
  <c r="J41" i="172"/>
  <c r="N40" i="172"/>
  <c r="F40" i="172"/>
  <c r="J39" i="172"/>
  <c r="N38" i="172"/>
  <c r="F38" i="172"/>
  <c r="J37" i="172"/>
  <c r="N36" i="172"/>
  <c r="F36" i="172"/>
  <c r="J35" i="172"/>
  <c r="N34" i="172"/>
  <c r="F34" i="172"/>
  <c r="J33" i="172"/>
  <c r="N32" i="172"/>
  <c r="F32" i="172"/>
  <c r="J31" i="172"/>
  <c r="N30" i="172"/>
  <c r="F30" i="172"/>
  <c r="J29" i="172"/>
  <c r="N28" i="172"/>
  <c r="F28" i="172"/>
  <c r="J27" i="172"/>
  <c r="N26" i="172"/>
  <c r="F26" i="172"/>
  <c r="J25" i="172"/>
  <c r="N24" i="172"/>
  <c r="F24" i="172"/>
  <c r="J23" i="172"/>
  <c r="N22" i="172"/>
  <c r="F22" i="172"/>
  <c r="J21" i="172"/>
  <c r="O20" i="172"/>
  <c r="G20" i="172"/>
  <c r="K19" i="172"/>
  <c r="O18" i="172"/>
  <c r="G18" i="172"/>
  <c r="Q100" i="172"/>
  <c r="L98" i="172"/>
  <c r="M95" i="172"/>
  <c r="I92" i="172"/>
  <c r="M89" i="172"/>
  <c r="I88" i="172"/>
  <c r="M87" i="172"/>
  <c r="O86" i="172"/>
  <c r="I85" i="172"/>
  <c r="L84" i="172"/>
  <c r="P83" i="172"/>
  <c r="H83" i="172"/>
  <c r="L82" i="172"/>
  <c r="P81" i="172"/>
  <c r="H81" i="172"/>
  <c r="L80" i="172"/>
  <c r="P79" i="172"/>
  <c r="H79" i="172"/>
  <c r="L78" i="172"/>
  <c r="P77" i="172"/>
  <c r="H77" i="172"/>
  <c r="L76" i="172"/>
  <c r="P75" i="172"/>
  <c r="H75" i="172"/>
  <c r="L74" i="172"/>
  <c r="P73" i="172"/>
  <c r="H73" i="172"/>
  <c r="L72" i="172"/>
  <c r="P71" i="172"/>
  <c r="H71" i="172"/>
  <c r="L70" i="172"/>
  <c r="P69" i="172"/>
  <c r="H69" i="172"/>
  <c r="L68" i="172"/>
  <c r="P67" i="172"/>
  <c r="H67" i="172"/>
  <c r="L66" i="172"/>
  <c r="P65" i="172"/>
  <c r="H65" i="172"/>
  <c r="L64" i="172"/>
  <c r="P63" i="172"/>
  <c r="H63" i="172"/>
  <c r="L62" i="172"/>
  <c r="P61" i="172"/>
  <c r="H61" i="172"/>
  <c r="L60" i="172"/>
  <c r="P59" i="172"/>
  <c r="H59" i="172"/>
  <c r="L58" i="172"/>
  <c r="P57" i="172"/>
  <c r="H57" i="172"/>
  <c r="L56" i="172"/>
  <c r="P55" i="172"/>
  <c r="H55" i="172"/>
  <c r="L54" i="172"/>
  <c r="P53" i="172"/>
  <c r="H53" i="172"/>
  <c r="L52" i="172"/>
  <c r="P51" i="172"/>
  <c r="H51" i="172"/>
  <c r="L50" i="172"/>
  <c r="P49" i="172"/>
  <c r="H49" i="172"/>
  <c r="L48" i="172"/>
  <c r="P47" i="172"/>
  <c r="H47" i="172"/>
  <c r="L46" i="172"/>
  <c r="P45" i="172"/>
  <c r="H45" i="172"/>
  <c r="L44" i="172"/>
  <c r="P43" i="172"/>
  <c r="H43" i="172"/>
  <c r="L42" i="172"/>
  <c r="P41" i="172"/>
  <c r="H41" i="172"/>
  <c r="L40" i="172"/>
  <c r="P39" i="172"/>
  <c r="H39" i="172"/>
  <c r="L38" i="172"/>
  <c r="I100" i="172"/>
  <c r="I98" i="172"/>
  <c r="E95" i="172"/>
  <c r="Q90" i="172"/>
  <c r="I89" i="172"/>
  <c r="E88" i="172"/>
  <c r="K87" i="172"/>
  <c r="N86" i="172"/>
  <c r="G85" i="172"/>
  <c r="K84" i="172"/>
  <c r="O83" i="172"/>
  <c r="G83" i="172"/>
  <c r="K82" i="172"/>
  <c r="O81" i="172"/>
  <c r="G81" i="172"/>
  <c r="K80" i="172"/>
  <c r="O79" i="172"/>
  <c r="G79" i="172"/>
  <c r="K78" i="172"/>
  <c r="O77" i="172"/>
  <c r="G77" i="172"/>
  <c r="K76" i="172"/>
  <c r="O75" i="172"/>
  <c r="G75" i="172"/>
  <c r="K74" i="172"/>
  <c r="O73" i="172"/>
  <c r="G73" i="172"/>
  <c r="K72" i="172"/>
  <c r="O71" i="172"/>
  <c r="G71" i="172"/>
  <c r="K70" i="172"/>
  <c r="O69" i="172"/>
  <c r="G69" i="172"/>
  <c r="K68" i="172"/>
  <c r="O67" i="172"/>
  <c r="G67" i="172"/>
  <c r="K66" i="172"/>
  <c r="O65" i="172"/>
  <c r="G65" i="172"/>
  <c r="K64" i="172"/>
  <c r="O63" i="172"/>
  <c r="G63" i="172"/>
  <c r="K62" i="172"/>
  <c r="O61" i="172"/>
  <c r="G61" i="172"/>
  <c r="K60" i="172"/>
  <c r="O59" i="172"/>
  <c r="G59" i="172"/>
  <c r="K58" i="172"/>
  <c r="O57" i="172"/>
  <c r="G57" i="172"/>
  <c r="K56" i="172"/>
  <c r="O55" i="172"/>
  <c r="G55" i="172"/>
  <c r="K54" i="172"/>
  <c r="O53" i="172"/>
  <c r="G53" i="172"/>
  <c r="K52" i="172"/>
  <c r="O51" i="172"/>
  <c r="G51" i="172"/>
  <c r="K50" i="172"/>
  <c r="O49" i="172"/>
  <c r="G49" i="172"/>
  <c r="K48" i="172"/>
  <c r="O47" i="172"/>
  <c r="G47" i="172"/>
  <c r="K46" i="172"/>
  <c r="O45" i="172"/>
  <c r="G45" i="172"/>
  <c r="K44" i="172"/>
  <c r="Q96" i="172"/>
  <c r="M93" i="172"/>
  <c r="L90" i="172"/>
  <c r="H89" i="172"/>
  <c r="J87" i="172"/>
  <c r="M86" i="172"/>
  <c r="Q85" i="172"/>
  <c r="F85" i="172"/>
  <c r="J84" i="172"/>
  <c r="N83" i="172"/>
  <c r="F83" i="172"/>
  <c r="J82" i="172"/>
  <c r="N81" i="172"/>
  <c r="F81" i="172"/>
  <c r="J80" i="172"/>
  <c r="N79" i="172"/>
  <c r="F79" i="172"/>
  <c r="J78" i="172"/>
  <c r="N77" i="172"/>
  <c r="F77" i="172"/>
  <c r="J76" i="172"/>
  <c r="N75" i="172"/>
  <c r="F75" i="172"/>
  <c r="J74" i="172"/>
  <c r="N73" i="172"/>
  <c r="F73" i="172"/>
  <c r="J72" i="172"/>
  <c r="N71" i="172"/>
  <c r="F71" i="172"/>
  <c r="J70" i="172"/>
  <c r="N69" i="172"/>
  <c r="F69" i="172"/>
  <c r="J68" i="172"/>
  <c r="N67" i="172"/>
  <c r="F67" i="172"/>
  <c r="J66" i="172"/>
  <c r="N65" i="172"/>
  <c r="F65" i="172"/>
  <c r="J64" i="172"/>
  <c r="N63" i="172"/>
  <c r="F63" i="172"/>
  <c r="J62" i="172"/>
  <c r="N61" i="172"/>
  <c r="F61" i="172"/>
  <c r="J60" i="172"/>
  <c r="N59" i="172"/>
  <c r="F59" i="172"/>
  <c r="J58" i="172"/>
  <c r="N57" i="172"/>
  <c r="F57" i="172"/>
  <c r="J56" i="172"/>
  <c r="N55" i="172"/>
  <c r="F55" i="172"/>
  <c r="J54" i="172"/>
  <c r="N53" i="172"/>
  <c r="F53" i="172"/>
  <c r="J52" i="172"/>
  <c r="N51" i="172"/>
  <c r="F51" i="172"/>
  <c r="J50" i="172"/>
  <c r="N49" i="172"/>
  <c r="F49" i="172"/>
  <c r="J48" i="172"/>
  <c r="N47" i="172"/>
  <c r="F47" i="172"/>
  <c r="J46" i="172"/>
  <c r="N45" i="172"/>
  <c r="F45" i="172"/>
  <c r="J44" i="172"/>
  <c r="N43" i="172"/>
  <c r="F43" i="172"/>
  <c r="J42" i="172"/>
  <c r="N41" i="172"/>
  <c r="F41" i="172"/>
  <c r="J40" i="172"/>
  <c r="N39" i="172"/>
  <c r="F39" i="172"/>
  <c r="J38" i="172"/>
  <c r="N37" i="172"/>
  <c r="F37" i="172"/>
  <c r="J36" i="172"/>
  <c r="N35" i="172"/>
  <c r="F35" i="172"/>
  <c r="J34" i="172"/>
  <c r="N33" i="172"/>
  <c r="F33" i="172"/>
  <c r="J32" i="172"/>
  <c r="N31" i="172"/>
  <c r="F31" i="172"/>
  <c r="I96" i="172"/>
  <c r="H93" i="172"/>
  <c r="I90" i="172"/>
  <c r="E89" i="172"/>
  <c r="I87" i="172"/>
  <c r="K86" i="172"/>
  <c r="O85" i="172"/>
  <c r="E85" i="172"/>
  <c r="Q84" i="172"/>
  <c r="I84" i="172"/>
  <c r="M83" i="172"/>
  <c r="E83" i="172"/>
  <c r="Q82" i="172"/>
  <c r="I82" i="172"/>
  <c r="M81" i="172"/>
  <c r="E81" i="172"/>
  <c r="Q80" i="172"/>
  <c r="I80" i="172"/>
  <c r="M79" i="172"/>
  <c r="E79" i="172"/>
  <c r="Q78" i="172"/>
  <c r="I78" i="172"/>
  <c r="M77" i="172"/>
  <c r="E77" i="172"/>
  <c r="Q76" i="172"/>
  <c r="I76" i="172"/>
  <c r="M75" i="172"/>
  <c r="E75" i="172"/>
  <c r="Q74" i="172"/>
  <c r="I74" i="172"/>
  <c r="M73" i="172"/>
  <c r="E73" i="172"/>
  <c r="Q72" i="172"/>
  <c r="I72" i="172"/>
  <c r="M71" i="172"/>
  <c r="E71" i="172"/>
  <c r="Q70" i="172"/>
  <c r="I70" i="172"/>
  <c r="M69" i="172"/>
  <c r="E69" i="172"/>
  <c r="Q68" i="172"/>
  <c r="I68" i="172"/>
  <c r="M67" i="172"/>
  <c r="E67" i="172"/>
  <c r="Q66" i="172"/>
  <c r="I66" i="172"/>
  <c r="M65" i="172"/>
  <c r="E65" i="172"/>
  <c r="Q64" i="172"/>
  <c r="I64" i="172"/>
  <c r="M63" i="172"/>
  <c r="E63" i="172"/>
  <c r="Q62" i="172"/>
  <c r="I62" i="172"/>
  <c r="M61" i="172"/>
  <c r="E61" i="172"/>
  <c r="Q60" i="172"/>
  <c r="I60" i="172"/>
  <c r="M59" i="172"/>
  <c r="E59" i="172"/>
  <c r="Q58" i="172"/>
  <c r="I58" i="172"/>
  <c r="M57" i="172"/>
  <c r="E57" i="172"/>
  <c r="Q56" i="172"/>
  <c r="I56" i="172"/>
  <c r="M55" i="172"/>
  <c r="E55" i="172"/>
  <c r="Q54" i="172"/>
  <c r="I54" i="172"/>
  <c r="M53" i="172"/>
  <c r="E53" i="172"/>
  <c r="Q52" i="172"/>
  <c r="I52" i="172"/>
  <c r="M51" i="172"/>
  <c r="E51" i="172"/>
  <c r="Q50" i="172"/>
  <c r="I50" i="172"/>
  <c r="M49" i="172"/>
  <c r="E49" i="172"/>
  <c r="Q48" i="172"/>
  <c r="I48" i="172"/>
  <c r="M47" i="172"/>
  <c r="E47" i="172"/>
  <c r="Q46" i="172"/>
  <c r="I46" i="172"/>
  <c r="M45" i="172"/>
  <c r="E45" i="172"/>
  <c r="Q44" i="172"/>
  <c r="I44" i="172"/>
  <c r="M43" i="172"/>
  <c r="E43" i="172"/>
  <c r="Q42" i="172"/>
  <c r="I42" i="172"/>
  <c r="M41" i="172"/>
  <c r="E41" i="172"/>
  <c r="Q40" i="172"/>
  <c r="I40" i="172"/>
  <c r="M39" i="172"/>
  <c r="E39" i="172"/>
  <c r="Q38" i="172"/>
  <c r="I38" i="172"/>
  <c r="M37" i="172"/>
  <c r="E37" i="172"/>
  <c r="Q36" i="172"/>
  <c r="I36" i="172"/>
  <c r="M35" i="172"/>
  <c r="E35" i="172"/>
  <c r="Q34" i="172"/>
  <c r="I34" i="172"/>
  <c r="M33" i="172"/>
  <c r="E33" i="172"/>
  <c r="Q32" i="172"/>
  <c r="I32" i="172"/>
  <c r="M31" i="172"/>
  <c r="E31" i="172"/>
  <c r="Q30" i="172"/>
  <c r="I30" i="172"/>
  <c r="M29" i="172"/>
  <c r="E29" i="172"/>
  <c r="Q28" i="172"/>
  <c r="I28" i="172"/>
  <c r="M27" i="172"/>
  <c r="E27" i="172"/>
  <c r="Q26" i="172"/>
  <c r="I26" i="172"/>
  <c r="M25" i="172"/>
  <c r="E25" i="172"/>
  <c r="Q24" i="172"/>
  <c r="I24" i="172"/>
  <c r="M23" i="172"/>
  <c r="E23" i="172"/>
  <c r="Q22" i="172"/>
  <c r="I22" i="172"/>
  <c r="M21" i="172"/>
  <c r="E21" i="172"/>
  <c r="J20" i="172"/>
  <c r="N19" i="172"/>
  <c r="F19" i="172"/>
  <c r="J18" i="172"/>
  <c r="E97" i="172"/>
  <c r="J85" i="172"/>
  <c r="E84" i="172"/>
  <c r="Q79" i="172"/>
  <c r="M78" i="172"/>
  <c r="I77" i="172"/>
  <c r="E76" i="172"/>
  <c r="Q71" i="172"/>
  <c r="M70" i="172"/>
  <c r="I69" i="172"/>
  <c r="E68" i="172"/>
  <c r="Q63" i="172"/>
  <c r="M62" i="172"/>
  <c r="I61" i="172"/>
  <c r="E60" i="172"/>
  <c r="Q55" i="172"/>
  <c r="M54" i="172"/>
  <c r="I53" i="172"/>
  <c r="E52" i="172"/>
  <c r="Q47" i="172"/>
  <c r="M46" i="172"/>
  <c r="I45" i="172"/>
  <c r="E44" i="172"/>
  <c r="G43" i="172"/>
  <c r="M42" i="172"/>
  <c r="E40" i="172"/>
  <c r="K39" i="172"/>
  <c r="I37" i="172"/>
  <c r="E36" i="172"/>
  <c r="Q35" i="172"/>
  <c r="M34" i="172"/>
  <c r="I33" i="172"/>
  <c r="E32" i="172"/>
  <c r="Q31" i="172"/>
  <c r="G29" i="172"/>
  <c r="J28" i="172"/>
  <c r="K27" i="172"/>
  <c r="M26" i="172"/>
  <c r="P25" i="172"/>
  <c r="E24" i="172"/>
  <c r="H23" i="172"/>
  <c r="K22" i="172"/>
  <c r="N21" i="172"/>
  <c r="H20" i="172"/>
  <c r="O19" i="172"/>
  <c r="K18" i="172"/>
  <c r="K17" i="172"/>
  <c r="O16" i="172"/>
  <c r="G16" i="172"/>
  <c r="K15" i="172"/>
  <c r="O14" i="172"/>
  <c r="G14" i="172"/>
  <c r="K13" i="172"/>
  <c r="P12" i="172"/>
  <c r="H12" i="172"/>
  <c r="L11" i="172"/>
  <c r="P10" i="172"/>
  <c r="H10" i="172"/>
  <c r="L9" i="172"/>
  <c r="Q8" i="172"/>
  <c r="I8" i="172"/>
  <c r="N7" i="172"/>
  <c r="F7" i="172"/>
  <c r="K6" i="172"/>
  <c r="O5" i="172"/>
  <c r="G5" i="172"/>
  <c r="K4" i="172"/>
  <c r="Q3" i="172"/>
  <c r="I3" i="172"/>
  <c r="O80" i="172"/>
  <c r="K79" i="172"/>
  <c r="G78" i="172"/>
  <c r="O72" i="172"/>
  <c r="K71" i="172"/>
  <c r="G70" i="172"/>
  <c r="O64" i="172"/>
  <c r="K63" i="172"/>
  <c r="G62" i="172"/>
  <c r="O56" i="172"/>
  <c r="K55" i="172"/>
  <c r="G54" i="172"/>
  <c r="O48" i="172"/>
  <c r="K47" i="172"/>
  <c r="G46" i="172"/>
  <c r="K42" i="172"/>
  <c r="Q41" i="172"/>
  <c r="I39" i="172"/>
  <c r="O38" i="172"/>
  <c r="H37" i="172"/>
  <c r="P35" i="172"/>
  <c r="L34" i="172"/>
  <c r="H33" i="172"/>
  <c r="P31" i="172"/>
  <c r="O30" i="172"/>
  <c r="Q29" i="172"/>
  <c r="F29" i="172"/>
  <c r="G28" i="172"/>
  <c r="I27" i="172"/>
  <c r="L26" i="172"/>
  <c r="O25" i="172"/>
  <c r="G23" i="172"/>
  <c r="J22" i="172"/>
  <c r="K21" i="172"/>
  <c r="Q20" i="172"/>
  <c r="F20" i="172"/>
  <c r="M19" i="172"/>
  <c r="I18" i="172"/>
  <c r="J17" i="172"/>
  <c r="N16" i="172"/>
  <c r="F16" i="172"/>
  <c r="J15" i="172"/>
  <c r="N14" i="172"/>
  <c r="F14" i="172"/>
  <c r="J13" i="172"/>
  <c r="O12" i="172"/>
  <c r="G12" i="172"/>
  <c r="K11" i="172"/>
  <c r="O10" i="172"/>
  <c r="G10" i="172"/>
  <c r="K9" i="172"/>
  <c r="P8" i="172"/>
  <c r="H8" i="172"/>
  <c r="M7" i="172"/>
  <c r="E7" i="172"/>
  <c r="J6" i="172"/>
  <c r="N5" i="172"/>
  <c r="F5" i="172"/>
  <c r="J4" i="172"/>
  <c r="P3" i="172"/>
  <c r="H3" i="172"/>
  <c r="P95" i="172"/>
  <c r="Q86" i="172"/>
  <c r="Q81" i="172"/>
  <c r="M80" i="172"/>
  <c r="I79" i="172"/>
  <c r="E78" i="172"/>
  <c r="Q73" i="172"/>
  <c r="M72" i="172"/>
  <c r="I71" i="172"/>
  <c r="E70" i="172"/>
  <c r="Q65" i="172"/>
  <c r="M64" i="172"/>
  <c r="I63" i="172"/>
  <c r="E62" i="172"/>
  <c r="Q57" i="172"/>
  <c r="M56" i="172"/>
  <c r="I55" i="172"/>
  <c r="E54" i="172"/>
  <c r="Q49" i="172"/>
  <c r="M48" i="172"/>
  <c r="I47" i="172"/>
  <c r="E46" i="172"/>
  <c r="G42" i="172"/>
  <c r="O41" i="172"/>
  <c r="G39" i="172"/>
  <c r="M38" i="172"/>
  <c r="G37" i="172"/>
  <c r="O35" i="172"/>
  <c r="K34" i="172"/>
  <c r="G33" i="172"/>
  <c r="O31" i="172"/>
  <c r="M30" i="172"/>
  <c r="P29" i="172"/>
  <c r="E28" i="172"/>
  <c r="H27" i="172"/>
  <c r="K26" i="172"/>
  <c r="N25" i="172"/>
  <c r="O24" i="172"/>
  <c r="Q23" i="172"/>
  <c r="F23" i="172"/>
  <c r="G22" i="172"/>
  <c r="I21" i="172"/>
  <c r="P20" i="172"/>
  <c r="E20" i="172"/>
  <c r="L19" i="172"/>
  <c r="H18" i="172"/>
  <c r="Q17" i="172"/>
  <c r="I17" i="172"/>
  <c r="M16" i="172"/>
  <c r="E16" i="172"/>
  <c r="Q15" i="172"/>
  <c r="I15" i="172"/>
  <c r="M14" i="172"/>
  <c r="E14" i="172"/>
  <c r="Q13" i="172"/>
  <c r="I13" i="172"/>
  <c r="N12" i="172"/>
  <c r="F12" i="172"/>
  <c r="J11" i="172"/>
  <c r="N10" i="172"/>
  <c r="F10" i="172"/>
  <c r="J9" i="172"/>
  <c r="O8" i="172"/>
  <c r="G8" i="172"/>
  <c r="L7" i="172"/>
  <c r="Q6" i="172"/>
  <c r="I6" i="172"/>
  <c r="M5" i="172"/>
  <c r="E5" i="172"/>
  <c r="Q4" i="172"/>
  <c r="I4" i="172"/>
  <c r="O3" i="172"/>
  <c r="G3" i="172"/>
  <c r="L94" i="172"/>
  <c r="G86" i="172"/>
  <c r="O82" i="172"/>
  <c r="K81" i="172"/>
  <c r="G80" i="172"/>
  <c r="O74" i="172"/>
  <c r="K73" i="172"/>
  <c r="G72" i="172"/>
  <c r="O66" i="172"/>
  <c r="K65" i="172"/>
  <c r="G64" i="172"/>
  <c r="O58" i="172"/>
  <c r="K57" i="172"/>
  <c r="G56" i="172"/>
  <c r="O50" i="172"/>
  <c r="K49" i="172"/>
  <c r="G48" i="172"/>
  <c r="E42" i="172"/>
  <c r="K41" i="172"/>
  <c r="K38" i="172"/>
  <c r="O36" i="172"/>
  <c r="K35" i="172"/>
  <c r="G34" i="172"/>
  <c r="O32" i="172"/>
  <c r="K31" i="172"/>
  <c r="L30" i="172"/>
  <c r="O29" i="172"/>
  <c r="G27" i="172"/>
  <c r="J26" i="172"/>
  <c r="K25" i="172"/>
  <c r="M24" i="172"/>
  <c r="P23" i="172"/>
  <c r="E22" i="172"/>
  <c r="H21" i="172"/>
  <c r="N20" i="172"/>
  <c r="J19" i="172"/>
  <c r="Q18" i="172"/>
  <c r="F18" i="172"/>
  <c r="P17" i="172"/>
  <c r="H17" i="172"/>
  <c r="L16" i="172"/>
  <c r="P15" i="172"/>
  <c r="H15" i="172"/>
  <c r="L14" i="172"/>
  <c r="P13" i="172"/>
  <c r="H13" i="172"/>
  <c r="M12" i="172"/>
  <c r="E12" i="172"/>
  <c r="Q11" i="172"/>
  <c r="I11" i="172"/>
  <c r="M10" i="172"/>
  <c r="E10" i="172"/>
  <c r="Q9" i="172"/>
  <c r="I9" i="172"/>
  <c r="N8" i="172"/>
  <c r="F8" i="172"/>
  <c r="K7" i="172"/>
  <c r="P6" i="172"/>
  <c r="H6" i="172"/>
  <c r="L5" i="172"/>
  <c r="P4" i="172"/>
  <c r="H4" i="172"/>
  <c r="N3" i="172"/>
  <c r="F3" i="172"/>
  <c r="Q88" i="172"/>
  <c r="E86" i="172"/>
  <c r="Q83" i="172"/>
  <c r="M82" i="172"/>
  <c r="I81" i="172"/>
  <c r="E80" i="172"/>
  <c r="Q75" i="172"/>
  <c r="M74" i="172"/>
  <c r="I73" i="172"/>
  <c r="E72" i="172"/>
  <c r="Q67" i="172"/>
  <c r="M66" i="172"/>
  <c r="I65" i="172"/>
  <c r="E64" i="172"/>
  <c r="Q59" i="172"/>
  <c r="M58" i="172"/>
  <c r="I57" i="172"/>
  <c r="E56" i="172"/>
  <c r="Q51" i="172"/>
  <c r="M50" i="172"/>
  <c r="I49" i="172"/>
  <c r="E48" i="172"/>
  <c r="Q43" i="172"/>
  <c r="I41" i="172"/>
  <c r="O40" i="172"/>
  <c r="G38" i="172"/>
  <c r="Q37" i="172"/>
  <c r="M36" i="172"/>
  <c r="I35" i="172"/>
  <c r="E34" i="172"/>
  <c r="Q33" i="172"/>
  <c r="M32" i="172"/>
  <c r="I31" i="172"/>
  <c r="K30" i="172"/>
  <c r="N29" i="172"/>
  <c r="O28" i="172"/>
  <c r="Q27" i="172"/>
  <c r="F27" i="172"/>
  <c r="G26" i="172"/>
  <c r="I25" i="172"/>
  <c r="L24" i="172"/>
  <c r="O23" i="172"/>
  <c r="G21" i="172"/>
  <c r="M20" i="172"/>
  <c r="I19" i="172"/>
  <c r="P18" i="172"/>
  <c r="E18" i="172"/>
  <c r="O17" i="172"/>
  <c r="G17" i="172"/>
  <c r="K16" i="172"/>
  <c r="O15" i="172"/>
  <c r="G15" i="172"/>
  <c r="K14" i="172"/>
  <c r="O13" i="172"/>
  <c r="G13" i="172"/>
  <c r="L12" i="172"/>
  <c r="P11" i="172"/>
  <c r="H11" i="172"/>
  <c r="L10" i="172"/>
  <c r="P9" i="172"/>
  <c r="H9" i="172"/>
  <c r="M8" i="172"/>
  <c r="E8" i="172"/>
  <c r="J7" i="172"/>
  <c r="O6" i="172"/>
  <c r="G6" i="172"/>
  <c r="K5" i="172"/>
  <c r="O4" i="172"/>
  <c r="G4" i="172"/>
  <c r="M3" i="172"/>
  <c r="E3" i="172"/>
  <c r="E99" i="172"/>
  <c r="O84" i="172"/>
  <c r="K83" i="172"/>
  <c r="G82" i="172"/>
  <c r="O76" i="172"/>
  <c r="K75" i="172"/>
  <c r="G74" i="172"/>
  <c r="O68" i="172"/>
  <c r="K67" i="172"/>
  <c r="G66" i="172"/>
  <c r="O60" i="172"/>
  <c r="K59" i="172"/>
  <c r="G58" i="172"/>
  <c r="O52" i="172"/>
  <c r="K51" i="172"/>
  <c r="G50" i="172"/>
  <c r="O44" i="172"/>
  <c r="O43" i="172"/>
  <c r="G41" i="172"/>
  <c r="M40" i="172"/>
  <c r="E38" i="172"/>
  <c r="P37" i="172"/>
  <c r="L36" i="172"/>
  <c r="H35" i="172"/>
  <c r="P33" i="172"/>
  <c r="L32" i="172"/>
  <c r="H31" i="172"/>
  <c r="J30" i="172"/>
  <c r="K29" i="172"/>
  <c r="M28" i="172"/>
  <c r="P27" i="172"/>
  <c r="E26" i="172"/>
  <c r="H25" i="172"/>
  <c r="K24" i="172"/>
  <c r="N23" i="172"/>
  <c r="O22" i="172"/>
  <c r="Q21" i="172"/>
  <c r="F21" i="172"/>
  <c r="L20" i="172"/>
  <c r="H19" i="172"/>
  <c r="N18" i="172"/>
  <c r="N17" i="172"/>
  <c r="F17" i="172"/>
  <c r="J16" i="172"/>
  <c r="N15" i="172"/>
  <c r="F15" i="172"/>
  <c r="J14" i="172"/>
  <c r="N13" i="172"/>
  <c r="F13" i="172"/>
  <c r="K12" i="172"/>
  <c r="O11" i="172"/>
  <c r="G11" i="172"/>
  <c r="K10" i="172"/>
  <c r="O9" i="172"/>
  <c r="G9" i="172"/>
  <c r="L8" i="172"/>
  <c r="Q7" i="172"/>
  <c r="I7" i="172"/>
  <c r="N6" i="172"/>
  <c r="F6" i="172"/>
  <c r="J5" i="172"/>
  <c r="N4" i="172"/>
  <c r="F4" i="172"/>
  <c r="L3" i="172"/>
  <c r="Q98" i="172"/>
  <c r="Q92" i="172"/>
  <c r="P87" i="172"/>
  <c r="M84" i="172"/>
  <c r="I83" i="172"/>
  <c r="E82" i="172"/>
  <c r="Q77" i="172"/>
  <c r="M76" i="172"/>
  <c r="I75" i="172"/>
  <c r="E74" i="172"/>
  <c r="Q69" i="172"/>
  <c r="M68" i="172"/>
  <c r="I67" i="172"/>
  <c r="E66" i="172"/>
  <c r="Q61" i="172"/>
  <c r="M60" i="172"/>
  <c r="I59" i="172"/>
  <c r="E58" i="172"/>
  <c r="Q53" i="172"/>
  <c r="M52" i="172"/>
  <c r="I51" i="172"/>
  <c r="E50" i="172"/>
  <c r="Q45" i="172"/>
  <c r="M44" i="172"/>
  <c r="K43" i="172"/>
  <c r="K40" i="172"/>
  <c r="Q39" i="172"/>
  <c r="O37" i="172"/>
  <c r="K36" i="172"/>
  <c r="G35" i="172"/>
  <c r="O33" i="172"/>
  <c r="K32" i="172"/>
  <c r="G31" i="172"/>
  <c r="G30" i="172"/>
  <c r="I29" i="172"/>
  <c r="L28" i="172"/>
  <c r="O27" i="172"/>
  <c r="G25" i="172"/>
  <c r="J24" i="172"/>
  <c r="K23" i="172"/>
  <c r="M22" i="172"/>
  <c r="P21" i="172"/>
  <c r="K20" i="172"/>
  <c r="Q19" i="172"/>
  <c r="G19" i="172"/>
  <c r="M18" i="172"/>
  <c r="M17" i="172"/>
  <c r="E17" i="172"/>
  <c r="Q16" i="172"/>
  <c r="I16" i="172"/>
  <c r="M15" i="172"/>
  <c r="E15" i="172"/>
  <c r="Q14" i="172"/>
  <c r="I14" i="172"/>
  <c r="M13" i="172"/>
  <c r="E13" i="172"/>
  <c r="J12" i="172"/>
  <c r="N11" i="172"/>
  <c r="F11" i="172"/>
  <c r="J10" i="172"/>
  <c r="N9" i="172"/>
  <c r="F9" i="172"/>
  <c r="K8" i="172"/>
  <c r="P7" i="172"/>
  <c r="H7" i="172"/>
  <c r="M6" i="172"/>
  <c r="E6" i="172"/>
  <c r="Q5" i="172"/>
  <c r="I5" i="172"/>
  <c r="M4" i="172"/>
  <c r="E4" i="172"/>
  <c r="K3" i="172"/>
  <c r="M97" i="172"/>
  <c r="M91" i="172"/>
  <c r="E87" i="172"/>
  <c r="M85" i="172"/>
  <c r="G84" i="172"/>
  <c r="O78" i="172"/>
  <c r="K77" i="172"/>
  <c r="G76" i="172"/>
  <c r="O70" i="172"/>
  <c r="K69" i="172"/>
  <c r="G68" i="172"/>
  <c r="O62" i="172"/>
  <c r="K61" i="172"/>
  <c r="G60" i="172"/>
  <c r="O54" i="172"/>
  <c r="K53" i="172"/>
  <c r="G52" i="172"/>
  <c r="O46" i="172"/>
  <c r="K45" i="172"/>
  <c r="G44" i="172"/>
  <c r="I43" i="172"/>
  <c r="O42" i="172"/>
  <c r="G40" i="172"/>
  <c r="O39" i="172"/>
  <c r="K37" i="172"/>
  <c r="G36" i="172"/>
  <c r="O34" i="172"/>
  <c r="K33" i="172"/>
  <c r="G32" i="172"/>
  <c r="E30" i="172"/>
  <c r="H29" i="172"/>
  <c r="K28" i="172"/>
  <c r="N27" i="172"/>
  <c r="O26" i="172"/>
  <c r="Q25" i="172"/>
  <c r="F25" i="172"/>
  <c r="G24" i="172"/>
  <c r="I23" i="172"/>
  <c r="L22" i="172"/>
  <c r="O21" i="172"/>
  <c r="I20" i="172"/>
  <c r="P19" i="172"/>
  <c r="E19" i="172"/>
  <c r="L18" i="172"/>
  <c r="L17" i="172"/>
  <c r="P16" i="172"/>
  <c r="H16" i="172"/>
  <c r="L15" i="172"/>
  <c r="P14" i="172"/>
  <c r="H14" i="172"/>
  <c r="L13" i="172"/>
  <c r="Q12" i="172"/>
  <c r="I12" i="172"/>
  <c r="M11" i="172"/>
  <c r="E11" i="172"/>
  <c r="Q10" i="172"/>
  <c r="I10" i="172"/>
  <c r="M9" i="172"/>
  <c r="E9" i="172"/>
  <c r="J8" i="172"/>
  <c r="O7" i="172"/>
  <c r="G7" i="172"/>
  <c r="L6" i="172"/>
  <c r="P5" i="172"/>
  <c r="H5" i="172"/>
  <c r="L4" i="172"/>
  <c r="J3" i="172"/>
  <c r="AG100" i="172"/>
  <c r="Y100" i="172"/>
  <c r="AC99" i="172"/>
  <c r="U99" i="172"/>
  <c r="AG98" i="172"/>
  <c r="Y98" i="172"/>
  <c r="AC97" i="172"/>
  <c r="U97" i="172"/>
  <c r="AG96" i="172"/>
  <c r="Y96" i="172"/>
  <c r="AC95" i="172"/>
  <c r="U95" i="172"/>
  <c r="AG94" i="172"/>
  <c r="Y94" i="172"/>
  <c r="AC93" i="172"/>
  <c r="U93" i="172"/>
  <c r="AG92" i="172"/>
  <c r="Y92" i="172"/>
  <c r="AC91" i="172"/>
  <c r="U91" i="172"/>
  <c r="AG90" i="172"/>
  <c r="Y90" i="172"/>
  <c r="AC89" i="172"/>
  <c r="U89" i="172"/>
  <c r="AG88" i="172"/>
  <c r="Y88" i="172"/>
  <c r="AC87" i="172"/>
  <c r="AF100" i="172"/>
  <c r="X100" i="172"/>
  <c r="AB99" i="172"/>
  <c r="T99" i="172"/>
  <c r="AF98" i="172"/>
  <c r="X98" i="172"/>
  <c r="AB97" i="172"/>
  <c r="T97" i="172"/>
  <c r="AF96" i="172"/>
  <c r="X96" i="172"/>
  <c r="AB95" i="172"/>
  <c r="T95" i="172"/>
  <c r="AF94" i="172"/>
  <c r="X94" i="172"/>
  <c r="AB93" i="172"/>
  <c r="T93" i="172"/>
  <c r="AF92" i="172"/>
  <c r="X92" i="172"/>
  <c r="AB91" i="172"/>
  <c r="T91" i="172"/>
  <c r="AF90" i="172"/>
  <c r="X90" i="172"/>
  <c r="AB89" i="172"/>
  <c r="T89" i="172"/>
  <c r="AF88" i="172"/>
  <c r="X88" i="172"/>
  <c r="AB87" i="172"/>
  <c r="T87" i="172"/>
  <c r="AE100" i="172"/>
  <c r="W100" i="172"/>
  <c r="AA99" i="172"/>
  <c r="S99" i="172"/>
  <c r="AE98" i="172"/>
  <c r="W98" i="172"/>
  <c r="AA97" i="172"/>
  <c r="S97" i="172"/>
  <c r="AE96" i="172"/>
  <c r="W96" i="172"/>
  <c r="AA95" i="172"/>
  <c r="S95" i="172"/>
  <c r="AE94" i="172"/>
  <c r="W94" i="172"/>
  <c r="AA93" i="172"/>
  <c r="S93" i="172"/>
  <c r="AE92" i="172"/>
  <c r="W92" i="172"/>
  <c r="AA91" i="172"/>
  <c r="S91" i="172"/>
  <c r="AE90" i="172"/>
  <c r="W90" i="172"/>
  <c r="AA89" i="172"/>
  <c r="S89" i="172"/>
  <c r="AE88" i="172"/>
  <c r="W88" i="172"/>
  <c r="AA87" i="172"/>
  <c r="AB100" i="172"/>
  <c r="T100" i="172"/>
  <c r="AF99" i="172"/>
  <c r="X99" i="172"/>
  <c r="AB98" i="172"/>
  <c r="T98" i="172"/>
  <c r="AF97" i="172"/>
  <c r="X97" i="172"/>
  <c r="AB96" i="172"/>
  <c r="T96" i="172"/>
  <c r="AF95" i="172"/>
  <c r="X95" i="172"/>
  <c r="AB94" i="172"/>
  <c r="T94" i="172"/>
  <c r="AF93" i="172"/>
  <c r="X93" i="172"/>
  <c r="AB92" i="172"/>
  <c r="T92" i="172"/>
  <c r="AF91" i="172"/>
  <c r="X91" i="172"/>
  <c r="AB90" i="172"/>
  <c r="T90" i="172"/>
  <c r="AF89" i="172"/>
  <c r="X89" i="172"/>
  <c r="AB88" i="172"/>
  <c r="T88" i="172"/>
  <c r="AF87" i="172"/>
  <c r="X87" i="172"/>
  <c r="AD100" i="172"/>
  <c r="Z99" i="172"/>
  <c r="V98" i="172"/>
  <c r="AD96" i="172"/>
  <c r="Z95" i="172"/>
  <c r="V94" i="172"/>
  <c r="AD92" i="172"/>
  <c r="Z91" i="172"/>
  <c r="V90" i="172"/>
  <c r="AD88" i="172"/>
  <c r="Z87" i="172"/>
  <c r="AA86" i="172"/>
  <c r="S86" i="172"/>
  <c r="AE85" i="172"/>
  <c r="AC100" i="172"/>
  <c r="Y99" i="172"/>
  <c r="U98" i="172"/>
  <c r="AG97" i="172"/>
  <c r="AC96" i="172"/>
  <c r="Y95" i="172"/>
  <c r="U94" i="172"/>
  <c r="AG93" i="172"/>
  <c r="AC92" i="172"/>
  <c r="Y91" i="172"/>
  <c r="U90" i="172"/>
  <c r="AG89" i="172"/>
  <c r="AC88" i="172"/>
  <c r="Y87" i="172"/>
  <c r="AA100" i="172"/>
  <c r="W99" i="172"/>
  <c r="S98" i="172"/>
  <c r="AE97" i="172"/>
  <c r="AA96" i="172"/>
  <c r="W95" i="172"/>
  <c r="S94" i="172"/>
  <c r="AE93" i="172"/>
  <c r="AA92" i="172"/>
  <c r="W91" i="172"/>
  <c r="S90" i="172"/>
  <c r="AE89" i="172"/>
  <c r="AA88" i="172"/>
  <c r="W87" i="172"/>
  <c r="AG86" i="172"/>
  <c r="Y86" i="172"/>
  <c r="AC85" i="172"/>
  <c r="U85" i="172"/>
  <c r="V100" i="172"/>
  <c r="AD98" i="172"/>
  <c r="Z97" i="172"/>
  <c r="V96" i="172"/>
  <c r="AD94" i="172"/>
  <c r="Z93" i="172"/>
  <c r="V92" i="172"/>
  <c r="AD90" i="172"/>
  <c r="U100" i="172"/>
  <c r="AG99" i="172"/>
  <c r="AC98" i="172"/>
  <c r="S100" i="172"/>
  <c r="AE99" i="172"/>
  <c r="AA98" i="172"/>
  <c r="W97" i="172"/>
  <c r="S96" i="172"/>
  <c r="AE95" i="172"/>
  <c r="AA94" i="172"/>
  <c r="W93" i="172"/>
  <c r="S92" i="172"/>
  <c r="AE91" i="172"/>
  <c r="AA90" i="172"/>
  <c r="W89" i="172"/>
  <c r="S88" i="172"/>
  <c r="AE87" i="172"/>
  <c r="AC86" i="172"/>
  <c r="U86" i="172"/>
  <c r="AG85" i="172"/>
  <c r="Y85" i="172"/>
  <c r="V97" i="172"/>
  <c r="AG95" i="172"/>
  <c r="AD89" i="172"/>
  <c r="Z88" i="172"/>
  <c r="V87" i="172"/>
  <c r="W86" i="172"/>
  <c r="Z85" i="172"/>
  <c r="AG84" i="172"/>
  <c r="Y84" i="172"/>
  <c r="AC83" i="172"/>
  <c r="U83" i="172"/>
  <c r="AG82" i="172"/>
  <c r="Y82" i="172"/>
  <c r="AC81" i="172"/>
  <c r="U81" i="172"/>
  <c r="AG80" i="172"/>
  <c r="Y80" i="172"/>
  <c r="AC79" i="172"/>
  <c r="U79" i="172"/>
  <c r="AG78" i="172"/>
  <c r="Y78" i="172"/>
  <c r="AC77" i="172"/>
  <c r="U77" i="172"/>
  <c r="AG76" i="172"/>
  <c r="Y76" i="172"/>
  <c r="AC75" i="172"/>
  <c r="U75" i="172"/>
  <c r="AG74" i="172"/>
  <c r="Y74" i="172"/>
  <c r="AC73" i="172"/>
  <c r="U73" i="172"/>
  <c r="AG72" i="172"/>
  <c r="Y72" i="172"/>
  <c r="AC71" i="172"/>
  <c r="U71" i="172"/>
  <c r="AG70" i="172"/>
  <c r="Y70" i="172"/>
  <c r="AC69" i="172"/>
  <c r="U69" i="172"/>
  <c r="AG68" i="172"/>
  <c r="Y68" i="172"/>
  <c r="AC67" i="172"/>
  <c r="U67" i="172"/>
  <c r="AG66" i="172"/>
  <c r="Y66" i="172"/>
  <c r="AC65" i="172"/>
  <c r="U65" i="172"/>
  <c r="AG64" i="172"/>
  <c r="Y64" i="172"/>
  <c r="AC63" i="172"/>
  <c r="U63" i="172"/>
  <c r="AG62" i="172"/>
  <c r="Y62" i="172"/>
  <c r="AC61" i="172"/>
  <c r="U61" i="172"/>
  <c r="AG60" i="172"/>
  <c r="Y60" i="172"/>
  <c r="AC59" i="172"/>
  <c r="U59" i="172"/>
  <c r="AG58" i="172"/>
  <c r="Y58" i="172"/>
  <c r="AC57" i="172"/>
  <c r="U57" i="172"/>
  <c r="AG56" i="172"/>
  <c r="Y56" i="172"/>
  <c r="AC55" i="172"/>
  <c r="U55" i="172"/>
  <c r="AG54" i="172"/>
  <c r="Y54" i="172"/>
  <c r="AC53" i="172"/>
  <c r="U53" i="172"/>
  <c r="AG52" i="172"/>
  <c r="Y52" i="172"/>
  <c r="AC51" i="172"/>
  <c r="U51" i="172"/>
  <c r="AG50" i="172"/>
  <c r="Y50" i="172"/>
  <c r="AC49" i="172"/>
  <c r="U49" i="172"/>
  <c r="AG48" i="172"/>
  <c r="Y48" i="172"/>
  <c r="AC47" i="172"/>
  <c r="U47" i="172"/>
  <c r="AG46" i="172"/>
  <c r="Y46" i="172"/>
  <c r="AC45" i="172"/>
  <c r="U45" i="172"/>
  <c r="AG44" i="172"/>
  <c r="Y44" i="172"/>
  <c r="AC43" i="172"/>
  <c r="U43" i="172"/>
  <c r="AG42" i="172"/>
  <c r="Y42" i="172"/>
  <c r="AC41" i="172"/>
  <c r="U41" i="172"/>
  <c r="AG40" i="172"/>
  <c r="Y40" i="172"/>
  <c r="AC39" i="172"/>
  <c r="U39" i="172"/>
  <c r="AG38" i="172"/>
  <c r="Y38" i="172"/>
  <c r="AC37" i="172"/>
  <c r="U37" i="172"/>
  <c r="AG36" i="172"/>
  <c r="Y36" i="172"/>
  <c r="AC35" i="172"/>
  <c r="U35" i="172"/>
  <c r="AG34" i="172"/>
  <c r="Y34" i="172"/>
  <c r="AC33" i="172"/>
  <c r="U33" i="172"/>
  <c r="AG32" i="172"/>
  <c r="Y32" i="172"/>
  <c r="AC31" i="172"/>
  <c r="U31" i="172"/>
  <c r="AG30" i="172"/>
  <c r="Y30" i="172"/>
  <c r="AC29" i="172"/>
  <c r="U29" i="172"/>
  <c r="AG28" i="172"/>
  <c r="Y28" i="172"/>
  <c r="AC27" i="172"/>
  <c r="U27" i="172"/>
  <c r="AG26" i="172"/>
  <c r="Y26" i="172"/>
  <c r="AC25" i="172"/>
  <c r="U25" i="172"/>
  <c r="AG24" i="172"/>
  <c r="Y24" i="172"/>
  <c r="AC23" i="172"/>
  <c r="U23" i="172"/>
  <c r="AG22" i="172"/>
  <c r="Y22" i="172"/>
  <c r="AC21" i="172"/>
  <c r="U21" i="172"/>
  <c r="Z98" i="172"/>
  <c r="V95" i="172"/>
  <c r="U92" i="172"/>
  <c r="Y89" i="172"/>
  <c r="U88" i="172"/>
  <c r="S87" i="172"/>
  <c r="AF86" i="172"/>
  <c r="T86" i="172"/>
  <c r="W85" i="172"/>
  <c r="AE84" i="172"/>
  <c r="W84" i="172"/>
  <c r="AA83" i="172"/>
  <c r="S83" i="172"/>
  <c r="AE82" i="172"/>
  <c r="W82" i="172"/>
  <c r="AA81" i="172"/>
  <c r="S81" i="172"/>
  <c r="AE80" i="172"/>
  <c r="W80" i="172"/>
  <c r="AA79" i="172"/>
  <c r="S79" i="172"/>
  <c r="AE78" i="172"/>
  <c r="W78" i="172"/>
  <c r="AA77" i="172"/>
  <c r="S77" i="172"/>
  <c r="AE76" i="172"/>
  <c r="W76" i="172"/>
  <c r="AA75" i="172"/>
  <c r="S75" i="172"/>
  <c r="AE74" i="172"/>
  <c r="W74" i="172"/>
  <c r="AA73" i="172"/>
  <c r="S73" i="172"/>
  <c r="AE72" i="172"/>
  <c r="W72" i="172"/>
  <c r="AA71" i="172"/>
  <c r="S71" i="172"/>
  <c r="AE70" i="172"/>
  <c r="W70" i="172"/>
  <c r="AA69" i="172"/>
  <c r="S69" i="172"/>
  <c r="AE68" i="172"/>
  <c r="W68" i="172"/>
  <c r="AA67" i="172"/>
  <c r="S67" i="172"/>
  <c r="AE66" i="172"/>
  <c r="W66" i="172"/>
  <c r="AA65" i="172"/>
  <c r="S65" i="172"/>
  <c r="AE64" i="172"/>
  <c r="W64" i="172"/>
  <c r="AA63" i="172"/>
  <c r="S63" i="172"/>
  <c r="AE62" i="172"/>
  <c r="W62" i="172"/>
  <c r="AA61" i="172"/>
  <c r="S61" i="172"/>
  <c r="AE60" i="172"/>
  <c r="W60" i="172"/>
  <c r="AA59" i="172"/>
  <c r="S59" i="172"/>
  <c r="AE58" i="172"/>
  <c r="W58" i="172"/>
  <c r="AA57" i="172"/>
  <c r="S57" i="172"/>
  <c r="AE56" i="172"/>
  <c r="W56" i="172"/>
  <c r="AA55" i="172"/>
  <c r="S55" i="172"/>
  <c r="AE54" i="172"/>
  <c r="W54" i="172"/>
  <c r="AA53" i="172"/>
  <c r="S53" i="172"/>
  <c r="AE52" i="172"/>
  <c r="W52" i="172"/>
  <c r="AA51" i="172"/>
  <c r="S51" i="172"/>
  <c r="AE50" i="172"/>
  <c r="W50" i="172"/>
  <c r="AA49" i="172"/>
  <c r="S49" i="172"/>
  <c r="AE48" i="172"/>
  <c r="W48" i="172"/>
  <c r="AA47" i="172"/>
  <c r="S47" i="172"/>
  <c r="AE46" i="172"/>
  <c r="W46" i="172"/>
  <c r="AA45" i="172"/>
  <c r="S45" i="172"/>
  <c r="AE44" i="172"/>
  <c r="W44" i="172"/>
  <c r="AA43" i="172"/>
  <c r="S43" i="172"/>
  <c r="AE42" i="172"/>
  <c r="W42" i="172"/>
  <c r="AA41" i="172"/>
  <c r="S41" i="172"/>
  <c r="AE40" i="172"/>
  <c r="W40" i="172"/>
  <c r="AA39" i="172"/>
  <c r="S39" i="172"/>
  <c r="AE38" i="172"/>
  <c r="W38" i="172"/>
  <c r="AA37" i="172"/>
  <c r="S37" i="172"/>
  <c r="AE36" i="172"/>
  <c r="W36" i="172"/>
  <c r="AA35" i="172"/>
  <c r="S35" i="172"/>
  <c r="AE34" i="172"/>
  <c r="W34" i="172"/>
  <c r="AA33" i="172"/>
  <c r="S33" i="172"/>
  <c r="AE32" i="172"/>
  <c r="W32" i="172"/>
  <c r="AA31" i="172"/>
  <c r="S31" i="172"/>
  <c r="AE30" i="172"/>
  <c r="W30" i="172"/>
  <c r="AA29" i="172"/>
  <c r="S29" i="172"/>
  <c r="AE28" i="172"/>
  <c r="W28" i="172"/>
  <c r="AA27" i="172"/>
  <c r="S27" i="172"/>
  <c r="AE26" i="172"/>
  <c r="W26" i="172"/>
  <c r="AA25" i="172"/>
  <c r="S25" i="172"/>
  <c r="AE24" i="172"/>
  <c r="W24" i="172"/>
  <c r="AA23" i="172"/>
  <c r="S23" i="172"/>
  <c r="AE22" i="172"/>
  <c r="W22" i="172"/>
  <c r="AA21" i="172"/>
  <c r="S21" i="172"/>
  <c r="AF20" i="172"/>
  <c r="X20" i="172"/>
  <c r="AB19" i="172"/>
  <c r="T19" i="172"/>
  <c r="AF18" i="172"/>
  <c r="X18" i="172"/>
  <c r="Z96" i="172"/>
  <c r="Y93" i="172"/>
  <c r="Z90" i="172"/>
  <c r="AD86" i="172"/>
  <c r="AF85" i="172"/>
  <c r="T85" i="172"/>
  <c r="AC84" i="172"/>
  <c r="U84" i="172"/>
  <c r="AG83" i="172"/>
  <c r="Y83" i="172"/>
  <c r="AC82" i="172"/>
  <c r="U82" i="172"/>
  <c r="AG81" i="172"/>
  <c r="Y81" i="172"/>
  <c r="AC80" i="172"/>
  <c r="U80" i="172"/>
  <c r="AG79" i="172"/>
  <c r="Y79" i="172"/>
  <c r="AC78" i="172"/>
  <c r="U78" i="172"/>
  <c r="AG77" i="172"/>
  <c r="Y77" i="172"/>
  <c r="AC76" i="172"/>
  <c r="U76" i="172"/>
  <c r="AG75" i="172"/>
  <c r="Y75" i="172"/>
  <c r="AC74" i="172"/>
  <c r="U74" i="172"/>
  <c r="AG73" i="172"/>
  <c r="Y73" i="172"/>
  <c r="AC72" i="172"/>
  <c r="U72" i="172"/>
  <c r="AG71" i="172"/>
  <c r="Y71" i="172"/>
  <c r="AC70" i="172"/>
  <c r="U70" i="172"/>
  <c r="AG69" i="172"/>
  <c r="Y69" i="172"/>
  <c r="AC68" i="172"/>
  <c r="U68" i="172"/>
  <c r="AG67" i="172"/>
  <c r="Y67" i="172"/>
  <c r="AC66" i="172"/>
  <c r="U66" i="172"/>
  <c r="AG65" i="172"/>
  <c r="Y65" i="172"/>
  <c r="AC64" i="172"/>
  <c r="U64" i="172"/>
  <c r="AG63" i="172"/>
  <c r="Y63" i="172"/>
  <c r="AC62" i="172"/>
  <c r="U62" i="172"/>
  <c r="AG61" i="172"/>
  <c r="Y61" i="172"/>
  <c r="AC60" i="172"/>
  <c r="U60" i="172"/>
  <c r="AG59" i="172"/>
  <c r="Y59" i="172"/>
  <c r="AC58" i="172"/>
  <c r="U58" i="172"/>
  <c r="AG57" i="172"/>
  <c r="Y57" i="172"/>
  <c r="AC56" i="172"/>
  <c r="U56" i="172"/>
  <c r="AG55" i="172"/>
  <c r="Y55" i="172"/>
  <c r="AC54" i="172"/>
  <c r="U54" i="172"/>
  <c r="AG53" i="172"/>
  <c r="Y53" i="172"/>
  <c r="AC52" i="172"/>
  <c r="U52" i="172"/>
  <c r="AG51" i="172"/>
  <c r="Y51" i="172"/>
  <c r="AC50" i="172"/>
  <c r="U50" i="172"/>
  <c r="AG49" i="172"/>
  <c r="Y49" i="172"/>
  <c r="AC48" i="172"/>
  <c r="U48" i="172"/>
  <c r="AG47" i="172"/>
  <c r="Y47" i="172"/>
  <c r="AC46" i="172"/>
  <c r="U46" i="172"/>
  <c r="AG45" i="172"/>
  <c r="Y45" i="172"/>
  <c r="AC44" i="172"/>
  <c r="U44" i="172"/>
  <c r="AG43" i="172"/>
  <c r="Y43" i="172"/>
  <c r="AC42" i="172"/>
  <c r="U42" i="172"/>
  <c r="AG41" i="172"/>
  <c r="Y41" i="172"/>
  <c r="AC40" i="172"/>
  <c r="U40" i="172"/>
  <c r="AG39" i="172"/>
  <c r="Y39" i="172"/>
  <c r="AC38" i="172"/>
  <c r="U38" i="172"/>
  <c r="AG37" i="172"/>
  <c r="U96" i="172"/>
  <c r="V93" i="172"/>
  <c r="AG91" i="172"/>
  <c r="AB86" i="172"/>
  <c r="AD85" i="172"/>
  <c r="S85" i="172"/>
  <c r="AB84" i="172"/>
  <c r="T84" i="172"/>
  <c r="AF83" i="172"/>
  <c r="X83" i="172"/>
  <c r="AB82" i="172"/>
  <c r="T82" i="172"/>
  <c r="AF81" i="172"/>
  <c r="X81" i="172"/>
  <c r="AB80" i="172"/>
  <c r="T80" i="172"/>
  <c r="AF79" i="172"/>
  <c r="X79" i="172"/>
  <c r="AB78" i="172"/>
  <c r="T78" i="172"/>
  <c r="AF77" i="172"/>
  <c r="X77" i="172"/>
  <c r="AB76" i="172"/>
  <c r="T76" i="172"/>
  <c r="AF75" i="172"/>
  <c r="X75" i="172"/>
  <c r="AB74" i="172"/>
  <c r="T74" i="172"/>
  <c r="AF73" i="172"/>
  <c r="X73" i="172"/>
  <c r="AB72" i="172"/>
  <c r="T72" i="172"/>
  <c r="AF71" i="172"/>
  <c r="X71" i="172"/>
  <c r="AB70" i="172"/>
  <c r="T70" i="172"/>
  <c r="AF69" i="172"/>
  <c r="X69" i="172"/>
  <c r="AB68" i="172"/>
  <c r="T68" i="172"/>
  <c r="AF67" i="172"/>
  <c r="X67" i="172"/>
  <c r="AB66" i="172"/>
  <c r="T66" i="172"/>
  <c r="AF65" i="172"/>
  <c r="X65" i="172"/>
  <c r="AB64" i="172"/>
  <c r="T64" i="172"/>
  <c r="AF63" i="172"/>
  <c r="X63" i="172"/>
  <c r="AB62" i="172"/>
  <c r="T62" i="172"/>
  <c r="AF61" i="172"/>
  <c r="X61" i="172"/>
  <c r="AB60" i="172"/>
  <c r="T60" i="172"/>
  <c r="AF59" i="172"/>
  <c r="X59" i="172"/>
  <c r="AB58" i="172"/>
  <c r="T58" i="172"/>
  <c r="AF57" i="172"/>
  <c r="X57" i="172"/>
  <c r="AB56" i="172"/>
  <c r="T56" i="172"/>
  <c r="AF55" i="172"/>
  <c r="X55" i="172"/>
  <c r="AB54" i="172"/>
  <c r="T54" i="172"/>
  <c r="AF53" i="172"/>
  <c r="X53" i="172"/>
  <c r="AB52" i="172"/>
  <c r="T52" i="172"/>
  <c r="AF51" i="172"/>
  <c r="X51" i="172"/>
  <c r="AB50" i="172"/>
  <c r="T50" i="172"/>
  <c r="AF49" i="172"/>
  <c r="X49" i="172"/>
  <c r="AB48" i="172"/>
  <c r="T48" i="172"/>
  <c r="AF47" i="172"/>
  <c r="X47" i="172"/>
  <c r="AB46" i="172"/>
  <c r="T46" i="172"/>
  <c r="AF45" i="172"/>
  <c r="X45" i="172"/>
  <c r="AB44" i="172"/>
  <c r="T44" i="172"/>
  <c r="AF43" i="172"/>
  <c r="X43" i="172"/>
  <c r="AD99" i="172"/>
  <c r="AD97" i="172"/>
  <c r="AC94" i="172"/>
  <c r="AD91" i="172"/>
  <c r="AG87" i="172"/>
  <c r="Z86" i="172"/>
  <c r="AB85" i="172"/>
  <c r="AA84" i="172"/>
  <c r="S84" i="172"/>
  <c r="AE83" i="172"/>
  <c r="W83" i="172"/>
  <c r="AA82" i="172"/>
  <c r="S82" i="172"/>
  <c r="AE81" i="172"/>
  <c r="W81" i="172"/>
  <c r="AA80" i="172"/>
  <c r="S80" i="172"/>
  <c r="AE79" i="172"/>
  <c r="W79" i="172"/>
  <c r="AA78" i="172"/>
  <c r="S78" i="172"/>
  <c r="AE77" i="172"/>
  <c r="W77" i="172"/>
  <c r="AA76" i="172"/>
  <c r="S76" i="172"/>
  <c r="AE75" i="172"/>
  <c r="W75" i="172"/>
  <c r="AA74" i="172"/>
  <c r="S74" i="172"/>
  <c r="AE73" i="172"/>
  <c r="W73" i="172"/>
  <c r="AA72" i="172"/>
  <c r="S72" i="172"/>
  <c r="AE71" i="172"/>
  <c r="W71" i="172"/>
  <c r="AA70" i="172"/>
  <c r="S70" i="172"/>
  <c r="AE69" i="172"/>
  <c r="W69" i="172"/>
  <c r="AA68" i="172"/>
  <c r="S68" i="172"/>
  <c r="AE67" i="172"/>
  <c r="W67" i="172"/>
  <c r="AA66" i="172"/>
  <c r="S66" i="172"/>
  <c r="AE65" i="172"/>
  <c r="W65" i="172"/>
  <c r="AA64" i="172"/>
  <c r="S64" i="172"/>
  <c r="AE63" i="172"/>
  <c r="W63" i="172"/>
  <c r="AA62" i="172"/>
  <c r="S62" i="172"/>
  <c r="AE61" i="172"/>
  <c r="W61" i="172"/>
  <c r="AA60" i="172"/>
  <c r="S60" i="172"/>
  <c r="AE59" i="172"/>
  <c r="W59" i="172"/>
  <c r="AA58" i="172"/>
  <c r="S58" i="172"/>
  <c r="AE57" i="172"/>
  <c r="W57" i="172"/>
  <c r="AA56" i="172"/>
  <c r="S56" i="172"/>
  <c r="AE55" i="172"/>
  <c r="W55" i="172"/>
  <c r="AA54" i="172"/>
  <c r="S54" i="172"/>
  <c r="AE53" i="172"/>
  <c r="W53" i="172"/>
  <c r="AA52" i="172"/>
  <c r="S52" i="172"/>
  <c r="AE51" i="172"/>
  <c r="W51" i="172"/>
  <c r="AA50" i="172"/>
  <c r="S50" i="172"/>
  <c r="AE49" i="172"/>
  <c r="W49" i="172"/>
  <c r="AA48" i="172"/>
  <c r="S48" i="172"/>
  <c r="AE47" i="172"/>
  <c r="W47" i="172"/>
  <c r="AA46" i="172"/>
  <c r="S46" i="172"/>
  <c r="AE45" i="172"/>
  <c r="W45" i="172"/>
  <c r="AA44" i="172"/>
  <c r="S44" i="172"/>
  <c r="AE43" i="172"/>
  <c r="W43" i="172"/>
  <c r="AA42" i="172"/>
  <c r="S42" i="172"/>
  <c r="AE41" i="172"/>
  <c r="W41" i="172"/>
  <c r="AA40" i="172"/>
  <c r="S40" i="172"/>
  <c r="AE39" i="172"/>
  <c r="W39" i="172"/>
  <c r="AA38" i="172"/>
  <c r="S38" i="172"/>
  <c r="AE37" i="172"/>
  <c r="W37" i="172"/>
  <c r="AA36" i="172"/>
  <c r="S36" i="172"/>
  <c r="AE35" i="172"/>
  <c r="W35" i="172"/>
  <c r="AA34" i="172"/>
  <c r="S34" i="172"/>
  <c r="AE33" i="172"/>
  <c r="W33" i="172"/>
  <c r="AA32" i="172"/>
  <c r="S32" i="172"/>
  <c r="AE31" i="172"/>
  <c r="W31" i="172"/>
  <c r="V99" i="172"/>
  <c r="Y97" i="172"/>
  <c r="Z94" i="172"/>
  <c r="V91" i="172"/>
  <c r="AD87" i="172"/>
  <c r="X86" i="172"/>
  <c r="AA85" i="172"/>
  <c r="Z84" i="172"/>
  <c r="AD83" i="172"/>
  <c r="V83" i="172"/>
  <c r="Z82" i="172"/>
  <c r="AD81" i="172"/>
  <c r="V81" i="172"/>
  <c r="Z80" i="172"/>
  <c r="AD79" i="172"/>
  <c r="V79" i="172"/>
  <c r="Z78" i="172"/>
  <c r="AD77" i="172"/>
  <c r="V77" i="172"/>
  <c r="Z76" i="172"/>
  <c r="AD75" i="172"/>
  <c r="V75" i="172"/>
  <c r="Z74" i="172"/>
  <c r="AD73" i="172"/>
  <c r="V73" i="172"/>
  <c r="Z72" i="172"/>
  <c r="AD71" i="172"/>
  <c r="V71" i="172"/>
  <c r="Z70" i="172"/>
  <c r="AD69" i="172"/>
  <c r="V69" i="172"/>
  <c r="Z68" i="172"/>
  <c r="AD67" i="172"/>
  <c r="V67" i="172"/>
  <c r="Z66" i="172"/>
  <c r="AD65" i="172"/>
  <c r="V65" i="172"/>
  <c r="Z64" i="172"/>
  <c r="AD63" i="172"/>
  <c r="V63" i="172"/>
  <c r="Z62" i="172"/>
  <c r="AD61" i="172"/>
  <c r="V61" i="172"/>
  <c r="Z60" i="172"/>
  <c r="AD59" i="172"/>
  <c r="V59" i="172"/>
  <c r="Z58" i="172"/>
  <c r="AD57" i="172"/>
  <c r="V57" i="172"/>
  <c r="Z56" i="172"/>
  <c r="AD55" i="172"/>
  <c r="V55" i="172"/>
  <c r="Z54" i="172"/>
  <c r="AD53" i="172"/>
  <c r="V53" i="172"/>
  <c r="Z52" i="172"/>
  <c r="AD51" i="172"/>
  <c r="V51" i="172"/>
  <c r="Z50" i="172"/>
  <c r="AD49" i="172"/>
  <c r="V49" i="172"/>
  <c r="Z48" i="172"/>
  <c r="AD47" i="172"/>
  <c r="V47" i="172"/>
  <c r="Z46" i="172"/>
  <c r="AD45" i="172"/>
  <c r="V45" i="172"/>
  <c r="Z44" i="172"/>
  <c r="AD43" i="172"/>
  <c r="V43" i="172"/>
  <c r="Z42" i="172"/>
  <c r="AD41" i="172"/>
  <c r="V41" i="172"/>
  <c r="Z40" i="172"/>
  <c r="AD39" i="172"/>
  <c r="V39" i="172"/>
  <c r="Z38" i="172"/>
  <c r="AD37" i="172"/>
  <c r="V37" i="172"/>
  <c r="Z36" i="172"/>
  <c r="AD35" i="172"/>
  <c r="V35" i="172"/>
  <c r="Z34" i="172"/>
  <c r="AD33" i="172"/>
  <c r="V33" i="172"/>
  <c r="Z32" i="172"/>
  <c r="AD31" i="172"/>
  <c r="V31" i="172"/>
  <c r="Z30" i="172"/>
  <c r="AD29" i="172"/>
  <c r="V29" i="172"/>
  <c r="Z28" i="172"/>
  <c r="AD27" i="172"/>
  <c r="V27" i="172"/>
  <c r="Z26" i="172"/>
  <c r="AD25" i="172"/>
  <c r="V25" i="172"/>
  <c r="Z24" i="172"/>
  <c r="AD23" i="172"/>
  <c r="V23" i="172"/>
  <c r="Z22" i="172"/>
  <c r="AD21" i="172"/>
  <c r="V21" i="172"/>
  <c r="AA20" i="172"/>
  <c r="S20" i="172"/>
  <c r="AE19" i="172"/>
  <c r="W19" i="172"/>
  <c r="AA18" i="172"/>
  <c r="S18" i="172"/>
  <c r="AE17" i="172"/>
  <c r="W17" i="172"/>
  <c r="AC90" i="172"/>
  <c r="AE86" i="172"/>
  <c r="AD82" i="172"/>
  <c r="Z81" i="172"/>
  <c r="V80" i="172"/>
  <c r="AD74" i="172"/>
  <c r="Z73" i="172"/>
  <c r="V72" i="172"/>
  <c r="AD66" i="172"/>
  <c r="Z65" i="172"/>
  <c r="V64" i="172"/>
  <c r="AD58" i="172"/>
  <c r="Z57" i="172"/>
  <c r="V56" i="172"/>
  <c r="AD50" i="172"/>
  <c r="Z49" i="172"/>
  <c r="V48" i="172"/>
  <c r="T41" i="172"/>
  <c r="AB40" i="172"/>
  <c r="T38" i="172"/>
  <c r="Z37" i="172"/>
  <c r="V36" i="172"/>
  <c r="AD34" i="172"/>
  <c r="Z33" i="172"/>
  <c r="V32" i="172"/>
  <c r="AD30" i="172"/>
  <c r="S30" i="172"/>
  <c r="AG29" i="172"/>
  <c r="T29" i="172"/>
  <c r="V28" i="172"/>
  <c r="Y27" i="172"/>
  <c r="AB26" i="172"/>
  <c r="AE25" i="172"/>
  <c r="AF24" i="172"/>
  <c r="T24" i="172"/>
  <c r="W23" i="172"/>
  <c r="X22" i="172"/>
  <c r="Z21" i="172"/>
  <c r="AD20" i="172"/>
  <c r="T20" i="172"/>
  <c r="Z19" i="172"/>
  <c r="AG18" i="172"/>
  <c r="V18" i="172"/>
  <c r="AC17" i="172"/>
  <c r="T17" i="172"/>
  <c r="AF16" i="172"/>
  <c r="X16" i="172"/>
  <c r="AB15" i="172"/>
  <c r="T15" i="172"/>
  <c r="AF14" i="172"/>
  <c r="X14" i="172"/>
  <c r="AB13" i="172"/>
  <c r="T13" i="172"/>
  <c r="AG12" i="172"/>
  <c r="Y12" i="172"/>
  <c r="AC11" i="172"/>
  <c r="U11" i="172"/>
  <c r="AG10" i="172"/>
  <c r="Y10" i="172"/>
  <c r="AC9" i="172"/>
  <c r="U9" i="172"/>
  <c r="Z8" i="172"/>
  <c r="AE7" i="172"/>
  <c r="W7" i="172"/>
  <c r="AB6" i="172"/>
  <c r="T6" i="172"/>
  <c r="AF5" i="172"/>
  <c r="X5" i="172"/>
  <c r="AB4" i="172"/>
  <c r="T4" i="172"/>
  <c r="AG3" i="172"/>
  <c r="Y3" i="172"/>
  <c r="AD95" i="172"/>
  <c r="Z89" i="172"/>
  <c r="V86" i="172"/>
  <c r="AF84" i="172"/>
  <c r="AB83" i="172"/>
  <c r="X82" i="172"/>
  <c r="T81" i="172"/>
  <c r="AF76" i="172"/>
  <c r="AB75" i="172"/>
  <c r="X74" i="172"/>
  <c r="T73" i="172"/>
  <c r="AF68" i="172"/>
  <c r="AB67" i="172"/>
  <c r="X66" i="172"/>
  <c r="T65" i="172"/>
  <c r="AF60" i="172"/>
  <c r="AB59" i="172"/>
  <c r="X58" i="172"/>
  <c r="T57" i="172"/>
  <c r="AF52" i="172"/>
  <c r="AB51" i="172"/>
  <c r="X50" i="172"/>
  <c r="T49" i="172"/>
  <c r="AF44" i="172"/>
  <c r="AB43" i="172"/>
  <c r="AF42" i="172"/>
  <c r="X40" i="172"/>
  <c r="AF39" i="172"/>
  <c r="Y37" i="172"/>
  <c r="U36" i="172"/>
  <c r="AG35" i="172"/>
  <c r="AC34" i="172"/>
  <c r="Y33" i="172"/>
  <c r="U32" i="172"/>
  <c r="AG31" i="172"/>
  <c r="AC30" i="172"/>
  <c r="AF29" i="172"/>
  <c r="U28" i="172"/>
  <c r="X27" i="172"/>
  <c r="AA26" i="172"/>
  <c r="AB25" i="172"/>
  <c r="AD24" i="172"/>
  <c r="S24" i="172"/>
  <c r="AG23" i="172"/>
  <c r="T23" i="172"/>
  <c r="V22" i="172"/>
  <c r="Y21" i="172"/>
  <c r="AC20" i="172"/>
  <c r="Y19" i="172"/>
  <c r="AE18" i="172"/>
  <c r="U18" i="172"/>
  <c r="AB17" i="172"/>
  <c r="S17" i="172"/>
  <c r="AE16" i="172"/>
  <c r="W16" i="172"/>
  <c r="AA15" i="172"/>
  <c r="S15" i="172"/>
  <c r="AE14" i="172"/>
  <c r="W14" i="172"/>
  <c r="AA13" i="172"/>
  <c r="S13" i="172"/>
  <c r="AF12" i="172"/>
  <c r="X12" i="172"/>
  <c r="AB11" i="172"/>
  <c r="T11" i="172"/>
  <c r="AF10" i="172"/>
  <c r="X10" i="172"/>
  <c r="AB9" i="172"/>
  <c r="T9" i="172"/>
  <c r="AG8" i="172"/>
  <c r="Y8" i="172"/>
  <c r="AD7" i="172"/>
  <c r="V7" i="172"/>
  <c r="AA6" i="172"/>
  <c r="S6" i="172"/>
  <c r="AE5" i="172"/>
  <c r="W5" i="172"/>
  <c r="AA4" i="172"/>
  <c r="S4" i="172"/>
  <c r="AF3" i="172"/>
  <c r="X3" i="172"/>
  <c r="V89" i="172"/>
  <c r="AD84" i="172"/>
  <c r="Z83" i="172"/>
  <c r="V82" i="172"/>
  <c r="AD76" i="172"/>
  <c r="Z75" i="172"/>
  <c r="V74" i="172"/>
  <c r="AD68" i="172"/>
  <c r="Z67" i="172"/>
  <c r="V66" i="172"/>
  <c r="AD60" i="172"/>
  <c r="Z59" i="172"/>
  <c r="V58" i="172"/>
  <c r="AD52" i="172"/>
  <c r="Z51" i="172"/>
  <c r="V50" i="172"/>
  <c r="AD44" i="172"/>
  <c r="Z43" i="172"/>
  <c r="AD42" i="172"/>
  <c r="V40" i="172"/>
  <c r="AB39" i="172"/>
  <c r="X37" i="172"/>
  <c r="T36" i="172"/>
  <c r="AF35" i="172"/>
  <c r="AB34" i="172"/>
  <c r="X33" i="172"/>
  <c r="T32" i="172"/>
  <c r="AF31" i="172"/>
  <c r="AB30" i="172"/>
  <c r="AE29" i="172"/>
  <c r="AF28" i="172"/>
  <c r="T28" i="172"/>
  <c r="W27" i="172"/>
  <c r="X26" i="172"/>
  <c r="Z25" i="172"/>
  <c r="AC24" i="172"/>
  <c r="AF23" i="172"/>
  <c r="U22" i="172"/>
  <c r="X21" i="172"/>
  <c r="AB20" i="172"/>
  <c r="X19" i="172"/>
  <c r="AD18" i="172"/>
  <c r="T18" i="172"/>
  <c r="AA17" i="172"/>
  <c r="AD16" i="172"/>
  <c r="V16" i="172"/>
  <c r="Z15" i="172"/>
  <c r="AD14" i="172"/>
  <c r="V14" i="172"/>
  <c r="Z13" i="172"/>
  <c r="AE12" i="172"/>
  <c r="W12" i="172"/>
  <c r="AA11" i="172"/>
  <c r="S11" i="172"/>
  <c r="AE10" i="172"/>
  <c r="W10" i="172"/>
  <c r="AA9" i="172"/>
  <c r="S9" i="172"/>
  <c r="AF8" i="172"/>
  <c r="X8" i="172"/>
  <c r="AC7" i="172"/>
  <c r="U7" i="172"/>
  <c r="Z6" i="172"/>
  <c r="AD5" i="172"/>
  <c r="V5" i="172"/>
  <c r="Z4" i="172"/>
  <c r="AE3" i="172"/>
  <c r="W3" i="172"/>
  <c r="V88" i="172"/>
  <c r="X84" i="172"/>
  <c r="T83" i="172"/>
  <c r="AF78" i="172"/>
  <c r="AB77" i="172"/>
  <c r="X76" i="172"/>
  <c r="T75" i="172"/>
  <c r="AF70" i="172"/>
  <c r="AB69" i="172"/>
  <c r="X68" i="172"/>
  <c r="T67" i="172"/>
  <c r="AF62" i="172"/>
  <c r="AB61" i="172"/>
  <c r="X60" i="172"/>
  <c r="T59" i="172"/>
  <c r="AF54" i="172"/>
  <c r="AB53" i="172"/>
  <c r="X52" i="172"/>
  <c r="T51" i="172"/>
  <c r="AF46" i="172"/>
  <c r="AB45" i="172"/>
  <c r="X44" i="172"/>
  <c r="T43" i="172"/>
  <c r="AB42" i="172"/>
  <c r="T40" i="172"/>
  <c r="Z39" i="172"/>
  <c r="AF38" i="172"/>
  <c r="T37" i="172"/>
  <c r="AF36" i="172"/>
  <c r="AB35" i="172"/>
  <c r="X34" i="172"/>
  <c r="T33" i="172"/>
  <c r="AF32" i="172"/>
  <c r="AB31" i="172"/>
  <c r="AA30" i="172"/>
  <c r="AB29" i="172"/>
  <c r="AD28" i="172"/>
  <c r="S28" i="172"/>
  <c r="AG27" i="172"/>
  <c r="T27" i="172"/>
  <c r="V26" i="172"/>
  <c r="Y25" i="172"/>
  <c r="AB24" i="172"/>
  <c r="AE23" i="172"/>
  <c r="AF22" i="172"/>
  <c r="T22" i="172"/>
  <c r="W21" i="172"/>
  <c r="Z20" i="172"/>
  <c r="AG19" i="172"/>
  <c r="V19" i="172"/>
  <c r="AC18" i="172"/>
  <c r="Z17" i="172"/>
  <c r="AC16" i="172"/>
  <c r="U16" i="172"/>
  <c r="AG15" i="172"/>
  <c r="Y15" i="172"/>
  <c r="AC14" i="172"/>
  <c r="U14" i="172"/>
  <c r="AG13" i="172"/>
  <c r="Y13" i="172"/>
  <c r="AD12" i="172"/>
  <c r="V12" i="172"/>
  <c r="Z11" i="172"/>
  <c r="AD10" i="172"/>
  <c r="V10" i="172"/>
  <c r="Z9" i="172"/>
  <c r="AE8" i="172"/>
  <c r="W8" i="172"/>
  <c r="AB7" i="172"/>
  <c r="T7" i="172"/>
  <c r="AG6" i="172"/>
  <c r="Y6" i="172"/>
  <c r="AC5" i="172"/>
  <c r="U5" i="172"/>
  <c r="AG4" i="172"/>
  <c r="Y4" i="172"/>
  <c r="AD3" i="172"/>
  <c r="V3" i="172"/>
  <c r="Z100" i="172"/>
  <c r="AD93" i="172"/>
  <c r="V84" i="172"/>
  <c r="AD78" i="172"/>
  <c r="Z77" i="172"/>
  <c r="V76" i="172"/>
  <c r="AD70" i="172"/>
  <c r="Z69" i="172"/>
  <c r="V68" i="172"/>
  <c r="AD62" i="172"/>
  <c r="Z61" i="172"/>
  <c r="V60" i="172"/>
  <c r="AD54" i="172"/>
  <c r="Z53" i="172"/>
  <c r="V52" i="172"/>
  <c r="AD46" i="172"/>
  <c r="Z45" i="172"/>
  <c r="V44" i="172"/>
  <c r="X42" i="172"/>
  <c r="AF41" i="172"/>
  <c r="X39" i="172"/>
  <c r="AD38" i="172"/>
  <c r="AD36" i="172"/>
  <c r="Z35" i="172"/>
  <c r="V34" i="172"/>
  <c r="AD32" i="172"/>
  <c r="Z31" i="172"/>
  <c r="X30" i="172"/>
  <c r="Z29" i="172"/>
  <c r="AC28" i="172"/>
  <c r="AF27" i="172"/>
  <c r="U26" i="172"/>
  <c r="X25" i="172"/>
  <c r="AA24" i="172"/>
  <c r="AB23" i="172"/>
  <c r="AD22" i="172"/>
  <c r="S22" i="172"/>
  <c r="AG21" i="172"/>
  <c r="T21" i="172"/>
  <c r="Y20" i="172"/>
  <c r="AF19" i="172"/>
  <c r="U19" i="172"/>
  <c r="AB18" i="172"/>
  <c r="Y17" i="172"/>
  <c r="AB16" i="172"/>
  <c r="T16" i="172"/>
  <c r="AF15" i="172"/>
  <c r="X15" i="172"/>
  <c r="AB14" i="172"/>
  <c r="T14" i="172"/>
  <c r="AF13" i="172"/>
  <c r="X13" i="172"/>
  <c r="AC12" i="172"/>
  <c r="U12" i="172"/>
  <c r="AG11" i="172"/>
  <c r="Y11" i="172"/>
  <c r="AC10" i="172"/>
  <c r="U10" i="172"/>
  <c r="AG9" i="172"/>
  <c r="Y9" i="172"/>
  <c r="AD8" i="172"/>
  <c r="V8" i="172"/>
  <c r="AA7" i="172"/>
  <c r="S7" i="172"/>
  <c r="AF6" i="172"/>
  <c r="X6" i="172"/>
  <c r="AB5" i="172"/>
  <c r="T5" i="172"/>
  <c r="AF4" i="172"/>
  <c r="X4" i="172"/>
  <c r="AC3" i="172"/>
  <c r="U3" i="172"/>
  <c r="Z92" i="172"/>
  <c r="U87" i="172"/>
  <c r="X85" i="172"/>
  <c r="AF80" i="172"/>
  <c r="AB79" i="172"/>
  <c r="X78" i="172"/>
  <c r="T77" i="172"/>
  <c r="AF72" i="172"/>
  <c r="AB71" i="172"/>
  <c r="X70" i="172"/>
  <c r="T69" i="172"/>
  <c r="AF64" i="172"/>
  <c r="AB63" i="172"/>
  <c r="X62" i="172"/>
  <c r="T61" i="172"/>
  <c r="AF56" i="172"/>
  <c r="AB55" i="172"/>
  <c r="X54" i="172"/>
  <c r="T53" i="172"/>
  <c r="AF48" i="172"/>
  <c r="AB47" i="172"/>
  <c r="X46" i="172"/>
  <c r="T45" i="172"/>
  <c r="V42" i="172"/>
  <c r="AB41" i="172"/>
  <c r="T39" i="172"/>
  <c r="AB38" i="172"/>
  <c r="AC36" i="172"/>
  <c r="Y35" i="172"/>
  <c r="U34" i="172"/>
  <c r="AG33" i="172"/>
  <c r="AC32" i="172"/>
  <c r="Y31" i="172"/>
  <c r="V30" i="172"/>
  <c r="Y29" i="172"/>
  <c r="AB28" i="172"/>
  <c r="AE27" i="172"/>
  <c r="AF26" i="172"/>
  <c r="T26" i="172"/>
  <c r="W25" i="172"/>
  <c r="X24" i="172"/>
  <c r="Z23" i="172"/>
  <c r="AC22" i="172"/>
  <c r="AF21" i="172"/>
  <c r="W20" i="172"/>
  <c r="AD19" i="172"/>
  <c r="S19" i="172"/>
  <c r="Z18" i="172"/>
  <c r="AG17" i="172"/>
  <c r="X17" i="172"/>
  <c r="AA16" i="172"/>
  <c r="S16" i="172"/>
  <c r="AE15" i="172"/>
  <c r="W15" i="172"/>
  <c r="AA14" i="172"/>
  <c r="S14" i="172"/>
  <c r="AE13" i="172"/>
  <c r="W13" i="172"/>
  <c r="AB12" i="172"/>
  <c r="T12" i="172"/>
  <c r="AF11" i="172"/>
  <c r="X11" i="172"/>
  <c r="AB10" i="172"/>
  <c r="T10" i="172"/>
  <c r="AF9" i="172"/>
  <c r="X9" i="172"/>
  <c r="AC8" i="172"/>
  <c r="U8" i="172"/>
  <c r="Z7" i="172"/>
  <c r="AE6" i="172"/>
  <c r="W6" i="172"/>
  <c r="AA5" i="172"/>
  <c r="S5" i="172"/>
  <c r="AE4" i="172"/>
  <c r="W4" i="172"/>
  <c r="AB3" i="172"/>
  <c r="T3" i="172"/>
  <c r="V85" i="172"/>
  <c r="AD80" i="172"/>
  <c r="Z79" i="172"/>
  <c r="V78" i="172"/>
  <c r="AD72" i="172"/>
  <c r="Z71" i="172"/>
  <c r="V70" i="172"/>
  <c r="AD64" i="172"/>
  <c r="Z63" i="172"/>
  <c r="V62" i="172"/>
  <c r="AD56" i="172"/>
  <c r="Z55" i="172"/>
  <c r="V54" i="172"/>
  <c r="AD48" i="172"/>
  <c r="Z47" i="172"/>
  <c r="V46" i="172"/>
  <c r="T42" i="172"/>
  <c r="Z41" i="172"/>
  <c r="AF40" i="172"/>
  <c r="X38" i="172"/>
  <c r="AF37" i="172"/>
  <c r="AB36" i="172"/>
  <c r="X35" i="172"/>
  <c r="T34" i="172"/>
  <c r="AF33" i="172"/>
  <c r="AB32" i="172"/>
  <c r="X31" i="172"/>
  <c r="U30" i="172"/>
  <c r="X29" i="172"/>
  <c r="AA28" i="172"/>
  <c r="AB27" i="172"/>
  <c r="AD26" i="172"/>
  <c r="S26" i="172"/>
  <c r="AG25" i="172"/>
  <c r="T25" i="172"/>
  <c r="V24" i="172"/>
  <c r="Y23" i="172"/>
  <c r="AB22" i="172"/>
  <c r="AE21" i="172"/>
  <c r="AG20" i="172"/>
  <c r="V20" i="172"/>
  <c r="AC19" i="172"/>
  <c r="Y18" i="172"/>
  <c r="AF17" i="172"/>
  <c r="V17" i="172"/>
  <c r="Z16" i="172"/>
  <c r="AD15" i="172"/>
  <c r="V15" i="172"/>
  <c r="Z14" i="172"/>
  <c r="AD13" i="172"/>
  <c r="V13" i="172"/>
  <c r="AA12" i="172"/>
  <c r="S12" i="172"/>
  <c r="AE11" i="172"/>
  <c r="W11" i="172"/>
  <c r="AA10" i="172"/>
  <c r="S10" i="172"/>
  <c r="AE9" i="172"/>
  <c r="W9" i="172"/>
  <c r="AB8" i="172"/>
  <c r="T8" i="172"/>
  <c r="AG7" i="172"/>
  <c r="Y7" i="172"/>
  <c r="AD6" i="172"/>
  <c r="V6" i="172"/>
  <c r="Z5" i="172"/>
  <c r="AD4" i="172"/>
  <c r="V4" i="172"/>
  <c r="AA3" i="172"/>
  <c r="S3" i="172"/>
  <c r="AF82" i="172"/>
  <c r="AB81" i="172"/>
  <c r="X80" i="172"/>
  <c r="T79" i="172"/>
  <c r="AF74" i="172"/>
  <c r="AB73" i="172"/>
  <c r="X72" i="172"/>
  <c r="T71" i="172"/>
  <c r="AF66" i="172"/>
  <c r="AB65" i="172"/>
  <c r="X64" i="172"/>
  <c r="T63" i="172"/>
  <c r="AF58" i="172"/>
  <c r="AB57" i="172"/>
  <c r="X56" i="172"/>
  <c r="T55" i="172"/>
  <c r="AF50" i="172"/>
  <c r="AB49" i="172"/>
  <c r="X48" i="172"/>
  <c r="T47" i="172"/>
  <c r="X41" i="172"/>
  <c r="AD40" i="172"/>
  <c r="V38" i="172"/>
  <c r="AB37" i="172"/>
  <c r="X36" i="172"/>
  <c r="T35" i="172"/>
  <c r="AF34" i="172"/>
  <c r="AB33" i="172"/>
  <c r="X32" i="172"/>
  <c r="T31" i="172"/>
  <c r="AF30" i="172"/>
  <c r="T30" i="172"/>
  <c r="W29" i="172"/>
  <c r="X28" i="172"/>
  <c r="Z27" i="172"/>
  <c r="AC26" i="172"/>
  <c r="AF25" i="172"/>
  <c r="U24" i="172"/>
  <c r="X23" i="172"/>
  <c r="AA22" i="172"/>
  <c r="AB21" i="172"/>
  <c r="AE20" i="172"/>
  <c r="U20" i="172"/>
  <c r="AA19" i="172"/>
  <c r="W18" i="172"/>
  <c r="AD17" i="172"/>
  <c r="U17" i="172"/>
  <c r="AG16" i="172"/>
  <c r="Y16" i="172"/>
  <c r="AC15" i="172"/>
  <c r="U15" i="172"/>
  <c r="AG14" i="172"/>
  <c r="Y14" i="172"/>
  <c r="AC13" i="172"/>
  <c r="U13" i="172"/>
  <c r="Z12" i="172"/>
  <c r="AD11" i="172"/>
  <c r="V11" i="172"/>
  <c r="Z10" i="172"/>
  <c r="AD9" i="172"/>
  <c r="V9" i="172"/>
  <c r="AA8" i="172"/>
  <c r="S8" i="172"/>
  <c r="AF7" i="172"/>
  <c r="X7" i="172"/>
  <c r="AC6" i="172"/>
  <c r="U6" i="172"/>
  <c r="AG5" i="172"/>
  <c r="Y5" i="172"/>
  <c r="AC4" i="172"/>
  <c r="U4" i="172"/>
  <c r="Z3" i="172"/>
  <c r="AE100" i="160"/>
  <c r="W100" i="160"/>
  <c r="AA99" i="160"/>
  <c r="S99" i="160"/>
  <c r="AE98" i="160"/>
  <c r="W98" i="160"/>
  <c r="AA97" i="160"/>
  <c r="S97" i="160"/>
  <c r="AE96" i="160"/>
  <c r="W96" i="160"/>
  <c r="AA95" i="160"/>
  <c r="S95" i="160"/>
  <c r="AE94" i="160"/>
  <c r="W94" i="160"/>
  <c r="AA93" i="160"/>
  <c r="S93" i="160"/>
  <c r="AE92" i="160"/>
  <c r="W92" i="160"/>
  <c r="AA91" i="160"/>
  <c r="S91" i="160"/>
  <c r="AE90" i="160"/>
  <c r="W90" i="160"/>
  <c r="AA89" i="160"/>
  <c r="S89" i="160"/>
  <c r="AE88" i="160"/>
  <c r="W88" i="160"/>
  <c r="AA87" i="160"/>
  <c r="S87" i="160"/>
  <c r="AE86" i="160"/>
  <c r="W86" i="160"/>
  <c r="AA85" i="160"/>
  <c r="S85" i="160"/>
  <c r="AE84" i="160"/>
  <c r="W84" i="160"/>
  <c r="AA83" i="160"/>
  <c r="S83" i="160"/>
  <c r="AE82" i="160"/>
  <c r="W82" i="160"/>
  <c r="AA81" i="160"/>
  <c r="S81" i="160"/>
  <c r="AE80" i="160"/>
  <c r="W80" i="160"/>
  <c r="AA79" i="160"/>
  <c r="S79" i="160"/>
  <c r="AE78" i="160"/>
  <c r="W78" i="160"/>
  <c r="AA77" i="160"/>
  <c r="S77" i="160"/>
  <c r="AE76" i="160"/>
  <c r="W76" i="160"/>
  <c r="AA75" i="160"/>
  <c r="S75" i="160"/>
  <c r="AE74" i="160"/>
  <c r="W74" i="160"/>
  <c r="AA73" i="160"/>
  <c r="S73" i="160"/>
  <c r="AE72" i="160"/>
  <c r="W72" i="160"/>
  <c r="AA71" i="160"/>
  <c r="S71" i="160"/>
  <c r="AE70" i="160"/>
  <c r="W70" i="160"/>
  <c r="AA69" i="160"/>
  <c r="S69" i="160"/>
  <c r="AE68" i="160"/>
  <c r="W68" i="160"/>
  <c r="AA67" i="160"/>
  <c r="S67" i="160"/>
  <c r="AE66" i="160"/>
  <c r="W66" i="160"/>
  <c r="AA65" i="160"/>
  <c r="S65" i="160"/>
  <c r="AE64" i="160"/>
  <c r="W64" i="160"/>
  <c r="AA63" i="160"/>
  <c r="S63" i="160"/>
  <c r="AE62" i="160"/>
  <c r="W62" i="160"/>
  <c r="AA61" i="160"/>
  <c r="S61" i="160"/>
  <c r="AE60" i="160"/>
  <c r="W60" i="160"/>
  <c r="AA59" i="160"/>
  <c r="S59" i="160"/>
  <c r="AE58" i="160"/>
  <c r="W58" i="160"/>
  <c r="AA57" i="160"/>
  <c r="S57" i="160"/>
  <c r="AE56" i="160"/>
  <c r="W56" i="160"/>
  <c r="AA55" i="160"/>
  <c r="S55" i="160"/>
  <c r="AE54" i="160"/>
  <c r="W54" i="160"/>
  <c r="AA53" i="160"/>
  <c r="S53" i="160"/>
  <c r="AE52" i="160"/>
  <c r="W52" i="160"/>
  <c r="AA51" i="160"/>
  <c r="S51" i="160"/>
  <c r="AE50" i="160"/>
  <c r="W50" i="160"/>
  <c r="AA49" i="160"/>
  <c r="S49" i="160"/>
  <c r="AE48" i="160"/>
  <c r="W48" i="160"/>
  <c r="AA47" i="160"/>
  <c r="S47" i="160"/>
  <c r="AE46" i="160"/>
  <c r="W46" i="160"/>
  <c r="AA45" i="160"/>
  <c r="S45" i="160"/>
  <c r="AE44" i="160"/>
  <c r="W44" i="160"/>
  <c r="AA43" i="160"/>
  <c r="S43" i="160"/>
  <c r="AE42" i="160"/>
  <c r="W42" i="160"/>
  <c r="AA41" i="160"/>
  <c r="S41" i="160"/>
  <c r="AE40" i="160"/>
  <c r="W40" i="160"/>
  <c r="AA39" i="160"/>
  <c r="S39" i="160"/>
  <c r="AE38" i="160"/>
  <c r="W38" i="160"/>
  <c r="AA37" i="160"/>
  <c r="S37" i="160"/>
  <c r="AE36" i="160"/>
  <c r="W36" i="160"/>
  <c r="AA35" i="160"/>
  <c r="S35" i="160"/>
  <c r="AE34" i="160"/>
  <c r="W34" i="160"/>
  <c r="AA33" i="160"/>
  <c r="S33" i="160"/>
  <c r="AE32" i="160"/>
  <c r="W32" i="160"/>
  <c r="AA31" i="160"/>
  <c r="S31" i="160"/>
  <c r="AE30" i="160"/>
  <c r="W30" i="160"/>
  <c r="AA29" i="160"/>
  <c r="S29" i="160"/>
  <c r="AE28" i="160"/>
  <c r="W28" i="160"/>
  <c r="AA27" i="160"/>
  <c r="S27" i="160"/>
  <c r="AD100" i="160"/>
  <c r="V100" i="160"/>
  <c r="Z99" i="160"/>
  <c r="AD98" i="160"/>
  <c r="V98" i="160"/>
  <c r="Z97" i="160"/>
  <c r="AD96" i="160"/>
  <c r="V96" i="160"/>
  <c r="Z95" i="160"/>
  <c r="AD94" i="160"/>
  <c r="V94" i="160"/>
  <c r="Z93" i="160"/>
  <c r="AD92" i="160"/>
  <c r="V92" i="160"/>
  <c r="Z91" i="160"/>
  <c r="AD90" i="160"/>
  <c r="V90" i="160"/>
  <c r="Z89" i="160"/>
  <c r="AD88" i="160"/>
  <c r="V88" i="160"/>
  <c r="Z87" i="160"/>
  <c r="AD86" i="160"/>
  <c r="V86" i="160"/>
  <c r="Z85" i="160"/>
  <c r="AD84" i="160"/>
  <c r="V84" i="160"/>
  <c r="Z83" i="160"/>
  <c r="AD82" i="160"/>
  <c r="V82" i="160"/>
  <c r="Z81" i="160"/>
  <c r="AD80" i="160"/>
  <c r="V80" i="160"/>
  <c r="Z79" i="160"/>
  <c r="AD78" i="160"/>
  <c r="V78" i="160"/>
  <c r="Z77" i="160"/>
  <c r="AD76" i="160"/>
  <c r="V76" i="160"/>
  <c r="Z75" i="160"/>
  <c r="AD74" i="160"/>
  <c r="V74" i="160"/>
  <c r="Z73" i="160"/>
  <c r="AD72" i="160"/>
  <c r="V72" i="160"/>
  <c r="Z71" i="160"/>
  <c r="AD70" i="160"/>
  <c r="V70" i="160"/>
  <c r="Z69" i="160"/>
  <c r="AD68" i="160"/>
  <c r="V68" i="160"/>
  <c r="Z67" i="160"/>
  <c r="AD66" i="160"/>
  <c r="V66" i="160"/>
  <c r="Z65" i="160"/>
  <c r="AD64" i="160"/>
  <c r="V64" i="160"/>
  <c r="Z63" i="160"/>
  <c r="AD62" i="160"/>
  <c r="V62" i="160"/>
  <c r="Z61" i="160"/>
  <c r="AD60" i="160"/>
  <c r="V60" i="160"/>
  <c r="Z59" i="160"/>
  <c r="AD58" i="160"/>
  <c r="V58" i="160"/>
  <c r="Z57" i="160"/>
  <c r="AD56" i="160"/>
  <c r="V56" i="160"/>
  <c r="Z55" i="160"/>
  <c r="AD54" i="160"/>
  <c r="V54" i="160"/>
  <c r="Z53" i="160"/>
  <c r="AD52" i="160"/>
  <c r="V52" i="160"/>
  <c r="Z51" i="160"/>
  <c r="AD50" i="160"/>
  <c r="V50" i="160"/>
  <c r="Z49" i="160"/>
  <c r="AD48" i="160"/>
  <c r="V48" i="160"/>
  <c r="Z47" i="160"/>
  <c r="AD46" i="160"/>
  <c r="V46" i="160"/>
  <c r="Z45" i="160"/>
  <c r="AD44" i="160"/>
  <c r="V44" i="160"/>
  <c r="Z43" i="160"/>
  <c r="AD42" i="160"/>
  <c r="V42" i="160"/>
  <c r="Z41" i="160"/>
  <c r="AD40" i="160"/>
  <c r="V40" i="160"/>
  <c r="Z39" i="160"/>
  <c r="AD38" i="160"/>
  <c r="V38" i="160"/>
  <c r="Z37" i="160"/>
  <c r="AD36" i="160"/>
  <c r="V36" i="160"/>
  <c r="Z35" i="160"/>
  <c r="AD34" i="160"/>
  <c r="V34" i="160"/>
  <c r="Z33" i="160"/>
  <c r="AD32" i="160"/>
  <c r="V32" i="160"/>
  <c r="Z31" i="160"/>
  <c r="AD30" i="160"/>
  <c r="V30" i="160"/>
  <c r="Z29" i="160"/>
  <c r="AC100" i="160"/>
  <c r="U100" i="160"/>
  <c r="AG99" i="160"/>
  <c r="Y99" i="160"/>
  <c r="AC98" i="160"/>
  <c r="U98" i="160"/>
  <c r="AG97" i="160"/>
  <c r="Y97" i="160"/>
  <c r="AC96" i="160"/>
  <c r="U96" i="160"/>
  <c r="AG95" i="160"/>
  <c r="Y95" i="160"/>
  <c r="AC94" i="160"/>
  <c r="U94" i="160"/>
  <c r="AG93" i="160"/>
  <c r="Y93" i="160"/>
  <c r="AC92" i="160"/>
  <c r="U92" i="160"/>
  <c r="AG91" i="160"/>
  <c r="Y91" i="160"/>
  <c r="AC90" i="160"/>
  <c r="U90" i="160"/>
  <c r="AG89" i="160"/>
  <c r="Y89" i="160"/>
  <c r="AC88" i="160"/>
  <c r="U88" i="160"/>
  <c r="AG87" i="160"/>
  <c r="Y87" i="160"/>
  <c r="AC86" i="160"/>
  <c r="U86" i="160"/>
  <c r="AB100" i="160"/>
  <c r="T100" i="160"/>
  <c r="AF99" i="160"/>
  <c r="X99" i="160"/>
  <c r="AB98" i="160"/>
  <c r="T98" i="160"/>
  <c r="AF97" i="160"/>
  <c r="X97" i="160"/>
  <c r="AB96" i="160"/>
  <c r="T96" i="160"/>
  <c r="AF95" i="160"/>
  <c r="X95" i="160"/>
  <c r="AB94" i="160"/>
  <c r="T94" i="160"/>
  <c r="AF93" i="160"/>
  <c r="X93" i="160"/>
  <c r="AB92" i="160"/>
  <c r="T92" i="160"/>
  <c r="AF91" i="160"/>
  <c r="X91" i="160"/>
  <c r="AB90" i="160"/>
  <c r="T90" i="160"/>
  <c r="AF89" i="160"/>
  <c r="X89" i="160"/>
  <c r="AB88" i="160"/>
  <c r="T88" i="160"/>
  <c r="AF87" i="160"/>
  <c r="X87" i="160"/>
  <c r="AB86" i="160"/>
  <c r="T86" i="160"/>
  <c r="AF85" i="160"/>
  <c r="X85" i="160"/>
  <c r="AB84" i="160"/>
  <c r="T84" i="160"/>
  <c r="AF83" i="160"/>
  <c r="X83" i="160"/>
  <c r="AB82" i="160"/>
  <c r="T82" i="160"/>
  <c r="AF81" i="160"/>
  <c r="X81" i="160"/>
  <c r="AB80" i="160"/>
  <c r="T80" i="160"/>
  <c r="AF79" i="160"/>
  <c r="X79" i="160"/>
  <c r="AB78" i="160"/>
  <c r="T78" i="160"/>
  <c r="AF77" i="160"/>
  <c r="X77" i="160"/>
  <c r="AB76" i="160"/>
  <c r="T76" i="160"/>
  <c r="AF75" i="160"/>
  <c r="X75" i="160"/>
  <c r="AB74" i="160"/>
  <c r="T74" i="160"/>
  <c r="AF73" i="160"/>
  <c r="X73" i="160"/>
  <c r="AB72" i="160"/>
  <c r="T72" i="160"/>
  <c r="AF71" i="160"/>
  <c r="X71" i="160"/>
  <c r="AB70" i="160"/>
  <c r="T70" i="160"/>
  <c r="AF69" i="160"/>
  <c r="X69" i="160"/>
  <c r="AB68" i="160"/>
  <c r="T68" i="160"/>
  <c r="AF67" i="160"/>
  <c r="X67" i="160"/>
  <c r="AB66" i="160"/>
  <c r="T66" i="160"/>
  <c r="AF65" i="160"/>
  <c r="X65" i="160"/>
  <c r="AB64" i="160"/>
  <c r="T64" i="160"/>
  <c r="AF63" i="160"/>
  <c r="X63" i="160"/>
  <c r="AB62" i="160"/>
  <c r="T62" i="160"/>
  <c r="AF61" i="160"/>
  <c r="X61" i="160"/>
  <c r="AB60" i="160"/>
  <c r="T60" i="160"/>
  <c r="AF59" i="160"/>
  <c r="X59" i="160"/>
  <c r="AB58" i="160"/>
  <c r="T58" i="160"/>
  <c r="AF57" i="160"/>
  <c r="X57" i="160"/>
  <c r="AB56" i="160"/>
  <c r="T56" i="160"/>
  <c r="AF55" i="160"/>
  <c r="X55" i="160"/>
  <c r="AB54" i="160"/>
  <c r="T54" i="160"/>
  <c r="AF53" i="160"/>
  <c r="X53" i="160"/>
  <c r="AB52" i="160"/>
  <c r="T52" i="160"/>
  <c r="AF51" i="160"/>
  <c r="X51" i="160"/>
  <c r="AB50" i="160"/>
  <c r="T50" i="160"/>
  <c r="AF49" i="160"/>
  <c r="X49" i="160"/>
  <c r="AB48" i="160"/>
  <c r="T48" i="160"/>
  <c r="AF47" i="160"/>
  <c r="X47" i="160"/>
  <c r="AB46" i="160"/>
  <c r="T46" i="160"/>
  <c r="AF45" i="160"/>
  <c r="X45" i="160"/>
  <c r="AB44" i="160"/>
  <c r="T44" i="160"/>
  <c r="AF43" i="160"/>
  <c r="X43" i="160"/>
  <c r="AB42" i="160"/>
  <c r="T42" i="160"/>
  <c r="AF41" i="160"/>
  <c r="X41" i="160"/>
  <c r="AB40" i="160"/>
  <c r="T40" i="160"/>
  <c r="AF39" i="160"/>
  <c r="X39" i="160"/>
  <c r="AB38" i="160"/>
  <c r="T38" i="160"/>
  <c r="AF37" i="160"/>
  <c r="X37" i="160"/>
  <c r="AB36" i="160"/>
  <c r="T36" i="160"/>
  <c r="AF35" i="160"/>
  <c r="X35" i="160"/>
  <c r="AB34" i="160"/>
  <c r="T34" i="160"/>
  <c r="AA100" i="160"/>
  <c r="S100" i="160"/>
  <c r="AE99" i="160"/>
  <c r="W99" i="160"/>
  <c r="AA98" i="160"/>
  <c r="S98" i="160"/>
  <c r="AE97" i="160"/>
  <c r="W97" i="160"/>
  <c r="AA96" i="160"/>
  <c r="S96" i="160"/>
  <c r="AE95" i="160"/>
  <c r="W95" i="160"/>
  <c r="AA94" i="160"/>
  <c r="S94" i="160"/>
  <c r="AE93" i="160"/>
  <c r="W93" i="160"/>
  <c r="AA92" i="160"/>
  <c r="S92" i="160"/>
  <c r="AE91" i="160"/>
  <c r="W91" i="160"/>
  <c r="AA90" i="160"/>
  <c r="S90" i="160"/>
  <c r="AE89" i="160"/>
  <c r="W89" i="160"/>
  <c r="AA88" i="160"/>
  <c r="S88" i="160"/>
  <c r="AE87" i="160"/>
  <c r="W87" i="160"/>
  <c r="AA86" i="160"/>
  <c r="S86" i="160"/>
  <c r="AE85" i="160"/>
  <c r="W85" i="160"/>
  <c r="AA84" i="160"/>
  <c r="S84" i="160"/>
  <c r="AE83" i="160"/>
  <c r="W83" i="160"/>
  <c r="AA82" i="160"/>
  <c r="S82" i="160"/>
  <c r="AE81" i="160"/>
  <c r="W81" i="160"/>
  <c r="AA80" i="160"/>
  <c r="S80" i="160"/>
  <c r="AE79" i="160"/>
  <c r="W79" i="160"/>
  <c r="AA78" i="160"/>
  <c r="S78" i="160"/>
  <c r="AE77" i="160"/>
  <c r="W77" i="160"/>
  <c r="AA76" i="160"/>
  <c r="S76" i="160"/>
  <c r="AE75" i="160"/>
  <c r="W75" i="160"/>
  <c r="AA74" i="160"/>
  <c r="S74" i="160"/>
  <c r="AE73" i="160"/>
  <c r="W73" i="160"/>
  <c r="AA72" i="160"/>
  <c r="S72" i="160"/>
  <c r="AE71" i="160"/>
  <c r="W71" i="160"/>
  <c r="AA70" i="160"/>
  <c r="S70" i="160"/>
  <c r="AE69" i="160"/>
  <c r="W69" i="160"/>
  <c r="AA68" i="160"/>
  <c r="S68" i="160"/>
  <c r="AE67" i="160"/>
  <c r="W67" i="160"/>
  <c r="Z100" i="160"/>
  <c r="AD99" i="160"/>
  <c r="V99" i="160"/>
  <c r="Z98" i="160"/>
  <c r="AD97" i="160"/>
  <c r="V97" i="160"/>
  <c r="Z96" i="160"/>
  <c r="AD95" i="160"/>
  <c r="V95" i="160"/>
  <c r="Z94" i="160"/>
  <c r="AD93" i="160"/>
  <c r="V93" i="160"/>
  <c r="Z92" i="160"/>
  <c r="AD91" i="160"/>
  <c r="V91" i="160"/>
  <c r="Z90" i="160"/>
  <c r="AD89" i="160"/>
  <c r="V89" i="160"/>
  <c r="Z88" i="160"/>
  <c r="AD87" i="160"/>
  <c r="V87" i="160"/>
  <c r="Z86" i="160"/>
  <c r="AD85" i="160"/>
  <c r="V85" i="160"/>
  <c r="Z84" i="160"/>
  <c r="AD83" i="160"/>
  <c r="V83" i="160"/>
  <c r="Z82" i="160"/>
  <c r="AD81" i="160"/>
  <c r="V81" i="160"/>
  <c r="Z80" i="160"/>
  <c r="AD79" i="160"/>
  <c r="V79" i="160"/>
  <c r="Z78" i="160"/>
  <c r="AD77" i="160"/>
  <c r="V77" i="160"/>
  <c r="Z76" i="160"/>
  <c r="AD75" i="160"/>
  <c r="V75" i="160"/>
  <c r="Z74" i="160"/>
  <c r="AD73" i="160"/>
  <c r="V73" i="160"/>
  <c r="Z72" i="160"/>
  <c r="AD71" i="160"/>
  <c r="V71" i="160"/>
  <c r="Z70" i="160"/>
  <c r="AD69" i="160"/>
  <c r="V69" i="160"/>
  <c r="Z68" i="160"/>
  <c r="AD67" i="160"/>
  <c r="V67" i="160"/>
  <c r="Z66" i="160"/>
  <c r="AD65" i="160"/>
  <c r="V65" i="160"/>
  <c r="Z64" i="160"/>
  <c r="AD63" i="160"/>
  <c r="V63" i="160"/>
  <c r="Z62" i="160"/>
  <c r="AD61" i="160"/>
  <c r="V61" i="160"/>
  <c r="Z60" i="160"/>
  <c r="AD59" i="160"/>
  <c r="V59" i="160"/>
  <c r="Z58" i="160"/>
  <c r="AD57" i="160"/>
  <c r="V57" i="160"/>
  <c r="Z56" i="160"/>
  <c r="AD55" i="160"/>
  <c r="V55" i="160"/>
  <c r="Z54" i="160"/>
  <c r="AD53" i="160"/>
  <c r="V53" i="160"/>
  <c r="Z52" i="160"/>
  <c r="AD51" i="160"/>
  <c r="V51" i="160"/>
  <c r="Z50" i="160"/>
  <c r="AD49" i="160"/>
  <c r="V49" i="160"/>
  <c r="Z48" i="160"/>
  <c r="AD47" i="160"/>
  <c r="V47" i="160"/>
  <c r="Z46" i="160"/>
  <c r="AD45" i="160"/>
  <c r="V45" i="160"/>
  <c r="Z44" i="160"/>
  <c r="AD43" i="160"/>
  <c r="V43" i="160"/>
  <c r="Z42" i="160"/>
  <c r="AD41" i="160"/>
  <c r="AG100" i="160"/>
  <c r="Y100" i="160"/>
  <c r="AC99" i="160"/>
  <c r="U99" i="160"/>
  <c r="AG98" i="160"/>
  <c r="Y98" i="160"/>
  <c r="AC97" i="160"/>
  <c r="U97" i="160"/>
  <c r="AG96" i="160"/>
  <c r="Y96" i="160"/>
  <c r="AC95" i="160"/>
  <c r="U95" i="160"/>
  <c r="AG94" i="160"/>
  <c r="Y94" i="160"/>
  <c r="AC93" i="160"/>
  <c r="U93" i="160"/>
  <c r="AG92" i="160"/>
  <c r="Y92" i="160"/>
  <c r="AC91" i="160"/>
  <c r="U91" i="160"/>
  <c r="AG90" i="160"/>
  <c r="Y90" i="160"/>
  <c r="AC89" i="160"/>
  <c r="U89" i="160"/>
  <c r="AG88" i="160"/>
  <c r="Y88" i="160"/>
  <c r="AC87" i="160"/>
  <c r="U87" i="160"/>
  <c r="AG86" i="160"/>
  <c r="Y86" i="160"/>
  <c r="AC85" i="160"/>
  <c r="U85" i="160"/>
  <c r="AG84" i="160"/>
  <c r="Y84" i="160"/>
  <c r="AC83" i="160"/>
  <c r="U83" i="160"/>
  <c r="AG82" i="160"/>
  <c r="Y82" i="160"/>
  <c r="AC81" i="160"/>
  <c r="U81" i="160"/>
  <c r="AG80" i="160"/>
  <c r="Y80" i="160"/>
  <c r="AC79" i="160"/>
  <c r="U79" i="160"/>
  <c r="AG78" i="160"/>
  <c r="Y78" i="160"/>
  <c r="AC77" i="160"/>
  <c r="U77" i="160"/>
  <c r="AG76" i="160"/>
  <c r="Y76" i="160"/>
  <c r="AC75" i="160"/>
  <c r="U75" i="160"/>
  <c r="AG74" i="160"/>
  <c r="Y74" i="160"/>
  <c r="AC73" i="160"/>
  <c r="U73" i="160"/>
  <c r="AG72" i="160"/>
  <c r="Y72" i="160"/>
  <c r="AC71" i="160"/>
  <c r="U71" i="160"/>
  <c r="AG70" i="160"/>
  <c r="Y70" i="160"/>
  <c r="AC69" i="160"/>
  <c r="U69" i="160"/>
  <c r="AG68" i="160"/>
  <c r="Y68" i="160"/>
  <c r="AC67" i="160"/>
  <c r="U67" i="160"/>
  <c r="AG66" i="160"/>
  <c r="Y66" i="160"/>
  <c r="AC65" i="160"/>
  <c r="U65" i="160"/>
  <c r="AG64" i="160"/>
  <c r="Y64" i="160"/>
  <c r="AC63" i="160"/>
  <c r="U63" i="160"/>
  <c r="AG62" i="160"/>
  <c r="Y62" i="160"/>
  <c r="AC61" i="160"/>
  <c r="U61" i="160"/>
  <c r="AG60" i="160"/>
  <c r="Y60" i="160"/>
  <c r="AC59" i="160"/>
  <c r="U59" i="160"/>
  <c r="AG58" i="160"/>
  <c r="Y58" i="160"/>
  <c r="AC57" i="160"/>
  <c r="U57" i="160"/>
  <c r="AG56" i="160"/>
  <c r="Y56" i="160"/>
  <c r="AC55" i="160"/>
  <c r="U55" i="160"/>
  <c r="AG54" i="160"/>
  <c r="Y54" i="160"/>
  <c r="AC53" i="160"/>
  <c r="U53" i="160"/>
  <c r="AG52" i="160"/>
  <c r="Y52" i="160"/>
  <c r="AC51" i="160"/>
  <c r="U51" i="160"/>
  <c r="AG50" i="160"/>
  <c r="Y50" i="160"/>
  <c r="AC49" i="160"/>
  <c r="U49" i="160"/>
  <c r="AG48" i="160"/>
  <c r="Y48" i="160"/>
  <c r="AC47" i="160"/>
  <c r="U47" i="160"/>
  <c r="AG46" i="160"/>
  <c r="Y46" i="160"/>
  <c r="AC45" i="160"/>
  <c r="U45" i="160"/>
  <c r="AG44" i="160"/>
  <c r="Y44" i="160"/>
  <c r="AC43" i="160"/>
  <c r="U43" i="160"/>
  <c r="AG42" i="160"/>
  <c r="Y42" i="160"/>
  <c r="AC41" i="160"/>
  <c r="U41" i="160"/>
  <c r="AG40" i="160"/>
  <c r="Y40" i="160"/>
  <c r="AC39" i="160"/>
  <c r="U39" i="160"/>
  <c r="AG38" i="160"/>
  <c r="Y38" i="160"/>
  <c r="AC37" i="160"/>
  <c r="U37" i="160"/>
  <c r="AG36" i="160"/>
  <c r="Y36" i="160"/>
  <c r="AC35" i="160"/>
  <c r="U35" i="160"/>
  <c r="AG34" i="160"/>
  <c r="Y34" i="160"/>
  <c r="AC33" i="160"/>
  <c r="U33" i="160"/>
  <c r="AG32" i="160"/>
  <c r="Y32" i="160"/>
  <c r="AC31" i="160"/>
  <c r="U31" i="160"/>
  <c r="AG30" i="160"/>
  <c r="Y30" i="160"/>
  <c r="AC29" i="160"/>
  <c r="U29" i="160"/>
  <c r="AG28" i="160"/>
  <c r="Y28" i="160"/>
  <c r="AC27" i="160"/>
  <c r="U27" i="160"/>
  <c r="T99" i="160"/>
  <c r="AF94" i="160"/>
  <c r="X92" i="160"/>
  <c r="AF84" i="160"/>
  <c r="AB83" i="160"/>
  <c r="X82" i="160"/>
  <c r="T81" i="160"/>
  <c r="AF76" i="160"/>
  <c r="AB75" i="160"/>
  <c r="X74" i="160"/>
  <c r="T73" i="160"/>
  <c r="AF68" i="160"/>
  <c r="AB67" i="160"/>
  <c r="AA66" i="160"/>
  <c r="AG65" i="160"/>
  <c r="S64" i="160"/>
  <c r="Y63" i="160"/>
  <c r="AF62" i="160"/>
  <c r="X60" i="160"/>
  <c r="AE59" i="160"/>
  <c r="W57" i="160"/>
  <c r="AC56" i="160"/>
  <c r="U54" i="160"/>
  <c r="AB53" i="160"/>
  <c r="T51" i="160"/>
  <c r="AA50" i="160"/>
  <c r="AG49" i="160"/>
  <c r="S48" i="160"/>
  <c r="Y47" i="160"/>
  <c r="AF46" i="160"/>
  <c r="X44" i="160"/>
  <c r="AE43" i="160"/>
  <c r="W41" i="160"/>
  <c r="S40" i="160"/>
  <c r="AE39" i="160"/>
  <c r="AA38" i="160"/>
  <c r="W37" i="160"/>
  <c r="S36" i="160"/>
  <c r="AE35" i="160"/>
  <c r="AA34" i="160"/>
  <c r="AB33" i="160"/>
  <c r="AC32" i="160"/>
  <c r="AF31" i="160"/>
  <c r="T31" i="160"/>
  <c r="U30" i="160"/>
  <c r="X29" i="160"/>
  <c r="AB28" i="160"/>
  <c r="X27" i="160"/>
  <c r="AG26" i="160"/>
  <c r="Y26" i="160"/>
  <c r="AC25" i="160"/>
  <c r="U25" i="160"/>
  <c r="AG24" i="160"/>
  <c r="Y24" i="160"/>
  <c r="AC23" i="160"/>
  <c r="U23" i="160"/>
  <c r="AG22" i="160"/>
  <c r="Y22" i="160"/>
  <c r="AC21" i="160"/>
  <c r="U21" i="160"/>
  <c r="Z20" i="160"/>
  <c r="AD19" i="160"/>
  <c r="V19" i="160"/>
  <c r="Z18" i="160"/>
  <c r="AD17" i="160"/>
  <c r="V17" i="160"/>
  <c r="Z16" i="160"/>
  <c r="AD15" i="160"/>
  <c r="V15" i="160"/>
  <c r="Z14" i="160"/>
  <c r="AD13" i="160"/>
  <c r="V13" i="160"/>
  <c r="AA12" i="160"/>
  <c r="S12" i="160"/>
  <c r="AE11" i="160"/>
  <c r="W11" i="160"/>
  <c r="AA10" i="160"/>
  <c r="S10" i="160"/>
  <c r="AE9" i="160"/>
  <c r="W9" i="160"/>
  <c r="AB8" i="160"/>
  <c r="T8" i="160"/>
  <c r="AG7" i="160"/>
  <c r="Y7" i="160"/>
  <c r="AD6" i="160"/>
  <c r="V6" i="160"/>
  <c r="Z5" i="160"/>
  <c r="AD4" i="160"/>
  <c r="V4" i="160"/>
  <c r="AA3" i="160"/>
  <c r="S3" i="160"/>
  <c r="AF96" i="160"/>
  <c r="X94" i="160"/>
  <c r="AB87" i="160"/>
  <c r="AG85" i="160"/>
  <c r="AC84" i="160"/>
  <c r="Y83" i="160"/>
  <c r="U82" i="160"/>
  <c r="AG77" i="160"/>
  <c r="AC76" i="160"/>
  <c r="Y75" i="160"/>
  <c r="U74" i="160"/>
  <c r="AG69" i="160"/>
  <c r="AC68" i="160"/>
  <c r="Y67" i="160"/>
  <c r="X66" i="160"/>
  <c r="AE65" i="160"/>
  <c r="W63" i="160"/>
  <c r="AC62" i="160"/>
  <c r="U60" i="160"/>
  <c r="AB59" i="160"/>
  <c r="T57" i="160"/>
  <c r="AA56" i="160"/>
  <c r="AG55" i="160"/>
  <c r="S54" i="160"/>
  <c r="Y53" i="160"/>
  <c r="AF52" i="160"/>
  <c r="X50" i="160"/>
  <c r="AE49" i="160"/>
  <c r="W47" i="160"/>
  <c r="AC46" i="160"/>
  <c r="U44" i="160"/>
  <c r="AB43" i="160"/>
  <c r="V41" i="160"/>
  <c r="AD39" i="160"/>
  <c r="Z38" i="160"/>
  <c r="V37" i="160"/>
  <c r="AD35" i="160"/>
  <c r="Z34" i="160"/>
  <c r="Y33" i="160"/>
  <c r="AB32" i="160"/>
  <c r="AE31" i="160"/>
  <c r="T30" i="160"/>
  <c r="W29" i="160"/>
  <c r="AA28" i="160"/>
  <c r="AG27" i="160"/>
  <c r="W27" i="160"/>
  <c r="AF26" i="160"/>
  <c r="X26" i="160"/>
  <c r="AB25" i="160"/>
  <c r="T25" i="160"/>
  <c r="AF24" i="160"/>
  <c r="X24" i="160"/>
  <c r="AB23" i="160"/>
  <c r="T23" i="160"/>
  <c r="AF22" i="160"/>
  <c r="X22" i="160"/>
  <c r="AB21" i="160"/>
  <c r="T21" i="160"/>
  <c r="AG20" i="160"/>
  <c r="Y20" i="160"/>
  <c r="AC19" i="160"/>
  <c r="U19" i="160"/>
  <c r="AG18" i="160"/>
  <c r="Y18" i="160"/>
  <c r="AC17" i="160"/>
  <c r="U17" i="160"/>
  <c r="AG16" i="160"/>
  <c r="Y16" i="160"/>
  <c r="AC15" i="160"/>
  <c r="U15" i="160"/>
  <c r="AG14" i="160"/>
  <c r="Y14" i="160"/>
  <c r="AC13" i="160"/>
  <c r="U13" i="160"/>
  <c r="Z12" i="160"/>
  <c r="AD11" i="160"/>
  <c r="V11" i="160"/>
  <c r="Z10" i="160"/>
  <c r="AD9" i="160"/>
  <c r="V9" i="160"/>
  <c r="AA8" i="160"/>
  <c r="S8" i="160"/>
  <c r="AF7" i="160"/>
  <c r="X7" i="160"/>
  <c r="AC6" i="160"/>
  <c r="U6" i="160"/>
  <c r="AG5" i="160"/>
  <c r="Y5" i="160"/>
  <c r="AC4" i="160"/>
  <c r="U4" i="160"/>
  <c r="Z3" i="160"/>
  <c r="AF98" i="160"/>
  <c r="X96" i="160"/>
  <c r="AB89" i="160"/>
  <c r="T87" i="160"/>
  <c r="AB85" i="160"/>
  <c r="X84" i="160"/>
  <c r="T83" i="160"/>
  <c r="AF78" i="160"/>
  <c r="AB77" i="160"/>
  <c r="X76" i="160"/>
  <c r="T75" i="160"/>
  <c r="AF70" i="160"/>
  <c r="AB69" i="160"/>
  <c r="X68" i="160"/>
  <c r="T67" i="160"/>
  <c r="U66" i="160"/>
  <c r="AB65" i="160"/>
  <c r="T63" i="160"/>
  <c r="AA62" i="160"/>
  <c r="AG61" i="160"/>
  <c r="S60" i="160"/>
  <c r="Y59" i="160"/>
  <c r="AF58" i="160"/>
  <c r="X56" i="160"/>
  <c r="AE55" i="160"/>
  <c r="W53" i="160"/>
  <c r="AC52" i="160"/>
  <c r="U50" i="160"/>
  <c r="AB49" i="160"/>
  <c r="T47" i="160"/>
  <c r="AA46" i="160"/>
  <c r="AG45" i="160"/>
  <c r="S44" i="160"/>
  <c r="Y43" i="160"/>
  <c r="AF42" i="160"/>
  <c r="T41" i="160"/>
  <c r="AF40" i="160"/>
  <c r="AB39" i="160"/>
  <c r="X38" i="160"/>
  <c r="T37" i="160"/>
  <c r="AF36" i="160"/>
  <c r="AB35" i="160"/>
  <c r="X34" i="160"/>
  <c r="X33" i="160"/>
  <c r="AA32" i="160"/>
  <c r="AD31" i="160"/>
  <c r="AF30" i="160"/>
  <c r="S30" i="160"/>
  <c r="AG29" i="160"/>
  <c r="V29" i="160"/>
  <c r="Z28" i="160"/>
  <c r="AF27" i="160"/>
  <c r="V27" i="160"/>
  <c r="AE26" i="160"/>
  <c r="W26" i="160"/>
  <c r="AA25" i="160"/>
  <c r="S25" i="160"/>
  <c r="AE24" i="160"/>
  <c r="W24" i="160"/>
  <c r="AA23" i="160"/>
  <c r="S23" i="160"/>
  <c r="AE22" i="160"/>
  <c r="W22" i="160"/>
  <c r="AA21" i="160"/>
  <c r="S21" i="160"/>
  <c r="AF20" i="160"/>
  <c r="X20" i="160"/>
  <c r="AB19" i="160"/>
  <c r="T19" i="160"/>
  <c r="AF18" i="160"/>
  <c r="X18" i="160"/>
  <c r="AB17" i="160"/>
  <c r="T17" i="160"/>
  <c r="AF16" i="160"/>
  <c r="X16" i="160"/>
  <c r="AB15" i="160"/>
  <c r="T15" i="160"/>
  <c r="AF14" i="160"/>
  <c r="X14" i="160"/>
  <c r="AB13" i="160"/>
  <c r="T13" i="160"/>
  <c r="AG12" i="160"/>
  <c r="Y12" i="160"/>
  <c r="AC11" i="160"/>
  <c r="U11" i="160"/>
  <c r="AG10" i="160"/>
  <c r="Y10" i="160"/>
  <c r="AC9" i="160"/>
  <c r="U9" i="160"/>
  <c r="Z8" i="160"/>
  <c r="AE7" i="160"/>
  <c r="W7" i="160"/>
  <c r="AB6" i="160"/>
  <c r="T6" i="160"/>
  <c r="AF5" i="160"/>
  <c r="X5" i="160"/>
  <c r="AB4" i="160"/>
  <c r="T4" i="160"/>
  <c r="AG3" i="160"/>
  <c r="Y3" i="160"/>
  <c r="AF100" i="160"/>
  <c r="X98" i="160"/>
  <c r="AB91" i="160"/>
  <c r="T89" i="160"/>
  <c r="Y85" i="160"/>
  <c r="U84" i="160"/>
  <c r="AG79" i="160"/>
  <c r="AC78" i="160"/>
  <c r="Y77" i="160"/>
  <c r="U76" i="160"/>
  <c r="AG71" i="160"/>
  <c r="AC70" i="160"/>
  <c r="Y69" i="160"/>
  <c r="U68" i="160"/>
  <c r="S66" i="160"/>
  <c r="Y65" i="160"/>
  <c r="AF64" i="160"/>
  <c r="X62" i="160"/>
  <c r="AE61" i="160"/>
  <c r="W59" i="160"/>
  <c r="AC58" i="160"/>
  <c r="U56" i="160"/>
  <c r="AB55" i="160"/>
  <c r="T53" i="160"/>
  <c r="AA52" i="160"/>
  <c r="AG51" i="160"/>
  <c r="S50" i="160"/>
  <c r="Y49" i="160"/>
  <c r="AF48" i="160"/>
  <c r="X46" i="160"/>
  <c r="AE45" i="160"/>
  <c r="W43" i="160"/>
  <c r="AC42" i="160"/>
  <c r="AC40" i="160"/>
  <c r="Y39" i="160"/>
  <c r="U38" i="160"/>
  <c r="AG37" i="160"/>
  <c r="AC36" i="160"/>
  <c r="Y35" i="160"/>
  <c r="U34" i="160"/>
  <c r="W33" i="160"/>
  <c r="Z32" i="160"/>
  <c r="AB31" i="160"/>
  <c r="AC30" i="160"/>
  <c r="AF29" i="160"/>
  <c r="T29" i="160"/>
  <c r="X28" i="160"/>
  <c r="AE27" i="160"/>
  <c r="T27" i="160"/>
  <c r="AD26" i="160"/>
  <c r="V26" i="160"/>
  <c r="Z25" i="160"/>
  <c r="AD24" i="160"/>
  <c r="V24" i="160"/>
  <c r="Z23" i="160"/>
  <c r="AD22" i="160"/>
  <c r="V22" i="160"/>
  <c r="Z21" i="160"/>
  <c r="AE20" i="160"/>
  <c r="W20" i="160"/>
  <c r="AA19" i="160"/>
  <c r="S19" i="160"/>
  <c r="AE18" i="160"/>
  <c r="W18" i="160"/>
  <c r="AA17" i="160"/>
  <c r="S17" i="160"/>
  <c r="AE16" i="160"/>
  <c r="W16" i="160"/>
  <c r="AA15" i="160"/>
  <c r="S15" i="160"/>
  <c r="AE14" i="160"/>
  <c r="W14" i="160"/>
  <c r="AA13" i="160"/>
  <c r="S13" i="160"/>
  <c r="AF12" i="160"/>
  <c r="X12" i="160"/>
  <c r="AB11" i="160"/>
  <c r="T11" i="160"/>
  <c r="AF10" i="160"/>
  <c r="X10" i="160"/>
  <c r="AB9" i="160"/>
  <c r="T9" i="160"/>
  <c r="AG8" i="160"/>
  <c r="Y8" i="160"/>
  <c r="AD7" i="160"/>
  <c r="V7" i="160"/>
  <c r="AA6" i="160"/>
  <c r="S6" i="160"/>
  <c r="AE5" i="160"/>
  <c r="W5" i="160"/>
  <c r="AA4" i="160"/>
  <c r="S4" i="160"/>
  <c r="AF3" i="160"/>
  <c r="X3" i="160"/>
  <c r="X100" i="160"/>
  <c r="AB93" i="160"/>
  <c r="T91" i="160"/>
  <c r="AF86" i="160"/>
  <c r="T85" i="160"/>
  <c r="AF80" i="160"/>
  <c r="AB79" i="160"/>
  <c r="X78" i="160"/>
  <c r="T77" i="160"/>
  <c r="AF72" i="160"/>
  <c r="AB71" i="160"/>
  <c r="X70" i="160"/>
  <c r="T69" i="160"/>
  <c r="W65" i="160"/>
  <c r="AC64" i="160"/>
  <c r="U62" i="160"/>
  <c r="AB61" i="160"/>
  <c r="T59" i="160"/>
  <c r="AA58" i="160"/>
  <c r="AG57" i="160"/>
  <c r="S56" i="160"/>
  <c r="Y55" i="160"/>
  <c r="AF54" i="160"/>
  <c r="X52" i="160"/>
  <c r="AE51" i="160"/>
  <c r="W49" i="160"/>
  <c r="AC48" i="160"/>
  <c r="U46" i="160"/>
  <c r="AB45" i="160"/>
  <c r="T43" i="160"/>
  <c r="AA42" i="160"/>
  <c r="AG41" i="160"/>
  <c r="AA40" i="160"/>
  <c r="W39" i="160"/>
  <c r="S38" i="160"/>
  <c r="AE37" i="160"/>
  <c r="AA36" i="160"/>
  <c r="W35" i="160"/>
  <c r="S34" i="160"/>
  <c r="AG33" i="160"/>
  <c r="V33" i="160"/>
  <c r="X32" i="160"/>
  <c r="Y31" i="160"/>
  <c r="AB30" i="160"/>
  <c r="AE29" i="160"/>
  <c r="V28" i="160"/>
  <c r="AD27" i="160"/>
  <c r="AC26" i="160"/>
  <c r="U26" i="160"/>
  <c r="AG25" i="160"/>
  <c r="Y25" i="160"/>
  <c r="AC24" i="160"/>
  <c r="U24" i="160"/>
  <c r="AG23" i="160"/>
  <c r="Y23" i="160"/>
  <c r="AC22" i="160"/>
  <c r="U22" i="160"/>
  <c r="AG21" i="160"/>
  <c r="Y21" i="160"/>
  <c r="AD20" i="160"/>
  <c r="V20" i="160"/>
  <c r="Z19" i="160"/>
  <c r="AD18" i="160"/>
  <c r="V18" i="160"/>
  <c r="Z17" i="160"/>
  <c r="AD16" i="160"/>
  <c r="V16" i="160"/>
  <c r="Z15" i="160"/>
  <c r="AD14" i="160"/>
  <c r="V14" i="160"/>
  <c r="Z13" i="160"/>
  <c r="AE12" i="160"/>
  <c r="W12" i="160"/>
  <c r="AA11" i="160"/>
  <c r="S11" i="160"/>
  <c r="AE10" i="160"/>
  <c r="W10" i="160"/>
  <c r="AA9" i="160"/>
  <c r="S9" i="160"/>
  <c r="AF8" i="160"/>
  <c r="X8" i="160"/>
  <c r="AC7" i="160"/>
  <c r="U7" i="160"/>
  <c r="Z6" i="160"/>
  <c r="AD5" i="160"/>
  <c r="V5" i="160"/>
  <c r="Z4" i="160"/>
  <c r="AE3" i="160"/>
  <c r="W3" i="160"/>
  <c r="AB95" i="160"/>
  <c r="T93" i="160"/>
  <c r="AF88" i="160"/>
  <c r="X86" i="160"/>
  <c r="AG81" i="160"/>
  <c r="AC80" i="160"/>
  <c r="Y79" i="160"/>
  <c r="U78" i="160"/>
  <c r="AG73" i="160"/>
  <c r="AC72" i="160"/>
  <c r="Y71" i="160"/>
  <c r="U70" i="160"/>
  <c r="T65" i="160"/>
  <c r="AA64" i="160"/>
  <c r="AG63" i="160"/>
  <c r="S62" i="160"/>
  <c r="Y61" i="160"/>
  <c r="AF60" i="160"/>
  <c r="X58" i="160"/>
  <c r="AE57" i="160"/>
  <c r="W55" i="160"/>
  <c r="AC54" i="160"/>
  <c r="U52" i="160"/>
  <c r="AB51" i="160"/>
  <c r="T49" i="160"/>
  <c r="AA48" i="160"/>
  <c r="AG47" i="160"/>
  <c r="S46" i="160"/>
  <c r="Y45" i="160"/>
  <c r="AF44" i="160"/>
  <c r="X42" i="160"/>
  <c r="AE41" i="160"/>
  <c r="Z40" i="160"/>
  <c r="V39" i="160"/>
  <c r="AD37" i="160"/>
  <c r="Z36" i="160"/>
  <c r="V35" i="160"/>
  <c r="AF33" i="160"/>
  <c r="T33" i="160"/>
  <c r="U32" i="160"/>
  <c r="X31" i="160"/>
  <c r="AA30" i="160"/>
  <c r="AD29" i="160"/>
  <c r="AF28" i="160"/>
  <c r="U28" i="160"/>
  <c r="AB27" i="160"/>
  <c r="AB26" i="160"/>
  <c r="T26" i="160"/>
  <c r="AF25" i="160"/>
  <c r="X25" i="160"/>
  <c r="AB24" i="160"/>
  <c r="T24" i="160"/>
  <c r="AF23" i="160"/>
  <c r="X23" i="160"/>
  <c r="AB22" i="160"/>
  <c r="T22" i="160"/>
  <c r="AF21" i="160"/>
  <c r="X21" i="160"/>
  <c r="AC20" i="160"/>
  <c r="U20" i="160"/>
  <c r="AG19" i="160"/>
  <c r="Y19" i="160"/>
  <c r="AC18" i="160"/>
  <c r="U18" i="160"/>
  <c r="AG17" i="160"/>
  <c r="Y17" i="160"/>
  <c r="AC16" i="160"/>
  <c r="U16" i="160"/>
  <c r="AG15" i="160"/>
  <c r="Y15" i="160"/>
  <c r="AC14" i="160"/>
  <c r="U14" i="160"/>
  <c r="AG13" i="160"/>
  <c r="Y13" i="160"/>
  <c r="AD12" i="160"/>
  <c r="V12" i="160"/>
  <c r="Z11" i="160"/>
  <c r="AD10" i="160"/>
  <c r="V10" i="160"/>
  <c r="Z9" i="160"/>
  <c r="AE8" i="160"/>
  <c r="W8" i="160"/>
  <c r="AB7" i="160"/>
  <c r="T7" i="160"/>
  <c r="AG6" i="160"/>
  <c r="Y6" i="160"/>
  <c r="AC5" i="160"/>
  <c r="U5" i="160"/>
  <c r="AG4" i="160"/>
  <c r="Y4" i="160"/>
  <c r="AD3" i="160"/>
  <c r="V3" i="160"/>
  <c r="AB97" i="160"/>
  <c r="T95" i="160"/>
  <c r="AF90" i="160"/>
  <c r="X88" i="160"/>
  <c r="AF82" i="160"/>
  <c r="AB81" i="160"/>
  <c r="X80" i="160"/>
  <c r="T79" i="160"/>
  <c r="AF74" i="160"/>
  <c r="AB73" i="160"/>
  <c r="X72" i="160"/>
  <c r="T71" i="160"/>
  <c r="AF66" i="160"/>
  <c r="X64" i="160"/>
  <c r="AE63" i="160"/>
  <c r="W61" i="160"/>
  <c r="AC60" i="160"/>
  <c r="U58" i="160"/>
  <c r="AB57" i="160"/>
  <c r="T55" i="160"/>
  <c r="AA54" i="160"/>
  <c r="AG53" i="160"/>
  <c r="S52" i="160"/>
  <c r="Y51" i="160"/>
  <c r="AF50" i="160"/>
  <c r="X48" i="160"/>
  <c r="AE47" i="160"/>
  <c r="W45" i="160"/>
  <c r="AC44" i="160"/>
  <c r="U42" i="160"/>
  <c r="AB41" i="160"/>
  <c r="X40" i="160"/>
  <c r="T39" i="160"/>
  <c r="AF38" i="160"/>
  <c r="AB37" i="160"/>
  <c r="X36" i="160"/>
  <c r="T35" i="160"/>
  <c r="AF34" i="160"/>
  <c r="AE33" i="160"/>
  <c r="T32" i="160"/>
  <c r="W31" i="160"/>
  <c r="Z30" i="160"/>
  <c r="AB29" i="160"/>
  <c r="AD28" i="160"/>
  <c r="T28" i="160"/>
  <c r="Z27" i="160"/>
  <c r="AA26" i="160"/>
  <c r="S26" i="160"/>
  <c r="AE25" i="160"/>
  <c r="W25" i="160"/>
  <c r="AA24" i="160"/>
  <c r="S24" i="160"/>
  <c r="AE23" i="160"/>
  <c r="W23" i="160"/>
  <c r="AA22" i="160"/>
  <c r="S22" i="160"/>
  <c r="AE21" i="160"/>
  <c r="W21" i="160"/>
  <c r="AB20" i="160"/>
  <c r="T20" i="160"/>
  <c r="AF19" i="160"/>
  <c r="X19" i="160"/>
  <c r="AB18" i="160"/>
  <c r="T18" i="160"/>
  <c r="AF17" i="160"/>
  <c r="X17" i="160"/>
  <c r="AB16" i="160"/>
  <c r="T16" i="160"/>
  <c r="AF15" i="160"/>
  <c r="X15" i="160"/>
  <c r="AB14" i="160"/>
  <c r="T14" i="160"/>
  <c r="AF13" i="160"/>
  <c r="X13" i="160"/>
  <c r="AC12" i="160"/>
  <c r="U12" i="160"/>
  <c r="AG11" i="160"/>
  <c r="Y11" i="160"/>
  <c r="AC10" i="160"/>
  <c r="U10" i="160"/>
  <c r="AG9" i="160"/>
  <c r="Y9" i="160"/>
  <c r="AD8" i="160"/>
  <c r="V8" i="160"/>
  <c r="AA7" i="160"/>
  <c r="S7" i="160"/>
  <c r="AF6" i="160"/>
  <c r="X6" i="160"/>
  <c r="AB5" i="160"/>
  <c r="T5" i="160"/>
  <c r="AF4" i="160"/>
  <c r="X4" i="160"/>
  <c r="AC3" i="160"/>
  <c r="U3" i="160"/>
  <c r="AB99" i="160"/>
  <c r="T97" i="160"/>
  <c r="AF92" i="160"/>
  <c r="X90" i="160"/>
  <c r="AG83" i="160"/>
  <c r="AC82" i="160"/>
  <c r="Y81" i="160"/>
  <c r="U80" i="160"/>
  <c r="AG75" i="160"/>
  <c r="AC74" i="160"/>
  <c r="Y73" i="160"/>
  <c r="U72" i="160"/>
  <c r="AG67" i="160"/>
  <c r="AC66" i="160"/>
  <c r="U64" i="160"/>
  <c r="AB63" i="160"/>
  <c r="T61" i="160"/>
  <c r="AA60" i="160"/>
  <c r="AG59" i="160"/>
  <c r="S58" i="160"/>
  <c r="Y57" i="160"/>
  <c r="AF56" i="160"/>
  <c r="X54" i="160"/>
  <c r="AE53" i="160"/>
  <c r="W51" i="160"/>
  <c r="AC50" i="160"/>
  <c r="U48" i="160"/>
  <c r="AB47" i="160"/>
  <c r="T45" i="160"/>
  <c r="AA44" i="160"/>
  <c r="AG43" i="160"/>
  <c r="S42" i="160"/>
  <c r="Y41" i="160"/>
  <c r="U40" i="160"/>
  <c r="AG39" i="160"/>
  <c r="AC38" i="160"/>
  <c r="Y37" i="160"/>
  <c r="U36" i="160"/>
  <c r="AG35" i="160"/>
  <c r="AC34" i="160"/>
  <c r="AD33" i="160"/>
  <c r="AF32" i="160"/>
  <c r="S32" i="160"/>
  <c r="AG31" i="160"/>
  <c r="V31" i="160"/>
  <c r="X30" i="160"/>
  <c r="Y29" i="160"/>
  <c r="AC28" i="160"/>
  <c r="S28" i="160"/>
  <c r="Y27" i="160"/>
  <c r="Z26" i="160"/>
  <c r="AD25" i="160"/>
  <c r="V25" i="160"/>
  <c r="Z24" i="160"/>
  <c r="AD23" i="160"/>
  <c r="V23" i="160"/>
  <c r="Z22" i="160"/>
  <c r="AD21" i="160"/>
  <c r="V21" i="160"/>
  <c r="AA20" i="160"/>
  <c r="S20" i="160"/>
  <c r="AE19" i="160"/>
  <c r="W19" i="160"/>
  <c r="AA18" i="160"/>
  <c r="S18" i="160"/>
  <c r="AE17" i="160"/>
  <c r="W17" i="160"/>
  <c r="AA16" i="160"/>
  <c r="S16" i="160"/>
  <c r="AE15" i="160"/>
  <c r="W15" i="160"/>
  <c r="AA14" i="160"/>
  <c r="S14" i="160"/>
  <c r="AE13" i="160"/>
  <c r="W13" i="160"/>
  <c r="AB12" i="160"/>
  <c r="T12" i="160"/>
  <c r="AF11" i="160"/>
  <c r="X11" i="160"/>
  <c r="AB10" i="160"/>
  <c r="T10" i="160"/>
  <c r="AF9" i="160"/>
  <c r="X9" i="160"/>
  <c r="AC8" i="160"/>
  <c r="U8" i="160"/>
  <c r="Z7" i="160"/>
  <c r="AE6" i="160"/>
  <c r="W6" i="160"/>
  <c r="AA5" i="160"/>
  <c r="S5" i="160"/>
  <c r="AE4" i="160"/>
  <c r="W4" i="160"/>
  <c r="AB3" i="160"/>
  <c r="T3" i="160"/>
  <c r="N100" i="160"/>
  <c r="F100" i="160"/>
  <c r="J99" i="160"/>
  <c r="N98" i="160"/>
  <c r="F98" i="160"/>
  <c r="J97" i="160"/>
  <c r="N96" i="160"/>
  <c r="F96" i="160"/>
  <c r="J95" i="160"/>
  <c r="N94" i="160"/>
  <c r="F94" i="160"/>
  <c r="J93" i="160"/>
  <c r="N92" i="160"/>
  <c r="F92" i="160"/>
  <c r="J91" i="160"/>
  <c r="N90" i="160"/>
  <c r="F90" i="160"/>
  <c r="J89" i="160"/>
  <c r="N88" i="160"/>
  <c r="F88" i="160"/>
  <c r="J87" i="160"/>
  <c r="N86" i="160"/>
  <c r="F86" i="160"/>
  <c r="J85" i="160"/>
  <c r="N84" i="160"/>
  <c r="F84" i="160"/>
  <c r="J83" i="160"/>
  <c r="N82" i="160"/>
  <c r="F82" i="160"/>
  <c r="J81" i="160"/>
  <c r="N80" i="160"/>
  <c r="F80" i="160"/>
  <c r="J79" i="160"/>
  <c r="N78" i="160"/>
  <c r="F78" i="160"/>
  <c r="J77" i="160"/>
  <c r="N76" i="160"/>
  <c r="F76" i="160"/>
  <c r="J75" i="160"/>
  <c r="N74" i="160"/>
  <c r="F74" i="160"/>
  <c r="J73" i="160"/>
  <c r="N72" i="160"/>
  <c r="F72" i="160"/>
  <c r="J71" i="160"/>
  <c r="N70" i="160"/>
  <c r="F70" i="160"/>
  <c r="J69" i="160"/>
  <c r="N68" i="160"/>
  <c r="F68" i="160"/>
  <c r="J67" i="160"/>
  <c r="N66" i="160"/>
  <c r="F66" i="160"/>
  <c r="J65" i="160"/>
  <c r="N64" i="160"/>
  <c r="F64" i="160"/>
  <c r="J63" i="160"/>
  <c r="N62" i="160"/>
  <c r="F62" i="160"/>
  <c r="J61" i="160"/>
  <c r="N60" i="160"/>
  <c r="F60" i="160"/>
  <c r="J59" i="160"/>
  <c r="N58" i="160"/>
  <c r="F58" i="160"/>
  <c r="J57" i="160"/>
  <c r="N56" i="160"/>
  <c r="F56" i="160"/>
  <c r="J55" i="160"/>
  <c r="N54" i="160"/>
  <c r="F54" i="160"/>
  <c r="J53" i="160"/>
  <c r="N52" i="160"/>
  <c r="F52" i="160"/>
  <c r="J51" i="160"/>
  <c r="N50" i="160"/>
  <c r="F50" i="160"/>
  <c r="J49" i="160"/>
  <c r="N48" i="160"/>
  <c r="F48" i="160"/>
  <c r="J47" i="160"/>
  <c r="N46" i="160"/>
  <c r="F46" i="160"/>
  <c r="J45" i="160"/>
  <c r="N44" i="160"/>
  <c r="F44" i="160"/>
  <c r="J43" i="160"/>
  <c r="N42" i="160"/>
  <c r="F42" i="160"/>
  <c r="J41" i="160"/>
  <c r="N40" i="160"/>
  <c r="F40" i="160"/>
  <c r="J39" i="160"/>
  <c r="N38" i="160"/>
  <c r="F38" i="160"/>
  <c r="J37" i="160"/>
  <c r="N36" i="160"/>
  <c r="F36" i="160"/>
  <c r="J35" i="160"/>
  <c r="N34" i="160"/>
  <c r="F34" i="160"/>
  <c r="J33" i="160"/>
  <c r="N32" i="160"/>
  <c r="F32" i="160"/>
  <c r="J31" i="160"/>
  <c r="N30" i="160"/>
  <c r="F30" i="160"/>
  <c r="J29" i="160"/>
  <c r="N28" i="160"/>
  <c r="F28" i="160"/>
  <c r="M100" i="160"/>
  <c r="E100" i="160"/>
  <c r="Q99" i="160"/>
  <c r="I99" i="160"/>
  <c r="M98" i="160"/>
  <c r="E98" i="160"/>
  <c r="Q97" i="160"/>
  <c r="I97" i="160"/>
  <c r="M96" i="160"/>
  <c r="E96" i="160"/>
  <c r="Q95" i="160"/>
  <c r="I95" i="160"/>
  <c r="M94" i="160"/>
  <c r="E94" i="160"/>
  <c r="Q93" i="160"/>
  <c r="I93" i="160"/>
  <c r="M92" i="160"/>
  <c r="E92" i="160"/>
  <c r="Q91" i="160"/>
  <c r="I91" i="160"/>
  <c r="M90" i="160"/>
  <c r="E90" i="160"/>
  <c r="Q89" i="160"/>
  <c r="I89" i="160"/>
  <c r="M88" i="160"/>
  <c r="E88" i="160"/>
  <c r="Q87" i="160"/>
  <c r="I87" i="160"/>
  <c r="M86" i="160"/>
  <c r="E86" i="160"/>
  <c r="Q85" i="160"/>
  <c r="I85" i="160"/>
  <c r="M84" i="160"/>
  <c r="E84" i="160"/>
  <c r="Q83" i="160"/>
  <c r="I83" i="160"/>
  <c r="M82" i="160"/>
  <c r="E82" i="160"/>
  <c r="Q81" i="160"/>
  <c r="I81" i="160"/>
  <c r="M80" i="160"/>
  <c r="E80" i="160"/>
  <c r="Q79" i="160"/>
  <c r="I79" i="160"/>
  <c r="M78" i="160"/>
  <c r="E78" i="160"/>
  <c r="Q77" i="160"/>
  <c r="I77" i="160"/>
  <c r="M76" i="160"/>
  <c r="E76" i="160"/>
  <c r="Q75" i="160"/>
  <c r="I75" i="160"/>
  <c r="M74" i="160"/>
  <c r="E74" i="160"/>
  <c r="Q73" i="160"/>
  <c r="I73" i="160"/>
  <c r="M72" i="160"/>
  <c r="E72" i="160"/>
  <c r="Q71" i="160"/>
  <c r="I71" i="160"/>
  <c r="M70" i="160"/>
  <c r="E70" i="160"/>
  <c r="Q69" i="160"/>
  <c r="I69" i="160"/>
  <c r="M68" i="160"/>
  <c r="E68" i="160"/>
  <c r="Q67" i="160"/>
  <c r="I67" i="160"/>
  <c r="M66" i="160"/>
  <c r="E66" i="160"/>
  <c r="Q65" i="160"/>
  <c r="I65" i="160"/>
  <c r="M64" i="160"/>
  <c r="E64" i="160"/>
  <c r="Q63" i="160"/>
  <c r="I63" i="160"/>
  <c r="M62" i="160"/>
  <c r="E62" i="160"/>
  <c r="Q61" i="160"/>
  <c r="I61" i="160"/>
  <c r="M60" i="160"/>
  <c r="E60" i="160"/>
  <c r="Q59" i="160"/>
  <c r="I59" i="160"/>
  <c r="M58" i="160"/>
  <c r="E58" i="160"/>
  <c r="Q57" i="160"/>
  <c r="I57" i="160"/>
  <c r="M56" i="160"/>
  <c r="E56" i="160"/>
  <c r="Q55" i="160"/>
  <c r="I55" i="160"/>
  <c r="M54" i="160"/>
  <c r="E54" i="160"/>
  <c r="Q53" i="160"/>
  <c r="I53" i="160"/>
  <c r="M52" i="160"/>
  <c r="E52" i="160"/>
  <c r="Q51" i="160"/>
  <c r="I51" i="160"/>
  <c r="M50" i="160"/>
  <c r="E50" i="160"/>
  <c r="Q49" i="160"/>
  <c r="I49" i="160"/>
  <c r="M48" i="160"/>
  <c r="E48" i="160"/>
  <c r="Q47" i="160"/>
  <c r="I47" i="160"/>
  <c r="M46" i="160"/>
  <c r="E46" i="160"/>
  <c r="Q45" i="160"/>
  <c r="I45" i="160"/>
  <c r="M44" i="160"/>
  <c r="E44" i="160"/>
  <c r="Q43" i="160"/>
  <c r="I43" i="160"/>
  <c r="M42" i="160"/>
  <c r="E42" i="160"/>
  <c r="Q41" i="160"/>
  <c r="I41" i="160"/>
  <c r="M40" i="160"/>
  <c r="E40" i="160"/>
  <c r="Q39" i="160"/>
  <c r="I39" i="160"/>
  <c r="M38" i="160"/>
  <c r="E38" i="160"/>
  <c r="Q37" i="160"/>
  <c r="I37" i="160"/>
  <c r="M36" i="160"/>
  <c r="E36" i="160"/>
  <c r="Q35" i="160"/>
  <c r="I35" i="160"/>
  <c r="M34" i="160"/>
  <c r="E34" i="160"/>
  <c r="Q33" i="160"/>
  <c r="I33" i="160"/>
  <c r="M32" i="160"/>
  <c r="E32" i="160"/>
  <c r="Q31" i="160"/>
  <c r="I31" i="160"/>
  <c r="M30" i="160"/>
  <c r="E30" i="160"/>
  <c r="Q29" i="160"/>
  <c r="I29" i="160"/>
  <c r="L100" i="160"/>
  <c r="P99" i="160"/>
  <c r="H99" i="160"/>
  <c r="L98" i="160"/>
  <c r="P97" i="160"/>
  <c r="H97" i="160"/>
  <c r="L96" i="160"/>
  <c r="P95" i="160"/>
  <c r="H95" i="160"/>
  <c r="L94" i="160"/>
  <c r="P93" i="160"/>
  <c r="H93" i="160"/>
  <c r="L92" i="160"/>
  <c r="P91" i="160"/>
  <c r="H91" i="160"/>
  <c r="L90" i="160"/>
  <c r="P89" i="160"/>
  <c r="H89" i="160"/>
  <c r="L88" i="160"/>
  <c r="P87" i="160"/>
  <c r="H87" i="160"/>
  <c r="K100" i="160"/>
  <c r="O99" i="160"/>
  <c r="G99" i="160"/>
  <c r="K98" i="160"/>
  <c r="O97" i="160"/>
  <c r="G97" i="160"/>
  <c r="K96" i="160"/>
  <c r="O95" i="160"/>
  <c r="G95" i="160"/>
  <c r="K94" i="160"/>
  <c r="O93" i="160"/>
  <c r="G93" i="160"/>
  <c r="K92" i="160"/>
  <c r="O91" i="160"/>
  <c r="G91" i="160"/>
  <c r="K90" i="160"/>
  <c r="O89" i="160"/>
  <c r="G89" i="160"/>
  <c r="K88" i="160"/>
  <c r="O87" i="160"/>
  <c r="G87" i="160"/>
  <c r="K86" i="160"/>
  <c r="O85" i="160"/>
  <c r="G85" i="160"/>
  <c r="K84" i="160"/>
  <c r="O83" i="160"/>
  <c r="G83" i="160"/>
  <c r="K82" i="160"/>
  <c r="O81" i="160"/>
  <c r="G81" i="160"/>
  <c r="K80" i="160"/>
  <c r="O79" i="160"/>
  <c r="G79" i="160"/>
  <c r="K78" i="160"/>
  <c r="O77" i="160"/>
  <c r="G77" i="160"/>
  <c r="K76" i="160"/>
  <c r="O75" i="160"/>
  <c r="G75" i="160"/>
  <c r="K74" i="160"/>
  <c r="O73" i="160"/>
  <c r="G73" i="160"/>
  <c r="K72" i="160"/>
  <c r="O71" i="160"/>
  <c r="G71" i="160"/>
  <c r="K70" i="160"/>
  <c r="O69" i="160"/>
  <c r="G69" i="160"/>
  <c r="K68" i="160"/>
  <c r="O67" i="160"/>
  <c r="G67" i="160"/>
  <c r="K66" i="160"/>
  <c r="O65" i="160"/>
  <c r="G65" i="160"/>
  <c r="K64" i="160"/>
  <c r="O63" i="160"/>
  <c r="G63" i="160"/>
  <c r="K62" i="160"/>
  <c r="O61" i="160"/>
  <c r="G61" i="160"/>
  <c r="K60" i="160"/>
  <c r="O59" i="160"/>
  <c r="G59" i="160"/>
  <c r="K58" i="160"/>
  <c r="O57" i="160"/>
  <c r="G57" i="160"/>
  <c r="K56" i="160"/>
  <c r="O55" i="160"/>
  <c r="G55" i="160"/>
  <c r="K54" i="160"/>
  <c r="O53" i="160"/>
  <c r="G53" i="160"/>
  <c r="K52" i="160"/>
  <c r="O51" i="160"/>
  <c r="G51" i="160"/>
  <c r="K50" i="160"/>
  <c r="O49" i="160"/>
  <c r="G49" i="160"/>
  <c r="K48" i="160"/>
  <c r="O47" i="160"/>
  <c r="G47" i="160"/>
  <c r="K46" i="160"/>
  <c r="O45" i="160"/>
  <c r="G45" i="160"/>
  <c r="K44" i="160"/>
  <c r="O43" i="160"/>
  <c r="G43" i="160"/>
  <c r="K42" i="160"/>
  <c r="O41" i="160"/>
  <c r="G41" i="160"/>
  <c r="K40" i="160"/>
  <c r="O39" i="160"/>
  <c r="G39" i="160"/>
  <c r="K38" i="160"/>
  <c r="O37" i="160"/>
  <c r="G37" i="160"/>
  <c r="K36" i="160"/>
  <c r="O35" i="160"/>
  <c r="G35" i="160"/>
  <c r="J100" i="160"/>
  <c r="N99" i="160"/>
  <c r="F99" i="160"/>
  <c r="J98" i="160"/>
  <c r="N97" i="160"/>
  <c r="F97" i="160"/>
  <c r="J96" i="160"/>
  <c r="N95" i="160"/>
  <c r="F95" i="160"/>
  <c r="J94" i="160"/>
  <c r="N93" i="160"/>
  <c r="F93" i="160"/>
  <c r="J92" i="160"/>
  <c r="N91" i="160"/>
  <c r="F91" i="160"/>
  <c r="J90" i="160"/>
  <c r="N89" i="160"/>
  <c r="F89" i="160"/>
  <c r="J88" i="160"/>
  <c r="N87" i="160"/>
  <c r="F87" i="160"/>
  <c r="J86" i="160"/>
  <c r="N85" i="160"/>
  <c r="F85" i="160"/>
  <c r="J84" i="160"/>
  <c r="N83" i="160"/>
  <c r="F83" i="160"/>
  <c r="J82" i="160"/>
  <c r="N81" i="160"/>
  <c r="F81" i="160"/>
  <c r="J80" i="160"/>
  <c r="N79" i="160"/>
  <c r="F79" i="160"/>
  <c r="J78" i="160"/>
  <c r="N77" i="160"/>
  <c r="F77" i="160"/>
  <c r="J76" i="160"/>
  <c r="N75" i="160"/>
  <c r="F75" i="160"/>
  <c r="J74" i="160"/>
  <c r="N73" i="160"/>
  <c r="F73" i="160"/>
  <c r="J72" i="160"/>
  <c r="N71" i="160"/>
  <c r="F71" i="160"/>
  <c r="J70" i="160"/>
  <c r="N69" i="160"/>
  <c r="F69" i="160"/>
  <c r="J68" i="160"/>
  <c r="N67" i="160"/>
  <c r="F67" i="160"/>
  <c r="Q100" i="160"/>
  <c r="I100" i="160"/>
  <c r="M99" i="160"/>
  <c r="E99" i="160"/>
  <c r="Q98" i="160"/>
  <c r="I98" i="160"/>
  <c r="M97" i="160"/>
  <c r="E97" i="160"/>
  <c r="Q96" i="160"/>
  <c r="I96" i="160"/>
  <c r="M95" i="160"/>
  <c r="E95" i="160"/>
  <c r="Q94" i="160"/>
  <c r="I94" i="160"/>
  <c r="M93" i="160"/>
  <c r="E93" i="160"/>
  <c r="Q92" i="160"/>
  <c r="I92" i="160"/>
  <c r="M91" i="160"/>
  <c r="E91" i="160"/>
  <c r="Q90" i="160"/>
  <c r="I90" i="160"/>
  <c r="M89" i="160"/>
  <c r="E89" i="160"/>
  <c r="Q88" i="160"/>
  <c r="I88" i="160"/>
  <c r="M87" i="160"/>
  <c r="E87" i="160"/>
  <c r="Q86" i="160"/>
  <c r="I86" i="160"/>
  <c r="M85" i="160"/>
  <c r="E85" i="160"/>
  <c r="Q84" i="160"/>
  <c r="I84" i="160"/>
  <c r="M83" i="160"/>
  <c r="E83" i="160"/>
  <c r="Q82" i="160"/>
  <c r="I82" i="160"/>
  <c r="M81" i="160"/>
  <c r="E81" i="160"/>
  <c r="Q80" i="160"/>
  <c r="I80" i="160"/>
  <c r="M79" i="160"/>
  <c r="E79" i="160"/>
  <c r="Q78" i="160"/>
  <c r="I78" i="160"/>
  <c r="M77" i="160"/>
  <c r="E77" i="160"/>
  <c r="Q76" i="160"/>
  <c r="I76" i="160"/>
  <c r="M75" i="160"/>
  <c r="E75" i="160"/>
  <c r="Q74" i="160"/>
  <c r="I74" i="160"/>
  <c r="M73" i="160"/>
  <c r="E73" i="160"/>
  <c r="Q72" i="160"/>
  <c r="I72" i="160"/>
  <c r="M71" i="160"/>
  <c r="E71" i="160"/>
  <c r="Q70" i="160"/>
  <c r="I70" i="160"/>
  <c r="M69" i="160"/>
  <c r="E69" i="160"/>
  <c r="Q68" i="160"/>
  <c r="I68" i="160"/>
  <c r="M67" i="160"/>
  <c r="E67" i="160"/>
  <c r="Q66" i="160"/>
  <c r="I66" i="160"/>
  <c r="M65" i="160"/>
  <c r="E65" i="160"/>
  <c r="Q64" i="160"/>
  <c r="I64" i="160"/>
  <c r="M63" i="160"/>
  <c r="E63" i="160"/>
  <c r="Q62" i="160"/>
  <c r="I62" i="160"/>
  <c r="M61" i="160"/>
  <c r="E61" i="160"/>
  <c r="Q60" i="160"/>
  <c r="I60" i="160"/>
  <c r="M59" i="160"/>
  <c r="E59" i="160"/>
  <c r="Q58" i="160"/>
  <c r="I58" i="160"/>
  <c r="M57" i="160"/>
  <c r="E57" i="160"/>
  <c r="Q56" i="160"/>
  <c r="I56" i="160"/>
  <c r="M55" i="160"/>
  <c r="E55" i="160"/>
  <c r="Q54" i="160"/>
  <c r="I54" i="160"/>
  <c r="M53" i="160"/>
  <c r="E53" i="160"/>
  <c r="Q52" i="160"/>
  <c r="I52" i="160"/>
  <c r="M51" i="160"/>
  <c r="E51" i="160"/>
  <c r="Q50" i="160"/>
  <c r="I50" i="160"/>
  <c r="M49" i="160"/>
  <c r="E49" i="160"/>
  <c r="Q48" i="160"/>
  <c r="I48" i="160"/>
  <c r="M47" i="160"/>
  <c r="E47" i="160"/>
  <c r="Q46" i="160"/>
  <c r="I46" i="160"/>
  <c r="M45" i="160"/>
  <c r="E45" i="160"/>
  <c r="Q44" i="160"/>
  <c r="I44" i="160"/>
  <c r="M43" i="160"/>
  <c r="E43" i="160"/>
  <c r="Q42" i="160"/>
  <c r="I42" i="160"/>
  <c r="P100" i="160"/>
  <c r="H100" i="160"/>
  <c r="L99" i="160"/>
  <c r="P98" i="160"/>
  <c r="H98" i="160"/>
  <c r="L97" i="160"/>
  <c r="P96" i="160"/>
  <c r="H96" i="160"/>
  <c r="L95" i="160"/>
  <c r="P94" i="160"/>
  <c r="H94" i="160"/>
  <c r="L93" i="160"/>
  <c r="P92" i="160"/>
  <c r="H92" i="160"/>
  <c r="L91" i="160"/>
  <c r="P90" i="160"/>
  <c r="H90" i="160"/>
  <c r="L89" i="160"/>
  <c r="P88" i="160"/>
  <c r="H88" i="160"/>
  <c r="L87" i="160"/>
  <c r="P86" i="160"/>
  <c r="H86" i="160"/>
  <c r="L85" i="160"/>
  <c r="P84" i="160"/>
  <c r="H84" i="160"/>
  <c r="L83" i="160"/>
  <c r="P82" i="160"/>
  <c r="H82" i="160"/>
  <c r="L81" i="160"/>
  <c r="P80" i="160"/>
  <c r="H80" i="160"/>
  <c r="L79" i="160"/>
  <c r="P78" i="160"/>
  <c r="H78" i="160"/>
  <c r="L77" i="160"/>
  <c r="P76" i="160"/>
  <c r="H76" i="160"/>
  <c r="L75" i="160"/>
  <c r="P74" i="160"/>
  <c r="H74" i="160"/>
  <c r="L73" i="160"/>
  <c r="P72" i="160"/>
  <c r="H72" i="160"/>
  <c r="L71" i="160"/>
  <c r="P70" i="160"/>
  <c r="H70" i="160"/>
  <c r="L69" i="160"/>
  <c r="P68" i="160"/>
  <c r="H68" i="160"/>
  <c r="L67" i="160"/>
  <c r="P66" i="160"/>
  <c r="H66" i="160"/>
  <c r="L65" i="160"/>
  <c r="P64" i="160"/>
  <c r="H64" i="160"/>
  <c r="L63" i="160"/>
  <c r="P62" i="160"/>
  <c r="H62" i="160"/>
  <c r="L61" i="160"/>
  <c r="P60" i="160"/>
  <c r="H60" i="160"/>
  <c r="L59" i="160"/>
  <c r="P58" i="160"/>
  <c r="H58" i="160"/>
  <c r="L57" i="160"/>
  <c r="P56" i="160"/>
  <c r="H56" i="160"/>
  <c r="L55" i="160"/>
  <c r="P54" i="160"/>
  <c r="H54" i="160"/>
  <c r="L53" i="160"/>
  <c r="P52" i="160"/>
  <c r="H52" i="160"/>
  <c r="L51" i="160"/>
  <c r="P50" i="160"/>
  <c r="H50" i="160"/>
  <c r="L49" i="160"/>
  <c r="P48" i="160"/>
  <c r="H48" i="160"/>
  <c r="L47" i="160"/>
  <c r="P46" i="160"/>
  <c r="H46" i="160"/>
  <c r="L45" i="160"/>
  <c r="P44" i="160"/>
  <c r="H44" i="160"/>
  <c r="L43" i="160"/>
  <c r="P42" i="160"/>
  <c r="H42" i="160"/>
  <c r="L41" i="160"/>
  <c r="P40" i="160"/>
  <c r="H40" i="160"/>
  <c r="L39" i="160"/>
  <c r="P38" i="160"/>
  <c r="H38" i="160"/>
  <c r="L37" i="160"/>
  <c r="P36" i="160"/>
  <c r="H36" i="160"/>
  <c r="L35" i="160"/>
  <c r="P34" i="160"/>
  <c r="H34" i="160"/>
  <c r="L33" i="160"/>
  <c r="P32" i="160"/>
  <c r="H32" i="160"/>
  <c r="L31" i="160"/>
  <c r="P30" i="160"/>
  <c r="H30" i="160"/>
  <c r="L29" i="160"/>
  <c r="P28" i="160"/>
  <c r="H28" i="160"/>
  <c r="L27" i="160"/>
  <c r="K97" i="160"/>
  <c r="O90" i="160"/>
  <c r="G88" i="160"/>
  <c r="G86" i="160"/>
  <c r="O80" i="160"/>
  <c r="K79" i="160"/>
  <c r="G78" i="160"/>
  <c r="O72" i="160"/>
  <c r="K71" i="160"/>
  <c r="G70" i="160"/>
  <c r="K65" i="160"/>
  <c r="J62" i="160"/>
  <c r="P61" i="160"/>
  <c r="H59" i="160"/>
  <c r="O58" i="160"/>
  <c r="G56" i="160"/>
  <c r="N55" i="160"/>
  <c r="F53" i="160"/>
  <c r="L52" i="160"/>
  <c r="K49" i="160"/>
  <c r="J46" i="160"/>
  <c r="P45" i="160"/>
  <c r="H43" i="160"/>
  <c r="O42" i="160"/>
  <c r="F41" i="160"/>
  <c r="N39" i="160"/>
  <c r="J38" i="160"/>
  <c r="F37" i="160"/>
  <c r="N35" i="160"/>
  <c r="K34" i="160"/>
  <c r="N33" i="160"/>
  <c r="Q32" i="160"/>
  <c r="F31" i="160"/>
  <c r="I30" i="160"/>
  <c r="K29" i="160"/>
  <c r="Q28" i="160"/>
  <c r="E28" i="160"/>
  <c r="M27" i="160"/>
  <c r="P26" i="160"/>
  <c r="H26" i="160"/>
  <c r="L25" i="160"/>
  <c r="P24" i="160"/>
  <c r="H24" i="160"/>
  <c r="L23" i="160"/>
  <c r="P22" i="160"/>
  <c r="H22" i="160"/>
  <c r="L21" i="160"/>
  <c r="Q20" i="160"/>
  <c r="I20" i="160"/>
  <c r="M19" i="160"/>
  <c r="E19" i="160"/>
  <c r="Q18" i="160"/>
  <c r="I18" i="160"/>
  <c r="M17" i="160"/>
  <c r="E17" i="160"/>
  <c r="Q16" i="160"/>
  <c r="I16" i="160"/>
  <c r="M15" i="160"/>
  <c r="E15" i="160"/>
  <c r="Q14" i="160"/>
  <c r="I14" i="160"/>
  <c r="M13" i="160"/>
  <c r="E13" i="160"/>
  <c r="J12" i="160"/>
  <c r="N11" i="160"/>
  <c r="F11" i="160"/>
  <c r="J10" i="160"/>
  <c r="N9" i="160"/>
  <c r="F9" i="160"/>
  <c r="K8" i="160"/>
  <c r="P7" i="160"/>
  <c r="H7" i="160"/>
  <c r="M6" i="160"/>
  <c r="E6" i="160"/>
  <c r="Q5" i="160"/>
  <c r="I5" i="160"/>
  <c r="M4" i="160"/>
  <c r="E4" i="160"/>
  <c r="K3" i="160"/>
  <c r="K99" i="160"/>
  <c r="O92" i="160"/>
  <c r="G90" i="160"/>
  <c r="P81" i="160"/>
  <c r="L80" i="160"/>
  <c r="H79" i="160"/>
  <c r="P73" i="160"/>
  <c r="L72" i="160"/>
  <c r="H71" i="160"/>
  <c r="H65" i="160"/>
  <c r="O64" i="160"/>
  <c r="G62" i="160"/>
  <c r="N61" i="160"/>
  <c r="F59" i="160"/>
  <c r="L58" i="160"/>
  <c r="K55" i="160"/>
  <c r="J52" i="160"/>
  <c r="P51" i="160"/>
  <c r="H49" i="160"/>
  <c r="O48" i="160"/>
  <c r="G46" i="160"/>
  <c r="N45" i="160"/>
  <c r="F43" i="160"/>
  <c r="L42" i="160"/>
  <c r="E41" i="160"/>
  <c r="Q40" i="160"/>
  <c r="M39" i="160"/>
  <c r="I38" i="160"/>
  <c r="E37" i="160"/>
  <c r="Q36" i="160"/>
  <c r="M35" i="160"/>
  <c r="J34" i="160"/>
  <c r="M33" i="160"/>
  <c r="O32" i="160"/>
  <c r="P31" i="160"/>
  <c r="E31" i="160"/>
  <c r="G30" i="160"/>
  <c r="H29" i="160"/>
  <c r="O28" i="160"/>
  <c r="K27" i="160"/>
  <c r="O26" i="160"/>
  <c r="G26" i="160"/>
  <c r="K25" i="160"/>
  <c r="O24" i="160"/>
  <c r="G24" i="160"/>
  <c r="K23" i="160"/>
  <c r="O22" i="160"/>
  <c r="G22" i="160"/>
  <c r="K21" i="160"/>
  <c r="P20" i="160"/>
  <c r="H20" i="160"/>
  <c r="L19" i="160"/>
  <c r="P18" i="160"/>
  <c r="H18" i="160"/>
  <c r="L17" i="160"/>
  <c r="P16" i="160"/>
  <c r="H16" i="160"/>
  <c r="L15" i="160"/>
  <c r="P14" i="160"/>
  <c r="H14" i="160"/>
  <c r="L13" i="160"/>
  <c r="Q12" i="160"/>
  <c r="I12" i="160"/>
  <c r="M11" i="160"/>
  <c r="E11" i="160"/>
  <c r="Q10" i="160"/>
  <c r="I10" i="160"/>
  <c r="M9" i="160"/>
  <c r="E9" i="160"/>
  <c r="J8" i="160"/>
  <c r="O7" i="160"/>
  <c r="G7" i="160"/>
  <c r="L6" i="160"/>
  <c r="P5" i="160"/>
  <c r="H5" i="160"/>
  <c r="L4" i="160"/>
  <c r="J3" i="160"/>
  <c r="O94" i="160"/>
  <c r="G92" i="160"/>
  <c r="O82" i="160"/>
  <c r="K81" i="160"/>
  <c r="G80" i="160"/>
  <c r="O74" i="160"/>
  <c r="K73" i="160"/>
  <c r="G72" i="160"/>
  <c r="F65" i="160"/>
  <c r="L64" i="160"/>
  <c r="K61" i="160"/>
  <c r="J58" i="160"/>
  <c r="P57" i="160"/>
  <c r="H55" i="160"/>
  <c r="O54" i="160"/>
  <c r="G52" i="160"/>
  <c r="N51" i="160"/>
  <c r="F49" i="160"/>
  <c r="L48" i="160"/>
  <c r="K45" i="160"/>
  <c r="J42" i="160"/>
  <c r="O40" i="160"/>
  <c r="K39" i="160"/>
  <c r="G38" i="160"/>
  <c r="O36" i="160"/>
  <c r="K35" i="160"/>
  <c r="I34" i="160"/>
  <c r="K33" i="160"/>
  <c r="L32" i="160"/>
  <c r="O31" i="160"/>
  <c r="G29" i="160"/>
  <c r="M28" i="160"/>
  <c r="J27" i="160"/>
  <c r="N26" i="160"/>
  <c r="F26" i="160"/>
  <c r="J25" i="160"/>
  <c r="N24" i="160"/>
  <c r="F24" i="160"/>
  <c r="J23" i="160"/>
  <c r="N22" i="160"/>
  <c r="F22" i="160"/>
  <c r="J21" i="160"/>
  <c r="O20" i="160"/>
  <c r="G20" i="160"/>
  <c r="K19" i="160"/>
  <c r="O18" i="160"/>
  <c r="G18" i="160"/>
  <c r="K17" i="160"/>
  <c r="O16" i="160"/>
  <c r="G16" i="160"/>
  <c r="K15" i="160"/>
  <c r="O14" i="160"/>
  <c r="G14" i="160"/>
  <c r="K13" i="160"/>
  <c r="P12" i="160"/>
  <c r="H12" i="160"/>
  <c r="L11" i="160"/>
  <c r="P10" i="160"/>
  <c r="H10" i="160"/>
  <c r="L9" i="160"/>
  <c r="Q8" i="160"/>
  <c r="I8" i="160"/>
  <c r="N7" i="160"/>
  <c r="F7" i="160"/>
  <c r="K6" i="160"/>
  <c r="O5" i="160"/>
  <c r="G5" i="160"/>
  <c r="K4" i="160"/>
  <c r="Q3" i="160"/>
  <c r="I3" i="160"/>
  <c r="O96" i="160"/>
  <c r="G94" i="160"/>
  <c r="K87" i="160"/>
  <c r="P83" i="160"/>
  <c r="L82" i="160"/>
  <c r="H81" i="160"/>
  <c r="P75" i="160"/>
  <c r="L74" i="160"/>
  <c r="H73" i="160"/>
  <c r="P67" i="160"/>
  <c r="J64" i="160"/>
  <c r="P63" i="160"/>
  <c r="H61" i="160"/>
  <c r="O60" i="160"/>
  <c r="G58" i="160"/>
  <c r="N57" i="160"/>
  <c r="F55" i="160"/>
  <c r="L54" i="160"/>
  <c r="K51" i="160"/>
  <c r="J48" i="160"/>
  <c r="P47" i="160"/>
  <c r="H45" i="160"/>
  <c r="O44" i="160"/>
  <c r="G42" i="160"/>
  <c r="P41" i="160"/>
  <c r="L40" i="160"/>
  <c r="H39" i="160"/>
  <c r="P37" i="160"/>
  <c r="L36" i="160"/>
  <c r="H35" i="160"/>
  <c r="G34" i="160"/>
  <c r="H33" i="160"/>
  <c r="K32" i="160"/>
  <c r="N31" i="160"/>
  <c r="Q30" i="160"/>
  <c r="F29" i="160"/>
  <c r="L28" i="160"/>
  <c r="I27" i="160"/>
  <c r="M26" i="160"/>
  <c r="E26" i="160"/>
  <c r="Q25" i="160"/>
  <c r="I25" i="160"/>
  <c r="M24" i="160"/>
  <c r="E24" i="160"/>
  <c r="Q23" i="160"/>
  <c r="I23" i="160"/>
  <c r="M22" i="160"/>
  <c r="E22" i="160"/>
  <c r="Q21" i="160"/>
  <c r="I21" i="160"/>
  <c r="N20" i="160"/>
  <c r="F20" i="160"/>
  <c r="J19" i="160"/>
  <c r="N18" i="160"/>
  <c r="F18" i="160"/>
  <c r="J17" i="160"/>
  <c r="N16" i="160"/>
  <c r="F16" i="160"/>
  <c r="J15" i="160"/>
  <c r="N14" i="160"/>
  <c r="F14" i="160"/>
  <c r="J13" i="160"/>
  <c r="O12" i="160"/>
  <c r="G12" i="160"/>
  <c r="K11" i="160"/>
  <c r="O10" i="160"/>
  <c r="G10" i="160"/>
  <c r="K9" i="160"/>
  <c r="P8" i="160"/>
  <c r="H8" i="160"/>
  <c r="M7" i="160"/>
  <c r="E7" i="160"/>
  <c r="J6" i="160"/>
  <c r="N5" i="160"/>
  <c r="F5" i="160"/>
  <c r="J4" i="160"/>
  <c r="P3" i="160"/>
  <c r="H3" i="160"/>
  <c r="O98" i="160"/>
  <c r="G96" i="160"/>
  <c r="K89" i="160"/>
  <c r="O84" i="160"/>
  <c r="K83" i="160"/>
  <c r="G82" i="160"/>
  <c r="O76" i="160"/>
  <c r="K75" i="160"/>
  <c r="G74" i="160"/>
  <c r="O68" i="160"/>
  <c r="K67" i="160"/>
  <c r="O66" i="160"/>
  <c r="G64" i="160"/>
  <c r="N63" i="160"/>
  <c r="F61" i="160"/>
  <c r="L60" i="160"/>
  <c r="K57" i="160"/>
  <c r="J54" i="160"/>
  <c r="P53" i="160"/>
  <c r="H51" i="160"/>
  <c r="O50" i="160"/>
  <c r="G48" i="160"/>
  <c r="N47" i="160"/>
  <c r="F45" i="160"/>
  <c r="L44" i="160"/>
  <c r="N41" i="160"/>
  <c r="J40" i="160"/>
  <c r="F39" i="160"/>
  <c r="N37" i="160"/>
  <c r="J36" i="160"/>
  <c r="F35" i="160"/>
  <c r="G33" i="160"/>
  <c r="J32" i="160"/>
  <c r="M31" i="160"/>
  <c r="O30" i="160"/>
  <c r="P29" i="160"/>
  <c r="E29" i="160"/>
  <c r="K28" i="160"/>
  <c r="Q27" i="160"/>
  <c r="H27" i="160"/>
  <c r="L26" i="160"/>
  <c r="P25" i="160"/>
  <c r="H25" i="160"/>
  <c r="L24" i="160"/>
  <c r="P23" i="160"/>
  <c r="H23" i="160"/>
  <c r="L22" i="160"/>
  <c r="P21" i="160"/>
  <c r="H21" i="160"/>
  <c r="M20" i="160"/>
  <c r="E20" i="160"/>
  <c r="Q19" i="160"/>
  <c r="I19" i="160"/>
  <c r="M18" i="160"/>
  <c r="E18" i="160"/>
  <c r="Q17" i="160"/>
  <c r="I17" i="160"/>
  <c r="M16" i="160"/>
  <c r="E16" i="160"/>
  <c r="Q15" i="160"/>
  <c r="I15" i="160"/>
  <c r="M14" i="160"/>
  <c r="E14" i="160"/>
  <c r="Q13" i="160"/>
  <c r="I13" i="160"/>
  <c r="N12" i="160"/>
  <c r="F12" i="160"/>
  <c r="J11" i="160"/>
  <c r="N10" i="160"/>
  <c r="F10" i="160"/>
  <c r="J9" i="160"/>
  <c r="O8" i="160"/>
  <c r="G8" i="160"/>
  <c r="L7" i="160"/>
  <c r="Q6" i="160"/>
  <c r="I6" i="160"/>
  <c r="M5" i="160"/>
  <c r="E5" i="160"/>
  <c r="Q4" i="160"/>
  <c r="I4" i="160"/>
  <c r="O3" i="160"/>
  <c r="G3" i="160"/>
  <c r="O100" i="160"/>
  <c r="G98" i="160"/>
  <c r="K91" i="160"/>
  <c r="P85" i="160"/>
  <c r="L84" i="160"/>
  <c r="H83" i="160"/>
  <c r="P77" i="160"/>
  <c r="L76" i="160"/>
  <c r="H75" i="160"/>
  <c r="P69" i="160"/>
  <c r="L68" i="160"/>
  <c r="H67" i="160"/>
  <c r="L66" i="160"/>
  <c r="K63" i="160"/>
  <c r="J60" i="160"/>
  <c r="P59" i="160"/>
  <c r="H57" i="160"/>
  <c r="O56" i="160"/>
  <c r="G54" i="160"/>
  <c r="N53" i="160"/>
  <c r="F51" i="160"/>
  <c r="L50" i="160"/>
  <c r="K47" i="160"/>
  <c r="J44" i="160"/>
  <c r="P43" i="160"/>
  <c r="M41" i="160"/>
  <c r="I40" i="160"/>
  <c r="E39" i="160"/>
  <c r="Q38" i="160"/>
  <c r="M37" i="160"/>
  <c r="I36" i="160"/>
  <c r="E35" i="160"/>
  <c r="Q34" i="160"/>
  <c r="F33" i="160"/>
  <c r="I32" i="160"/>
  <c r="K31" i="160"/>
  <c r="L30" i="160"/>
  <c r="O29" i="160"/>
  <c r="J28" i="160"/>
  <c r="P27" i="160"/>
  <c r="G27" i="160"/>
  <c r="K26" i="160"/>
  <c r="O25" i="160"/>
  <c r="G25" i="160"/>
  <c r="K24" i="160"/>
  <c r="O23" i="160"/>
  <c r="G23" i="160"/>
  <c r="K22" i="160"/>
  <c r="O21" i="160"/>
  <c r="G21" i="160"/>
  <c r="L20" i="160"/>
  <c r="P19" i="160"/>
  <c r="H19" i="160"/>
  <c r="L18" i="160"/>
  <c r="P17" i="160"/>
  <c r="H17" i="160"/>
  <c r="L16" i="160"/>
  <c r="P15" i="160"/>
  <c r="H15" i="160"/>
  <c r="L14" i="160"/>
  <c r="P13" i="160"/>
  <c r="H13" i="160"/>
  <c r="M12" i="160"/>
  <c r="E12" i="160"/>
  <c r="Q11" i="160"/>
  <c r="I11" i="160"/>
  <c r="M10" i="160"/>
  <c r="E10" i="160"/>
  <c r="Q9" i="160"/>
  <c r="I9" i="160"/>
  <c r="N8" i="160"/>
  <c r="F8" i="160"/>
  <c r="K7" i="160"/>
  <c r="P6" i="160"/>
  <c r="H6" i="160"/>
  <c r="L5" i="160"/>
  <c r="P4" i="160"/>
  <c r="H4" i="160"/>
  <c r="N3" i="160"/>
  <c r="F3" i="160"/>
  <c r="G100" i="160"/>
  <c r="K93" i="160"/>
  <c r="O86" i="160"/>
  <c r="K85" i="160"/>
  <c r="G84" i="160"/>
  <c r="O78" i="160"/>
  <c r="K77" i="160"/>
  <c r="G76" i="160"/>
  <c r="O70" i="160"/>
  <c r="K69" i="160"/>
  <c r="G68" i="160"/>
  <c r="J66" i="160"/>
  <c r="P65" i="160"/>
  <c r="H63" i="160"/>
  <c r="O62" i="160"/>
  <c r="G60" i="160"/>
  <c r="N59" i="160"/>
  <c r="F57" i="160"/>
  <c r="L56" i="160"/>
  <c r="K53" i="160"/>
  <c r="J50" i="160"/>
  <c r="P49" i="160"/>
  <c r="H47" i="160"/>
  <c r="O46" i="160"/>
  <c r="G44" i="160"/>
  <c r="N43" i="160"/>
  <c r="K41" i="160"/>
  <c r="G40" i="160"/>
  <c r="O38" i="160"/>
  <c r="K37" i="160"/>
  <c r="G36" i="160"/>
  <c r="O34" i="160"/>
  <c r="P33" i="160"/>
  <c r="E33" i="160"/>
  <c r="G32" i="160"/>
  <c r="H31" i="160"/>
  <c r="K30" i="160"/>
  <c r="N29" i="160"/>
  <c r="I28" i="160"/>
  <c r="O27" i="160"/>
  <c r="F27" i="160"/>
  <c r="J26" i="160"/>
  <c r="N25" i="160"/>
  <c r="F25" i="160"/>
  <c r="J24" i="160"/>
  <c r="N23" i="160"/>
  <c r="F23" i="160"/>
  <c r="J22" i="160"/>
  <c r="N21" i="160"/>
  <c r="F21" i="160"/>
  <c r="K20" i="160"/>
  <c r="O19" i="160"/>
  <c r="G19" i="160"/>
  <c r="K18" i="160"/>
  <c r="O17" i="160"/>
  <c r="G17" i="160"/>
  <c r="K16" i="160"/>
  <c r="O15" i="160"/>
  <c r="G15" i="160"/>
  <c r="K14" i="160"/>
  <c r="O13" i="160"/>
  <c r="G13" i="160"/>
  <c r="L12" i="160"/>
  <c r="P11" i="160"/>
  <c r="H11" i="160"/>
  <c r="L10" i="160"/>
  <c r="P9" i="160"/>
  <c r="H9" i="160"/>
  <c r="M8" i="160"/>
  <c r="E8" i="160"/>
  <c r="J7" i="160"/>
  <c r="O6" i="160"/>
  <c r="G6" i="160"/>
  <c r="K5" i="160"/>
  <c r="O4" i="160"/>
  <c r="G4" i="160"/>
  <c r="M3" i="160"/>
  <c r="E3" i="160"/>
  <c r="K95" i="160"/>
  <c r="O88" i="160"/>
  <c r="L86" i="160"/>
  <c r="H85" i="160"/>
  <c r="P79" i="160"/>
  <c r="L78" i="160"/>
  <c r="H77" i="160"/>
  <c r="P71" i="160"/>
  <c r="L70" i="160"/>
  <c r="H69" i="160"/>
  <c r="G66" i="160"/>
  <c r="N65" i="160"/>
  <c r="F63" i="160"/>
  <c r="L62" i="160"/>
  <c r="K59" i="160"/>
  <c r="J56" i="160"/>
  <c r="P55" i="160"/>
  <c r="H53" i="160"/>
  <c r="O52" i="160"/>
  <c r="G50" i="160"/>
  <c r="N49" i="160"/>
  <c r="F47" i="160"/>
  <c r="L46" i="160"/>
  <c r="K43" i="160"/>
  <c r="H41" i="160"/>
  <c r="P39" i="160"/>
  <c r="L38" i="160"/>
  <c r="H37" i="160"/>
  <c r="P35" i="160"/>
  <c r="L34" i="160"/>
  <c r="O33" i="160"/>
  <c r="G31" i="160"/>
  <c r="J30" i="160"/>
  <c r="M29" i="160"/>
  <c r="G28" i="160"/>
  <c r="N27" i="160"/>
  <c r="E27" i="160"/>
  <c r="Q26" i="160"/>
  <c r="I26" i="160"/>
  <c r="M25" i="160"/>
  <c r="E25" i="160"/>
  <c r="Q24" i="160"/>
  <c r="I24" i="160"/>
  <c r="M23" i="160"/>
  <c r="E23" i="160"/>
  <c r="Q22" i="160"/>
  <c r="I22" i="160"/>
  <c r="M21" i="160"/>
  <c r="E21" i="160"/>
  <c r="J20" i="160"/>
  <c r="N19" i="160"/>
  <c r="F19" i="160"/>
  <c r="J18" i="160"/>
  <c r="N17" i="160"/>
  <c r="F17" i="160"/>
  <c r="J16" i="160"/>
  <c r="N15" i="160"/>
  <c r="F15" i="160"/>
  <c r="J14" i="160"/>
  <c r="N13" i="160"/>
  <c r="F13" i="160"/>
  <c r="K12" i="160"/>
  <c r="O11" i="160"/>
  <c r="G11" i="160"/>
  <c r="K10" i="160"/>
  <c r="O9" i="160"/>
  <c r="G9" i="160"/>
  <c r="L8" i="160"/>
  <c r="Q7" i="160"/>
  <c r="I7" i="160"/>
  <c r="N6" i="160"/>
  <c r="F6" i="160"/>
  <c r="J5" i="160"/>
  <c r="N4" i="160"/>
  <c r="F4" i="160"/>
  <c r="L3" i="160"/>
  <c r="A10" i="169"/>
  <c r="CP14" i="194"/>
  <c r="A11" i="168"/>
  <c r="A9" i="159"/>
  <c r="A10" i="167"/>
  <c r="F15" i="150"/>
  <c r="F14" i="150"/>
  <c r="G5" i="150" a="1"/>
  <c r="X5" i="150" s="1"/>
  <c r="S3" i="175" a="1"/>
  <c r="C9" i="175"/>
  <c r="AD97" i="175" l="1"/>
  <c r="Z92" i="175"/>
  <c r="V87" i="175"/>
  <c r="AG100" i="175"/>
  <c r="AG96" i="175"/>
  <c r="AG92" i="175"/>
  <c r="AG88" i="175"/>
  <c r="AG84" i="175"/>
  <c r="AB97" i="175"/>
  <c r="AB93" i="175"/>
  <c r="AB89" i="175"/>
  <c r="AB85" i="175"/>
  <c r="W100" i="175"/>
  <c r="W96" i="175"/>
  <c r="W92" i="175"/>
  <c r="W88" i="175"/>
  <c r="W84" i="175"/>
  <c r="W99" i="175"/>
  <c r="W95" i="175"/>
  <c r="W91" i="175"/>
  <c r="U96" i="175"/>
  <c r="U86" i="175"/>
  <c r="AE80" i="175"/>
  <c r="AE76" i="175"/>
  <c r="AE72" i="175"/>
  <c r="AE68" i="175"/>
  <c r="AE64" i="175"/>
  <c r="AE60" i="175"/>
  <c r="AE56" i="175"/>
  <c r="AE52" i="175"/>
  <c r="AF91" i="175"/>
  <c r="AB82" i="175"/>
  <c r="AD76" i="175"/>
  <c r="Z71" i="175"/>
  <c r="V66" i="175"/>
  <c r="AD60" i="175"/>
  <c r="Z55" i="175"/>
  <c r="V50" i="175"/>
  <c r="Z91" i="175"/>
  <c r="AG81" i="175"/>
  <c r="AG77" i="175"/>
  <c r="AG73" i="175"/>
  <c r="AG69" i="175"/>
  <c r="AC100" i="175"/>
  <c r="V88" i="175"/>
  <c r="AB100" i="175"/>
  <c r="AC90" i="175"/>
  <c r="X82" i="175"/>
  <c r="S78" i="175"/>
  <c r="S74" i="175"/>
  <c r="S70" i="175"/>
  <c r="S66" i="175"/>
  <c r="Z99" i="175"/>
  <c r="S88" i="175"/>
  <c r="AC81" i="175"/>
  <c r="AC77" i="175"/>
  <c r="AC73" i="175"/>
  <c r="AC69" i="175"/>
  <c r="AC65" i="175"/>
  <c r="AC61" i="175"/>
  <c r="AF95" i="175"/>
  <c r="AC83" i="175"/>
  <c r="T79" i="175"/>
  <c r="T75" i="175"/>
  <c r="T71" i="175"/>
  <c r="T67" i="175"/>
  <c r="T63" i="175"/>
  <c r="T59" i="175"/>
  <c r="T55" i="175"/>
  <c r="Z74" i="175"/>
  <c r="W59" i="175"/>
  <c r="Y52" i="175"/>
  <c r="AD47" i="175"/>
  <c r="Z42" i="175"/>
  <c r="V37" i="175"/>
  <c r="AD31" i="175"/>
  <c r="Z26" i="175"/>
  <c r="V21" i="175"/>
  <c r="W17" i="175"/>
  <c r="AF69" i="175"/>
  <c r="AG59" i="175"/>
  <c r="X52" i="175"/>
  <c r="Y48" i="175"/>
  <c r="T76" i="175"/>
  <c r="V97" i="175"/>
  <c r="AD91" i="175"/>
  <c r="Z86" i="175"/>
  <c r="Y100" i="175"/>
  <c r="Y96" i="175"/>
  <c r="Y92" i="175"/>
  <c r="Y88" i="175"/>
  <c r="Y84" i="175"/>
  <c r="T97" i="175"/>
  <c r="T93" i="175"/>
  <c r="T89" i="175"/>
  <c r="T85" i="175"/>
  <c r="AA99" i="175"/>
  <c r="AA95" i="175"/>
  <c r="AA91" i="175"/>
  <c r="AA87" i="175"/>
  <c r="AA83" i="175"/>
  <c r="AA98" i="175"/>
  <c r="AA94" i="175"/>
  <c r="AA90" i="175"/>
  <c r="Z95" i="175"/>
  <c r="AG85" i="175"/>
  <c r="W80" i="175"/>
  <c r="W76" i="175"/>
  <c r="W72" i="175"/>
  <c r="W68" i="175"/>
  <c r="W64" i="175"/>
  <c r="W60" i="175"/>
  <c r="W56" i="175"/>
  <c r="W52" i="175"/>
  <c r="X89" i="175"/>
  <c r="Z81" i="175"/>
  <c r="V76" i="175"/>
  <c r="AD70" i="175"/>
  <c r="Z65" i="175"/>
  <c r="V60" i="175"/>
  <c r="AD54" i="175"/>
  <c r="Z49" i="175"/>
  <c r="AB88" i="175"/>
  <c r="Y81" i="175"/>
  <c r="Y77" i="175"/>
  <c r="Y73" i="175"/>
  <c r="Y69" i="175"/>
  <c r="U98" i="175"/>
  <c r="AD86" i="175"/>
  <c r="AG99" i="175"/>
  <c r="U88" i="175"/>
  <c r="AE81" i="175"/>
  <c r="AE77" i="175"/>
  <c r="AE73" i="175"/>
  <c r="AE69" i="175"/>
  <c r="AE65" i="175"/>
  <c r="AB96" i="175"/>
  <c r="AE87" i="175"/>
  <c r="U81" i="175"/>
  <c r="U77" i="175"/>
  <c r="U73" i="175"/>
  <c r="U69" i="175"/>
  <c r="U65" i="175"/>
  <c r="U61" i="175"/>
  <c r="X93" i="175"/>
  <c r="AD82" i="175"/>
  <c r="AF78" i="175"/>
  <c r="AF74" i="175"/>
  <c r="AF70" i="175"/>
  <c r="AF66" i="175"/>
  <c r="AF62" i="175"/>
  <c r="AF58" i="175"/>
  <c r="AF54" i="175"/>
  <c r="V73" i="175"/>
  <c r="Z58" i="175"/>
  <c r="AF51" i="175"/>
  <c r="V47" i="175"/>
  <c r="AD41" i="175"/>
  <c r="Z36" i="175"/>
  <c r="V31" i="175"/>
  <c r="AD25" i="175"/>
  <c r="AA20" i="175"/>
  <c r="AA16" i="175"/>
  <c r="AB68" i="175"/>
  <c r="V59" i="175"/>
  <c r="AE51" i="175"/>
  <c r="V100" i="175"/>
  <c r="AF71" i="175"/>
  <c r="Z96" i="175"/>
  <c r="V91" i="175"/>
  <c r="AD85" i="175"/>
  <c r="AC99" i="175"/>
  <c r="AC95" i="175"/>
  <c r="AC91" i="175"/>
  <c r="AC87" i="175"/>
  <c r="AF100" i="175"/>
  <c r="AF96" i="175"/>
  <c r="AF92" i="175"/>
  <c r="AF88" i="175"/>
  <c r="AF84" i="175"/>
  <c r="S99" i="175"/>
  <c r="S95" i="175"/>
  <c r="S91" i="175"/>
  <c r="S87" i="175"/>
  <c r="S83" i="175"/>
  <c r="S98" i="175"/>
  <c r="S94" i="175"/>
  <c r="S90" i="175"/>
  <c r="AB92" i="175"/>
  <c r="AC84" i="175"/>
  <c r="AA79" i="175"/>
  <c r="AA75" i="175"/>
  <c r="AA71" i="175"/>
  <c r="AA67" i="175"/>
  <c r="AA63" i="175"/>
  <c r="AA59" i="175"/>
  <c r="AA55" i="175"/>
  <c r="AB98" i="175"/>
  <c r="AC88" i="175"/>
  <c r="AD80" i="175"/>
  <c r="Z75" i="175"/>
  <c r="V70" i="175"/>
  <c r="AD64" i="175"/>
  <c r="Z59" i="175"/>
  <c r="V54" i="175"/>
  <c r="AD100" i="175"/>
  <c r="W87" i="175"/>
  <c r="AC80" i="175"/>
  <c r="AC76" i="175"/>
  <c r="AC72" i="175"/>
  <c r="AC68" i="175"/>
  <c r="Z97" i="175"/>
  <c r="Z85" i="175"/>
  <c r="T98" i="175"/>
  <c r="AG87" i="175"/>
  <c r="W81" i="175"/>
  <c r="W77" i="175"/>
  <c r="W73" i="175"/>
  <c r="W69" i="175"/>
  <c r="W65" i="175"/>
  <c r="AG95" i="175"/>
  <c r="AA86" i="175"/>
  <c r="AG80" i="175"/>
  <c r="AG76" i="175"/>
  <c r="AG72" i="175"/>
  <c r="AG68" i="175"/>
  <c r="AG64" i="175"/>
  <c r="AG60" i="175"/>
  <c r="AC92" i="175"/>
  <c r="T82" i="175"/>
  <c r="X78" i="175"/>
  <c r="X74" i="175"/>
  <c r="X70" i="175"/>
  <c r="X66" i="175"/>
  <c r="X62" i="175"/>
  <c r="X58" i="175"/>
  <c r="X54" i="175"/>
  <c r="AD67" i="175"/>
  <c r="AC57" i="175"/>
  <c r="W51" i="175"/>
  <c r="Z46" i="175"/>
  <c r="V41" i="175"/>
  <c r="AD35" i="175"/>
  <c r="Z30" i="175"/>
  <c r="V25" i="175"/>
  <c r="S20" i="175"/>
  <c r="AG89" i="175"/>
  <c r="X67" i="175"/>
  <c r="Y58" i="175"/>
  <c r="V51" i="175"/>
  <c r="U94" i="175"/>
  <c r="AB70" i="175"/>
  <c r="Z98" i="175"/>
  <c r="V93" i="175"/>
  <c r="AD87" i="175"/>
  <c r="Z82" i="175"/>
  <c r="U97" i="175"/>
  <c r="U93" i="175"/>
  <c r="U89" i="175"/>
  <c r="U85" i="175"/>
  <c r="X98" i="175"/>
  <c r="X94" i="175"/>
  <c r="X90" i="175"/>
  <c r="X86" i="175"/>
  <c r="AE100" i="175"/>
  <c r="AE96" i="175"/>
  <c r="AE92" i="175"/>
  <c r="AE88" i="175"/>
  <c r="AE84" i="175"/>
  <c r="AE99" i="175"/>
  <c r="AE95" i="175"/>
  <c r="AE91" i="175"/>
  <c r="AC98" i="175"/>
  <c r="Y87" i="175"/>
  <c r="S81" i="175"/>
  <c r="S77" i="175"/>
  <c r="S73" i="175"/>
  <c r="S69" i="175"/>
  <c r="S65" i="175"/>
  <c r="S61" i="175"/>
  <c r="S57" i="175"/>
  <c r="S53" i="175"/>
  <c r="V92" i="175"/>
  <c r="Y83" i="175"/>
  <c r="Z77" i="175"/>
  <c r="V72" i="175"/>
  <c r="AD66" i="175"/>
  <c r="Z61" i="175"/>
  <c r="V56" i="175"/>
  <c r="AD50" i="175"/>
  <c r="U92" i="175"/>
  <c r="AA82" i="175"/>
  <c r="U78" i="175"/>
  <c r="U74" i="175"/>
  <c r="U70" i="175"/>
  <c r="U66" i="175"/>
  <c r="AD90" i="175"/>
  <c r="X81" i="175"/>
  <c r="X91" i="175"/>
  <c r="U83" i="175"/>
  <c r="AA78" i="175"/>
  <c r="AA74" i="175"/>
  <c r="AA70" i="175"/>
  <c r="AA66" i="175"/>
  <c r="U100" i="175"/>
  <c r="AF89" i="175"/>
  <c r="U82" i="175"/>
  <c r="Y78" i="175"/>
  <c r="Y74" i="175"/>
  <c r="Y70" i="175"/>
  <c r="Y66" i="175"/>
  <c r="Y62" i="175"/>
  <c r="V96" i="175"/>
  <c r="AD84" i="175"/>
  <c r="AB79" i="175"/>
  <c r="AB75" i="175"/>
  <c r="AB71" i="175"/>
  <c r="AB67" i="175"/>
  <c r="AB63" i="175"/>
  <c r="AB59" i="175"/>
  <c r="AB55" i="175"/>
  <c r="AD75" i="175"/>
  <c r="Z60" i="175"/>
  <c r="AC53" i="175"/>
  <c r="Z48" i="175"/>
  <c r="V43" i="175"/>
  <c r="AD37" i="175"/>
  <c r="Z32" i="175"/>
  <c r="V27" i="175"/>
  <c r="AD21" i="175"/>
  <c r="AE17" i="175"/>
  <c r="T74" i="175"/>
  <c r="U60" i="175"/>
  <c r="AB53" i="175"/>
  <c r="AG48" i="175"/>
  <c r="X77" i="175"/>
  <c r="AG63" i="175"/>
  <c r="AD99" i="175"/>
  <c r="V89" i="175"/>
  <c r="Y98" i="175"/>
  <c r="Y90" i="175"/>
  <c r="T99" i="175"/>
  <c r="T91" i="175"/>
  <c r="T83" i="175"/>
  <c r="AA93" i="175"/>
  <c r="AA85" i="175"/>
  <c r="AA96" i="175"/>
  <c r="AA88" i="175"/>
  <c r="S82" i="175"/>
  <c r="W74" i="175"/>
  <c r="W66" i="175"/>
  <c r="W58" i="175"/>
  <c r="Y95" i="175"/>
  <c r="AD78" i="175"/>
  <c r="V68" i="175"/>
  <c r="Z57" i="175"/>
  <c r="X95" i="175"/>
  <c r="Y79" i="175"/>
  <c r="Y71" i="175"/>
  <c r="T92" i="175"/>
  <c r="V94" i="175"/>
  <c r="AE79" i="175"/>
  <c r="AE71" i="175"/>
  <c r="AE63" i="175"/>
  <c r="AE83" i="175"/>
  <c r="U75" i="175"/>
  <c r="U67" i="175"/>
  <c r="Y99" i="175"/>
  <c r="AF80" i="175"/>
  <c r="AF72" i="175"/>
  <c r="AF64" i="175"/>
  <c r="AF56" i="175"/>
  <c r="V63" i="175"/>
  <c r="AG49" i="175"/>
  <c r="V39" i="175"/>
  <c r="Z28" i="175"/>
  <c r="AA18" i="175"/>
  <c r="AC62" i="175"/>
  <c r="AF49" i="175"/>
  <c r="V65" i="175"/>
  <c r="Z56" i="175"/>
  <c r="AC50" i="175"/>
  <c r="AE46" i="175"/>
  <c r="AE42" i="175"/>
  <c r="AE38" i="175"/>
  <c r="AE34" i="175"/>
  <c r="AE30" i="175"/>
  <c r="AE26" i="175"/>
  <c r="AE22" i="175"/>
  <c r="AF18" i="175"/>
  <c r="AD79" i="175"/>
  <c r="Z62" i="175"/>
  <c r="Y55" i="175"/>
  <c r="AB50" i="175"/>
  <c r="V46" i="175"/>
  <c r="AD40" i="175"/>
  <c r="Z35" i="175"/>
  <c r="V30" i="175"/>
  <c r="V79" i="175"/>
  <c r="AF61" i="175"/>
  <c r="AE53" i="175"/>
  <c r="AF47" i="175"/>
  <c r="AF43" i="175"/>
  <c r="AF39" i="175"/>
  <c r="AF35" i="175"/>
  <c r="AF31" i="175"/>
  <c r="AF27" i="175"/>
  <c r="AF23" i="175"/>
  <c r="AG19" i="175"/>
  <c r="AF75" i="175"/>
  <c r="S62" i="175"/>
  <c r="AG55" i="175"/>
  <c r="Y50" i="175"/>
  <c r="AE45" i="175"/>
  <c r="AE41" i="175"/>
  <c r="AE37" i="175"/>
  <c r="AE33" i="175"/>
  <c r="AE29" i="175"/>
  <c r="AE25" i="175"/>
  <c r="AE21" i="175"/>
  <c r="AF17" i="175"/>
  <c r="AF46" i="175"/>
  <c r="AD93" i="175"/>
  <c r="U99" i="175"/>
  <c r="AG90" i="175"/>
  <c r="AF98" i="175"/>
  <c r="X88" i="175"/>
  <c r="W98" i="175"/>
  <c r="AA89" i="175"/>
  <c r="S100" i="175"/>
  <c r="AE89" i="175"/>
  <c r="AC82" i="175"/>
  <c r="AA73" i="175"/>
  <c r="S63" i="175"/>
  <c r="AE54" i="175"/>
  <c r="AF85" i="175"/>
  <c r="AD72" i="175"/>
  <c r="AD58" i="175"/>
  <c r="AF97" i="175"/>
  <c r="AC78" i="175"/>
  <c r="U68" i="175"/>
  <c r="W83" i="175"/>
  <c r="U84" i="175"/>
  <c r="W75" i="175"/>
  <c r="AA64" i="175"/>
  <c r="S84" i="175"/>
  <c r="AG74" i="175"/>
  <c r="Y64" i="175"/>
  <c r="Z89" i="175"/>
  <c r="AF76" i="175"/>
  <c r="X68" i="175"/>
  <c r="AB57" i="175"/>
  <c r="AD65" i="175"/>
  <c r="X49" i="175"/>
  <c r="V35" i="175"/>
  <c r="AD23" i="175"/>
  <c r="AB76" i="175"/>
  <c r="T54" i="175"/>
  <c r="X69" i="175"/>
  <c r="W57" i="175"/>
  <c r="T50" i="175"/>
  <c r="AA45" i="175"/>
  <c r="S41" i="175"/>
  <c r="AE36" i="175"/>
  <c r="W32" i="175"/>
  <c r="AA27" i="175"/>
  <c r="S23" i="175"/>
  <c r="X18" i="175"/>
  <c r="V77" i="175"/>
  <c r="AG58" i="175"/>
  <c r="AC52" i="175"/>
  <c r="V48" i="175"/>
  <c r="V42" i="175"/>
  <c r="V36" i="175"/>
  <c r="Z29" i="175"/>
  <c r="Z72" i="175"/>
  <c r="AB58" i="175"/>
  <c r="Z50" i="175"/>
  <c r="X45" i="175"/>
  <c r="AB40" i="175"/>
  <c r="T36" i="175"/>
  <c r="X31" i="175"/>
  <c r="AB26" i="175"/>
  <c r="T22" i="175"/>
  <c r="AG17" i="175"/>
  <c r="AB66" i="175"/>
  <c r="AG56" i="175"/>
  <c r="X51" i="175"/>
  <c r="W45" i="175"/>
  <c r="AA40" i="175"/>
  <c r="S36" i="175"/>
  <c r="AE31" i="175"/>
  <c r="W27" i="175"/>
  <c r="AA22" i="175"/>
  <c r="T18" i="175"/>
  <c r="X44" i="175"/>
  <c r="Y34" i="175"/>
  <c r="AF24" i="175"/>
  <c r="AG16" i="175"/>
  <c r="AA11" i="175"/>
  <c r="AC7" i="175"/>
  <c r="Z90" i="175"/>
  <c r="AG98" i="175"/>
  <c r="AC89" i="175"/>
  <c r="X96" i="175"/>
  <c r="AB87" i="175"/>
  <c r="AA97" i="175"/>
  <c r="S89" i="175"/>
  <c r="AE97" i="175"/>
  <c r="W89" i="175"/>
  <c r="AA81" i="175"/>
  <c r="S71" i="175"/>
  <c r="AE62" i="175"/>
  <c r="W54" i="175"/>
  <c r="AB84" i="175"/>
  <c r="Z69" i="175"/>
  <c r="V58" i="175"/>
  <c r="AC94" i="175"/>
  <c r="U76" i="175"/>
  <c r="AG67" i="175"/>
  <c r="Y82" i="175"/>
  <c r="AG83" i="175"/>
  <c r="AA72" i="175"/>
  <c r="S64" i="175"/>
  <c r="AG82" i="175"/>
  <c r="Y72" i="175"/>
  <c r="AC63" i="175"/>
  <c r="Z87" i="175"/>
  <c r="X76" i="175"/>
  <c r="AB65" i="175"/>
  <c r="T57" i="175"/>
  <c r="AD61" i="175"/>
  <c r="AD45" i="175"/>
  <c r="Z34" i="175"/>
  <c r="V23" i="175"/>
  <c r="X75" i="175"/>
  <c r="AF50" i="175"/>
  <c r="T68" i="175"/>
  <c r="AC55" i="175"/>
  <c r="AD49" i="175"/>
  <c r="S45" i="175"/>
  <c r="AE40" i="175"/>
  <c r="W36" i="175"/>
  <c r="AA31" i="175"/>
  <c r="S27" i="175"/>
  <c r="W22" i="175"/>
  <c r="AB17" i="175"/>
  <c r="AD71" i="175"/>
  <c r="S58" i="175"/>
  <c r="S52" i="175"/>
  <c r="Z47" i="175"/>
  <c r="Z41" i="175"/>
  <c r="AD34" i="175"/>
  <c r="AD28" i="175"/>
  <c r="V71" i="175"/>
  <c r="AE57" i="175"/>
  <c r="AA49" i="175"/>
  <c r="AB44" i="175"/>
  <c r="T40" i="175"/>
  <c r="X35" i="175"/>
  <c r="AB30" i="175"/>
  <c r="T26" i="175"/>
  <c r="AF21" i="175"/>
  <c r="Y17" i="175"/>
  <c r="AF65" i="175"/>
  <c r="S56" i="175"/>
  <c r="Y49" i="175"/>
  <c r="AA44" i="175"/>
  <c r="S40" i="175"/>
  <c r="AE35" i="175"/>
  <c r="W31" i="175"/>
  <c r="AA26" i="175"/>
  <c r="S22" i="175"/>
  <c r="X17" i="175"/>
  <c r="AC43" i="175"/>
  <c r="AG33" i="175"/>
  <c r="AB23" i="175"/>
  <c r="V16" i="175"/>
  <c r="S11" i="175"/>
  <c r="U7" i="175"/>
  <c r="T70" i="175"/>
  <c r="U44" i="175"/>
  <c r="X34" i="175"/>
  <c r="Z23" i="175"/>
  <c r="AG15" i="175"/>
  <c r="Z11" i="175"/>
  <c r="AD89" i="175"/>
  <c r="AC97" i="175"/>
  <c r="U87" i="175"/>
  <c r="AB95" i="175"/>
  <c r="T87" i="175"/>
  <c r="S97" i="175"/>
  <c r="AE86" i="175"/>
  <c r="W97" i="175"/>
  <c r="X99" i="175"/>
  <c r="S79" i="175"/>
  <c r="AE70" i="175"/>
  <c r="W62" i="175"/>
  <c r="AA53" i="175"/>
  <c r="V80" i="175"/>
  <c r="AD68" i="175"/>
  <c r="AD56" i="175"/>
  <c r="S86" i="175"/>
  <c r="AG75" i="175"/>
  <c r="Y67" i="175"/>
  <c r="AF81" i="175"/>
  <c r="AA80" i="175"/>
  <c r="S72" i="175"/>
  <c r="W63" i="175"/>
  <c r="Y80" i="175"/>
  <c r="AC71" i="175"/>
  <c r="U63" i="175"/>
  <c r="V86" i="175"/>
  <c r="AB73" i="175"/>
  <c r="T65" i="175"/>
  <c r="X56" i="175"/>
  <c r="AC56" i="175"/>
  <c r="V45" i="175"/>
  <c r="AD33" i="175"/>
  <c r="Z22" i="175"/>
  <c r="T66" i="175"/>
  <c r="W50" i="175"/>
  <c r="AB64" i="175"/>
  <c r="AC54" i="175"/>
  <c r="U49" i="175"/>
  <c r="AE44" i="175"/>
  <c r="W40" i="175"/>
  <c r="AA35" i="175"/>
  <c r="S31" i="175"/>
  <c r="W26" i="175"/>
  <c r="AA21" i="175"/>
  <c r="T17" i="175"/>
  <c r="Z70" i="175"/>
  <c r="AG57" i="175"/>
  <c r="AB51" i="175"/>
  <c r="AD46" i="175"/>
  <c r="V40" i="175"/>
  <c r="V34" i="175"/>
  <c r="V28" i="175"/>
  <c r="AG65" i="175"/>
  <c r="T56" i="175"/>
  <c r="AB48" i="175"/>
  <c r="T44" i="175"/>
  <c r="X39" i="175"/>
  <c r="AB34" i="175"/>
  <c r="T30" i="175"/>
  <c r="AF25" i="175"/>
  <c r="X21" i="175"/>
  <c r="X97" i="175"/>
  <c r="X63" i="175"/>
  <c r="V55" i="175"/>
  <c r="AA48" i="175"/>
  <c r="S44" i="175"/>
  <c r="AE39" i="175"/>
  <c r="W35" i="175"/>
  <c r="AA30" i="175"/>
  <c r="S26" i="175"/>
  <c r="W21" i="175"/>
  <c r="AB16" i="175"/>
  <c r="U41" i="175"/>
  <c r="Y31" i="175"/>
  <c r="X22" i="175"/>
  <c r="Z15" i="175"/>
  <c r="AE10" i="175"/>
  <c r="Z6" i="175"/>
  <c r="AC60" i="175"/>
  <c r="AB43" i="175"/>
  <c r="AC33" i="175"/>
  <c r="V22" i="175"/>
  <c r="Y15" i="175"/>
  <c r="AD10" i="175"/>
  <c r="Z94" i="175"/>
  <c r="V83" i="175"/>
  <c r="U91" i="175"/>
  <c r="AB99" i="175"/>
  <c r="AF90" i="175"/>
  <c r="AE98" i="175"/>
  <c r="W90" i="175"/>
  <c r="AA100" i="175"/>
  <c r="S92" i="175"/>
  <c r="Z83" i="175"/>
  <c r="AE74" i="175"/>
  <c r="AA65" i="175"/>
  <c r="S55" i="175"/>
  <c r="T86" i="175"/>
  <c r="Z73" i="175"/>
  <c r="V62" i="175"/>
  <c r="V98" i="175"/>
  <c r="AG79" i="175"/>
  <c r="AC70" i="175"/>
  <c r="V84" i="175"/>
  <c r="Y85" i="175"/>
  <c r="AE75" i="175"/>
  <c r="W67" i="175"/>
  <c r="W85" i="175"/>
  <c r="AC75" i="175"/>
  <c r="AG66" i="175"/>
  <c r="U90" i="175"/>
  <c r="T77" i="175"/>
  <c r="AF68" i="175"/>
  <c r="X60" i="175"/>
  <c r="Z66" i="175"/>
  <c r="X50" i="175"/>
  <c r="Z38" i="175"/>
  <c r="Z24" i="175"/>
  <c r="AF77" i="175"/>
  <c r="AE55" i="175"/>
  <c r="AB78" i="175"/>
  <c r="T58" i="175"/>
  <c r="T51" i="175"/>
  <c r="W46" i="175"/>
  <c r="AA41" i="175"/>
  <c r="S37" i="175"/>
  <c r="AE32" i="175"/>
  <c r="W28" i="175"/>
  <c r="AA23" i="175"/>
  <c r="T19" i="175"/>
  <c r="Z78" i="175"/>
  <c r="AD59" i="175"/>
  <c r="W53" i="175"/>
  <c r="AD48" i="175"/>
  <c r="AD42" i="175"/>
  <c r="AD36" i="175"/>
  <c r="AD30" i="175"/>
  <c r="AD73" i="175"/>
  <c r="Y59" i="175"/>
  <c r="Y51" i="175"/>
  <c r="AF45" i="175"/>
  <c r="X41" i="175"/>
  <c r="AB36" i="175"/>
  <c r="T32" i="175"/>
  <c r="X27" i="175"/>
  <c r="AB22" i="175"/>
  <c r="U18" i="175"/>
  <c r="AF67" i="175"/>
  <c r="AD57" i="175"/>
  <c r="AG51" i="175"/>
  <c r="S46" i="175"/>
  <c r="W41" i="175"/>
  <c r="AA36" i="175"/>
  <c r="S32" i="175"/>
  <c r="AE27" i="175"/>
  <c r="W23" i="175"/>
  <c r="AB18" i="175"/>
  <c r="Y47" i="175"/>
  <c r="T35" i="175"/>
  <c r="T25" i="175"/>
  <c r="U17" i="175"/>
  <c r="W12" i="175"/>
  <c r="X8" i="175"/>
  <c r="W3" i="175"/>
  <c r="U47" i="175"/>
  <c r="Y37" i="175"/>
  <c r="V26" i="175"/>
  <c r="AE16" i="175"/>
  <c r="AD12" i="175"/>
  <c r="Z84" i="175"/>
  <c r="AC85" i="175"/>
  <c r="AB83" i="175"/>
  <c r="AE82" i="175"/>
  <c r="Y89" i="175"/>
  <c r="S67" i="175"/>
  <c r="AD94" i="175"/>
  <c r="Z63" i="175"/>
  <c r="X83" i="175"/>
  <c r="AG93" i="175"/>
  <c r="AA76" i="175"/>
  <c r="AD92" i="175"/>
  <c r="Y68" i="175"/>
  <c r="X80" i="175"/>
  <c r="T61" i="175"/>
  <c r="U54" i="175"/>
  <c r="V29" i="175"/>
  <c r="Y57" i="175"/>
  <c r="S60" i="175"/>
  <c r="AA47" i="175"/>
  <c r="W38" i="175"/>
  <c r="S29" i="175"/>
  <c r="X20" i="175"/>
  <c r="AF63" i="175"/>
  <c r="AC49" i="175"/>
  <c r="V38" i="175"/>
  <c r="V82" i="175"/>
  <c r="U53" i="175"/>
  <c r="T42" i="175"/>
  <c r="X33" i="175"/>
  <c r="T24" i="175"/>
  <c r="X73" i="175"/>
  <c r="T53" i="175"/>
  <c r="AA42" i="175"/>
  <c r="W33" i="175"/>
  <c r="S24" i="175"/>
  <c r="AE50" i="175"/>
  <c r="AC27" i="175"/>
  <c r="Z13" i="175"/>
  <c r="Z4" i="175"/>
  <c r="AG42" i="175"/>
  <c r="AB27" i="175"/>
  <c r="U14" i="175"/>
  <c r="AB7" i="175"/>
  <c r="AD3" i="175"/>
  <c r="AG54" i="175"/>
  <c r="X40" i="175"/>
  <c r="Y30" i="175"/>
  <c r="AG21" i="175"/>
  <c r="AB14" i="175"/>
  <c r="AC10" i="175"/>
  <c r="AF6" i="175"/>
  <c r="T78" i="175"/>
  <c r="U43" i="175"/>
  <c r="Y33" i="175"/>
  <c r="U23" i="175"/>
  <c r="AE15" i="175"/>
  <c r="AF11" i="175"/>
  <c r="Z7" i="175"/>
  <c r="T3" i="175"/>
  <c r="U51" i="175"/>
  <c r="Y39" i="175"/>
  <c r="AG28" i="175"/>
  <c r="Y20" i="175"/>
  <c r="AD13" i="175"/>
  <c r="AE9" i="175"/>
  <c r="Z5" i="175"/>
  <c r="U59" i="175"/>
  <c r="AC44" i="175"/>
  <c r="AF34" i="175"/>
  <c r="AG23" i="175"/>
  <c r="T15" i="175"/>
  <c r="U11" i="175"/>
  <c r="AB6" i="175"/>
  <c r="AB80" i="175"/>
  <c r="AB47" i="175"/>
  <c r="AC37" i="175"/>
  <c r="AG27" i="175"/>
  <c r="Z18" i="175"/>
  <c r="S13" i="175"/>
  <c r="T9" i="175"/>
  <c r="W5" i="175"/>
  <c r="S19" i="175"/>
  <c r="U6" i="175"/>
  <c r="AB52" i="175"/>
  <c r="AD83" i="175"/>
  <c r="X100" i="175"/>
  <c r="AF82" i="175"/>
  <c r="W82" i="175"/>
  <c r="AD88" i="175"/>
  <c r="AE66" i="175"/>
  <c r="X87" i="175"/>
  <c r="AD62" i="175"/>
  <c r="U80" i="175"/>
  <c r="Y91" i="175"/>
  <c r="S76" i="175"/>
  <c r="V90" i="175"/>
  <c r="AC67" i="175"/>
  <c r="AB77" i="175"/>
  <c r="AF60" i="175"/>
  <c r="AG50" i="175"/>
  <c r="AD27" i="175"/>
  <c r="AB56" i="175"/>
  <c r="AE59" i="175"/>
  <c r="S47" i="175"/>
  <c r="AA37" i="175"/>
  <c r="AE28" i="175"/>
  <c r="AB19" i="175"/>
  <c r="V61" i="175"/>
  <c r="T49" i="175"/>
  <c r="Z37" i="175"/>
  <c r="Z80" i="175"/>
  <c r="AA52" i="175"/>
  <c r="AF41" i="175"/>
  <c r="AB32" i="175"/>
  <c r="X23" i="175"/>
  <c r="T72" i="175"/>
  <c r="Z52" i="175"/>
  <c r="S42" i="175"/>
  <c r="AA32" i="175"/>
  <c r="AE23" i="175"/>
  <c r="V49" i="175"/>
  <c r="X26" i="175"/>
  <c r="AE12" i="175"/>
  <c r="AE3" i="175"/>
  <c r="T41" i="175"/>
  <c r="AD24" i="175"/>
  <c r="AG13" i="175"/>
  <c r="T7" i="175"/>
  <c r="V3" i="175"/>
  <c r="AD51" i="175"/>
  <c r="AC39" i="175"/>
  <c r="AG29" i="175"/>
  <c r="AD20" i="175"/>
  <c r="T14" i="175"/>
  <c r="U10" i="175"/>
  <c r="X6" i="175"/>
  <c r="AF73" i="175"/>
  <c r="AC42" i="175"/>
  <c r="AF32" i="175"/>
  <c r="AG22" i="175"/>
  <c r="W15" i="175"/>
  <c r="X11" i="175"/>
  <c r="AE6" i="175"/>
  <c r="T84" i="175"/>
  <c r="AF48" i="175"/>
  <c r="AF38" i="175"/>
  <c r="T27" i="175"/>
  <c r="U19" i="175"/>
  <c r="V13" i="175"/>
  <c r="W9" i="175"/>
  <c r="AD4" i="175"/>
  <c r="X57" i="175"/>
  <c r="U42" i="175"/>
  <c r="X32" i="175"/>
  <c r="AC22" i="175"/>
  <c r="AF14" i="175"/>
  <c r="AG10" i="175"/>
  <c r="T6" i="175"/>
  <c r="X71" i="175"/>
  <c r="AG46" i="175"/>
  <c r="U35" i="175"/>
  <c r="Y26" i="175"/>
  <c r="V17" i="175"/>
  <c r="AF12" i="175"/>
  <c r="AG8" i="175"/>
  <c r="AA4" i="175"/>
  <c r="AC15" i="175"/>
  <c r="Y45" i="175"/>
  <c r="AF44" i="175"/>
  <c r="Z88" i="175"/>
  <c r="AG86" i="175"/>
  <c r="AF86" i="175"/>
  <c r="W86" i="175"/>
  <c r="AG91" i="175"/>
  <c r="W70" i="175"/>
  <c r="AG97" i="175"/>
  <c r="Z67" i="175"/>
  <c r="AE85" i="175"/>
  <c r="AC66" i="175"/>
  <c r="S80" i="175"/>
  <c r="T94" i="175"/>
  <c r="U71" i="175"/>
  <c r="AB81" i="175"/>
  <c r="X64" i="175"/>
  <c r="AF55" i="175"/>
  <c r="V33" i="175"/>
  <c r="Y65" i="175"/>
  <c r="AA62" i="175"/>
  <c r="AE48" i="175"/>
  <c r="AA39" i="175"/>
  <c r="W30" i="175"/>
  <c r="S21" i="175"/>
  <c r="V69" i="175"/>
  <c r="S51" i="175"/>
  <c r="Z39" i="175"/>
  <c r="Z27" i="175"/>
  <c r="W55" i="175"/>
  <c r="X43" i="175"/>
  <c r="T34" i="175"/>
  <c r="X25" i="175"/>
  <c r="T80" i="175"/>
  <c r="Y54" i="175"/>
  <c r="AE43" i="175"/>
  <c r="AA34" i="175"/>
  <c r="W25" i="175"/>
  <c r="V75" i="175"/>
  <c r="AF30" i="175"/>
  <c r="AD14" i="175"/>
  <c r="AD5" i="175"/>
  <c r="S49" i="175"/>
  <c r="AC30" i="175"/>
  <c r="U16" i="175"/>
  <c r="AE8" i="175"/>
  <c r="AG4" i="175"/>
  <c r="U58" i="175"/>
  <c r="Y43" i="175"/>
  <c r="AG32" i="175"/>
  <c r="Y23" i="175"/>
  <c r="AF15" i="175"/>
  <c r="AG11" i="175"/>
  <c r="AA7" i="175"/>
  <c r="AC3" i="175"/>
  <c r="X46" i="175"/>
  <c r="Y36" i="175"/>
  <c r="AC25" i="175"/>
  <c r="AC16" i="175"/>
  <c r="AB12" i="175"/>
  <c r="AC8" i="175"/>
  <c r="W4" i="175"/>
  <c r="S54" i="175"/>
  <c r="Y42" i="175"/>
  <c r="U95" i="175"/>
  <c r="AB91" i="175"/>
  <c r="AE93" i="175"/>
  <c r="AA69" i="175"/>
  <c r="AD74" i="175"/>
  <c r="Y75" i="175"/>
  <c r="AC86" i="175"/>
  <c r="U79" i="175"/>
  <c r="T81" i="175"/>
  <c r="X85" i="175"/>
  <c r="AE19" i="175"/>
  <c r="AF79" i="175"/>
  <c r="AA43" i="175"/>
  <c r="AA29" i="175"/>
  <c r="Z93" i="175"/>
  <c r="Z45" i="175"/>
  <c r="Z31" i="175"/>
  <c r="X47" i="175"/>
  <c r="AF33" i="175"/>
  <c r="Y19" i="175"/>
  <c r="S48" i="175"/>
  <c r="W37" i="175"/>
  <c r="T20" i="175"/>
  <c r="X28" i="175"/>
  <c r="S9" i="175"/>
  <c r="Y40" i="175"/>
  <c r="S17" i="175"/>
  <c r="Y6" i="175"/>
  <c r="AA56" i="175"/>
  <c r="U34" i="175"/>
  <c r="Z19" i="175"/>
  <c r="U12" i="175"/>
  <c r="T5" i="175"/>
  <c r="AC45" i="175"/>
  <c r="U27" i="175"/>
  <c r="AA14" i="175"/>
  <c r="X9" i="175"/>
  <c r="Z68" i="175"/>
  <c r="AG41" i="175"/>
  <c r="AB25" i="175"/>
  <c r="AD15" i="175"/>
  <c r="S10" i="175"/>
  <c r="AA3" i="175"/>
  <c r="X48" i="175"/>
  <c r="Y35" i="175"/>
  <c r="V20" i="175"/>
  <c r="AG12" i="175"/>
  <c r="W7" i="175"/>
  <c r="U57" i="175"/>
  <c r="Y41" i="175"/>
  <c r="Y28" i="175"/>
  <c r="AA15" i="175"/>
  <c r="AF10" i="175"/>
  <c r="AE5" i="175"/>
  <c r="AC6" i="175"/>
  <c r="Z10" i="175"/>
  <c r="Z12" i="175"/>
  <c r="AG61" i="175"/>
  <c r="AG47" i="175"/>
  <c r="AD9" i="175"/>
  <c r="AG94" i="175"/>
  <c r="X84" i="175"/>
  <c r="W93" i="175"/>
  <c r="AA61" i="175"/>
  <c r="V74" i="175"/>
  <c r="AC74" i="175"/>
  <c r="W79" i="175"/>
  <c r="AG78" i="175"/>
  <c r="T73" i="175"/>
  <c r="AD81" i="175"/>
  <c r="W19" i="175"/>
  <c r="W61" i="175"/>
  <c r="S43" i="175"/>
  <c r="AA25" i="175"/>
  <c r="AF87" i="175"/>
  <c r="AD44" i="175"/>
  <c r="AB86" i="175"/>
  <c r="AB46" i="175"/>
  <c r="AF29" i="175"/>
  <c r="AC18" i="175"/>
  <c r="AE47" i="175"/>
  <c r="S34" i="175"/>
  <c r="AF19" i="175"/>
  <c r="T21" i="175"/>
  <c r="AF8" i="175"/>
  <c r="AG39" i="175"/>
  <c r="AC14" i="175"/>
  <c r="AC5" i="175"/>
  <c r="U50" i="175"/>
  <c r="AB33" i="175"/>
  <c r="V18" i="175"/>
  <c r="Y11" i="175"/>
  <c r="AF4" i="175"/>
  <c r="U40" i="175"/>
  <c r="AG26" i="175"/>
  <c r="S14" i="175"/>
  <c r="U8" i="175"/>
  <c r="AC64" i="175"/>
  <c r="X36" i="175"/>
  <c r="X24" i="175"/>
  <c r="V15" i="175"/>
  <c r="AB8" i="175"/>
  <c r="S3" i="175"/>
  <c r="AC47" i="175"/>
  <c r="AC31" i="175"/>
  <c r="AD18" i="175"/>
  <c r="Y12" i="175"/>
  <c r="AF5" i="175"/>
  <c r="X55" i="175"/>
  <c r="AF40" i="175"/>
  <c r="U25" i="175"/>
  <c r="S15" i="175"/>
  <c r="X10" i="175"/>
  <c r="S4" i="175"/>
  <c r="U4" i="175"/>
  <c r="S8" i="175"/>
  <c r="AG5" i="175"/>
  <c r="AC48" i="175"/>
  <c r="AC41" i="175"/>
  <c r="X7" i="175"/>
  <c r="Z100" i="175"/>
  <c r="AC93" i="175"/>
  <c r="W94" i="175"/>
  <c r="T90" i="175"/>
  <c r="AE58" i="175"/>
  <c r="Z53" i="175"/>
  <c r="AG71" i="175"/>
  <c r="AA68" i="175"/>
  <c r="AG70" i="175"/>
  <c r="AB69" i="175"/>
  <c r="Z44" i="175"/>
  <c r="V81" i="175"/>
  <c r="AF52" i="175"/>
  <c r="S39" i="175"/>
  <c r="AE24" i="175"/>
  <c r="V57" i="175"/>
  <c r="Z43" i="175"/>
  <c r="Y63" i="175"/>
  <c r="AB42" i="175"/>
  <c r="AB28" i="175"/>
  <c r="AE61" i="175"/>
  <c r="AA46" i="175"/>
  <c r="W29" i="175"/>
  <c r="Y53" i="175"/>
  <c r="AC19" i="175"/>
  <c r="Y94" i="175"/>
  <c r="AE94" i="175"/>
  <c r="AA92" i="175"/>
  <c r="S59" i="175"/>
  <c r="V64" i="175"/>
  <c r="U72" i="175"/>
  <c r="W71" i="175"/>
  <c r="Y76" i="175"/>
  <c r="X72" i="175"/>
  <c r="U55" i="175"/>
  <c r="S18" i="175"/>
  <c r="X53" i="175"/>
  <c r="W42" i="175"/>
  <c r="S25" i="175"/>
  <c r="Z64" i="175"/>
  <c r="V44" i="175"/>
  <c r="T64" i="175"/>
  <c r="T46" i="175"/>
  <c r="X29" i="175"/>
  <c r="AB74" i="175"/>
  <c r="W47" i="175"/>
  <c r="S30" i="175"/>
  <c r="X19" i="175"/>
  <c r="AG20" i="175"/>
  <c r="V5" i="175"/>
  <c r="AF36" i="175"/>
  <c r="Y13" i="175"/>
  <c r="U5" i="175"/>
  <c r="T47" i="175"/>
  <c r="T31" i="175"/>
  <c r="AD16" i="175"/>
  <c r="AG9" i="175"/>
  <c r="X4" i="175"/>
  <c r="AB39" i="175"/>
  <c r="Y24" i="175"/>
  <c r="AE13" i="175"/>
  <c r="W6" i="175"/>
  <c r="AF59" i="175"/>
  <c r="AC35" i="175"/>
  <c r="T23" i="175"/>
  <c r="Z14" i="175"/>
  <c r="T8" i="175"/>
  <c r="Z76" i="175"/>
  <c r="U45" i="175"/>
  <c r="U29" i="175"/>
  <c r="Z17" i="175"/>
  <c r="AC11" i="175"/>
  <c r="X5" i="175"/>
  <c r="AF53" i="175"/>
  <c r="X38" i="175"/>
  <c r="AG24" i="175"/>
  <c r="AE14" i="175"/>
  <c r="AB9" i="175"/>
  <c r="AF3" i="175"/>
  <c r="AE18" i="175"/>
  <c r="AB72" i="175"/>
  <c r="Z3" i="175"/>
  <c r="X42" i="175"/>
  <c r="AB35" i="175"/>
  <c r="Z25" i="175"/>
  <c r="V85" i="175"/>
  <c r="X92" i="175"/>
  <c r="S96" i="175"/>
  <c r="S75" i="175"/>
  <c r="V78" i="175"/>
  <c r="AA84" i="175"/>
  <c r="AF93" i="175"/>
  <c r="AC79" i="175"/>
  <c r="AD98" i="175"/>
  <c r="AB90" i="175"/>
  <c r="AD29" i="175"/>
  <c r="AF83" i="175"/>
  <c r="W44" i="175"/>
  <c r="S33" i="175"/>
  <c r="AF99" i="175"/>
  <c r="S50" i="175"/>
  <c r="V32" i="175"/>
  <c r="T48" i="175"/>
  <c r="X37" i="175"/>
  <c r="U20" i="175"/>
  <c r="AD53" i="175"/>
  <c r="S38" i="175"/>
  <c r="AB20" i="175"/>
  <c r="AG36" i="175"/>
  <c r="AA9" i="175"/>
  <c r="AC46" i="175"/>
  <c r="W18" i="175"/>
  <c r="AG6" i="175"/>
  <c r="T60" i="175"/>
  <c r="AC36" i="175"/>
  <c r="U22" i="175"/>
  <c r="AC12" i="175"/>
  <c r="AB5" i="175"/>
  <c r="AA51" i="175"/>
  <c r="AC29" i="175"/>
  <c r="S16" i="175"/>
  <c r="AF9" i="175"/>
  <c r="AD77" i="175"/>
  <c r="T43" i="175"/>
  <c r="AF26" i="175"/>
  <c r="Z16" i="175"/>
  <c r="AA10" i="175"/>
  <c r="V4" i="175"/>
  <c r="AE49" i="175"/>
  <c r="AG37" i="175"/>
  <c r="Y21" i="175"/>
  <c r="T13" i="175"/>
  <c r="AE7" i="175"/>
  <c r="AD63" i="175"/>
  <c r="AG43" i="175"/>
  <c r="T29" i="175"/>
  <c r="W16" i="175"/>
  <c r="T11" i="175"/>
  <c r="S6" i="175"/>
  <c r="U13" i="175"/>
  <c r="AD22" i="175"/>
  <c r="AG14" i="175"/>
  <c r="Y5" i="175"/>
  <c r="AC59" i="175"/>
  <c r="AC4" i="175"/>
  <c r="AF94" i="175"/>
  <c r="T96" i="175"/>
  <c r="S68" i="175"/>
  <c r="AC96" i="175"/>
  <c r="AC51" i="175"/>
  <c r="Y56" i="175"/>
  <c r="Z54" i="175"/>
  <c r="X59" i="175"/>
  <c r="AC40" i="175"/>
  <c r="V53" i="175"/>
  <c r="Z9" i="175"/>
  <c r="AF42" i="175"/>
  <c r="AF13" i="175"/>
  <c r="U56" i="175"/>
  <c r="V19" i="175"/>
  <c r="AE4" i="175"/>
  <c r="U30" i="175"/>
  <c r="AE11" i="175"/>
  <c r="AD55" i="175"/>
  <c r="Y25" i="175"/>
  <c r="U9" i="175"/>
  <c r="T45" i="175"/>
  <c r="U21" i="175"/>
  <c r="V7" i="175"/>
  <c r="U39" i="175"/>
  <c r="Y14" i="175"/>
  <c r="AC13" i="175"/>
  <c r="S93" i="175"/>
  <c r="Z79" i="175"/>
  <c r="AE67" i="175"/>
  <c r="AD43" i="175"/>
  <c r="W48" i="175"/>
  <c r="AB54" i="175"/>
  <c r="AB38" i="175"/>
  <c r="AA58" i="175"/>
  <c r="U38" i="175"/>
  <c r="AA50" i="175"/>
  <c r="W8" i="175"/>
  <c r="U37" i="175"/>
  <c r="X13" i="175"/>
  <c r="AA54" i="175"/>
  <c r="AD17" i="175"/>
  <c r="AB3" i="175"/>
  <c r="AB29" i="175"/>
  <c r="W11" i="175"/>
  <c r="U52" i="175"/>
  <c r="U24" i="175"/>
  <c r="Z8" i="175"/>
  <c r="Y44" i="175"/>
  <c r="AD19" i="175"/>
  <c r="AA6" i="175"/>
  <c r="T33" i="175"/>
  <c r="AF7" i="175"/>
  <c r="V11" i="175"/>
  <c r="AD32" i="175"/>
  <c r="AE90" i="175"/>
  <c r="AD52" i="175"/>
  <c r="Y93" i="175"/>
  <c r="Z40" i="175"/>
  <c r="S35" i="175"/>
  <c r="AG53" i="175"/>
  <c r="T38" i="175"/>
  <c r="W43" i="175"/>
  <c r="AB37" i="175"/>
  <c r="U31" i="175"/>
  <c r="Y4" i="175"/>
  <c r="Y27" i="175"/>
  <c r="Y9" i="175"/>
  <c r="AG38" i="175"/>
  <c r="W13" i="175"/>
  <c r="AG52" i="175"/>
  <c r="AF22" i="175"/>
  <c r="AG7" i="175"/>
  <c r="AB41" i="175"/>
  <c r="X16" i="175"/>
  <c r="AB4" i="175"/>
  <c r="AC34" i="175"/>
  <c r="W14" i="175"/>
  <c r="X3" i="175"/>
  <c r="AC38" i="175"/>
  <c r="U36" i="175"/>
  <c r="Y16" i="175"/>
  <c r="V99" i="175"/>
  <c r="S85" i="175"/>
  <c r="V52" i="175"/>
  <c r="AG62" i="175"/>
  <c r="AD39" i="175"/>
  <c r="W34" i="175"/>
  <c r="AD38" i="175"/>
  <c r="AF37" i="175"/>
  <c r="W39" i="175"/>
  <c r="Y18" i="175"/>
  <c r="U28" i="175"/>
  <c r="AD69" i="175"/>
  <c r="U26" i="175"/>
  <c r="AD8" i="175"/>
  <c r="T37" i="175"/>
  <c r="T12" i="175"/>
  <c r="U46" i="175"/>
  <c r="AB21" i="175"/>
  <c r="Y7" i="175"/>
  <c r="AG40" i="175"/>
  <c r="AB15" i="175"/>
  <c r="T4" i="175"/>
  <c r="U32" i="175"/>
  <c r="AA13" i="175"/>
  <c r="AF57" i="175"/>
  <c r="Y32" i="175"/>
  <c r="W20" i="175"/>
  <c r="U64" i="175"/>
  <c r="AD95" i="175"/>
  <c r="AE78" i="175"/>
  <c r="Z51" i="175"/>
  <c r="Y60" i="175"/>
  <c r="Y61" i="175"/>
  <c r="AA33" i="175"/>
  <c r="Z33" i="175"/>
  <c r="T28" i="175"/>
  <c r="AA38" i="175"/>
  <c r="V14" i="175"/>
  <c r="AE20" i="175"/>
  <c r="X65" i="175"/>
  <c r="AG25" i="175"/>
  <c r="V8" i="175"/>
  <c r="AG35" i="175"/>
  <c r="AB10" i="175"/>
  <c r="AB45" i="175"/>
  <c r="AG18" i="175"/>
  <c r="AD6" i="175"/>
  <c r="T39" i="175"/>
  <c r="X14" i="175"/>
  <c r="AG3" i="175"/>
  <c r="AB31" i="175"/>
  <c r="X12" i="175"/>
  <c r="AG34" i="175"/>
  <c r="AD26" i="175"/>
  <c r="AD11" i="175"/>
  <c r="V95" i="175"/>
  <c r="W78" i="175"/>
  <c r="AB94" i="175"/>
  <c r="T100" i="175"/>
  <c r="W49" i="175"/>
  <c r="W24" i="175"/>
  <c r="AB24" i="175"/>
  <c r="AA28" i="175"/>
  <c r="W10" i="175"/>
  <c r="AA19" i="175"/>
  <c r="AB62" i="175"/>
  <c r="AC24" i="175"/>
  <c r="S7" i="175"/>
  <c r="X30" i="175"/>
  <c r="T10" i="175"/>
  <c r="AG44" i="175"/>
  <c r="AC17" i="175"/>
  <c r="V6" i="175"/>
  <c r="Y38" i="175"/>
  <c r="AB13" i="175"/>
  <c r="Y3" i="175"/>
  <c r="AG30" i="175"/>
  <c r="AB11" i="175"/>
  <c r="AF28" i="175"/>
  <c r="AA17" i="175"/>
  <c r="V9" i="175"/>
  <c r="Y86" i="175"/>
  <c r="AA77" i="175"/>
  <c r="Y97" i="175"/>
  <c r="T88" i="175"/>
  <c r="S28" i="175"/>
  <c r="T16" i="175"/>
  <c r="U33" i="175"/>
  <c r="Y10" i="175"/>
  <c r="U15" i="175"/>
  <c r="T52" i="175"/>
  <c r="AA24" i="175"/>
  <c r="X15" i="175"/>
  <c r="AC32" i="175"/>
  <c r="AC9" i="175"/>
  <c r="AA8" i="175"/>
  <c r="AF20" i="175"/>
  <c r="X79" i="175"/>
  <c r="U3" i="175"/>
  <c r="AA12" i="175"/>
  <c r="AB49" i="175"/>
  <c r="AG31" i="175"/>
  <c r="T95" i="175"/>
  <c r="AF16" i="175"/>
  <c r="AC58" i="175"/>
  <c r="U62" i="175"/>
  <c r="S12" i="175"/>
  <c r="U48" i="175"/>
  <c r="Z21" i="175"/>
  <c r="AA57" i="175"/>
  <c r="T62" i="175"/>
  <c r="V12" i="175"/>
  <c r="AC21" i="175"/>
  <c r="V67" i="175"/>
  <c r="AC23" i="175"/>
  <c r="Y29" i="175"/>
  <c r="AD96" i="175"/>
  <c r="AB60" i="175"/>
  <c r="V10" i="175"/>
  <c r="Z20" i="175"/>
  <c r="X61" i="175"/>
  <c r="Y22" i="175"/>
  <c r="V24" i="175"/>
  <c r="T69" i="175"/>
  <c r="AC20" i="175"/>
  <c r="Y46" i="175"/>
  <c r="AA5" i="175"/>
  <c r="AC28" i="175"/>
  <c r="Y8" i="175"/>
  <c r="AB61" i="175"/>
  <c r="AA60" i="175"/>
  <c r="AG45" i="175"/>
  <c r="S5" i="175"/>
  <c r="AC26" i="175"/>
  <c r="AD7" i="175"/>
  <c r="L5" i="150"/>
  <c r="M5" i="150"/>
  <c r="Q5" i="150"/>
  <c r="AB5" i="150"/>
  <c r="AC5" i="150"/>
  <c r="A12" i="168"/>
  <c r="CP15" i="194"/>
  <c r="T5" i="150"/>
  <c r="A11" i="167"/>
  <c r="U5" i="150"/>
  <c r="S5" i="150"/>
  <c r="I5" i="150"/>
  <c r="Y5" i="150"/>
  <c r="A11" i="169"/>
  <c r="K5" i="150"/>
  <c r="AA5" i="150"/>
  <c r="A10" i="159"/>
  <c r="J5" i="150"/>
  <c r="R5" i="150"/>
  <c r="Z5" i="150"/>
  <c r="N5" i="150"/>
  <c r="V5" i="150"/>
  <c r="AD5" i="150"/>
  <c r="G5" i="150"/>
  <c r="O5" i="150"/>
  <c r="W5" i="150"/>
  <c r="H5" i="150"/>
  <c r="P5" i="150"/>
  <c r="F45" i="149"/>
  <c r="F40" i="149"/>
  <c r="B40" i="149"/>
  <c r="B39" i="149"/>
  <c r="B38" i="149"/>
  <c r="F37" i="149"/>
  <c r="B37" i="149"/>
  <c r="F36" i="149"/>
  <c r="B36" i="149"/>
  <c r="F35" i="149"/>
  <c r="B35" i="149"/>
  <c r="F34" i="149"/>
  <c r="G34" i="149" s="1"/>
  <c r="B34" i="149"/>
  <c r="F33" i="149"/>
  <c r="B33" i="149"/>
  <c r="F32" i="149"/>
  <c r="B32" i="149"/>
  <c r="B31" i="149"/>
  <c r="F30" i="149"/>
  <c r="F28" i="149"/>
  <c r="F25" i="149"/>
  <c r="F19" i="149"/>
  <c r="F16" i="149"/>
  <c r="A11" i="159" l="1"/>
  <c r="A12" i="167"/>
  <c r="A12" i="169"/>
  <c r="CP16" i="194"/>
  <c r="A13" i="168"/>
  <c r="A13" i="169" l="1"/>
  <c r="A13" i="167"/>
  <c r="CP17" i="194"/>
  <c r="A14" i="168"/>
  <c r="A12" i="159"/>
  <c r="F15" i="149"/>
  <c r="F14" i="149"/>
  <c r="G5" i="149" a="1"/>
  <c r="X5" i="149" s="1"/>
  <c r="J5" i="149" l="1"/>
  <c r="AC5" i="149"/>
  <c r="M5" i="149"/>
  <c r="Z5" i="149"/>
  <c r="A15" i="168"/>
  <c r="K5" i="149"/>
  <c r="AA5" i="149"/>
  <c r="L5" i="149"/>
  <c r="AB5" i="149"/>
  <c r="A14" i="167"/>
  <c r="CP18" i="194"/>
  <c r="R5" i="149"/>
  <c r="S5" i="149"/>
  <c r="T5" i="149"/>
  <c r="A13" i="159"/>
  <c r="A14" i="169"/>
  <c r="U5" i="149"/>
  <c r="I5" i="149"/>
  <c r="Q5" i="149"/>
  <c r="Y5" i="149"/>
  <c r="N5" i="149"/>
  <c r="V5" i="149"/>
  <c r="AD5" i="149"/>
  <c r="G5" i="149"/>
  <c r="O5" i="149"/>
  <c r="W5" i="149"/>
  <c r="H5" i="149"/>
  <c r="P5" i="149"/>
  <c r="F45" i="148"/>
  <c r="F40" i="148"/>
  <c r="B40" i="148"/>
  <c r="B39" i="148"/>
  <c r="B38" i="148"/>
  <c r="F37" i="148"/>
  <c r="B37" i="148"/>
  <c r="F36" i="148"/>
  <c r="B36" i="148"/>
  <c r="F35" i="148"/>
  <c r="B35" i="148"/>
  <c r="F34" i="148"/>
  <c r="G34" i="148" s="1"/>
  <c r="B34" i="148"/>
  <c r="F33" i="148"/>
  <c r="B33" i="148"/>
  <c r="F32" i="148"/>
  <c r="B32" i="148"/>
  <c r="B31" i="148"/>
  <c r="F30" i="148"/>
  <c r="F28" i="148"/>
  <c r="F25" i="148"/>
  <c r="F19" i="148"/>
  <c r="F16" i="148"/>
  <c r="A14" i="159" l="1"/>
  <c r="A16" i="168"/>
  <c r="A15" i="167"/>
  <c r="A15" i="169"/>
  <c r="CP19" i="194"/>
  <c r="A16" i="167" l="1"/>
  <c r="A17" i="168"/>
  <c r="CP20" i="194"/>
  <c r="A15" i="159"/>
  <c r="A16" i="169"/>
  <c r="F15" i="148"/>
  <c r="F14" i="148"/>
  <c r="G5" i="148" a="1"/>
  <c r="X5" i="148" s="1"/>
  <c r="Y5" i="148" l="1"/>
  <c r="I5" i="148"/>
  <c r="R5" i="148"/>
  <c r="A16" i="159"/>
  <c r="J5" i="148"/>
  <c r="Z5" i="148"/>
  <c r="K5" i="148"/>
  <c r="AA5" i="148"/>
  <c r="CP21" i="194"/>
  <c r="CP22" i="194" s="1"/>
  <c r="CP23" i="194" s="1"/>
  <c r="CP24" i="194" s="1"/>
  <c r="CP25" i="194" s="1"/>
  <c r="CP26" i="194" s="1"/>
  <c r="M5" i="148"/>
  <c r="AC5" i="148"/>
  <c r="Q5" i="148"/>
  <c r="S5" i="148"/>
  <c r="A17" i="167"/>
  <c r="A18" i="168"/>
  <c r="G5" i="148"/>
  <c r="U5" i="148"/>
  <c r="A17" i="169"/>
  <c r="L5" i="148"/>
  <c r="T5" i="148"/>
  <c r="AB5" i="148"/>
  <c r="N5" i="148"/>
  <c r="V5" i="148"/>
  <c r="AD5" i="148"/>
  <c r="O5" i="148"/>
  <c r="W5" i="148"/>
  <c r="H5" i="148"/>
  <c r="P5" i="148"/>
  <c r="F45" i="133"/>
  <c r="F40" i="133"/>
  <c r="B40" i="133"/>
  <c r="B39" i="133"/>
  <c r="B38" i="133"/>
  <c r="F37" i="133"/>
  <c r="B37" i="133"/>
  <c r="F36" i="133"/>
  <c r="B36" i="133"/>
  <c r="F35" i="133"/>
  <c r="B35" i="133"/>
  <c r="F34" i="133"/>
  <c r="G34" i="133" s="1"/>
  <c r="B34" i="133"/>
  <c r="F33" i="133"/>
  <c r="B33" i="133"/>
  <c r="F32" i="133"/>
  <c r="B32" i="133"/>
  <c r="B31" i="133"/>
  <c r="F30" i="133"/>
  <c r="F28" i="133"/>
  <c r="F25" i="133"/>
  <c r="F19" i="133"/>
  <c r="F16" i="133"/>
  <c r="A19" i="168" l="1"/>
  <c r="A18" i="167"/>
  <c r="A18" i="169"/>
  <c r="A17" i="159"/>
  <c r="A19" i="167" l="1"/>
  <c r="A19" i="169"/>
  <c r="A20" i="168"/>
  <c r="A18" i="159"/>
  <c r="F15" i="133"/>
  <c r="F14" i="133"/>
  <c r="G5" i="133" a="1"/>
  <c r="X5" i="133" s="1"/>
  <c r="K45" i="155"/>
  <c r="J45" i="155"/>
  <c r="I45" i="155"/>
  <c r="H45" i="155"/>
  <c r="G45" i="155"/>
  <c r="F45" i="155"/>
  <c r="K40" i="155"/>
  <c r="J40" i="155"/>
  <c r="I40" i="155"/>
  <c r="H40" i="155"/>
  <c r="G40" i="155"/>
  <c r="F40" i="155"/>
  <c r="B40" i="155"/>
  <c r="B39" i="155"/>
  <c r="B38" i="155"/>
  <c r="K37" i="155"/>
  <c r="J37" i="155"/>
  <c r="I37" i="155"/>
  <c r="H37" i="155"/>
  <c r="G37" i="155"/>
  <c r="F37" i="155"/>
  <c r="B37" i="155"/>
  <c r="K36" i="155"/>
  <c r="J36" i="155"/>
  <c r="I36" i="155"/>
  <c r="H36" i="155"/>
  <c r="G36" i="155"/>
  <c r="F36" i="155"/>
  <c r="B36" i="155"/>
  <c r="K35" i="155"/>
  <c r="J35" i="155"/>
  <c r="I35" i="155"/>
  <c r="H35" i="155"/>
  <c r="G35" i="155"/>
  <c r="F35" i="155"/>
  <c r="B35" i="155"/>
  <c r="K34" i="155"/>
  <c r="J34" i="155"/>
  <c r="I34" i="155"/>
  <c r="H34" i="155"/>
  <c r="G34" i="155"/>
  <c r="F34" i="155"/>
  <c r="B34" i="155"/>
  <c r="K33" i="155"/>
  <c r="J33" i="155"/>
  <c r="I33" i="155"/>
  <c r="H33" i="155"/>
  <c r="G33" i="155"/>
  <c r="F33" i="155"/>
  <c r="B33" i="155"/>
  <c r="K32" i="155"/>
  <c r="J32" i="155"/>
  <c r="I32" i="155"/>
  <c r="H32" i="155"/>
  <c r="G32" i="155"/>
  <c r="F32" i="155"/>
  <c r="B32" i="155"/>
  <c r="B31" i="155"/>
  <c r="K30" i="155"/>
  <c r="J30" i="155"/>
  <c r="I30" i="155"/>
  <c r="H30" i="155"/>
  <c r="G30" i="155"/>
  <c r="F30" i="155"/>
  <c r="U5" i="133" l="1"/>
  <c r="Q5" i="133"/>
  <c r="I5" i="133"/>
  <c r="A19" i="159"/>
  <c r="M5" i="133"/>
  <c r="A21" i="168"/>
  <c r="A20" i="169"/>
  <c r="AC5" i="133"/>
  <c r="A20" i="167"/>
  <c r="Y5" i="133"/>
  <c r="J5" i="133"/>
  <c r="R5" i="133"/>
  <c r="Z5" i="133"/>
  <c r="K5" i="133"/>
  <c r="S5" i="133"/>
  <c r="AA5" i="133"/>
  <c r="L5" i="133"/>
  <c r="T5" i="133"/>
  <c r="AB5" i="133"/>
  <c r="V5" i="133"/>
  <c r="G5" i="133"/>
  <c r="O5" i="133"/>
  <c r="W5" i="133"/>
  <c r="N5" i="133"/>
  <c r="AD5" i="133"/>
  <c r="H5" i="133"/>
  <c r="P5" i="133"/>
  <c r="K28" i="155"/>
  <c r="J28" i="155"/>
  <c r="I28" i="155"/>
  <c r="H28" i="155"/>
  <c r="G28" i="155"/>
  <c r="F28" i="155"/>
  <c r="K19" i="155"/>
  <c r="J19" i="155"/>
  <c r="I19" i="155"/>
  <c r="H19" i="155"/>
  <c r="G19" i="155"/>
  <c r="F19" i="155"/>
  <c r="K16" i="155"/>
  <c r="J16" i="155"/>
  <c r="I16" i="155"/>
  <c r="H16" i="155"/>
  <c r="G16" i="155"/>
  <c r="F16" i="155"/>
  <c r="K15" i="155"/>
  <c r="J15" i="155"/>
  <c r="I15" i="155"/>
  <c r="H15" i="155"/>
  <c r="G15" i="155"/>
  <c r="F15" i="155"/>
  <c r="K14" i="155"/>
  <c r="J14" i="155"/>
  <c r="I14" i="155"/>
  <c r="H14" i="155"/>
  <c r="G14" i="155"/>
  <c r="F14" i="155"/>
  <c r="G5" i="155" a="1"/>
  <c r="X5" i="155" s="1"/>
  <c r="K45" i="157"/>
  <c r="J45" i="157"/>
  <c r="I45" i="157"/>
  <c r="H45" i="157"/>
  <c r="G45" i="157"/>
  <c r="F45" i="157"/>
  <c r="K40" i="157"/>
  <c r="J40" i="157"/>
  <c r="I40" i="157"/>
  <c r="H40" i="157"/>
  <c r="G40" i="157"/>
  <c r="F40" i="157"/>
  <c r="B40" i="157"/>
  <c r="B39" i="157"/>
  <c r="B38" i="157"/>
  <c r="K37" i="157"/>
  <c r="J37" i="157"/>
  <c r="I37" i="157"/>
  <c r="H37" i="157"/>
  <c r="G37" i="157"/>
  <c r="F37" i="157"/>
  <c r="B37" i="157"/>
  <c r="K36" i="157"/>
  <c r="J36" i="157"/>
  <c r="I36" i="157"/>
  <c r="H36" i="157"/>
  <c r="G36" i="157"/>
  <c r="F36" i="157"/>
  <c r="B36" i="157"/>
  <c r="K35" i="157"/>
  <c r="J35" i="157"/>
  <c r="I35" i="157"/>
  <c r="H35" i="157"/>
  <c r="G35" i="157"/>
  <c r="F35" i="157"/>
  <c r="B35" i="157"/>
  <c r="K34" i="157"/>
  <c r="J34" i="157"/>
  <c r="I34" i="157"/>
  <c r="H34" i="157"/>
  <c r="G34" i="157"/>
  <c r="F34" i="157"/>
  <c r="B34" i="157"/>
  <c r="K33" i="157"/>
  <c r="J33" i="157"/>
  <c r="I33" i="157"/>
  <c r="H33" i="157"/>
  <c r="G33" i="157"/>
  <c r="F33" i="157"/>
  <c r="B33" i="157"/>
  <c r="K32" i="157"/>
  <c r="J32" i="157"/>
  <c r="I32" i="157"/>
  <c r="H32" i="157"/>
  <c r="G32" i="157"/>
  <c r="F32" i="157"/>
  <c r="B32" i="157"/>
  <c r="B31" i="157"/>
  <c r="K30" i="157"/>
  <c r="J30" i="157"/>
  <c r="I30" i="157"/>
  <c r="H30" i="157"/>
  <c r="G30" i="157"/>
  <c r="F30" i="157"/>
  <c r="A21" i="169" l="1"/>
  <c r="A22" i="168"/>
  <c r="A23" i="168" s="1"/>
  <c r="A24" i="168" s="1"/>
  <c r="A25" i="168" s="1"/>
  <c r="A21" i="167"/>
  <c r="A20" i="159"/>
  <c r="V5" i="155"/>
  <c r="I5" i="155"/>
  <c r="Q5" i="155"/>
  <c r="Y5" i="155"/>
  <c r="J5" i="155"/>
  <c r="R5" i="155"/>
  <c r="Z5" i="155"/>
  <c r="L5" i="155"/>
  <c r="U5" i="155"/>
  <c r="AD5" i="155"/>
  <c r="K5" i="155"/>
  <c r="S5" i="155"/>
  <c r="AA5" i="155"/>
  <c r="T5" i="155"/>
  <c r="AB5" i="155"/>
  <c r="M5" i="155"/>
  <c r="AC5" i="155"/>
  <c r="N5" i="155"/>
  <c r="G5" i="155"/>
  <c r="O5" i="155"/>
  <c r="W5" i="155"/>
  <c r="H5" i="155"/>
  <c r="P5" i="155"/>
  <c r="K28" i="157"/>
  <c r="J28" i="157"/>
  <c r="I28" i="157"/>
  <c r="H28" i="157"/>
  <c r="G28" i="157"/>
  <c r="F28" i="157"/>
  <c r="K19" i="157"/>
  <c r="J19" i="157"/>
  <c r="I19" i="157"/>
  <c r="H19" i="157"/>
  <c r="G19" i="157"/>
  <c r="F19" i="157"/>
  <c r="K16" i="157"/>
  <c r="J16" i="157"/>
  <c r="I16" i="157"/>
  <c r="H16" i="157"/>
  <c r="G16" i="157"/>
  <c r="F16" i="157"/>
  <c r="K15" i="157"/>
  <c r="J15" i="157"/>
  <c r="I15" i="157"/>
  <c r="H15" i="157"/>
  <c r="G15" i="157"/>
  <c r="F15" i="157"/>
  <c r="K14" i="157"/>
  <c r="J14" i="157"/>
  <c r="I14" i="157"/>
  <c r="H14" i="157"/>
  <c r="G14" i="157"/>
  <c r="F14" i="157"/>
  <c r="G5" i="157" a="1"/>
  <c r="X5" i="157" s="1"/>
  <c r="K45" i="156"/>
  <c r="J45" i="156"/>
  <c r="I45" i="156"/>
  <c r="H45" i="156"/>
  <c r="G45" i="156"/>
  <c r="F45" i="156"/>
  <c r="K40" i="156"/>
  <c r="J40" i="156"/>
  <c r="I40" i="156"/>
  <c r="H40" i="156"/>
  <c r="G40" i="156"/>
  <c r="F40" i="156"/>
  <c r="B40" i="156"/>
  <c r="B39" i="156"/>
  <c r="B38" i="156"/>
  <c r="K37" i="156"/>
  <c r="J37" i="156"/>
  <c r="I37" i="156"/>
  <c r="H37" i="156"/>
  <c r="G37" i="156"/>
  <c r="F37" i="156"/>
  <c r="B37" i="156"/>
  <c r="K36" i="156"/>
  <c r="J36" i="156"/>
  <c r="I36" i="156"/>
  <c r="H36" i="156"/>
  <c r="G36" i="156"/>
  <c r="F36" i="156"/>
  <c r="B36" i="156"/>
  <c r="K35" i="156"/>
  <c r="J35" i="156"/>
  <c r="I35" i="156"/>
  <c r="H35" i="156"/>
  <c r="G35" i="156"/>
  <c r="F35" i="156"/>
  <c r="B35" i="156"/>
  <c r="K34" i="156"/>
  <c r="J34" i="156"/>
  <c r="I34" i="156"/>
  <c r="H34" i="156"/>
  <c r="G34" i="156"/>
  <c r="F34" i="156"/>
  <c r="B34" i="156"/>
  <c r="K33" i="156"/>
  <c r="J33" i="156"/>
  <c r="I33" i="156"/>
  <c r="H33" i="156"/>
  <c r="G33" i="156"/>
  <c r="F33" i="156"/>
  <c r="B33" i="156"/>
  <c r="K32" i="156"/>
  <c r="J32" i="156"/>
  <c r="I32" i="156"/>
  <c r="H32" i="156"/>
  <c r="G32" i="156"/>
  <c r="F32" i="156"/>
  <c r="B32" i="156"/>
  <c r="B31" i="156"/>
  <c r="K30" i="156"/>
  <c r="J30" i="156"/>
  <c r="I30" i="156"/>
  <c r="H30" i="156"/>
  <c r="G30" i="156"/>
  <c r="F30" i="156"/>
  <c r="A21" i="159" l="1"/>
  <c r="A22" i="167"/>
  <c r="A23" i="167" s="1"/>
  <c r="A24" i="167" s="1"/>
  <c r="A25" i="167" s="1"/>
  <c r="A22" i="169"/>
  <c r="A23" i="169" s="1"/>
  <c r="A24" i="169" s="1"/>
  <c r="A25" i="169" s="1"/>
  <c r="K5" i="157"/>
  <c r="S5" i="157"/>
  <c r="AA5" i="157"/>
  <c r="L5" i="157"/>
  <c r="T5" i="157"/>
  <c r="AB5" i="157"/>
  <c r="I5" i="157"/>
  <c r="Q5" i="157"/>
  <c r="Y5" i="157"/>
  <c r="J5" i="157"/>
  <c r="R5" i="157"/>
  <c r="Z5" i="157"/>
  <c r="M5" i="157"/>
  <c r="U5" i="157"/>
  <c r="AC5" i="157"/>
  <c r="N5" i="157"/>
  <c r="V5" i="157"/>
  <c r="AD5" i="157"/>
  <c r="G5" i="157"/>
  <c r="O5" i="157"/>
  <c r="W5" i="157"/>
  <c r="H5" i="157"/>
  <c r="P5" i="157"/>
  <c r="K28" i="156"/>
  <c r="J28" i="156"/>
  <c r="I28" i="156"/>
  <c r="H28" i="156"/>
  <c r="G28" i="156"/>
  <c r="F28" i="156"/>
  <c r="K19" i="156"/>
  <c r="J19" i="156"/>
  <c r="I19" i="156"/>
  <c r="H19" i="156"/>
  <c r="G19" i="156"/>
  <c r="F19" i="156"/>
  <c r="K16" i="156"/>
  <c r="J16" i="156"/>
  <c r="I16" i="156"/>
  <c r="H16" i="156"/>
  <c r="G16" i="156"/>
  <c r="F16" i="156"/>
  <c r="K15" i="156"/>
  <c r="J15" i="156"/>
  <c r="I15" i="156"/>
  <c r="H15" i="156"/>
  <c r="G15" i="156"/>
  <c r="F15" i="156"/>
  <c r="K14" i="156"/>
  <c r="J14" i="156"/>
  <c r="I14" i="156"/>
  <c r="H14" i="156"/>
  <c r="G14" i="156"/>
  <c r="F14" i="156"/>
  <c r="G5" i="156" a="1"/>
  <c r="X5" i="156" s="1"/>
  <c r="K45" i="154"/>
  <c r="J45" i="154"/>
  <c r="I45" i="154"/>
  <c r="H45" i="154"/>
  <c r="G45" i="154"/>
  <c r="F45" i="154"/>
  <c r="B40" i="154"/>
  <c r="B39" i="154"/>
  <c r="B38" i="154"/>
  <c r="K37" i="154"/>
  <c r="J37" i="154"/>
  <c r="I37" i="154"/>
  <c r="H37" i="154"/>
  <c r="G37" i="154"/>
  <c r="F37" i="154"/>
  <c r="B37" i="154"/>
  <c r="K36" i="154"/>
  <c r="J36" i="154"/>
  <c r="I36" i="154"/>
  <c r="H36" i="154"/>
  <c r="G36" i="154"/>
  <c r="F36" i="154"/>
  <c r="B36" i="154"/>
  <c r="K35" i="154"/>
  <c r="J35" i="154"/>
  <c r="I35" i="154"/>
  <c r="H35" i="154"/>
  <c r="G35" i="154"/>
  <c r="F35" i="154"/>
  <c r="B35" i="154"/>
  <c r="K34" i="154"/>
  <c r="J34" i="154"/>
  <c r="I34" i="154"/>
  <c r="H34" i="154"/>
  <c r="G34" i="154"/>
  <c r="F34" i="154"/>
  <c r="B34" i="154"/>
  <c r="K33" i="154"/>
  <c r="J33" i="154"/>
  <c r="I33" i="154"/>
  <c r="H33" i="154"/>
  <c r="G33" i="154"/>
  <c r="F33" i="154"/>
  <c r="B33" i="154"/>
  <c r="K32" i="154"/>
  <c r="J32" i="154"/>
  <c r="I32" i="154"/>
  <c r="H32" i="154"/>
  <c r="G32" i="154"/>
  <c r="F32" i="154"/>
  <c r="B32" i="154"/>
  <c r="B31" i="154"/>
  <c r="K30" i="154"/>
  <c r="J30" i="154"/>
  <c r="I30" i="154"/>
  <c r="H30" i="154"/>
  <c r="G30" i="154"/>
  <c r="F30" i="154"/>
  <c r="A22" i="159" l="1"/>
  <c r="A23" i="159" s="1"/>
  <c r="A24" i="159" s="1"/>
  <c r="A25" i="159" s="1"/>
  <c r="K5" i="156"/>
  <c r="AA5" i="156"/>
  <c r="M5" i="156"/>
  <c r="AC5" i="156"/>
  <c r="G5" i="156"/>
  <c r="O5" i="156"/>
  <c r="W5" i="156"/>
  <c r="H5" i="156"/>
  <c r="P5" i="156"/>
  <c r="I5" i="156"/>
  <c r="Q5" i="156"/>
  <c r="Y5" i="156"/>
  <c r="J5" i="156"/>
  <c r="R5" i="156"/>
  <c r="Z5" i="156"/>
  <c r="L5" i="156"/>
  <c r="T5" i="156"/>
  <c r="N5" i="156"/>
  <c r="V5" i="156"/>
  <c r="AD5" i="156"/>
  <c r="AB5" i="156"/>
  <c r="S5" i="156"/>
  <c r="U5" i="156"/>
  <c r="K28" i="154"/>
  <c r="J28" i="154"/>
  <c r="I28" i="154"/>
  <c r="H28" i="154"/>
  <c r="G28" i="154"/>
  <c r="F28" i="154"/>
  <c r="K19" i="154"/>
  <c r="J19" i="154"/>
  <c r="I19" i="154"/>
  <c r="H19" i="154"/>
  <c r="G19" i="154"/>
  <c r="F19" i="154"/>
  <c r="K16" i="154"/>
  <c r="J16" i="154"/>
  <c r="I16" i="154"/>
  <c r="H16" i="154"/>
  <c r="G16" i="154"/>
  <c r="F16" i="154"/>
  <c r="K15" i="154"/>
  <c r="J15" i="154"/>
  <c r="I15" i="154"/>
  <c r="H15" i="154"/>
  <c r="G15" i="154"/>
  <c r="F15" i="154"/>
  <c r="K14" i="154"/>
  <c r="J14" i="154"/>
  <c r="I14" i="154"/>
  <c r="H14" i="154"/>
  <c r="G14" i="154"/>
  <c r="F14" i="154"/>
  <c r="G5" i="154" a="1"/>
  <c r="AD5" i="154" s="1"/>
  <c r="G5" i="154" l="1"/>
  <c r="K5" i="154"/>
  <c r="L5" i="154"/>
  <c r="S5" i="154"/>
  <c r="AA5" i="154"/>
  <c r="T5" i="154"/>
  <c r="AB5" i="154"/>
  <c r="M5" i="154"/>
  <c r="U5" i="154"/>
  <c r="AC5" i="154"/>
  <c r="O5" i="154"/>
  <c r="W5" i="154"/>
  <c r="H5" i="154"/>
  <c r="P5" i="154"/>
  <c r="X5" i="154"/>
  <c r="I5" i="154"/>
  <c r="Q5" i="154"/>
  <c r="Y5" i="154"/>
  <c r="J5" i="154"/>
  <c r="R5" i="154"/>
  <c r="Z5" i="154"/>
  <c r="N5" i="154"/>
  <c r="V5" i="154"/>
  <c r="C10" i="143"/>
  <c r="C10" i="142"/>
  <c r="C34" i="140"/>
  <c r="C20" i="140"/>
  <c r="C10" i="140"/>
  <c r="C10" i="122"/>
  <c r="BI25" i="125"/>
  <c r="BH25" i="125"/>
  <c r="AU25" i="125"/>
  <c r="AT25" i="125"/>
  <c r="AI25" i="125"/>
  <c r="AF25" i="125"/>
  <c r="AE25" i="125"/>
  <c r="AG25" i="125" s="1"/>
  <c r="AD25" i="125"/>
  <c r="AB25" i="125"/>
  <c r="AA25" i="125"/>
  <c r="V25" i="125"/>
  <c r="U25" i="125"/>
  <c r="T25" i="125"/>
  <c r="S25" i="125"/>
  <c r="R25" i="125"/>
  <c r="Q25" i="125"/>
  <c r="B25" i="125"/>
  <c r="BE25" i="125" s="1"/>
  <c r="BI24" i="125"/>
  <c r="BH24" i="125"/>
  <c r="AU24" i="125"/>
  <c r="AT24" i="125"/>
  <c r="AI24" i="125"/>
  <c r="AF24" i="125"/>
  <c r="AE24" i="125"/>
  <c r="AG24" i="125" s="1"/>
  <c r="AD24" i="125"/>
  <c r="AB24" i="125"/>
  <c r="AA24" i="125"/>
  <c r="V24" i="125"/>
  <c r="U24" i="125"/>
  <c r="T24" i="125"/>
  <c r="S24" i="125"/>
  <c r="R24" i="125"/>
  <c r="Q24" i="125"/>
  <c r="B24" i="125"/>
  <c r="BE24" i="125" s="1"/>
  <c r="BI23" i="125"/>
  <c r="BH23" i="125"/>
  <c r="AU23" i="125"/>
  <c r="AT23" i="125"/>
  <c r="AI23" i="125"/>
  <c r="AF23" i="125"/>
  <c r="AE23" i="125"/>
  <c r="AG23" i="125" s="1"/>
  <c r="AD23" i="125"/>
  <c r="AB23" i="125"/>
  <c r="AA23" i="125"/>
  <c r="V23" i="125"/>
  <c r="U23" i="125"/>
  <c r="T23" i="125"/>
  <c r="S23" i="125"/>
  <c r="R23" i="125"/>
  <c r="Q23" i="125"/>
  <c r="B23" i="125"/>
  <c r="BE23" i="125" s="1"/>
  <c r="BI22" i="125"/>
  <c r="BH22" i="125"/>
  <c r="AU22" i="125"/>
  <c r="AT22" i="125"/>
  <c r="AI22" i="125"/>
  <c r="AF22" i="125"/>
  <c r="AE22" i="125"/>
  <c r="AG22" i="125" s="1"/>
  <c r="AD22" i="125"/>
  <c r="AB22" i="125"/>
  <c r="AA22" i="125"/>
  <c r="V22" i="125"/>
  <c r="U22" i="125"/>
  <c r="T22" i="125"/>
  <c r="S22" i="125"/>
  <c r="R22" i="125"/>
  <c r="Q22" i="125"/>
  <c r="B22" i="125"/>
  <c r="AC22" i="125" s="1"/>
  <c r="BI21" i="125"/>
  <c r="BH21" i="125"/>
  <c r="AU21" i="125"/>
  <c r="AT21" i="125"/>
  <c r="AI21" i="125"/>
  <c r="AF21" i="125"/>
  <c r="AE21" i="125"/>
  <c r="AG21" i="125" s="1"/>
  <c r="AB21" i="125"/>
  <c r="AA21" i="125"/>
  <c r="BI20" i="125"/>
  <c r="BH20" i="125"/>
  <c r="AU20" i="125"/>
  <c r="AT20" i="125"/>
  <c r="AI20" i="125"/>
  <c r="AF20" i="125"/>
  <c r="AE20" i="125"/>
  <c r="AG20" i="125" s="1"/>
  <c r="AB20" i="125"/>
  <c r="AA20" i="125"/>
  <c r="BI19" i="125"/>
  <c r="BH19" i="125"/>
  <c r="AU19" i="125"/>
  <c r="AT19" i="125"/>
  <c r="AI19" i="125"/>
  <c r="AF19" i="125"/>
  <c r="AE19" i="125"/>
  <c r="AG19" i="125" s="1"/>
  <c r="AB19" i="125"/>
  <c r="AA19" i="125"/>
  <c r="BI18" i="125"/>
  <c r="BH18" i="125"/>
  <c r="AU18" i="125"/>
  <c r="AT18" i="125"/>
  <c r="AI18" i="125"/>
  <c r="AF18" i="125"/>
  <c r="AE18" i="125"/>
  <c r="AG18" i="125" s="1"/>
  <c r="AB18" i="125"/>
  <c r="AA18" i="125"/>
  <c r="BI17" i="125"/>
  <c r="BH17" i="125"/>
  <c r="AU17" i="125"/>
  <c r="AT17" i="125"/>
  <c r="AI17" i="125"/>
  <c r="AF17" i="125"/>
  <c r="AE17" i="125"/>
  <c r="AG17" i="125" s="1"/>
  <c r="AB17" i="125"/>
  <c r="AA17" i="125"/>
  <c r="BI16" i="125"/>
  <c r="BH16" i="125"/>
  <c r="AU16" i="125"/>
  <c r="AT16" i="125"/>
  <c r="AI16" i="125"/>
  <c r="AF16" i="125"/>
  <c r="AE16" i="125"/>
  <c r="AG16" i="125" s="1"/>
  <c r="AB16" i="125"/>
  <c r="AA16" i="125"/>
  <c r="BI15" i="125"/>
  <c r="BH15" i="125"/>
  <c r="AU15" i="125"/>
  <c r="AT15" i="125"/>
  <c r="AI15" i="125"/>
  <c r="AF15" i="125"/>
  <c r="AE15" i="125"/>
  <c r="AG15" i="125" s="1"/>
  <c r="AB15" i="125"/>
  <c r="AA15" i="125"/>
  <c r="BI14" i="125"/>
  <c r="BH14" i="125"/>
  <c r="AU14" i="125"/>
  <c r="AT14" i="125"/>
  <c r="AI14" i="125"/>
  <c r="AF14" i="125"/>
  <c r="AE14" i="125"/>
  <c r="AG14" i="125" s="1"/>
  <c r="AB14" i="125"/>
  <c r="AA14" i="125"/>
  <c r="BI13" i="125"/>
  <c r="BH13" i="125"/>
  <c r="AU13" i="125"/>
  <c r="AT13" i="125"/>
  <c r="AI13" i="125"/>
  <c r="AF13" i="125"/>
  <c r="AE13" i="125"/>
  <c r="AG13" i="125" s="1"/>
  <c r="AB13" i="125"/>
  <c r="AA13" i="125"/>
  <c r="BI12" i="125"/>
  <c r="BH12" i="125"/>
  <c r="AU12" i="125"/>
  <c r="AT12" i="125"/>
  <c r="AI12" i="125"/>
  <c r="AF12" i="125"/>
  <c r="AE12" i="125"/>
  <c r="AG12" i="125" s="1"/>
  <c r="AB12" i="125"/>
  <c r="AA12" i="125"/>
  <c r="BI11" i="125"/>
  <c r="BH11" i="125"/>
  <c r="AU11" i="125"/>
  <c r="AT11" i="125"/>
  <c r="AI11" i="125"/>
  <c r="AF11" i="125"/>
  <c r="AE11" i="125"/>
  <c r="AG11" i="125" s="1"/>
  <c r="AB11" i="125"/>
  <c r="AA11" i="125"/>
  <c r="BI10" i="125"/>
  <c r="BH10" i="125"/>
  <c r="AU10" i="125"/>
  <c r="AT10" i="125"/>
  <c r="AI10" i="125"/>
  <c r="AF10" i="125"/>
  <c r="AE10" i="125"/>
  <c r="AG10" i="125" s="1"/>
  <c r="AB10" i="125"/>
  <c r="AA10" i="125"/>
  <c r="BI9" i="125"/>
  <c r="BH9" i="125"/>
  <c r="AU9" i="125"/>
  <c r="AT9" i="125"/>
  <c r="AI9" i="125"/>
  <c r="AF9" i="125"/>
  <c r="AE9" i="125"/>
  <c r="AG9" i="125" s="1"/>
  <c r="AB9" i="125"/>
  <c r="AA9" i="125"/>
  <c r="BI8" i="125"/>
  <c r="BH8" i="125"/>
  <c r="AU8" i="125"/>
  <c r="AT8" i="125"/>
  <c r="AI8" i="125"/>
  <c r="AF8" i="125"/>
  <c r="AE8" i="125"/>
  <c r="AG8" i="125" s="1"/>
  <c r="AB8" i="125"/>
  <c r="AA8" i="125"/>
  <c r="BI7" i="125"/>
  <c r="BH7" i="125"/>
  <c r="AU7" i="125"/>
  <c r="AT7" i="125"/>
  <c r="AI7" i="125"/>
  <c r="AF7" i="125"/>
  <c r="AE7" i="125"/>
  <c r="AG7" i="125" s="1"/>
  <c r="AB7" i="125"/>
  <c r="AA7" i="125"/>
  <c r="BI6" i="125"/>
  <c r="BH6" i="125"/>
  <c r="AU6" i="125"/>
  <c r="AT6" i="125"/>
  <c r="AI6" i="125"/>
  <c r="AF6" i="125"/>
  <c r="AE6" i="125"/>
  <c r="AG6" i="125" s="1"/>
  <c r="AB6" i="125"/>
  <c r="AA6" i="125"/>
  <c r="BI25" i="124"/>
  <c r="BH25" i="124"/>
  <c r="AU25" i="124"/>
  <c r="AT25" i="124"/>
  <c r="AI25" i="124"/>
  <c r="AF25" i="124"/>
  <c r="AE25" i="124"/>
  <c r="AG25" i="124" s="1"/>
  <c r="AD25" i="124"/>
  <c r="AB25" i="124"/>
  <c r="AA25" i="124"/>
  <c r="V25" i="124"/>
  <c r="U25" i="124"/>
  <c r="T25" i="124"/>
  <c r="S25" i="124"/>
  <c r="R25" i="124"/>
  <c r="Q25" i="124"/>
  <c r="B25" i="124"/>
  <c r="AC25" i="124" s="1"/>
  <c r="BI24" i="124"/>
  <c r="BH24" i="124"/>
  <c r="AU24" i="124"/>
  <c r="AT24" i="124"/>
  <c r="AI24" i="124"/>
  <c r="AF24" i="124"/>
  <c r="AE24" i="124"/>
  <c r="AG24" i="124" s="1"/>
  <c r="AD24" i="124"/>
  <c r="AB24" i="124"/>
  <c r="AA24" i="124"/>
  <c r="V24" i="124"/>
  <c r="U24" i="124"/>
  <c r="T24" i="124"/>
  <c r="S24" i="124"/>
  <c r="R24" i="124"/>
  <c r="Q24" i="124"/>
  <c r="B24" i="124"/>
  <c r="BE24" i="124" s="1"/>
  <c r="BI23" i="124"/>
  <c r="BH23" i="124"/>
  <c r="AU23" i="124"/>
  <c r="AT23" i="124"/>
  <c r="AI23" i="124"/>
  <c r="AF23" i="124"/>
  <c r="AE23" i="124"/>
  <c r="AG23" i="124" s="1"/>
  <c r="AD23" i="124"/>
  <c r="AB23" i="124"/>
  <c r="AA23" i="124"/>
  <c r="V23" i="124"/>
  <c r="U23" i="124"/>
  <c r="T23" i="124"/>
  <c r="S23" i="124"/>
  <c r="R23" i="124"/>
  <c r="Q23" i="124"/>
  <c r="B23" i="124"/>
  <c r="AQ23" i="124" s="1"/>
  <c r="BI22" i="124"/>
  <c r="BH22" i="124"/>
  <c r="AU22" i="124"/>
  <c r="AT22" i="124"/>
  <c r="AI22" i="124"/>
  <c r="AF22" i="124"/>
  <c r="AE22" i="124"/>
  <c r="AG22" i="124" s="1"/>
  <c r="AD22" i="124"/>
  <c r="AB22" i="124"/>
  <c r="AA22" i="124"/>
  <c r="V22" i="124"/>
  <c r="U22" i="124"/>
  <c r="T22" i="124"/>
  <c r="S22" i="124"/>
  <c r="R22" i="124"/>
  <c r="Q22" i="124"/>
  <c r="B22" i="124"/>
  <c r="AQ22" i="124" s="1"/>
  <c r="BI21" i="124"/>
  <c r="BH21" i="124"/>
  <c r="AU21" i="124"/>
  <c r="AT21" i="124"/>
  <c r="AI21" i="124"/>
  <c r="AF21" i="124"/>
  <c r="AE21" i="124"/>
  <c r="AG21" i="124" s="1"/>
  <c r="AB21" i="124"/>
  <c r="AA21" i="124"/>
  <c r="BI20" i="124"/>
  <c r="BH20" i="124"/>
  <c r="AU20" i="124"/>
  <c r="AT20" i="124"/>
  <c r="AI20" i="124"/>
  <c r="AF20" i="124"/>
  <c r="AE20" i="124"/>
  <c r="AG20" i="124" s="1"/>
  <c r="AB20" i="124"/>
  <c r="AA20" i="124"/>
  <c r="BI19" i="124"/>
  <c r="BH19" i="124"/>
  <c r="AU19" i="124"/>
  <c r="AT19" i="124"/>
  <c r="AI19" i="124"/>
  <c r="AF19" i="124"/>
  <c r="AE19" i="124"/>
  <c r="AG19" i="124" s="1"/>
  <c r="AB19" i="124"/>
  <c r="AA19" i="124"/>
  <c r="BI18" i="124"/>
  <c r="BH18" i="124"/>
  <c r="AU18" i="124"/>
  <c r="AT18" i="124"/>
  <c r="AI18" i="124"/>
  <c r="AF18" i="124"/>
  <c r="AE18" i="124"/>
  <c r="AG18" i="124" s="1"/>
  <c r="AB18" i="124"/>
  <c r="AA18" i="124"/>
  <c r="BI17" i="124"/>
  <c r="BH17" i="124"/>
  <c r="AU17" i="124"/>
  <c r="AT17" i="124"/>
  <c r="AI17" i="124"/>
  <c r="AF17" i="124"/>
  <c r="AE17" i="124"/>
  <c r="AG17" i="124" s="1"/>
  <c r="AB17" i="124"/>
  <c r="AA17" i="124"/>
  <c r="BI16" i="124"/>
  <c r="BH16" i="124"/>
  <c r="AU16" i="124"/>
  <c r="AT16" i="124"/>
  <c r="AI16" i="124"/>
  <c r="AF16" i="124"/>
  <c r="AE16" i="124"/>
  <c r="AG16" i="124" s="1"/>
  <c r="AB16" i="124"/>
  <c r="AA16" i="124"/>
  <c r="BI15" i="124"/>
  <c r="BH15" i="124"/>
  <c r="AU15" i="124"/>
  <c r="AT15" i="124"/>
  <c r="AI15" i="124"/>
  <c r="AF15" i="124"/>
  <c r="AE15" i="124"/>
  <c r="AG15" i="124" s="1"/>
  <c r="AB15" i="124"/>
  <c r="AA15" i="124"/>
  <c r="BI14" i="124"/>
  <c r="BH14" i="124"/>
  <c r="AU14" i="124"/>
  <c r="AT14" i="124"/>
  <c r="AI14" i="124"/>
  <c r="AF14" i="124"/>
  <c r="AE14" i="124"/>
  <c r="AG14" i="124" s="1"/>
  <c r="AB14" i="124"/>
  <c r="AA14" i="124"/>
  <c r="BI13" i="124"/>
  <c r="BH13" i="124"/>
  <c r="AU13" i="124"/>
  <c r="AT13" i="124"/>
  <c r="AI13" i="124"/>
  <c r="AF13" i="124"/>
  <c r="AE13" i="124"/>
  <c r="AG13" i="124" s="1"/>
  <c r="AB13" i="124"/>
  <c r="AA13" i="124"/>
  <c r="BI12" i="124"/>
  <c r="BH12" i="124"/>
  <c r="AU12" i="124"/>
  <c r="AT12" i="124"/>
  <c r="AI12" i="124"/>
  <c r="AF12" i="124"/>
  <c r="AE12" i="124"/>
  <c r="AG12" i="124" s="1"/>
  <c r="AB12" i="124"/>
  <c r="AA12" i="124"/>
  <c r="BI11" i="124"/>
  <c r="BH11" i="124"/>
  <c r="AU11" i="124"/>
  <c r="AT11" i="124"/>
  <c r="AI11" i="124"/>
  <c r="AF11" i="124"/>
  <c r="AE11" i="124"/>
  <c r="AG11" i="124" s="1"/>
  <c r="AB11" i="124"/>
  <c r="AA11" i="124"/>
  <c r="BI10" i="124"/>
  <c r="BH10" i="124"/>
  <c r="AU10" i="124"/>
  <c r="AT10" i="124"/>
  <c r="AI10" i="124"/>
  <c r="AF10" i="124"/>
  <c r="AE10" i="124"/>
  <c r="AG10" i="124" s="1"/>
  <c r="AB10" i="124"/>
  <c r="AA10" i="124"/>
  <c r="BI9" i="124"/>
  <c r="BH9" i="124"/>
  <c r="AU9" i="124"/>
  <c r="AT9" i="124"/>
  <c r="AI9" i="124"/>
  <c r="AF9" i="124"/>
  <c r="AE9" i="124"/>
  <c r="AG9" i="124" s="1"/>
  <c r="AB9" i="124"/>
  <c r="AA9" i="124"/>
  <c r="BI8" i="124"/>
  <c r="BH8" i="124"/>
  <c r="AU8" i="124"/>
  <c r="AT8" i="124"/>
  <c r="AI8" i="124"/>
  <c r="AF8" i="124"/>
  <c r="AE8" i="124"/>
  <c r="AG8" i="124" s="1"/>
  <c r="AB8" i="124"/>
  <c r="AA8" i="124"/>
  <c r="BI7" i="124"/>
  <c r="BH7" i="124"/>
  <c r="AU7" i="124"/>
  <c r="AT7" i="124"/>
  <c r="AI7" i="124"/>
  <c r="AF7" i="124"/>
  <c r="AE7" i="124"/>
  <c r="AG7" i="124" s="1"/>
  <c r="AB7" i="124"/>
  <c r="AA7" i="124"/>
  <c r="BI6" i="124"/>
  <c r="BH6" i="124"/>
  <c r="AU6" i="124"/>
  <c r="AT6" i="124"/>
  <c r="AI6" i="124"/>
  <c r="AF6" i="124"/>
  <c r="AE6" i="124"/>
  <c r="AG6" i="124" s="1"/>
  <c r="AB6" i="124"/>
  <c r="AA6" i="124"/>
  <c r="BI25" i="123"/>
  <c r="BH25" i="123"/>
  <c r="AU25" i="123"/>
  <c r="AT25" i="123"/>
  <c r="AI25" i="123"/>
  <c r="AF25" i="123"/>
  <c r="AE25" i="123"/>
  <c r="AG25" i="123" s="1"/>
  <c r="AD25" i="123"/>
  <c r="AB25" i="123"/>
  <c r="AA25" i="123"/>
  <c r="V25" i="123"/>
  <c r="U25" i="123"/>
  <c r="T25" i="123"/>
  <c r="S25" i="123"/>
  <c r="R25" i="123"/>
  <c r="Q25" i="123"/>
  <c r="B25" i="123"/>
  <c r="BE25" i="123" s="1"/>
  <c r="BI24" i="123"/>
  <c r="BH24" i="123"/>
  <c r="AU24" i="123"/>
  <c r="AT24" i="123"/>
  <c r="AI24" i="123"/>
  <c r="AF24" i="123"/>
  <c r="AE24" i="123"/>
  <c r="AG24" i="123" s="1"/>
  <c r="AD24" i="123"/>
  <c r="AB24" i="123"/>
  <c r="AA24" i="123"/>
  <c r="V24" i="123"/>
  <c r="U24" i="123"/>
  <c r="T24" i="123"/>
  <c r="S24" i="123"/>
  <c r="R24" i="123"/>
  <c r="Q24" i="123"/>
  <c r="B24" i="123"/>
  <c r="BE24" i="123" s="1"/>
  <c r="BI23" i="123"/>
  <c r="BH23" i="123"/>
  <c r="AU23" i="123"/>
  <c r="AT23" i="123"/>
  <c r="AI23" i="123"/>
  <c r="AF23" i="123"/>
  <c r="AE23" i="123"/>
  <c r="AG23" i="123" s="1"/>
  <c r="AD23" i="123"/>
  <c r="AB23" i="123"/>
  <c r="AA23" i="123"/>
  <c r="V23" i="123"/>
  <c r="U23" i="123"/>
  <c r="T23" i="123"/>
  <c r="S23" i="123"/>
  <c r="R23" i="123"/>
  <c r="Q23" i="123"/>
  <c r="B23" i="123"/>
  <c r="BE23" i="123" s="1"/>
  <c r="BI22" i="123"/>
  <c r="BH22" i="123"/>
  <c r="AU22" i="123"/>
  <c r="AT22" i="123"/>
  <c r="AI22" i="123"/>
  <c r="AF22" i="123"/>
  <c r="AE22" i="123"/>
  <c r="AG22" i="123" s="1"/>
  <c r="AD22" i="123"/>
  <c r="AB22" i="123"/>
  <c r="AA22" i="123"/>
  <c r="V22" i="123"/>
  <c r="U22" i="123"/>
  <c r="T22" i="123"/>
  <c r="S22" i="123"/>
  <c r="R22" i="123"/>
  <c r="Q22" i="123"/>
  <c r="B22" i="123"/>
  <c r="AC22" i="123" s="1"/>
  <c r="BI21" i="123"/>
  <c r="BH21" i="123"/>
  <c r="AU21" i="123"/>
  <c r="AT21" i="123"/>
  <c r="AI21" i="123"/>
  <c r="AF21" i="123"/>
  <c r="AE21" i="123"/>
  <c r="AG21" i="123" s="1"/>
  <c r="AD21" i="123"/>
  <c r="AB21" i="123"/>
  <c r="AA21" i="123"/>
  <c r="V21" i="123"/>
  <c r="U21" i="123"/>
  <c r="T21" i="123"/>
  <c r="S21" i="123"/>
  <c r="R21" i="123"/>
  <c r="Q21" i="123"/>
  <c r="B21" i="123"/>
  <c r="BE21" i="123" s="1"/>
  <c r="BI20" i="123"/>
  <c r="BH20" i="123"/>
  <c r="AU20" i="123"/>
  <c r="AT20" i="123"/>
  <c r="AI20" i="123"/>
  <c r="AF20" i="123"/>
  <c r="AE20" i="123"/>
  <c r="AG20" i="123" s="1"/>
  <c r="AD20" i="123"/>
  <c r="AB20" i="123"/>
  <c r="AA20" i="123"/>
  <c r="V20" i="123"/>
  <c r="U20" i="123"/>
  <c r="T20" i="123"/>
  <c r="S20" i="123"/>
  <c r="R20" i="123"/>
  <c r="Q20" i="123"/>
  <c r="B20" i="123"/>
  <c r="AQ20" i="123" s="1"/>
  <c r="BI19" i="123"/>
  <c r="BH19" i="123"/>
  <c r="AU19" i="123"/>
  <c r="AT19" i="123"/>
  <c r="AI19" i="123"/>
  <c r="AF19" i="123"/>
  <c r="AE19" i="123"/>
  <c r="AG19" i="123" s="1"/>
  <c r="AD19" i="123"/>
  <c r="AB19" i="123"/>
  <c r="AA19" i="123"/>
  <c r="V19" i="123"/>
  <c r="U19" i="123"/>
  <c r="T19" i="123"/>
  <c r="S19" i="123"/>
  <c r="R19" i="123"/>
  <c r="Q19" i="123"/>
  <c r="B19" i="123"/>
  <c r="AC19" i="123" s="1"/>
  <c r="BI18" i="123"/>
  <c r="BH18" i="123"/>
  <c r="AU18" i="123"/>
  <c r="AT18" i="123"/>
  <c r="AI18" i="123"/>
  <c r="AF18" i="123"/>
  <c r="AE18" i="123"/>
  <c r="AG18" i="123" s="1"/>
  <c r="AD18" i="123"/>
  <c r="AB18" i="123"/>
  <c r="AA18" i="123"/>
  <c r="V18" i="123"/>
  <c r="U18" i="123"/>
  <c r="T18" i="123"/>
  <c r="S18" i="123"/>
  <c r="R18" i="123"/>
  <c r="Q18" i="123"/>
  <c r="B18" i="123"/>
  <c r="BE18" i="123" s="1"/>
  <c r="BI17" i="123"/>
  <c r="BH17" i="123"/>
  <c r="AU17" i="123"/>
  <c r="AT17" i="123"/>
  <c r="AI17" i="123"/>
  <c r="AF17" i="123"/>
  <c r="AE17" i="123"/>
  <c r="AG17" i="123" s="1"/>
  <c r="AD17" i="123"/>
  <c r="AB17" i="123"/>
  <c r="AA17" i="123"/>
  <c r="V17" i="123"/>
  <c r="U17" i="123"/>
  <c r="T17" i="123"/>
  <c r="S17" i="123"/>
  <c r="R17" i="123"/>
  <c r="Q17" i="123"/>
  <c r="B17" i="123"/>
  <c r="BE17" i="123" s="1"/>
  <c r="BI16" i="123"/>
  <c r="BH16" i="123"/>
  <c r="AU16" i="123"/>
  <c r="AT16" i="123"/>
  <c r="AI16" i="123"/>
  <c r="AF16" i="123"/>
  <c r="AE16" i="123"/>
  <c r="AG16" i="123" s="1"/>
  <c r="AD16" i="123"/>
  <c r="AB16" i="123"/>
  <c r="AA16" i="123"/>
  <c r="V16" i="123"/>
  <c r="U16" i="123"/>
  <c r="T16" i="123"/>
  <c r="S16" i="123"/>
  <c r="R16" i="123"/>
  <c r="Q16" i="123"/>
  <c r="B16" i="123"/>
  <c r="BE16" i="123" s="1"/>
  <c r="BI15" i="123"/>
  <c r="BH15" i="123"/>
  <c r="AU15" i="123"/>
  <c r="AT15" i="123"/>
  <c r="AI15" i="123"/>
  <c r="AF15" i="123"/>
  <c r="AE15" i="123"/>
  <c r="AG15" i="123" s="1"/>
  <c r="AB15" i="123"/>
  <c r="AA15" i="123"/>
  <c r="BI14" i="123"/>
  <c r="BH14" i="123"/>
  <c r="AU14" i="123"/>
  <c r="AT14" i="123"/>
  <c r="AI14" i="123"/>
  <c r="AF14" i="123"/>
  <c r="AE14" i="123"/>
  <c r="AG14" i="123" s="1"/>
  <c r="AB14" i="123"/>
  <c r="AA14" i="123"/>
  <c r="BI13" i="123"/>
  <c r="BH13" i="123"/>
  <c r="AU13" i="123"/>
  <c r="AT13" i="123"/>
  <c r="AI13" i="123"/>
  <c r="AF13" i="123"/>
  <c r="AE13" i="123"/>
  <c r="AG13" i="123" s="1"/>
  <c r="AB13" i="123"/>
  <c r="AA13" i="123"/>
  <c r="BI12" i="123"/>
  <c r="BH12" i="123"/>
  <c r="AU12" i="123"/>
  <c r="AT12" i="123"/>
  <c r="AI12" i="123"/>
  <c r="AF12" i="123"/>
  <c r="AE12" i="123"/>
  <c r="AG12" i="123" s="1"/>
  <c r="AB12" i="123"/>
  <c r="AA12" i="123"/>
  <c r="BI11" i="123"/>
  <c r="BH11" i="123"/>
  <c r="AU11" i="123"/>
  <c r="AT11" i="123"/>
  <c r="AI11" i="123"/>
  <c r="AF11" i="123"/>
  <c r="AE11" i="123"/>
  <c r="AG11" i="123" s="1"/>
  <c r="AB11" i="123"/>
  <c r="AA11" i="123"/>
  <c r="BI10" i="123"/>
  <c r="BH10" i="123"/>
  <c r="AU10" i="123"/>
  <c r="AT10" i="123"/>
  <c r="AI10" i="123"/>
  <c r="AF10" i="123"/>
  <c r="AE10" i="123"/>
  <c r="AG10" i="123" s="1"/>
  <c r="AB10" i="123"/>
  <c r="AA10" i="123"/>
  <c r="BI9" i="123"/>
  <c r="BH9" i="123"/>
  <c r="AU9" i="123"/>
  <c r="AT9" i="123"/>
  <c r="AI9" i="123"/>
  <c r="AF9" i="123"/>
  <c r="AE9" i="123"/>
  <c r="AG9" i="123" s="1"/>
  <c r="AB9" i="123"/>
  <c r="AA9" i="123"/>
  <c r="BI8" i="123"/>
  <c r="BH8" i="123"/>
  <c r="AU8" i="123"/>
  <c r="AT8" i="123"/>
  <c r="AI8" i="123"/>
  <c r="AF8" i="123"/>
  <c r="AE8" i="123"/>
  <c r="AG8" i="123" s="1"/>
  <c r="AB8" i="123"/>
  <c r="AA8" i="123"/>
  <c r="BI7" i="123"/>
  <c r="BH7" i="123"/>
  <c r="AU7" i="123"/>
  <c r="AT7" i="123"/>
  <c r="AI7" i="123"/>
  <c r="AF7" i="123"/>
  <c r="AE7" i="123"/>
  <c r="AG7" i="123" s="1"/>
  <c r="AB7" i="123"/>
  <c r="AA7" i="123"/>
  <c r="BI6" i="123"/>
  <c r="BH6" i="123"/>
  <c r="AU6" i="123"/>
  <c r="AT6" i="123"/>
  <c r="AI6" i="123"/>
  <c r="AF6" i="123"/>
  <c r="AE6" i="123"/>
  <c r="AG6" i="123" s="1"/>
  <c r="AB6" i="123"/>
  <c r="AA6" i="123"/>
  <c r="BI25" i="104"/>
  <c r="BH25" i="104"/>
  <c r="AU25" i="104"/>
  <c r="AT25" i="104"/>
  <c r="AI25" i="104"/>
  <c r="AF25" i="104"/>
  <c r="AE25" i="104"/>
  <c r="AG25" i="104" s="1"/>
  <c r="AD25" i="104"/>
  <c r="AB25" i="104"/>
  <c r="AA25" i="104"/>
  <c r="V25" i="104"/>
  <c r="U25" i="104"/>
  <c r="T25" i="104"/>
  <c r="S25" i="104"/>
  <c r="R25" i="104"/>
  <c r="Q25" i="104"/>
  <c r="B25" i="104"/>
  <c r="BE25" i="104" s="1"/>
  <c r="BI24" i="104"/>
  <c r="BH24" i="104"/>
  <c r="AU24" i="104"/>
  <c r="AT24" i="104"/>
  <c r="AI24" i="104"/>
  <c r="AF24" i="104"/>
  <c r="AE24" i="104"/>
  <c r="AG24" i="104" s="1"/>
  <c r="AD24" i="104"/>
  <c r="AB24" i="104"/>
  <c r="AA24" i="104"/>
  <c r="V24" i="104"/>
  <c r="U24" i="104"/>
  <c r="T24" i="104"/>
  <c r="S24" i="104"/>
  <c r="R24" i="104"/>
  <c r="Q24" i="104"/>
  <c r="B24" i="104"/>
  <c r="BE24" i="104" s="1"/>
  <c r="BI23" i="104"/>
  <c r="BH23" i="104"/>
  <c r="AU23" i="104"/>
  <c r="AT23" i="104"/>
  <c r="AI23" i="104"/>
  <c r="AF23" i="104"/>
  <c r="AE23" i="104"/>
  <c r="AG23" i="104" s="1"/>
  <c r="AD23" i="104"/>
  <c r="AB23" i="104"/>
  <c r="AA23" i="104"/>
  <c r="V23" i="104"/>
  <c r="U23" i="104"/>
  <c r="T23" i="104"/>
  <c r="S23" i="104"/>
  <c r="R23" i="104"/>
  <c r="Q23" i="104"/>
  <c r="B23" i="104"/>
  <c r="BE23" i="104" s="1"/>
  <c r="BI22" i="104"/>
  <c r="BH22" i="104"/>
  <c r="AU22" i="104"/>
  <c r="AT22" i="104"/>
  <c r="AI22" i="104"/>
  <c r="AF22" i="104"/>
  <c r="AE22" i="104"/>
  <c r="AG22" i="104" s="1"/>
  <c r="AB22" i="104"/>
  <c r="AA22" i="104"/>
  <c r="BI21" i="104"/>
  <c r="BH21" i="104"/>
  <c r="AU21" i="104"/>
  <c r="AT21" i="104"/>
  <c r="AI21" i="104"/>
  <c r="AF21" i="104"/>
  <c r="AE21" i="104"/>
  <c r="AG21" i="104" s="1"/>
  <c r="AB21" i="104"/>
  <c r="AA21" i="104"/>
  <c r="BI20" i="104"/>
  <c r="BH20" i="104"/>
  <c r="AU20" i="104"/>
  <c r="AT20" i="104"/>
  <c r="AI20" i="104"/>
  <c r="AF20" i="104"/>
  <c r="AE20" i="104"/>
  <c r="AG20" i="104" s="1"/>
  <c r="AB20" i="104"/>
  <c r="AA20" i="104"/>
  <c r="BI19" i="104"/>
  <c r="BH19" i="104"/>
  <c r="AU19" i="104"/>
  <c r="AT19" i="104"/>
  <c r="AI19" i="104"/>
  <c r="AF19" i="104"/>
  <c r="AE19" i="104"/>
  <c r="AG19" i="104" s="1"/>
  <c r="AB19" i="104"/>
  <c r="AA19" i="104"/>
  <c r="BI18" i="104"/>
  <c r="BH18" i="104"/>
  <c r="AU18" i="104"/>
  <c r="AT18" i="104"/>
  <c r="AI18" i="104"/>
  <c r="AF18" i="104"/>
  <c r="AE18" i="104"/>
  <c r="AG18" i="104" s="1"/>
  <c r="AB18" i="104"/>
  <c r="AA18" i="104"/>
  <c r="BI17" i="104"/>
  <c r="BH17" i="104"/>
  <c r="AU17" i="104"/>
  <c r="AT17" i="104"/>
  <c r="AI17" i="104"/>
  <c r="AF17" i="104"/>
  <c r="AE17" i="104"/>
  <c r="AG17" i="104" s="1"/>
  <c r="AB17" i="104"/>
  <c r="AA17" i="104"/>
  <c r="BI16" i="104"/>
  <c r="BH16" i="104"/>
  <c r="AU16" i="104"/>
  <c r="AT16" i="104"/>
  <c r="AI16" i="104"/>
  <c r="AF16" i="104"/>
  <c r="AE16" i="104"/>
  <c r="AG16" i="104" s="1"/>
  <c r="AB16" i="104"/>
  <c r="AA16" i="104"/>
  <c r="BI15" i="104"/>
  <c r="BH15" i="104"/>
  <c r="AU15" i="104"/>
  <c r="AT15" i="104"/>
  <c r="AI15" i="104"/>
  <c r="AF15" i="104"/>
  <c r="AE15" i="104"/>
  <c r="AG15" i="104" s="1"/>
  <c r="AB15" i="104"/>
  <c r="AA15" i="104"/>
  <c r="BI14" i="104"/>
  <c r="BH14" i="104"/>
  <c r="AU14" i="104"/>
  <c r="AT14" i="104"/>
  <c r="AI14" i="104"/>
  <c r="AF14" i="104"/>
  <c r="AE14" i="104"/>
  <c r="AG14" i="104" s="1"/>
  <c r="AB14" i="104"/>
  <c r="AA14" i="104"/>
  <c r="BI13" i="104"/>
  <c r="BH13" i="104"/>
  <c r="AU13" i="104"/>
  <c r="AT13" i="104"/>
  <c r="AI13" i="104"/>
  <c r="AF13" i="104"/>
  <c r="AE13" i="104"/>
  <c r="AG13" i="104" s="1"/>
  <c r="AB13" i="104"/>
  <c r="AA13" i="104"/>
  <c r="BI12" i="104"/>
  <c r="BH12" i="104"/>
  <c r="AU12" i="104"/>
  <c r="AT12" i="104"/>
  <c r="AI12" i="104"/>
  <c r="AF12" i="104"/>
  <c r="AE12" i="104"/>
  <c r="AG12" i="104" s="1"/>
  <c r="AB12" i="104"/>
  <c r="AA12" i="104"/>
  <c r="BI11" i="104"/>
  <c r="BH11" i="104"/>
  <c r="AU11" i="104"/>
  <c r="AT11" i="104"/>
  <c r="AI11" i="104"/>
  <c r="AF11" i="104"/>
  <c r="AE11" i="104"/>
  <c r="AG11" i="104" s="1"/>
  <c r="AB11" i="104"/>
  <c r="AA11" i="104"/>
  <c r="BI10" i="104"/>
  <c r="BH10" i="104"/>
  <c r="AU10" i="104"/>
  <c r="AT10" i="104"/>
  <c r="AI10" i="104"/>
  <c r="AF10" i="104"/>
  <c r="AE10" i="104"/>
  <c r="AG10" i="104" s="1"/>
  <c r="AB10" i="104"/>
  <c r="AA10" i="104"/>
  <c r="BI9" i="104"/>
  <c r="BH9" i="104"/>
  <c r="AU9" i="104"/>
  <c r="AT9" i="104"/>
  <c r="AI9" i="104"/>
  <c r="AF9" i="104"/>
  <c r="AE9" i="104"/>
  <c r="AG9" i="104" s="1"/>
  <c r="AB9" i="104"/>
  <c r="AA9" i="104"/>
  <c r="BI8" i="104"/>
  <c r="BH8" i="104"/>
  <c r="AU8" i="104"/>
  <c r="AT8" i="104"/>
  <c r="AI8" i="104"/>
  <c r="AF8" i="104"/>
  <c r="AE8" i="104"/>
  <c r="AG8" i="104" s="1"/>
  <c r="AB8" i="104"/>
  <c r="AA8" i="104"/>
  <c r="BI7" i="104"/>
  <c r="BH7" i="104"/>
  <c r="AU7" i="104"/>
  <c r="AT7" i="104"/>
  <c r="AI7" i="104"/>
  <c r="AF7" i="104"/>
  <c r="AE7" i="104"/>
  <c r="AG7" i="104" s="1"/>
  <c r="AB7" i="104"/>
  <c r="AA7" i="104"/>
  <c r="BI6" i="104"/>
  <c r="BH6" i="104"/>
  <c r="AU6" i="104"/>
  <c r="AT6" i="104"/>
  <c r="AI6" i="104"/>
  <c r="AF6" i="104"/>
  <c r="AE6" i="104"/>
  <c r="AG6" i="104" s="1"/>
  <c r="AB6" i="104"/>
  <c r="AA6" i="104"/>
  <c r="BZ25" i="181"/>
  <c r="BY25" i="181"/>
  <c r="BX25" i="181"/>
  <c r="BW25" i="181"/>
  <c r="BG25" i="181"/>
  <c r="BE25" i="181"/>
  <c r="AY25" i="181"/>
  <c r="AX25" i="181"/>
  <c r="AW25" i="181"/>
  <c r="AV25" i="181"/>
  <c r="AU25" i="181"/>
  <c r="AS25" i="181"/>
  <c r="AD25" i="181"/>
  <c r="AB25" i="181"/>
  <c r="W25" i="181"/>
  <c r="T25" i="181"/>
  <c r="S25" i="181"/>
  <c r="Q25" i="181"/>
  <c r="P25" i="181"/>
  <c r="N25" i="181"/>
  <c r="B25" i="181"/>
  <c r="AA25" i="181" s="1"/>
  <c r="BZ24" i="181"/>
  <c r="BY24" i="181"/>
  <c r="BX24" i="181"/>
  <c r="BW24" i="181"/>
  <c r="BG24" i="181"/>
  <c r="BE24" i="181"/>
  <c r="AY24" i="181"/>
  <c r="AX24" i="181"/>
  <c r="AW24" i="181"/>
  <c r="AV24" i="181"/>
  <c r="AU24" i="181"/>
  <c r="AS24" i="181"/>
  <c r="AD24" i="181"/>
  <c r="AB24" i="181"/>
  <c r="W24" i="181"/>
  <c r="T24" i="181"/>
  <c r="S24" i="181"/>
  <c r="Q24" i="181"/>
  <c r="P24" i="181"/>
  <c r="N24" i="181"/>
  <c r="B24" i="181"/>
  <c r="AA24" i="181" s="1"/>
  <c r="BG23" i="181"/>
  <c r="BE23" i="181"/>
  <c r="AY23" i="181"/>
  <c r="AX23" i="181"/>
  <c r="AW23" i="181"/>
  <c r="AV23" i="181"/>
  <c r="AU23" i="181"/>
  <c r="AS23" i="181"/>
  <c r="AD23" i="181"/>
  <c r="AB23" i="181"/>
  <c r="W23" i="181"/>
  <c r="T23" i="181"/>
  <c r="S23" i="181"/>
  <c r="Q23" i="181"/>
  <c r="P23" i="181"/>
  <c r="N23" i="181"/>
  <c r="BG22" i="181"/>
  <c r="BE22" i="181"/>
  <c r="AY22" i="181"/>
  <c r="AX22" i="181"/>
  <c r="AW22" i="181"/>
  <c r="AV22" i="181"/>
  <c r="AU22" i="181"/>
  <c r="AS22" i="181"/>
  <c r="AD22" i="181"/>
  <c r="AB22" i="181"/>
  <c r="W22" i="181"/>
  <c r="T22" i="181"/>
  <c r="S22" i="181"/>
  <c r="Q22" i="181"/>
  <c r="P22" i="181"/>
  <c r="N22" i="181"/>
  <c r="BG21" i="181"/>
  <c r="BE21" i="181"/>
  <c r="AY21" i="181"/>
  <c r="AX21" i="181"/>
  <c r="AW21" i="181"/>
  <c r="AV21" i="181"/>
  <c r="AU21" i="181"/>
  <c r="AS21" i="181"/>
  <c r="AD21" i="181"/>
  <c r="AB21" i="181"/>
  <c r="W21" i="181"/>
  <c r="T21" i="181"/>
  <c r="S21" i="181"/>
  <c r="Q21" i="181"/>
  <c r="P21" i="181"/>
  <c r="N21" i="181"/>
  <c r="BG20" i="181"/>
  <c r="BE20" i="181"/>
  <c r="AY20" i="181"/>
  <c r="AX20" i="181"/>
  <c r="AW20" i="181"/>
  <c r="AV20" i="181"/>
  <c r="AU20" i="181"/>
  <c r="AS20" i="181"/>
  <c r="AD20" i="181"/>
  <c r="AB20" i="181"/>
  <c r="W20" i="181"/>
  <c r="T20" i="181"/>
  <c r="S20" i="181"/>
  <c r="Q20" i="181"/>
  <c r="P20" i="181"/>
  <c r="N20" i="181"/>
  <c r="BG19" i="181"/>
  <c r="BE19" i="181"/>
  <c r="AY19" i="181"/>
  <c r="AX19" i="181"/>
  <c r="AW19" i="181"/>
  <c r="AV19" i="181"/>
  <c r="AU19" i="181"/>
  <c r="AS19" i="181"/>
  <c r="AD19" i="181"/>
  <c r="AB19" i="181"/>
  <c r="W19" i="181"/>
  <c r="T19" i="181"/>
  <c r="S19" i="181"/>
  <c r="Q19" i="181"/>
  <c r="P19" i="181"/>
  <c r="N19" i="181"/>
  <c r="BG18" i="181"/>
  <c r="BE18" i="181"/>
  <c r="AY18" i="181"/>
  <c r="AX18" i="181"/>
  <c r="AW18" i="181"/>
  <c r="AV18" i="181"/>
  <c r="AU18" i="181"/>
  <c r="AS18" i="181"/>
  <c r="AD18" i="181"/>
  <c r="AB18" i="181"/>
  <c r="W18" i="181"/>
  <c r="T18" i="181"/>
  <c r="S18" i="181"/>
  <c r="Q18" i="181"/>
  <c r="P18" i="181"/>
  <c r="N18" i="181"/>
  <c r="BG17" i="181"/>
  <c r="BE17" i="181"/>
  <c r="AY17" i="181"/>
  <c r="AX17" i="181"/>
  <c r="AW17" i="181"/>
  <c r="AV17" i="181"/>
  <c r="AU17" i="181"/>
  <c r="AS17" i="181"/>
  <c r="AD17" i="181"/>
  <c r="AB17" i="181"/>
  <c r="W17" i="181"/>
  <c r="T17" i="181"/>
  <c r="S17" i="181"/>
  <c r="Q17" i="181"/>
  <c r="P17" i="181"/>
  <c r="N17" i="181"/>
  <c r="BG16" i="181"/>
  <c r="BE16" i="181"/>
  <c r="AY16" i="181"/>
  <c r="AX16" i="181"/>
  <c r="AW16" i="181"/>
  <c r="AV16" i="181"/>
  <c r="AU16" i="181"/>
  <c r="AS16" i="181"/>
  <c r="AD16" i="181"/>
  <c r="AB16" i="181"/>
  <c r="W16" i="181"/>
  <c r="T16" i="181"/>
  <c r="S16" i="181"/>
  <c r="Q16" i="181"/>
  <c r="P16" i="181"/>
  <c r="N16" i="181"/>
  <c r="BG15" i="181"/>
  <c r="BE15" i="181"/>
  <c r="AY15" i="181"/>
  <c r="AX15" i="181"/>
  <c r="AW15" i="181"/>
  <c r="AV15" i="181"/>
  <c r="AU15" i="181"/>
  <c r="AS15" i="181"/>
  <c r="AD15" i="181"/>
  <c r="AB15" i="181"/>
  <c r="W15" i="181"/>
  <c r="T15" i="181"/>
  <c r="S15" i="181"/>
  <c r="Q15" i="181"/>
  <c r="P15" i="181"/>
  <c r="N15" i="181"/>
  <c r="BG14" i="181"/>
  <c r="BE14" i="181"/>
  <c r="AY14" i="181"/>
  <c r="AX14" i="181"/>
  <c r="AW14" i="181"/>
  <c r="AV14" i="181"/>
  <c r="AU14" i="181"/>
  <c r="AS14" i="181"/>
  <c r="AD14" i="181"/>
  <c r="AB14" i="181"/>
  <c r="W14" i="181"/>
  <c r="T14" i="181"/>
  <c r="S14" i="181"/>
  <c r="Q14" i="181"/>
  <c r="P14" i="181"/>
  <c r="N14" i="181"/>
  <c r="BG13" i="181"/>
  <c r="BE13" i="181"/>
  <c r="AY13" i="181"/>
  <c r="AX13" i="181"/>
  <c r="AW13" i="181"/>
  <c r="AV13" i="181"/>
  <c r="AU13" i="181"/>
  <c r="AS13" i="181"/>
  <c r="AD13" i="181"/>
  <c r="AB13" i="181"/>
  <c r="W13" i="181"/>
  <c r="T13" i="181"/>
  <c r="S13" i="181"/>
  <c r="Q13" i="181"/>
  <c r="P13" i="181"/>
  <c r="N13" i="181"/>
  <c r="BG12" i="181"/>
  <c r="BE12" i="181"/>
  <c r="AY12" i="181"/>
  <c r="AX12" i="181"/>
  <c r="AW12" i="181"/>
  <c r="AV12" i="181"/>
  <c r="AU12" i="181"/>
  <c r="AS12" i="181"/>
  <c r="AD12" i="181"/>
  <c r="AB12" i="181"/>
  <c r="W12" i="181"/>
  <c r="T12" i="181"/>
  <c r="S12" i="181"/>
  <c r="Q12" i="181"/>
  <c r="P12" i="181"/>
  <c r="N12" i="181"/>
  <c r="BG11" i="181"/>
  <c r="BE11" i="181"/>
  <c r="AY11" i="181"/>
  <c r="AX11" i="181"/>
  <c r="AW11" i="181"/>
  <c r="AV11" i="181"/>
  <c r="AU11" i="181"/>
  <c r="AS11" i="181"/>
  <c r="AD11" i="181"/>
  <c r="AB11" i="181"/>
  <c r="W11" i="181"/>
  <c r="T11" i="181"/>
  <c r="S11" i="181"/>
  <c r="Q11" i="181"/>
  <c r="P11" i="181"/>
  <c r="N11" i="181"/>
  <c r="BG10" i="181"/>
  <c r="BE10" i="181"/>
  <c r="AY10" i="181"/>
  <c r="AX10" i="181"/>
  <c r="AW10" i="181"/>
  <c r="AV10" i="181"/>
  <c r="AU10" i="181"/>
  <c r="AS10" i="181"/>
  <c r="AD10" i="181"/>
  <c r="AB10" i="181"/>
  <c r="W10" i="181"/>
  <c r="T10" i="181"/>
  <c r="S10" i="181"/>
  <c r="Q10" i="181"/>
  <c r="P10" i="181"/>
  <c r="N10" i="181"/>
  <c r="BG9" i="181"/>
  <c r="BE9" i="181"/>
  <c r="AY9" i="181"/>
  <c r="AX9" i="181"/>
  <c r="AW9" i="181"/>
  <c r="AV9" i="181"/>
  <c r="AU9" i="181"/>
  <c r="AS9" i="181"/>
  <c r="AD9" i="181"/>
  <c r="AB9" i="181"/>
  <c r="W9" i="181"/>
  <c r="T9" i="181"/>
  <c r="S9" i="181"/>
  <c r="Q9" i="181"/>
  <c r="P9" i="181"/>
  <c r="N9" i="181"/>
  <c r="BG8" i="181"/>
  <c r="BE8" i="181"/>
  <c r="AY8" i="181"/>
  <c r="AX8" i="181"/>
  <c r="AW8" i="181"/>
  <c r="AV8" i="181"/>
  <c r="AU8" i="181"/>
  <c r="AS8" i="181"/>
  <c r="AD8" i="181"/>
  <c r="AB8" i="181"/>
  <c r="W8" i="181"/>
  <c r="T8" i="181"/>
  <c r="S8" i="181"/>
  <c r="Q8" i="181"/>
  <c r="P8" i="181"/>
  <c r="N8" i="181"/>
  <c r="BG7" i="181"/>
  <c r="BE7" i="181"/>
  <c r="AY7" i="181"/>
  <c r="AX7" i="181"/>
  <c r="AW7" i="181"/>
  <c r="AV7" i="181"/>
  <c r="AU7" i="181"/>
  <c r="AS7" i="181"/>
  <c r="AD7" i="181"/>
  <c r="AB7" i="181"/>
  <c r="W7" i="181"/>
  <c r="T7" i="181"/>
  <c r="S7" i="181"/>
  <c r="Q7" i="181"/>
  <c r="P7" i="181"/>
  <c r="N7" i="181"/>
  <c r="BG6" i="181"/>
  <c r="BE6" i="181"/>
  <c r="AY6" i="181"/>
  <c r="AX6" i="181"/>
  <c r="AW6" i="181"/>
  <c r="AV6" i="181"/>
  <c r="AU6" i="181"/>
  <c r="AS6" i="181"/>
  <c r="AD6" i="181"/>
  <c r="AB6" i="181"/>
  <c r="W6" i="181"/>
  <c r="T6" i="181"/>
  <c r="S6" i="181"/>
  <c r="Q6" i="181"/>
  <c r="P6" i="181"/>
  <c r="N6" i="181"/>
  <c r="BY4" i="181" a="1"/>
  <c r="BY4" i="181" s="1"/>
  <c r="BZ25" i="180"/>
  <c r="BY25" i="180"/>
  <c r="BX25" i="180"/>
  <c r="BW25" i="180"/>
  <c r="BG25" i="180"/>
  <c r="BE25" i="180"/>
  <c r="AY25" i="180"/>
  <c r="AX25" i="180"/>
  <c r="AW25" i="180"/>
  <c r="AV25" i="180"/>
  <c r="AU25" i="180"/>
  <c r="AS25" i="180"/>
  <c r="AD25" i="180"/>
  <c r="AB25" i="180"/>
  <c r="W25" i="180"/>
  <c r="T25" i="180"/>
  <c r="S25" i="180"/>
  <c r="Q25" i="180"/>
  <c r="P25" i="180"/>
  <c r="N25" i="180"/>
  <c r="B25" i="180"/>
  <c r="BZ24" i="180"/>
  <c r="BY24" i="180"/>
  <c r="BX24" i="180"/>
  <c r="BW24" i="180"/>
  <c r="BG24" i="180"/>
  <c r="BE24" i="180"/>
  <c r="AY24" i="180"/>
  <c r="AX24" i="180"/>
  <c r="AW24" i="180"/>
  <c r="AV24" i="180"/>
  <c r="AU24" i="180"/>
  <c r="AS24" i="180"/>
  <c r="AD24" i="180"/>
  <c r="AB24" i="180"/>
  <c r="W24" i="180"/>
  <c r="T24" i="180"/>
  <c r="S24" i="180"/>
  <c r="Q24" i="180"/>
  <c r="P24" i="180"/>
  <c r="N24" i="180"/>
  <c r="B24" i="180"/>
  <c r="BR24" i="180" s="1"/>
  <c r="BG23" i="180"/>
  <c r="BE23" i="180"/>
  <c r="AY23" i="180"/>
  <c r="AX23" i="180"/>
  <c r="AW23" i="180"/>
  <c r="AV23" i="180"/>
  <c r="AU23" i="180"/>
  <c r="AS23" i="180"/>
  <c r="AD23" i="180"/>
  <c r="AB23" i="180"/>
  <c r="W23" i="180"/>
  <c r="T23" i="180"/>
  <c r="S23" i="180"/>
  <c r="Q23" i="180"/>
  <c r="P23" i="180"/>
  <c r="N23" i="180"/>
  <c r="BG22" i="180"/>
  <c r="BE22" i="180"/>
  <c r="AY22" i="180"/>
  <c r="AX22" i="180"/>
  <c r="AW22" i="180"/>
  <c r="AV22" i="180"/>
  <c r="AU22" i="180"/>
  <c r="AS22" i="180"/>
  <c r="AD22" i="180"/>
  <c r="AB22" i="180"/>
  <c r="W22" i="180"/>
  <c r="T22" i="180"/>
  <c r="S22" i="180"/>
  <c r="Q22" i="180"/>
  <c r="P22" i="180"/>
  <c r="N22" i="180"/>
  <c r="BG21" i="180"/>
  <c r="BE21" i="180"/>
  <c r="AY21" i="180"/>
  <c r="AX21" i="180"/>
  <c r="AW21" i="180"/>
  <c r="AV21" i="180"/>
  <c r="AU21" i="180"/>
  <c r="AS21" i="180"/>
  <c r="AD21" i="180"/>
  <c r="AB21" i="180"/>
  <c r="W21" i="180"/>
  <c r="T21" i="180"/>
  <c r="S21" i="180"/>
  <c r="Q21" i="180"/>
  <c r="P21" i="180"/>
  <c r="N21" i="180"/>
  <c r="BG20" i="180"/>
  <c r="BE20" i="180"/>
  <c r="AY20" i="180"/>
  <c r="AX20" i="180"/>
  <c r="AW20" i="180"/>
  <c r="AV20" i="180"/>
  <c r="AU20" i="180"/>
  <c r="AS20" i="180"/>
  <c r="AD20" i="180"/>
  <c r="AB20" i="180"/>
  <c r="W20" i="180"/>
  <c r="T20" i="180"/>
  <c r="S20" i="180"/>
  <c r="Q20" i="180"/>
  <c r="P20" i="180"/>
  <c r="N20" i="180"/>
  <c r="BG19" i="180"/>
  <c r="BE19" i="180"/>
  <c r="AY19" i="180"/>
  <c r="AX19" i="180"/>
  <c r="AW19" i="180"/>
  <c r="AV19" i="180"/>
  <c r="AU19" i="180"/>
  <c r="AS19" i="180"/>
  <c r="AD19" i="180"/>
  <c r="AB19" i="180"/>
  <c r="W19" i="180"/>
  <c r="T19" i="180"/>
  <c r="S19" i="180"/>
  <c r="Q19" i="180"/>
  <c r="P19" i="180"/>
  <c r="N19" i="180"/>
  <c r="BG18" i="180"/>
  <c r="BE18" i="180"/>
  <c r="AY18" i="180"/>
  <c r="AX18" i="180"/>
  <c r="AW18" i="180"/>
  <c r="AV18" i="180"/>
  <c r="AU18" i="180"/>
  <c r="AS18" i="180"/>
  <c r="AD18" i="180"/>
  <c r="AB18" i="180"/>
  <c r="W18" i="180"/>
  <c r="T18" i="180"/>
  <c r="S18" i="180"/>
  <c r="Q18" i="180"/>
  <c r="P18" i="180"/>
  <c r="N18" i="180"/>
  <c r="BG17" i="180"/>
  <c r="BE17" i="180"/>
  <c r="AY17" i="180"/>
  <c r="AX17" i="180"/>
  <c r="AW17" i="180"/>
  <c r="AV17" i="180"/>
  <c r="AU17" i="180"/>
  <c r="AS17" i="180"/>
  <c r="AD17" i="180"/>
  <c r="AB17" i="180"/>
  <c r="W17" i="180"/>
  <c r="T17" i="180"/>
  <c r="S17" i="180"/>
  <c r="Q17" i="180"/>
  <c r="P17" i="180"/>
  <c r="N17" i="180"/>
  <c r="BG16" i="180"/>
  <c r="BE16" i="180"/>
  <c r="AY16" i="180"/>
  <c r="AX16" i="180"/>
  <c r="AW16" i="180"/>
  <c r="AV16" i="180"/>
  <c r="AU16" i="180"/>
  <c r="AS16" i="180"/>
  <c r="AD16" i="180"/>
  <c r="AB16" i="180"/>
  <c r="W16" i="180"/>
  <c r="T16" i="180"/>
  <c r="S16" i="180"/>
  <c r="Q16" i="180"/>
  <c r="P16" i="180"/>
  <c r="N16" i="180"/>
  <c r="BG15" i="180"/>
  <c r="BE15" i="180"/>
  <c r="AY15" i="180"/>
  <c r="AX15" i="180"/>
  <c r="AW15" i="180"/>
  <c r="AV15" i="180"/>
  <c r="AU15" i="180"/>
  <c r="AS15" i="180"/>
  <c r="AD15" i="180"/>
  <c r="AB15" i="180"/>
  <c r="W15" i="180"/>
  <c r="T15" i="180"/>
  <c r="S15" i="180"/>
  <c r="Q15" i="180"/>
  <c r="P15" i="180"/>
  <c r="N15" i="180"/>
  <c r="BG14" i="180"/>
  <c r="BE14" i="180"/>
  <c r="AY14" i="180"/>
  <c r="AX14" i="180"/>
  <c r="AW14" i="180"/>
  <c r="AV14" i="180"/>
  <c r="AU14" i="180"/>
  <c r="AS14" i="180"/>
  <c r="AD14" i="180"/>
  <c r="AB14" i="180"/>
  <c r="W14" i="180"/>
  <c r="T14" i="180"/>
  <c r="S14" i="180"/>
  <c r="Q14" i="180"/>
  <c r="P14" i="180"/>
  <c r="N14" i="180"/>
  <c r="BG13" i="180"/>
  <c r="BE13" i="180"/>
  <c r="AY13" i="180"/>
  <c r="AX13" i="180"/>
  <c r="AW13" i="180"/>
  <c r="AV13" i="180"/>
  <c r="AU13" i="180"/>
  <c r="AS13" i="180"/>
  <c r="AD13" i="180"/>
  <c r="AB13" i="180"/>
  <c r="W13" i="180"/>
  <c r="T13" i="180"/>
  <c r="S13" i="180"/>
  <c r="Q13" i="180"/>
  <c r="P13" i="180"/>
  <c r="N13" i="180"/>
  <c r="BG12" i="180"/>
  <c r="BE12" i="180"/>
  <c r="AY12" i="180"/>
  <c r="AX12" i="180"/>
  <c r="AW12" i="180"/>
  <c r="AV12" i="180"/>
  <c r="AU12" i="180"/>
  <c r="AS12" i="180"/>
  <c r="AD12" i="180"/>
  <c r="AB12" i="180"/>
  <c r="W12" i="180"/>
  <c r="T12" i="180"/>
  <c r="S12" i="180"/>
  <c r="Q12" i="180"/>
  <c r="P12" i="180"/>
  <c r="N12" i="180"/>
  <c r="BG11" i="180"/>
  <c r="BE11" i="180"/>
  <c r="AY11" i="180"/>
  <c r="AX11" i="180"/>
  <c r="AW11" i="180"/>
  <c r="AV11" i="180"/>
  <c r="AU11" i="180"/>
  <c r="AS11" i="180"/>
  <c r="AD11" i="180"/>
  <c r="AB11" i="180"/>
  <c r="W11" i="180"/>
  <c r="T11" i="180"/>
  <c r="S11" i="180"/>
  <c r="Q11" i="180"/>
  <c r="P11" i="180"/>
  <c r="N11" i="180"/>
  <c r="BG10" i="180"/>
  <c r="BE10" i="180"/>
  <c r="AY10" i="180"/>
  <c r="AX10" i="180"/>
  <c r="AW10" i="180"/>
  <c r="AV10" i="180"/>
  <c r="AU10" i="180"/>
  <c r="AS10" i="180"/>
  <c r="AD10" i="180"/>
  <c r="AB10" i="180"/>
  <c r="W10" i="180"/>
  <c r="T10" i="180"/>
  <c r="S10" i="180"/>
  <c r="Q10" i="180"/>
  <c r="P10" i="180"/>
  <c r="N10" i="180"/>
  <c r="BG9" i="180"/>
  <c r="BE9" i="180"/>
  <c r="AY9" i="180"/>
  <c r="AX9" i="180"/>
  <c r="AW9" i="180"/>
  <c r="AV9" i="180"/>
  <c r="AU9" i="180"/>
  <c r="AS9" i="180"/>
  <c r="AD9" i="180"/>
  <c r="AB9" i="180"/>
  <c r="W9" i="180"/>
  <c r="T9" i="180"/>
  <c r="S9" i="180"/>
  <c r="Q9" i="180"/>
  <c r="P9" i="180"/>
  <c r="N9" i="180"/>
  <c r="BG8" i="180"/>
  <c r="BE8" i="180"/>
  <c r="AY8" i="180"/>
  <c r="AX8" i="180"/>
  <c r="AW8" i="180"/>
  <c r="AV8" i="180"/>
  <c r="AU8" i="180"/>
  <c r="AS8" i="180"/>
  <c r="AD8" i="180"/>
  <c r="AB8" i="180"/>
  <c r="W8" i="180"/>
  <c r="T8" i="180"/>
  <c r="S8" i="180"/>
  <c r="Q8" i="180"/>
  <c r="P8" i="180"/>
  <c r="N8" i="180"/>
  <c r="BG7" i="180"/>
  <c r="BE7" i="180"/>
  <c r="AY7" i="180"/>
  <c r="AX7" i="180"/>
  <c r="AW7" i="180"/>
  <c r="AV7" i="180"/>
  <c r="AU7" i="180"/>
  <c r="AS7" i="180"/>
  <c r="AD7" i="180"/>
  <c r="AB7" i="180"/>
  <c r="W7" i="180"/>
  <c r="T7" i="180"/>
  <c r="S7" i="180"/>
  <c r="Q7" i="180"/>
  <c r="P7" i="180"/>
  <c r="N7" i="180"/>
  <c r="BG6" i="180"/>
  <c r="BE6" i="180"/>
  <c r="AY6" i="180"/>
  <c r="AX6" i="180"/>
  <c r="AW6" i="180"/>
  <c r="AV6" i="180"/>
  <c r="AU6" i="180"/>
  <c r="AS6" i="180"/>
  <c r="AD6" i="180"/>
  <c r="AB6" i="180"/>
  <c r="W6" i="180"/>
  <c r="T6" i="180"/>
  <c r="S6" i="180"/>
  <c r="Q6" i="180"/>
  <c r="P6" i="180"/>
  <c r="N6" i="180"/>
  <c r="BY4" i="180" a="1"/>
  <c r="BY4" i="180" s="1"/>
  <c r="BZ25" i="179"/>
  <c r="BY25" i="179"/>
  <c r="BX25" i="179"/>
  <c r="BW25" i="179"/>
  <c r="BG25" i="179"/>
  <c r="BE25" i="179"/>
  <c r="AY25" i="179"/>
  <c r="AX25" i="179"/>
  <c r="AW25" i="179"/>
  <c r="AV25" i="179"/>
  <c r="AU25" i="179"/>
  <c r="AS25" i="179"/>
  <c r="AD25" i="179"/>
  <c r="AB25" i="179"/>
  <c r="W25" i="179"/>
  <c r="T25" i="179"/>
  <c r="S25" i="179"/>
  <c r="Q25" i="179"/>
  <c r="P25" i="179"/>
  <c r="N25" i="179"/>
  <c r="B25" i="179"/>
  <c r="BR25" i="179" s="1"/>
  <c r="BZ24" i="179"/>
  <c r="BY24" i="179"/>
  <c r="BX24" i="179"/>
  <c r="BW24" i="179"/>
  <c r="BG24" i="179"/>
  <c r="BE24" i="179"/>
  <c r="AY24" i="179"/>
  <c r="AX24" i="179"/>
  <c r="AW24" i="179"/>
  <c r="AV24" i="179"/>
  <c r="AU24" i="179"/>
  <c r="AS24" i="179"/>
  <c r="AD24" i="179"/>
  <c r="AB24" i="179"/>
  <c r="W24" i="179"/>
  <c r="T24" i="179"/>
  <c r="S24" i="179"/>
  <c r="Q24" i="179"/>
  <c r="P24" i="179"/>
  <c r="N24" i="179"/>
  <c r="B24" i="179"/>
  <c r="BR24" i="179" s="1"/>
  <c r="BG23" i="179"/>
  <c r="BE23" i="179"/>
  <c r="AY23" i="179"/>
  <c r="AX23" i="179"/>
  <c r="AW23" i="179"/>
  <c r="AV23" i="179"/>
  <c r="AU23" i="179"/>
  <c r="AS23" i="179"/>
  <c r="AD23" i="179"/>
  <c r="AB23" i="179"/>
  <c r="W23" i="179"/>
  <c r="T23" i="179"/>
  <c r="S23" i="179"/>
  <c r="Q23" i="179"/>
  <c r="P23" i="179"/>
  <c r="N23" i="179"/>
  <c r="BG22" i="179"/>
  <c r="BE22" i="179"/>
  <c r="AY22" i="179"/>
  <c r="AX22" i="179"/>
  <c r="AW22" i="179"/>
  <c r="AV22" i="179"/>
  <c r="AU22" i="179"/>
  <c r="AS22" i="179"/>
  <c r="AD22" i="179"/>
  <c r="AB22" i="179"/>
  <c r="W22" i="179"/>
  <c r="T22" i="179"/>
  <c r="S22" i="179"/>
  <c r="Q22" i="179"/>
  <c r="P22" i="179"/>
  <c r="N22" i="179"/>
  <c r="BG21" i="179"/>
  <c r="BE21" i="179"/>
  <c r="AY21" i="179"/>
  <c r="AX21" i="179"/>
  <c r="AW21" i="179"/>
  <c r="AV21" i="179"/>
  <c r="AU21" i="179"/>
  <c r="AS21" i="179"/>
  <c r="AD21" i="179"/>
  <c r="AB21" i="179"/>
  <c r="W21" i="179"/>
  <c r="T21" i="179"/>
  <c r="S21" i="179"/>
  <c r="Q21" i="179"/>
  <c r="P21" i="179"/>
  <c r="N21" i="179"/>
  <c r="BG20" i="179"/>
  <c r="BE20" i="179"/>
  <c r="AY20" i="179"/>
  <c r="AX20" i="179"/>
  <c r="AW20" i="179"/>
  <c r="AV20" i="179"/>
  <c r="AU20" i="179"/>
  <c r="AS20" i="179"/>
  <c r="AD20" i="179"/>
  <c r="AB20" i="179"/>
  <c r="W20" i="179"/>
  <c r="T20" i="179"/>
  <c r="S20" i="179"/>
  <c r="Q20" i="179"/>
  <c r="P20" i="179"/>
  <c r="N20" i="179"/>
  <c r="BG19" i="179"/>
  <c r="BE19" i="179"/>
  <c r="AY19" i="179"/>
  <c r="AX19" i="179"/>
  <c r="AW19" i="179"/>
  <c r="AV19" i="179"/>
  <c r="AU19" i="179"/>
  <c r="AS19" i="179"/>
  <c r="AD19" i="179"/>
  <c r="AB19" i="179"/>
  <c r="W19" i="179"/>
  <c r="T19" i="179"/>
  <c r="S19" i="179"/>
  <c r="Q19" i="179"/>
  <c r="P19" i="179"/>
  <c r="N19" i="179"/>
  <c r="BG18" i="179"/>
  <c r="BE18" i="179"/>
  <c r="AY18" i="179"/>
  <c r="AX18" i="179"/>
  <c r="AW18" i="179"/>
  <c r="AV18" i="179"/>
  <c r="AU18" i="179"/>
  <c r="AS18" i="179"/>
  <c r="AD18" i="179"/>
  <c r="AB18" i="179"/>
  <c r="W18" i="179"/>
  <c r="T18" i="179"/>
  <c r="S18" i="179"/>
  <c r="Q18" i="179"/>
  <c r="P18" i="179"/>
  <c r="N18" i="179"/>
  <c r="BG17" i="179"/>
  <c r="BE17" i="179"/>
  <c r="AY17" i="179"/>
  <c r="AX17" i="179"/>
  <c r="AW17" i="179"/>
  <c r="AV17" i="179"/>
  <c r="AU17" i="179"/>
  <c r="AS17" i="179"/>
  <c r="AD17" i="179"/>
  <c r="AB17" i="179"/>
  <c r="W17" i="179"/>
  <c r="T17" i="179"/>
  <c r="S17" i="179"/>
  <c r="Q17" i="179"/>
  <c r="P17" i="179"/>
  <c r="N17" i="179"/>
  <c r="BG16" i="179"/>
  <c r="BE16" i="179"/>
  <c r="AY16" i="179"/>
  <c r="AX16" i="179"/>
  <c r="AW16" i="179"/>
  <c r="AV16" i="179"/>
  <c r="AU16" i="179"/>
  <c r="AS16" i="179"/>
  <c r="AD16" i="179"/>
  <c r="AB16" i="179"/>
  <c r="W16" i="179"/>
  <c r="T16" i="179"/>
  <c r="S16" i="179"/>
  <c r="Q16" i="179"/>
  <c r="P16" i="179"/>
  <c r="N16" i="179"/>
  <c r="BG15" i="179"/>
  <c r="BE15" i="179"/>
  <c r="AY15" i="179"/>
  <c r="AX15" i="179"/>
  <c r="AW15" i="179"/>
  <c r="AV15" i="179"/>
  <c r="AU15" i="179"/>
  <c r="AS15" i="179"/>
  <c r="AD15" i="179"/>
  <c r="AB15" i="179"/>
  <c r="W15" i="179"/>
  <c r="T15" i="179"/>
  <c r="S15" i="179"/>
  <c r="Q15" i="179"/>
  <c r="P15" i="179"/>
  <c r="N15" i="179"/>
  <c r="BG14" i="179"/>
  <c r="BE14" i="179"/>
  <c r="AY14" i="179"/>
  <c r="AX14" i="179"/>
  <c r="AW14" i="179"/>
  <c r="AV14" i="179"/>
  <c r="AU14" i="179"/>
  <c r="AS14" i="179"/>
  <c r="AD14" i="179"/>
  <c r="AB14" i="179"/>
  <c r="W14" i="179"/>
  <c r="T14" i="179"/>
  <c r="S14" i="179"/>
  <c r="Q14" i="179"/>
  <c r="P14" i="179"/>
  <c r="N14" i="179"/>
  <c r="BG13" i="179"/>
  <c r="BE13" i="179"/>
  <c r="AY13" i="179"/>
  <c r="AX13" i="179"/>
  <c r="AW13" i="179"/>
  <c r="AV13" i="179"/>
  <c r="AU13" i="179"/>
  <c r="AS13" i="179"/>
  <c r="AD13" i="179"/>
  <c r="AB13" i="179"/>
  <c r="W13" i="179"/>
  <c r="T13" i="179"/>
  <c r="S13" i="179"/>
  <c r="Q13" i="179"/>
  <c r="P13" i="179"/>
  <c r="N13" i="179"/>
  <c r="BG12" i="179"/>
  <c r="BE12" i="179"/>
  <c r="AY12" i="179"/>
  <c r="AX12" i="179"/>
  <c r="AW12" i="179"/>
  <c r="AV12" i="179"/>
  <c r="AU12" i="179"/>
  <c r="AS12" i="179"/>
  <c r="AD12" i="179"/>
  <c r="AB12" i="179"/>
  <c r="W12" i="179"/>
  <c r="T12" i="179"/>
  <c r="S12" i="179"/>
  <c r="Q12" i="179"/>
  <c r="P12" i="179"/>
  <c r="N12" i="179"/>
  <c r="BG11" i="179"/>
  <c r="BE11" i="179"/>
  <c r="AY11" i="179"/>
  <c r="AX11" i="179"/>
  <c r="AW11" i="179"/>
  <c r="AV11" i="179"/>
  <c r="AU11" i="179"/>
  <c r="AS11" i="179"/>
  <c r="AD11" i="179"/>
  <c r="AB11" i="179"/>
  <c r="W11" i="179"/>
  <c r="T11" i="179"/>
  <c r="S11" i="179"/>
  <c r="Q11" i="179"/>
  <c r="P11" i="179"/>
  <c r="N11" i="179"/>
  <c r="BG10" i="179"/>
  <c r="BE10" i="179"/>
  <c r="AY10" i="179"/>
  <c r="AX10" i="179"/>
  <c r="AW10" i="179"/>
  <c r="AV10" i="179"/>
  <c r="AU10" i="179"/>
  <c r="AS10" i="179"/>
  <c r="AD10" i="179"/>
  <c r="AB10" i="179"/>
  <c r="W10" i="179"/>
  <c r="T10" i="179"/>
  <c r="S10" i="179"/>
  <c r="Q10" i="179"/>
  <c r="P10" i="179"/>
  <c r="N10" i="179"/>
  <c r="BG9" i="179"/>
  <c r="BE9" i="179"/>
  <c r="AY9" i="179"/>
  <c r="AX9" i="179"/>
  <c r="AW9" i="179"/>
  <c r="AV9" i="179"/>
  <c r="AU9" i="179"/>
  <c r="AS9" i="179"/>
  <c r="AD9" i="179"/>
  <c r="AB9" i="179"/>
  <c r="W9" i="179"/>
  <c r="T9" i="179"/>
  <c r="S9" i="179"/>
  <c r="Q9" i="179"/>
  <c r="P9" i="179"/>
  <c r="N9" i="179"/>
  <c r="BG8" i="179"/>
  <c r="BE8" i="179"/>
  <c r="AY8" i="179"/>
  <c r="AX8" i="179"/>
  <c r="AW8" i="179"/>
  <c r="AV8" i="179"/>
  <c r="AU8" i="179"/>
  <c r="AS8" i="179"/>
  <c r="AD8" i="179"/>
  <c r="AB8" i="179"/>
  <c r="W8" i="179"/>
  <c r="T8" i="179"/>
  <c r="S8" i="179"/>
  <c r="Q8" i="179"/>
  <c r="P8" i="179"/>
  <c r="N8" i="179"/>
  <c r="BG7" i="179"/>
  <c r="BE7" i="179"/>
  <c r="AY7" i="179"/>
  <c r="AX7" i="179"/>
  <c r="AW7" i="179"/>
  <c r="AV7" i="179"/>
  <c r="AU7" i="179"/>
  <c r="AS7" i="179"/>
  <c r="AD7" i="179"/>
  <c r="AB7" i="179"/>
  <c r="W7" i="179"/>
  <c r="T7" i="179"/>
  <c r="S7" i="179"/>
  <c r="Q7" i="179"/>
  <c r="P7" i="179"/>
  <c r="N7" i="179"/>
  <c r="BG6" i="179"/>
  <c r="BE6" i="179"/>
  <c r="AY6" i="179"/>
  <c r="AX6" i="179"/>
  <c r="AW6" i="179"/>
  <c r="AV6" i="179"/>
  <c r="AU6" i="179"/>
  <c r="AS6" i="179"/>
  <c r="AD6" i="179"/>
  <c r="AB6" i="179"/>
  <c r="W6" i="179"/>
  <c r="T6" i="179"/>
  <c r="S6" i="179"/>
  <c r="Q6" i="179"/>
  <c r="P6" i="179"/>
  <c r="N6" i="179"/>
  <c r="BY4" i="179" a="1"/>
  <c r="BY4" i="179" s="1"/>
  <c r="BZ25" i="178"/>
  <c r="BY25" i="178"/>
  <c r="BX25" i="178"/>
  <c r="BW25" i="178"/>
  <c r="BG25" i="178"/>
  <c r="BE25" i="178"/>
  <c r="AY25" i="178"/>
  <c r="AX25" i="178"/>
  <c r="AW25" i="178"/>
  <c r="AV25" i="178"/>
  <c r="AU25" i="178"/>
  <c r="AS25" i="178"/>
  <c r="AD25" i="178"/>
  <c r="AB25" i="178"/>
  <c r="W25" i="178"/>
  <c r="T25" i="178"/>
  <c r="S25" i="178"/>
  <c r="Q25" i="178"/>
  <c r="P25" i="178"/>
  <c r="N25" i="178"/>
  <c r="B25" i="178"/>
  <c r="BF25" i="178" s="1"/>
  <c r="BZ24" i="178"/>
  <c r="BY24" i="178"/>
  <c r="BX24" i="178"/>
  <c r="BW24" i="178"/>
  <c r="BG24" i="178"/>
  <c r="BE24" i="178"/>
  <c r="AY24" i="178"/>
  <c r="AX24" i="178"/>
  <c r="AW24" i="178"/>
  <c r="AV24" i="178"/>
  <c r="AU24" i="178"/>
  <c r="AS24" i="178"/>
  <c r="AD24" i="178"/>
  <c r="AB24" i="178"/>
  <c r="W24" i="178"/>
  <c r="T24" i="178"/>
  <c r="S24" i="178"/>
  <c r="Q24" i="178"/>
  <c r="P24" i="178"/>
  <c r="N24" i="178"/>
  <c r="B24" i="178"/>
  <c r="BR24" i="178" s="1"/>
  <c r="BG23" i="178"/>
  <c r="BE23" i="178"/>
  <c r="AY23" i="178"/>
  <c r="AX23" i="178"/>
  <c r="AW23" i="178"/>
  <c r="AV23" i="178"/>
  <c r="AU23" i="178"/>
  <c r="AS23" i="178"/>
  <c r="AD23" i="178"/>
  <c r="AB23" i="178"/>
  <c r="W23" i="178"/>
  <c r="T23" i="178"/>
  <c r="S23" i="178"/>
  <c r="Q23" i="178"/>
  <c r="P23" i="178"/>
  <c r="N23" i="178"/>
  <c r="BG22" i="178"/>
  <c r="BE22" i="178"/>
  <c r="AY22" i="178"/>
  <c r="AX22" i="178"/>
  <c r="AW22" i="178"/>
  <c r="AV22" i="178"/>
  <c r="AU22" i="178"/>
  <c r="AS22" i="178"/>
  <c r="AD22" i="178"/>
  <c r="AB22" i="178"/>
  <c r="W22" i="178"/>
  <c r="T22" i="178"/>
  <c r="S22" i="178"/>
  <c r="Q22" i="178"/>
  <c r="P22" i="178"/>
  <c r="N22" i="178"/>
  <c r="BG21" i="178"/>
  <c r="BE21" i="178"/>
  <c r="AY21" i="178"/>
  <c r="AX21" i="178"/>
  <c r="AW21" i="178"/>
  <c r="AV21" i="178"/>
  <c r="AU21" i="178"/>
  <c r="AS21" i="178"/>
  <c r="AD21" i="178"/>
  <c r="AB21" i="178"/>
  <c r="W21" i="178"/>
  <c r="T21" i="178"/>
  <c r="S21" i="178"/>
  <c r="Q21" i="178"/>
  <c r="P21" i="178"/>
  <c r="N21" i="178"/>
  <c r="BG20" i="178"/>
  <c r="BE20" i="178"/>
  <c r="AY20" i="178"/>
  <c r="AX20" i="178"/>
  <c r="AW20" i="178"/>
  <c r="AV20" i="178"/>
  <c r="AU20" i="178"/>
  <c r="AS20" i="178"/>
  <c r="AD20" i="178"/>
  <c r="AB20" i="178"/>
  <c r="W20" i="178"/>
  <c r="T20" i="178"/>
  <c r="S20" i="178"/>
  <c r="Q20" i="178"/>
  <c r="P20" i="178"/>
  <c r="N20" i="178"/>
  <c r="BG19" i="178"/>
  <c r="BE19" i="178"/>
  <c r="AY19" i="178"/>
  <c r="AX19" i="178"/>
  <c r="AW19" i="178"/>
  <c r="AV19" i="178"/>
  <c r="AU19" i="178"/>
  <c r="AS19" i="178"/>
  <c r="AD19" i="178"/>
  <c r="AB19" i="178"/>
  <c r="W19" i="178"/>
  <c r="T19" i="178"/>
  <c r="S19" i="178"/>
  <c r="Q19" i="178"/>
  <c r="P19" i="178"/>
  <c r="N19" i="178"/>
  <c r="BG18" i="178"/>
  <c r="BE18" i="178"/>
  <c r="AY18" i="178"/>
  <c r="AX18" i="178"/>
  <c r="AW18" i="178"/>
  <c r="AV18" i="178"/>
  <c r="AU18" i="178"/>
  <c r="AS18" i="178"/>
  <c r="AD18" i="178"/>
  <c r="AB18" i="178"/>
  <c r="W18" i="178"/>
  <c r="T18" i="178"/>
  <c r="S18" i="178"/>
  <c r="Q18" i="178"/>
  <c r="P18" i="178"/>
  <c r="N18" i="178"/>
  <c r="BG17" i="178"/>
  <c r="BE17" i="178"/>
  <c r="AY17" i="178"/>
  <c r="AX17" i="178"/>
  <c r="AW17" i="178"/>
  <c r="AV17" i="178"/>
  <c r="AU17" i="178"/>
  <c r="AS17" i="178"/>
  <c r="AD17" i="178"/>
  <c r="AB17" i="178"/>
  <c r="W17" i="178"/>
  <c r="T17" i="178"/>
  <c r="S17" i="178"/>
  <c r="Q17" i="178"/>
  <c r="P17" i="178"/>
  <c r="N17" i="178"/>
  <c r="BG16" i="178"/>
  <c r="BE16" i="178"/>
  <c r="AY16" i="178"/>
  <c r="AX16" i="178"/>
  <c r="AW16" i="178"/>
  <c r="AV16" i="178"/>
  <c r="AU16" i="178"/>
  <c r="AS16" i="178"/>
  <c r="AD16" i="178"/>
  <c r="AB16" i="178"/>
  <c r="W16" i="178"/>
  <c r="T16" i="178"/>
  <c r="S16" i="178"/>
  <c r="Q16" i="178"/>
  <c r="P16" i="178"/>
  <c r="N16" i="178"/>
  <c r="BG15" i="178"/>
  <c r="BE15" i="178"/>
  <c r="AY15" i="178"/>
  <c r="AX15" i="178"/>
  <c r="AW15" i="178"/>
  <c r="AV15" i="178"/>
  <c r="AU15" i="178"/>
  <c r="AS15" i="178"/>
  <c r="AD15" i="178"/>
  <c r="AB15" i="178"/>
  <c r="W15" i="178"/>
  <c r="T15" i="178"/>
  <c r="S15" i="178"/>
  <c r="Q15" i="178"/>
  <c r="P15" i="178"/>
  <c r="N15" i="178"/>
  <c r="BG14" i="178"/>
  <c r="BE14" i="178"/>
  <c r="AY14" i="178"/>
  <c r="AX14" i="178"/>
  <c r="AW14" i="178"/>
  <c r="AV14" i="178"/>
  <c r="AU14" i="178"/>
  <c r="AS14" i="178"/>
  <c r="AD14" i="178"/>
  <c r="AB14" i="178"/>
  <c r="W14" i="178"/>
  <c r="T14" i="178"/>
  <c r="S14" i="178"/>
  <c r="Q14" i="178"/>
  <c r="P14" i="178"/>
  <c r="N14" i="178"/>
  <c r="BG13" i="178"/>
  <c r="BE13" i="178"/>
  <c r="AY13" i="178"/>
  <c r="AX13" i="178"/>
  <c r="AW13" i="178"/>
  <c r="AV13" i="178"/>
  <c r="AU13" i="178"/>
  <c r="AS13" i="178"/>
  <c r="AD13" i="178"/>
  <c r="AB13" i="178"/>
  <c r="W13" i="178"/>
  <c r="T13" i="178"/>
  <c r="S13" i="178"/>
  <c r="Q13" i="178"/>
  <c r="P13" i="178"/>
  <c r="N13" i="178"/>
  <c r="BG12" i="178"/>
  <c r="BE12" i="178"/>
  <c r="AY12" i="178"/>
  <c r="AX12" i="178"/>
  <c r="AW12" i="178"/>
  <c r="AV12" i="178"/>
  <c r="AU12" i="178"/>
  <c r="AS12" i="178"/>
  <c r="AD12" i="178"/>
  <c r="AB12" i="178"/>
  <c r="W12" i="178"/>
  <c r="T12" i="178"/>
  <c r="S12" i="178"/>
  <c r="Q12" i="178"/>
  <c r="P12" i="178"/>
  <c r="N12" i="178"/>
  <c r="BG11" i="178"/>
  <c r="BE11" i="178"/>
  <c r="AY11" i="178"/>
  <c r="AX11" i="178"/>
  <c r="AW11" i="178"/>
  <c r="AV11" i="178"/>
  <c r="AU11" i="178"/>
  <c r="AS11" i="178"/>
  <c r="AD11" i="178"/>
  <c r="AB11" i="178"/>
  <c r="W11" i="178"/>
  <c r="T11" i="178"/>
  <c r="S11" i="178"/>
  <c r="Q11" i="178"/>
  <c r="P11" i="178"/>
  <c r="N11" i="178"/>
  <c r="BG10" i="178"/>
  <c r="BE10" i="178"/>
  <c r="AY10" i="178"/>
  <c r="AX10" i="178"/>
  <c r="AW10" i="178"/>
  <c r="AV10" i="178"/>
  <c r="AU10" i="178"/>
  <c r="AS10" i="178"/>
  <c r="AD10" i="178"/>
  <c r="AB10" i="178"/>
  <c r="W10" i="178"/>
  <c r="T10" i="178"/>
  <c r="S10" i="178"/>
  <c r="Q10" i="178"/>
  <c r="P10" i="178"/>
  <c r="N10" i="178"/>
  <c r="BG9" i="178"/>
  <c r="BE9" i="178"/>
  <c r="AY9" i="178"/>
  <c r="AX9" i="178"/>
  <c r="AW9" i="178"/>
  <c r="AV9" i="178"/>
  <c r="AU9" i="178"/>
  <c r="AS9" i="178"/>
  <c r="AD9" i="178"/>
  <c r="AB9" i="178"/>
  <c r="W9" i="178"/>
  <c r="T9" i="178"/>
  <c r="S9" i="178"/>
  <c r="Q9" i="178"/>
  <c r="P9" i="178"/>
  <c r="N9" i="178"/>
  <c r="BG8" i="178"/>
  <c r="BE8" i="178"/>
  <c r="AY8" i="178"/>
  <c r="AX8" i="178"/>
  <c r="AW8" i="178"/>
  <c r="AV8" i="178"/>
  <c r="AU8" i="178"/>
  <c r="AS8" i="178"/>
  <c r="AD8" i="178"/>
  <c r="AB8" i="178"/>
  <c r="W8" i="178"/>
  <c r="T8" i="178"/>
  <c r="S8" i="178"/>
  <c r="Q8" i="178"/>
  <c r="P8" i="178"/>
  <c r="N8" i="178"/>
  <c r="BG7" i="178"/>
  <c r="BE7" i="178"/>
  <c r="AY7" i="178"/>
  <c r="AX7" i="178"/>
  <c r="AW7" i="178"/>
  <c r="AV7" i="178"/>
  <c r="AU7" i="178"/>
  <c r="AS7" i="178"/>
  <c r="AD7" i="178"/>
  <c r="AB7" i="178"/>
  <c r="W7" i="178"/>
  <c r="T7" i="178"/>
  <c r="S7" i="178"/>
  <c r="Q7" i="178"/>
  <c r="P7" i="178"/>
  <c r="N7" i="178"/>
  <c r="BG6" i="178"/>
  <c r="BE6" i="178"/>
  <c r="AY6" i="178"/>
  <c r="AX6" i="178"/>
  <c r="AW6" i="178"/>
  <c r="AV6" i="178"/>
  <c r="AU6" i="178"/>
  <c r="AS6" i="178"/>
  <c r="AD6" i="178"/>
  <c r="AB6" i="178"/>
  <c r="W6" i="178"/>
  <c r="T6" i="178"/>
  <c r="S6" i="178"/>
  <c r="Q6" i="178"/>
  <c r="P6" i="178"/>
  <c r="N6" i="178"/>
  <c r="BY4" i="178" a="1"/>
  <c r="BY4" i="178" s="1"/>
  <c r="B20" i="139"/>
  <c r="C17" i="139"/>
  <c r="F5" i="139"/>
  <c r="D47" i="118"/>
  <c r="D46" i="118"/>
  <c r="D45" i="118"/>
  <c r="D44" i="118"/>
  <c r="BG25" i="123"/>
  <c r="BG25" i="125"/>
  <c r="BG23" i="104"/>
  <c r="BG20" i="123"/>
  <c r="BG25" i="124"/>
  <c r="BG22" i="124"/>
  <c r="BG24" i="123"/>
  <c r="BG24" i="104"/>
  <c r="BG23" i="123"/>
  <c r="BG17" i="123"/>
  <c r="BG16" i="123"/>
  <c r="BG24" i="125"/>
  <c r="BG23" i="125"/>
  <c r="BG21" i="123"/>
  <c r="BG24" i="124"/>
  <c r="BG23" i="124"/>
  <c r="BG22" i="123"/>
  <c r="C16" i="139"/>
  <c r="BG22" i="125"/>
  <c r="BG19" i="123"/>
  <c r="BG18" i="123"/>
  <c r="BG25" i="104"/>
  <c r="AQ21" i="123" l="1"/>
  <c r="AQ23" i="125"/>
  <c r="AC25" i="104"/>
  <c r="AQ17" i="123"/>
  <c r="AQ23" i="104"/>
  <c r="BE19" i="123"/>
  <c r="BR25" i="178"/>
  <c r="AQ25" i="124"/>
  <c r="AC21" i="123"/>
  <c r="AQ23" i="123"/>
  <c r="AM24" i="179"/>
  <c r="BF24" i="179"/>
  <c r="BE22" i="123"/>
  <c r="AQ24" i="124"/>
  <c r="AC24" i="124"/>
  <c r="AC23" i="125"/>
  <c r="AM25" i="181"/>
  <c r="BF25" i="181"/>
  <c r="AC22" i="124"/>
  <c r="AQ22" i="125"/>
  <c r="AA24" i="179"/>
  <c r="AM24" i="181"/>
  <c r="BF24" i="181"/>
  <c r="AQ22" i="123"/>
  <c r="BE25" i="124"/>
  <c r="AC20" i="123"/>
  <c r="BE20" i="123"/>
  <c r="BE22" i="124"/>
  <c r="AA24" i="180"/>
  <c r="AQ25" i="123"/>
  <c r="AQ25" i="125"/>
  <c r="AM25" i="179"/>
  <c r="BF25" i="179"/>
  <c r="AC23" i="124"/>
  <c r="BE23" i="124"/>
  <c r="BE22" i="125"/>
  <c r="AA25" i="180"/>
  <c r="BR25" i="180"/>
  <c r="BF25" i="180"/>
  <c r="AM25" i="180"/>
  <c r="AA25" i="179"/>
  <c r="AM24" i="180"/>
  <c r="BF24" i="180"/>
  <c r="BR24" i="181"/>
  <c r="AQ16" i="123"/>
  <c r="AQ24" i="123"/>
  <c r="AQ24" i="125"/>
  <c r="AA24" i="178"/>
  <c r="BR25" i="181"/>
  <c r="AC23" i="123"/>
  <c r="AA25" i="178"/>
  <c r="AQ24" i="104"/>
  <c r="AC16" i="123"/>
  <c r="AQ18" i="123"/>
  <c r="AC24" i="123"/>
  <c r="AC24" i="125"/>
  <c r="AC23" i="104"/>
  <c r="AQ25" i="104"/>
  <c r="AC17" i="123"/>
  <c r="AQ19" i="123"/>
  <c r="AC25" i="123"/>
  <c r="AC25" i="125"/>
  <c r="AM24" i="178"/>
  <c r="BF24" i="178"/>
  <c r="AC24" i="104"/>
  <c r="AC18" i="123"/>
  <c r="AM25" i="178"/>
  <c r="D36" i="118"/>
  <c r="D35" i="118"/>
  <c r="D34" i="118"/>
  <c r="D33" i="118"/>
  <c r="D25" i="118" l="1"/>
  <c r="D24" i="118"/>
  <c r="D23" i="118"/>
  <c r="D22" i="118"/>
  <c r="D14" i="118" l="1"/>
  <c r="D13" i="118"/>
  <c r="D12" i="118"/>
  <c r="D11" i="118"/>
  <c r="AO12" i="57" l="1"/>
  <c r="AQ10" i="57"/>
  <c r="BH41" i="57"/>
  <c r="BN41" i="57"/>
  <c r="BT40" i="56"/>
  <c r="AO12" i="56" l="1"/>
  <c r="AQ10" i="56"/>
  <c r="BT41" i="54"/>
  <c r="BH40" i="56"/>
  <c r="BN40" i="56"/>
  <c r="AR12" i="54" l="1"/>
  <c r="AO12" i="54"/>
  <c r="AR10" i="54"/>
  <c r="AQ10" i="54"/>
  <c r="AC9" i="54"/>
  <c r="BT41" i="55"/>
  <c r="BN41" i="54"/>
  <c r="BH41" i="54"/>
  <c r="AO12" i="55" l="1"/>
  <c r="BH41" i="55"/>
  <c r="AQ10" i="55" l="1"/>
  <c r="AP79" i="121" l="1"/>
  <c r="AD79" i="121"/>
  <c r="AP78" i="121"/>
  <c r="AD78" i="121"/>
  <c r="AP77" i="121"/>
  <c r="AD77" i="121"/>
  <c r="AP76" i="121"/>
  <c r="AD76" i="121"/>
  <c r="AP75" i="121"/>
  <c r="AD75" i="121"/>
  <c r="AP74" i="121"/>
  <c r="AD74" i="121"/>
  <c r="AP73" i="121"/>
  <c r="AD73" i="121"/>
  <c r="AP72" i="121"/>
  <c r="AD72" i="121"/>
  <c r="AP71" i="121"/>
  <c r="AD71" i="121"/>
  <c r="AP70" i="121"/>
  <c r="AD70" i="121"/>
  <c r="AP69" i="121"/>
  <c r="AD69" i="121"/>
  <c r="AP68" i="121"/>
  <c r="AD68" i="121"/>
  <c r="AP67" i="121"/>
  <c r="AD67" i="121"/>
  <c r="AP66" i="121"/>
  <c r="AD66" i="121"/>
  <c r="AP65" i="121"/>
  <c r="AD65" i="121"/>
  <c r="AP64" i="121"/>
  <c r="AD64" i="121"/>
  <c r="AP63" i="121"/>
  <c r="AD63" i="121"/>
  <c r="AP62" i="121"/>
  <c r="AD62" i="121"/>
  <c r="AP61" i="121"/>
  <c r="AD61" i="121"/>
  <c r="AP60" i="121"/>
  <c r="AD60" i="121"/>
  <c r="AP59" i="121"/>
  <c r="AD59" i="121"/>
  <c r="AP58" i="121"/>
  <c r="AD58" i="121"/>
  <c r="AP57" i="121"/>
  <c r="AD57" i="121"/>
  <c r="AP56" i="121"/>
  <c r="AD56" i="121"/>
  <c r="AP55" i="121"/>
  <c r="AD55" i="121"/>
  <c r="AP54" i="121"/>
  <c r="AD54" i="121"/>
  <c r="AP53" i="121"/>
  <c r="AD53" i="121"/>
  <c r="AP52" i="121"/>
  <c r="AD52" i="121"/>
  <c r="AP51" i="121"/>
  <c r="AD51" i="121"/>
  <c r="AP50" i="121"/>
  <c r="AD50" i="121"/>
  <c r="AP49" i="121"/>
  <c r="AD49" i="121"/>
  <c r="AP48" i="121"/>
  <c r="AD48" i="121"/>
  <c r="AP47" i="121"/>
  <c r="AD47" i="121"/>
  <c r="AP46" i="121"/>
  <c r="AD46" i="121"/>
  <c r="AP45" i="121"/>
  <c r="AD45" i="121"/>
  <c r="AP44" i="121"/>
  <c r="AD44" i="121"/>
  <c r="AP43" i="121"/>
  <c r="AD43" i="121"/>
  <c r="AP42" i="121"/>
  <c r="AD42" i="121"/>
  <c r="AP41" i="121"/>
  <c r="AD41" i="121"/>
  <c r="AP40" i="121"/>
  <c r="AD40" i="121"/>
  <c r="AP39" i="121"/>
  <c r="AD39" i="121"/>
  <c r="AP38" i="121"/>
  <c r="AD38" i="121"/>
  <c r="AP37" i="121"/>
  <c r="AD37" i="121"/>
  <c r="AP36" i="121"/>
  <c r="AD36" i="121"/>
  <c r="AP35" i="121"/>
  <c r="AD35" i="121"/>
  <c r="AP34" i="121"/>
  <c r="AD34" i="121"/>
  <c r="AP33" i="121"/>
  <c r="AD33" i="121"/>
  <c r="AP32" i="121"/>
  <c r="AD32" i="121"/>
  <c r="AP31" i="121"/>
  <c r="AD31" i="121"/>
  <c r="AP30" i="121"/>
  <c r="AD30" i="121"/>
  <c r="AP29" i="121"/>
  <c r="AD29" i="121"/>
  <c r="AP28" i="121"/>
  <c r="AD28" i="121"/>
  <c r="AP27" i="121"/>
  <c r="AD27" i="121"/>
  <c r="AP26" i="121"/>
  <c r="AD26" i="121"/>
  <c r="AP25" i="121"/>
  <c r="AD25" i="121"/>
  <c r="AP24" i="121"/>
  <c r="AD24" i="121"/>
  <c r="AP23" i="121"/>
  <c r="AD23" i="121"/>
  <c r="AP22" i="121"/>
  <c r="AD22" i="121"/>
  <c r="AP21" i="121"/>
  <c r="AD21" i="121"/>
  <c r="AP20" i="121"/>
  <c r="AD20" i="121"/>
  <c r="AP19" i="121"/>
  <c r="AD19" i="121"/>
  <c r="AP18" i="121"/>
  <c r="AD18" i="121"/>
  <c r="AP17" i="121"/>
  <c r="AD17" i="121"/>
  <c r="AP16" i="121"/>
  <c r="AD16" i="121"/>
  <c r="AP15" i="121"/>
  <c r="AD15" i="121"/>
  <c r="AP14" i="121"/>
  <c r="AD14" i="121"/>
  <c r="AP13" i="121"/>
  <c r="AD13" i="121"/>
  <c r="AP12" i="121"/>
  <c r="AD12" i="121"/>
  <c r="AP11" i="121"/>
  <c r="AD11" i="121"/>
  <c r="BQ10" i="121" a="1"/>
  <c r="BR77" i="121" l="1"/>
  <c r="BT77" i="121" s="1"/>
  <c r="CO76" i="57" s="1"/>
  <c r="BR73" i="121"/>
  <c r="BT73" i="121" s="1"/>
  <c r="CO72" i="57" s="1"/>
  <c r="BR69" i="121"/>
  <c r="BT69" i="121" s="1"/>
  <c r="CO68" i="57" s="1"/>
  <c r="BR65" i="121"/>
  <c r="BT65" i="121" s="1"/>
  <c r="CO64" i="57" s="1"/>
  <c r="BQ77" i="121"/>
  <c r="BP77" i="121" s="1"/>
  <c r="CN76" i="57" s="1"/>
  <c r="BQ73" i="121"/>
  <c r="BP73" i="121" s="1"/>
  <c r="CN72" i="57" s="1"/>
  <c r="BQ69" i="121"/>
  <c r="BP69" i="121" s="1"/>
  <c r="CN68" i="57" s="1"/>
  <c r="BQ65" i="121"/>
  <c r="BP65" i="121" s="1"/>
  <c r="CN64" i="57" s="1"/>
  <c r="BR76" i="121"/>
  <c r="BT76" i="121" s="1"/>
  <c r="CO75" i="57" s="1"/>
  <c r="BR72" i="121"/>
  <c r="BT72" i="121" s="1"/>
  <c r="CO71" i="57" s="1"/>
  <c r="BR68" i="121"/>
  <c r="BT68" i="121" s="1"/>
  <c r="CO67" i="57" s="1"/>
  <c r="BR64" i="121"/>
  <c r="BT64" i="121" s="1"/>
  <c r="CO63" i="57" s="1"/>
  <c r="BQ76" i="121"/>
  <c r="BP76" i="121" s="1"/>
  <c r="CN75" i="57" s="1"/>
  <c r="BQ72" i="121"/>
  <c r="BP72" i="121" s="1"/>
  <c r="CN71" i="57" s="1"/>
  <c r="BQ68" i="121"/>
  <c r="BP68" i="121" s="1"/>
  <c r="CN67" i="57" s="1"/>
  <c r="BQ64" i="121"/>
  <c r="BP64" i="121" s="1"/>
  <c r="CN63" i="57" s="1"/>
  <c r="BR79" i="121"/>
  <c r="BT79" i="121" s="1"/>
  <c r="CO78" i="57" s="1"/>
  <c r="BR75" i="121"/>
  <c r="BT75" i="121" s="1"/>
  <c r="CO74" i="57" s="1"/>
  <c r="BR71" i="121"/>
  <c r="BT71" i="121" s="1"/>
  <c r="CO70" i="57" s="1"/>
  <c r="BR67" i="121"/>
  <c r="BT67" i="121" s="1"/>
  <c r="CO66" i="57" s="1"/>
  <c r="BR63" i="121"/>
  <c r="BT63" i="121" s="1"/>
  <c r="CO62" i="57" s="1"/>
  <c r="BR78" i="121"/>
  <c r="BT78" i="121" s="1"/>
  <c r="CO77" i="57" s="1"/>
  <c r="BR74" i="121"/>
  <c r="BT74" i="121" s="1"/>
  <c r="CO73" i="57" s="1"/>
  <c r="BR70" i="121"/>
  <c r="BT70" i="121" s="1"/>
  <c r="CO69" i="57" s="1"/>
  <c r="BR66" i="121"/>
  <c r="BT66" i="121" s="1"/>
  <c r="CO65" i="57" s="1"/>
  <c r="BQ61" i="121"/>
  <c r="BP61" i="121" s="1"/>
  <c r="CN60" i="57" s="1"/>
  <c r="BQ57" i="121"/>
  <c r="BP57" i="121" s="1"/>
  <c r="CN56" i="57" s="1"/>
  <c r="BQ53" i="121"/>
  <c r="BP53" i="121" s="1"/>
  <c r="CN52" i="57" s="1"/>
  <c r="BR60" i="121"/>
  <c r="BT60" i="121" s="1"/>
  <c r="CO59" i="57" s="1"/>
  <c r="BR56" i="121"/>
  <c r="BT56" i="121" s="1"/>
  <c r="CO55" i="57" s="1"/>
  <c r="BR52" i="121"/>
  <c r="BT52" i="121" s="1"/>
  <c r="CO51" i="57" s="1"/>
  <c r="BQ60" i="121"/>
  <c r="BP60" i="121" s="1"/>
  <c r="CN59" i="57" s="1"/>
  <c r="BQ56" i="121"/>
  <c r="BP56" i="121" s="1"/>
  <c r="CN55" i="57" s="1"/>
  <c r="BQ52" i="121"/>
  <c r="BP52" i="121" s="1"/>
  <c r="CN51" i="57" s="1"/>
  <c r="BQ79" i="121"/>
  <c r="BP79" i="121" s="1"/>
  <c r="CN78" i="57" s="1"/>
  <c r="BQ75" i="121"/>
  <c r="BP75" i="121" s="1"/>
  <c r="CN74" i="57" s="1"/>
  <c r="BQ71" i="121"/>
  <c r="BP71" i="121" s="1"/>
  <c r="CN70" i="57" s="1"/>
  <c r="BQ67" i="121"/>
  <c r="BP67" i="121" s="1"/>
  <c r="CN66" i="57" s="1"/>
  <c r="BQ63" i="121"/>
  <c r="BP63" i="121" s="1"/>
  <c r="CN62" i="57" s="1"/>
  <c r="BR59" i="121"/>
  <c r="BT59" i="121" s="1"/>
  <c r="CO58" i="57" s="1"/>
  <c r="BR55" i="121"/>
  <c r="BT55" i="121" s="1"/>
  <c r="CO54" i="57" s="1"/>
  <c r="BR51" i="121"/>
  <c r="BT51" i="121" s="1"/>
  <c r="CO50" i="57" s="1"/>
  <c r="BQ62" i="121"/>
  <c r="BP62" i="121" s="1"/>
  <c r="CN61" i="57" s="1"/>
  <c r="BQ78" i="121"/>
  <c r="BP78" i="121" s="1"/>
  <c r="CN77" i="57" s="1"/>
  <c r="BQ74" i="121"/>
  <c r="BP74" i="121" s="1"/>
  <c r="CN73" i="57" s="1"/>
  <c r="BQ70" i="121"/>
  <c r="BP70" i="121" s="1"/>
  <c r="CN69" i="57" s="1"/>
  <c r="BQ66" i="121"/>
  <c r="BP66" i="121" s="1"/>
  <c r="CN65" i="57" s="1"/>
  <c r="BR61" i="121"/>
  <c r="BT61" i="121" s="1"/>
  <c r="CO60" i="57" s="1"/>
  <c r="BR57" i="121"/>
  <c r="BT57" i="121" s="1"/>
  <c r="CO56" i="57" s="1"/>
  <c r="BR53" i="121"/>
  <c r="BT53" i="121" s="1"/>
  <c r="CO52" i="57" s="1"/>
  <c r="BR54" i="121"/>
  <c r="BT54" i="121" s="1"/>
  <c r="CO53" i="57" s="1"/>
  <c r="BR47" i="121"/>
  <c r="BT47" i="121" s="1"/>
  <c r="CO46" i="57" s="1"/>
  <c r="BR43" i="121"/>
  <c r="BT43" i="121" s="1"/>
  <c r="CO42" i="57" s="1"/>
  <c r="BR39" i="121"/>
  <c r="BT39" i="121" s="1"/>
  <c r="CO38" i="57" s="1"/>
  <c r="BQ54" i="121"/>
  <c r="BP54" i="121" s="1"/>
  <c r="CN53" i="57" s="1"/>
  <c r="BQ47" i="121"/>
  <c r="BP47" i="121" s="1"/>
  <c r="CN46" i="57" s="1"/>
  <c r="BQ43" i="121"/>
  <c r="BP43" i="121" s="1"/>
  <c r="CN42" i="57" s="1"/>
  <c r="BQ39" i="121"/>
  <c r="BP39" i="121" s="1"/>
  <c r="CN38" i="57" s="1"/>
  <c r="BR62" i="121"/>
  <c r="BT62" i="121" s="1"/>
  <c r="CO61" i="57" s="1"/>
  <c r="BR50" i="121"/>
  <c r="BT50" i="121" s="1"/>
  <c r="CO49" i="57" s="1"/>
  <c r="BR46" i="121"/>
  <c r="BT46" i="121" s="1"/>
  <c r="CO45" i="57" s="1"/>
  <c r="BR42" i="121"/>
  <c r="BT42" i="121" s="1"/>
  <c r="CO41" i="57" s="1"/>
  <c r="BQ50" i="121"/>
  <c r="BP50" i="121" s="1"/>
  <c r="CN49" i="57" s="1"/>
  <c r="BQ46" i="121"/>
  <c r="BP46" i="121" s="1"/>
  <c r="CN45" i="57" s="1"/>
  <c r="BQ42" i="121"/>
  <c r="BP42" i="121" s="1"/>
  <c r="CN41" i="57" s="1"/>
  <c r="BR58" i="121"/>
  <c r="BT58" i="121" s="1"/>
  <c r="CO57" i="57" s="1"/>
  <c r="BR49" i="121"/>
  <c r="BT49" i="121" s="1"/>
  <c r="CO48" i="57" s="1"/>
  <c r="BR45" i="121"/>
  <c r="BT45" i="121" s="1"/>
  <c r="CO44" i="57" s="1"/>
  <c r="BR41" i="121"/>
  <c r="BT41" i="121" s="1"/>
  <c r="CO40" i="57" s="1"/>
  <c r="BQ55" i="121"/>
  <c r="BP55" i="121" s="1"/>
  <c r="CN54" i="57" s="1"/>
  <c r="BQ48" i="121"/>
  <c r="BP48" i="121" s="1"/>
  <c r="CN47" i="57" s="1"/>
  <c r="BQ44" i="121"/>
  <c r="BP44" i="121" s="1"/>
  <c r="CN43" i="57" s="1"/>
  <c r="BQ40" i="121"/>
  <c r="BP40" i="121" s="1"/>
  <c r="CN39" i="57" s="1"/>
  <c r="BQ49" i="121"/>
  <c r="BP49" i="121" s="1"/>
  <c r="CN48" i="57" s="1"/>
  <c r="BQ45" i="121"/>
  <c r="BP45" i="121" s="1"/>
  <c r="CN44" i="57" s="1"/>
  <c r="BQ41" i="121"/>
  <c r="BP41" i="121" s="1"/>
  <c r="CN40" i="57" s="1"/>
  <c r="BQ36" i="121"/>
  <c r="BP36" i="121" s="1"/>
  <c r="CN35" i="57" s="1"/>
  <c r="BQ32" i="121"/>
  <c r="BP32" i="121" s="1"/>
  <c r="CN31" i="57" s="1"/>
  <c r="BQ28" i="121"/>
  <c r="BP28" i="121" s="1"/>
  <c r="CN27" i="57" s="1"/>
  <c r="BQ58" i="121"/>
  <c r="BP58" i="121" s="1"/>
  <c r="CN57" i="57" s="1"/>
  <c r="BR35" i="121"/>
  <c r="BT35" i="121" s="1"/>
  <c r="CO34" i="57" s="1"/>
  <c r="BR31" i="121"/>
  <c r="BT31" i="121" s="1"/>
  <c r="CO30" i="57" s="1"/>
  <c r="BR27" i="121"/>
  <c r="BT27" i="121" s="1"/>
  <c r="CO26" i="57" s="1"/>
  <c r="BQ35" i="121"/>
  <c r="BP35" i="121" s="1"/>
  <c r="CN34" i="57" s="1"/>
  <c r="BQ31" i="121"/>
  <c r="BP31" i="121" s="1"/>
  <c r="CN30" i="57" s="1"/>
  <c r="BQ59" i="121"/>
  <c r="BP59" i="121" s="1"/>
  <c r="CN58" i="57" s="1"/>
  <c r="BQ51" i="121"/>
  <c r="BP51" i="121" s="1"/>
  <c r="CN50" i="57" s="1"/>
  <c r="BR38" i="121"/>
  <c r="BT38" i="121" s="1"/>
  <c r="CO37" i="57" s="1"/>
  <c r="BR34" i="121"/>
  <c r="BT34" i="121" s="1"/>
  <c r="CO33" i="57" s="1"/>
  <c r="BR30" i="121"/>
  <c r="BT30" i="121" s="1"/>
  <c r="CO29" i="57" s="1"/>
  <c r="BQ38" i="121"/>
  <c r="BP38" i="121" s="1"/>
  <c r="CN37" i="57" s="1"/>
  <c r="BQ34" i="121"/>
  <c r="BP34" i="121" s="1"/>
  <c r="CN33" i="57" s="1"/>
  <c r="BQ30" i="121"/>
  <c r="BP30" i="121" s="1"/>
  <c r="CN29" i="57" s="1"/>
  <c r="BQ37" i="121"/>
  <c r="BP37" i="121" s="1"/>
  <c r="CN36" i="57" s="1"/>
  <c r="BQ33" i="121"/>
  <c r="BP33" i="121" s="1"/>
  <c r="CN32" i="57" s="1"/>
  <c r="BQ29" i="121"/>
  <c r="BP29" i="121" s="1"/>
  <c r="CN28" i="57" s="1"/>
  <c r="BR24" i="121"/>
  <c r="BT24" i="121" s="1"/>
  <c r="CO23" i="57" s="1"/>
  <c r="BR20" i="121"/>
  <c r="BT20" i="121" s="1"/>
  <c r="CO19" i="57" s="1"/>
  <c r="BR16" i="121"/>
  <c r="BT16" i="121" s="1"/>
  <c r="CO15" i="57" s="1"/>
  <c r="BR36" i="121"/>
  <c r="BT36" i="121" s="1"/>
  <c r="CO35" i="57" s="1"/>
  <c r="BR32" i="121"/>
  <c r="BT32" i="121" s="1"/>
  <c r="CO31" i="57" s="1"/>
  <c r="BQ24" i="121"/>
  <c r="BQ20" i="121"/>
  <c r="BQ16" i="121"/>
  <c r="BR40" i="121"/>
  <c r="BT40" i="121" s="1"/>
  <c r="CO39" i="57" s="1"/>
  <c r="BR23" i="121"/>
  <c r="BT23" i="121" s="1"/>
  <c r="CO22" i="57" s="1"/>
  <c r="BR19" i="121"/>
  <c r="BT19" i="121" s="1"/>
  <c r="CO18" i="57" s="1"/>
  <c r="BR15" i="121"/>
  <c r="BT15" i="121" s="1"/>
  <c r="CO14" i="57" s="1"/>
  <c r="BQ23" i="121"/>
  <c r="BQ19" i="121"/>
  <c r="BR22" i="121"/>
  <c r="BT22" i="121" s="1"/>
  <c r="CO21" i="57" s="1"/>
  <c r="BR18" i="121"/>
  <c r="BT18" i="121" s="1"/>
  <c r="CO17" i="57" s="1"/>
  <c r="BQ27" i="121"/>
  <c r="BP27" i="121" s="1"/>
  <c r="CN26" i="57" s="1"/>
  <c r="BR26" i="121"/>
  <c r="BT26" i="121" s="1"/>
  <c r="CO25" i="57" s="1"/>
  <c r="BR25" i="121"/>
  <c r="BT25" i="121" s="1"/>
  <c r="CO24" i="57" s="1"/>
  <c r="BR21" i="121"/>
  <c r="BT21" i="121" s="1"/>
  <c r="CO20" i="57" s="1"/>
  <c r="BR17" i="121"/>
  <c r="BT17" i="121" s="1"/>
  <c r="CO16" i="57" s="1"/>
  <c r="BR33" i="121"/>
  <c r="BT33" i="121" s="1"/>
  <c r="CO32" i="57" s="1"/>
  <c r="BR13" i="121"/>
  <c r="BT13" i="121" s="1"/>
  <c r="CO12" i="57" s="1"/>
  <c r="BQ12" i="121"/>
  <c r="BR44" i="121"/>
  <c r="BT44" i="121" s="1"/>
  <c r="CO43" i="57" s="1"/>
  <c r="BR10" i="121"/>
  <c r="BT10" i="121" s="1"/>
  <c r="CO9" i="57" s="1"/>
  <c r="BQ22" i="121"/>
  <c r="BQ18" i="121"/>
  <c r="BQ13" i="121"/>
  <c r="BQ17" i="121"/>
  <c r="BR28" i="121"/>
  <c r="BT28" i="121" s="1"/>
  <c r="CO27" i="57" s="1"/>
  <c r="BQ26" i="121"/>
  <c r="BP26" i="121" s="1"/>
  <c r="CN25" i="57" s="1"/>
  <c r="BR14" i="121"/>
  <c r="BT14" i="121" s="1"/>
  <c r="CO13" i="57" s="1"/>
  <c r="BR12" i="121"/>
  <c r="BT12" i="121" s="1"/>
  <c r="CO11" i="57" s="1"/>
  <c r="BQ15" i="121"/>
  <c r="BQ14" i="121"/>
  <c r="BQ11" i="121"/>
  <c r="BR48" i="121"/>
  <c r="BT48" i="121" s="1"/>
  <c r="CO47" i="57" s="1"/>
  <c r="BR37" i="121"/>
  <c r="BT37" i="121" s="1"/>
  <c r="CO36" i="57" s="1"/>
  <c r="BR29" i="121"/>
  <c r="BT29" i="121" s="1"/>
  <c r="CO28" i="57" s="1"/>
  <c r="BR11" i="121"/>
  <c r="BT11" i="121" s="1"/>
  <c r="CO10" i="57" s="1"/>
  <c r="BQ25" i="121"/>
  <c r="BQ21" i="121"/>
  <c r="BQ10" i="121"/>
  <c r="BK10" i="121" a="1"/>
  <c r="BL79" i="121" l="1"/>
  <c r="BN79" i="121" s="1"/>
  <c r="BL75" i="121"/>
  <c r="BN75" i="121" s="1"/>
  <c r="BL71" i="121"/>
  <c r="BN71" i="121" s="1"/>
  <c r="BL67" i="121"/>
  <c r="BN67" i="121" s="1"/>
  <c r="BL63" i="121"/>
  <c r="BN63" i="121" s="1"/>
  <c r="BK79" i="121"/>
  <c r="BJ79" i="121" s="1"/>
  <c r="BK75" i="121"/>
  <c r="BJ75" i="121" s="1"/>
  <c r="BK71" i="121"/>
  <c r="BJ71" i="121" s="1"/>
  <c r="BK67" i="121"/>
  <c r="BJ67" i="121" s="1"/>
  <c r="BK63" i="121"/>
  <c r="BJ63" i="121" s="1"/>
  <c r="BL78" i="121"/>
  <c r="BN78" i="121" s="1"/>
  <c r="BL74" i="121"/>
  <c r="BN74" i="121" s="1"/>
  <c r="BL70" i="121"/>
  <c r="BN70" i="121" s="1"/>
  <c r="BL66" i="121"/>
  <c r="BN66" i="121" s="1"/>
  <c r="BK78" i="121"/>
  <c r="BJ78" i="121" s="1"/>
  <c r="BK74" i="121"/>
  <c r="BJ74" i="121" s="1"/>
  <c r="BK70" i="121"/>
  <c r="BJ70" i="121" s="1"/>
  <c r="BK66" i="121"/>
  <c r="BJ66" i="121" s="1"/>
  <c r="BL77" i="121"/>
  <c r="BN77" i="121" s="1"/>
  <c r="BL73" i="121"/>
  <c r="BN73" i="121" s="1"/>
  <c r="BL69" i="121"/>
  <c r="BN69" i="121" s="1"/>
  <c r="BL65" i="121"/>
  <c r="BN65" i="121" s="1"/>
  <c r="BL76" i="121"/>
  <c r="BN76" i="121" s="1"/>
  <c r="BL72" i="121"/>
  <c r="BN72" i="121" s="1"/>
  <c r="BL68" i="121"/>
  <c r="BN68" i="121" s="1"/>
  <c r="BL64" i="121"/>
  <c r="BN64" i="121" s="1"/>
  <c r="BK59" i="121"/>
  <c r="BJ59" i="121" s="1"/>
  <c r="BK55" i="121"/>
  <c r="BJ55" i="121" s="1"/>
  <c r="BK51" i="121"/>
  <c r="BJ51" i="121" s="1"/>
  <c r="BK76" i="121"/>
  <c r="BJ76" i="121" s="1"/>
  <c r="BK72" i="121"/>
  <c r="BJ72" i="121" s="1"/>
  <c r="BK68" i="121"/>
  <c r="BJ68" i="121" s="1"/>
  <c r="BK64" i="121"/>
  <c r="BJ64" i="121" s="1"/>
  <c r="BL62" i="121"/>
  <c r="BN62" i="121" s="1"/>
  <c r="BL58" i="121"/>
  <c r="BN58" i="121" s="1"/>
  <c r="BL54" i="121"/>
  <c r="BN54" i="121" s="1"/>
  <c r="BK62" i="121"/>
  <c r="BJ62" i="121" s="1"/>
  <c r="BK58" i="121"/>
  <c r="BJ58" i="121" s="1"/>
  <c r="BK54" i="121"/>
  <c r="BJ54" i="121" s="1"/>
  <c r="BL61" i="121"/>
  <c r="BN61" i="121" s="1"/>
  <c r="BL57" i="121"/>
  <c r="BN57" i="121" s="1"/>
  <c r="BL53" i="121"/>
  <c r="BN53" i="121" s="1"/>
  <c r="BK60" i="121"/>
  <c r="BJ60" i="121" s="1"/>
  <c r="BL59" i="121"/>
  <c r="BN59" i="121" s="1"/>
  <c r="BL55" i="121"/>
  <c r="BN55" i="121" s="1"/>
  <c r="BL51" i="121"/>
  <c r="BN51" i="121" s="1"/>
  <c r="BK69" i="121"/>
  <c r="BJ69" i="121" s="1"/>
  <c r="BL56" i="121"/>
  <c r="BN56" i="121" s="1"/>
  <c r="BL49" i="121"/>
  <c r="BN49" i="121" s="1"/>
  <c r="BL45" i="121"/>
  <c r="BN45" i="121" s="1"/>
  <c r="BL41" i="121"/>
  <c r="BN41" i="121" s="1"/>
  <c r="BK56" i="121"/>
  <c r="BJ56" i="121" s="1"/>
  <c r="BK49" i="121"/>
  <c r="BJ49" i="121" s="1"/>
  <c r="BK45" i="121"/>
  <c r="BJ45" i="121" s="1"/>
  <c r="BK41" i="121"/>
  <c r="BJ41" i="121" s="1"/>
  <c r="BK65" i="121"/>
  <c r="BJ65" i="121" s="1"/>
  <c r="BK53" i="121"/>
  <c r="BJ53" i="121" s="1"/>
  <c r="BL48" i="121"/>
  <c r="BN48" i="121" s="1"/>
  <c r="BL44" i="121"/>
  <c r="BN44" i="121" s="1"/>
  <c r="BL40" i="121"/>
  <c r="BN40" i="121" s="1"/>
  <c r="BL60" i="121"/>
  <c r="BN60" i="121" s="1"/>
  <c r="BK48" i="121"/>
  <c r="BJ48" i="121" s="1"/>
  <c r="BK44" i="121"/>
  <c r="BJ44" i="121" s="1"/>
  <c r="BK77" i="121"/>
  <c r="BJ77" i="121" s="1"/>
  <c r="BL52" i="121"/>
  <c r="BN52" i="121" s="1"/>
  <c r="BL47" i="121"/>
  <c r="BN47" i="121" s="1"/>
  <c r="BL43" i="121"/>
  <c r="BN43" i="121" s="1"/>
  <c r="BL39" i="121"/>
  <c r="BN39" i="121" s="1"/>
  <c r="BK50" i="121"/>
  <c r="BJ50" i="121" s="1"/>
  <c r="BK46" i="121"/>
  <c r="BJ46" i="121" s="1"/>
  <c r="BK42" i="121"/>
  <c r="BJ42" i="121" s="1"/>
  <c r="BK40" i="121"/>
  <c r="BJ40" i="121" s="1"/>
  <c r="BK38" i="121"/>
  <c r="BJ38" i="121" s="1"/>
  <c r="BK34" i="121"/>
  <c r="BJ34" i="121" s="1"/>
  <c r="BK30" i="121"/>
  <c r="BJ30" i="121" s="1"/>
  <c r="BK26" i="121"/>
  <c r="BJ26" i="121" s="1"/>
  <c r="BK47" i="121"/>
  <c r="BJ47" i="121" s="1"/>
  <c r="BK43" i="121"/>
  <c r="BJ43" i="121" s="1"/>
  <c r="BK39" i="121"/>
  <c r="BJ39" i="121" s="1"/>
  <c r="BL37" i="121"/>
  <c r="BN37" i="121" s="1"/>
  <c r="BL33" i="121"/>
  <c r="BN33" i="121" s="1"/>
  <c r="BL29" i="121"/>
  <c r="BN29" i="121" s="1"/>
  <c r="BK73" i="121"/>
  <c r="BJ73" i="121" s="1"/>
  <c r="BK37" i="121"/>
  <c r="BJ37" i="121" s="1"/>
  <c r="BK33" i="121"/>
  <c r="BJ33" i="121" s="1"/>
  <c r="BK29" i="121"/>
  <c r="BJ29" i="121" s="1"/>
  <c r="BL36" i="121"/>
  <c r="BN36" i="121" s="1"/>
  <c r="BL32" i="121"/>
  <c r="BN32" i="121" s="1"/>
  <c r="BK61" i="121"/>
  <c r="BJ61" i="121" s="1"/>
  <c r="BK36" i="121"/>
  <c r="BJ36" i="121" s="1"/>
  <c r="BK32" i="121"/>
  <c r="BJ32" i="121" s="1"/>
  <c r="BK28" i="121"/>
  <c r="BJ28" i="121" s="1"/>
  <c r="BL50" i="121"/>
  <c r="BN50" i="121" s="1"/>
  <c r="BL46" i="121"/>
  <c r="BN46" i="121" s="1"/>
  <c r="BL42" i="121"/>
  <c r="BN42" i="121" s="1"/>
  <c r="BK35" i="121"/>
  <c r="BJ35" i="121" s="1"/>
  <c r="BK31" i="121"/>
  <c r="BJ31" i="121" s="1"/>
  <c r="BK27" i="121"/>
  <c r="BJ27" i="121" s="1"/>
  <c r="BL27" i="121"/>
  <c r="BN27" i="121" s="1"/>
  <c r="BL22" i="121"/>
  <c r="BN22" i="121" s="1"/>
  <c r="BL18" i="121"/>
  <c r="BN18" i="121" s="1"/>
  <c r="BL14" i="121"/>
  <c r="BN14" i="121" s="1"/>
  <c r="BK22" i="121"/>
  <c r="BJ22" i="121" s="1"/>
  <c r="BK18" i="121"/>
  <c r="BJ18" i="121" s="1"/>
  <c r="BL38" i="121"/>
  <c r="BN38" i="121" s="1"/>
  <c r="BL34" i="121"/>
  <c r="BN34" i="121" s="1"/>
  <c r="BL30" i="121"/>
  <c r="BN30" i="121" s="1"/>
  <c r="BL26" i="121"/>
  <c r="BN26" i="121" s="1"/>
  <c r="BL25" i="121"/>
  <c r="BN25" i="121" s="1"/>
  <c r="BL21" i="121"/>
  <c r="BN21" i="121" s="1"/>
  <c r="BL17" i="121"/>
  <c r="BN17" i="121" s="1"/>
  <c r="BK25" i="121"/>
  <c r="BJ25" i="121" s="1"/>
  <c r="BK21" i="121"/>
  <c r="BJ21" i="121" s="1"/>
  <c r="BK17" i="121"/>
  <c r="BJ17" i="121" s="1"/>
  <c r="BL24" i="121"/>
  <c r="BN24" i="121" s="1"/>
  <c r="BL20" i="121"/>
  <c r="BN20" i="121" s="1"/>
  <c r="BL16" i="121"/>
  <c r="BN16" i="121" s="1"/>
  <c r="BK57" i="121"/>
  <c r="BJ57" i="121" s="1"/>
  <c r="BK52" i="121"/>
  <c r="BJ52" i="121" s="1"/>
  <c r="BL28" i="121"/>
  <c r="BN28" i="121" s="1"/>
  <c r="BL23" i="121"/>
  <c r="BN23" i="121" s="1"/>
  <c r="BL19" i="121"/>
  <c r="BN19" i="121" s="1"/>
  <c r="BL15" i="121"/>
  <c r="BN15" i="121" s="1"/>
  <c r="BL11" i="121"/>
  <c r="BN11" i="121" s="1"/>
  <c r="BK15" i="121"/>
  <c r="BJ15" i="121" s="1"/>
  <c r="BK13" i="121"/>
  <c r="BJ13" i="121" s="1"/>
  <c r="BK11" i="121"/>
  <c r="BJ11" i="121" s="1"/>
  <c r="BL35" i="121"/>
  <c r="BN35" i="121" s="1"/>
  <c r="BK14" i="121"/>
  <c r="BJ14" i="121" s="1"/>
  <c r="BL31" i="121"/>
  <c r="BN31" i="121" s="1"/>
  <c r="BK24" i="121"/>
  <c r="BJ24" i="121" s="1"/>
  <c r="BK20" i="121"/>
  <c r="BJ20" i="121" s="1"/>
  <c r="BL12" i="121"/>
  <c r="BN12" i="121" s="1"/>
  <c r="BK16" i="121"/>
  <c r="BJ16" i="121" s="1"/>
  <c r="BL13" i="121"/>
  <c r="BN13" i="121" s="1"/>
  <c r="BK23" i="121"/>
  <c r="BJ23" i="121" s="1"/>
  <c r="BK19" i="121"/>
  <c r="BJ19" i="121" s="1"/>
  <c r="BK12" i="121"/>
  <c r="BJ12" i="121" s="1"/>
  <c r="BK10" i="121"/>
  <c r="BJ10" i="121" s="1"/>
  <c r="BL10" i="121"/>
  <c r="BN10" i="121" s="1"/>
  <c r="BE10" i="121" a="1"/>
  <c r="BF77" i="121" l="1"/>
  <c r="BH77" i="121" s="1"/>
  <c r="BQ76" i="57" s="1"/>
  <c r="BF73" i="121"/>
  <c r="BH73" i="121" s="1"/>
  <c r="BQ72" i="57" s="1"/>
  <c r="BF69" i="121"/>
  <c r="BH69" i="121" s="1"/>
  <c r="BQ68" i="57" s="1"/>
  <c r="BF65" i="121"/>
  <c r="BH65" i="121" s="1"/>
  <c r="BQ64" i="57" s="1"/>
  <c r="BE77" i="121"/>
  <c r="BD77" i="121" s="1"/>
  <c r="BP76" i="57" s="1"/>
  <c r="BE73" i="121"/>
  <c r="BD73" i="121" s="1"/>
  <c r="BP72" i="57" s="1"/>
  <c r="BE69" i="121"/>
  <c r="BD69" i="121" s="1"/>
  <c r="BP68" i="57" s="1"/>
  <c r="BE65" i="121"/>
  <c r="BD65" i="121" s="1"/>
  <c r="BP64" i="57" s="1"/>
  <c r="BF76" i="121"/>
  <c r="BH76" i="121" s="1"/>
  <c r="BQ75" i="57" s="1"/>
  <c r="BF72" i="121"/>
  <c r="BH72" i="121" s="1"/>
  <c r="BQ71" i="57" s="1"/>
  <c r="BF68" i="121"/>
  <c r="BH68" i="121" s="1"/>
  <c r="BQ67" i="57" s="1"/>
  <c r="BF64" i="121"/>
  <c r="BH64" i="121" s="1"/>
  <c r="BQ63" i="57" s="1"/>
  <c r="BE76" i="121"/>
  <c r="BD76" i="121" s="1"/>
  <c r="BP75" i="57" s="1"/>
  <c r="BE72" i="121"/>
  <c r="BD72" i="121" s="1"/>
  <c r="BP71" i="57" s="1"/>
  <c r="BE68" i="121"/>
  <c r="BD68" i="121" s="1"/>
  <c r="BP67" i="57" s="1"/>
  <c r="BE64" i="121"/>
  <c r="BD64" i="121" s="1"/>
  <c r="BP63" i="57" s="1"/>
  <c r="BF79" i="121"/>
  <c r="BH79" i="121" s="1"/>
  <c r="BQ78" i="57" s="1"/>
  <c r="BF75" i="121"/>
  <c r="BH75" i="121" s="1"/>
  <c r="BQ74" i="57" s="1"/>
  <c r="BF71" i="121"/>
  <c r="BH71" i="121" s="1"/>
  <c r="BQ70" i="57" s="1"/>
  <c r="BF67" i="121"/>
  <c r="BH67" i="121" s="1"/>
  <c r="BQ66" i="57" s="1"/>
  <c r="BF63" i="121"/>
  <c r="BH63" i="121" s="1"/>
  <c r="BQ62" i="57" s="1"/>
  <c r="BF78" i="121"/>
  <c r="BH78" i="121" s="1"/>
  <c r="BQ77" i="57" s="1"/>
  <c r="BF74" i="121"/>
  <c r="BH74" i="121" s="1"/>
  <c r="BQ73" i="57" s="1"/>
  <c r="BF70" i="121"/>
  <c r="BH70" i="121" s="1"/>
  <c r="BQ69" i="57" s="1"/>
  <c r="BF66" i="121"/>
  <c r="BH66" i="121" s="1"/>
  <c r="BQ65" i="57" s="1"/>
  <c r="BE61" i="121"/>
  <c r="BD61" i="121" s="1"/>
  <c r="BP60" i="57" s="1"/>
  <c r="BE57" i="121"/>
  <c r="BD57" i="121" s="1"/>
  <c r="BP56" i="57" s="1"/>
  <c r="BE53" i="121"/>
  <c r="BD53" i="121" s="1"/>
  <c r="BP52" i="57" s="1"/>
  <c r="BE78" i="121"/>
  <c r="BD78" i="121" s="1"/>
  <c r="BP77" i="57" s="1"/>
  <c r="BE74" i="121"/>
  <c r="BD74" i="121" s="1"/>
  <c r="BP73" i="57" s="1"/>
  <c r="BE70" i="121"/>
  <c r="BD70" i="121" s="1"/>
  <c r="BP69" i="57" s="1"/>
  <c r="BE66" i="121"/>
  <c r="BD66" i="121" s="1"/>
  <c r="BP65" i="57" s="1"/>
  <c r="BF60" i="121"/>
  <c r="BH60" i="121" s="1"/>
  <c r="BQ59" i="57" s="1"/>
  <c r="BF56" i="121"/>
  <c r="BH56" i="121" s="1"/>
  <c r="BQ55" i="57" s="1"/>
  <c r="BF52" i="121"/>
  <c r="BH52" i="121" s="1"/>
  <c r="BQ51" i="57" s="1"/>
  <c r="BE60" i="121"/>
  <c r="BD60" i="121" s="1"/>
  <c r="BP59" i="57" s="1"/>
  <c r="BE56" i="121"/>
  <c r="BD56" i="121" s="1"/>
  <c r="BP55" i="57" s="1"/>
  <c r="BE52" i="121"/>
  <c r="BD52" i="121" s="1"/>
  <c r="BP51" i="57" s="1"/>
  <c r="BF59" i="121"/>
  <c r="BH59" i="121" s="1"/>
  <c r="BQ58" i="57" s="1"/>
  <c r="BF55" i="121"/>
  <c r="BH55" i="121" s="1"/>
  <c r="BQ54" i="57" s="1"/>
  <c r="BF51" i="121"/>
  <c r="BH51" i="121" s="1"/>
  <c r="BQ50" i="57" s="1"/>
  <c r="BE62" i="121"/>
  <c r="BD62" i="121" s="1"/>
  <c r="BP61" i="57" s="1"/>
  <c r="BF61" i="121"/>
  <c r="BH61" i="121" s="1"/>
  <c r="BQ60" i="57" s="1"/>
  <c r="BF57" i="121"/>
  <c r="BH57" i="121" s="1"/>
  <c r="BQ56" i="57" s="1"/>
  <c r="BF53" i="121"/>
  <c r="BH53" i="121" s="1"/>
  <c r="BQ52" i="57" s="1"/>
  <c r="BE71" i="121"/>
  <c r="BD71" i="121" s="1"/>
  <c r="BP70" i="57" s="1"/>
  <c r="BE58" i="121"/>
  <c r="BD58" i="121" s="1"/>
  <c r="BP57" i="57" s="1"/>
  <c r="BF47" i="121"/>
  <c r="BH47" i="121" s="1"/>
  <c r="BQ46" i="57" s="1"/>
  <c r="BF43" i="121"/>
  <c r="BH43" i="121" s="1"/>
  <c r="BQ42" i="57" s="1"/>
  <c r="BF39" i="121"/>
  <c r="BH39" i="121" s="1"/>
  <c r="BQ38" i="57" s="1"/>
  <c r="BE51" i="121"/>
  <c r="BD51" i="121" s="1"/>
  <c r="BP50" i="57" s="1"/>
  <c r="BE47" i="121"/>
  <c r="BD47" i="121" s="1"/>
  <c r="BP46" i="57" s="1"/>
  <c r="BE43" i="121"/>
  <c r="BD43" i="121" s="1"/>
  <c r="BP42" i="57" s="1"/>
  <c r="BE39" i="121"/>
  <c r="BD39" i="121" s="1"/>
  <c r="BP38" i="57" s="1"/>
  <c r="BE67" i="121"/>
  <c r="BD67" i="121" s="1"/>
  <c r="BP66" i="57" s="1"/>
  <c r="BE55" i="121"/>
  <c r="BD55" i="121" s="1"/>
  <c r="BP54" i="57" s="1"/>
  <c r="BF50" i="121"/>
  <c r="BH50" i="121" s="1"/>
  <c r="BQ49" i="57" s="1"/>
  <c r="BF46" i="121"/>
  <c r="BH46" i="121" s="1"/>
  <c r="BQ45" i="57" s="1"/>
  <c r="BF42" i="121"/>
  <c r="BH42" i="121" s="1"/>
  <c r="BQ41" i="57" s="1"/>
  <c r="BF54" i="121"/>
  <c r="BH54" i="121" s="1"/>
  <c r="BQ53" i="57" s="1"/>
  <c r="BE50" i="121"/>
  <c r="BD50" i="121" s="1"/>
  <c r="BP49" i="57" s="1"/>
  <c r="BE46" i="121"/>
  <c r="BD46" i="121" s="1"/>
  <c r="BP45" i="57" s="1"/>
  <c r="BE42" i="121"/>
  <c r="BD42" i="121" s="1"/>
  <c r="BP41" i="57" s="1"/>
  <c r="BE79" i="121"/>
  <c r="BD79" i="121" s="1"/>
  <c r="BP78" i="57" s="1"/>
  <c r="BE63" i="121"/>
  <c r="BD63" i="121" s="1"/>
  <c r="BP62" i="57" s="1"/>
  <c r="BF62" i="121"/>
  <c r="BH62" i="121" s="1"/>
  <c r="BQ61" i="57" s="1"/>
  <c r="BE54" i="121"/>
  <c r="BD54" i="121" s="1"/>
  <c r="BP53" i="57" s="1"/>
  <c r="BF49" i="121"/>
  <c r="BH49" i="121" s="1"/>
  <c r="BQ48" i="57" s="1"/>
  <c r="BF45" i="121"/>
  <c r="BH45" i="121" s="1"/>
  <c r="BQ44" i="57" s="1"/>
  <c r="BF41" i="121"/>
  <c r="BH41" i="121" s="1"/>
  <c r="BQ40" i="57" s="1"/>
  <c r="BE59" i="121"/>
  <c r="BD59" i="121" s="1"/>
  <c r="BP58" i="57" s="1"/>
  <c r="BF58" i="121"/>
  <c r="BH58" i="121" s="1"/>
  <c r="BQ57" i="57" s="1"/>
  <c r="BE48" i="121"/>
  <c r="BD48" i="121" s="1"/>
  <c r="BP47" i="57" s="1"/>
  <c r="BE44" i="121"/>
  <c r="BD44" i="121" s="1"/>
  <c r="BP43" i="57" s="1"/>
  <c r="BE40" i="121"/>
  <c r="BD40" i="121" s="1"/>
  <c r="BP39" i="57" s="1"/>
  <c r="BE36" i="121"/>
  <c r="BD36" i="121" s="1"/>
  <c r="BP35" i="57" s="1"/>
  <c r="BE32" i="121"/>
  <c r="BD32" i="121" s="1"/>
  <c r="BP31" i="57" s="1"/>
  <c r="BE28" i="121"/>
  <c r="BD28" i="121" s="1"/>
  <c r="BP27" i="57" s="1"/>
  <c r="BF35" i="121"/>
  <c r="BH35" i="121" s="1"/>
  <c r="BQ34" i="57" s="1"/>
  <c r="BF31" i="121"/>
  <c r="BH31" i="121" s="1"/>
  <c r="BQ30" i="57" s="1"/>
  <c r="BF27" i="121"/>
  <c r="BH27" i="121" s="1"/>
  <c r="BQ26" i="57" s="1"/>
  <c r="BE49" i="121"/>
  <c r="BD49" i="121" s="1"/>
  <c r="BP48" i="57" s="1"/>
  <c r="BE45" i="121"/>
  <c r="BD45" i="121" s="1"/>
  <c r="BP44" i="57" s="1"/>
  <c r="BE41" i="121"/>
  <c r="BD41" i="121" s="1"/>
  <c r="BP40" i="57" s="1"/>
  <c r="BF40" i="121"/>
  <c r="BH40" i="121" s="1"/>
  <c r="BQ39" i="57" s="1"/>
  <c r="BE35" i="121"/>
  <c r="BD35" i="121" s="1"/>
  <c r="BP34" i="57" s="1"/>
  <c r="BE31" i="121"/>
  <c r="BD31" i="121" s="1"/>
  <c r="BP30" i="57" s="1"/>
  <c r="BF38" i="121"/>
  <c r="BH38" i="121" s="1"/>
  <c r="BQ37" i="57" s="1"/>
  <c r="BF34" i="121"/>
  <c r="BH34" i="121" s="1"/>
  <c r="BQ33" i="57" s="1"/>
  <c r="BF30" i="121"/>
  <c r="BH30" i="121" s="1"/>
  <c r="BQ29" i="57" s="1"/>
  <c r="BE38" i="121"/>
  <c r="BD38" i="121" s="1"/>
  <c r="BP37" i="57" s="1"/>
  <c r="BE34" i="121"/>
  <c r="BD34" i="121" s="1"/>
  <c r="BP33" i="57" s="1"/>
  <c r="BE30" i="121"/>
  <c r="BD30" i="121" s="1"/>
  <c r="BP29" i="57" s="1"/>
  <c r="BE37" i="121"/>
  <c r="BD37" i="121" s="1"/>
  <c r="BP36" i="57" s="1"/>
  <c r="BE33" i="121"/>
  <c r="BD33" i="121" s="1"/>
  <c r="BP32" i="57" s="1"/>
  <c r="BE29" i="121"/>
  <c r="BD29" i="121" s="1"/>
  <c r="BP28" i="57" s="1"/>
  <c r="BF44" i="121"/>
  <c r="BH44" i="121" s="1"/>
  <c r="BQ43" i="57" s="1"/>
  <c r="BF28" i="121"/>
  <c r="BH28" i="121" s="1"/>
  <c r="BQ27" i="57" s="1"/>
  <c r="BF24" i="121"/>
  <c r="BH24" i="121" s="1"/>
  <c r="BQ23" i="57" s="1"/>
  <c r="BF20" i="121"/>
  <c r="BH20" i="121" s="1"/>
  <c r="BQ19" i="57" s="1"/>
  <c r="BF16" i="121"/>
  <c r="BH16" i="121" s="1"/>
  <c r="BQ15" i="57" s="1"/>
  <c r="BE24" i="121"/>
  <c r="BE20" i="121"/>
  <c r="BE16" i="121"/>
  <c r="BE27" i="121"/>
  <c r="BD27" i="121" s="1"/>
  <c r="BP26" i="57" s="1"/>
  <c r="BF23" i="121"/>
  <c r="BH23" i="121" s="1"/>
  <c r="BQ22" i="57" s="1"/>
  <c r="BF19" i="121"/>
  <c r="BH19" i="121" s="1"/>
  <c r="BQ18" i="57" s="1"/>
  <c r="BF15" i="121"/>
  <c r="BH15" i="121" s="1"/>
  <c r="BQ14" i="57" s="1"/>
  <c r="BF36" i="121"/>
  <c r="BH36" i="121" s="1"/>
  <c r="BQ35" i="57" s="1"/>
  <c r="BF32" i="121"/>
  <c r="BH32" i="121" s="1"/>
  <c r="BQ31" i="57" s="1"/>
  <c r="BE23" i="121"/>
  <c r="BE19" i="121"/>
  <c r="BE75" i="121"/>
  <c r="BD75" i="121" s="1"/>
  <c r="BP74" i="57" s="1"/>
  <c r="BF22" i="121"/>
  <c r="BH22" i="121" s="1"/>
  <c r="BQ21" i="57" s="1"/>
  <c r="BF18" i="121"/>
  <c r="BH18" i="121" s="1"/>
  <c r="BQ17" i="57" s="1"/>
  <c r="BF48" i="121"/>
  <c r="BH48" i="121" s="1"/>
  <c r="BQ47" i="57" s="1"/>
  <c r="BE26" i="121"/>
  <c r="BD26" i="121" s="1"/>
  <c r="BP25" i="57" s="1"/>
  <c r="BF25" i="121"/>
  <c r="BH25" i="121" s="1"/>
  <c r="BQ24" i="57" s="1"/>
  <c r="BF21" i="121"/>
  <c r="BH21" i="121" s="1"/>
  <c r="BQ20" i="57" s="1"/>
  <c r="BF17" i="121"/>
  <c r="BH17" i="121" s="1"/>
  <c r="BQ16" i="57" s="1"/>
  <c r="BF13" i="121"/>
  <c r="BH13" i="121" s="1"/>
  <c r="BQ12" i="57" s="1"/>
  <c r="BE12" i="121"/>
  <c r="BE15" i="121"/>
  <c r="BF33" i="121"/>
  <c r="BH33" i="121" s="1"/>
  <c r="BQ32" i="57" s="1"/>
  <c r="BF14" i="121"/>
  <c r="BH14" i="121" s="1"/>
  <c r="BQ13" i="57" s="1"/>
  <c r="BE13" i="121"/>
  <c r="BF29" i="121"/>
  <c r="BH29" i="121" s="1"/>
  <c r="BQ28" i="57" s="1"/>
  <c r="BE14" i="121"/>
  <c r="BF12" i="121"/>
  <c r="BH12" i="121" s="1"/>
  <c r="BQ11" i="57" s="1"/>
  <c r="BF26" i="121"/>
  <c r="BH26" i="121" s="1"/>
  <c r="BQ25" i="57" s="1"/>
  <c r="BE22" i="121"/>
  <c r="BE18" i="121"/>
  <c r="BF11" i="121"/>
  <c r="BH11" i="121" s="1"/>
  <c r="BQ10" i="57" s="1"/>
  <c r="BF37" i="121"/>
  <c r="BH37" i="121" s="1"/>
  <c r="BQ36" i="57" s="1"/>
  <c r="BE11" i="121"/>
  <c r="BE25" i="121"/>
  <c r="BE21" i="121"/>
  <c r="BE17" i="121"/>
  <c r="BF10" i="121"/>
  <c r="BH10" i="121" s="1"/>
  <c r="BQ9" i="57" s="1"/>
  <c r="BE10" i="121"/>
  <c r="AY10" i="121" a="1"/>
  <c r="AZ79" i="121" l="1"/>
  <c r="BB79" i="121" s="1"/>
  <c r="BK78" i="57" s="1"/>
  <c r="AZ75" i="121"/>
  <c r="BB75" i="121" s="1"/>
  <c r="BK74" i="57" s="1"/>
  <c r="AZ71" i="121"/>
  <c r="BB71" i="121" s="1"/>
  <c r="BK70" i="57" s="1"/>
  <c r="AZ67" i="121"/>
  <c r="BB67" i="121" s="1"/>
  <c r="BK66" i="57" s="1"/>
  <c r="AZ63" i="121"/>
  <c r="BB63" i="121" s="1"/>
  <c r="BK62" i="57" s="1"/>
  <c r="AY79" i="121"/>
  <c r="AX79" i="121" s="1"/>
  <c r="BJ78" i="57" s="1"/>
  <c r="AY75" i="121"/>
  <c r="AX75" i="121" s="1"/>
  <c r="BJ74" i="57" s="1"/>
  <c r="AY71" i="121"/>
  <c r="AX71" i="121" s="1"/>
  <c r="BJ70" i="57" s="1"/>
  <c r="AY67" i="121"/>
  <c r="AX67" i="121" s="1"/>
  <c r="BJ66" i="57" s="1"/>
  <c r="AY63" i="121"/>
  <c r="AX63" i="121" s="1"/>
  <c r="BJ62" i="57" s="1"/>
  <c r="AZ78" i="121"/>
  <c r="BB78" i="121" s="1"/>
  <c r="BK77" i="57" s="1"/>
  <c r="AZ74" i="121"/>
  <c r="BB74" i="121" s="1"/>
  <c r="BK73" i="57" s="1"/>
  <c r="AZ70" i="121"/>
  <c r="BB70" i="121" s="1"/>
  <c r="BK69" i="57" s="1"/>
  <c r="AZ66" i="121"/>
  <c r="BB66" i="121" s="1"/>
  <c r="BK65" i="57" s="1"/>
  <c r="AY78" i="121"/>
  <c r="AX78" i="121" s="1"/>
  <c r="BJ77" i="57" s="1"/>
  <c r="AY74" i="121"/>
  <c r="AX74" i="121" s="1"/>
  <c r="BJ73" i="57" s="1"/>
  <c r="AY70" i="121"/>
  <c r="AX70" i="121" s="1"/>
  <c r="BJ69" i="57" s="1"/>
  <c r="AY66" i="121"/>
  <c r="AX66" i="121" s="1"/>
  <c r="BJ65" i="57" s="1"/>
  <c r="AZ77" i="121"/>
  <c r="BB77" i="121" s="1"/>
  <c r="BK76" i="57" s="1"/>
  <c r="AZ73" i="121"/>
  <c r="BB73" i="121" s="1"/>
  <c r="BK72" i="57" s="1"/>
  <c r="AZ69" i="121"/>
  <c r="BB69" i="121" s="1"/>
  <c r="BK68" i="57" s="1"/>
  <c r="AZ65" i="121"/>
  <c r="BB65" i="121" s="1"/>
  <c r="BK64" i="57" s="1"/>
  <c r="AZ76" i="121"/>
  <c r="BB76" i="121" s="1"/>
  <c r="BK75" i="57" s="1"/>
  <c r="AZ72" i="121"/>
  <c r="BB72" i="121" s="1"/>
  <c r="BK71" i="57" s="1"/>
  <c r="AZ68" i="121"/>
  <c r="BB68" i="121" s="1"/>
  <c r="BK67" i="57" s="1"/>
  <c r="AZ64" i="121"/>
  <c r="BB64" i="121" s="1"/>
  <c r="BK63" i="57" s="1"/>
  <c r="AY59" i="121"/>
  <c r="AX59" i="121" s="1"/>
  <c r="BJ58" i="57" s="1"/>
  <c r="AY55" i="121"/>
  <c r="AX55" i="121" s="1"/>
  <c r="BJ54" i="57" s="1"/>
  <c r="AY51" i="121"/>
  <c r="AX51" i="121" s="1"/>
  <c r="BJ50" i="57" s="1"/>
  <c r="AZ62" i="121"/>
  <c r="BB62" i="121" s="1"/>
  <c r="BK61" i="57" s="1"/>
  <c r="AZ58" i="121"/>
  <c r="BB58" i="121" s="1"/>
  <c r="BK57" i="57" s="1"/>
  <c r="AZ54" i="121"/>
  <c r="BB54" i="121" s="1"/>
  <c r="BK53" i="57" s="1"/>
  <c r="AY62" i="121"/>
  <c r="AX62" i="121" s="1"/>
  <c r="BJ61" i="57" s="1"/>
  <c r="AY58" i="121"/>
  <c r="AX58" i="121" s="1"/>
  <c r="BJ57" i="57" s="1"/>
  <c r="AY54" i="121"/>
  <c r="AX54" i="121" s="1"/>
  <c r="BJ53" i="57" s="1"/>
  <c r="AY76" i="121"/>
  <c r="AX76" i="121" s="1"/>
  <c r="BJ75" i="57" s="1"/>
  <c r="AY72" i="121"/>
  <c r="AX72" i="121" s="1"/>
  <c r="BJ71" i="57" s="1"/>
  <c r="AY68" i="121"/>
  <c r="AX68" i="121" s="1"/>
  <c r="BJ67" i="57" s="1"/>
  <c r="AY64" i="121"/>
  <c r="AX64" i="121" s="1"/>
  <c r="BJ63" i="57" s="1"/>
  <c r="AZ61" i="121"/>
  <c r="BB61" i="121" s="1"/>
  <c r="BK60" i="57" s="1"/>
  <c r="AZ57" i="121"/>
  <c r="BB57" i="121" s="1"/>
  <c r="BK56" i="57" s="1"/>
  <c r="AZ53" i="121"/>
  <c r="BB53" i="121" s="1"/>
  <c r="BK52" i="57" s="1"/>
  <c r="AY77" i="121"/>
  <c r="AX77" i="121" s="1"/>
  <c r="BJ76" i="57" s="1"/>
  <c r="AY73" i="121"/>
  <c r="AX73" i="121" s="1"/>
  <c r="BJ72" i="57" s="1"/>
  <c r="AY69" i="121"/>
  <c r="AX69" i="121" s="1"/>
  <c r="BJ68" i="57" s="1"/>
  <c r="AY65" i="121"/>
  <c r="AX65" i="121" s="1"/>
  <c r="BJ64" i="57" s="1"/>
  <c r="AY60" i="121"/>
  <c r="AX60" i="121" s="1"/>
  <c r="BJ59" i="57" s="1"/>
  <c r="AZ59" i="121"/>
  <c r="BB59" i="121" s="1"/>
  <c r="BK58" i="57" s="1"/>
  <c r="AZ55" i="121"/>
  <c r="BB55" i="121" s="1"/>
  <c r="BK54" i="57" s="1"/>
  <c r="AZ51" i="121"/>
  <c r="BB51" i="121" s="1"/>
  <c r="BK50" i="57" s="1"/>
  <c r="AY61" i="121"/>
  <c r="AX61" i="121" s="1"/>
  <c r="BJ60" i="57" s="1"/>
  <c r="AY52" i="121"/>
  <c r="AX52" i="121" s="1"/>
  <c r="BJ51" i="57" s="1"/>
  <c r="AZ49" i="121"/>
  <c r="BB49" i="121" s="1"/>
  <c r="BK48" i="57" s="1"/>
  <c r="AZ45" i="121"/>
  <c r="BB45" i="121" s="1"/>
  <c r="BK44" i="57" s="1"/>
  <c r="AZ41" i="121"/>
  <c r="BB41" i="121" s="1"/>
  <c r="BK40" i="57" s="1"/>
  <c r="AY57" i="121"/>
  <c r="AX57" i="121" s="1"/>
  <c r="BJ56" i="57" s="1"/>
  <c r="AY49" i="121"/>
  <c r="AX49" i="121" s="1"/>
  <c r="BJ48" i="57" s="1"/>
  <c r="AY45" i="121"/>
  <c r="AX45" i="121" s="1"/>
  <c r="BJ44" i="57" s="1"/>
  <c r="AY41" i="121"/>
  <c r="AX41" i="121" s="1"/>
  <c r="BJ40" i="57" s="1"/>
  <c r="AZ48" i="121"/>
  <c r="BB48" i="121" s="1"/>
  <c r="BK47" i="57" s="1"/>
  <c r="AZ44" i="121"/>
  <c r="BB44" i="121" s="1"/>
  <c r="BK43" i="57" s="1"/>
  <c r="AZ40" i="121"/>
  <c r="BB40" i="121" s="1"/>
  <c r="BK39" i="57" s="1"/>
  <c r="AZ56" i="121"/>
  <c r="BB56" i="121" s="1"/>
  <c r="BK55" i="57" s="1"/>
  <c r="AY48" i="121"/>
  <c r="AX48" i="121" s="1"/>
  <c r="BJ47" i="57" s="1"/>
  <c r="AY44" i="121"/>
  <c r="AX44" i="121" s="1"/>
  <c r="BJ43" i="57" s="1"/>
  <c r="AY56" i="121"/>
  <c r="AX56" i="121" s="1"/>
  <c r="BJ55" i="57" s="1"/>
  <c r="AZ47" i="121"/>
  <c r="BB47" i="121" s="1"/>
  <c r="BK46" i="57" s="1"/>
  <c r="AZ43" i="121"/>
  <c r="BB43" i="121" s="1"/>
  <c r="BK42" i="57" s="1"/>
  <c r="AZ39" i="121"/>
  <c r="BB39" i="121" s="1"/>
  <c r="BK38" i="57" s="1"/>
  <c r="AZ52" i="121"/>
  <c r="BB52" i="121" s="1"/>
  <c r="BK51" i="57" s="1"/>
  <c r="AY50" i="121"/>
  <c r="AX50" i="121" s="1"/>
  <c r="BJ49" i="57" s="1"/>
  <c r="AY46" i="121"/>
  <c r="AX46" i="121" s="1"/>
  <c r="BJ45" i="57" s="1"/>
  <c r="AY42" i="121"/>
  <c r="AX42" i="121" s="1"/>
  <c r="BJ41" i="57" s="1"/>
  <c r="AZ60" i="121"/>
  <c r="BB60" i="121" s="1"/>
  <c r="BK59" i="57" s="1"/>
  <c r="AZ50" i="121"/>
  <c r="BB50" i="121" s="1"/>
  <c r="BK49" i="57" s="1"/>
  <c r="AZ46" i="121"/>
  <c r="BB46" i="121" s="1"/>
  <c r="BK45" i="57" s="1"/>
  <c r="AZ42" i="121"/>
  <c r="BB42" i="121" s="1"/>
  <c r="BK41" i="57" s="1"/>
  <c r="AY38" i="121"/>
  <c r="AX38" i="121" s="1"/>
  <c r="BJ37" i="57" s="1"/>
  <c r="AY34" i="121"/>
  <c r="AX34" i="121" s="1"/>
  <c r="BJ33" i="57" s="1"/>
  <c r="AY30" i="121"/>
  <c r="AX30" i="121" s="1"/>
  <c r="BJ29" i="57" s="1"/>
  <c r="AY26" i="121"/>
  <c r="AZ37" i="121"/>
  <c r="BB37" i="121" s="1"/>
  <c r="BK36" i="57" s="1"/>
  <c r="AZ33" i="121"/>
  <c r="BB33" i="121" s="1"/>
  <c r="BK32" i="57" s="1"/>
  <c r="AZ29" i="121"/>
  <c r="BB29" i="121" s="1"/>
  <c r="BK28" i="57" s="1"/>
  <c r="AY37" i="121"/>
  <c r="AX37" i="121" s="1"/>
  <c r="BJ36" i="57" s="1"/>
  <c r="AY33" i="121"/>
  <c r="AX33" i="121" s="1"/>
  <c r="BJ32" i="57" s="1"/>
  <c r="AY29" i="121"/>
  <c r="AX29" i="121" s="1"/>
  <c r="BJ28" i="57" s="1"/>
  <c r="AY47" i="121"/>
  <c r="AX47" i="121" s="1"/>
  <c r="BJ46" i="57" s="1"/>
  <c r="AY43" i="121"/>
  <c r="AX43" i="121" s="1"/>
  <c r="BJ42" i="57" s="1"/>
  <c r="AY40" i="121"/>
  <c r="AX40" i="121" s="1"/>
  <c r="BJ39" i="57" s="1"/>
  <c r="AZ36" i="121"/>
  <c r="BB36" i="121" s="1"/>
  <c r="BK35" i="57" s="1"/>
  <c r="AZ32" i="121"/>
  <c r="BB32" i="121" s="1"/>
  <c r="BK31" i="57" s="1"/>
  <c r="AY39" i="121"/>
  <c r="AX39" i="121" s="1"/>
  <c r="BJ38" i="57" s="1"/>
  <c r="AY36" i="121"/>
  <c r="AX36" i="121" s="1"/>
  <c r="BJ35" i="57" s="1"/>
  <c r="AY32" i="121"/>
  <c r="AX32" i="121" s="1"/>
  <c r="BJ31" i="57" s="1"/>
  <c r="AY28" i="121"/>
  <c r="AX28" i="121" s="1"/>
  <c r="BJ27" i="57" s="1"/>
  <c r="AY35" i="121"/>
  <c r="AX35" i="121" s="1"/>
  <c r="BJ34" i="57" s="1"/>
  <c r="AY31" i="121"/>
  <c r="AX31" i="121" s="1"/>
  <c r="BJ30" i="57" s="1"/>
  <c r="AZ22" i="121"/>
  <c r="BB22" i="121" s="1"/>
  <c r="BK21" i="57" s="1"/>
  <c r="CC18" i="169" s="1"/>
  <c r="CD18" i="169" s="1"/>
  <c r="AZ18" i="121"/>
  <c r="BB18" i="121" s="1"/>
  <c r="BK17" i="57" s="1"/>
  <c r="CC14" i="169" s="1"/>
  <c r="CD14" i="169" s="1"/>
  <c r="AZ14" i="121"/>
  <c r="BB14" i="121" s="1"/>
  <c r="BK13" i="57" s="1"/>
  <c r="CC10" i="169" s="1"/>
  <c r="CD10" i="169" s="1"/>
  <c r="AZ28" i="121"/>
  <c r="BB28" i="121" s="1"/>
  <c r="BK27" i="57" s="1"/>
  <c r="AZ26" i="121"/>
  <c r="BB26" i="121" s="1"/>
  <c r="BK25" i="57" s="1"/>
  <c r="AY22" i="121"/>
  <c r="AY18" i="121"/>
  <c r="AZ25" i="121"/>
  <c r="BB25" i="121" s="1"/>
  <c r="BK24" i="57" s="1"/>
  <c r="CC21" i="169" s="1"/>
  <c r="CD21" i="169" s="1"/>
  <c r="AZ21" i="121"/>
  <c r="BB21" i="121" s="1"/>
  <c r="BK20" i="57" s="1"/>
  <c r="CC17" i="169" s="1"/>
  <c r="CD17" i="169" s="1"/>
  <c r="AZ17" i="121"/>
  <c r="BB17" i="121" s="1"/>
  <c r="BK16" i="57" s="1"/>
  <c r="CC13" i="169" s="1"/>
  <c r="CD13" i="169" s="1"/>
  <c r="AY53" i="121"/>
  <c r="AX53" i="121" s="1"/>
  <c r="BJ52" i="57" s="1"/>
  <c r="AY25" i="121"/>
  <c r="AY21" i="121"/>
  <c r="AY17" i="121"/>
  <c r="AZ38" i="121"/>
  <c r="BB38" i="121" s="1"/>
  <c r="BK37" i="57" s="1"/>
  <c r="AZ34" i="121"/>
  <c r="BB34" i="121" s="1"/>
  <c r="BK33" i="57" s="1"/>
  <c r="AZ30" i="121"/>
  <c r="BB30" i="121" s="1"/>
  <c r="BK29" i="57" s="1"/>
  <c r="AZ24" i="121"/>
  <c r="BB24" i="121" s="1"/>
  <c r="BK23" i="57" s="1"/>
  <c r="CC20" i="169" s="1"/>
  <c r="CD20" i="169" s="1"/>
  <c r="AZ20" i="121"/>
  <c r="BB20" i="121" s="1"/>
  <c r="BK19" i="57" s="1"/>
  <c r="CC16" i="169" s="1"/>
  <c r="CD16" i="169" s="1"/>
  <c r="AZ16" i="121"/>
  <c r="BB16" i="121" s="1"/>
  <c r="BK15" i="57" s="1"/>
  <c r="CC12" i="169" s="1"/>
  <c r="CD12" i="169" s="1"/>
  <c r="AY27" i="121"/>
  <c r="AX27" i="121" s="1"/>
  <c r="BJ26" i="57" s="1"/>
  <c r="AZ23" i="121"/>
  <c r="BB23" i="121" s="1"/>
  <c r="BK22" i="57" s="1"/>
  <c r="CC19" i="169" s="1"/>
  <c r="CD19" i="169" s="1"/>
  <c r="AZ19" i="121"/>
  <c r="BB19" i="121" s="1"/>
  <c r="BK18" i="57" s="1"/>
  <c r="CC15" i="169" s="1"/>
  <c r="CD15" i="169" s="1"/>
  <c r="AZ15" i="121"/>
  <c r="BB15" i="121" s="1"/>
  <c r="BK14" i="57" s="1"/>
  <c r="CC11" i="169" s="1"/>
  <c r="CD11" i="169" s="1"/>
  <c r="AY15" i="121"/>
  <c r="AZ11" i="121"/>
  <c r="BB11" i="121" s="1"/>
  <c r="BK10" i="57" s="1"/>
  <c r="CC7" i="169" s="1"/>
  <c r="CD7" i="169" s="1"/>
  <c r="AZ27" i="121"/>
  <c r="BB27" i="121" s="1"/>
  <c r="BK26" i="57" s="1"/>
  <c r="AY23" i="121"/>
  <c r="AY19" i="121"/>
  <c r="AY11" i="121"/>
  <c r="AZ12" i="121"/>
  <c r="BB12" i="121" s="1"/>
  <c r="BK11" i="57" s="1"/>
  <c r="CC8" i="169" s="1"/>
  <c r="CD8" i="169" s="1"/>
  <c r="AY14" i="121"/>
  <c r="AY13" i="121"/>
  <c r="AZ31" i="121"/>
  <c r="BB31" i="121" s="1"/>
  <c r="BK30" i="57" s="1"/>
  <c r="AY24" i="121"/>
  <c r="AY20" i="121"/>
  <c r="AZ13" i="121"/>
  <c r="BB13" i="121" s="1"/>
  <c r="BK12" i="57" s="1"/>
  <c r="CC9" i="169" s="1"/>
  <c r="CD9" i="169" s="1"/>
  <c r="AZ35" i="121"/>
  <c r="BB35" i="121" s="1"/>
  <c r="BK34" i="57" s="1"/>
  <c r="AY16" i="121"/>
  <c r="AY12" i="121"/>
  <c r="AZ10" i="121"/>
  <c r="BB10" i="121" s="1"/>
  <c r="BK9" i="57" s="1"/>
  <c r="CC6" i="169" s="1"/>
  <c r="CD6" i="169" s="1"/>
  <c r="AY10" i="121"/>
  <c r="AS10" i="121" a="1"/>
  <c r="AT77" i="121" l="1"/>
  <c r="AV77" i="121" s="1"/>
  <c r="BA76" i="57" s="1"/>
  <c r="AT73" i="121"/>
  <c r="AV73" i="121" s="1"/>
  <c r="BA72" i="57" s="1"/>
  <c r="AT69" i="121"/>
  <c r="AV69" i="121" s="1"/>
  <c r="BA68" i="57" s="1"/>
  <c r="AT65" i="121"/>
  <c r="AV65" i="121" s="1"/>
  <c r="BA64" i="57" s="1"/>
  <c r="AS77" i="121"/>
  <c r="AR77" i="121" s="1"/>
  <c r="AZ76" i="57" s="1"/>
  <c r="BB76" i="57" s="1"/>
  <c r="AS73" i="121"/>
  <c r="AR73" i="121" s="1"/>
  <c r="AZ72" i="57" s="1"/>
  <c r="BB72" i="57" s="1"/>
  <c r="AS69" i="121"/>
  <c r="AR69" i="121" s="1"/>
  <c r="AZ68" i="57" s="1"/>
  <c r="BB68" i="57" s="1"/>
  <c r="AS65" i="121"/>
  <c r="AR65" i="121" s="1"/>
  <c r="AZ64" i="57" s="1"/>
  <c r="BB64" i="57" s="1"/>
  <c r="AT76" i="121"/>
  <c r="AV76" i="121" s="1"/>
  <c r="BA75" i="57" s="1"/>
  <c r="AT72" i="121"/>
  <c r="AV72" i="121" s="1"/>
  <c r="BA71" i="57" s="1"/>
  <c r="AT68" i="121"/>
  <c r="AV68" i="121" s="1"/>
  <c r="BA67" i="57" s="1"/>
  <c r="AT64" i="121"/>
  <c r="AV64" i="121" s="1"/>
  <c r="BA63" i="57" s="1"/>
  <c r="AS76" i="121"/>
  <c r="AR76" i="121" s="1"/>
  <c r="AZ75" i="57" s="1"/>
  <c r="BB75" i="57" s="1"/>
  <c r="AS72" i="121"/>
  <c r="AR72" i="121" s="1"/>
  <c r="AZ71" i="57" s="1"/>
  <c r="BB71" i="57" s="1"/>
  <c r="AS68" i="121"/>
  <c r="AR68" i="121" s="1"/>
  <c r="AZ67" i="57" s="1"/>
  <c r="BB67" i="57" s="1"/>
  <c r="AS64" i="121"/>
  <c r="AR64" i="121" s="1"/>
  <c r="AZ63" i="57" s="1"/>
  <c r="BB63" i="57" s="1"/>
  <c r="AT79" i="121"/>
  <c r="AV79" i="121" s="1"/>
  <c r="BA78" i="57" s="1"/>
  <c r="AT75" i="121"/>
  <c r="AV75" i="121" s="1"/>
  <c r="BA74" i="57" s="1"/>
  <c r="AT71" i="121"/>
  <c r="AV71" i="121" s="1"/>
  <c r="BA70" i="57" s="1"/>
  <c r="AT67" i="121"/>
  <c r="AV67" i="121" s="1"/>
  <c r="BA66" i="57" s="1"/>
  <c r="AT63" i="121"/>
  <c r="AV63" i="121" s="1"/>
  <c r="BA62" i="57" s="1"/>
  <c r="AT78" i="121"/>
  <c r="AV78" i="121" s="1"/>
  <c r="BA77" i="57" s="1"/>
  <c r="AT74" i="121"/>
  <c r="AV74" i="121" s="1"/>
  <c r="BA73" i="57" s="1"/>
  <c r="AT70" i="121"/>
  <c r="AV70" i="121" s="1"/>
  <c r="BA69" i="57" s="1"/>
  <c r="AT66" i="121"/>
  <c r="AV66" i="121" s="1"/>
  <c r="BA65" i="57" s="1"/>
  <c r="AS61" i="121"/>
  <c r="AR61" i="121" s="1"/>
  <c r="AZ60" i="57" s="1"/>
  <c r="BB60" i="57" s="1"/>
  <c r="AS57" i="121"/>
  <c r="AR57" i="121" s="1"/>
  <c r="AZ56" i="57" s="1"/>
  <c r="BB56" i="57" s="1"/>
  <c r="AS53" i="121"/>
  <c r="AR53" i="121" s="1"/>
  <c r="AZ52" i="57" s="1"/>
  <c r="BB52" i="57" s="1"/>
  <c r="AT60" i="121"/>
  <c r="AV60" i="121" s="1"/>
  <c r="BA59" i="57" s="1"/>
  <c r="AT56" i="121"/>
  <c r="AV56" i="121" s="1"/>
  <c r="BA55" i="57" s="1"/>
  <c r="AT52" i="121"/>
  <c r="AV52" i="121" s="1"/>
  <c r="BA51" i="57" s="1"/>
  <c r="AS60" i="121"/>
  <c r="AR60" i="121" s="1"/>
  <c r="AZ59" i="57" s="1"/>
  <c r="BB59" i="57" s="1"/>
  <c r="AS56" i="121"/>
  <c r="AR56" i="121" s="1"/>
  <c r="AZ55" i="57" s="1"/>
  <c r="BB55" i="57" s="1"/>
  <c r="AS52" i="121"/>
  <c r="AR52" i="121" s="1"/>
  <c r="AZ51" i="57" s="1"/>
  <c r="BB51" i="57" s="1"/>
  <c r="AS78" i="121"/>
  <c r="AR78" i="121" s="1"/>
  <c r="AZ77" i="57" s="1"/>
  <c r="BB77" i="57" s="1"/>
  <c r="AS74" i="121"/>
  <c r="AR74" i="121" s="1"/>
  <c r="AZ73" i="57" s="1"/>
  <c r="BB73" i="57" s="1"/>
  <c r="AS70" i="121"/>
  <c r="AR70" i="121" s="1"/>
  <c r="AZ69" i="57" s="1"/>
  <c r="BB69" i="57" s="1"/>
  <c r="AS66" i="121"/>
  <c r="AR66" i="121" s="1"/>
  <c r="AZ65" i="57" s="1"/>
  <c r="BB65" i="57" s="1"/>
  <c r="AT59" i="121"/>
  <c r="AV59" i="121" s="1"/>
  <c r="BA58" i="57" s="1"/>
  <c r="AT55" i="121"/>
  <c r="AV55" i="121" s="1"/>
  <c r="BA54" i="57" s="1"/>
  <c r="AT51" i="121"/>
  <c r="AV51" i="121" s="1"/>
  <c r="BA50" i="57" s="1"/>
  <c r="AS62" i="121"/>
  <c r="AR62" i="121" s="1"/>
  <c r="AZ61" i="57" s="1"/>
  <c r="BB61" i="57" s="1"/>
  <c r="AS79" i="121"/>
  <c r="AR79" i="121" s="1"/>
  <c r="AZ78" i="57" s="1"/>
  <c r="BB78" i="57" s="1"/>
  <c r="AS75" i="121"/>
  <c r="AR75" i="121" s="1"/>
  <c r="AZ74" i="57" s="1"/>
  <c r="BB74" i="57" s="1"/>
  <c r="AS71" i="121"/>
  <c r="AR71" i="121" s="1"/>
  <c r="AZ70" i="57" s="1"/>
  <c r="BB70" i="57" s="1"/>
  <c r="AS67" i="121"/>
  <c r="AR67" i="121" s="1"/>
  <c r="AZ66" i="57" s="1"/>
  <c r="BB66" i="57" s="1"/>
  <c r="AS63" i="121"/>
  <c r="AR63" i="121" s="1"/>
  <c r="AZ62" i="57" s="1"/>
  <c r="BB62" i="57" s="1"/>
  <c r="AT61" i="121"/>
  <c r="AV61" i="121" s="1"/>
  <c r="BA60" i="57" s="1"/>
  <c r="AT57" i="121"/>
  <c r="AV57" i="121" s="1"/>
  <c r="BA56" i="57" s="1"/>
  <c r="AT53" i="121"/>
  <c r="AV53" i="121" s="1"/>
  <c r="BA52" i="57" s="1"/>
  <c r="AT47" i="121"/>
  <c r="AV47" i="121" s="1"/>
  <c r="BA46" i="57" s="1"/>
  <c r="AT43" i="121"/>
  <c r="AV43" i="121" s="1"/>
  <c r="BA42" i="57" s="1"/>
  <c r="AT39" i="121"/>
  <c r="AV39" i="121" s="1"/>
  <c r="BA38" i="57" s="1"/>
  <c r="AS59" i="121"/>
  <c r="AR59" i="121" s="1"/>
  <c r="AZ58" i="57" s="1"/>
  <c r="BB58" i="57" s="1"/>
  <c r="AS47" i="121"/>
  <c r="AR47" i="121" s="1"/>
  <c r="AZ46" i="57" s="1"/>
  <c r="BB46" i="57" s="1"/>
  <c r="AS43" i="121"/>
  <c r="AR43" i="121" s="1"/>
  <c r="AZ42" i="57" s="1"/>
  <c r="BB42" i="57" s="1"/>
  <c r="AT58" i="121"/>
  <c r="AV58" i="121" s="1"/>
  <c r="BA57" i="57" s="1"/>
  <c r="AT50" i="121"/>
  <c r="AV50" i="121" s="1"/>
  <c r="BA49" i="57" s="1"/>
  <c r="AT46" i="121"/>
  <c r="AV46" i="121" s="1"/>
  <c r="BA45" i="57" s="1"/>
  <c r="AT42" i="121"/>
  <c r="AV42" i="121" s="1"/>
  <c r="BA41" i="57" s="1"/>
  <c r="AS58" i="121"/>
  <c r="AR58" i="121" s="1"/>
  <c r="AZ57" i="57" s="1"/>
  <c r="BB57" i="57" s="1"/>
  <c r="AS50" i="121"/>
  <c r="AR50" i="121" s="1"/>
  <c r="AZ49" i="57" s="1"/>
  <c r="BB49" i="57" s="1"/>
  <c r="AS46" i="121"/>
  <c r="AR46" i="121" s="1"/>
  <c r="AZ45" i="57" s="1"/>
  <c r="BB45" i="57" s="1"/>
  <c r="AS42" i="121"/>
  <c r="AR42" i="121" s="1"/>
  <c r="AZ41" i="57" s="1"/>
  <c r="BB41" i="57" s="1"/>
  <c r="AT49" i="121"/>
  <c r="AV49" i="121" s="1"/>
  <c r="BA48" i="57" s="1"/>
  <c r="AT45" i="121"/>
  <c r="AV45" i="121" s="1"/>
  <c r="BA44" i="57" s="1"/>
  <c r="AT41" i="121"/>
  <c r="AV41" i="121" s="1"/>
  <c r="BA40" i="57" s="1"/>
  <c r="AS54" i="121"/>
  <c r="AR54" i="121" s="1"/>
  <c r="AZ53" i="57" s="1"/>
  <c r="BB53" i="57" s="1"/>
  <c r="AS48" i="121"/>
  <c r="AR48" i="121" s="1"/>
  <c r="AZ47" i="57" s="1"/>
  <c r="BB47" i="57" s="1"/>
  <c r="AS44" i="121"/>
  <c r="AR44" i="121" s="1"/>
  <c r="AZ43" i="57" s="1"/>
  <c r="BB43" i="57" s="1"/>
  <c r="AS40" i="121"/>
  <c r="AR40" i="121" s="1"/>
  <c r="AZ39" i="57" s="1"/>
  <c r="BB39" i="57" s="1"/>
  <c r="AT62" i="121"/>
  <c r="AV62" i="121" s="1"/>
  <c r="BA61" i="57" s="1"/>
  <c r="AS36" i="121"/>
  <c r="AR36" i="121" s="1"/>
  <c r="AZ35" i="57" s="1"/>
  <c r="BB35" i="57" s="1"/>
  <c r="AS32" i="121"/>
  <c r="AR32" i="121" s="1"/>
  <c r="AZ31" i="57" s="1"/>
  <c r="BB31" i="57" s="1"/>
  <c r="AS28" i="121"/>
  <c r="AR28" i="121" s="1"/>
  <c r="AZ27" i="57" s="1"/>
  <c r="BB27" i="57" s="1"/>
  <c r="AT48" i="121"/>
  <c r="AV48" i="121" s="1"/>
  <c r="BA47" i="57" s="1"/>
  <c r="AT44" i="121"/>
  <c r="AV44" i="121" s="1"/>
  <c r="BA43" i="57" s="1"/>
  <c r="AT35" i="121"/>
  <c r="AV35" i="121" s="1"/>
  <c r="BA34" i="57" s="1"/>
  <c r="AT31" i="121"/>
  <c r="AV31" i="121" s="1"/>
  <c r="BA30" i="57" s="1"/>
  <c r="AT27" i="121"/>
  <c r="AV27" i="121" s="1"/>
  <c r="BA26" i="57" s="1"/>
  <c r="AT54" i="121"/>
  <c r="AV54" i="121" s="1"/>
  <c r="BA53" i="57" s="1"/>
  <c r="AS35" i="121"/>
  <c r="AR35" i="121" s="1"/>
  <c r="AZ34" i="57" s="1"/>
  <c r="BB34" i="57" s="1"/>
  <c r="AS31" i="121"/>
  <c r="AR31" i="121" s="1"/>
  <c r="AZ30" i="57" s="1"/>
  <c r="BB30" i="57" s="1"/>
  <c r="AS55" i="121"/>
  <c r="AR55" i="121" s="1"/>
  <c r="AZ54" i="57" s="1"/>
  <c r="BB54" i="57" s="1"/>
  <c r="AT38" i="121"/>
  <c r="AV38" i="121" s="1"/>
  <c r="BA37" i="57" s="1"/>
  <c r="AT34" i="121"/>
  <c r="AV34" i="121" s="1"/>
  <c r="BA33" i="57" s="1"/>
  <c r="AT30" i="121"/>
  <c r="AV30" i="121" s="1"/>
  <c r="BA29" i="57" s="1"/>
  <c r="AS49" i="121"/>
  <c r="AR49" i="121" s="1"/>
  <c r="AZ48" i="57" s="1"/>
  <c r="BB48" i="57" s="1"/>
  <c r="AS45" i="121"/>
  <c r="AR45" i="121" s="1"/>
  <c r="AZ44" i="57" s="1"/>
  <c r="BB44" i="57" s="1"/>
  <c r="AS41" i="121"/>
  <c r="AR41" i="121" s="1"/>
  <c r="AZ40" i="57" s="1"/>
  <c r="BB40" i="57" s="1"/>
  <c r="AS38" i="121"/>
  <c r="AR38" i="121" s="1"/>
  <c r="AZ37" i="57" s="1"/>
  <c r="BB37" i="57" s="1"/>
  <c r="AS34" i="121"/>
  <c r="AR34" i="121" s="1"/>
  <c r="AZ33" i="57" s="1"/>
  <c r="BB33" i="57" s="1"/>
  <c r="AS30" i="121"/>
  <c r="AR30" i="121" s="1"/>
  <c r="AZ29" i="57" s="1"/>
  <c r="BB29" i="57" s="1"/>
  <c r="AS39" i="121"/>
  <c r="AR39" i="121" s="1"/>
  <c r="AZ38" i="57" s="1"/>
  <c r="BB38" i="57" s="1"/>
  <c r="AS37" i="121"/>
  <c r="AR37" i="121" s="1"/>
  <c r="AZ36" i="57" s="1"/>
  <c r="BB36" i="57" s="1"/>
  <c r="AS33" i="121"/>
  <c r="AR33" i="121" s="1"/>
  <c r="AZ32" i="57" s="1"/>
  <c r="BB32" i="57" s="1"/>
  <c r="AS29" i="121"/>
  <c r="AR29" i="121" s="1"/>
  <c r="AZ28" i="57" s="1"/>
  <c r="BB28" i="57" s="1"/>
  <c r="AS27" i="121"/>
  <c r="AR27" i="121" s="1"/>
  <c r="AZ26" i="57" s="1"/>
  <c r="BB26" i="57" s="1"/>
  <c r="AT24" i="121"/>
  <c r="AV24" i="121" s="1"/>
  <c r="BA23" i="57" s="1"/>
  <c r="AT20" i="121"/>
  <c r="AV20" i="121" s="1"/>
  <c r="BA19" i="57" s="1"/>
  <c r="AT16" i="121"/>
  <c r="AV16" i="121" s="1"/>
  <c r="BA15" i="57" s="1"/>
  <c r="AS51" i="121"/>
  <c r="AR51" i="121" s="1"/>
  <c r="AZ50" i="57" s="1"/>
  <c r="BB50" i="57" s="1"/>
  <c r="AT37" i="121"/>
  <c r="AV37" i="121" s="1"/>
  <c r="BA36" i="57" s="1"/>
  <c r="AT33" i="121"/>
  <c r="AV33" i="121" s="1"/>
  <c r="BA32" i="57" s="1"/>
  <c r="AS24" i="121"/>
  <c r="AS20" i="121"/>
  <c r="AS16" i="121"/>
  <c r="AT29" i="121"/>
  <c r="AV29" i="121" s="1"/>
  <c r="BA28" i="57" s="1"/>
  <c r="AT23" i="121"/>
  <c r="AV23" i="121" s="1"/>
  <c r="BA22" i="57" s="1"/>
  <c r="AT19" i="121"/>
  <c r="AV19" i="121" s="1"/>
  <c r="BA18" i="57" s="1"/>
  <c r="AT15" i="121"/>
  <c r="AV15" i="121" s="1"/>
  <c r="BA14" i="57" s="1"/>
  <c r="AT40" i="121"/>
  <c r="AV40" i="121" s="1"/>
  <c r="BA39" i="57" s="1"/>
  <c r="AT28" i="121"/>
  <c r="AV28" i="121" s="1"/>
  <c r="BA27" i="57" s="1"/>
  <c r="AS23" i="121"/>
  <c r="AS19" i="121"/>
  <c r="AT26" i="121"/>
  <c r="AV26" i="121" s="1"/>
  <c r="BA25" i="57" s="1"/>
  <c r="AT22" i="121"/>
  <c r="AV22" i="121" s="1"/>
  <c r="BA21" i="57" s="1"/>
  <c r="AT18" i="121"/>
  <c r="AV18" i="121" s="1"/>
  <c r="BA17" i="57" s="1"/>
  <c r="AT25" i="121"/>
  <c r="AV25" i="121" s="1"/>
  <c r="BA24" i="57" s="1"/>
  <c r="AT21" i="121"/>
  <c r="AV21" i="121" s="1"/>
  <c r="BA20" i="57" s="1"/>
  <c r="AT17" i="121"/>
  <c r="AV17" i="121" s="1"/>
  <c r="BA16" i="57" s="1"/>
  <c r="AT14" i="121"/>
  <c r="AV14" i="121" s="1"/>
  <c r="BA13" i="57" s="1"/>
  <c r="AT13" i="121"/>
  <c r="AV13" i="121" s="1"/>
  <c r="BA12" i="57" s="1"/>
  <c r="AS26" i="121"/>
  <c r="AR26" i="121" s="1"/>
  <c r="AZ25" i="57" s="1"/>
  <c r="BB25" i="57" s="1"/>
  <c r="AS18" i="121"/>
  <c r="AT32" i="121"/>
  <c r="AV32" i="121" s="1"/>
  <c r="BA31" i="57" s="1"/>
  <c r="AS25" i="121"/>
  <c r="AS21" i="121"/>
  <c r="AS17" i="121"/>
  <c r="AS15" i="121"/>
  <c r="AS14" i="121"/>
  <c r="AS13" i="121"/>
  <c r="AT36" i="121"/>
  <c r="AV36" i="121" s="1"/>
  <c r="BA35" i="57" s="1"/>
  <c r="AT12" i="121"/>
  <c r="AV12" i="121" s="1"/>
  <c r="BA11" i="57" s="1"/>
  <c r="AS22" i="121"/>
  <c r="AS11" i="121"/>
  <c r="AS12" i="121"/>
  <c r="AT11" i="121"/>
  <c r="AV11" i="121" s="1"/>
  <c r="BA10" i="57" s="1"/>
  <c r="AS10" i="121"/>
  <c r="AT10" i="121"/>
  <c r="AV10" i="121" s="1"/>
  <c r="BA9" i="57" s="1"/>
  <c r="AP10" i="121"/>
  <c r="AG10" i="121" a="1"/>
  <c r="Y23" i="125" l="1"/>
  <c r="X23" i="125"/>
  <c r="Y22" i="125"/>
  <c r="X22" i="125"/>
  <c r="X24" i="125"/>
  <c r="Y24" i="125"/>
  <c r="Y25" i="125"/>
  <c r="X25" i="125"/>
  <c r="AG76" i="121"/>
  <c r="AF76" i="121" s="1"/>
  <c r="AG72" i="121"/>
  <c r="AF72" i="121" s="1"/>
  <c r="AG68" i="121"/>
  <c r="AF68" i="121" s="1"/>
  <c r="AG64" i="121"/>
  <c r="AF64" i="121" s="1"/>
  <c r="AH79" i="121"/>
  <c r="AJ79" i="121" s="1"/>
  <c r="AH75" i="121"/>
  <c r="AJ75" i="121" s="1"/>
  <c r="AH71" i="121"/>
  <c r="AJ71" i="121" s="1"/>
  <c r="AH67" i="121"/>
  <c r="AJ67" i="121" s="1"/>
  <c r="AH63" i="121"/>
  <c r="AJ63" i="121" s="1"/>
  <c r="AG79" i="121"/>
  <c r="AF79" i="121" s="1"/>
  <c r="AG75" i="121"/>
  <c r="AF75" i="121" s="1"/>
  <c r="AG71" i="121"/>
  <c r="AF71" i="121" s="1"/>
  <c r="AG67" i="121"/>
  <c r="AF67" i="121" s="1"/>
  <c r="AH78" i="121"/>
  <c r="AJ78" i="121" s="1"/>
  <c r="AH74" i="121"/>
  <c r="AJ74" i="121" s="1"/>
  <c r="AH70" i="121"/>
  <c r="AJ70" i="121" s="1"/>
  <c r="AH66" i="121"/>
  <c r="AJ66" i="121" s="1"/>
  <c r="AG78" i="121"/>
  <c r="AF78" i="121" s="1"/>
  <c r="AG74" i="121"/>
  <c r="AF74" i="121" s="1"/>
  <c r="AG70" i="121"/>
  <c r="AF70" i="121" s="1"/>
  <c r="AG66" i="121"/>
  <c r="AF66" i="121" s="1"/>
  <c r="AG77" i="121"/>
  <c r="AF77" i="121" s="1"/>
  <c r="AG73" i="121"/>
  <c r="AF73" i="121" s="1"/>
  <c r="AG69" i="121"/>
  <c r="AF69" i="121" s="1"/>
  <c r="AG65" i="121"/>
  <c r="AF65" i="121" s="1"/>
  <c r="AH59" i="121"/>
  <c r="AJ59" i="121" s="1"/>
  <c r="AO78" i="57" s="1"/>
  <c r="AH55" i="121"/>
  <c r="AJ55" i="121" s="1"/>
  <c r="AO74" i="57" s="1"/>
  <c r="AH51" i="121"/>
  <c r="AJ51" i="121" s="1"/>
  <c r="AO70" i="57" s="1"/>
  <c r="AH77" i="121"/>
  <c r="AJ77" i="121" s="1"/>
  <c r="AH73" i="121"/>
  <c r="AJ73" i="121" s="1"/>
  <c r="AH69" i="121"/>
  <c r="AJ69" i="121" s="1"/>
  <c r="AH65" i="121"/>
  <c r="AJ65" i="121" s="1"/>
  <c r="AG63" i="121"/>
  <c r="AF63" i="121" s="1"/>
  <c r="AG59" i="121"/>
  <c r="AF59" i="121" s="1"/>
  <c r="AN78" i="57" s="1"/>
  <c r="AG55" i="121"/>
  <c r="AF55" i="121" s="1"/>
  <c r="AN74" i="57" s="1"/>
  <c r="AH62" i="121"/>
  <c r="AJ62" i="121" s="1"/>
  <c r="AH58" i="121"/>
  <c r="AJ58" i="121" s="1"/>
  <c r="AO77" i="57" s="1"/>
  <c r="AH54" i="121"/>
  <c r="AJ54" i="121" s="1"/>
  <c r="AO73" i="57" s="1"/>
  <c r="AG62" i="121"/>
  <c r="AF62" i="121" s="1"/>
  <c r="AG58" i="121"/>
  <c r="AF58" i="121" s="1"/>
  <c r="AN77" i="57" s="1"/>
  <c r="AG54" i="121"/>
  <c r="AF54" i="121" s="1"/>
  <c r="AN73" i="57" s="1"/>
  <c r="AH60" i="121"/>
  <c r="AJ60" i="121" s="1"/>
  <c r="AG60" i="121"/>
  <c r="AF60" i="121" s="1"/>
  <c r="AG56" i="121"/>
  <c r="AF56" i="121" s="1"/>
  <c r="AN75" i="57" s="1"/>
  <c r="AG52" i="121"/>
  <c r="AF52" i="121" s="1"/>
  <c r="AN71" i="57" s="1"/>
  <c r="AG51" i="121"/>
  <c r="AF51" i="121" s="1"/>
  <c r="AN70" i="57" s="1"/>
  <c r="AG50" i="121"/>
  <c r="AF50" i="121" s="1"/>
  <c r="AN69" i="57" s="1"/>
  <c r="AG46" i="121"/>
  <c r="AF46" i="121" s="1"/>
  <c r="AN65" i="57" s="1"/>
  <c r="AG42" i="121"/>
  <c r="AF42" i="121" s="1"/>
  <c r="AN61" i="57" s="1"/>
  <c r="AH64" i="121"/>
  <c r="AJ64" i="121" s="1"/>
  <c r="AH53" i="121"/>
  <c r="AJ53" i="121" s="1"/>
  <c r="AO72" i="57" s="1"/>
  <c r="AH49" i="121"/>
  <c r="AJ49" i="121" s="1"/>
  <c r="AO68" i="57" s="1"/>
  <c r="AH45" i="121"/>
  <c r="AJ45" i="121" s="1"/>
  <c r="AO64" i="57" s="1"/>
  <c r="AH41" i="121"/>
  <c r="AJ41" i="121" s="1"/>
  <c r="AO60" i="57" s="1"/>
  <c r="AG53" i="121"/>
  <c r="AF53" i="121" s="1"/>
  <c r="AN72" i="57" s="1"/>
  <c r="AG49" i="121"/>
  <c r="AF49" i="121" s="1"/>
  <c r="AN68" i="57" s="1"/>
  <c r="AG45" i="121"/>
  <c r="AF45" i="121" s="1"/>
  <c r="AN64" i="57" s="1"/>
  <c r="AG41" i="121"/>
  <c r="AF41" i="121" s="1"/>
  <c r="AN60" i="57" s="1"/>
  <c r="AH76" i="121"/>
  <c r="AJ76" i="121" s="1"/>
  <c r="AH61" i="121"/>
  <c r="AJ61" i="121" s="1"/>
  <c r="AH52" i="121"/>
  <c r="AJ52" i="121" s="1"/>
  <c r="AO71" i="57" s="1"/>
  <c r="AH48" i="121"/>
  <c r="AJ48" i="121" s="1"/>
  <c r="AO67" i="57" s="1"/>
  <c r="AH44" i="121"/>
  <c r="AJ44" i="121" s="1"/>
  <c r="AO63" i="57" s="1"/>
  <c r="AG61" i="121"/>
  <c r="AF61" i="121" s="1"/>
  <c r="AG48" i="121"/>
  <c r="AF48" i="121" s="1"/>
  <c r="AN67" i="57" s="1"/>
  <c r="AG44" i="121"/>
  <c r="AF44" i="121" s="1"/>
  <c r="AN63" i="57" s="1"/>
  <c r="AG40" i="121"/>
  <c r="AF40" i="121" s="1"/>
  <c r="AN59" i="57" s="1"/>
  <c r="AH68" i="121"/>
  <c r="AJ68" i="121" s="1"/>
  <c r="AH56" i="121"/>
  <c r="AJ56" i="121" s="1"/>
  <c r="AO75" i="57" s="1"/>
  <c r="AH50" i="121"/>
  <c r="AJ50" i="121" s="1"/>
  <c r="AO69" i="57" s="1"/>
  <c r="AH46" i="121"/>
  <c r="AJ46" i="121" s="1"/>
  <c r="AO65" i="57" s="1"/>
  <c r="AH42" i="121"/>
  <c r="AJ42" i="121" s="1"/>
  <c r="AO61" i="57" s="1"/>
  <c r="AH38" i="121"/>
  <c r="AJ38" i="121" s="1"/>
  <c r="AO57" i="57" s="1"/>
  <c r="AH34" i="121"/>
  <c r="AJ34" i="121" s="1"/>
  <c r="AO53" i="57" s="1"/>
  <c r="AH30" i="121"/>
  <c r="AJ30" i="121" s="1"/>
  <c r="AO49" i="57" s="1"/>
  <c r="AH57" i="121"/>
  <c r="AJ57" i="121" s="1"/>
  <c r="AO76" i="57" s="1"/>
  <c r="AH39" i="121"/>
  <c r="AJ39" i="121" s="1"/>
  <c r="AO58" i="57" s="1"/>
  <c r="AG38" i="121"/>
  <c r="AF38" i="121" s="1"/>
  <c r="AN57" i="57" s="1"/>
  <c r="AG34" i="121"/>
  <c r="AF34" i="121" s="1"/>
  <c r="AN53" i="57" s="1"/>
  <c r="AG30" i="121"/>
  <c r="AF30" i="121" s="1"/>
  <c r="AN49" i="57" s="1"/>
  <c r="AG57" i="121"/>
  <c r="AF57" i="121" s="1"/>
  <c r="AN76" i="57" s="1"/>
  <c r="AG39" i="121"/>
  <c r="AF39" i="121" s="1"/>
  <c r="AN58" i="57" s="1"/>
  <c r="AH37" i="121"/>
  <c r="AJ37" i="121" s="1"/>
  <c r="AO56" i="57" s="1"/>
  <c r="AH33" i="121"/>
  <c r="AJ33" i="121" s="1"/>
  <c r="AO52" i="57" s="1"/>
  <c r="AH29" i="121"/>
  <c r="AJ29" i="121" s="1"/>
  <c r="AO48" i="57" s="1"/>
  <c r="AG37" i="121"/>
  <c r="AF37" i="121" s="1"/>
  <c r="AN56" i="57" s="1"/>
  <c r="AG33" i="121"/>
  <c r="AF33" i="121" s="1"/>
  <c r="AN52" i="57" s="1"/>
  <c r="AH36" i="121"/>
  <c r="AJ36" i="121" s="1"/>
  <c r="AO55" i="57" s="1"/>
  <c r="AH32" i="121"/>
  <c r="AJ32" i="121" s="1"/>
  <c r="AO51" i="57" s="1"/>
  <c r="AH28" i="121"/>
  <c r="AJ28" i="121" s="1"/>
  <c r="AO47" i="57" s="1"/>
  <c r="AH72" i="121"/>
  <c r="AJ72" i="121" s="1"/>
  <c r="AH47" i="121"/>
  <c r="AJ47" i="121" s="1"/>
  <c r="AO66" i="57" s="1"/>
  <c r="AH43" i="121"/>
  <c r="AJ43" i="121" s="1"/>
  <c r="AO62" i="57" s="1"/>
  <c r="AH35" i="121"/>
  <c r="AJ35" i="121" s="1"/>
  <c r="AO54" i="57" s="1"/>
  <c r="AH31" i="121"/>
  <c r="AJ31" i="121" s="1"/>
  <c r="AO50" i="57" s="1"/>
  <c r="AG23" i="121"/>
  <c r="AF23" i="121" s="1"/>
  <c r="AN42" i="57" s="1"/>
  <c r="AG19" i="121"/>
  <c r="AF19" i="121" s="1"/>
  <c r="AN38" i="57" s="1"/>
  <c r="AG15" i="121"/>
  <c r="AF15" i="121" s="1"/>
  <c r="AN34" i="57" s="1"/>
  <c r="AH26" i="121"/>
  <c r="AJ26" i="121" s="1"/>
  <c r="AO45" i="57" s="1"/>
  <c r="AH22" i="121"/>
  <c r="AJ22" i="121" s="1"/>
  <c r="AO41" i="57" s="1"/>
  <c r="AH18" i="121"/>
  <c r="AJ18" i="121" s="1"/>
  <c r="AO37" i="57" s="1"/>
  <c r="AG26" i="121"/>
  <c r="AF26" i="121" s="1"/>
  <c r="AN45" i="57" s="1"/>
  <c r="AG22" i="121"/>
  <c r="AF22" i="121" s="1"/>
  <c r="AN41" i="57" s="1"/>
  <c r="AG18" i="121"/>
  <c r="AF18" i="121" s="1"/>
  <c r="AN37" i="57" s="1"/>
  <c r="AG35" i="121"/>
  <c r="AF35" i="121" s="1"/>
  <c r="AN54" i="57" s="1"/>
  <c r="AG31" i="121"/>
  <c r="AF31" i="121" s="1"/>
  <c r="AN50" i="57" s="1"/>
  <c r="AH25" i="121"/>
  <c r="AJ25" i="121" s="1"/>
  <c r="AO44" i="57" s="1"/>
  <c r="AH21" i="121"/>
  <c r="AJ21" i="121" s="1"/>
  <c r="AO40" i="57" s="1"/>
  <c r="AH17" i="121"/>
  <c r="AJ17" i="121" s="1"/>
  <c r="AO36" i="57" s="1"/>
  <c r="AG47" i="121"/>
  <c r="AF47" i="121" s="1"/>
  <c r="AN66" i="57" s="1"/>
  <c r="AH27" i="121"/>
  <c r="AJ27" i="121" s="1"/>
  <c r="AO46" i="57" s="1"/>
  <c r="AG25" i="121"/>
  <c r="AF25" i="121" s="1"/>
  <c r="AN44" i="57" s="1"/>
  <c r="AG21" i="121"/>
  <c r="AF21" i="121" s="1"/>
  <c r="AN40" i="57" s="1"/>
  <c r="AG17" i="121"/>
  <c r="AF17" i="121" s="1"/>
  <c r="AN36" i="57" s="1"/>
  <c r="AG43" i="121"/>
  <c r="AF43" i="121" s="1"/>
  <c r="AN62" i="57" s="1"/>
  <c r="AG28" i="121"/>
  <c r="AF28" i="121" s="1"/>
  <c r="AN47" i="57" s="1"/>
  <c r="AG24" i="121"/>
  <c r="AF24" i="121" s="1"/>
  <c r="AN43" i="57" s="1"/>
  <c r="AG20" i="121"/>
  <c r="AF20" i="121" s="1"/>
  <c r="AN39" i="57" s="1"/>
  <c r="AG16" i="121"/>
  <c r="AF16" i="121" s="1"/>
  <c r="AN35" i="57" s="1"/>
  <c r="AG32" i="121"/>
  <c r="AF32" i="121" s="1"/>
  <c r="AN51" i="57" s="1"/>
  <c r="AG12" i="121"/>
  <c r="AH40" i="121"/>
  <c r="AJ40" i="121" s="1"/>
  <c r="AO59" i="57" s="1"/>
  <c r="AH11" i="121"/>
  <c r="AJ11" i="121" s="1"/>
  <c r="AO30" i="57" s="1"/>
  <c r="AG11" i="121"/>
  <c r="AH16" i="121"/>
  <c r="AJ16" i="121" s="1"/>
  <c r="AO35" i="57" s="1"/>
  <c r="AG13" i="121"/>
  <c r="AH23" i="121"/>
  <c r="AJ23" i="121" s="1"/>
  <c r="AO42" i="57" s="1"/>
  <c r="AH19" i="121"/>
  <c r="AJ19" i="121" s="1"/>
  <c r="AO38" i="57" s="1"/>
  <c r="AH15" i="121"/>
  <c r="AJ15" i="121" s="1"/>
  <c r="AO34" i="57" s="1"/>
  <c r="AH13" i="121"/>
  <c r="AJ13" i="121" s="1"/>
  <c r="AO32" i="57" s="1"/>
  <c r="AG36" i="121"/>
  <c r="AF36" i="121" s="1"/>
  <c r="AN55" i="57" s="1"/>
  <c r="AG27" i="121"/>
  <c r="AF27" i="121" s="1"/>
  <c r="AN46" i="57" s="1"/>
  <c r="AH14" i="121"/>
  <c r="AJ14" i="121" s="1"/>
  <c r="AO33" i="57" s="1"/>
  <c r="AG14" i="121"/>
  <c r="AG29" i="121"/>
  <c r="AF29" i="121" s="1"/>
  <c r="AN48" i="57" s="1"/>
  <c r="AH24" i="121"/>
  <c r="AJ24" i="121" s="1"/>
  <c r="AO43" i="57" s="1"/>
  <c r="AH20" i="121"/>
  <c r="AJ20" i="121" s="1"/>
  <c r="AO39" i="57" s="1"/>
  <c r="AH12" i="121"/>
  <c r="AJ12" i="121" s="1"/>
  <c r="AO31" i="57" s="1"/>
  <c r="AG10" i="121"/>
  <c r="AH10" i="121"/>
  <c r="AJ10" i="121" s="1"/>
  <c r="AO29" i="57" s="1"/>
  <c r="AD10" i="121"/>
  <c r="U10" i="121" a="1"/>
  <c r="V78" i="121" l="1"/>
  <c r="X78" i="121" s="1"/>
  <c r="V74" i="121"/>
  <c r="X74" i="121" s="1"/>
  <c r="V70" i="121"/>
  <c r="X70" i="121" s="1"/>
  <c r="V66" i="121"/>
  <c r="X66" i="121" s="1"/>
  <c r="U78" i="121"/>
  <c r="T78" i="121" s="1"/>
  <c r="U74" i="121"/>
  <c r="T74" i="121" s="1"/>
  <c r="U70" i="121"/>
  <c r="T70" i="121" s="1"/>
  <c r="U66" i="121"/>
  <c r="T66" i="121" s="1"/>
  <c r="V77" i="121"/>
  <c r="X77" i="121" s="1"/>
  <c r="V73" i="121"/>
  <c r="X73" i="121" s="1"/>
  <c r="V69" i="121"/>
  <c r="X69" i="121" s="1"/>
  <c r="V65" i="121"/>
  <c r="X65" i="121" s="1"/>
  <c r="U77" i="121"/>
  <c r="T77" i="121" s="1"/>
  <c r="U73" i="121"/>
  <c r="T73" i="121" s="1"/>
  <c r="U69" i="121"/>
  <c r="T69" i="121" s="1"/>
  <c r="U65" i="121"/>
  <c r="T65" i="121" s="1"/>
  <c r="V76" i="121"/>
  <c r="X76" i="121" s="1"/>
  <c r="V72" i="121"/>
  <c r="X72" i="121" s="1"/>
  <c r="V68" i="121"/>
  <c r="X68" i="121" s="1"/>
  <c r="V64" i="121"/>
  <c r="X64" i="121" s="1"/>
  <c r="V79" i="121"/>
  <c r="X79" i="121" s="1"/>
  <c r="V75" i="121"/>
  <c r="X75" i="121" s="1"/>
  <c r="V71" i="121"/>
  <c r="X71" i="121" s="1"/>
  <c r="V67" i="121"/>
  <c r="X67" i="121" s="1"/>
  <c r="V63" i="121"/>
  <c r="X63" i="121" s="1"/>
  <c r="U62" i="121"/>
  <c r="T62" i="121" s="1"/>
  <c r="U58" i="121"/>
  <c r="T58" i="121" s="1"/>
  <c r="U54" i="121"/>
  <c r="T54" i="121" s="1"/>
  <c r="V61" i="121"/>
  <c r="X61" i="121" s="1"/>
  <c r="V57" i="121"/>
  <c r="X57" i="121" s="1"/>
  <c r="V53" i="121"/>
  <c r="X53" i="121" s="1"/>
  <c r="U61" i="121"/>
  <c r="T61" i="121" s="1"/>
  <c r="U57" i="121"/>
  <c r="T57" i="121" s="1"/>
  <c r="U53" i="121"/>
  <c r="T53" i="121" s="1"/>
  <c r="U79" i="121"/>
  <c r="T79" i="121" s="1"/>
  <c r="U75" i="121"/>
  <c r="T75" i="121" s="1"/>
  <c r="U71" i="121"/>
  <c r="T71" i="121" s="1"/>
  <c r="U67" i="121"/>
  <c r="T67" i="121" s="1"/>
  <c r="V60" i="121"/>
  <c r="X60" i="121" s="1"/>
  <c r="V56" i="121"/>
  <c r="X56" i="121" s="1"/>
  <c r="V52" i="121"/>
  <c r="X52" i="121" s="1"/>
  <c r="U76" i="121"/>
  <c r="T76" i="121" s="1"/>
  <c r="U72" i="121"/>
  <c r="T72" i="121" s="1"/>
  <c r="U68" i="121"/>
  <c r="T68" i="121" s="1"/>
  <c r="U64" i="121"/>
  <c r="T64" i="121" s="1"/>
  <c r="V62" i="121"/>
  <c r="X62" i="121" s="1"/>
  <c r="V58" i="121"/>
  <c r="X58" i="121" s="1"/>
  <c r="V54" i="121"/>
  <c r="X54" i="121" s="1"/>
  <c r="V48" i="121"/>
  <c r="X48" i="121" s="1"/>
  <c r="V44" i="121"/>
  <c r="X44" i="121" s="1"/>
  <c r="V40" i="121"/>
  <c r="X40" i="121" s="1"/>
  <c r="U60" i="121"/>
  <c r="T60" i="121" s="1"/>
  <c r="U56" i="121"/>
  <c r="T56" i="121" s="1"/>
  <c r="U48" i="121"/>
  <c r="T48" i="121" s="1"/>
  <c r="U44" i="121"/>
  <c r="T44" i="121" s="1"/>
  <c r="U40" i="121"/>
  <c r="T40" i="121" s="1"/>
  <c r="V55" i="121"/>
  <c r="X55" i="121" s="1"/>
  <c r="V47" i="121"/>
  <c r="X47" i="121" s="1"/>
  <c r="V43" i="121"/>
  <c r="X43" i="121" s="1"/>
  <c r="U55" i="121"/>
  <c r="T55" i="121" s="1"/>
  <c r="U47" i="121"/>
  <c r="T47" i="121" s="1"/>
  <c r="U43" i="121"/>
  <c r="T43" i="121" s="1"/>
  <c r="V51" i="121"/>
  <c r="X51" i="121" s="1"/>
  <c r="V50" i="121"/>
  <c r="X50" i="121" s="1"/>
  <c r="V46" i="121"/>
  <c r="X46" i="121" s="1"/>
  <c r="V42" i="121"/>
  <c r="X42" i="121" s="1"/>
  <c r="U63" i="121"/>
  <c r="T63" i="121" s="1"/>
  <c r="U59" i="121"/>
  <c r="T59" i="121" s="1"/>
  <c r="U49" i="121"/>
  <c r="T49" i="121" s="1"/>
  <c r="U45" i="121"/>
  <c r="T45" i="121" s="1"/>
  <c r="U41" i="121"/>
  <c r="T41" i="121" s="1"/>
  <c r="V59" i="121"/>
  <c r="X59" i="121" s="1"/>
  <c r="U37" i="121"/>
  <c r="T37" i="121" s="1"/>
  <c r="U33" i="121"/>
  <c r="T33" i="121" s="1"/>
  <c r="U29" i="121"/>
  <c r="T29" i="121" s="1"/>
  <c r="U52" i="121"/>
  <c r="T52" i="121" s="1"/>
  <c r="U51" i="121"/>
  <c r="T51" i="121" s="1"/>
  <c r="V49" i="121"/>
  <c r="X49" i="121" s="1"/>
  <c r="V45" i="121"/>
  <c r="X45" i="121" s="1"/>
  <c r="V41" i="121"/>
  <c r="X41" i="121" s="1"/>
  <c r="V36" i="121"/>
  <c r="X36" i="121" s="1"/>
  <c r="V32" i="121"/>
  <c r="X32" i="121" s="1"/>
  <c r="V28" i="121"/>
  <c r="X28" i="121" s="1"/>
  <c r="U36" i="121"/>
  <c r="T36" i="121" s="1"/>
  <c r="U32" i="121"/>
  <c r="T32" i="121" s="1"/>
  <c r="U28" i="121"/>
  <c r="T28" i="121" s="1"/>
  <c r="V35" i="121"/>
  <c r="X35" i="121" s="1"/>
  <c r="V31" i="121"/>
  <c r="X31" i="121" s="1"/>
  <c r="U50" i="121"/>
  <c r="T50" i="121" s="1"/>
  <c r="U46" i="121"/>
  <c r="T46" i="121" s="1"/>
  <c r="U42" i="121"/>
  <c r="T42" i="121" s="1"/>
  <c r="U35" i="121"/>
  <c r="T35" i="121" s="1"/>
  <c r="U31" i="121"/>
  <c r="T31" i="121" s="1"/>
  <c r="U39" i="121"/>
  <c r="T39" i="121" s="1"/>
  <c r="U38" i="121"/>
  <c r="T38" i="121" s="1"/>
  <c r="U34" i="121"/>
  <c r="T34" i="121" s="1"/>
  <c r="U30" i="121"/>
  <c r="T30" i="121" s="1"/>
  <c r="V27" i="121"/>
  <c r="X27" i="121" s="1"/>
  <c r="V25" i="121"/>
  <c r="X25" i="121" s="1"/>
  <c r="V21" i="121"/>
  <c r="X21" i="121" s="1"/>
  <c r="V17" i="121"/>
  <c r="X17" i="121" s="1"/>
  <c r="V38" i="121"/>
  <c r="X38" i="121" s="1"/>
  <c r="V34" i="121"/>
  <c r="X34" i="121" s="1"/>
  <c r="V30" i="121"/>
  <c r="X30" i="121" s="1"/>
  <c r="U27" i="121"/>
  <c r="T27" i="121" s="1"/>
  <c r="U25" i="121"/>
  <c r="T25" i="121" s="1"/>
  <c r="U21" i="121"/>
  <c r="T21" i="121" s="1"/>
  <c r="U17" i="121"/>
  <c r="T17" i="121" s="1"/>
  <c r="V24" i="121"/>
  <c r="X24" i="121" s="1"/>
  <c r="V20" i="121"/>
  <c r="X20" i="121" s="1"/>
  <c r="V16" i="121"/>
  <c r="X16" i="121" s="1"/>
  <c r="U24" i="121"/>
  <c r="T24" i="121" s="1"/>
  <c r="U20" i="121"/>
  <c r="T20" i="121" s="1"/>
  <c r="V23" i="121"/>
  <c r="X23" i="121" s="1"/>
  <c r="V19" i="121"/>
  <c r="X19" i="121" s="1"/>
  <c r="V15" i="121"/>
  <c r="X15" i="121" s="1"/>
  <c r="V26" i="121"/>
  <c r="X26" i="121" s="1"/>
  <c r="V22" i="121"/>
  <c r="X22" i="121" s="1"/>
  <c r="V18" i="121"/>
  <c r="X18" i="121" s="1"/>
  <c r="V37" i="121"/>
  <c r="X37" i="121" s="1"/>
  <c r="U23" i="121"/>
  <c r="T23" i="121" s="1"/>
  <c r="V11" i="121"/>
  <c r="X11" i="121" s="1"/>
  <c r="V29" i="121"/>
  <c r="X29" i="121" s="1"/>
  <c r="U26" i="121"/>
  <c r="T26" i="121" s="1"/>
  <c r="U22" i="121"/>
  <c r="T22" i="121" s="1"/>
  <c r="U18" i="121"/>
  <c r="T18" i="121" s="1"/>
  <c r="V14" i="121"/>
  <c r="X14" i="121" s="1"/>
  <c r="U14" i="121"/>
  <c r="T14" i="121" s="1"/>
  <c r="V13" i="121"/>
  <c r="X13" i="121" s="1"/>
  <c r="U12" i="121"/>
  <c r="T12" i="121" s="1"/>
  <c r="U13" i="121"/>
  <c r="T13" i="121" s="1"/>
  <c r="U16" i="121"/>
  <c r="T16" i="121" s="1"/>
  <c r="V39" i="121"/>
  <c r="X39" i="121" s="1"/>
  <c r="V33" i="121"/>
  <c r="X33" i="121" s="1"/>
  <c r="V12" i="121"/>
  <c r="X12" i="121" s="1"/>
  <c r="U19" i="121"/>
  <c r="T19" i="121" s="1"/>
  <c r="U11" i="121"/>
  <c r="T11" i="121" s="1"/>
  <c r="U15" i="121"/>
  <c r="T15" i="121" s="1"/>
  <c r="U10" i="121"/>
  <c r="V10" i="121"/>
  <c r="X10" i="121" s="1"/>
  <c r="O10" i="121" a="1"/>
  <c r="AL29" i="57" l="1"/>
  <c r="AL26" i="57"/>
  <c r="P76" i="121"/>
  <c r="R76" i="121" s="1"/>
  <c r="AF75" i="57" s="1"/>
  <c r="P72" i="121"/>
  <c r="R72" i="121" s="1"/>
  <c r="AF71" i="57" s="1"/>
  <c r="P68" i="121"/>
  <c r="R68" i="121" s="1"/>
  <c r="AF67" i="57" s="1"/>
  <c r="P64" i="121"/>
  <c r="R64" i="121" s="1"/>
  <c r="AF63" i="57" s="1"/>
  <c r="O76" i="121"/>
  <c r="N76" i="121" s="1"/>
  <c r="AE75" i="57" s="1"/>
  <c r="O72" i="121"/>
  <c r="N72" i="121" s="1"/>
  <c r="AE71" i="57" s="1"/>
  <c r="O68" i="121"/>
  <c r="N68" i="121" s="1"/>
  <c r="AE67" i="57" s="1"/>
  <c r="O64" i="121"/>
  <c r="N64" i="121" s="1"/>
  <c r="AE63" i="57" s="1"/>
  <c r="P79" i="121"/>
  <c r="R79" i="121" s="1"/>
  <c r="AF78" i="57" s="1"/>
  <c r="P75" i="121"/>
  <c r="R75" i="121" s="1"/>
  <c r="AF74" i="57" s="1"/>
  <c r="P71" i="121"/>
  <c r="R71" i="121" s="1"/>
  <c r="AF70" i="57" s="1"/>
  <c r="P67" i="121"/>
  <c r="R67" i="121" s="1"/>
  <c r="AF66" i="57" s="1"/>
  <c r="O79" i="121"/>
  <c r="N79" i="121" s="1"/>
  <c r="AE78" i="57" s="1"/>
  <c r="O75" i="121"/>
  <c r="N75" i="121" s="1"/>
  <c r="AE74" i="57" s="1"/>
  <c r="O71" i="121"/>
  <c r="N71" i="121" s="1"/>
  <c r="AE70" i="57" s="1"/>
  <c r="O67" i="121"/>
  <c r="N67" i="121" s="1"/>
  <c r="AE66" i="57" s="1"/>
  <c r="O63" i="121"/>
  <c r="N63" i="121" s="1"/>
  <c r="AE62" i="57" s="1"/>
  <c r="P78" i="121"/>
  <c r="R78" i="121" s="1"/>
  <c r="AF77" i="57" s="1"/>
  <c r="P74" i="121"/>
  <c r="R74" i="121" s="1"/>
  <c r="AF73" i="57" s="1"/>
  <c r="P70" i="121"/>
  <c r="R70" i="121" s="1"/>
  <c r="AF69" i="57" s="1"/>
  <c r="P66" i="121"/>
  <c r="R66" i="121" s="1"/>
  <c r="AF65" i="57" s="1"/>
  <c r="P77" i="121"/>
  <c r="R77" i="121" s="1"/>
  <c r="AF76" i="57" s="1"/>
  <c r="P73" i="121"/>
  <c r="R73" i="121" s="1"/>
  <c r="AF72" i="57" s="1"/>
  <c r="P69" i="121"/>
  <c r="R69" i="121" s="1"/>
  <c r="AF68" i="57" s="1"/>
  <c r="P65" i="121"/>
  <c r="R65" i="121" s="1"/>
  <c r="AF64" i="57" s="1"/>
  <c r="O78" i="121"/>
  <c r="N78" i="121" s="1"/>
  <c r="AE77" i="57" s="1"/>
  <c r="O74" i="121"/>
  <c r="N74" i="121" s="1"/>
  <c r="AE73" i="57" s="1"/>
  <c r="O70" i="121"/>
  <c r="N70" i="121" s="1"/>
  <c r="AE69" i="57" s="1"/>
  <c r="O66" i="121"/>
  <c r="N66" i="121" s="1"/>
  <c r="AE65" i="57" s="1"/>
  <c r="O60" i="121"/>
  <c r="N60" i="121" s="1"/>
  <c r="AE59" i="57" s="1"/>
  <c r="O56" i="121"/>
  <c r="N56" i="121" s="1"/>
  <c r="AE55" i="57" s="1"/>
  <c r="O52" i="121"/>
  <c r="N52" i="121" s="1"/>
  <c r="AE51" i="57" s="1"/>
  <c r="P59" i="121"/>
  <c r="R59" i="121" s="1"/>
  <c r="AF58" i="57" s="1"/>
  <c r="P55" i="121"/>
  <c r="R55" i="121" s="1"/>
  <c r="AF54" i="57" s="1"/>
  <c r="O59" i="121"/>
  <c r="N59" i="121" s="1"/>
  <c r="AE58" i="57" s="1"/>
  <c r="O55" i="121"/>
  <c r="N55" i="121" s="1"/>
  <c r="AE54" i="57" s="1"/>
  <c r="P62" i="121"/>
  <c r="R62" i="121" s="1"/>
  <c r="AF61" i="57" s="1"/>
  <c r="P58" i="121"/>
  <c r="R58" i="121" s="1"/>
  <c r="AF57" i="57" s="1"/>
  <c r="P54" i="121"/>
  <c r="R54" i="121" s="1"/>
  <c r="AF53" i="57" s="1"/>
  <c r="O61" i="121"/>
  <c r="N61" i="121" s="1"/>
  <c r="AE60" i="57" s="1"/>
  <c r="P60" i="121"/>
  <c r="R60" i="121" s="1"/>
  <c r="AF59" i="57" s="1"/>
  <c r="P56" i="121"/>
  <c r="R56" i="121" s="1"/>
  <c r="AF55" i="57" s="1"/>
  <c r="P52" i="121"/>
  <c r="R52" i="121" s="1"/>
  <c r="AF51" i="57" s="1"/>
  <c r="P63" i="121"/>
  <c r="R63" i="121" s="1"/>
  <c r="AF62" i="57" s="1"/>
  <c r="O58" i="121"/>
  <c r="N58" i="121" s="1"/>
  <c r="AE57" i="57" s="1"/>
  <c r="P50" i="121"/>
  <c r="R50" i="121" s="1"/>
  <c r="AF49" i="57" s="1"/>
  <c r="P46" i="121"/>
  <c r="R46" i="121" s="1"/>
  <c r="AF45" i="57" s="1"/>
  <c r="P42" i="121"/>
  <c r="R42" i="121" s="1"/>
  <c r="AF41" i="57" s="1"/>
  <c r="O77" i="121"/>
  <c r="N77" i="121" s="1"/>
  <c r="AE76" i="57" s="1"/>
  <c r="O50" i="121"/>
  <c r="N50" i="121" s="1"/>
  <c r="AE49" i="57" s="1"/>
  <c r="O46" i="121"/>
  <c r="N46" i="121" s="1"/>
  <c r="AE45" i="57" s="1"/>
  <c r="O42" i="121"/>
  <c r="N42" i="121" s="1"/>
  <c r="AE41" i="57" s="1"/>
  <c r="O62" i="121"/>
  <c r="N62" i="121" s="1"/>
  <c r="AE61" i="57" s="1"/>
  <c r="P57" i="121"/>
  <c r="R57" i="121" s="1"/>
  <c r="AF56" i="57" s="1"/>
  <c r="P49" i="121"/>
  <c r="R49" i="121" s="1"/>
  <c r="AF48" i="57" s="1"/>
  <c r="P45" i="121"/>
  <c r="R45" i="121" s="1"/>
  <c r="AF44" i="57" s="1"/>
  <c r="P41" i="121"/>
  <c r="R41" i="121" s="1"/>
  <c r="AF40" i="57" s="1"/>
  <c r="O73" i="121"/>
  <c r="N73" i="121" s="1"/>
  <c r="AE72" i="57" s="1"/>
  <c r="O57" i="121"/>
  <c r="N57" i="121" s="1"/>
  <c r="AE56" i="57" s="1"/>
  <c r="O49" i="121"/>
  <c r="N49" i="121" s="1"/>
  <c r="AE48" i="57" s="1"/>
  <c r="O45" i="121"/>
  <c r="N45" i="121" s="1"/>
  <c r="AE44" i="57" s="1"/>
  <c r="O54" i="121"/>
  <c r="N54" i="121" s="1"/>
  <c r="AE53" i="57" s="1"/>
  <c r="P48" i="121"/>
  <c r="R48" i="121" s="1"/>
  <c r="AF47" i="57" s="1"/>
  <c r="P44" i="121"/>
  <c r="R44" i="121" s="1"/>
  <c r="AF43" i="57" s="1"/>
  <c r="P40" i="121"/>
  <c r="R40" i="121" s="1"/>
  <c r="AF39" i="57" s="1"/>
  <c r="O65" i="121"/>
  <c r="N65" i="121" s="1"/>
  <c r="AE64" i="57" s="1"/>
  <c r="P61" i="121"/>
  <c r="R61" i="121" s="1"/>
  <c r="AF60" i="57" s="1"/>
  <c r="O53" i="121"/>
  <c r="N53" i="121" s="1"/>
  <c r="AE52" i="57" s="1"/>
  <c r="O51" i="121"/>
  <c r="N51" i="121" s="1"/>
  <c r="AE50" i="57" s="1"/>
  <c r="O47" i="121"/>
  <c r="N47" i="121" s="1"/>
  <c r="AE46" i="57" s="1"/>
  <c r="O43" i="121"/>
  <c r="N43" i="121" s="1"/>
  <c r="AE42" i="57" s="1"/>
  <c r="O39" i="121"/>
  <c r="N39" i="121" s="1"/>
  <c r="AE38" i="57" s="1"/>
  <c r="P39" i="121"/>
  <c r="R39" i="121" s="1"/>
  <c r="AF38" i="57" s="1"/>
  <c r="O35" i="121"/>
  <c r="N35" i="121" s="1"/>
  <c r="AE34" i="57" s="1"/>
  <c r="O31" i="121"/>
  <c r="N31" i="121" s="1"/>
  <c r="AE30" i="57" s="1"/>
  <c r="O27" i="121"/>
  <c r="N27" i="121" s="1"/>
  <c r="AE26" i="57" s="1"/>
  <c r="P38" i="121"/>
  <c r="R38" i="121" s="1"/>
  <c r="AF37" i="57" s="1"/>
  <c r="P34" i="121"/>
  <c r="R34" i="121" s="1"/>
  <c r="AF33" i="57" s="1"/>
  <c r="P30" i="121"/>
  <c r="R30" i="121" s="1"/>
  <c r="AF29" i="57" s="1"/>
  <c r="P51" i="121"/>
  <c r="R51" i="121" s="1"/>
  <c r="AF50" i="57" s="1"/>
  <c r="P47" i="121"/>
  <c r="R47" i="121" s="1"/>
  <c r="AF46" i="57" s="1"/>
  <c r="P43" i="121"/>
  <c r="R43" i="121" s="1"/>
  <c r="AF42" i="57" s="1"/>
  <c r="O41" i="121"/>
  <c r="N41" i="121" s="1"/>
  <c r="AE40" i="57" s="1"/>
  <c r="O38" i="121"/>
  <c r="N38" i="121" s="1"/>
  <c r="AE37" i="57" s="1"/>
  <c r="O34" i="121"/>
  <c r="N34" i="121" s="1"/>
  <c r="AE33" i="57" s="1"/>
  <c r="O30" i="121"/>
  <c r="N30" i="121" s="1"/>
  <c r="AE29" i="57" s="1"/>
  <c r="O40" i="121"/>
  <c r="N40" i="121" s="1"/>
  <c r="AE39" i="57" s="1"/>
  <c r="P37" i="121"/>
  <c r="R37" i="121" s="1"/>
  <c r="AF36" i="57" s="1"/>
  <c r="P33" i="121"/>
  <c r="R33" i="121" s="1"/>
  <c r="AF32" i="57" s="1"/>
  <c r="P53" i="121"/>
  <c r="R53" i="121" s="1"/>
  <c r="AF52" i="57" s="1"/>
  <c r="O37" i="121"/>
  <c r="N37" i="121" s="1"/>
  <c r="AE36" i="57" s="1"/>
  <c r="O33" i="121"/>
  <c r="N33" i="121" s="1"/>
  <c r="AE32" i="57" s="1"/>
  <c r="O29" i="121"/>
  <c r="N29" i="121" s="1"/>
  <c r="AE28" i="57" s="1"/>
  <c r="O36" i="121"/>
  <c r="N36" i="121" s="1"/>
  <c r="AE35" i="57" s="1"/>
  <c r="O32" i="121"/>
  <c r="N32" i="121" s="1"/>
  <c r="AE31" i="57" s="1"/>
  <c r="O28" i="121"/>
  <c r="N28" i="121" s="1"/>
  <c r="AE27" i="57" s="1"/>
  <c r="P29" i="121"/>
  <c r="R29" i="121" s="1"/>
  <c r="AF28" i="57" s="1"/>
  <c r="P23" i="121"/>
  <c r="R23" i="121" s="1"/>
  <c r="AF22" i="57" s="1"/>
  <c r="P19" i="121"/>
  <c r="R19" i="121" s="1"/>
  <c r="AF18" i="57" s="1"/>
  <c r="P15" i="121"/>
  <c r="R15" i="121" s="1"/>
  <c r="AF14" i="57" s="1"/>
  <c r="O48" i="121"/>
  <c r="N48" i="121" s="1"/>
  <c r="AE47" i="57" s="1"/>
  <c r="P36" i="121"/>
  <c r="R36" i="121" s="1"/>
  <c r="AF35" i="57" s="1"/>
  <c r="P32" i="121"/>
  <c r="R32" i="121" s="1"/>
  <c r="AF31" i="57" s="1"/>
  <c r="P28" i="121"/>
  <c r="R28" i="121" s="1"/>
  <c r="AF27" i="57" s="1"/>
  <c r="O23" i="121"/>
  <c r="N23" i="121" s="1"/>
  <c r="AE22" i="57" s="1"/>
  <c r="O19" i="121"/>
  <c r="N19" i="121" s="1"/>
  <c r="AE18" i="57" s="1"/>
  <c r="P26" i="121"/>
  <c r="R26" i="121" s="1"/>
  <c r="AF25" i="57" s="1"/>
  <c r="P22" i="121"/>
  <c r="R22" i="121" s="1"/>
  <c r="AF21" i="57" s="1"/>
  <c r="P18" i="121"/>
  <c r="R18" i="121" s="1"/>
  <c r="AF17" i="57" s="1"/>
  <c r="O69" i="121"/>
  <c r="N69" i="121" s="1"/>
  <c r="AE68" i="57" s="1"/>
  <c r="O44" i="121"/>
  <c r="N44" i="121" s="1"/>
  <c r="AE43" i="57" s="1"/>
  <c r="O26" i="121"/>
  <c r="N26" i="121" s="1"/>
  <c r="AE25" i="57" s="1"/>
  <c r="O22" i="121"/>
  <c r="N22" i="121" s="1"/>
  <c r="AE21" i="57" s="1"/>
  <c r="O18" i="121"/>
  <c r="N18" i="121" s="1"/>
  <c r="AE17" i="57" s="1"/>
  <c r="P27" i="121"/>
  <c r="R27" i="121" s="1"/>
  <c r="AF26" i="57" s="1"/>
  <c r="P25" i="121"/>
  <c r="R25" i="121" s="1"/>
  <c r="AF24" i="57" s="1"/>
  <c r="P21" i="121"/>
  <c r="R21" i="121" s="1"/>
  <c r="AF20" i="57" s="1"/>
  <c r="P17" i="121"/>
  <c r="R17" i="121" s="1"/>
  <c r="AF16" i="57" s="1"/>
  <c r="P35" i="121"/>
  <c r="R35" i="121" s="1"/>
  <c r="AF34" i="57" s="1"/>
  <c r="P31" i="121"/>
  <c r="R31" i="121" s="1"/>
  <c r="AF30" i="57" s="1"/>
  <c r="P24" i="121"/>
  <c r="R24" i="121" s="1"/>
  <c r="AF23" i="57" s="1"/>
  <c r="P20" i="121"/>
  <c r="R20" i="121" s="1"/>
  <c r="AF19" i="57" s="1"/>
  <c r="P16" i="121"/>
  <c r="R16" i="121" s="1"/>
  <c r="AF15" i="57" s="1"/>
  <c r="O15" i="121"/>
  <c r="N15" i="121" s="1"/>
  <c r="AE14" i="57" s="1"/>
  <c r="P12" i="121"/>
  <c r="R12" i="121" s="1"/>
  <c r="AF11" i="57" s="1"/>
  <c r="P11" i="121"/>
  <c r="R11" i="121" s="1"/>
  <c r="AF10" i="57" s="1"/>
  <c r="O14" i="121"/>
  <c r="N14" i="121" s="1"/>
  <c r="AE13" i="57" s="1"/>
  <c r="O25" i="121"/>
  <c r="N25" i="121" s="1"/>
  <c r="AE24" i="57" s="1"/>
  <c r="O12" i="121"/>
  <c r="N12" i="121" s="1"/>
  <c r="AE11" i="57" s="1"/>
  <c r="O11" i="121"/>
  <c r="N11" i="121" s="1"/>
  <c r="AE10" i="57" s="1"/>
  <c r="O21" i="121"/>
  <c r="N21" i="121" s="1"/>
  <c r="AE20" i="57" s="1"/>
  <c r="O24" i="121"/>
  <c r="N24" i="121" s="1"/>
  <c r="AE23" i="57" s="1"/>
  <c r="O20" i="121"/>
  <c r="N20" i="121" s="1"/>
  <c r="AE19" i="57" s="1"/>
  <c r="P14" i="121"/>
  <c r="R14" i="121" s="1"/>
  <c r="AF13" i="57" s="1"/>
  <c r="O16" i="121"/>
  <c r="N16" i="121" s="1"/>
  <c r="AE15" i="57" s="1"/>
  <c r="O13" i="121"/>
  <c r="N13" i="121" s="1"/>
  <c r="AE12" i="57" s="1"/>
  <c r="O17" i="121"/>
  <c r="N17" i="121" s="1"/>
  <c r="AE16" i="57" s="1"/>
  <c r="P13" i="121"/>
  <c r="R13" i="121" s="1"/>
  <c r="AF12" i="57" s="1"/>
  <c r="O10" i="121"/>
  <c r="N10" i="121" s="1"/>
  <c r="AE9" i="57" s="1"/>
  <c r="P10" i="121"/>
  <c r="R10" i="121" s="1"/>
  <c r="AF9" i="57" s="1"/>
  <c r="I10" i="121" a="1"/>
  <c r="J78" i="121" l="1"/>
  <c r="L78" i="121" s="1"/>
  <c r="Z77" i="57" s="1"/>
  <c r="J74" i="121"/>
  <c r="L74" i="121" s="1"/>
  <c r="Z73" i="57" s="1"/>
  <c r="J70" i="121"/>
  <c r="L70" i="121" s="1"/>
  <c r="Z69" i="57" s="1"/>
  <c r="J66" i="121"/>
  <c r="L66" i="121" s="1"/>
  <c r="Z65" i="57" s="1"/>
  <c r="I78" i="121"/>
  <c r="H78" i="121" s="1"/>
  <c r="Y77" i="57" s="1"/>
  <c r="I74" i="121"/>
  <c r="H74" i="121" s="1"/>
  <c r="Y73" i="57" s="1"/>
  <c r="I70" i="121"/>
  <c r="H70" i="121" s="1"/>
  <c r="Y69" i="57" s="1"/>
  <c r="I66" i="121"/>
  <c r="H66" i="121" s="1"/>
  <c r="Y65" i="57" s="1"/>
  <c r="J77" i="121"/>
  <c r="L77" i="121" s="1"/>
  <c r="Z76" i="57" s="1"/>
  <c r="J73" i="121"/>
  <c r="L73" i="121" s="1"/>
  <c r="Z72" i="57" s="1"/>
  <c r="J69" i="121"/>
  <c r="L69" i="121" s="1"/>
  <c r="Z68" i="57" s="1"/>
  <c r="J65" i="121"/>
  <c r="L65" i="121" s="1"/>
  <c r="Z64" i="57" s="1"/>
  <c r="I77" i="121"/>
  <c r="H77" i="121" s="1"/>
  <c r="Y76" i="57" s="1"/>
  <c r="I73" i="121"/>
  <c r="H73" i="121" s="1"/>
  <c r="Y72" i="57" s="1"/>
  <c r="I69" i="121"/>
  <c r="H69" i="121" s="1"/>
  <c r="Y68" i="57" s="1"/>
  <c r="I65" i="121"/>
  <c r="H65" i="121" s="1"/>
  <c r="Y64" i="57" s="1"/>
  <c r="J76" i="121"/>
  <c r="L76" i="121" s="1"/>
  <c r="Z75" i="57" s="1"/>
  <c r="J72" i="121"/>
  <c r="L72" i="121" s="1"/>
  <c r="Z71" i="57" s="1"/>
  <c r="J68" i="121"/>
  <c r="L68" i="121" s="1"/>
  <c r="Z67" i="57" s="1"/>
  <c r="J64" i="121"/>
  <c r="L64" i="121" s="1"/>
  <c r="Z63" i="57" s="1"/>
  <c r="J79" i="121"/>
  <c r="L79" i="121" s="1"/>
  <c r="Z78" i="57" s="1"/>
  <c r="J75" i="121"/>
  <c r="L75" i="121" s="1"/>
  <c r="Z74" i="57" s="1"/>
  <c r="J71" i="121"/>
  <c r="L71" i="121" s="1"/>
  <c r="Z70" i="57" s="1"/>
  <c r="J67" i="121"/>
  <c r="L67" i="121" s="1"/>
  <c r="Z66" i="57" s="1"/>
  <c r="J63" i="121"/>
  <c r="L63" i="121" s="1"/>
  <c r="Z62" i="57" s="1"/>
  <c r="I63" i="121"/>
  <c r="H63" i="121" s="1"/>
  <c r="Y62" i="57" s="1"/>
  <c r="I62" i="121"/>
  <c r="H62" i="121" s="1"/>
  <c r="Y61" i="57" s="1"/>
  <c r="I58" i="121"/>
  <c r="H58" i="121" s="1"/>
  <c r="Y57" i="57" s="1"/>
  <c r="I54" i="121"/>
  <c r="H54" i="121" s="1"/>
  <c r="Y53" i="57" s="1"/>
  <c r="I76" i="121"/>
  <c r="H76" i="121" s="1"/>
  <c r="Y75" i="57" s="1"/>
  <c r="I72" i="121"/>
  <c r="H72" i="121" s="1"/>
  <c r="Y71" i="57" s="1"/>
  <c r="I68" i="121"/>
  <c r="H68" i="121" s="1"/>
  <c r="Y67" i="57" s="1"/>
  <c r="I64" i="121"/>
  <c r="H64" i="121" s="1"/>
  <c r="Y63" i="57" s="1"/>
  <c r="J61" i="121"/>
  <c r="L61" i="121" s="1"/>
  <c r="Z60" i="57" s="1"/>
  <c r="J57" i="121"/>
  <c r="L57" i="121" s="1"/>
  <c r="Z56" i="57" s="1"/>
  <c r="J53" i="121"/>
  <c r="L53" i="121" s="1"/>
  <c r="Z52" i="57" s="1"/>
  <c r="I61" i="121"/>
  <c r="H61" i="121" s="1"/>
  <c r="Y60" i="57" s="1"/>
  <c r="I57" i="121"/>
  <c r="H57" i="121" s="1"/>
  <c r="Y56" i="57" s="1"/>
  <c r="I53" i="121"/>
  <c r="H53" i="121" s="1"/>
  <c r="Y52" i="57" s="1"/>
  <c r="J60" i="121"/>
  <c r="L60" i="121" s="1"/>
  <c r="Z59" i="57" s="1"/>
  <c r="J56" i="121"/>
  <c r="L56" i="121" s="1"/>
  <c r="Z55" i="57" s="1"/>
  <c r="J52" i="121"/>
  <c r="L52" i="121" s="1"/>
  <c r="Z51" i="57" s="1"/>
  <c r="J62" i="121"/>
  <c r="L62" i="121" s="1"/>
  <c r="Z61" i="57" s="1"/>
  <c r="J58" i="121"/>
  <c r="L58" i="121" s="1"/>
  <c r="Z57" i="57" s="1"/>
  <c r="J54" i="121"/>
  <c r="L54" i="121" s="1"/>
  <c r="Z53" i="57" s="1"/>
  <c r="I79" i="121"/>
  <c r="H79" i="121" s="1"/>
  <c r="Y78" i="57" s="1"/>
  <c r="J48" i="121"/>
  <c r="L48" i="121" s="1"/>
  <c r="Z47" i="57" s="1"/>
  <c r="J44" i="121"/>
  <c r="L44" i="121" s="1"/>
  <c r="Z43" i="57" s="1"/>
  <c r="J40" i="121"/>
  <c r="L40" i="121" s="1"/>
  <c r="Z39" i="57" s="1"/>
  <c r="J59" i="121"/>
  <c r="L59" i="121" s="1"/>
  <c r="Z58" i="57" s="1"/>
  <c r="I52" i="121"/>
  <c r="H52" i="121" s="1"/>
  <c r="Y51" i="57" s="1"/>
  <c r="I48" i="121"/>
  <c r="H48" i="121" s="1"/>
  <c r="Y47" i="57" s="1"/>
  <c r="I44" i="121"/>
  <c r="H44" i="121" s="1"/>
  <c r="Y43" i="57" s="1"/>
  <c r="I40" i="121"/>
  <c r="H40" i="121" s="1"/>
  <c r="Y39" i="57" s="1"/>
  <c r="I75" i="121"/>
  <c r="H75" i="121" s="1"/>
  <c r="Y74" i="57" s="1"/>
  <c r="I59" i="121"/>
  <c r="H59" i="121" s="1"/>
  <c r="Y58" i="57" s="1"/>
  <c r="J51" i="121"/>
  <c r="L51" i="121" s="1"/>
  <c r="Z50" i="57" s="1"/>
  <c r="J47" i="121"/>
  <c r="L47" i="121" s="1"/>
  <c r="Z46" i="57" s="1"/>
  <c r="J43" i="121"/>
  <c r="L43" i="121" s="1"/>
  <c r="Z42" i="57" s="1"/>
  <c r="I60" i="121"/>
  <c r="H60" i="121" s="1"/>
  <c r="Y59" i="57" s="1"/>
  <c r="I51" i="121"/>
  <c r="H51" i="121" s="1"/>
  <c r="Y50" i="57" s="1"/>
  <c r="I47" i="121"/>
  <c r="H47" i="121" s="1"/>
  <c r="Y46" i="57" s="1"/>
  <c r="I43" i="121"/>
  <c r="H43" i="121" s="1"/>
  <c r="Y42" i="57" s="1"/>
  <c r="I71" i="121"/>
  <c r="H71" i="121" s="1"/>
  <c r="Y70" i="57" s="1"/>
  <c r="I56" i="121"/>
  <c r="H56" i="121" s="1"/>
  <c r="Y55" i="57" s="1"/>
  <c r="J50" i="121"/>
  <c r="L50" i="121" s="1"/>
  <c r="Z49" i="57" s="1"/>
  <c r="J46" i="121"/>
  <c r="L46" i="121" s="1"/>
  <c r="Z45" i="57" s="1"/>
  <c r="J42" i="121"/>
  <c r="L42" i="121" s="1"/>
  <c r="Z41" i="57" s="1"/>
  <c r="I49" i="121"/>
  <c r="H49" i="121" s="1"/>
  <c r="Y48" i="57" s="1"/>
  <c r="I45" i="121"/>
  <c r="H45" i="121" s="1"/>
  <c r="Y44" i="57" s="1"/>
  <c r="I41" i="121"/>
  <c r="H41" i="121" s="1"/>
  <c r="Y40" i="57" s="1"/>
  <c r="I55" i="121"/>
  <c r="H55" i="121" s="1"/>
  <c r="Y54" i="57" s="1"/>
  <c r="I37" i="121"/>
  <c r="H37" i="121" s="1"/>
  <c r="Y36" i="57" s="1"/>
  <c r="I33" i="121"/>
  <c r="H33" i="121" s="1"/>
  <c r="Y32" i="57" s="1"/>
  <c r="I29" i="121"/>
  <c r="H29" i="121" s="1"/>
  <c r="Y28" i="57" s="1"/>
  <c r="J36" i="121"/>
  <c r="L36" i="121" s="1"/>
  <c r="Z35" i="57" s="1"/>
  <c r="J32" i="121"/>
  <c r="L32" i="121" s="1"/>
  <c r="Z31" i="57" s="1"/>
  <c r="J28" i="121"/>
  <c r="L28" i="121" s="1"/>
  <c r="Z27" i="57" s="1"/>
  <c r="I36" i="121"/>
  <c r="H36" i="121" s="1"/>
  <c r="Y35" i="57" s="1"/>
  <c r="I32" i="121"/>
  <c r="H32" i="121" s="1"/>
  <c r="Y31" i="57" s="1"/>
  <c r="I28" i="121"/>
  <c r="H28" i="121" s="1"/>
  <c r="Y27" i="57" s="1"/>
  <c r="J49" i="121"/>
  <c r="L49" i="121" s="1"/>
  <c r="Z48" i="57" s="1"/>
  <c r="J45" i="121"/>
  <c r="L45" i="121" s="1"/>
  <c r="Z44" i="57" s="1"/>
  <c r="J39" i="121"/>
  <c r="L39" i="121" s="1"/>
  <c r="Z38" i="57" s="1"/>
  <c r="J35" i="121"/>
  <c r="L35" i="121" s="1"/>
  <c r="Z34" i="57" s="1"/>
  <c r="J31" i="121"/>
  <c r="L31" i="121" s="1"/>
  <c r="Z30" i="57" s="1"/>
  <c r="J41" i="121"/>
  <c r="L41" i="121" s="1"/>
  <c r="Z40" i="57" s="1"/>
  <c r="I39" i="121"/>
  <c r="H39" i="121" s="1"/>
  <c r="Y38" i="57" s="1"/>
  <c r="I35" i="121"/>
  <c r="H35" i="121" s="1"/>
  <c r="Y34" i="57" s="1"/>
  <c r="I31" i="121"/>
  <c r="H31" i="121" s="1"/>
  <c r="Y30" i="57" s="1"/>
  <c r="I50" i="121"/>
  <c r="H50" i="121" s="1"/>
  <c r="Y49" i="57" s="1"/>
  <c r="I46" i="121"/>
  <c r="H46" i="121" s="1"/>
  <c r="Y45" i="57" s="1"/>
  <c r="I42" i="121"/>
  <c r="H42" i="121" s="1"/>
  <c r="Y41" i="57" s="1"/>
  <c r="I38" i="121"/>
  <c r="H38" i="121" s="1"/>
  <c r="Y37" i="57" s="1"/>
  <c r="I34" i="121"/>
  <c r="H34" i="121" s="1"/>
  <c r="Y33" i="57" s="1"/>
  <c r="I30" i="121"/>
  <c r="H30" i="121" s="1"/>
  <c r="Y29" i="57" s="1"/>
  <c r="I67" i="121"/>
  <c r="H67" i="121" s="1"/>
  <c r="Y66" i="57" s="1"/>
  <c r="I27" i="121"/>
  <c r="H27" i="121" s="1"/>
  <c r="Y26" i="57" s="1"/>
  <c r="J25" i="121"/>
  <c r="L25" i="121" s="1"/>
  <c r="Z24" i="57" s="1"/>
  <c r="J21" i="121"/>
  <c r="L21" i="121" s="1"/>
  <c r="Z20" i="57" s="1"/>
  <c r="J17" i="121"/>
  <c r="L17" i="121" s="1"/>
  <c r="Z16" i="57" s="1"/>
  <c r="I25" i="121"/>
  <c r="H25" i="121" s="1"/>
  <c r="Y24" i="57" s="1"/>
  <c r="I21" i="121"/>
  <c r="H21" i="121" s="1"/>
  <c r="Y20" i="57" s="1"/>
  <c r="I17" i="121"/>
  <c r="H17" i="121" s="1"/>
  <c r="Y16" i="57" s="1"/>
  <c r="J29" i="121"/>
  <c r="L29" i="121" s="1"/>
  <c r="Z28" i="57" s="1"/>
  <c r="J24" i="121"/>
  <c r="L24" i="121" s="1"/>
  <c r="Z23" i="57" s="1"/>
  <c r="J20" i="121"/>
  <c r="L20" i="121" s="1"/>
  <c r="Z19" i="57" s="1"/>
  <c r="J16" i="121"/>
  <c r="L16" i="121" s="1"/>
  <c r="Z15" i="57" s="1"/>
  <c r="J38" i="121"/>
  <c r="L38" i="121" s="1"/>
  <c r="Z37" i="57" s="1"/>
  <c r="J34" i="121"/>
  <c r="L34" i="121" s="1"/>
  <c r="Z33" i="57" s="1"/>
  <c r="J30" i="121"/>
  <c r="L30" i="121" s="1"/>
  <c r="Z29" i="57" s="1"/>
  <c r="I24" i="121"/>
  <c r="H24" i="121" s="1"/>
  <c r="Y23" i="57" s="1"/>
  <c r="I20" i="121"/>
  <c r="H20" i="121" s="1"/>
  <c r="Y19" i="57" s="1"/>
  <c r="J23" i="121"/>
  <c r="L23" i="121" s="1"/>
  <c r="Z22" i="57" s="1"/>
  <c r="J19" i="121"/>
  <c r="L19" i="121" s="1"/>
  <c r="Z18" i="57" s="1"/>
  <c r="J26" i="121"/>
  <c r="L26" i="121" s="1"/>
  <c r="Z25" i="57" s="1"/>
  <c r="J22" i="121"/>
  <c r="L22" i="121" s="1"/>
  <c r="Z21" i="57" s="1"/>
  <c r="J18" i="121"/>
  <c r="L18" i="121" s="1"/>
  <c r="Z17" i="57" s="1"/>
  <c r="J27" i="121"/>
  <c r="L27" i="121" s="1"/>
  <c r="Z26" i="57" s="1"/>
  <c r="I16" i="121"/>
  <c r="H16" i="121" s="1"/>
  <c r="Y15" i="57" s="1"/>
  <c r="J14" i="121"/>
  <c r="L14" i="121" s="1"/>
  <c r="Z13" i="57" s="1"/>
  <c r="I13" i="121"/>
  <c r="H13" i="121" s="1"/>
  <c r="Y12" i="57" s="1"/>
  <c r="J37" i="121"/>
  <c r="L37" i="121" s="1"/>
  <c r="Z36" i="57" s="1"/>
  <c r="I14" i="121"/>
  <c r="H14" i="121" s="1"/>
  <c r="Y13" i="57" s="1"/>
  <c r="I12" i="121"/>
  <c r="H12" i="121" s="1"/>
  <c r="Y11" i="57" s="1"/>
  <c r="J13" i="121"/>
  <c r="L13" i="121" s="1"/>
  <c r="Z12" i="57" s="1"/>
  <c r="J11" i="121"/>
  <c r="L11" i="121" s="1"/>
  <c r="Z10" i="57" s="1"/>
  <c r="I26" i="121"/>
  <c r="H26" i="121" s="1"/>
  <c r="Y25" i="57" s="1"/>
  <c r="I22" i="121"/>
  <c r="H22" i="121" s="1"/>
  <c r="Y21" i="57" s="1"/>
  <c r="I18" i="121"/>
  <c r="H18" i="121" s="1"/>
  <c r="Y17" i="57" s="1"/>
  <c r="J15" i="121"/>
  <c r="L15" i="121" s="1"/>
  <c r="Z14" i="57" s="1"/>
  <c r="I15" i="121"/>
  <c r="H15" i="121" s="1"/>
  <c r="Y14" i="57" s="1"/>
  <c r="J12" i="121"/>
  <c r="L12" i="121" s="1"/>
  <c r="Z11" i="57" s="1"/>
  <c r="J33" i="121"/>
  <c r="L33" i="121" s="1"/>
  <c r="Z32" i="57" s="1"/>
  <c r="I23" i="121"/>
  <c r="H23" i="121" s="1"/>
  <c r="Y22" i="57" s="1"/>
  <c r="I19" i="121"/>
  <c r="H19" i="121" s="1"/>
  <c r="Y18" i="57" s="1"/>
  <c r="I11" i="121"/>
  <c r="H11" i="121" s="1"/>
  <c r="Y10" i="57" s="1"/>
  <c r="J55" i="121"/>
  <c r="L55" i="121" s="1"/>
  <c r="Z54" i="57" s="1"/>
  <c r="J10" i="121"/>
  <c r="L10" i="121" s="1"/>
  <c r="Z9" i="57" s="1"/>
  <c r="I10" i="121"/>
  <c r="H10" i="121" s="1"/>
  <c r="Y9" i="57" s="1"/>
  <c r="C10" i="121" a="1"/>
  <c r="D76" i="121" l="1"/>
  <c r="F76" i="121" s="1"/>
  <c r="N75" i="57" s="1"/>
  <c r="D72" i="121"/>
  <c r="F72" i="121" s="1"/>
  <c r="N71" i="57" s="1"/>
  <c r="D68" i="121"/>
  <c r="F68" i="121" s="1"/>
  <c r="N67" i="57" s="1"/>
  <c r="D64" i="121"/>
  <c r="F64" i="121" s="1"/>
  <c r="N63" i="57" s="1"/>
  <c r="C76" i="121"/>
  <c r="B76" i="121" s="1"/>
  <c r="M75" i="57" s="1"/>
  <c r="Q75" i="57" s="1"/>
  <c r="C72" i="121"/>
  <c r="B72" i="121" s="1"/>
  <c r="M71" i="57" s="1"/>
  <c r="Q71" i="57" s="1"/>
  <c r="C68" i="121"/>
  <c r="B68" i="121" s="1"/>
  <c r="M67" i="57" s="1"/>
  <c r="Q67" i="57" s="1"/>
  <c r="C64" i="121"/>
  <c r="B64" i="121" s="1"/>
  <c r="M63" i="57" s="1"/>
  <c r="Q63" i="57" s="1"/>
  <c r="D79" i="121"/>
  <c r="F79" i="121" s="1"/>
  <c r="N78" i="57" s="1"/>
  <c r="D75" i="121"/>
  <c r="F75" i="121" s="1"/>
  <c r="N74" i="57" s="1"/>
  <c r="D71" i="121"/>
  <c r="F71" i="121" s="1"/>
  <c r="N70" i="57" s="1"/>
  <c r="D67" i="121"/>
  <c r="F67" i="121" s="1"/>
  <c r="N66" i="57" s="1"/>
  <c r="C79" i="121"/>
  <c r="B79" i="121" s="1"/>
  <c r="M78" i="57" s="1"/>
  <c r="Q78" i="57" s="1"/>
  <c r="C75" i="121"/>
  <c r="B75" i="121" s="1"/>
  <c r="M74" i="57" s="1"/>
  <c r="Q74" i="57" s="1"/>
  <c r="C71" i="121"/>
  <c r="B71" i="121" s="1"/>
  <c r="M70" i="57" s="1"/>
  <c r="Q70" i="57" s="1"/>
  <c r="C67" i="121"/>
  <c r="B67" i="121" s="1"/>
  <c r="M66" i="57" s="1"/>
  <c r="Q66" i="57" s="1"/>
  <c r="D78" i="121"/>
  <c r="F78" i="121" s="1"/>
  <c r="N77" i="57" s="1"/>
  <c r="D74" i="121"/>
  <c r="F74" i="121" s="1"/>
  <c r="N73" i="57" s="1"/>
  <c r="D70" i="121"/>
  <c r="F70" i="121" s="1"/>
  <c r="N69" i="57" s="1"/>
  <c r="D66" i="121"/>
  <c r="F66" i="121" s="1"/>
  <c r="N65" i="57" s="1"/>
  <c r="D77" i="121"/>
  <c r="F77" i="121" s="1"/>
  <c r="N76" i="57" s="1"/>
  <c r="D73" i="121"/>
  <c r="F73" i="121" s="1"/>
  <c r="N72" i="57" s="1"/>
  <c r="D69" i="121"/>
  <c r="F69" i="121" s="1"/>
  <c r="N68" i="57" s="1"/>
  <c r="D65" i="121"/>
  <c r="F65" i="121" s="1"/>
  <c r="N64" i="57" s="1"/>
  <c r="C60" i="121"/>
  <c r="B60" i="121" s="1"/>
  <c r="M59" i="57" s="1"/>
  <c r="Q59" i="57" s="1"/>
  <c r="C56" i="121"/>
  <c r="B56" i="121" s="1"/>
  <c r="M55" i="57" s="1"/>
  <c r="Q55" i="57" s="1"/>
  <c r="C52" i="121"/>
  <c r="B52" i="121" s="1"/>
  <c r="M51" i="57" s="1"/>
  <c r="Q51" i="57" s="1"/>
  <c r="D63" i="121"/>
  <c r="F63" i="121" s="1"/>
  <c r="N62" i="57" s="1"/>
  <c r="D59" i="121"/>
  <c r="F59" i="121" s="1"/>
  <c r="N58" i="57" s="1"/>
  <c r="D55" i="121"/>
  <c r="F55" i="121" s="1"/>
  <c r="N54" i="57" s="1"/>
  <c r="C78" i="121"/>
  <c r="B78" i="121" s="1"/>
  <c r="M77" i="57" s="1"/>
  <c r="Q77" i="57" s="1"/>
  <c r="C74" i="121"/>
  <c r="B74" i="121" s="1"/>
  <c r="M73" i="57" s="1"/>
  <c r="Q73" i="57" s="1"/>
  <c r="C70" i="121"/>
  <c r="B70" i="121" s="1"/>
  <c r="M69" i="57" s="1"/>
  <c r="Q69" i="57" s="1"/>
  <c r="C66" i="121"/>
  <c r="B66" i="121" s="1"/>
  <c r="M65" i="57" s="1"/>
  <c r="Q65" i="57" s="1"/>
  <c r="C63" i="121"/>
  <c r="B63" i="121" s="1"/>
  <c r="M62" i="57" s="1"/>
  <c r="Q62" i="57" s="1"/>
  <c r="C59" i="121"/>
  <c r="B59" i="121" s="1"/>
  <c r="M58" i="57" s="1"/>
  <c r="Q58" i="57" s="1"/>
  <c r="C55" i="121"/>
  <c r="B55" i="121" s="1"/>
  <c r="M54" i="57" s="1"/>
  <c r="Q54" i="57" s="1"/>
  <c r="D62" i="121"/>
  <c r="F62" i="121" s="1"/>
  <c r="N61" i="57" s="1"/>
  <c r="D58" i="121"/>
  <c r="F58" i="121" s="1"/>
  <c r="N57" i="57" s="1"/>
  <c r="D54" i="121"/>
  <c r="F54" i="121" s="1"/>
  <c r="N53" i="57" s="1"/>
  <c r="C61" i="121"/>
  <c r="B61" i="121" s="1"/>
  <c r="M60" i="57" s="1"/>
  <c r="Q60" i="57" s="1"/>
  <c r="C77" i="121"/>
  <c r="B77" i="121" s="1"/>
  <c r="M76" i="57" s="1"/>
  <c r="Q76" i="57" s="1"/>
  <c r="C73" i="121"/>
  <c r="B73" i="121" s="1"/>
  <c r="M72" i="57" s="1"/>
  <c r="Q72" i="57" s="1"/>
  <c r="C69" i="121"/>
  <c r="B69" i="121" s="1"/>
  <c r="M68" i="57" s="1"/>
  <c r="Q68" i="57" s="1"/>
  <c r="C65" i="121"/>
  <c r="B65" i="121" s="1"/>
  <c r="M64" i="57" s="1"/>
  <c r="Q64" i="57" s="1"/>
  <c r="D60" i="121"/>
  <c r="F60" i="121" s="1"/>
  <c r="N59" i="57" s="1"/>
  <c r="D56" i="121"/>
  <c r="F56" i="121" s="1"/>
  <c r="N55" i="57" s="1"/>
  <c r="D52" i="121"/>
  <c r="F52" i="121" s="1"/>
  <c r="N51" i="57" s="1"/>
  <c r="D50" i="121"/>
  <c r="F50" i="121" s="1"/>
  <c r="N49" i="57" s="1"/>
  <c r="D46" i="121"/>
  <c r="F46" i="121" s="1"/>
  <c r="N45" i="57" s="1"/>
  <c r="D42" i="121"/>
  <c r="F42" i="121" s="1"/>
  <c r="N41" i="57" s="1"/>
  <c r="D61" i="121"/>
  <c r="F61" i="121" s="1"/>
  <c r="N60" i="57" s="1"/>
  <c r="D53" i="121"/>
  <c r="F53" i="121" s="1"/>
  <c r="N52" i="57" s="1"/>
  <c r="C50" i="121"/>
  <c r="B50" i="121" s="1"/>
  <c r="M49" i="57" s="1"/>
  <c r="Q49" i="57" s="1"/>
  <c r="C46" i="121"/>
  <c r="B46" i="121" s="1"/>
  <c r="M45" i="57" s="1"/>
  <c r="Q45" i="57" s="1"/>
  <c r="C42" i="121"/>
  <c r="B42" i="121" s="1"/>
  <c r="M41" i="57" s="1"/>
  <c r="Q41" i="57" s="1"/>
  <c r="C53" i="121"/>
  <c r="B53" i="121" s="1"/>
  <c r="M52" i="57" s="1"/>
  <c r="Q52" i="57" s="1"/>
  <c r="D49" i="121"/>
  <c r="F49" i="121" s="1"/>
  <c r="N48" i="57" s="1"/>
  <c r="D45" i="121"/>
  <c r="F45" i="121" s="1"/>
  <c r="N44" i="57" s="1"/>
  <c r="D41" i="121"/>
  <c r="F41" i="121" s="1"/>
  <c r="N40" i="57" s="1"/>
  <c r="C58" i="121"/>
  <c r="B58" i="121" s="1"/>
  <c r="M57" i="57" s="1"/>
  <c r="Q57" i="57" s="1"/>
  <c r="C49" i="121"/>
  <c r="B49" i="121" s="1"/>
  <c r="M48" i="57" s="1"/>
  <c r="Q48" i="57" s="1"/>
  <c r="C45" i="121"/>
  <c r="B45" i="121" s="1"/>
  <c r="M44" i="57" s="1"/>
  <c r="Q44" i="57" s="1"/>
  <c r="C62" i="121"/>
  <c r="B62" i="121" s="1"/>
  <c r="M61" i="57" s="1"/>
  <c r="Q61" i="57" s="1"/>
  <c r="D48" i="121"/>
  <c r="F48" i="121" s="1"/>
  <c r="N47" i="57" s="1"/>
  <c r="D44" i="121"/>
  <c r="F44" i="121" s="1"/>
  <c r="N43" i="57" s="1"/>
  <c r="D40" i="121"/>
  <c r="F40" i="121" s="1"/>
  <c r="N39" i="57" s="1"/>
  <c r="C54" i="121"/>
  <c r="B54" i="121" s="1"/>
  <c r="M53" i="57" s="1"/>
  <c r="Q53" i="57" s="1"/>
  <c r="C51" i="121"/>
  <c r="B51" i="121" s="1"/>
  <c r="M50" i="57" s="1"/>
  <c r="Q50" i="57" s="1"/>
  <c r="C47" i="121"/>
  <c r="B47" i="121" s="1"/>
  <c r="M46" i="57" s="1"/>
  <c r="Q46" i="57" s="1"/>
  <c r="C43" i="121"/>
  <c r="B43" i="121" s="1"/>
  <c r="M42" i="57" s="1"/>
  <c r="Q42" i="57" s="1"/>
  <c r="C39" i="121"/>
  <c r="B39" i="121" s="1"/>
  <c r="M38" i="57" s="1"/>
  <c r="Q38" i="57" s="1"/>
  <c r="C35" i="121"/>
  <c r="B35" i="121" s="1"/>
  <c r="M34" i="57" s="1"/>
  <c r="Q34" i="57" s="1"/>
  <c r="C31" i="121"/>
  <c r="B31" i="121" s="1"/>
  <c r="M30" i="57" s="1"/>
  <c r="Q30" i="57" s="1"/>
  <c r="C27" i="121"/>
  <c r="D38" i="121"/>
  <c r="F38" i="121" s="1"/>
  <c r="N37" i="57" s="1"/>
  <c r="D34" i="121"/>
  <c r="F34" i="121" s="1"/>
  <c r="N33" i="57" s="1"/>
  <c r="D30" i="121"/>
  <c r="F30" i="121" s="1"/>
  <c r="N29" i="57" s="1"/>
  <c r="C38" i="121"/>
  <c r="B38" i="121" s="1"/>
  <c r="M37" i="57" s="1"/>
  <c r="Q37" i="57" s="1"/>
  <c r="C34" i="121"/>
  <c r="B34" i="121" s="1"/>
  <c r="M33" i="57" s="1"/>
  <c r="Q33" i="57" s="1"/>
  <c r="C30" i="121"/>
  <c r="B30" i="121" s="1"/>
  <c r="M29" i="57" s="1"/>
  <c r="Q29" i="57" s="1"/>
  <c r="D37" i="121"/>
  <c r="F37" i="121" s="1"/>
  <c r="N36" i="57" s="1"/>
  <c r="D33" i="121"/>
  <c r="F33" i="121" s="1"/>
  <c r="N32" i="57" s="1"/>
  <c r="D57" i="121"/>
  <c r="F57" i="121" s="1"/>
  <c r="N56" i="57" s="1"/>
  <c r="D51" i="121"/>
  <c r="F51" i="121" s="1"/>
  <c r="N50" i="57" s="1"/>
  <c r="D47" i="121"/>
  <c r="F47" i="121" s="1"/>
  <c r="N46" i="57" s="1"/>
  <c r="D43" i="121"/>
  <c r="F43" i="121" s="1"/>
  <c r="N42" i="57" s="1"/>
  <c r="C37" i="121"/>
  <c r="B37" i="121" s="1"/>
  <c r="M36" i="57" s="1"/>
  <c r="Q36" i="57" s="1"/>
  <c r="C33" i="121"/>
  <c r="B33" i="121" s="1"/>
  <c r="M32" i="57" s="1"/>
  <c r="Q32" i="57" s="1"/>
  <c r="C29" i="121"/>
  <c r="C40" i="121"/>
  <c r="B40" i="121" s="1"/>
  <c r="M39" i="57" s="1"/>
  <c r="Q39" i="57" s="1"/>
  <c r="C36" i="121"/>
  <c r="B36" i="121" s="1"/>
  <c r="M35" i="57" s="1"/>
  <c r="Q35" i="57" s="1"/>
  <c r="C32" i="121"/>
  <c r="B32" i="121" s="1"/>
  <c r="M31" i="57" s="1"/>
  <c r="Q31" i="57" s="1"/>
  <c r="C28" i="121"/>
  <c r="D39" i="121"/>
  <c r="F39" i="121" s="1"/>
  <c r="N38" i="57" s="1"/>
  <c r="D35" i="121"/>
  <c r="F35" i="121" s="1"/>
  <c r="N34" i="57" s="1"/>
  <c r="D31" i="121"/>
  <c r="F31" i="121" s="1"/>
  <c r="N30" i="57" s="1"/>
  <c r="D23" i="121"/>
  <c r="F23" i="121" s="1"/>
  <c r="N22" i="57" s="1"/>
  <c r="D19" i="121"/>
  <c r="F19" i="121" s="1"/>
  <c r="N18" i="57" s="1"/>
  <c r="D15" i="121"/>
  <c r="F15" i="121" s="1"/>
  <c r="N14" i="57" s="1"/>
  <c r="C57" i="121"/>
  <c r="B57" i="121" s="1"/>
  <c r="M56" i="57" s="1"/>
  <c r="Q56" i="57" s="1"/>
  <c r="C41" i="121"/>
  <c r="B41" i="121" s="1"/>
  <c r="M40" i="57" s="1"/>
  <c r="Q40" i="57" s="1"/>
  <c r="C23" i="121"/>
  <c r="C19" i="121"/>
  <c r="C48" i="121"/>
  <c r="B48" i="121" s="1"/>
  <c r="M47" i="57" s="1"/>
  <c r="Q47" i="57" s="1"/>
  <c r="D26" i="121"/>
  <c r="F26" i="121" s="1"/>
  <c r="N25" i="57" s="1"/>
  <c r="D22" i="121"/>
  <c r="F22" i="121" s="1"/>
  <c r="N21" i="57" s="1"/>
  <c r="D18" i="121"/>
  <c r="F18" i="121" s="1"/>
  <c r="N17" i="57" s="1"/>
  <c r="D36" i="121"/>
  <c r="F36" i="121" s="1"/>
  <c r="N35" i="57" s="1"/>
  <c r="D32" i="121"/>
  <c r="F32" i="121" s="1"/>
  <c r="N31" i="57" s="1"/>
  <c r="D29" i="121"/>
  <c r="F29" i="121" s="1"/>
  <c r="N28" i="57" s="1"/>
  <c r="D27" i="121"/>
  <c r="F27" i="121" s="1"/>
  <c r="N26" i="57" s="1"/>
  <c r="C26" i="121"/>
  <c r="C22" i="121"/>
  <c r="C18" i="121"/>
  <c r="C44" i="121"/>
  <c r="B44" i="121" s="1"/>
  <c r="M43" i="57" s="1"/>
  <c r="Q43" i="57" s="1"/>
  <c r="D28" i="121"/>
  <c r="F28" i="121" s="1"/>
  <c r="N27" i="57" s="1"/>
  <c r="D25" i="121"/>
  <c r="F25" i="121" s="1"/>
  <c r="N24" i="57" s="1"/>
  <c r="D21" i="121"/>
  <c r="F21" i="121" s="1"/>
  <c r="N20" i="57" s="1"/>
  <c r="D17" i="121"/>
  <c r="F17" i="121" s="1"/>
  <c r="N16" i="57" s="1"/>
  <c r="D24" i="121"/>
  <c r="F24" i="121" s="1"/>
  <c r="N23" i="57" s="1"/>
  <c r="D20" i="121"/>
  <c r="F20" i="121" s="1"/>
  <c r="N19" i="57" s="1"/>
  <c r="D16" i="121"/>
  <c r="F16" i="121" s="1"/>
  <c r="N15" i="57" s="1"/>
  <c r="C25" i="121"/>
  <c r="C21" i="121"/>
  <c r="D12" i="121"/>
  <c r="F12" i="121" s="1"/>
  <c r="N11" i="57" s="1"/>
  <c r="D13" i="121"/>
  <c r="F13" i="121" s="1"/>
  <c r="N12" i="57" s="1"/>
  <c r="C17" i="121"/>
  <c r="C12" i="121"/>
  <c r="D11" i="121"/>
  <c r="F11" i="121" s="1"/>
  <c r="N10" i="57" s="1"/>
  <c r="C24" i="121"/>
  <c r="C20" i="121"/>
  <c r="C14" i="121"/>
  <c r="C16" i="121"/>
  <c r="C11" i="121"/>
  <c r="D14" i="121"/>
  <c r="F14" i="121" s="1"/>
  <c r="N13" i="57" s="1"/>
  <c r="C15" i="121"/>
  <c r="C13" i="121"/>
  <c r="C10" i="121"/>
  <c r="D10" i="121"/>
  <c r="F10" i="121" s="1"/>
  <c r="N9" i="57" s="1"/>
  <c r="AP79" i="120"/>
  <c r="AD79" i="120"/>
  <c r="AP78" i="120"/>
  <c r="AD78" i="120"/>
  <c r="AP77" i="120"/>
  <c r="AD77" i="120"/>
  <c r="AP76" i="120"/>
  <c r="AD76" i="120"/>
  <c r="AP75" i="120"/>
  <c r="AD75" i="120"/>
  <c r="AP74" i="120"/>
  <c r="AD74" i="120"/>
  <c r="AP73" i="120"/>
  <c r="AD73" i="120"/>
  <c r="AP72" i="120"/>
  <c r="AD72" i="120"/>
  <c r="AP71" i="120"/>
  <c r="AD71" i="120"/>
  <c r="AP70" i="120"/>
  <c r="AD70" i="120"/>
  <c r="AP69" i="120"/>
  <c r="AD69" i="120"/>
  <c r="AP68" i="120"/>
  <c r="AD68" i="120"/>
  <c r="AP67" i="120"/>
  <c r="AD67" i="120"/>
  <c r="AP66" i="120"/>
  <c r="AD66" i="120"/>
  <c r="AP65" i="120"/>
  <c r="AD65" i="120"/>
  <c r="AP64" i="120"/>
  <c r="AD64" i="120"/>
  <c r="AP63" i="120"/>
  <c r="AD63" i="120"/>
  <c r="AP62" i="120"/>
  <c r="AD62" i="120"/>
  <c r="AP61" i="120"/>
  <c r="AD61" i="120"/>
  <c r="AP60" i="120"/>
  <c r="AD60" i="120"/>
  <c r="AP59" i="120"/>
  <c r="AD59" i="120"/>
  <c r="AP58" i="120"/>
  <c r="AD58" i="120"/>
  <c r="AP57" i="120"/>
  <c r="AD57" i="120"/>
  <c r="AP56" i="120"/>
  <c r="AD56" i="120"/>
  <c r="AP55" i="120"/>
  <c r="AD55" i="120"/>
  <c r="AP54" i="120"/>
  <c r="AD54" i="120"/>
  <c r="AP53" i="120"/>
  <c r="AD53" i="120"/>
  <c r="AP52" i="120"/>
  <c r="AD52" i="120"/>
  <c r="AP51" i="120"/>
  <c r="AD51" i="120"/>
  <c r="AP50" i="120"/>
  <c r="AD50" i="120"/>
  <c r="AP49" i="120"/>
  <c r="AD49" i="120"/>
  <c r="AP48" i="120"/>
  <c r="AD48" i="120"/>
  <c r="AP47" i="120"/>
  <c r="AD47" i="120"/>
  <c r="AP46" i="120"/>
  <c r="AD46" i="120"/>
  <c r="AP45" i="120"/>
  <c r="AD45" i="120"/>
  <c r="AP44" i="120"/>
  <c r="AD44" i="120"/>
  <c r="AP43" i="120"/>
  <c r="AD43" i="120"/>
  <c r="AP42" i="120"/>
  <c r="AD42" i="120"/>
  <c r="AP41" i="120"/>
  <c r="AD41" i="120"/>
  <c r="AP40" i="120"/>
  <c r="AD40" i="120"/>
  <c r="AP39" i="120"/>
  <c r="AD39" i="120"/>
  <c r="AP38" i="120"/>
  <c r="AD38" i="120"/>
  <c r="AP37" i="120"/>
  <c r="AD37" i="120"/>
  <c r="AP36" i="120"/>
  <c r="AD36" i="120"/>
  <c r="AP35" i="120"/>
  <c r="AD35" i="120"/>
  <c r="AP34" i="120"/>
  <c r="AD34" i="120"/>
  <c r="AP33" i="120"/>
  <c r="AD33" i="120"/>
  <c r="AP32" i="120"/>
  <c r="AD32" i="120"/>
  <c r="AP31" i="120"/>
  <c r="AD31" i="120"/>
  <c r="AP30" i="120"/>
  <c r="AD30" i="120"/>
  <c r="AP29" i="120"/>
  <c r="AD29" i="120"/>
  <c r="AP28" i="120"/>
  <c r="AD28" i="120"/>
  <c r="AP27" i="120"/>
  <c r="AD27" i="120"/>
  <c r="AP26" i="120"/>
  <c r="AD26" i="120"/>
  <c r="AP25" i="120"/>
  <c r="AD25" i="120"/>
  <c r="AP24" i="120"/>
  <c r="AD24" i="120"/>
  <c r="AP23" i="120"/>
  <c r="AD23" i="120"/>
  <c r="AP22" i="120"/>
  <c r="AD22" i="120"/>
  <c r="AP21" i="120"/>
  <c r="AD21" i="120"/>
  <c r="AP20" i="120"/>
  <c r="AD20" i="120"/>
  <c r="AP19" i="120"/>
  <c r="AD19" i="120"/>
  <c r="AP18" i="120"/>
  <c r="AD18" i="120"/>
  <c r="AP17" i="120"/>
  <c r="AD17" i="120"/>
  <c r="AP16" i="120"/>
  <c r="AD16" i="120"/>
  <c r="AP15" i="120"/>
  <c r="AD15" i="120"/>
  <c r="AP14" i="120"/>
  <c r="AD14" i="120"/>
  <c r="AP13" i="120"/>
  <c r="AD13" i="120"/>
  <c r="AP12" i="120"/>
  <c r="AD12" i="120"/>
  <c r="AP11" i="120"/>
  <c r="AD11" i="120"/>
  <c r="BQ10" i="120" a="1"/>
  <c r="BR76" i="120" l="1"/>
  <c r="BT76" i="120" s="1"/>
  <c r="CO75" i="56" s="1"/>
  <c r="BR72" i="120"/>
  <c r="BT72" i="120" s="1"/>
  <c r="CO71" i="56" s="1"/>
  <c r="BR68" i="120"/>
  <c r="BT68" i="120" s="1"/>
  <c r="CO67" i="56" s="1"/>
  <c r="BR64" i="120"/>
  <c r="BT64" i="120" s="1"/>
  <c r="CO63" i="56" s="1"/>
  <c r="BQ76" i="120"/>
  <c r="BP76" i="120" s="1"/>
  <c r="CN75" i="56" s="1"/>
  <c r="BQ72" i="120"/>
  <c r="BP72" i="120" s="1"/>
  <c r="CN71" i="56" s="1"/>
  <c r="BQ68" i="120"/>
  <c r="BP68" i="120" s="1"/>
  <c r="CN67" i="56" s="1"/>
  <c r="BQ64" i="120"/>
  <c r="BP64" i="120" s="1"/>
  <c r="CN63" i="56" s="1"/>
  <c r="BR79" i="120"/>
  <c r="BT79" i="120" s="1"/>
  <c r="CO78" i="56" s="1"/>
  <c r="BR75" i="120"/>
  <c r="BT75" i="120" s="1"/>
  <c r="CO74" i="56" s="1"/>
  <c r="BR71" i="120"/>
  <c r="BT71" i="120" s="1"/>
  <c r="CO70" i="56" s="1"/>
  <c r="BR67" i="120"/>
  <c r="BT67" i="120" s="1"/>
  <c r="CO66" i="56" s="1"/>
  <c r="BR63" i="120"/>
  <c r="BT63" i="120" s="1"/>
  <c r="CO62" i="56" s="1"/>
  <c r="BQ79" i="120"/>
  <c r="BP79" i="120" s="1"/>
  <c r="CN78" i="56" s="1"/>
  <c r="BQ75" i="120"/>
  <c r="BP75" i="120" s="1"/>
  <c r="CN74" i="56" s="1"/>
  <c r="BQ71" i="120"/>
  <c r="BP71" i="120" s="1"/>
  <c r="CN70" i="56" s="1"/>
  <c r="BQ67" i="120"/>
  <c r="BP67" i="120" s="1"/>
  <c r="CN66" i="56" s="1"/>
  <c r="BQ63" i="120"/>
  <c r="BP63" i="120" s="1"/>
  <c r="CN62" i="56" s="1"/>
  <c r="BR60" i="120"/>
  <c r="BT60" i="120" s="1"/>
  <c r="CO59" i="56" s="1"/>
  <c r="BR56" i="120"/>
  <c r="BT56" i="120" s="1"/>
  <c r="CO55" i="56" s="1"/>
  <c r="BQ59" i="120"/>
  <c r="BP59" i="120" s="1"/>
  <c r="CN58" i="56" s="1"/>
  <c r="BQ55" i="120"/>
  <c r="BP55" i="120" s="1"/>
  <c r="CN54" i="56" s="1"/>
  <c r="BR77" i="120"/>
  <c r="BT77" i="120" s="1"/>
  <c r="CO76" i="56" s="1"/>
  <c r="BR70" i="120"/>
  <c r="BT70" i="120" s="1"/>
  <c r="CO69" i="56" s="1"/>
  <c r="BR52" i="120"/>
  <c r="BT52" i="120" s="1"/>
  <c r="CO51" i="56" s="1"/>
  <c r="BR48" i="120"/>
  <c r="BT48" i="120" s="1"/>
  <c r="CO47" i="56" s="1"/>
  <c r="BQ77" i="120"/>
  <c r="BP77" i="120" s="1"/>
  <c r="CN76" i="56" s="1"/>
  <c r="BQ70" i="120"/>
  <c r="BP70" i="120" s="1"/>
  <c r="CN69" i="56" s="1"/>
  <c r="BR61" i="120"/>
  <c r="BT61" i="120" s="1"/>
  <c r="CO60" i="56" s="1"/>
  <c r="BQ60" i="120"/>
  <c r="BP60" i="120" s="1"/>
  <c r="CN59" i="56" s="1"/>
  <c r="BR58" i="120"/>
  <c r="BT58" i="120" s="1"/>
  <c r="CO57" i="56" s="1"/>
  <c r="BR57" i="120"/>
  <c r="BT57" i="120" s="1"/>
  <c r="CO56" i="56" s="1"/>
  <c r="BQ56" i="120"/>
  <c r="BP56" i="120" s="1"/>
  <c r="CN55" i="56" s="1"/>
  <c r="BR54" i="120"/>
  <c r="BT54" i="120" s="1"/>
  <c r="CO53" i="56" s="1"/>
  <c r="BQ52" i="120"/>
  <c r="BP52" i="120" s="1"/>
  <c r="CN51" i="56" s="1"/>
  <c r="BR73" i="120"/>
  <c r="BT73" i="120" s="1"/>
  <c r="CO72" i="56" s="1"/>
  <c r="BR66" i="120"/>
  <c r="BT66" i="120" s="1"/>
  <c r="CO65" i="56" s="1"/>
  <c r="BQ61" i="120"/>
  <c r="BP61" i="120" s="1"/>
  <c r="CN60" i="56" s="1"/>
  <c r="BR59" i="120"/>
  <c r="BT59" i="120" s="1"/>
  <c r="CO58" i="56" s="1"/>
  <c r="BQ58" i="120"/>
  <c r="BP58" i="120" s="1"/>
  <c r="CN57" i="56" s="1"/>
  <c r="BQ57" i="120"/>
  <c r="BP57" i="120" s="1"/>
  <c r="CN56" i="56" s="1"/>
  <c r="BR55" i="120"/>
  <c r="BT55" i="120" s="1"/>
  <c r="CO54" i="56" s="1"/>
  <c r="BQ54" i="120"/>
  <c r="BP54" i="120" s="1"/>
  <c r="CN53" i="56" s="1"/>
  <c r="BR51" i="120"/>
  <c r="BT51" i="120" s="1"/>
  <c r="CO50" i="56" s="1"/>
  <c r="BQ73" i="120"/>
  <c r="BP73" i="120" s="1"/>
  <c r="CN72" i="56" s="1"/>
  <c r="BQ66" i="120"/>
  <c r="BP66" i="120" s="1"/>
  <c r="CN65" i="56" s="1"/>
  <c r="BQ51" i="120"/>
  <c r="BP51" i="120" s="1"/>
  <c r="CN50" i="56" s="1"/>
  <c r="BQ47" i="120"/>
  <c r="BP47" i="120" s="1"/>
  <c r="CN46" i="56" s="1"/>
  <c r="BR69" i="120"/>
  <c r="BT69" i="120" s="1"/>
  <c r="CO68" i="56" s="1"/>
  <c r="BQ65" i="120"/>
  <c r="BP65" i="120" s="1"/>
  <c r="CN64" i="56" s="1"/>
  <c r="BR43" i="120"/>
  <c r="BT43" i="120" s="1"/>
  <c r="CO42" i="56" s="1"/>
  <c r="BR39" i="120"/>
  <c r="BT39" i="120" s="1"/>
  <c r="CO38" i="56" s="1"/>
  <c r="BR35" i="120"/>
  <c r="BT35" i="120" s="1"/>
  <c r="CO34" i="56" s="1"/>
  <c r="BR31" i="120"/>
  <c r="BT31" i="120" s="1"/>
  <c r="CO30" i="56" s="1"/>
  <c r="BQ69" i="120"/>
  <c r="BP69" i="120" s="1"/>
  <c r="CN68" i="56" s="1"/>
  <c r="BQ43" i="120"/>
  <c r="BP43" i="120" s="1"/>
  <c r="CN42" i="56" s="1"/>
  <c r="BQ39" i="120"/>
  <c r="BP39" i="120" s="1"/>
  <c r="CN38" i="56" s="1"/>
  <c r="BR42" i="120"/>
  <c r="BT42" i="120" s="1"/>
  <c r="CO41" i="56" s="1"/>
  <c r="BR38" i="120"/>
  <c r="BT38" i="120" s="1"/>
  <c r="CO37" i="56" s="1"/>
  <c r="BQ42" i="120"/>
  <c r="BP42" i="120" s="1"/>
  <c r="CN41" i="56" s="1"/>
  <c r="BQ38" i="120"/>
  <c r="BP38" i="120" s="1"/>
  <c r="CN37" i="56" s="1"/>
  <c r="BQ34" i="120"/>
  <c r="BP34" i="120" s="1"/>
  <c r="CN33" i="56" s="1"/>
  <c r="BQ30" i="120"/>
  <c r="BP30" i="120" s="1"/>
  <c r="CN29" i="56" s="1"/>
  <c r="BQ62" i="120"/>
  <c r="BP62" i="120" s="1"/>
  <c r="CN61" i="56" s="1"/>
  <c r="BR44" i="120"/>
  <c r="BT44" i="120" s="1"/>
  <c r="CO43" i="56" s="1"/>
  <c r="BR40" i="120"/>
  <c r="BT40" i="120" s="1"/>
  <c r="CO39" i="56" s="1"/>
  <c r="BR25" i="120"/>
  <c r="BT25" i="120" s="1"/>
  <c r="CO24" i="56" s="1"/>
  <c r="BR21" i="120"/>
  <c r="BT21" i="120" s="1"/>
  <c r="CO20" i="56" s="1"/>
  <c r="BR17" i="120"/>
  <c r="BT17" i="120" s="1"/>
  <c r="CO16" i="56" s="1"/>
  <c r="BR13" i="120"/>
  <c r="BT13" i="120" s="1"/>
  <c r="CO12" i="56" s="1"/>
  <c r="BR65" i="120"/>
  <c r="BT65" i="120" s="1"/>
  <c r="CO64" i="56" s="1"/>
  <c r="BQ44" i="120"/>
  <c r="BP44" i="120" s="1"/>
  <c r="CN43" i="56" s="1"/>
  <c r="BQ40" i="120"/>
  <c r="BP40" i="120" s="1"/>
  <c r="CN39" i="56" s="1"/>
  <c r="BQ25" i="120"/>
  <c r="BP25" i="120" s="1"/>
  <c r="CN24" i="56" s="1"/>
  <c r="BR74" i="120"/>
  <c r="BT74" i="120" s="1"/>
  <c r="CO73" i="56" s="1"/>
  <c r="BR50" i="120"/>
  <c r="BT50" i="120" s="1"/>
  <c r="CO49" i="56" s="1"/>
  <c r="BR45" i="120"/>
  <c r="BT45" i="120" s="1"/>
  <c r="CO44" i="56" s="1"/>
  <c r="BR41" i="120"/>
  <c r="BT41" i="120" s="1"/>
  <c r="CO40" i="56" s="1"/>
  <c r="BR78" i="120"/>
  <c r="BT78" i="120" s="1"/>
  <c r="CO77" i="56" s="1"/>
  <c r="BQ74" i="120"/>
  <c r="BP74" i="120" s="1"/>
  <c r="CN73" i="56" s="1"/>
  <c r="BQ50" i="120"/>
  <c r="BP50" i="120" s="1"/>
  <c r="CN49" i="56" s="1"/>
  <c r="BQ45" i="120"/>
  <c r="BP45" i="120" s="1"/>
  <c r="CN44" i="56" s="1"/>
  <c r="BQ41" i="120"/>
  <c r="BP41" i="120" s="1"/>
  <c r="CN40" i="56" s="1"/>
  <c r="BR37" i="120"/>
  <c r="BT37" i="120" s="1"/>
  <c r="CO36" i="56" s="1"/>
  <c r="BR36" i="120"/>
  <c r="BT36" i="120" s="1"/>
  <c r="CO35" i="56" s="1"/>
  <c r="BQ35" i="120"/>
  <c r="BP35" i="120" s="1"/>
  <c r="CN34" i="56" s="1"/>
  <c r="BR33" i="120"/>
  <c r="BT33" i="120" s="1"/>
  <c r="CO32" i="56" s="1"/>
  <c r="BR32" i="120"/>
  <c r="BT32" i="120" s="1"/>
  <c r="CO31" i="56" s="1"/>
  <c r="BQ31" i="120"/>
  <c r="BP31" i="120" s="1"/>
  <c r="CN30" i="56" s="1"/>
  <c r="BR29" i="120"/>
  <c r="BT29" i="120" s="1"/>
  <c r="CO28" i="56" s="1"/>
  <c r="BQ24" i="120"/>
  <c r="BQ20" i="120"/>
  <c r="BQ16" i="120"/>
  <c r="BQ12" i="120"/>
  <c r="BQ37" i="120"/>
  <c r="BP37" i="120" s="1"/>
  <c r="CN36" i="56" s="1"/>
  <c r="BQ29" i="120"/>
  <c r="BP29" i="120" s="1"/>
  <c r="CN28" i="56" s="1"/>
  <c r="BR11" i="120"/>
  <c r="BT11" i="120" s="1"/>
  <c r="CO10" i="56" s="1"/>
  <c r="BR10" i="120"/>
  <c r="BT10" i="120" s="1"/>
  <c r="CO9" i="56" s="1"/>
  <c r="BQ23" i="120"/>
  <c r="BQ53" i="120"/>
  <c r="BP53" i="120" s="1"/>
  <c r="CN52" i="56" s="1"/>
  <c r="BQ46" i="120"/>
  <c r="BP46" i="120" s="1"/>
  <c r="CN45" i="56" s="1"/>
  <c r="BQ32" i="120"/>
  <c r="BP32" i="120" s="1"/>
  <c r="CN31" i="56" s="1"/>
  <c r="BQ48" i="120"/>
  <c r="BP48" i="120" s="1"/>
  <c r="CN47" i="56" s="1"/>
  <c r="BQ36" i="120"/>
  <c r="BP36" i="120" s="1"/>
  <c r="CN35" i="56" s="1"/>
  <c r="BR28" i="120"/>
  <c r="BT28" i="120" s="1"/>
  <c r="CO27" i="56" s="1"/>
  <c r="BR24" i="120"/>
  <c r="BT24" i="120" s="1"/>
  <c r="CO23" i="56" s="1"/>
  <c r="BQ11" i="120"/>
  <c r="BQ28" i="120"/>
  <c r="BP28" i="120" s="1"/>
  <c r="CN27" i="56" s="1"/>
  <c r="BR46" i="120"/>
  <c r="BT46" i="120" s="1"/>
  <c r="CO45" i="56" s="1"/>
  <c r="BQ78" i="120"/>
  <c r="BP78" i="120" s="1"/>
  <c r="CN77" i="56" s="1"/>
  <c r="BR62" i="120"/>
  <c r="BT62" i="120" s="1"/>
  <c r="CO61" i="56" s="1"/>
  <c r="BR49" i="120"/>
  <c r="BT49" i="120" s="1"/>
  <c r="CO48" i="56" s="1"/>
  <c r="BR47" i="120"/>
  <c r="BT47" i="120" s="1"/>
  <c r="CO46" i="56" s="1"/>
  <c r="BR34" i="120"/>
  <c r="BT34" i="120" s="1"/>
  <c r="CO33" i="56" s="1"/>
  <c r="BR23" i="120"/>
  <c r="BT23" i="120" s="1"/>
  <c r="CO22" i="56" s="1"/>
  <c r="BQ10" i="120"/>
  <c r="BR53" i="120"/>
  <c r="BT53" i="120" s="1"/>
  <c r="CO52" i="56" s="1"/>
  <c r="BQ49" i="120"/>
  <c r="BP49" i="120" s="1"/>
  <c r="CN48" i="56" s="1"/>
  <c r="BQ33" i="120"/>
  <c r="BP33" i="120" s="1"/>
  <c r="CN32" i="56" s="1"/>
  <c r="BR26" i="120"/>
  <c r="BT26" i="120" s="1"/>
  <c r="CO25" i="56" s="1"/>
  <c r="BQ26" i="120"/>
  <c r="BP26" i="120" s="1"/>
  <c r="CN25" i="56" s="1"/>
  <c r="BR20" i="120"/>
  <c r="BT20" i="120" s="1"/>
  <c r="CO19" i="56" s="1"/>
  <c r="BR14" i="120"/>
  <c r="BT14" i="120" s="1"/>
  <c r="CO13" i="56" s="1"/>
  <c r="BQ14" i="120"/>
  <c r="BQ18" i="120"/>
  <c r="BQ15" i="120"/>
  <c r="BR12" i="120"/>
  <c r="BT12" i="120" s="1"/>
  <c r="CO11" i="56" s="1"/>
  <c r="BR19" i="120"/>
  <c r="BT19" i="120" s="1"/>
  <c r="CO18" i="56" s="1"/>
  <c r="BQ13" i="120"/>
  <c r="BQ19" i="120"/>
  <c r="BQ21" i="120"/>
  <c r="BR16" i="120"/>
  <c r="BT16" i="120" s="1"/>
  <c r="CO15" i="56" s="1"/>
  <c r="BR18" i="120"/>
  <c r="BT18" i="120" s="1"/>
  <c r="CO17" i="56" s="1"/>
  <c r="BR15" i="120"/>
  <c r="BT15" i="120" s="1"/>
  <c r="CO14" i="56" s="1"/>
  <c r="BR22" i="120"/>
  <c r="BT22" i="120" s="1"/>
  <c r="CO21" i="56" s="1"/>
  <c r="BR30" i="120"/>
  <c r="BT30" i="120" s="1"/>
  <c r="CO29" i="56" s="1"/>
  <c r="BR27" i="120"/>
  <c r="BT27" i="120" s="1"/>
  <c r="CO26" i="56" s="1"/>
  <c r="BQ22" i="120"/>
  <c r="BQ27" i="120"/>
  <c r="BP27" i="120" s="1"/>
  <c r="CN26" i="56" s="1"/>
  <c r="BQ17" i="120"/>
  <c r="BK10" i="120" a="1"/>
  <c r="BL78" i="120" l="1"/>
  <c r="BN78" i="120" s="1"/>
  <c r="BW77" i="56" s="1"/>
  <c r="BL74" i="120"/>
  <c r="BN74" i="120" s="1"/>
  <c r="BW73" i="56" s="1"/>
  <c r="BL70" i="120"/>
  <c r="BN70" i="120" s="1"/>
  <c r="BW69" i="56" s="1"/>
  <c r="BL66" i="120"/>
  <c r="BN66" i="120" s="1"/>
  <c r="BW65" i="56" s="1"/>
  <c r="BK78" i="120"/>
  <c r="BJ78" i="120" s="1"/>
  <c r="BV77" i="56" s="1"/>
  <c r="BK74" i="120"/>
  <c r="BJ74" i="120" s="1"/>
  <c r="BV73" i="56" s="1"/>
  <c r="BK70" i="120"/>
  <c r="BJ70" i="120" s="1"/>
  <c r="BV69" i="56" s="1"/>
  <c r="BK66" i="120"/>
  <c r="BJ66" i="120" s="1"/>
  <c r="BV65" i="56" s="1"/>
  <c r="BL77" i="120"/>
  <c r="BN77" i="120" s="1"/>
  <c r="BW76" i="56" s="1"/>
  <c r="BL73" i="120"/>
  <c r="BN73" i="120" s="1"/>
  <c r="BW72" i="56" s="1"/>
  <c r="BL69" i="120"/>
  <c r="BN69" i="120" s="1"/>
  <c r="BW68" i="56" s="1"/>
  <c r="BL65" i="120"/>
  <c r="BN65" i="120" s="1"/>
  <c r="BW64" i="56" s="1"/>
  <c r="BK77" i="120"/>
  <c r="BJ77" i="120" s="1"/>
  <c r="BV76" i="56" s="1"/>
  <c r="BK73" i="120"/>
  <c r="BJ73" i="120" s="1"/>
  <c r="BV72" i="56" s="1"/>
  <c r="BK69" i="120"/>
  <c r="BJ69" i="120" s="1"/>
  <c r="BV68" i="56" s="1"/>
  <c r="BK65" i="120"/>
  <c r="BJ65" i="120" s="1"/>
  <c r="BV64" i="56" s="1"/>
  <c r="BL62" i="120"/>
  <c r="BN62" i="120" s="1"/>
  <c r="BW61" i="56" s="1"/>
  <c r="BL58" i="120"/>
  <c r="BN58" i="120" s="1"/>
  <c r="BW57" i="56" s="1"/>
  <c r="BL54" i="120"/>
  <c r="BN54" i="120" s="1"/>
  <c r="BW53" i="56" s="1"/>
  <c r="BK62" i="120"/>
  <c r="BJ62" i="120" s="1"/>
  <c r="BV61" i="56" s="1"/>
  <c r="BL79" i="120"/>
  <c r="BN79" i="120" s="1"/>
  <c r="BW78" i="56" s="1"/>
  <c r="BL76" i="120"/>
  <c r="BN76" i="120" s="1"/>
  <c r="BW75" i="56" s="1"/>
  <c r="BL75" i="120"/>
  <c r="BN75" i="120" s="1"/>
  <c r="BW74" i="56" s="1"/>
  <c r="BL72" i="120"/>
  <c r="BN72" i="120" s="1"/>
  <c r="BW71" i="56" s="1"/>
  <c r="BL71" i="120"/>
  <c r="BN71" i="120" s="1"/>
  <c r="BW70" i="56" s="1"/>
  <c r="BL68" i="120"/>
  <c r="BN68" i="120" s="1"/>
  <c r="BW67" i="56" s="1"/>
  <c r="BL67" i="120"/>
  <c r="BN67" i="120" s="1"/>
  <c r="BW66" i="56" s="1"/>
  <c r="BL64" i="120"/>
  <c r="BN64" i="120" s="1"/>
  <c r="BW63" i="56" s="1"/>
  <c r="BL63" i="120"/>
  <c r="BN63" i="120" s="1"/>
  <c r="BW62" i="56" s="1"/>
  <c r="BK61" i="120"/>
  <c r="BJ61" i="120" s="1"/>
  <c r="BV60" i="56" s="1"/>
  <c r="BK57" i="120"/>
  <c r="BJ57" i="120" s="1"/>
  <c r="BV56" i="56" s="1"/>
  <c r="BL50" i="120"/>
  <c r="BN50" i="120" s="1"/>
  <c r="BW49" i="56" s="1"/>
  <c r="BL46" i="120"/>
  <c r="BN46" i="120" s="1"/>
  <c r="BW45" i="56" s="1"/>
  <c r="BK79" i="120"/>
  <c r="BJ79" i="120" s="1"/>
  <c r="BV78" i="56" s="1"/>
  <c r="BK68" i="120"/>
  <c r="BJ68" i="120" s="1"/>
  <c r="BV67" i="56" s="1"/>
  <c r="BK63" i="120"/>
  <c r="BJ63" i="120" s="1"/>
  <c r="BV62" i="56" s="1"/>
  <c r="BK50" i="120"/>
  <c r="BJ50" i="120" s="1"/>
  <c r="BV49" i="56" s="1"/>
  <c r="BL53" i="120"/>
  <c r="BN53" i="120" s="1"/>
  <c r="BW52" i="56" s="1"/>
  <c r="BL49" i="120"/>
  <c r="BN49" i="120" s="1"/>
  <c r="BW48" i="56" s="1"/>
  <c r="BK75" i="120"/>
  <c r="BJ75" i="120" s="1"/>
  <c r="BV74" i="56" s="1"/>
  <c r="BK64" i="120"/>
  <c r="BJ64" i="120" s="1"/>
  <c r="BV63" i="56" s="1"/>
  <c r="BL60" i="120"/>
  <c r="BN60" i="120" s="1"/>
  <c r="BW59" i="56" s="1"/>
  <c r="BL56" i="120"/>
  <c r="BN56" i="120" s="1"/>
  <c r="BW55" i="56" s="1"/>
  <c r="BK53" i="120"/>
  <c r="BJ53" i="120" s="1"/>
  <c r="BV52" i="56" s="1"/>
  <c r="BK49" i="120"/>
  <c r="BJ49" i="120" s="1"/>
  <c r="BV48" i="56" s="1"/>
  <c r="BK56" i="120"/>
  <c r="BJ56" i="120" s="1"/>
  <c r="BV55" i="56" s="1"/>
  <c r="BL47" i="120"/>
  <c r="BN47" i="120" s="1"/>
  <c r="BW46" i="56" s="1"/>
  <c r="BK46" i="120"/>
  <c r="BJ46" i="120" s="1"/>
  <c r="BV45" i="56" s="1"/>
  <c r="BL45" i="120"/>
  <c r="BN45" i="120" s="1"/>
  <c r="BW44" i="56" s="1"/>
  <c r="BL41" i="120"/>
  <c r="BN41" i="120" s="1"/>
  <c r="BW40" i="56" s="1"/>
  <c r="BL37" i="120"/>
  <c r="BN37" i="120" s="1"/>
  <c r="BW36" i="56" s="1"/>
  <c r="BL33" i="120"/>
  <c r="BN33" i="120" s="1"/>
  <c r="BW32" i="56" s="1"/>
  <c r="BL29" i="120"/>
  <c r="BN29" i="120" s="1"/>
  <c r="BW28" i="56" s="1"/>
  <c r="BK67" i="120"/>
  <c r="BJ67" i="120" s="1"/>
  <c r="BV66" i="56" s="1"/>
  <c r="BL55" i="120"/>
  <c r="BN55" i="120" s="1"/>
  <c r="BW54" i="56" s="1"/>
  <c r="BK47" i="120"/>
  <c r="BJ47" i="120" s="1"/>
  <c r="BV46" i="56" s="1"/>
  <c r="BK45" i="120"/>
  <c r="BJ45" i="120" s="1"/>
  <c r="BV44" i="56" s="1"/>
  <c r="BK41" i="120"/>
  <c r="BJ41" i="120" s="1"/>
  <c r="BV40" i="56" s="1"/>
  <c r="BK55" i="120"/>
  <c r="BJ55" i="120" s="1"/>
  <c r="BV54" i="56" s="1"/>
  <c r="BK54" i="120"/>
  <c r="BJ54" i="120" s="1"/>
  <c r="BV53" i="56" s="1"/>
  <c r="BL44" i="120"/>
  <c r="BN44" i="120" s="1"/>
  <c r="BW43" i="56" s="1"/>
  <c r="BL40" i="120"/>
  <c r="BN40" i="120" s="1"/>
  <c r="BW39" i="56" s="1"/>
  <c r="BK72" i="120"/>
  <c r="BJ72" i="120" s="1"/>
  <c r="BV71" i="56" s="1"/>
  <c r="BK71" i="120"/>
  <c r="BJ71" i="120" s="1"/>
  <c r="BV70" i="56" s="1"/>
  <c r="BL61" i="120"/>
  <c r="BN61" i="120" s="1"/>
  <c r="BW60" i="56" s="1"/>
  <c r="BL52" i="120"/>
  <c r="BN52" i="120" s="1"/>
  <c r="BW51" i="56" s="1"/>
  <c r="BL51" i="120"/>
  <c r="BN51" i="120" s="1"/>
  <c r="BW50" i="56" s="1"/>
  <c r="BK44" i="120"/>
  <c r="BJ44" i="120" s="1"/>
  <c r="BV43" i="56" s="1"/>
  <c r="BK40" i="120"/>
  <c r="BJ40" i="120" s="1"/>
  <c r="BV39" i="56" s="1"/>
  <c r="BK36" i="120"/>
  <c r="BJ36" i="120" s="1"/>
  <c r="BV35" i="56" s="1"/>
  <c r="BK32" i="120"/>
  <c r="BJ32" i="120" s="1"/>
  <c r="BV31" i="56" s="1"/>
  <c r="BK43" i="120"/>
  <c r="BJ43" i="120" s="1"/>
  <c r="BV42" i="56" s="1"/>
  <c r="BK42" i="120"/>
  <c r="BJ42" i="120" s="1"/>
  <c r="BV41" i="56" s="1"/>
  <c r="BK39" i="120"/>
  <c r="BJ39" i="120" s="1"/>
  <c r="BV38" i="56" s="1"/>
  <c r="BK38" i="120"/>
  <c r="BJ38" i="120" s="1"/>
  <c r="BV37" i="56" s="1"/>
  <c r="BK34" i="120"/>
  <c r="BJ34" i="120" s="1"/>
  <c r="BV33" i="56" s="1"/>
  <c r="BK30" i="120"/>
  <c r="BJ30" i="120" s="1"/>
  <c r="BV29" i="56" s="1"/>
  <c r="BK28" i="120"/>
  <c r="BJ28" i="120" s="1"/>
  <c r="BV27" i="56" s="1"/>
  <c r="BL27" i="120"/>
  <c r="BN27" i="120" s="1"/>
  <c r="BW26" i="56" s="1"/>
  <c r="BL23" i="120"/>
  <c r="BN23" i="120" s="1"/>
  <c r="BW22" i="56" s="1"/>
  <c r="BL19" i="120"/>
  <c r="BN19" i="120" s="1"/>
  <c r="BW18" i="56" s="1"/>
  <c r="BL15" i="120"/>
  <c r="BN15" i="120" s="1"/>
  <c r="BW14" i="56" s="1"/>
  <c r="BK52" i="120"/>
  <c r="BJ52" i="120" s="1"/>
  <c r="BV51" i="56" s="1"/>
  <c r="BK27" i="120"/>
  <c r="BJ27" i="120" s="1"/>
  <c r="BV26" i="56" s="1"/>
  <c r="BK23" i="120"/>
  <c r="BK60" i="120"/>
  <c r="BJ60" i="120" s="1"/>
  <c r="BV59" i="56" s="1"/>
  <c r="BL26" i="120"/>
  <c r="BN26" i="120" s="1"/>
  <c r="BW25" i="56" s="1"/>
  <c r="BK26" i="120"/>
  <c r="BK22" i="120"/>
  <c r="BK18" i="120"/>
  <c r="BK14" i="120"/>
  <c r="BL43" i="120"/>
  <c r="BN43" i="120" s="1"/>
  <c r="BW42" i="56" s="1"/>
  <c r="BK31" i="120"/>
  <c r="BJ31" i="120" s="1"/>
  <c r="BV30" i="56" s="1"/>
  <c r="BK25" i="120"/>
  <c r="BL22" i="120"/>
  <c r="BN22" i="120" s="1"/>
  <c r="BW21" i="56" s="1"/>
  <c r="BK21" i="120"/>
  <c r="BL18" i="120"/>
  <c r="BN18" i="120" s="1"/>
  <c r="BW17" i="56" s="1"/>
  <c r="BK17" i="120"/>
  <c r="BL14" i="120"/>
  <c r="BN14" i="120" s="1"/>
  <c r="BW13" i="56" s="1"/>
  <c r="BK13" i="120"/>
  <c r="BK16" i="120"/>
  <c r="BK51" i="120"/>
  <c r="BJ51" i="120" s="1"/>
  <c r="BV50" i="56" s="1"/>
  <c r="BL59" i="120"/>
  <c r="BN59" i="120" s="1"/>
  <c r="BW58" i="56" s="1"/>
  <c r="BL20" i="120"/>
  <c r="BN20" i="120" s="1"/>
  <c r="BW19" i="56" s="1"/>
  <c r="BK19" i="120"/>
  <c r="BL16" i="120"/>
  <c r="BN16" i="120" s="1"/>
  <c r="BW15" i="56" s="1"/>
  <c r="BK15" i="120"/>
  <c r="BL12" i="120"/>
  <c r="BN12" i="120" s="1"/>
  <c r="BW11" i="56" s="1"/>
  <c r="BK12" i="120"/>
  <c r="BK76" i="120"/>
  <c r="BJ76" i="120" s="1"/>
  <c r="BV75" i="56" s="1"/>
  <c r="BK59" i="120"/>
  <c r="BJ59" i="120" s="1"/>
  <c r="BV58" i="56" s="1"/>
  <c r="BL48" i="120"/>
  <c r="BN48" i="120" s="1"/>
  <c r="BW47" i="56" s="1"/>
  <c r="BL38" i="120"/>
  <c r="BN38" i="120" s="1"/>
  <c r="BW37" i="56" s="1"/>
  <c r="BL30" i="120"/>
  <c r="BN30" i="120" s="1"/>
  <c r="BW29" i="56" s="1"/>
  <c r="BK20" i="120"/>
  <c r="BK48" i="120"/>
  <c r="BJ48" i="120" s="1"/>
  <c r="BV47" i="56" s="1"/>
  <c r="BK37" i="120"/>
  <c r="BJ37" i="120" s="1"/>
  <c r="BV36" i="56" s="1"/>
  <c r="BL36" i="120"/>
  <c r="BN36" i="120" s="1"/>
  <c r="BW35" i="56" s="1"/>
  <c r="BL35" i="120"/>
  <c r="BN35" i="120" s="1"/>
  <c r="BW34" i="56" s="1"/>
  <c r="BK29" i="120"/>
  <c r="BJ29" i="120" s="1"/>
  <c r="BV28" i="56" s="1"/>
  <c r="BL42" i="120"/>
  <c r="BN42" i="120" s="1"/>
  <c r="BW41" i="56" s="1"/>
  <c r="BK35" i="120"/>
  <c r="BJ35" i="120" s="1"/>
  <c r="BV34" i="56" s="1"/>
  <c r="BL28" i="120"/>
  <c r="BN28" i="120" s="1"/>
  <c r="BW27" i="56" s="1"/>
  <c r="BL24" i="120"/>
  <c r="BN24" i="120" s="1"/>
  <c r="BW23" i="56" s="1"/>
  <c r="BL11" i="120"/>
  <c r="BN11" i="120" s="1"/>
  <c r="BW10" i="56" s="1"/>
  <c r="BL34" i="120"/>
  <c r="BN34" i="120" s="1"/>
  <c r="BW33" i="56" s="1"/>
  <c r="BL57" i="120"/>
  <c r="BN57" i="120" s="1"/>
  <c r="BW56" i="56" s="1"/>
  <c r="BK24" i="120"/>
  <c r="BL39" i="120"/>
  <c r="BN39" i="120" s="1"/>
  <c r="BW38" i="56" s="1"/>
  <c r="BL17" i="120"/>
  <c r="BN17" i="120" s="1"/>
  <c r="BW16" i="56" s="1"/>
  <c r="BK11" i="120"/>
  <c r="BL32" i="120"/>
  <c r="BN32" i="120" s="1"/>
  <c r="BW31" i="56" s="1"/>
  <c r="BL13" i="120"/>
  <c r="BN13" i="120" s="1"/>
  <c r="BW12" i="56" s="1"/>
  <c r="BL21" i="120"/>
  <c r="BN21" i="120" s="1"/>
  <c r="BW20" i="56" s="1"/>
  <c r="BK58" i="120"/>
  <c r="BJ58" i="120" s="1"/>
  <c r="BV57" i="56" s="1"/>
  <c r="BL25" i="120"/>
  <c r="BN25" i="120" s="1"/>
  <c r="BW24" i="56" s="1"/>
  <c r="BK33" i="120"/>
  <c r="BJ33" i="120" s="1"/>
  <c r="BV32" i="56" s="1"/>
  <c r="BL31" i="120"/>
  <c r="BN31" i="120" s="1"/>
  <c r="BW30" i="56" s="1"/>
  <c r="BK10" i="120"/>
  <c r="BL10" i="120"/>
  <c r="BN10" i="120" s="1"/>
  <c r="BW9" i="56" s="1"/>
  <c r="BE10" i="120" a="1"/>
  <c r="BF76" i="120" l="1"/>
  <c r="BH76" i="120" s="1"/>
  <c r="BQ75" i="56" s="1"/>
  <c r="BF72" i="120"/>
  <c r="BH72" i="120" s="1"/>
  <c r="BQ71" i="56" s="1"/>
  <c r="BF68" i="120"/>
  <c r="BH68" i="120" s="1"/>
  <c r="BQ67" i="56" s="1"/>
  <c r="BF64" i="120"/>
  <c r="BH64" i="120" s="1"/>
  <c r="BQ63" i="56" s="1"/>
  <c r="BE76" i="120"/>
  <c r="BD76" i="120" s="1"/>
  <c r="BP75" i="56" s="1"/>
  <c r="BE72" i="120"/>
  <c r="BD72" i="120" s="1"/>
  <c r="BP71" i="56" s="1"/>
  <c r="BE68" i="120"/>
  <c r="BD68" i="120" s="1"/>
  <c r="BP67" i="56" s="1"/>
  <c r="BE64" i="120"/>
  <c r="BD64" i="120" s="1"/>
  <c r="BP63" i="56" s="1"/>
  <c r="BF79" i="120"/>
  <c r="BH79" i="120" s="1"/>
  <c r="BQ78" i="56" s="1"/>
  <c r="BF75" i="120"/>
  <c r="BH75" i="120" s="1"/>
  <c r="BQ74" i="56" s="1"/>
  <c r="BF71" i="120"/>
  <c r="BH71" i="120" s="1"/>
  <c r="BQ70" i="56" s="1"/>
  <c r="BF67" i="120"/>
  <c r="BH67" i="120" s="1"/>
  <c r="BQ66" i="56" s="1"/>
  <c r="BF63" i="120"/>
  <c r="BH63" i="120" s="1"/>
  <c r="BQ62" i="56" s="1"/>
  <c r="BE79" i="120"/>
  <c r="BD79" i="120" s="1"/>
  <c r="BP78" i="56" s="1"/>
  <c r="BE75" i="120"/>
  <c r="BD75" i="120" s="1"/>
  <c r="BP74" i="56" s="1"/>
  <c r="BE71" i="120"/>
  <c r="BD71" i="120" s="1"/>
  <c r="BP70" i="56" s="1"/>
  <c r="BE67" i="120"/>
  <c r="BD67" i="120" s="1"/>
  <c r="BP66" i="56" s="1"/>
  <c r="BE63" i="120"/>
  <c r="BD63" i="120" s="1"/>
  <c r="BP62" i="56" s="1"/>
  <c r="BF77" i="120"/>
  <c r="BH77" i="120" s="1"/>
  <c r="BQ76" i="56" s="1"/>
  <c r="BF73" i="120"/>
  <c r="BH73" i="120" s="1"/>
  <c r="BQ72" i="56" s="1"/>
  <c r="BF69" i="120"/>
  <c r="BH69" i="120" s="1"/>
  <c r="BQ68" i="56" s="1"/>
  <c r="BF65" i="120"/>
  <c r="BH65" i="120" s="1"/>
  <c r="BQ64" i="56" s="1"/>
  <c r="BF60" i="120"/>
  <c r="BH60" i="120" s="1"/>
  <c r="BQ59" i="56" s="1"/>
  <c r="BF56" i="120"/>
  <c r="BH56" i="120" s="1"/>
  <c r="BQ55" i="56" s="1"/>
  <c r="BE77" i="120"/>
  <c r="BD77" i="120" s="1"/>
  <c r="BP76" i="56" s="1"/>
  <c r="BE73" i="120"/>
  <c r="BD73" i="120" s="1"/>
  <c r="BP72" i="56" s="1"/>
  <c r="BE69" i="120"/>
  <c r="BD69" i="120" s="1"/>
  <c r="BP68" i="56" s="1"/>
  <c r="BE65" i="120"/>
  <c r="BD65" i="120" s="1"/>
  <c r="BP64" i="56" s="1"/>
  <c r="BF78" i="120"/>
  <c r="BH78" i="120" s="1"/>
  <c r="BQ77" i="56" s="1"/>
  <c r="BF74" i="120"/>
  <c r="BH74" i="120" s="1"/>
  <c r="BQ73" i="56" s="1"/>
  <c r="BF70" i="120"/>
  <c r="BH70" i="120" s="1"/>
  <c r="BQ69" i="56" s="1"/>
  <c r="BF66" i="120"/>
  <c r="BH66" i="120" s="1"/>
  <c r="BQ65" i="56" s="1"/>
  <c r="BE78" i="120"/>
  <c r="BD78" i="120" s="1"/>
  <c r="BP77" i="56" s="1"/>
  <c r="BE74" i="120"/>
  <c r="BD74" i="120" s="1"/>
  <c r="BP73" i="56" s="1"/>
  <c r="BE70" i="120"/>
  <c r="BD70" i="120" s="1"/>
  <c r="BP69" i="56" s="1"/>
  <c r="BE66" i="120"/>
  <c r="BD66" i="120" s="1"/>
  <c r="BP65" i="56" s="1"/>
  <c r="BE59" i="120"/>
  <c r="BD59" i="120" s="1"/>
  <c r="BP58" i="56" s="1"/>
  <c r="BE55" i="120"/>
  <c r="BD55" i="120" s="1"/>
  <c r="BP54" i="56" s="1"/>
  <c r="BE61" i="120"/>
  <c r="BD61" i="120" s="1"/>
  <c r="BP60" i="56" s="1"/>
  <c r="BF59" i="120"/>
  <c r="BH59" i="120" s="1"/>
  <c r="BQ58" i="56" s="1"/>
  <c r="BE58" i="120"/>
  <c r="BD58" i="120" s="1"/>
  <c r="BP57" i="56" s="1"/>
  <c r="BE57" i="120"/>
  <c r="BD57" i="120" s="1"/>
  <c r="BP56" i="56" s="1"/>
  <c r="BF55" i="120"/>
  <c r="BH55" i="120" s="1"/>
  <c r="BQ54" i="56" s="1"/>
  <c r="BE54" i="120"/>
  <c r="BD54" i="120" s="1"/>
  <c r="BP53" i="56" s="1"/>
  <c r="BF52" i="120"/>
  <c r="BH52" i="120" s="1"/>
  <c r="BQ51" i="56" s="1"/>
  <c r="BF48" i="120"/>
  <c r="BH48" i="120" s="1"/>
  <c r="BQ47" i="56" s="1"/>
  <c r="BE52" i="120"/>
  <c r="BD52" i="120" s="1"/>
  <c r="BP51" i="56" s="1"/>
  <c r="BF51" i="120"/>
  <c r="BH51" i="120" s="1"/>
  <c r="BQ50" i="56" s="1"/>
  <c r="BF62" i="120"/>
  <c r="BH62" i="120" s="1"/>
  <c r="BQ61" i="56" s="1"/>
  <c r="BE51" i="120"/>
  <c r="BD51" i="120" s="1"/>
  <c r="BP50" i="56" s="1"/>
  <c r="BE47" i="120"/>
  <c r="BD47" i="120" s="1"/>
  <c r="BP46" i="56" s="1"/>
  <c r="BF58" i="120"/>
  <c r="BH58" i="120" s="1"/>
  <c r="BQ57" i="56" s="1"/>
  <c r="BF53" i="120"/>
  <c r="BH53" i="120" s="1"/>
  <c r="BQ52" i="56" s="1"/>
  <c r="BF49" i="120"/>
  <c r="BH49" i="120" s="1"/>
  <c r="BQ48" i="56" s="1"/>
  <c r="BF43" i="120"/>
  <c r="BH43" i="120" s="1"/>
  <c r="BQ42" i="56" s="1"/>
  <c r="BF39" i="120"/>
  <c r="BH39" i="120" s="1"/>
  <c r="BQ38" i="56" s="1"/>
  <c r="BF35" i="120"/>
  <c r="BH35" i="120" s="1"/>
  <c r="BQ34" i="56" s="1"/>
  <c r="BF31" i="120"/>
  <c r="BH31" i="120" s="1"/>
  <c r="BQ30" i="56" s="1"/>
  <c r="BE53" i="120"/>
  <c r="BD53" i="120" s="1"/>
  <c r="BP52" i="56" s="1"/>
  <c r="BE49" i="120"/>
  <c r="BD49" i="120" s="1"/>
  <c r="BP48" i="56" s="1"/>
  <c r="BE43" i="120"/>
  <c r="BD43" i="120" s="1"/>
  <c r="BP42" i="56" s="1"/>
  <c r="BE39" i="120"/>
  <c r="BD39" i="120" s="1"/>
  <c r="BP38" i="56" s="1"/>
  <c r="BF57" i="120"/>
  <c r="BH57" i="120" s="1"/>
  <c r="BQ56" i="56" s="1"/>
  <c r="BF50" i="120"/>
  <c r="BH50" i="120" s="1"/>
  <c r="BQ49" i="56" s="1"/>
  <c r="BE48" i="120"/>
  <c r="BD48" i="120" s="1"/>
  <c r="BP47" i="56" s="1"/>
  <c r="BF42" i="120"/>
  <c r="BH42" i="120" s="1"/>
  <c r="BQ41" i="56" s="1"/>
  <c r="BE56" i="120"/>
  <c r="BD56" i="120" s="1"/>
  <c r="BP55" i="56" s="1"/>
  <c r="BE50" i="120"/>
  <c r="BD50" i="120" s="1"/>
  <c r="BP49" i="56" s="1"/>
  <c r="BF47" i="120"/>
  <c r="BH47" i="120" s="1"/>
  <c r="BQ46" i="56" s="1"/>
  <c r="BF46" i="120"/>
  <c r="BH46" i="120" s="1"/>
  <c r="BQ45" i="56" s="1"/>
  <c r="BE42" i="120"/>
  <c r="BD42" i="120" s="1"/>
  <c r="BP41" i="56" s="1"/>
  <c r="BE38" i="120"/>
  <c r="BD38" i="120" s="1"/>
  <c r="BP37" i="56" s="1"/>
  <c r="BE34" i="120"/>
  <c r="BD34" i="120" s="1"/>
  <c r="BP33" i="56" s="1"/>
  <c r="BE30" i="120"/>
  <c r="BD30" i="120" s="1"/>
  <c r="BP29" i="56" s="1"/>
  <c r="BF25" i="120"/>
  <c r="BH25" i="120" s="1"/>
  <c r="BQ24" i="56" s="1"/>
  <c r="BF21" i="120"/>
  <c r="BH21" i="120" s="1"/>
  <c r="BQ20" i="56" s="1"/>
  <c r="BF17" i="120"/>
  <c r="BH17" i="120" s="1"/>
  <c r="BQ16" i="56" s="1"/>
  <c r="BF13" i="120"/>
  <c r="BH13" i="120" s="1"/>
  <c r="BQ12" i="56" s="1"/>
  <c r="BE62" i="120"/>
  <c r="BD62" i="120" s="1"/>
  <c r="BP61" i="56" s="1"/>
  <c r="BE46" i="120"/>
  <c r="BD46" i="120" s="1"/>
  <c r="BP45" i="56" s="1"/>
  <c r="BF37" i="120"/>
  <c r="BH37" i="120" s="1"/>
  <c r="BQ36" i="56" s="1"/>
  <c r="BF36" i="120"/>
  <c r="BH36" i="120" s="1"/>
  <c r="BQ35" i="56" s="1"/>
  <c r="BE35" i="120"/>
  <c r="BD35" i="120" s="1"/>
  <c r="BP34" i="56" s="1"/>
  <c r="BF33" i="120"/>
  <c r="BH33" i="120" s="1"/>
  <c r="BQ32" i="56" s="1"/>
  <c r="BF32" i="120"/>
  <c r="BH32" i="120" s="1"/>
  <c r="BQ31" i="56" s="1"/>
  <c r="BE31" i="120"/>
  <c r="BD31" i="120" s="1"/>
  <c r="BP30" i="56" s="1"/>
  <c r="BF29" i="120"/>
  <c r="BH29" i="120" s="1"/>
  <c r="BQ28" i="56" s="1"/>
  <c r="BE25" i="120"/>
  <c r="BF61" i="120"/>
  <c r="BH61" i="120" s="1"/>
  <c r="BQ60" i="56" s="1"/>
  <c r="BF54" i="120"/>
  <c r="BH54" i="120" s="1"/>
  <c r="BQ53" i="56" s="1"/>
  <c r="BF38" i="120"/>
  <c r="BH38" i="120" s="1"/>
  <c r="BQ37" i="56" s="1"/>
  <c r="BE37" i="120"/>
  <c r="BD37" i="120" s="1"/>
  <c r="BP36" i="56" s="1"/>
  <c r="BE36" i="120"/>
  <c r="BD36" i="120" s="1"/>
  <c r="BP35" i="56" s="1"/>
  <c r="BF34" i="120"/>
  <c r="BH34" i="120" s="1"/>
  <c r="BQ33" i="56" s="1"/>
  <c r="BE33" i="120"/>
  <c r="BD33" i="120" s="1"/>
  <c r="BP32" i="56" s="1"/>
  <c r="BE32" i="120"/>
  <c r="BD32" i="120" s="1"/>
  <c r="BP31" i="56" s="1"/>
  <c r="BF30" i="120"/>
  <c r="BH30" i="120" s="1"/>
  <c r="BQ29" i="56" s="1"/>
  <c r="BE29" i="120"/>
  <c r="BD29" i="120" s="1"/>
  <c r="BP28" i="56" s="1"/>
  <c r="BF28" i="120"/>
  <c r="BH28" i="120" s="1"/>
  <c r="BQ27" i="56" s="1"/>
  <c r="BE24" i="120"/>
  <c r="BE20" i="120"/>
  <c r="BE16" i="120"/>
  <c r="BE12" i="120"/>
  <c r="BF41" i="120"/>
  <c r="BH41" i="120" s="1"/>
  <c r="BQ40" i="56" s="1"/>
  <c r="BF26" i="120"/>
  <c r="BH26" i="120" s="1"/>
  <c r="BQ25" i="56" s="1"/>
  <c r="BF23" i="120"/>
  <c r="BH23" i="120" s="1"/>
  <c r="BQ22" i="56" s="1"/>
  <c r="BF11" i="120"/>
  <c r="BH11" i="120" s="1"/>
  <c r="BQ10" i="56" s="1"/>
  <c r="BE11" i="120"/>
  <c r="BE22" i="120"/>
  <c r="BF20" i="120"/>
  <c r="BH20" i="120" s="1"/>
  <c r="BQ19" i="56" s="1"/>
  <c r="BF16" i="120"/>
  <c r="BH16" i="120" s="1"/>
  <c r="BQ15" i="56" s="1"/>
  <c r="BF12" i="120"/>
  <c r="BH12" i="120" s="1"/>
  <c r="BQ11" i="56" s="1"/>
  <c r="BE41" i="120"/>
  <c r="BD41" i="120" s="1"/>
  <c r="BP40" i="56" s="1"/>
  <c r="BE26" i="120"/>
  <c r="BE23" i="120"/>
  <c r="BE19" i="120"/>
  <c r="BE18" i="120"/>
  <c r="BF45" i="120"/>
  <c r="BH45" i="120" s="1"/>
  <c r="BQ44" i="56" s="1"/>
  <c r="BF40" i="120"/>
  <c r="BH40" i="120" s="1"/>
  <c r="BQ39" i="56" s="1"/>
  <c r="BF27" i="120"/>
  <c r="BH27" i="120" s="1"/>
  <c r="BQ26" i="56" s="1"/>
  <c r="BE14" i="120"/>
  <c r="BE44" i="120"/>
  <c r="BD44" i="120" s="1"/>
  <c r="BP43" i="56" s="1"/>
  <c r="BE45" i="120"/>
  <c r="BD45" i="120" s="1"/>
  <c r="BP44" i="56" s="1"/>
  <c r="BE40" i="120"/>
  <c r="BD40" i="120" s="1"/>
  <c r="BP39" i="56" s="1"/>
  <c r="BE27" i="120"/>
  <c r="BD27" i="120" s="1"/>
  <c r="BP26" i="56" s="1"/>
  <c r="BF22" i="120"/>
  <c r="BH22" i="120" s="1"/>
  <c r="BQ21" i="56" s="1"/>
  <c r="BE21" i="120"/>
  <c r="BF19" i="120"/>
  <c r="BH19" i="120" s="1"/>
  <c r="BQ18" i="56" s="1"/>
  <c r="BF18" i="120"/>
  <c r="BH18" i="120" s="1"/>
  <c r="BQ17" i="56" s="1"/>
  <c r="BE17" i="120"/>
  <c r="BF15" i="120"/>
  <c r="BH15" i="120" s="1"/>
  <c r="BQ14" i="56" s="1"/>
  <c r="BF14" i="120"/>
  <c r="BH14" i="120" s="1"/>
  <c r="BQ13" i="56" s="1"/>
  <c r="BE13" i="120"/>
  <c r="BF44" i="120"/>
  <c r="BH44" i="120" s="1"/>
  <c r="BQ43" i="56" s="1"/>
  <c r="BE15" i="120"/>
  <c r="BF24" i="120"/>
  <c r="BH24" i="120" s="1"/>
  <c r="BQ23" i="56" s="1"/>
  <c r="BE60" i="120"/>
  <c r="BD60" i="120" s="1"/>
  <c r="BP59" i="56" s="1"/>
  <c r="BE28" i="120"/>
  <c r="BD28" i="120" s="1"/>
  <c r="BP27" i="56" s="1"/>
  <c r="BE10" i="120"/>
  <c r="BF10" i="120"/>
  <c r="BH10" i="120" s="1"/>
  <c r="BQ9" i="56" s="1"/>
  <c r="AY10" i="120" a="1"/>
  <c r="AZ78" i="120" l="1"/>
  <c r="BB78" i="120" s="1"/>
  <c r="BK77" i="56" s="1"/>
  <c r="AZ74" i="120"/>
  <c r="BB74" i="120" s="1"/>
  <c r="BK73" i="56" s="1"/>
  <c r="AZ70" i="120"/>
  <c r="BB70" i="120" s="1"/>
  <c r="BK69" i="56" s="1"/>
  <c r="AZ66" i="120"/>
  <c r="BB66" i="120" s="1"/>
  <c r="BK65" i="56" s="1"/>
  <c r="AY78" i="120"/>
  <c r="AX78" i="120" s="1"/>
  <c r="BJ77" i="56" s="1"/>
  <c r="AY74" i="120"/>
  <c r="AX74" i="120" s="1"/>
  <c r="BJ73" i="56" s="1"/>
  <c r="AY70" i="120"/>
  <c r="AX70" i="120" s="1"/>
  <c r="BJ69" i="56" s="1"/>
  <c r="AY66" i="120"/>
  <c r="AX66" i="120" s="1"/>
  <c r="BJ65" i="56" s="1"/>
  <c r="AZ77" i="120"/>
  <c r="BB77" i="120" s="1"/>
  <c r="BK76" i="56" s="1"/>
  <c r="AZ73" i="120"/>
  <c r="BB73" i="120" s="1"/>
  <c r="BK72" i="56" s="1"/>
  <c r="AZ69" i="120"/>
  <c r="BB69" i="120" s="1"/>
  <c r="BK68" i="56" s="1"/>
  <c r="AZ65" i="120"/>
  <c r="BB65" i="120" s="1"/>
  <c r="BK64" i="56" s="1"/>
  <c r="AY77" i="120"/>
  <c r="AX77" i="120" s="1"/>
  <c r="BJ76" i="56" s="1"/>
  <c r="AY73" i="120"/>
  <c r="AX73" i="120" s="1"/>
  <c r="BJ72" i="56" s="1"/>
  <c r="AY69" i="120"/>
  <c r="AX69" i="120" s="1"/>
  <c r="BJ68" i="56" s="1"/>
  <c r="AY65" i="120"/>
  <c r="AX65" i="120" s="1"/>
  <c r="BJ64" i="56" s="1"/>
  <c r="AY79" i="120"/>
  <c r="AX79" i="120" s="1"/>
  <c r="BJ78" i="56" s="1"/>
  <c r="AY76" i="120"/>
  <c r="AX76" i="120" s="1"/>
  <c r="BJ75" i="56" s="1"/>
  <c r="AY75" i="120"/>
  <c r="AX75" i="120" s="1"/>
  <c r="BJ74" i="56" s="1"/>
  <c r="AY72" i="120"/>
  <c r="AX72" i="120" s="1"/>
  <c r="BJ71" i="56" s="1"/>
  <c r="AY71" i="120"/>
  <c r="AX71" i="120" s="1"/>
  <c r="BJ70" i="56" s="1"/>
  <c r="AY68" i="120"/>
  <c r="AX68" i="120" s="1"/>
  <c r="BJ67" i="56" s="1"/>
  <c r="AY67" i="120"/>
  <c r="AX67" i="120" s="1"/>
  <c r="BJ66" i="56" s="1"/>
  <c r="AY64" i="120"/>
  <c r="AX64" i="120" s="1"/>
  <c r="BJ63" i="56" s="1"/>
  <c r="AY63" i="120"/>
  <c r="AX63" i="120" s="1"/>
  <c r="BJ62" i="56" s="1"/>
  <c r="AZ62" i="120"/>
  <c r="BB62" i="120" s="1"/>
  <c r="BK61" i="56" s="1"/>
  <c r="AZ58" i="120"/>
  <c r="BB58" i="120" s="1"/>
  <c r="BK57" i="56" s="1"/>
  <c r="AZ54" i="120"/>
  <c r="BB54" i="120" s="1"/>
  <c r="BK53" i="56" s="1"/>
  <c r="AY62" i="120"/>
  <c r="AX62" i="120" s="1"/>
  <c r="BJ61" i="56" s="1"/>
  <c r="AY61" i="120"/>
  <c r="AX61" i="120" s="1"/>
  <c r="BJ60" i="56" s="1"/>
  <c r="AY57" i="120"/>
  <c r="AX57" i="120" s="1"/>
  <c r="BJ56" i="56" s="1"/>
  <c r="AZ76" i="120"/>
  <c r="BB76" i="120" s="1"/>
  <c r="BK75" i="56" s="1"/>
  <c r="AZ71" i="120"/>
  <c r="BB71" i="120" s="1"/>
  <c r="BK70" i="56" s="1"/>
  <c r="AZ50" i="120"/>
  <c r="BB50" i="120" s="1"/>
  <c r="BK49" i="56" s="1"/>
  <c r="AZ46" i="120"/>
  <c r="BB46" i="120" s="1"/>
  <c r="BK45" i="56" s="1"/>
  <c r="AZ60" i="120"/>
  <c r="BB60" i="120" s="1"/>
  <c r="BK59" i="56" s="1"/>
  <c r="AZ56" i="120"/>
  <c r="BB56" i="120" s="1"/>
  <c r="BK55" i="56" s="1"/>
  <c r="AY50" i="120"/>
  <c r="AX50" i="120" s="1"/>
  <c r="BJ49" i="56" s="1"/>
  <c r="AZ72" i="120"/>
  <c r="BB72" i="120" s="1"/>
  <c r="BK71" i="56" s="1"/>
  <c r="AZ67" i="120"/>
  <c r="BB67" i="120" s="1"/>
  <c r="BK66" i="56" s="1"/>
  <c r="AZ61" i="120"/>
  <c r="BB61" i="120" s="1"/>
  <c r="BK60" i="56" s="1"/>
  <c r="AY60" i="120"/>
  <c r="AX60" i="120" s="1"/>
  <c r="BJ59" i="56" s="1"/>
  <c r="AZ57" i="120"/>
  <c r="BB57" i="120" s="1"/>
  <c r="BK56" i="56" s="1"/>
  <c r="AY56" i="120"/>
  <c r="AX56" i="120" s="1"/>
  <c r="BJ55" i="56" s="1"/>
  <c r="AZ53" i="120"/>
  <c r="BB53" i="120" s="1"/>
  <c r="BK52" i="56" s="1"/>
  <c r="AZ49" i="120"/>
  <c r="BB49" i="120" s="1"/>
  <c r="BK48" i="56" s="1"/>
  <c r="AZ59" i="120"/>
  <c r="BB59" i="120" s="1"/>
  <c r="BK58" i="56" s="1"/>
  <c r="AY58" i="120"/>
  <c r="AX58" i="120" s="1"/>
  <c r="BJ57" i="56" s="1"/>
  <c r="AZ55" i="120"/>
  <c r="BB55" i="120" s="1"/>
  <c r="BK54" i="56" s="1"/>
  <c r="AY54" i="120"/>
  <c r="AX54" i="120" s="1"/>
  <c r="BJ53" i="56" s="1"/>
  <c r="AY53" i="120"/>
  <c r="AX53" i="120" s="1"/>
  <c r="BJ52" i="56" s="1"/>
  <c r="AY49" i="120"/>
  <c r="AX49" i="120" s="1"/>
  <c r="BJ48" i="56" s="1"/>
  <c r="AY59" i="120"/>
  <c r="AX59" i="120" s="1"/>
  <c r="BJ58" i="56" s="1"/>
  <c r="AY52" i="120"/>
  <c r="AX52" i="120" s="1"/>
  <c r="BJ51" i="56" s="1"/>
  <c r="AY51" i="120"/>
  <c r="AX51" i="120" s="1"/>
  <c r="BJ50" i="56" s="1"/>
  <c r="AZ45" i="120"/>
  <c r="BB45" i="120" s="1"/>
  <c r="BK44" i="56" s="1"/>
  <c r="AZ41" i="120"/>
  <c r="BB41" i="120" s="1"/>
  <c r="BK40" i="56" s="1"/>
  <c r="AZ37" i="120"/>
  <c r="BB37" i="120" s="1"/>
  <c r="BK36" i="56" s="1"/>
  <c r="AZ33" i="120"/>
  <c r="BB33" i="120" s="1"/>
  <c r="BK32" i="56" s="1"/>
  <c r="AZ29" i="120"/>
  <c r="BB29" i="120" s="1"/>
  <c r="BK28" i="56" s="1"/>
  <c r="AZ79" i="120"/>
  <c r="BB79" i="120" s="1"/>
  <c r="BK78" i="56" s="1"/>
  <c r="AZ68" i="120"/>
  <c r="BB68" i="120" s="1"/>
  <c r="BK67" i="56" s="1"/>
  <c r="AY45" i="120"/>
  <c r="AX45" i="120" s="1"/>
  <c r="BJ44" i="56" s="1"/>
  <c r="AY41" i="120"/>
  <c r="AX41" i="120" s="1"/>
  <c r="BJ40" i="56" s="1"/>
  <c r="AZ44" i="120"/>
  <c r="BB44" i="120" s="1"/>
  <c r="BK43" i="56" s="1"/>
  <c r="AZ40" i="120"/>
  <c r="BB40" i="120" s="1"/>
  <c r="BK39" i="56" s="1"/>
  <c r="AY44" i="120"/>
  <c r="AX44" i="120" s="1"/>
  <c r="BJ43" i="56" s="1"/>
  <c r="AY40" i="120"/>
  <c r="AX40" i="120" s="1"/>
  <c r="BJ39" i="56" s="1"/>
  <c r="AY36" i="120"/>
  <c r="AX36" i="120" s="1"/>
  <c r="BJ35" i="56" s="1"/>
  <c r="AY32" i="120"/>
  <c r="AX32" i="120" s="1"/>
  <c r="BJ31" i="56" s="1"/>
  <c r="AY55" i="120"/>
  <c r="AX55" i="120" s="1"/>
  <c r="BJ54" i="56" s="1"/>
  <c r="AY48" i="120"/>
  <c r="AX48" i="120" s="1"/>
  <c r="BJ47" i="56" s="1"/>
  <c r="AZ27" i="120"/>
  <c r="BB27" i="120" s="1"/>
  <c r="BK26" i="56" s="1"/>
  <c r="AZ23" i="120"/>
  <c r="BB23" i="120" s="1"/>
  <c r="BK22" i="56" s="1"/>
  <c r="CC19" i="168" s="1"/>
  <c r="CD19" i="168" s="1"/>
  <c r="AZ19" i="120"/>
  <c r="BB19" i="120" s="1"/>
  <c r="BK18" i="56" s="1"/>
  <c r="CC15" i="168" s="1"/>
  <c r="CD15" i="168" s="1"/>
  <c r="AZ15" i="120"/>
  <c r="BB15" i="120" s="1"/>
  <c r="BK14" i="56" s="1"/>
  <c r="CC11" i="168" s="1"/>
  <c r="CD11" i="168" s="1"/>
  <c r="AY27" i="120"/>
  <c r="AX27" i="120" s="1"/>
  <c r="BJ26" i="56" s="1"/>
  <c r="AY23" i="120"/>
  <c r="AZ51" i="120"/>
  <c r="BB51" i="120" s="1"/>
  <c r="BK50" i="56" s="1"/>
  <c r="AZ47" i="120"/>
  <c r="BB47" i="120" s="1"/>
  <c r="BK46" i="56" s="1"/>
  <c r="AZ26" i="120"/>
  <c r="BB26" i="120" s="1"/>
  <c r="BK25" i="56" s="1"/>
  <c r="AZ63" i="120"/>
  <c r="BB63" i="120" s="1"/>
  <c r="BK62" i="56" s="1"/>
  <c r="AY47" i="120"/>
  <c r="AX47" i="120" s="1"/>
  <c r="BJ46" i="56" s="1"/>
  <c r="AZ43" i="120"/>
  <c r="BB43" i="120" s="1"/>
  <c r="BK42" i="56" s="1"/>
  <c r="AZ42" i="120"/>
  <c r="BB42" i="120" s="1"/>
  <c r="BK41" i="56" s="1"/>
  <c r="AZ39" i="120"/>
  <c r="BB39" i="120" s="1"/>
  <c r="BK38" i="56" s="1"/>
  <c r="AZ35" i="120"/>
  <c r="BB35" i="120" s="1"/>
  <c r="BK34" i="56" s="1"/>
  <c r="AZ31" i="120"/>
  <c r="BB31" i="120" s="1"/>
  <c r="BK30" i="56" s="1"/>
  <c r="AY26" i="120"/>
  <c r="AY22" i="120"/>
  <c r="AY18" i="120"/>
  <c r="AY14" i="120"/>
  <c r="AZ75" i="120"/>
  <c r="BB75" i="120" s="1"/>
  <c r="BK74" i="56" s="1"/>
  <c r="AZ34" i="120"/>
  <c r="BB34" i="120" s="1"/>
  <c r="BK33" i="56" s="1"/>
  <c r="AY28" i="120"/>
  <c r="AX28" i="120" s="1"/>
  <c r="BJ27" i="56" s="1"/>
  <c r="AY20" i="120"/>
  <c r="AY16" i="120"/>
  <c r="AY12" i="120"/>
  <c r="AZ11" i="120"/>
  <c r="BB11" i="120" s="1"/>
  <c r="BK10" i="56" s="1"/>
  <c r="CC7" i="168" s="1"/>
  <c r="CD7" i="168" s="1"/>
  <c r="AZ64" i="120"/>
  <c r="BB64" i="120" s="1"/>
  <c r="BK63" i="56" s="1"/>
  <c r="AZ52" i="120"/>
  <c r="BB52" i="120" s="1"/>
  <c r="BK51" i="56" s="1"/>
  <c r="AY37" i="120"/>
  <c r="AX37" i="120" s="1"/>
  <c r="BJ36" i="56" s="1"/>
  <c r="AY43" i="120"/>
  <c r="AX43" i="120" s="1"/>
  <c r="BJ42" i="56" s="1"/>
  <c r="AY34" i="120"/>
  <c r="AX34" i="120" s="1"/>
  <c r="BJ33" i="56" s="1"/>
  <c r="AY33" i="120"/>
  <c r="AX33" i="120" s="1"/>
  <c r="BJ32" i="56" s="1"/>
  <c r="AZ32" i="120"/>
  <c r="BB32" i="120" s="1"/>
  <c r="BK31" i="56" s="1"/>
  <c r="AZ24" i="120"/>
  <c r="BB24" i="120" s="1"/>
  <c r="BK23" i="56" s="1"/>
  <c r="CC20" i="168" s="1"/>
  <c r="CD20" i="168" s="1"/>
  <c r="AY31" i="120"/>
  <c r="AX31" i="120" s="1"/>
  <c r="BJ30" i="56" s="1"/>
  <c r="AY24" i="120"/>
  <c r="AY38" i="120"/>
  <c r="AX38" i="120" s="1"/>
  <c r="BJ37" i="56" s="1"/>
  <c r="AZ36" i="120"/>
  <c r="BB36" i="120" s="1"/>
  <c r="BK35" i="56" s="1"/>
  <c r="AZ48" i="120"/>
  <c r="BB48" i="120" s="1"/>
  <c r="BK47" i="56" s="1"/>
  <c r="AZ38" i="120"/>
  <c r="BB38" i="120" s="1"/>
  <c r="BK37" i="56" s="1"/>
  <c r="AZ30" i="120"/>
  <c r="BB30" i="120" s="1"/>
  <c r="BK29" i="56" s="1"/>
  <c r="AZ25" i="120"/>
  <c r="BB25" i="120" s="1"/>
  <c r="BK24" i="56" s="1"/>
  <c r="CC21" i="168" s="1"/>
  <c r="CD21" i="168" s="1"/>
  <c r="AY42" i="120"/>
  <c r="AX42" i="120" s="1"/>
  <c r="BJ41" i="56" s="1"/>
  <c r="AY35" i="120"/>
  <c r="AX35" i="120" s="1"/>
  <c r="BJ34" i="56" s="1"/>
  <c r="AZ28" i="120"/>
  <c r="BB28" i="120" s="1"/>
  <c r="BK27" i="56" s="1"/>
  <c r="AZ22" i="120"/>
  <c r="BB22" i="120" s="1"/>
  <c r="BK21" i="56" s="1"/>
  <c r="CC18" i="168" s="1"/>
  <c r="CD18" i="168" s="1"/>
  <c r="AY15" i="120"/>
  <c r="AZ13" i="120"/>
  <c r="BB13" i="120" s="1"/>
  <c r="BK12" i="56" s="1"/>
  <c r="CC9" i="168" s="1"/>
  <c r="CD9" i="168" s="1"/>
  <c r="AZ12" i="120"/>
  <c r="BB12" i="120" s="1"/>
  <c r="BK11" i="56" s="1"/>
  <c r="CC8" i="168" s="1"/>
  <c r="CD8" i="168" s="1"/>
  <c r="AY17" i="120"/>
  <c r="AZ20" i="120"/>
  <c r="BB20" i="120" s="1"/>
  <c r="BK19" i="56" s="1"/>
  <c r="CC16" i="168" s="1"/>
  <c r="CD16" i="168" s="1"/>
  <c r="AY21" i="120"/>
  <c r="AZ18" i="120"/>
  <c r="BB18" i="120" s="1"/>
  <c r="BK17" i="56" s="1"/>
  <c r="CC14" i="168" s="1"/>
  <c r="CD14" i="168" s="1"/>
  <c r="AY13" i="120"/>
  <c r="AZ14" i="120"/>
  <c r="BB14" i="120" s="1"/>
  <c r="BK13" i="56" s="1"/>
  <c r="CC10" i="168" s="1"/>
  <c r="CD10" i="168" s="1"/>
  <c r="AY39" i="120"/>
  <c r="AX39" i="120" s="1"/>
  <c r="BJ38" i="56" s="1"/>
  <c r="AY19" i="120"/>
  <c r="AZ17" i="120"/>
  <c r="BB17" i="120" s="1"/>
  <c r="BK16" i="56" s="1"/>
  <c r="CC13" i="168" s="1"/>
  <c r="CD13" i="168" s="1"/>
  <c r="AZ16" i="120"/>
  <c r="BB16" i="120" s="1"/>
  <c r="BK15" i="56" s="1"/>
  <c r="CC12" i="168" s="1"/>
  <c r="CD12" i="168" s="1"/>
  <c r="AY25" i="120"/>
  <c r="AY30" i="120"/>
  <c r="AX30" i="120" s="1"/>
  <c r="BJ29" i="56" s="1"/>
  <c r="AY46" i="120"/>
  <c r="AX46" i="120" s="1"/>
  <c r="BJ45" i="56" s="1"/>
  <c r="AZ21" i="120"/>
  <c r="BB21" i="120" s="1"/>
  <c r="BK20" i="56" s="1"/>
  <c r="CC17" i="168" s="1"/>
  <c r="CD17" i="168" s="1"/>
  <c r="AY29" i="120"/>
  <c r="AX29" i="120" s="1"/>
  <c r="BJ28" i="56" s="1"/>
  <c r="AY11" i="120"/>
  <c r="AY10" i="120"/>
  <c r="AZ10" i="120"/>
  <c r="BB10" i="120" s="1"/>
  <c r="BK9" i="56" s="1"/>
  <c r="CC6" i="168" s="1"/>
  <c r="CD6" i="168" s="1"/>
  <c r="AS10" i="120" a="1"/>
  <c r="AT76" i="120" l="1"/>
  <c r="AV76" i="120" s="1"/>
  <c r="BA75" i="56" s="1"/>
  <c r="AT72" i="120"/>
  <c r="AV72" i="120" s="1"/>
  <c r="BA71" i="56" s="1"/>
  <c r="AT68" i="120"/>
  <c r="AV68" i="120" s="1"/>
  <c r="BA67" i="56" s="1"/>
  <c r="AT64" i="120"/>
  <c r="AV64" i="120" s="1"/>
  <c r="BA63" i="56" s="1"/>
  <c r="AS76" i="120"/>
  <c r="AR76" i="120" s="1"/>
  <c r="AZ75" i="56" s="1"/>
  <c r="BB75" i="56" s="1"/>
  <c r="AS72" i="120"/>
  <c r="AR72" i="120" s="1"/>
  <c r="AZ71" i="56" s="1"/>
  <c r="BB71" i="56" s="1"/>
  <c r="AS68" i="120"/>
  <c r="AR68" i="120" s="1"/>
  <c r="AZ67" i="56" s="1"/>
  <c r="BB67" i="56" s="1"/>
  <c r="AS64" i="120"/>
  <c r="AR64" i="120" s="1"/>
  <c r="AZ63" i="56" s="1"/>
  <c r="BB63" i="56" s="1"/>
  <c r="AT79" i="120"/>
  <c r="AV79" i="120" s="1"/>
  <c r="BA78" i="56" s="1"/>
  <c r="AT75" i="120"/>
  <c r="AV75" i="120" s="1"/>
  <c r="BA74" i="56" s="1"/>
  <c r="AT71" i="120"/>
  <c r="AV71" i="120" s="1"/>
  <c r="BA70" i="56" s="1"/>
  <c r="AT67" i="120"/>
  <c r="AV67" i="120" s="1"/>
  <c r="BA66" i="56" s="1"/>
  <c r="AT63" i="120"/>
  <c r="AV63" i="120" s="1"/>
  <c r="BA62" i="56" s="1"/>
  <c r="AS79" i="120"/>
  <c r="AR79" i="120" s="1"/>
  <c r="AZ78" i="56" s="1"/>
  <c r="BB78" i="56" s="1"/>
  <c r="AS75" i="120"/>
  <c r="AR75" i="120" s="1"/>
  <c r="AZ74" i="56" s="1"/>
  <c r="BB74" i="56" s="1"/>
  <c r="AS71" i="120"/>
  <c r="AR71" i="120" s="1"/>
  <c r="AZ70" i="56" s="1"/>
  <c r="BB70" i="56" s="1"/>
  <c r="AS67" i="120"/>
  <c r="AR67" i="120" s="1"/>
  <c r="AZ66" i="56" s="1"/>
  <c r="BB66" i="56" s="1"/>
  <c r="AS63" i="120"/>
  <c r="AR63" i="120" s="1"/>
  <c r="AZ62" i="56" s="1"/>
  <c r="BB62" i="56" s="1"/>
  <c r="AT60" i="120"/>
  <c r="AV60" i="120" s="1"/>
  <c r="BA59" i="56" s="1"/>
  <c r="AT56" i="120"/>
  <c r="AV56" i="120" s="1"/>
  <c r="BA55" i="56" s="1"/>
  <c r="AS59" i="120"/>
  <c r="AR59" i="120" s="1"/>
  <c r="AZ58" i="56" s="1"/>
  <c r="BB58" i="56" s="1"/>
  <c r="AS55" i="120"/>
  <c r="AR55" i="120" s="1"/>
  <c r="AZ54" i="56" s="1"/>
  <c r="BB54" i="56" s="1"/>
  <c r="AT78" i="120"/>
  <c r="AV78" i="120" s="1"/>
  <c r="BA77" i="56" s="1"/>
  <c r="AT69" i="120"/>
  <c r="AV69" i="120" s="1"/>
  <c r="BA68" i="56" s="1"/>
  <c r="AT62" i="120"/>
  <c r="AV62" i="120" s="1"/>
  <c r="BA61" i="56" s="1"/>
  <c r="AT52" i="120"/>
  <c r="AV52" i="120" s="1"/>
  <c r="BA51" i="56" s="1"/>
  <c r="AT48" i="120"/>
  <c r="AV48" i="120" s="1"/>
  <c r="BA47" i="56" s="1"/>
  <c r="AS78" i="120"/>
  <c r="AR78" i="120" s="1"/>
  <c r="AZ77" i="56" s="1"/>
  <c r="BB77" i="56" s="1"/>
  <c r="AS69" i="120"/>
  <c r="AR69" i="120" s="1"/>
  <c r="AZ68" i="56" s="1"/>
  <c r="BB68" i="56" s="1"/>
  <c r="AS62" i="120"/>
  <c r="AR62" i="120" s="1"/>
  <c r="AZ61" i="56" s="1"/>
  <c r="BB61" i="56" s="1"/>
  <c r="AS52" i="120"/>
  <c r="AR52" i="120" s="1"/>
  <c r="AZ51" i="56" s="1"/>
  <c r="BB51" i="56" s="1"/>
  <c r="AT74" i="120"/>
  <c r="AV74" i="120" s="1"/>
  <c r="BA73" i="56" s="1"/>
  <c r="AT65" i="120"/>
  <c r="AV65" i="120" s="1"/>
  <c r="BA64" i="56" s="1"/>
  <c r="AT51" i="120"/>
  <c r="AV51" i="120" s="1"/>
  <c r="BA50" i="56" s="1"/>
  <c r="AS74" i="120"/>
  <c r="AR74" i="120" s="1"/>
  <c r="AZ73" i="56" s="1"/>
  <c r="BB73" i="56" s="1"/>
  <c r="AS65" i="120"/>
  <c r="AR65" i="120" s="1"/>
  <c r="AZ64" i="56" s="1"/>
  <c r="BB64" i="56" s="1"/>
  <c r="AS51" i="120"/>
  <c r="AR51" i="120" s="1"/>
  <c r="AZ50" i="56" s="1"/>
  <c r="BB50" i="56" s="1"/>
  <c r="AS47" i="120"/>
  <c r="AR47" i="120" s="1"/>
  <c r="AZ46" i="56" s="1"/>
  <c r="BB46" i="56" s="1"/>
  <c r="AS77" i="120"/>
  <c r="AR77" i="120" s="1"/>
  <c r="AZ76" i="56" s="1"/>
  <c r="BB76" i="56" s="1"/>
  <c r="AT61" i="120"/>
  <c r="AV61" i="120" s="1"/>
  <c r="BA60" i="56" s="1"/>
  <c r="AS54" i="120"/>
  <c r="AR54" i="120" s="1"/>
  <c r="AZ53" i="56" s="1"/>
  <c r="BB53" i="56" s="1"/>
  <c r="AS48" i="120"/>
  <c r="AR48" i="120" s="1"/>
  <c r="AZ47" i="56" s="1"/>
  <c r="BB47" i="56" s="1"/>
  <c r="AT43" i="120"/>
  <c r="AV43" i="120" s="1"/>
  <c r="BA42" i="56" s="1"/>
  <c r="AT39" i="120"/>
  <c r="AV39" i="120" s="1"/>
  <c r="BA38" i="56" s="1"/>
  <c r="AT35" i="120"/>
  <c r="AV35" i="120" s="1"/>
  <c r="BA34" i="56" s="1"/>
  <c r="AT31" i="120"/>
  <c r="AV31" i="120" s="1"/>
  <c r="BA30" i="56" s="1"/>
  <c r="AT66" i="120"/>
  <c r="AV66" i="120" s="1"/>
  <c r="BA65" i="56" s="1"/>
  <c r="AS61" i="120"/>
  <c r="AR61" i="120" s="1"/>
  <c r="AZ60" i="56" s="1"/>
  <c r="BB60" i="56" s="1"/>
  <c r="AS60" i="120"/>
  <c r="AR60" i="120" s="1"/>
  <c r="AZ59" i="56" s="1"/>
  <c r="BB59" i="56" s="1"/>
  <c r="AT47" i="120"/>
  <c r="AV47" i="120" s="1"/>
  <c r="BA46" i="56" s="1"/>
  <c r="AS43" i="120"/>
  <c r="AR43" i="120" s="1"/>
  <c r="AZ42" i="56" s="1"/>
  <c r="BB42" i="56" s="1"/>
  <c r="AS39" i="120"/>
  <c r="AR39" i="120" s="1"/>
  <c r="AZ38" i="56" s="1"/>
  <c r="BB38" i="56" s="1"/>
  <c r="AS66" i="120"/>
  <c r="AR66" i="120" s="1"/>
  <c r="AZ65" i="56" s="1"/>
  <c r="BB65" i="56" s="1"/>
  <c r="AT59" i="120"/>
  <c r="AV59" i="120" s="1"/>
  <c r="BA58" i="56" s="1"/>
  <c r="AT58" i="120"/>
  <c r="AV58" i="120" s="1"/>
  <c r="BA57" i="56" s="1"/>
  <c r="AT46" i="120"/>
  <c r="AV46" i="120" s="1"/>
  <c r="BA45" i="56" s="1"/>
  <c r="AT42" i="120"/>
  <c r="AV42" i="120" s="1"/>
  <c r="BA41" i="56" s="1"/>
  <c r="AS58" i="120"/>
  <c r="AR58" i="120" s="1"/>
  <c r="AZ57" i="56" s="1"/>
  <c r="BB57" i="56" s="1"/>
  <c r="AS46" i="120"/>
  <c r="AR46" i="120" s="1"/>
  <c r="AZ45" i="56" s="1"/>
  <c r="BB45" i="56" s="1"/>
  <c r="AS42" i="120"/>
  <c r="AR42" i="120" s="1"/>
  <c r="AZ41" i="56" s="1"/>
  <c r="BB41" i="56" s="1"/>
  <c r="AS38" i="120"/>
  <c r="AR38" i="120" s="1"/>
  <c r="AZ37" i="56" s="1"/>
  <c r="BB37" i="56" s="1"/>
  <c r="AS34" i="120"/>
  <c r="AR34" i="120" s="1"/>
  <c r="AZ33" i="56" s="1"/>
  <c r="BB33" i="56" s="1"/>
  <c r="AS30" i="120"/>
  <c r="AR30" i="120" s="1"/>
  <c r="AZ29" i="56" s="1"/>
  <c r="BB29" i="56" s="1"/>
  <c r="AS57" i="120"/>
  <c r="AR57" i="120" s="1"/>
  <c r="AZ56" i="56" s="1"/>
  <c r="BB56" i="56" s="1"/>
  <c r="AS56" i="120"/>
  <c r="AR56" i="120" s="1"/>
  <c r="AZ55" i="56" s="1"/>
  <c r="BB55" i="56" s="1"/>
  <c r="AT53" i="120"/>
  <c r="AV53" i="120" s="1"/>
  <c r="BA52" i="56" s="1"/>
  <c r="AT44" i="120"/>
  <c r="AV44" i="120" s="1"/>
  <c r="BA43" i="56" s="1"/>
  <c r="AT40" i="120"/>
  <c r="AV40" i="120" s="1"/>
  <c r="BA39" i="56" s="1"/>
  <c r="AT38" i="120"/>
  <c r="AV38" i="120" s="1"/>
  <c r="BA37" i="56" s="1"/>
  <c r="AS37" i="120"/>
  <c r="AR37" i="120" s="1"/>
  <c r="AZ36" i="56" s="1"/>
  <c r="BB36" i="56" s="1"/>
  <c r="AS36" i="120"/>
  <c r="AR36" i="120" s="1"/>
  <c r="AZ35" i="56" s="1"/>
  <c r="BB35" i="56" s="1"/>
  <c r="AT34" i="120"/>
  <c r="AV34" i="120" s="1"/>
  <c r="BA33" i="56" s="1"/>
  <c r="AS33" i="120"/>
  <c r="AR33" i="120" s="1"/>
  <c r="AZ32" i="56" s="1"/>
  <c r="BB32" i="56" s="1"/>
  <c r="AS32" i="120"/>
  <c r="AR32" i="120" s="1"/>
  <c r="AZ31" i="56" s="1"/>
  <c r="BB31" i="56" s="1"/>
  <c r="AT30" i="120"/>
  <c r="AV30" i="120" s="1"/>
  <c r="BA29" i="56" s="1"/>
  <c r="AS29" i="120"/>
  <c r="AR29" i="120" s="1"/>
  <c r="AZ28" i="56" s="1"/>
  <c r="BB28" i="56" s="1"/>
  <c r="AT25" i="120"/>
  <c r="AV25" i="120" s="1"/>
  <c r="BA24" i="56" s="1"/>
  <c r="AT21" i="120"/>
  <c r="AV21" i="120" s="1"/>
  <c r="BA20" i="56" s="1"/>
  <c r="AT17" i="120"/>
  <c r="AV17" i="120" s="1"/>
  <c r="BA16" i="56" s="1"/>
  <c r="AT13" i="120"/>
  <c r="AV13" i="120" s="1"/>
  <c r="BA12" i="56" s="1"/>
  <c r="AS53" i="120"/>
  <c r="AR53" i="120" s="1"/>
  <c r="AZ52" i="56" s="1"/>
  <c r="BB52" i="56" s="1"/>
  <c r="AS44" i="120"/>
  <c r="AR44" i="120" s="1"/>
  <c r="AZ43" i="56" s="1"/>
  <c r="BB43" i="56" s="1"/>
  <c r="AS40" i="120"/>
  <c r="AR40" i="120" s="1"/>
  <c r="AZ39" i="56" s="1"/>
  <c r="BB39" i="56" s="1"/>
  <c r="AS25" i="120"/>
  <c r="AT55" i="120"/>
  <c r="AV55" i="120" s="1"/>
  <c r="BA54" i="56" s="1"/>
  <c r="AT49" i="120"/>
  <c r="AV49" i="120" s="1"/>
  <c r="BA48" i="56" s="1"/>
  <c r="AT45" i="120"/>
  <c r="AV45" i="120" s="1"/>
  <c r="BA44" i="56" s="1"/>
  <c r="AT41" i="120"/>
  <c r="AV41" i="120" s="1"/>
  <c r="BA40" i="56" s="1"/>
  <c r="AT28" i="120"/>
  <c r="AV28" i="120" s="1"/>
  <c r="BA27" i="56" s="1"/>
  <c r="AT77" i="120"/>
  <c r="AV77" i="120" s="1"/>
  <c r="BA76" i="56" s="1"/>
  <c r="AT70" i="120"/>
  <c r="AV70" i="120" s="1"/>
  <c r="BA69" i="56" s="1"/>
  <c r="AS49" i="120"/>
  <c r="AR49" i="120" s="1"/>
  <c r="AZ48" i="56" s="1"/>
  <c r="BB48" i="56" s="1"/>
  <c r="AS45" i="120"/>
  <c r="AR45" i="120" s="1"/>
  <c r="AZ44" i="56" s="1"/>
  <c r="BB44" i="56" s="1"/>
  <c r="AS41" i="120"/>
  <c r="AR41" i="120" s="1"/>
  <c r="AZ40" i="56" s="1"/>
  <c r="BB40" i="56" s="1"/>
  <c r="AS28" i="120"/>
  <c r="AR28" i="120" s="1"/>
  <c r="AZ27" i="56" s="1"/>
  <c r="BB27" i="56" s="1"/>
  <c r="AS24" i="120"/>
  <c r="AS20" i="120"/>
  <c r="AS16" i="120"/>
  <c r="AS12" i="120"/>
  <c r="AS70" i="120"/>
  <c r="AR70" i="120" s="1"/>
  <c r="AZ69" i="56" s="1"/>
  <c r="BB69" i="56" s="1"/>
  <c r="AT36" i="120"/>
  <c r="AV36" i="120" s="1"/>
  <c r="BA35" i="56" s="1"/>
  <c r="AT11" i="120"/>
  <c r="AV11" i="120" s="1"/>
  <c r="BA10" i="56" s="1"/>
  <c r="AT15" i="120"/>
  <c r="AV15" i="120" s="1"/>
  <c r="BA14" i="56" s="1"/>
  <c r="AS11" i="120"/>
  <c r="AS19" i="120"/>
  <c r="AT12" i="120"/>
  <c r="AV12" i="120" s="1"/>
  <c r="BA11" i="56" s="1"/>
  <c r="AT26" i="120"/>
  <c r="AV26" i="120" s="1"/>
  <c r="BA25" i="56" s="1"/>
  <c r="AT54" i="120"/>
  <c r="AV54" i="120" s="1"/>
  <c r="BA53" i="56" s="1"/>
  <c r="AS35" i="120"/>
  <c r="AR35" i="120" s="1"/>
  <c r="AZ34" i="56" s="1"/>
  <c r="BB34" i="56" s="1"/>
  <c r="AT22" i="120"/>
  <c r="AV22" i="120" s="1"/>
  <c r="BA21" i="56" s="1"/>
  <c r="AS21" i="120"/>
  <c r="AT19" i="120"/>
  <c r="AV19" i="120" s="1"/>
  <c r="BA18" i="56" s="1"/>
  <c r="AT18" i="120"/>
  <c r="AV18" i="120" s="1"/>
  <c r="BA17" i="56" s="1"/>
  <c r="AS17" i="120"/>
  <c r="AT14" i="120"/>
  <c r="AV14" i="120" s="1"/>
  <c r="BA13" i="56" s="1"/>
  <c r="AS13" i="120"/>
  <c r="AS18" i="120"/>
  <c r="AT16" i="120"/>
  <c r="AV16" i="120" s="1"/>
  <c r="BA15" i="56" s="1"/>
  <c r="AS15" i="120"/>
  <c r="AS14" i="120"/>
  <c r="AS22" i="120"/>
  <c r="AT20" i="120"/>
  <c r="AV20" i="120" s="1"/>
  <c r="BA19" i="56" s="1"/>
  <c r="AT50" i="120"/>
  <c r="AV50" i="120" s="1"/>
  <c r="BA49" i="56" s="1"/>
  <c r="AT33" i="120"/>
  <c r="AV33" i="120" s="1"/>
  <c r="BA32" i="56" s="1"/>
  <c r="AT24" i="120"/>
  <c r="AV24" i="120" s="1"/>
  <c r="BA23" i="56" s="1"/>
  <c r="AT32" i="120"/>
  <c r="AV32" i="120" s="1"/>
  <c r="BA31" i="56" s="1"/>
  <c r="AT73" i="120"/>
  <c r="AV73" i="120" s="1"/>
  <c r="BA72" i="56" s="1"/>
  <c r="AT57" i="120"/>
  <c r="AV57" i="120" s="1"/>
  <c r="BA56" i="56" s="1"/>
  <c r="AS31" i="120"/>
  <c r="AR31" i="120" s="1"/>
  <c r="AZ30" i="56" s="1"/>
  <c r="BB30" i="56" s="1"/>
  <c r="AT29" i="120"/>
  <c r="AV29" i="120" s="1"/>
  <c r="BA28" i="56" s="1"/>
  <c r="AT23" i="120"/>
  <c r="AV23" i="120" s="1"/>
  <c r="BA22" i="56" s="1"/>
  <c r="AS50" i="120"/>
  <c r="AR50" i="120" s="1"/>
  <c r="AZ49" i="56" s="1"/>
  <c r="BB49" i="56" s="1"/>
  <c r="AS23" i="120"/>
  <c r="AT27" i="120"/>
  <c r="AV27" i="120" s="1"/>
  <c r="BA26" i="56" s="1"/>
  <c r="AT37" i="120"/>
  <c r="AV37" i="120" s="1"/>
  <c r="BA36" i="56" s="1"/>
  <c r="AS27" i="120"/>
  <c r="AR27" i="120" s="1"/>
  <c r="AZ26" i="56" s="1"/>
  <c r="BB26" i="56" s="1"/>
  <c r="AS26" i="120"/>
  <c r="AR26" i="120" s="1"/>
  <c r="AZ25" i="56" s="1"/>
  <c r="BB25" i="56" s="1"/>
  <c r="AS73" i="120"/>
  <c r="AR73" i="120" s="1"/>
  <c r="AZ72" i="56" s="1"/>
  <c r="BB72" i="56" s="1"/>
  <c r="AT10" i="120"/>
  <c r="AV10" i="120" s="1"/>
  <c r="BA9" i="56" s="1"/>
  <c r="AS10" i="120"/>
  <c r="AP10" i="120"/>
  <c r="AG10" i="120" a="1"/>
  <c r="Y24" i="124" l="1"/>
  <c r="X24" i="124"/>
  <c r="Y25" i="124"/>
  <c r="X25" i="124"/>
  <c r="Y22" i="124"/>
  <c r="X22" i="124"/>
  <c r="Y23" i="124"/>
  <c r="X23" i="124"/>
  <c r="AG79" i="120"/>
  <c r="AF79" i="120" s="1"/>
  <c r="AG75" i="120"/>
  <c r="AF75" i="120" s="1"/>
  <c r="AG71" i="120"/>
  <c r="AF71" i="120" s="1"/>
  <c r="AG67" i="120"/>
  <c r="AF67" i="120" s="1"/>
  <c r="AG63" i="120"/>
  <c r="AF63" i="120" s="1"/>
  <c r="AH78" i="120"/>
  <c r="AJ78" i="120" s="1"/>
  <c r="AH74" i="120"/>
  <c r="AJ74" i="120" s="1"/>
  <c r="AH70" i="120"/>
  <c r="AJ70" i="120" s="1"/>
  <c r="AH66" i="120"/>
  <c r="AJ66" i="120" s="1"/>
  <c r="AG78" i="120"/>
  <c r="AF78" i="120" s="1"/>
  <c r="AG74" i="120"/>
  <c r="AF74" i="120" s="1"/>
  <c r="AG70" i="120"/>
  <c r="AF70" i="120" s="1"/>
  <c r="AG66" i="120"/>
  <c r="AF66" i="120" s="1"/>
  <c r="AH77" i="120"/>
  <c r="AJ77" i="120" s="1"/>
  <c r="AH73" i="120"/>
  <c r="AJ73" i="120" s="1"/>
  <c r="AH69" i="120"/>
  <c r="AJ69" i="120" s="1"/>
  <c r="AH65" i="120"/>
  <c r="AJ65" i="120" s="1"/>
  <c r="AG59" i="120"/>
  <c r="AF59" i="120" s="1"/>
  <c r="AN78" i="56" s="1"/>
  <c r="AG55" i="120"/>
  <c r="AF55" i="120" s="1"/>
  <c r="AN74" i="56" s="1"/>
  <c r="AH62" i="120"/>
  <c r="AJ62" i="120" s="1"/>
  <c r="AH61" i="120"/>
  <c r="AJ61" i="120" s="1"/>
  <c r="AH57" i="120"/>
  <c r="AJ57" i="120" s="1"/>
  <c r="AO76" i="56" s="1"/>
  <c r="AH75" i="120"/>
  <c r="AJ75" i="120" s="1"/>
  <c r="AG68" i="120"/>
  <c r="AF68" i="120" s="1"/>
  <c r="AG51" i="120"/>
  <c r="AF51" i="120" s="1"/>
  <c r="AN70" i="56" s="1"/>
  <c r="AG47" i="120"/>
  <c r="AF47" i="120" s="1"/>
  <c r="AN66" i="56" s="1"/>
  <c r="AG73" i="120"/>
  <c r="AF73" i="120" s="1"/>
  <c r="AH64" i="120"/>
  <c r="AJ64" i="120" s="1"/>
  <c r="AG61" i="120"/>
  <c r="AF61" i="120" s="1"/>
  <c r="AH60" i="120"/>
  <c r="AJ60" i="120" s="1"/>
  <c r="AH58" i="120"/>
  <c r="AJ58" i="120" s="1"/>
  <c r="AO77" i="56" s="1"/>
  <c r="AG57" i="120"/>
  <c r="AF57" i="120" s="1"/>
  <c r="AN76" i="56" s="1"/>
  <c r="AH56" i="120"/>
  <c r="AJ56" i="120" s="1"/>
  <c r="AO75" i="56" s="1"/>
  <c r="AH50" i="120"/>
  <c r="AJ50" i="120" s="1"/>
  <c r="AO69" i="56" s="1"/>
  <c r="AH71" i="120"/>
  <c r="AJ71" i="120" s="1"/>
  <c r="AG64" i="120"/>
  <c r="AF64" i="120" s="1"/>
  <c r="AG60" i="120"/>
  <c r="AF60" i="120" s="1"/>
  <c r="AH59" i="120"/>
  <c r="AJ59" i="120" s="1"/>
  <c r="AO78" i="56" s="1"/>
  <c r="AG58" i="120"/>
  <c r="AF58" i="120" s="1"/>
  <c r="AN77" i="56" s="1"/>
  <c r="AG56" i="120"/>
  <c r="AF56" i="120" s="1"/>
  <c r="AN75" i="56" s="1"/>
  <c r="AH55" i="120"/>
  <c r="AJ55" i="120" s="1"/>
  <c r="AO74" i="56" s="1"/>
  <c r="AH54" i="120"/>
  <c r="AJ54" i="120" s="1"/>
  <c r="AO73" i="56" s="1"/>
  <c r="AG50" i="120"/>
  <c r="AF50" i="120" s="1"/>
  <c r="AN69" i="56" s="1"/>
  <c r="AH76" i="120"/>
  <c r="AJ76" i="120" s="1"/>
  <c r="AG69" i="120"/>
  <c r="AF69" i="120" s="1"/>
  <c r="AG54" i="120"/>
  <c r="AF54" i="120" s="1"/>
  <c r="AN73" i="56" s="1"/>
  <c r="AH53" i="120"/>
  <c r="AJ53" i="120" s="1"/>
  <c r="AO72" i="56" s="1"/>
  <c r="AH49" i="120"/>
  <c r="AJ49" i="120" s="1"/>
  <c r="AO68" i="56" s="1"/>
  <c r="AG46" i="120"/>
  <c r="AF46" i="120" s="1"/>
  <c r="AN65" i="56" s="1"/>
  <c r="AG42" i="120"/>
  <c r="AF42" i="120" s="1"/>
  <c r="AN61" i="56" s="1"/>
  <c r="AG38" i="120"/>
  <c r="AF38" i="120" s="1"/>
  <c r="AN57" i="56" s="1"/>
  <c r="AG34" i="120"/>
  <c r="AF34" i="120" s="1"/>
  <c r="AN53" i="56" s="1"/>
  <c r="AG30" i="120"/>
  <c r="AF30" i="120" s="1"/>
  <c r="AN49" i="56" s="1"/>
  <c r="AG76" i="120"/>
  <c r="AF76" i="120" s="1"/>
  <c r="AH45" i="120"/>
  <c r="AJ45" i="120" s="1"/>
  <c r="AO64" i="56" s="1"/>
  <c r="AH41" i="120"/>
  <c r="AJ41" i="120" s="1"/>
  <c r="AO60" i="56" s="1"/>
  <c r="AG77" i="120"/>
  <c r="AF77" i="120" s="1"/>
  <c r="AG65" i="120"/>
  <c r="AF65" i="120" s="1"/>
  <c r="AG45" i="120"/>
  <c r="AF45" i="120" s="1"/>
  <c r="AN64" i="56" s="1"/>
  <c r="AG41" i="120"/>
  <c r="AF41" i="120" s="1"/>
  <c r="AN60" i="56" s="1"/>
  <c r="AH79" i="120"/>
  <c r="AJ79" i="120" s="1"/>
  <c r="AH67" i="120"/>
  <c r="AJ67" i="120" s="1"/>
  <c r="AG62" i="120"/>
  <c r="AF62" i="120" s="1"/>
  <c r="AH44" i="120"/>
  <c r="AJ44" i="120" s="1"/>
  <c r="AO63" i="56" s="1"/>
  <c r="AH40" i="120"/>
  <c r="AJ40" i="120" s="1"/>
  <c r="AO59" i="56" s="1"/>
  <c r="AH36" i="120"/>
  <c r="AJ36" i="120" s="1"/>
  <c r="AO55" i="56" s="1"/>
  <c r="AH32" i="120"/>
  <c r="AJ32" i="120" s="1"/>
  <c r="AO51" i="56" s="1"/>
  <c r="AG52" i="120"/>
  <c r="AF52" i="120" s="1"/>
  <c r="AN71" i="56" s="1"/>
  <c r="AH46" i="120"/>
  <c r="AJ46" i="120" s="1"/>
  <c r="AO65" i="56" s="1"/>
  <c r="AH42" i="120"/>
  <c r="AJ42" i="120" s="1"/>
  <c r="AO61" i="56" s="1"/>
  <c r="AG28" i="120"/>
  <c r="AF28" i="120" s="1"/>
  <c r="AN47" i="56" s="1"/>
  <c r="AG24" i="120"/>
  <c r="AF24" i="120" s="1"/>
  <c r="AN43" i="56" s="1"/>
  <c r="AG20" i="120"/>
  <c r="AF20" i="120" s="1"/>
  <c r="AN39" i="56" s="1"/>
  <c r="AG16" i="120"/>
  <c r="AG12" i="120"/>
  <c r="AH43" i="120"/>
  <c r="AJ43" i="120" s="1"/>
  <c r="AO62" i="56" s="1"/>
  <c r="AH39" i="120"/>
  <c r="AJ39" i="120" s="1"/>
  <c r="AO58" i="56" s="1"/>
  <c r="AH27" i="120"/>
  <c r="AJ27" i="120" s="1"/>
  <c r="AO46" i="56" s="1"/>
  <c r="AH23" i="120"/>
  <c r="AJ23" i="120" s="1"/>
  <c r="AO42" i="56" s="1"/>
  <c r="AG43" i="120"/>
  <c r="AF43" i="120" s="1"/>
  <c r="AN62" i="56" s="1"/>
  <c r="AG39" i="120"/>
  <c r="AF39" i="120" s="1"/>
  <c r="AN58" i="56" s="1"/>
  <c r="AG27" i="120"/>
  <c r="AF27" i="120" s="1"/>
  <c r="AN46" i="56" s="1"/>
  <c r="AG53" i="120"/>
  <c r="AF53" i="120" s="1"/>
  <c r="AN72" i="56" s="1"/>
  <c r="AG44" i="120"/>
  <c r="AF44" i="120" s="1"/>
  <c r="AN63" i="56" s="1"/>
  <c r="AG40" i="120"/>
  <c r="AF40" i="120" s="1"/>
  <c r="AN59" i="56" s="1"/>
  <c r="AH37" i="120"/>
  <c r="AJ37" i="120" s="1"/>
  <c r="AO56" i="56" s="1"/>
  <c r="AG36" i="120"/>
  <c r="AF36" i="120" s="1"/>
  <c r="AN55" i="56" s="1"/>
  <c r="AH35" i="120"/>
  <c r="AJ35" i="120" s="1"/>
  <c r="AO54" i="56" s="1"/>
  <c r="AH33" i="120"/>
  <c r="AJ33" i="120" s="1"/>
  <c r="AO52" i="56" s="1"/>
  <c r="AG32" i="120"/>
  <c r="AF32" i="120" s="1"/>
  <c r="AN51" i="56" s="1"/>
  <c r="AH31" i="120"/>
  <c r="AJ31" i="120" s="1"/>
  <c r="AO50" i="56" s="1"/>
  <c r="AH29" i="120"/>
  <c r="AJ29" i="120" s="1"/>
  <c r="AO48" i="56" s="1"/>
  <c r="AH26" i="120"/>
  <c r="AJ26" i="120" s="1"/>
  <c r="AO45" i="56" s="1"/>
  <c r="AH22" i="120"/>
  <c r="AJ22" i="120" s="1"/>
  <c r="AO41" i="56" s="1"/>
  <c r="AH18" i="120"/>
  <c r="AJ18" i="120" s="1"/>
  <c r="AO37" i="56" s="1"/>
  <c r="AH14" i="120"/>
  <c r="AJ14" i="120" s="1"/>
  <c r="AO33" i="56" s="1"/>
  <c r="AH52" i="120"/>
  <c r="AJ52" i="120" s="1"/>
  <c r="AO71" i="56" s="1"/>
  <c r="AH47" i="120"/>
  <c r="AJ47" i="120" s="1"/>
  <c r="AO66" i="56" s="1"/>
  <c r="AH38" i="120"/>
  <c r="AJ38" i="120" s="1"/>
  <c r="AO57" i="56" s="1"/>
  <c r="AH30" i="120"/>
  <c r="AJ30" i="120" s="1"/>
  <c r="AO49" i="56" s="1"/>
  <c r="AG26" i="120"/>
  <c r="AF26" i="120" s="1"/>
  <c r="AN45" i="56" s="1"/>
  <c r="AH63" i="120"/>
  <c r="AJ63" i="120" s="1"/>
  <c r="AG37" i="120"/>
  <c r="AF37" i="120" s="1"/>
  <c r="AN56" i="56" s="1"/>
  <c r="AG29" i="120"/>
  <c r="AF29" i="120" s="1"/>
  <c r="AN48" i="56" s="1"/>
  <c r="AG23" i="120"/>
  <c r="AF23" i="120" s="1"/>
  <c r="AN42" i="56" s="1"/>
  <c r="AH72" i="120"/>
  <c r="AJ72" i="120" s="1"/>
  <c r="AG25" i="120"/>
  <c r="AF25" i="120" s="1"/>
  <c r="AN44" i="56" s="1"/>
  <c r="AG33" i="120"/>
  <c r="AF33" i="120" s="1"/>
  <c r="AN52" i="56" s="1"/>
  <c r="AG72" i="120"/>
  <c r="AF72" i="120" s="1"/>
  <c r="AG35" i="120"/>
  <c r="AF35" i="120" s="1"/>
  <c r="AN54" i="56" s="1"/>
  <c r="AH25" i="120"/>
  <c r="AJ25" i="120" s="1"/>
  <c r="AO44" i="56" s="1"/>
  <c r="AH34" i="120"/>
  <c r="AJ34" i="120" s="1"/>
  <c r="AO53" i="56" s="1"/>
  <c r="AH28" i="120"/>
  <c r="AJ28" i="120" s="1"/>
  <c r="AO47" i="56" s="1"/>
  <c r="AH21" i="120"/>
  <c r="AJ21" i="120" s="1"/>
  <c r="AO40" i="56" s="1"/>
  <c r="AG22" i="120"/>
  <c r="AF22" i="120" s="1"/>
  <c r="AN41" i="56" s="1"/>
  <c r="AG15" i="120"/>
  <c r="AH12" i="120"/>
  <c r="AJ12" i="120" s="1"/>
  <c r="AO31" i="56" s="1"/>
  <c r="AH11" i="120"/>
  <c r="AJ11" i="120" s="1"/>
  <c r="AO30" i="56" s="1"/>
  <c r="AH48" i="120"/>
  <c r="AJ48" i="120" s="1"/>
  <c r="AO67" i="56" s="1"/>
  <c r="AH19" i="120"/>
  <c r="AJ19" i="120" s="1"/>
  <c r="AO38" i="56" s="1"/>
  <c r="AH13" i="120"/>
  <c r="AJ13" i="120" s="1"/>
  <c r="AO32" i="56" s="1"/>
  <c r="AG11" i="120"/>
  <c r="AG48" i="120"/>
  <c r="AF48" i="120" s="1"/>
  <c r="AN67" i="56" s="1"/>
  <c r="AG19" i="120"/>
  <c r="AF19" i="120" s="1"/>
  <c r="AN38" i="56" s="1"/>
  <c r="AH17" i="120"/>
  <c r="AJ17" i="120" s="1"/>
  <c r="AO36" i="56" s="1"/>
  <c r="AG17" i="120"/>
  <c r="AG49" i="120"/>
  <c r="AF49" i="120" s="1"/>
  <c r="AN68" i="56" s="1"/>
  <c r="AG21" i="120"/>
  <c r="AF21" i="120" s="1"/>
  <c r="AN40" i="56" s="1"/>
  <c r="AG18" i="120"/>
  <c r="AF18" i="120" s="1"/>
  <c r="AN37" i="56" s="1"/>
  <c r="AH24" i="120"/>
  <c r="AJ24" i="120" s="1"/>
  <c r="AO43" i="56" s="1"/>
  <c r="AH16" i="120"/>
  <c r="AJ16" i="120" s="1"/>
  <c r="AO35" i="56" s="1"/>
  <c r="AH20" i="120"/>
  <c r="AJ20" i="120" s="1"/>
  <c r="AO39" i="56" s="1"/>
  <c r="AG31" i="120"/>
  <c r="AF31" i="120" s="1"/>
  <c r="AN50" i="56" s="1"/>
  <c r="AH15" i="120"/>
  <c r="AJ15" i="120" s="1"/>
  <c r="AO34" i="56" s="1"/>
  <c r="AG13" i="120"/>
  <c r="AH68" i="120"/>
  <c r="AJ68" i="120" s="1"/>
  <c r="AH51" i="120"/>
  <c r="AJ51" i="120" s="1"/>
  <c r="AO70" i="56" s="1"/>
  <c r="AG14" i="120"/>
  <c r="AG10" i="120"/>
  <c r="AH10" i="120"/>
  <c r="AJ10" i="120" s="1"/>
  <c r="AO29" i="56" s="1"/>
  <c r="AD10" i="120"/>
  <c r="U10" i="120" a="1"/>
  <c r="V77" i="120" l="1"/>
  <c r="X77" i="120" s="1"/>
  <c r="V73" i="120"/>
  <c r="X73" i="120" s="1"/>
  <c r="V69" i="120"/>
  <c r="X69" i="120" s="1"/>
  <c r="V65" i="120"/>
  <c r="X65" i="120" s="1"/>
  <c r="U77" i="120"/>
  <c r="T77" i="120" s="1"/>
  <c r="U73" i="120"/>
  <c r="T73" i="120" s="1"/>
  <c r="U69" i="120"/>
  <c r="T69" i="120" s="1"/>
  <c r="U65" i="120"/>
  <c r="T65" i="120" s="1"/>
  <c r="V76" i="120"/>
  <c r="X76" i="120" s="1"/>
  <c r="V72" i="120"/>
  <c r="X72" i="120" s="1"/>
  <c r="V68" i="120"/>
  <c r="X68" i="120" s="1"/>
  <c r="V64" i="120"/>
  <c r="X64" i="120" s="1"/>
  <c r="U76" i="120"/>
  <c r="T76" i="120" s="1"/>
  <c r="U72" i="120"/>
  <c r="T72" i="120" s="1"/>
  <c r="U68" i="120"/>
  <c r="T68" i="120" s="1"/>
  <c r="U64" i="120"/>
  <c r="T64" i="120" s="1"/>
  <c r="U63" i="120"/>
  <c r="T63" i="120" s="1"/>
  <c r="V61" i="120"/>
  <c r="X61" i="120" s="1"/>
  <c r="V57" i="120"/>
  <c r="X57" i="120" s="1"/>
  <c r="U60" i="120"/>
  <c r="T60" i="120" s="1"/>
  <c r="U56" i="120"/>
  <c r="T56" i="120" s="1"/>
  <c r="V79" i="120"/>
  <c r="X79" i="120" s="1"/>
  <c r="V70" i="120"/>
  <c r="X70" i="120" s="1"/>
  <c r="U62" i="120"/>
  <c r="T62" i="120" s="1"/>
  <c r="U54" i="120"/>
  <c r="T54" i="120" s="1"/>
  <c r="V53" i="120"/>
  <c r="X53" i="120" s="1"/>
  <c r="V49" i="120"/>
  <c r="X49" i="120" s="1"/>
  <c r="U79" i="120"/>
  <c r="T79" i="120" s="1"/>
  <c r="U70" i="120"/>
  <c r="T70" i="120" s="1"/>
  <c r="V63" i="120"/>
  <c r="X63" i="120" s="1"/>
  <c r="U53" i="120"/>
  <c r="T53" i="120" s="1"/>
  <c r="V75" i="120"/>
  <c r="X75" i="120" s="1"/>
  <c r="V66" i="120"/>
  <c r="X66" i="120" s="1"/>
  <c r="V52" i="120"/>
  <c r="X52" i="120" s="1"/>
  <c r="U75" i="120"/>
  <c r="T75" i="120" s="1"/>
  <c r="U66" i="120"/>
  <c r="T66" i="120" s="1"/>
  <c r="U52" i="120"/>
  <c r="T52" i="120" s="1"/>
  <c r="U48" i="120"/>
  <c r="T48" i="120" s="1"/>
  <c r="V74" i="120"/>
  <c r="X74" i="120" s="1"/>
  <c r="V71" i="120"/>
  <c r="X71" i="120" s="1"/>
  <c r="V58" i="120"/>
  <c r="X58" i="120" s="1"/>
  <c r="V47" i="120"/>
  <c r="X47" i="120" s="1"/>
  <c r="V44" i="120"/>
  <c r="X44" i="120" s="1"/>
  <c r="V40" i="120"/>
  <c r="X40" i="120" s="1"/>
  <c r="V36" i="120"/>
  <c r="X36" i="120" s="1"/>
  <c r="V32" i="120"/>
  <c r="X32" i="120" s="1"/>
  <c r="U74" i="120"/>
  <c r="T74" i="120" s="1"/>
  <c r="U71" i="120"/>
  <c r="T71" i="120" s="1"/>
  <c r="U58" i="120"/>
  <c r="T58" i="120" s="1"/>
  <c r="U57" i="120"/>
  <c r="T57" i="120" s="1"/>
  <c r="V48" i="120"/>
  <c r="X48" i="120" s="1"/>
  <c r="U47" i="120"/>
  <c r="T47" i="120" s="1"/>
  <c r="U44" i="120"/>
  <c r="T44" i="120" s="1"/>
  <c r="U40" i="120"/>
  <c r="T40" i="120" s="1"/>
  <c r="V56" i="120"/>
  <c r="X56" i="120" s="1"/>
  <c r="V55" i="120"/>
  <c r="X55" i="120" s="1"/>
  <c r="V43" i="120"/>
  <c r="X43" i="120" s="1"/>
  <c r="V39" i="120"/>
  <c r="X39" i="120" s="1"/>
  <c r="V78" i="120"/>
  <c r="X78" i="120" s="1"/>
  <c r="U55" i="120"/>
  <c r="T55" i="120" s="1"/>
  <c r="U49" i="120"/>
  <c r="T49" i="120" s="1"/>
  <c r="U43" i="120"/>
  <c r="T43" i="120" s="1"/>
  <c r="U39" i="120"/>
  <c r="T39" i="120" s="1"/>
  <c r="U35" i="120"/>
  <c r="T35" i="120" s="1"/>
  <c r="U31" i="120"/>
  <c r="T31" i="120" s="1"/>
  <c r="U78" i="120"/>
  <c r="T78" i="120" s="1"/>
  <c r="V45" i="120"/>
  <c r="X45" i="120" s="1"/>
  <c r="V41" i="120"/>
  <c r="X41" i="120" s="1"/>
  <c r="U38" i="120"/>
  <c r="T38" i="120" s="1"/>
  <c r="U37" i="120"/>
  <c r="T37" i="120" s="1"/>
  <c r="V35" i="120"/>
  <c r="X35" i="120" s="1"/>
  <c r="U34" i="120"/>
  <c r="T34" i="120" s="1"/>
  <c r="U33" i="120"/>
  <c r="T33" i="120" s="1"/>
  <c r="V31" i="120"/>
  <c r="X31" i="120" s="1"/>
  <c r="U30" i="120"/>
  <c r="T30" i="120" s="1"/>
  <c r="U29" i="120"/>
  <c r="T29" i="120" s="1"/>
  <c r="V26" i="120"/>
  <c r="X26" i="120" s="1"/>
  <c r="V22" i="120"/>
  <c r="X22" i="120" s="1"/>
  <c r="V18" i="120"/>
  <c r="X18" i="120" s="1"/>
  <c r="V14" i="120"/>
  <c r="X14" i="120" s="1"/>
  <c r="V60" i="120"/>
  <c r="X60" i="120" s="1"/>
  <c r="V59" i="120"/>
  <c r="X59" i="120" s="1"/>
  <c r="V54" i="120"/>
  <c r="X54" i="120" s="1"/>
  <c r="U45" i="120"/>
  <c r="T45" i="120" s="1"/>
  <c r="U41" i="120"/>
  <c r="T41" i="120" s="1"/>
  <c r="U26" i="120"/>
  <c r="T26" i="120" s="1"/>
  <c r="V67" i="120"/>
  <c r="X67" i="120" s="1"/>
  <c r="U59" i="120"/>
  <c r="T59" i="120" s="1"/>
  <c r="V50" i="120"/>
  <c r="X50" i="120" s="1"/>
  <c r="V46" i="120"/>
  <c r="X46" i="120" s="1"/>
  <c r="V42" i="120"/>
  <c r="X42" i="120" s="1"/>
  <c r="U67" i="120"/>
  <c r="T67" i="120" s="1"/>
  <c r="U50" i="120"/>
  <c r="T50" i="120" s="1"/>
  <c r="U46" i="120"/>
  <c r="T46" i="120" s="1"/>
  <c r="U42" i="120"/>
  <c r="T42" i="120" s="1"/>
  <c r="U25" i="120"/>
  <c r="T25" i="120" s="1"/>
  <c r="U21" i="120"/>
  <c r="T21" i="120" s="1"/>
  <c r="U17" i="120"/>
  <c r="T17" i="120" s="1"/>
  <c r="U13" i="120"/>
  <c r="T13" i="120" s="1"/>
  <c r="V33" i="120"/>
  <c r="X33" i="120" s="1"/>
  <c r="U16" i="120"/>
  <c r="T16" i="120" s="1"/>
  <c r="U15" i="120"/>
  <c r="T15" i="120" s="1"/>
  <c r="V12" i="120"/>
  <c r="X12" i="120" s="1"/>
  <c r="V11" i="120"/>
  <c r="X11" i="120" s="1"/>
  <c r="U36" i="120"/>
  <c r="T36" i="120" s="1"/>
  <c r="V51" i="120"/>
  <c r="X51" i="120" s="1"/>
  <c r="U32" i="120"/>
  <c r="T32" i="120" s="1"/>
  <c r="V24" i="120"/>
  <c r="X24" i="120" s="1"/>
  <c r="U22" i="120"/>
  <c r="T22" i="120" s="1"/>
  <c r="V20" i="120"/>
  <c r="X20" i="120" s="1"/>
  <c r="V19" i="120"/>
  <c r="X19" i="120" s="1"/>
  <c r="U18" i="120"/>
  <c r="T18" i="120" s="1"/>
  <c r="V16" i="120"/>
  <c r="X16" i="120" s="1"/>
  <c r="V15" i="120"/>
  <c r="X15" i="120" s="1"/>
  <c r="U14" i="120"/>
  <c r="T14" i="120" s="1"/>
  <c r="V27" i="120"/>
  <c r="X27" i="120" s="1"/>
  <c r="U51" i="120"/>
  <c r="T51" i="120" s="1"/>
  <c r="U24" i="120"/>
  <c r="T24" i="120" s="1"/>
  <c r="V21" i="120"/>
  <c r="X21" i="120" s="1"/>
  <c r="U20" i="120"/>
  <c r="T20" i="120" s="1"/>
  <c r="U19" i="120"/>
  <c r="T19" i="120" s="1"/>
  <c r="V17" i="120"/>
  <c r="X17" i="120" s="1"/>
  <c r="V13" i="120"/>
  <c r="X13" i="120" s="1"/>
  <c r="V23" i="120"/>
  <c r="X23" i="120" s="1"/>
  <c r="V38" i="120"/>
  <c r="X38" i="120" s="1"/>
  <c r="V30" i="120"/>
  <c r="X30" i="120" s="1"/>
  <c r="U12" i="120"/>
  <c r="T12" i="120" s="1"/>
  <c r="U11" i="120"/>
  <c r="T11" i="120" s="1"/>
  <c r="U61" i="120"/>
  <c r="T61" i="120" s="1"/>
  <c r="V37" i="120"/>
  <c r="X37" i="120" s="1"/>
  <c r="V29" i="120"/>
  <c r="X29" i="120" s="1"/>
  <c r="U28" i="120"/>
  <c r="T28" i="120" s="1"/>
  <c r="U27" i="120"/>
  <c r="T27" i="120" s="1"/>
  <c r="U23" i="120"/>
  <c r="T23" i="120" s="1"/>
  <c r="V25" i="120"/>
  <c r="X25" i="120" s="1"/>
  <c r="V62" i="120"/>
  <c r="X62" i="120" s="1"/>
  <c r="V34" i="120"/>
  <c r="X34" i="120" s="1"/>
  <c r="V28" i="120"/>
  <c r="X28" i="120" s="1"/>
  <c r="U10" i="120"/>
  <c r="V10" i="120"/>
  <c r="X10" i="120" s="1"/>
  <c r="O10" i="120" a="1"/>
  <c r="AL29" i="56" l="1"/>
  <c r="AL26" i="56"/>
  <c r="P79" i="120"/>
  <c r="R79" i="120" s="1"/>
  <c r="AF78" i="56" s="1"/>
  <c r="P75" i="120"/>
  <c r="R75" i="120" s="1"/>
  <c r="AF74" i="56" s="1"/>
  <c r="P71" i="120"/>
  <c r="R71" i="120" s="1"/>
  <c r="AF70" i="56" s="1"/>
  <c r="P67" i="120"/>
  <c r="R67" i="120" s="1"/>
  <c r="AF66" i="56" s="1"/>
  <c r="P63" i="120"/>
  <c r="R63" i="120" s="1"/>
  <c r="AF62" i="56" s="1"/>
  <c r="O79" i="120"/>
  <c r="N79" i="120" s="1"/>
  <c r="AE78" i="56" s="1"/>
  <c r="O75" i="120"/>
  <c r="N75" i="120" s="1"/>
  <c r="AE74" i="56" s="1"/>
  <c r="O71" i="120"/>
  <c r="N71" i="120" s="1"/>
  <c r="AE70" i="56" s="1"/>
  <c r="O67" i="120"/>
  <c r="N67" i="120" s="1"/>
  <c r="AE66" i="56" s="1"/>
  <c r="P78" i="120"/>
  <c r="R78" i="120" s="1"/>
  <c r="AF77" i="56" s="1"/>
  <c r="P74" i="120"/>
  <c r="R74" i="120" s="1"/>
  <c r="AF73" i="56" s="1"/>
  <c r="P70" i="120"/>
  <c r="R70" i="120" s="1"/>
  <c r="AF69" i="56" s="1"/>
  <c r="P66" i="120"/>
  <c r="R66" i="120" s="1"/>
  <c r="AF65" i="56" s="1"/>
  <c r="O78" i="120"/>
  <c r="N78" i="120" s="1"/>
  <c r="AE77" i="56" s="1"/>
  <c r="O74" i="120"/>
  <c r="N74" i="120" s="1"/>
  <c r="AE73" i="56" s="1"/>
  <c r="O70" i="120"/>
  <c r="N70" i="120" s="1"/>
  <c r="AE69" i="56" s="1"/>
  <c r="O66" i="120"/>
  <c r="N66" i="120" s="1"/>
  <c r="AE65" i="56" s="1"/>
  <c r="P59" i="120"/>
  <c r="R59" i="120" s="1"/>
  <c r="AF58" i="56" s="1"/>
  <c r="P55" i="120"/>
  <c r="R55" i="120" s="1"/>
  <c r="AF54" i="56" s="1"/>
  <c r="P77" i="120"/>
  <c r="R77" i="120" s="1"/>
  <c r="AF76" i="56" s="1"/>
  <c r="P76" i="120"/>
  <c r="R76" i="120" s="1"/>
  <c r="AF75" i="56" s="1"/>
  <c r="P73" i="120"/>
  <c r="R73" i="120" s="1"/>
  <c r="AF72" i="56" s="1"/>
  <c r="P72" i="120"/>
  <c r="R72" i="120" s="1"/>
  <c r="AF71" i="56" s="1"/>
  <c r="P69" i="120"/>
  <c r="R69" i="120" s="1"/>
  <c r="AF68" i="56" s="1"/>
  <c r="P68" i="120"/>
  <c r="R68" i="120" s="1"/>
  <c r="AF67" i="56" s="1"/>
  <c r="P65" i="120"/>
  <c r="R65" i="120" s="1"/>
  <c r="AF64" i="56" s="1"/>
  <c r="P64" i="120"/>
  <c r="R64" i="120" s="1"/>
  <c r="AF63" i="56" s="1"/>
  <c r="O63" i="120"/>
  <c r="N63" i="120" s="1"/>
  <c r="AE62" i="56" s="1"/>
  <c r="O62" i="120"/>
  <c r="N62" i="120" s="1"/>
  <c r="AE61" i="56" s="1"/>
  <c r="O58" i="120"/>
  <c r="N58" i="120" s="1"/>
  <c r="AE57" i="56" s="1"/>
  <c r="O61" i="120"/>
  <c r="N61" i="120" s="1"/>
  <c r="AE60" i="56" s="1"/>
  <c r="P58" i="120"/>
  <c r="R58" i="120" s="1"/>
  <c r="AF57" i="56" s="1"/>
  <c r="O57" i="120"/>
  <c r="N57" i="120" s="1"/>
  <c r="AE56" i="56" s="1"/>
  <c r="P51" i="120"/>
  <c r="R51" i="120" s="1"/>
  <c r="AF50" i="56" s="1"/>
  <c r="P47" i="120"/>
  <c r="R47" i="120" s="1"/>
  <c r="AF46" i="56" s="1"/>
  <c r="O77" i="120"/>
  <c r="N77" i="120" s="1"/>
  <c r="AE76" i="56" s="1"/>
  <c r="O72" i="120"/>
  <c r="N72" i="120" s="1"/>
  <c r="AE71" i="56" s="1"/>
  <c r="P62" i="120"/>
  <c r="R62" i="120" s="1"/>
  <c r="AF61" i="56" s="1"/>
  <c r="P60" i="120"/>
  <c r="R60" i="120" s="1"/>
  <c r="AF59" i="56" s="1"/>
  <c r="O59" i="120"/>
  <c r="N59" i="120" s="1"/>
  <c r="AE58" i="56" s="1"/>
  <c r="P56" i="120"/>
  <c r="R56" i="120" s="1"/>
  <c r="AF55" i="56" s="1"/>
  <c r="O55" i="120"/>
  <c r="N55" i="120" s="1"/>
  <c r="AE54" i="56" s="1"/>
  <c r="O51" i="120"/>
  <c r="N51" i="120" s="1"/>
  <c r="AE50" i="56" s="1"/>
  <c r="O60" i="120"/>
  <c r="N60" i="120" s="1"/>
  <c r="AE59" i="56" s="1"/>
  <c r="O56" i="120"/>
  <c r="N56" i="120" s="1"/>
  <c r="AE55" i="56" s="1"/>
  <c r="P54" i="120"/>
  <c r="R54" i="120" s="1"/>
  <c r="AF53" i="56" s="1"/>
  <c r="P50" i="120"/>
  <c r="R50" i="120" s="1"/>
  <c r="AF49" i="56" s="1"/>
  <c r="O73" i="120"/>
  <c r="N73" i="120" s="1"/>
  <c r="AE72" i="56" s="1"/>
  <c r="O68" i="120"/>
  <c r="N68" i="120" s="1"/>
  <c r="AE67" i="56" s="1"/>
  <c r="O54" i="120"/>
  <c r="N54" i="120" s="1"/>
  <c r="AE53" i="56" s="1"/>
  <c r="O50" i="120"/>
  <c r="N50" i="120" s="1"/>
  <c r="AE49" i="56" s="1"/>
  <c r="P46" i="120"/>
  <c r="R46" i="120" s="1"/>
  <c r="AF45" i="56" s="1"/>
  <c r="P42" i="120"/>
  <c r="R42" i="120" s="1"/>
  <c r="AF41" i="56" s="1"/>
  <c r="P38" i="120"/>
  <c r="R38" i="120" s="1"/>
  <c r="AF37" i="56" s="1"/>
  <c r="P34" i="120"/>
  <c r="R34" i="120" s="1"/>
  <c r="AF33" i="56" s="1"/>
  <c r="P30" i="120"/>
  <c r="R30" i="120" s="1"/>
  <c r="AF29" i="56" s="1"/>
  <c r="O46" i="120"/>
  <c r="N46" i="120" s="1"/>
  <c r="AE45" i="56" s="1"/>
  <c r="O42" i="120"/>
  <c r="N42" i="120" s="1"/>
  <c r="AE41" i="56" s="1"/>
  <c r="O64" i="120"/>
  <c r="N64" i="120" s="1"/>
  <c r="AE63" i="56" s="1"/>
  <c r="P45" i="120"/>
  <c r="R45" i="120" s="1"/>
  <c r="AF44" i="56" s="1"/>
  <c r="P41" i="120"/>
  <c r="R41" i="120" s="1"/>
  <c r="AF40" i="56" s="1"/>
  <c r="P57" i="120"/>
  <c r="R57" i="120" s="1"/>
  <c r="AF56" i="56" s="1"/>
  <c r="P53" i="120"/>
  <c r="R53" i="120" s="1"/>
  <c r="AF52" i="56" s="1"/>
  <c r="P52" i="120"/>
  <c r="R52" i="120" s="1"/>
  <c r="AF51" i="56" s="1"/>
  <c r="O45" i="120"/>
  <c r="N45" i="120" s="1"/>
  <c r="AE44" i="56" s="1"/>
  <c r="O41" i="120"/>
  <c r="N41" i="120" s="1"/>
  <c r="AE40" i="56" s="1"/>
  <c r="O37" i="120"/>
  <c r="N37" i="120" s="1"/>
  <c r="AE36" i="56" s="1"/>
  <c r="O33" i="120"/>
  <c r="N33" i="120" s="1"/>
  <c r="AE32" i="56" s="1"/>
  <c r="O29" i="120"/>
  <c r="N29" i="120" s="1"/>
  <c r="AE28" i="56" s="1"/>
  <c r="O49" i="120"/>
  <c r="N49" i="120" s="1"/>
  <c r="AE48" i="56" s="1"/>
  <c r="P48" i="120"/>
  <c r="R48" i="120" s="1"/>
  <c r="AF47" i="56" s="1"/>
  <c r="O44" i="120"/>
  <c r="N44" i="120" s="1"/>
  <c r="AE43" i="56" s="1"/>
  <c r="O43" i="120"/>
  <c r="N43" i="120" s="1"/>
  <c r="AE42" i="56" s="1"/>
  <c r="O40" i="120"/>
  <c r="N40" i="120" s="1"/>
  <c r="AE39" i="56" s="1"/>
  <c r="O39" i="120"/>
  <c r="N39" i="120" s="1"/>
  <c r="AE38" i="56" s="1"/>
  <c r="P28" i="120"/>
  <c r="R28" i="120" s="1"/>
  <c r="AF27" i="56" s="1"/>
  <c r="P24" i="120"/>
  <c r="R24" i="120" s="1"/>
  <c r="AF23" i="56" s="1"/>
  <c r="P20" i="120"/>
  <c r="R20" i="120" s="1"/>
  <c r="AF19" i="56" s="1"/>
  <c r="P16" i="120"/>
  <c r="R16" i="120" s="1"/>
  <c r="AF15" i="56" s="1"/>
  <c r="P12" i="120"/>
  <c r="R12" i="120" s="1"/>
  <c r="AF11" i="56" s="1"/>
  <c r="O69" i="120"/>
  <c r="N69" i="120" s="1"/>
  <c r="AE68" i="56" s="1"/>
  <c r="P61" i="120"/>
  <c r="R61" i="120" s="1"/>
  <c r="AF60" i="56" s="1"/>
  <c r="O48" i="120"/>
  <c r="N48" i="120" s="1"/>
  <c r="AE47" i="56" s="1"/>
  <c r="O47" i="120"/>
  <c r="N47" i="120" s="1"/>
  <c r="AE46" i="56" s="1"/>
  <c r="P36" i="120"/>
  <c r="R36" i="120" s="1"/>
  <c r="AF35" i="56" s="1"/>
  <c r="P32" i="120"/>
  <c r="R32" i="120" s="1"/>
  <c r="AF31" i="56" s="1"/>
  <c r="O28" i="120"/>
  <c r="N28" i="120" s="1"/>
  <c r="AE27" i="56" s="1"/>
  <c r="O24" i="120"/>
  <c r="N24" i="120" s="1"/>
  <c r="AE23" i="56" s="1"/>
  <c r="P37" i="120"/>
  <c r="R37" i="120" s="1"/>
  <c r="AF36" i="56" s="1"/>
  <c r="O36" i="120"/>
  <c r="N36" i="120" s="1"/>
  <c r="AE35" i="56" s="1"/>
  <c r="P33" i="120"/>
  <c r="R33" i="120" s="1"/>
  <c r="AF32" i="56" s="1"/>
  <c r="O32" i="120"/>
  <c r="N32" i="120" s="1"/>
  <c r="AE31" i="56" s="1"/>
  <c r="P29" i="120"/>
  <c r="R29" i="120" s="1"/>
  <c r="AF28" i="56" s="1"/>
  <c r="P27" i="120"/>
  <c r="R27" i="120" s="1"/>
  <c r="AF26" i="56" s="1"/>
  <c r="O52" i="120"/>
  <c r="N52" i="120" s="1"/>
  <c r="AE51" i="56" s="1"/>
  <c r="O38" i="120"/>
  <c r="N38" i="120" s="1"/>
  <c r="AE37" i="56" s="1"/>
  <c r="P35" i="120"/>
  <c r="R35" i="120" s="1"/>
  <c r="AF34" i="56" s="1"/>
  <c r="O34" i="120"/>
  <c r="N34" i="120" s="1"/>
  <c r="AE33" i="56" s="1"/>
  <c r="P31" i="120"/>
  <c r="R31" i="120" s="1"/>
  <c r="AF30" i="56" s="1"/>
  <c r="O30" i="120"/>
  <c r="N30" i="120" s="1"/>
  <c r="AE29" i="56" s="1"/>
  <c r="O27" i="120"/>
  <c r="N27" i="120" s="1"/>
  <c r="AE26" i="56" s="1"/>
  <c r="O23" i="120"/>
  <c r="N23" i="120" s="1"/>
  <c r="AE22" i="56" s="1"/>
  <c r="O19" i="120"/>
  <c r="N19" i="120" s="1"/>
  <c r="AE18" i="56" s="1"/>
  <c r="O15" i="120"/>
  <c r="N15" i="120" s="1"/>
  <c r="AE14" i="56" s="1"/>
  <c r="P49" i="120"/>
  <c r="R49" i="120" s="1"/>
  <c r="AF48" i="56" s="1"/>
  <c r="P43" i="120"/>
  <c r="R43" i="120" s="1"/>
  <c r="AF42" i="56" s="1"/>
  <c r="O22" i="120"/>
  <c r="N22" i="120" s="1"/>
  <c r="AE21" i="56" s="1"/>
  <c r="O18" i="120"/>
  <c r="N18" i="120" s="1"/>
  <c r="AE17" i="56" s="1"/>
  <c r="O65" i="120"/>
  <c r="N65" i="120" s="1"/>
  <c r="AE64" i="56" s="1"/>
  <c r="O53" i="120"/>
  <c r="N53" i="120" s="1"/>
  <c r="AE52" i="56" s="1"/>
  <c r="P40" i="120"/>
  <c r="R40" i="120" s="1"/>
  <c r="AF39" i="56" s="1"/>
  <c r="P25" i="120"/>
  <c r="R25" i="120" s="1"/>
  <c r="AF24" i="56" s="1"/>
  <c r="P19" i="120"/>
  <c r="R19" i="120" s="1"/>
  <c r="AF18" i="56" s="1"/>
  <c r="P15" i="120"/>
  <c r="R15" i="120" s="1"/>
  <c r="AF14" i="56" s="1"/>
  <c r="O14" i="120"/>
  <c r="N14" i="120" s="1"/>
  <c r="AE13" i="56" s="1"/>
  <c r="O76" i="120"/>
  <c r="N76" i="120" s="1"/>
  <c r="AE75" i="56" s="1"/>
  <c r="O31" i="120"/>
  <c r="N31" i="120" s="1"/>
  <c r="AE30" i="56" s="1"/>
  <c r="O25" i="120"/>
  <c r="N25" i="120" s="1"/>
  <c r="AE24" i="56" s="1"/>
  <c r="P22" i="120"/>
  <c r="R22" i="120" s="1"/>
  <c r="AF21" i="56" s="1"/>
  <c r="P18" i="120"/>
  <c r="R18" i="120" s="1"/>
  <c r="AF17" i="56" s="1"/>
  <c r="P14" i="120"/>
  <c r="R14" i="120" s="1"/>
  <c r="AF13" i="56" s="1"/>
  <c r="P44" i="120"/>
  <c r="R44" i="120" s="1"/>
  <c r="AF43" i="56" s="1"/>
  <c r="O26" i="120"/>
  <c r="N26" i="120" s="1"/>
  <c r="AE25" i="56" s="1"/>
  <c r="O16" i="120"/>
  <c r="N16" i="120" s="1"/>
  <c r="AE15" i="56" s="1"/>
  <c r="P13" i="120"/>
  <c r="R13" i="120" s="1"/>
  <c r="AF12" i="56" s="1"/>
  <c r="P11" i="120"/>
  <c r="R11" i="120" s="1"/>
  <c r="AF10" i="56" s="1"/>
  <c r="O13" i="120"/>
  <c r="N13" i="120" s="1"/>
  <c r="AE12" i="56" s="1"/>
  <c r="P39" i="120"/>
  <c r="R39" i="120" s="1"/>
  <c r="AF38" i="56" s="1"/>
  <c r="O35" i="120"/>
  <c r="N35" i="120" s="1"/>
  <c r="AE34" i="56" s="1"/>
  <c r="O21" i="120"/>
  <c r="N21" i="120" s="1"/>
  <c r="AE20" i="56" s="1"/>
  <c r="O11" i="120"/>
  <c r="N11" i="120" s="1"/>
  <c r="AE10" i="56" s="1"/>
  <c r="P21" i="120"/>
  <c r="R21" i="120" s="1"/>
  <c r="AF20" i="56" s="1"/>
  <c r="O12" i="120"/>
  <c r="N12" i="120" s="1"/>
  <c r="AE11" i="56" s="1"/>
  <c r="P23" i="120"/>
  <c r="R23" i="120" s="1"/>
  <c r="AF22" i="56" s="1"/>
  <c r="O20" i="120"/>
  <c r="N20" i="120" s="1"/>
  <c r="AE19" i="56" s="1"/>
  <c r="P17" i="120"/>
  <c r="R17" i="120" s="1"/>
  <c r="AF16" i="56" s="1"/>
  <c r="O17" i="120"/>
  <c r="N17" i="120" s="1"/>
  <c r="AE16" i="56" s="1"/>
  <c r="P26" i="120"/>
  <c r="R26" i="120" s="1"/>
  <c r="AF25" i="56" s="1"/>
  <c r="P10" i="120"/>
  <c r="R10" i="120" s="1"/>
  <c r="AF9" i="56" s="1"/>
  <c r="O10" i="120"/>
  <c r="N10" i="120" s="1"/>
  <c r="AE9" i="56" s="1"/>
  <c r="I10" i="120" a="1"/>
  <c r="J77" i="120" l="1"/>
  <c r="L77" i="120" s="1"/>
  <c r="Z76" i="56" s="1"/>
  <c r="J73" i="120"/>
  <c r="L73" i="120" s="1"/>
  <c r="Z72" i="56" s="1"/>
  <c r="J69" i="120"/>
  <c r="L69" i="120" s="1"/>
  <c r="Z68" i="56" s="1"/>
  <c r="J65" i="120"/>
  <c r="L65" i="120" s="1"/>
  <c r="Z64" i="56" s="1"/>
  <c r="I77" i="120"/>
  <c r="H77" i="120" s="1"/>
  <c r="Y76" i="56" s="1"/>
  <c r="I73" i="120"/>
  <c r="H73" i="120" s="1"/>
  <c r="Y72" i="56" s="1"/>
  <c r="I69" i="120"/>
  <c r="H69" i="120" s="1"/>
  <c r="Y68" i="56" s="1"/>
  <c r="I65" i="120"/>
  <c r="H65" i="120" s="1"/>
  <c r="Y64" i="56" s="1"/>
  <c r="J76" i="120"/>
  <c r="L76" i="120" s="1"/>
  <c r="Z75" i="56" s="1"/>
  <c r="J72" i="120"/>
  <c r="L72" i="120" s="1"/>
  <c r="Z71" i="56" s="1"/>
  <c r="J68" i="120"/>
  <c r="L68" i="120" s="1"/>
  <c r="Z67" i="56" s="1"/>
  <c r="J64" i="120"/>
  <c r="L64" i="120" s="1"/>
  <c r="Z63" i="56" s="1"/>
  <c r="I76" i="120"/>
  <c r="H76" i="120" s="1"/>
  <c r="Y75" i="56" s="1"/>
  <c r="I72" i="120"/>
  <c r="H72" i="120" s="1"/>
  <c r="Y71" i="56" s="1"/>
  <c r="I68" i="120"/>
  <c r="H68" i="120" s="1"/>
  <c r="Y67" i="56" s="1"/>
  <c r="I64" i="120"/>
  <c r="H64" i="120" s="1"/>
  <c r="Y63" i="56" s="1"/>
  <c r="J78" i="120"/>
  <c r="L78" i="120" s="1"/>
  <c r="Z77" i="56" s="1"/>
  <c r="J74" i="120"/>
  <c r="L74" i="120" s="1"/>
  <c r="Z73" i="56" s="1"/>
  <c r="J70" i="120"/>
  <c r="L70" i="120" s="1"/>
  <c r="Z69" i="56" s="1"/>
  <c r="J66" i="120"/>
  <c r="L66" i="120" s="1"/>
  <c r="Z65" i="56" s="1"/>
  <c r="J61" i="120"/>
  <c r="L61" i="120" s="1"/>
  <c r="Z60" i="56" s="1"/>
  <c r="J57" i="120"/>
  <c r="L57" i="120" s="1"/>
  <c r="Z56" i="56" s="1"/>
  <c r="I78" i="120"/>
  <c r="H78" i="120" s="1"/>
  <c r="Y77" i="56" s="1"/>
  <c r="I74" i="120"/>
  <c r="H74" i="120" s="1"/>
  <c r="Y73" i="56" s="1"/>
  <c r="I70" i="120"/>
  <c r="H70" i="120" s="1"/>
  <c r="Y69" i="56" s="1"/>
  <c r="I66" i="120"/>
  <c r="H66" i="120" s="1"/>
  <c r="Y65" i="56" s="1"/>
  <c r="J79" i="120"/>
  <c r="L79" i="120" s="1"/>
  <c r="Z78" i="56" s="1"/>
  <c r="J75" i="120"/>
  <c r="L75" i="120" s="1"/>
  <c r="Z74" i="56" s="1"/>
  <c r="J71" i="120"/>
  <c r="L71" i="120" s="1"/>
  <c r="Z70" i="56" s="1"/>
  <c r="J67" i="120"/>
  <c r="L67" i="120" s="1"/>
  <c r="Z66" i="56" s="1"/>
  <c r="I79" i="120"/>
  <c r="H79" i="120" s="1"/>
  <c r="Y78" i="56" s="1"/>
  <c r="I75" i="120"/>
  <c r="H75" i="120" s="1"/>
  <c r="Y74" i="56" s="1"/>
  <c r="I71" i="120"/>
  <c r="H71" i="120" s="1"/>
  <c r="Y70" i="56" s="1"/>
  <c r="I67" i="120"/>
  <c r="H67" i="120" s="1"/>
  <c r="Y66" i="56" s="1"/>
  <c r="I60" i="120"/>
  <c r="H60" i="120" s="1"/>
  <c r="Y59" i="56" s="1"/>
  <c r="I56" i="120"/>
  <c r="H56" i="120" s="1"/>
  <c r="Y55" i="56" s="1"/>
  <c r="J53" i="120"/>
  <c r="L53" i="120" s="1"/>
  <c r="Z52" i="56" s="1"/>
  <c r="J49" i="120"/>
  <c r="L49" i="120" s="1"/>
  <c r="Z48" i="56" s="1"/>
  <c r="I53" i="120"/>
  <c r="H53" i="120" s="1"/>
  <c r="Y52" i="56" s="1"/>
  <c r="J52" i="120"/>
  <c r="L52" i="120" s="1"/>
  <c r="Z51" i="56" s="1"/>
  <c r="J63" i="120"/>
  <c r="L63" i="120" s="1"/>
  <c r="Z62" i="56" s="1"/>
  <c r="I61" i="120"/>
  <c r="H61" i="120" s="1"/>
  <c r="Y60" i="56" s="1"/>
  <c r="J59" i="120"/>
  <c r="L59" i="120" s="1"/>
  <c r="Z58" i="56" s="1"/>
  <c r="J58" i="120"/>
  <c r="L58" i="120" s="1"/>
  <c r="Z57" i="56" s="1"/>
  <c r="I57" i="120"/>
  <c r="H57" i="120" s="1"/>
  <c r="Y56" i="56" s="1"/>
  <c r="J55" i="120"/>
  <c r="L55" i="120" s="1"/>
  <c r="Z54" i="56" s="1"/>
  <c r="I52" i="120"/>
  <c r="H52" i="120" s="1"/>
  <c r="Y51" i="56" s="1"/>
  <c r="I48" i="120"/>
  <c r="H48" i="120" s="1"/>
  <c r="Y47" i="56" s="1"/>
  <c r="I62" i="120"/>
  <c r="H62" i="120" s="1"/>
  <c r="Y61" i="56" s="1"/>
  <c r="J60" i="120"/>
  <c r="L60" i="120" s="1"/>
  <c r="Z59" i="56" s="1"/>
  <c r="J54" i="120"/>
  <c r="L54" i="120" s="1"/>
  <c r="Z53" i="56" s="1"/>
  <c r="J50" i="120"/>
  <c r="L50" i="120" s="1"/>
  <c r="Z49" i="56" s="1"/>
  <c r="I49" i="120"/>
  <c r="H49" i="120" s="1"/>
  <c r="Y48" i="56" s="1"/>
  <c r="J44" i="120"/>
  <c r="L44" i="120" s="1"/>
  <c r="Z43" i="56" s="1"/>
  <c r="J40" i="120"/>
  <c r="L40" i="120" s="1"/>
  <c r="Z39" i="56" s="1"/>
  <c r="J36" i="120"/>
  <c r="L36" i="120" s="1"/>
  <c r="Z35" i="56" s="1"/>
  <c r="J32" i="120"/>
  <c r="L32" i="120" s="1"/>
  <c r="Z31" i="56" s="1"/>
  <c r="I59" i="120"/>
  <c r="H59" i="120" s="1"/>
  <c r="Y58" i="56" s="1"/>
  <c r="I54" i="120"/>
  <c r="H54" i="120" s="1"/>
  <c r="Y53" i="56" s="1"/>
  <c r="I50" i="120"/>
  <c r="H50" i="120" s="1"/>
  <c r="Y49" i="56" s="1"/>
  <c r="I44" i="120"/>
  <c r="H44" i="120" s="1"/>
  <c r="Y43" i="56" s="1"/>
  <c r="I40" i="120"/>
  <c r="H40" i="120" s="1"/>
  <c r="Y39" i="56" s="1"/>
  <c r="I63" i="120"/>
  <c r="H63" i="120" s="1"/>
  <c r="Y62" i="56" s="1"/>
  <c r="J51" i="120"/>
  <c r="L51" i="120" s="1"/>
  <c r="Z50" i="56" s="1"/>
  <c r="J43" i="120"/>
  <c r="L43" i="120" s="1"/>
  <c r="Z42" i="56" s="1"/>
  <c r="J39" i="120"/>
  <c r="L39" i="120" s="1"/>
  <c r="Z38" i="56" s="1"/>
  <c r="I58" i="120"/>
  <c r="H58" i="120" s="1"/>
  <c r="Y57" i="56" s="1"/>
  <c r="I51" i="120"/>
  <c r="H51" i="120" s="1"/>
  <c r="Y50" i="56" s="1"/>
  <c r="I43" i="120"/>
  <c r="H43" i="120" s="1"/>
  <c r="Y42" i="56" s="1"/>
  <c r="I39" i="120"/>
  <c r="H39" i="120" s="1"/>
  <c r="Y38" i="56" s="1"/>
  <c r="I35" i="120"/>
  <c r="H35" i="120" s="1"/>
  <c r="Y34" i="56" s="1"/>
  <c r="I31" i="120"/>
  <c r="H31" i="120" s="1"/>
  <c r="Y30" i="56" s="1"/>
  <c r="J26" i="120"/>
  <c r="L26" i="120" s="1"/>
  <c r="Z25" i="56" s="1"/>
  <c r="J22" i="120"/>
  <c r="L22" i="120" s="1"/>
  <c r="Z21" i="56" s="1"/>
  <c r="J18" i="120"/>
  <c r="L18" i="120" s="1"/>
  <c r="Z17" i="56" s="1"/>
  <c r="J14" i="120"/>
  <c r="L14" i="120" s="1"/>
  <c r="Z13" i="56" s="1"/>
  <c r="I26" i="120"/>
  <c r="H26" i="120" s="1"/>
  <c r="Y25" i="56" s="1"/>
  <c r="J48" i="120"/>
  <c r="L48" i="120" s="1"/>
  <c r="Z47" i="56" s="1"/>
  <c r="J47" i="120"/>
  <c r="L47" i="120" s="1"/>
  <c r="Z46" i="56" s="1"/>
  <c r="I25" i="120"/>
  <c r="H25" i="120" s="1"/>
  <c r="Y24" i="56" s="1"/>
  <c r="I21" i="120"/>
  <c r="H21" i="120" s="1"/>
  <c r="Y20" i="56" s="1"/>
  <c r="I17" i="120"/>
  <c r="H17" i="120" s="1"/>
  <c r="Y16" i="56" s="1"/>
  <c r="I13" i="120"/>
  <c r="H13" i="120" s="1"/>
  <c r="Y12" i="56" s="1"/>
  <c r="J62" i="120"/>
  <c r="L62" i="120" s="1"/>
  <c r="Z61" i="56" s="1"/>
  <c r="J56" i="120"/>
  <c r="L56" i="120" s="1"/>
  <c r="Z55" i="56" s="1"/>
  <c r="J45" i="120"/>
  <c r="L45" i="120" s="1"/>
  <c r="Z44" i="56" s="1"/>
  <c r="J27" i="120"/>
  <c r="L27" i="120" s="1"/>
  <c r="Z26" i="56" s="1"/>
  <c r="J21" i="120"/>
  <c r="L21" i="120" s="1"/>
  <c r="Z20" i="56" s="1"/>
  <c r="I20" i="120"/>
  <c r="H20" i="120" s="1"/>
  <c r="Y19" i="56" s="1"/>
  <c r="I19" i="120"/>
  <c r="H19" i="120" s="1"/>
  <c r="Y18" i="56" s="1"/>
  <c r="J17" i="120"/>
  <c r="L17" i="120" s="1"/>
  <c r="Z16" i="56" s="1"/>
  <c r="I16" i="120"/>
  <c r="H16" i="120" s="1"/>
  <c r="Y15" i="56" s="1"/>
  <c r="I15" i="120"/>
  <c r="H15" i="120" s="1"/>
  <c r="Y14" i="56" s="1"/>
  <c r="J13" i="120"/>
  <c r="L13" i="120" s="1"/>
  <c r="Z12" i="56" s="1"/>
  <c r="J12" i="120"/>
  <c r="L12" i="120" s="1"/>
  <c r="Z11" i="56" s="1"/>
  <c r="J25" i="120"/>
  <c r="L25" i="120" s="1"/>
  <c r="Z24" i="56" s="1"/>
  <c r="I45" i="120"/>
  <c r="H45" i="120" s="1"/>
  <c r="Y44" i="56" s="1"/>
  <c r="J35" i="120"/>
  <c r="L35" i="120" s="1"/>
  <c r="Z34" i="56" s="1"/>
  <c r="J34" i="120"/>
  <c r="L34" i="120" s="1"/>
  <c r="Z33" i="56" s="1"/>
  <c r="I27" i="120"/>
  <c r="H27" i="120" s="1"/>
  <c r="Y26" i="56" s="1"/>
  <c r="J23" i="120"/>
  <c r="L23" i="120" s="1"/>
  <c r="Z22" i="56" s="1"/>
  <c r="I12" i="120"/>
  <c r="H12" i="120" s="1"/>
  <c r="Y11" i="56" s="1"/>
  <c r="J11" i="120"/>
  <c r="L11" i="120" s="1"/>
  <c r="Z10" i="56" s="1"/>
  <c r="I34" i="120"/>
  <c r="H34" i="120" s="1"/>
  <c r="Y33" i="56" s="1"/>
  <c r="J33" i="120"/>
  <c r="L33" i="120" s="1"/>
  <c r="Z32" i="56" s="1"/>
  <c r="J28" i="120"/>
  <c r="L28" i="120" s="1"/>
  <c r="Z27" i="56" s="1"/>
  <c r="I23" i="120"/>
  <c r="H23" i="120" s="1"/>
  <c r="Y22" i="56" s="1"/>
  <c r="I42" i="120"/>
  <c r="H42" i="120" s="1"/>
  <c r="Y41" i="56" s="1"/>
  <c r="I47" i="120"/>
  <c r="H47" i="120" s="1"/>
  <c r="Y46" i="56" s="1"/>
  <c r="I33" i="120"/>
  <c r="H33" i="120" s="1"/>
  <c r="Y32" i="56" s="1"/>
  <c r="I32" i="120"/>
  <c r="H32" i="120" s="1"/>
  <c r="Y31" i="56" s="1"/>
  <c r="I28" i="120"/>
  <c r="H28" i="120" s="1"/>
  <c r="Y27" i="56" s="1"/>
  <c r="I11" i="120"/>
  <c r="H11" i="120" s="1"/>
  <c r="Y10" i="56" s="1"/>
  <c r="J42" i="120"/>
  <c r="L42" i="120" s="1"/>
  <c r="Z41" i="56" s="1"/>
  <c r="J38" i="120"/>
  <c r="L38" i="120" s="1"/>
  <c r="Z37" i="56" s="1"/>
  <c r="I55" i="120"/>
  <c r="H55" i="120" s="1"/>
  <c r="Y54" i="56" s="1"/>
  <c r="J37" i="120"/>
  <c r="L37" i="120" s="1"/>
  <c r="Z36" i="56" s="1"/>
  <c r="I24" i="120"/>
  <c r="H24" i="120" s="1"/>
  <c r="Y23" i="56" s="1"/>
  <c r="I22" i="120"/>
  <c r="H22" i="120" s="1"/>
  <c r="Y21" i="56" s="1"/>
  <c r="I14" i="120"/>
  <c r="H14" i="120" s="1"/>
  <c r="Y13" i="56" s="1"/>
  <c r="I18" i="120"/>
  <c r="H18" i="120" s="1"/>
  <c r="Y17" i="56" s="1"/>
  <c r="I46" i="120"/>
  <c r="H46" i="120" s="1"/>
  <c r="Y45" i="56" s="1"/>
  <c r="I37" i="120"/>
  <c r="H37" i="120" s="1"/>
  <c r="Y36" i="56" s="1"/>
  <c r="J19" i="120"/>
  <c r="L19" i="120" s="1"/>
  <c r="Z18" i="56" s="1"/>
  <c r="I30" i="120"/>
  <c r="H30" i="120" s="1"/>
  <c r="Y29" i="56" s="1"/>
  <c r="I41" i="120"/>
  <c r="H41" i="120" s="1"/>
  <c r="Y40" i="56" s="1"/>
  <c r="I38" i="120"/>
  <c r="H38" i="120" s="1"/>
  <c r="Y37" i="56" s="1"/>
  <c r="J16" i="120"/>
  <c r="L16" i="120" s="1"/>
  <c r="Z15" i="56" s="1"/>
  <c r="I29" i="120"/>
  <c r="H29" i="120" s="1"/>
  <c r="Y28" i="56" s="1"/>
  <c r="J30" i="120"/>
  <c r="L30" i="120" s="1"/>
  <c r="Z29" i="56" s="1"/>
  <c r="J41" i="120"/>
  <c r="L41" i="120" s="1"/>
  <c r="Z40" i="56" s="1"/>
  <c r="J31" i="120"/>
  <c r="L31" i="120" s="1"/>
  <c r="Z30" i="56" s="1"/>
  <c r="J29" i="120"/>
  <c r="L29" i="120" s="1"/>
  <c r="Z28" i="56" s="1"/>
  <c r="J20" i="120"/>
  <c r="L20" i="120" s="1"/>
  <c r="Z19" i="56" s="1"/>
  <c r="J46" i="120"/>
  <c r="L46" i="120" s="1"/>
  <c r="Z45" i="56" s="1"/>
  <c r="I36" i="120"/>
  <c r="H36" i="120" s="1"/>
  <c r="Y35" i="56" s="1"/>
  <c r="J24" i="120"/>
  <c r="L24" i="120" s="1"/>
  <c r="Z23" i="56" s="1"/>
  <c r="J15" i="120"/>
  <c r="L15" i="120" s="1"/>
  <c r="Z14" i="56" s="1"/>
  <c r="J10" i="120"/>
  <c r="L10" i="120" s="1"/>
  <c r="Z9" i="56" s="1"/>
  <c r="I10" i="120"/>
  <c r="H10" i="120" s="1"/>
  <c r="Y9" i="56" s="1"/>
  <c r="C10" i="120" a="1"/>
  <c r="D79" i="120" l="1"/>
  <c r="F79" i="120" s="1"/>
  <c r="N78" i="56" s="1"/>
  <c r="D75" i="120"/>
  <c r="F75" i="120" s="1"/>
  <c r="N74" i="56" s="1"/>
  <c r="D71" i="120"/>
  <c r="F71" i="120" s="1"/>
  <c r="N70" i="56" s="1"/>
  <c r="D67" i="120"/>
  <c r="F67" i="120" s="1"/>
  <c r="N66" i="56" s="1"/>
  <c r="D63" i="120"/>
  <c r="F63" i="120" s="1"/>
  <c r="N62" i="56" s="1"/>
  <c r="C79" i="120"/>
  <c r="B79" i="120" s="1"/>
  <c r="M78" i="56" s="1"/>
  <c r="Q78" i="56" s="1"/>
  <c r="C75" i="120"/>
  <c r="B75" i="120" s="1"/>
  <c r="M74" i="56" s="1"/>
  <c r="Q74" i="56" s="1"/>
  <c r="C71" i="120"/>
  <c r="B71" i="120" s="1"/>
  <c r="M70" i="56" s="1"/>
  <c r="Q70" i="56" s="1"/>
  <c r="C67" i="120"/>
  <c r="B67" i="120" s="1"/>
  <c r="M66" i="56" s="1"/>
  <c r="Q66" i="56" s="1"/>
  <c r="D78" i="120"/>
  <c r="F78" i="120" s="1"/>
  <c r="N77" i="56" s="1"/>
  <c r="D74" i="120"/>
  <c r="F74" i="120" s="1"/>
  <c r="N73" i="56" s="1"/>
  <c r="D70" i="120"/>
  <c r="F70" i="120" s="1"/>
  <c r="N69" i="56" s="1"/>
  <c r="D66" i="120"/>
  <c r="F66" i="120" s="1"/>
  <c r="N65" i="56" s="1"/>
  <c r="C78" i="120"/>
  <c r="B78" i="120" s="1"/>
  <c r="M77" i="56" s="1"/>
  <c r="Q77" i="56" s="1"/>
  <c r="C74" i="120"/>
  <c r="B74" i="120" s="1"/>
  <c r="M73" i="56" s="1"/>
  <c r="Q73" i="56" s="1"/>
  <c r="C70" i="120"/>
  <c r="B70" i="120" s="1"/>
  <c r="M69" i="56" s="1"/>
  <c r="Q69" i="56" s="1"/>
  <c r="C66" i="120"/>
  <c r="B66" i="120" s="1"/>
  <c r="M65" i="56" s="1"/>
  <c r="Q65" i="56" s="1"/>
  <c r="C77" i="120"/>
  <c r="B77" i="120" s="1"/>
  <c r="M76" i="56" s="1"/>
  <c r="Q76" i="56" s="1"/>
  <c r="C76" i="120"/>
  <c r="B76" i="120" s="1"/>
  <c r="M75" i="56" s="1"/>
  <c r="Q75" i="56" s="1"/>
  <c r="C73" i="120"/>
  <c r="B73" i="120" s="1"/>
  <c r="M72" i="56" s="1"/>
  <c r="Q72" i="56" s="1"/>
  <c r="C72" i="120"/>
  <c r="B72" i="120" s="1"/>
  <c r="M71" i="56" s="1"/>
  <c r="Q71" i="56" s="1"/>
  <c r="C69" i="120"/>
  <c r="B69" i="120" s="1"/>
  <c r="M68" i="56" s="1"/>
  <c r="Q68" i="56" s="1"/>
  <c r="C68" i="120"/>
  <c r="B68" i="120" s="1"/>
  <c r="M67" i="56" s="1"/>
  <c r="Q67" i="56" s="1"/>
  <c r="C65" i="120"/>
  <c r="B65" i="120" s="1"/>
  <c r="M64" i="56" s="1"/>
  <c r="Q64" i="56" s="1"/>
  <c r="C64" i="120"/>
  <c r="B64" i="120" s="1"/>
  <c r="M63" i="56" s="1"/>
  <c r="Q63" i="56" s="1"/>
  <c r="D59" i="120"/>
  <c r="F59" i="120" s="1"/>
  <c r="N58" i="56" s="1"/>
  <c r="D55" i="120"/>
  <c r="F55" i="120" s="1"/>
  <c r="N54" i="56" s="1"/>
  <c r="C63" i="120"/>
  <c r="B63" i="120" s="1"/>
  <c r="M62" i="56" s="1"/>
  <c r="Q62" i="56" s="1"/>
  <c r="C62" i="120"/>
  <c r="B62" i="120" s="1"/>
  <c r="M61" i="56" s="1"/>
  <c r="Q61" i="56" s="1"/>
  <c r="C58" i="120"/>
  <c r="B58" i="120" s="1"/>
  <c r="M57" i="56" s="1"/>
  <c r="Q57" i="56" s="1"/>
  <c r="D69" i="120"/>
  <c r="F69" i="120" s="1"/>
  <c r="N68" i="56" s="1"/>
  <c r="D64" i="120"/>
  <c r="F64" i="120" s="1"/>
  <c r="N63" i="56" s="1"/>
  <c r="C60" i="120"/>
  <c r="B60" i="120" s="1"/>
  <c r="M59" i="56" s="1"/>
  <c r="Q59" i="56" s="1"/>
  <c r="C56" i="120"/>
  <c r="B56" i="120" s="1"/>
  <c r="M55" i="56" s="1"/>
  <c r="Q55" i="56" s="1"/>
  <c r="D51" i="120"/>
  <c r="F51" i="120" s="1"/>
  <c r="N50" i="56" s="1"/>
  <c r="D47" i="120"/>
  <c r="F47" i="120" s="1"/>
  <c r="N46" i="56" s="1"/>
  <c r="C51" i="120"/>
  <c r="B51" i="120" s="1"/>
  <c r="M50" i="56" s="1"/>
  <c r="Q50" i="56" s="1"/>
  <c r="D76" i="120"/>
  <c r="F76" i="120" s="1"/>
  <c r="N75" i="56" s="1"/>
  <c r="D65" i="120"/>
  <c r="F65" i="120" s="1"/>
  <c r="N64" i="56" s="1"/>
  <c r="D54" i="120"/>
  <c r="F54" i="120" s="1"/>
  <c r="N53" i="56" s="1"/>
  <c r="D50" i="120"/>
  <c r="F50" i="120" s="1"/>
  <c r="N49" i="56" s="1"/>
  <c r="C54" i="120"/>
  <c r="B54" i="120" s="1"/>
  <c r="M53" i="56" s="1"/>
  <c r="Q53" i="56" s="1"/>
  <c r="C50" i="120"/>
  <c r="B50" i="120" s="1"/>
  <c r="M49" i="56" s="1"/>
  <c r="Q49" i="56" s="1"/>
  <c r="D68" i="120"/>
  <c r="F68" i="120" s="1"/>
  <c r="N67" i="56" s="1"/>
  <c r="C55" i="120"/>
  <c r="B55" i="120" s="1"/>
  <c r="M54" i="56" s="1"/>
  <c r="Q54" i="56" s="1"/>
  <c r="C53" i="120"/>
  <c r="B53" i="120" s="1"/>
  <c r="M52" i="56" s="1"/>
  <c r="Q52" i="56" s="1"/>
  <c r="C52" i="120"/>
  <c r="B52" i="120" s="1"/>
  <c r="M51" i="56" s="1"/>
  <c r="Q51" i="56" s="1"/>
  <c r="D46" i="120"/>
  <c r="F46" i="120" s="1"/>
  <c r="N45" i="56" s="1"/>
  <c r="D42" i="120"/>
  <c r="F42" i="120" s="1"/>
  <c r="N41" i="56" s="1"/>
  <c r="D38" i="120"/>
  <c r="F38" i="120" s="1"/>
  <c r="N37" i="56" s="1"/>
  <c r="D34" i="120"/>
  <c r="F34" i="120" s="1"/>
  <c r="N33" i="56" s="1"/>
  <c r="D30" i="120"/>
  <c r="F30" i="120" s="1"/>
  <c r="N29" i="56" s="1"/>
  <c r="D62" i="120"/>
  <c r="F62" i="120" s="1"/>
  <c r="N61" i="56" s="1"/>
  <c r="D61" i="120"/>
  <c r="F61" i="120" s="1"/>
  <c r="N60" i="56" s="1"/>
  <c r="D49" i="120"/>
  <c r="F49" i="120" s="1"/>
  <c r="N48" i="56" s="1"/>
  <c r="C46" i="120"/>
  <c r="B46" i="120" s="1"/>
  <c r="M45" i="56" s="1"/>
  <c r="Q45" i="56" s="1"/>
  <c r="C42" i="120"/>
  <c r="B42" i="120" s="1"/>
  <c r="M41" i="56" s="1"/>
  <c r="Q41" i="56" s="1"/>
  <c r="D73" i="120"/>
  <c r="F73" i="120" s="1"/>
  <c r="N72" i="56" s="1"/>
  <c r="D72" i="120"/>
  <c r="F72" i="120" s="1"/>
  <c r="N71" i="56" s="1"/>
  <c r="C61" i="120"/>
  <c r="B61" i="120" s="1"/>
  <c r="M60" i="56" s="1"/>
  <c r="Q60" i="56" s="1"/>
  <c r="C49" i="120"/>
  <c r="B49" i="120" s="1"/>
  <c r="M48" i="56" s="1"/>
  <c r="Q48" i="56" s="1"/>
  <c r="D48" i="120"/>
  <c r="F48" i="120" s="1"/>
  <c r="N47" i="56" s="1"/>
  <c r="C47" i="120"/>
  <c r="B47" i="120" s="1"/>
  <c r="M46" i="56" s="1"/>
  <c r="Q46" i="56" s="1"/>
  <c r="D45" i="120"/>
  <c r="F45" i="120" s="1"/>
  <c r="N44" i="56" s="1"/>
  <c r="D41" i="120"/>
  <c r="F41" i="120" s="1"/>
  <c r="N40" i="56" s="1"/>
  <c r="D60" i="120"/>
  <c r="F60" i="120" s="1"/>
  <c r="N59" i="56" s="1"/>
  <c r="C48" i="120"/>
  <c r="B48" i="120" s="1"/>
  <c r="M47" i="56" s="1"/>
  <c r="Q47" i="56" s="1"/>
  <c r="C45" i="120"/>
  <c r="B45" i="120" s="1"/>
  <c r="M44" i="56" s="1"/>
  <c r="Q44" i="56" s="1"/>
  <c r="C41" i="120"/>
  <c r="B41" i="120" s="1"/>
  <c r="M40" i="56" s="1"/>
  <c r="Q40" i="56" s="1"/>
  <c r="C37" i="120"/>
  <c r="B37" i="120" s="1"/>
  <c r="M36" i="56" s="1"/>
  <c r="Q36" i="56" s="1"/>
  <c r="C33" i="120"/>
  <c r="B33" i="120" s="1"/>
  <c r="M32" i="56" s="1"/>
  <c r="Q32" i="56" s="1"/>
  <c r="D53" i="120"/>
  <c r="F53" i="120" s="1"/>
  <c r="N52" i="56" s="1"/>
  <c r="D37" i="120"/>
  <c r="F37" i="120" s="1"/>
  <c r="N36" i="56" s="1"/>
  <c r="C36" i="120"/>
  <c r="B36" i="120" s="1"/>
  <c r="M35" i="56" s="1"/>
  <c r="Q35" i="56" s="1"/>
  <c r="D33" i="120"/>
  <c r="F33" i="120" s="1"/>
  <c r="N32" i="56" s="1"/>
  <c r="C32" i="120"/>
  <c r="B32" i="120" s="1"/>
  <c r="M31" i="56" s="1"/>
  <c r="Q31" i="56" s="1"/>
  <c r="D29" i="120"/>
  <c r="F29" i="120" s="1"/>
  <c r="N28" i="56" s="1"/>
  <c r="D28" i="120"/>
  <c r="F28" i="120" s="1"/>
  <c r="N27" i="56" s="1"/>
  <c r="D24" i="120"/>
  <c r="F24" i="120" s="1"/>
  <c r="N23" i="56" s="1"/>
  <c r="D20" i="120"/>
  <c r="F20" i="120" s="1"/>
  <c r="N19" i="56" s="1"/>
  <c r="D16" i="120"/>
  <c r="F16" i="120" s="1"/>
  <c r="N15" i="56" s="1"/>
  <c r="D12" i="120"/>
  <c r="F12" i="120" s="1"/>
  <c r="N11" i="56" s="1"/>
  <c r="C38" i="120"/>
  <c r="B38" i="120" s="1"/>
  <c r="M37" i="56" s="1"/>
  <c r="Q37" i="56" s="1"/>
  <c r="D35" i="120"/>
  <c r="F35" i="120" s="1"/>
  <c r="N34" i="56" s="1"/>
  <c r="C34" i="120"/>
  <c r="B34" i="120" s="1"/>
  <c r="M33" i="56" s="1"/>
  <c r="Q33" i="56" s="1"/>
  <c r="D31" i="120"/>
  <c r="F31" i="120" s="1"/>
  <c r="N30" i="56" s="1"/>
  <c r="C30" i="120"/>
  <c r="B30" i="120" s="1"/>
  <c r="M29" i="56" s="1"/>
  <c r="Q29" i="56" s="1"/>
  <c r="C29" i="120"/>
  <c r="C28" i="120"/>
  <c r="C24" i="120"/>
  <c r="C35" i="120"/>
  <c r="B35" i="120" s="1"/>
  <c r="M34" i="56" s="1"/>
  <c r="Q34" i="56" s="1"/>
  <c r="C31" i="120"/>
  <c r="B31" i="120" s="1"/>
  <c r="M30" i="56" s="1"/>
  <c r="Q30" i="56" s="1"/>
  <c r="D27" i="120"/>
  <c r="F27" i="120" s="1"/>
  <c r="N26" i="56" s="1"/>
  <c r="C59" i="120"/>
  <c r="B59" i="120" s="1"/>
  <c r="M58" i="56" s="1"/>
  <c r="Q58" i="56" s="1"/>
  <c r="D44" i="120"/>
  <c r="F44" i="120" s="1"/>
  <c r="N43" i="56" s="1"/>
  <c r="D43" i="120"/>
  <c r="F43" i="120" s="1"/>
  <c r="N42" i="56" s="1"/>
  <c r="D40" i="120"/>
  <c r="F40" i="120" s="1"/>
  <c r="N39" i="56" s="1"/>
  <c r="D39" i="120"/>
  <c r="F39" i="120" s="1"/>
  <c r="N38" i="56" s="1"/>
  <c r="C27" i="120"/>
  <c r="C23" i="120"/>
  <c r="C19" i="120"/>
  <c r="C15" i="120"/>
  <c r="C25" i="120"/>
  <c r="D14" i="120"/>
  <c r="F14" i="120" s="1"/>
  <c r="N13" i="56" s="1"/>
  <c r="C21" i="120"/>
  <c r="C13" i="120"/>
  <c r="D32" i="120"/>
  <c r="F32" i="120" s="1"/>
  <c r="N31" i="56" s="1"/>
  <c r="D77" i="120"/>
  <c r="F77" i="120" s="1"/>
  <c r="N76" i="56" s="1"/>
  <c r="C43" i="120"/>
  <c r="B43" i="120" s="1"/>
  <c r="M42" i="56" s="1"/>
  <c r="Q42" i="56" s="1"/>
  <c r="D36" i="120"/>
  <c r="F36" i="120" s="1"/>
  <c r="N35" i="56" s="1"/>
  <c r="D22" i="120"/>
  <c r="F22" i="120" s="1"/>
  <c r="N21" i="56" s="1"/>
  <c r="D18" i="120"/>
  <c r="F18" i="120" s="1"/>
  <c r="N17" i="56" s="1"/>
  <c r="D15" i="120"/>
  <c r="F15" i="120" s="1"/>
  <c r="N14" i="56" s="1"/>
  <c r="C14" i="120"/>
  <c r="D52" i="120"/>
  <c r="F52" i="120" s="1"/>
  <c r="N51" i="56" s="1"/>
  <c r="D57" i="120"/>
  <c r="F57" i="120" s="1"/>
  <c r="N56" i="56" s="1"/>
  <c r="D26" i="120"/>
  <c r="F26" i="120" s="1"/>
  <c r="N25" i="56" s="1"/>
  <c r="C22" i="120"/>
  <c r="D19" i="120"/>
  <c r="F19" i="120" s="1"/>
  <c r="N18" i="56" s="1"/>
  <c r="C18" i="120"/>
  <c r="C17" i="120"/>
  <c r="C57" i="120"/>
  <c r="B57" i="120" s="1"/>
  <c r="M56" i="56" s="1"/>
  <c r="Q56" i="56" s="1"/>
  <c r="D56" i="120"/>
  <c r="F56" i="120" s="1"/>
  <c r="N55" i="56" s="1"/>
  <c r="C40" i="120"/>
  <c r="B40" i="120" s="1"/>
  <c r="M39" i="56" s="1"/>
  <c r="Q39" i="56" s="1"/>
  <c r="C26" i="120"/>
  <c r="D23" i="120"/>
  <c r="F23" i="120" s="1"/>
  <c r="N22" i="56" s="1"/>
  <c r="D21" i="120"/>
  <c r="F21" i="120" s="1"/>
  <c r="N20" i="56" s="1"/>
  <c r="C20" i="120"/>
  <c r="D17" i="120"/>
  <c r="F17" i="120" s="1"/>
  <c r="N16" i="56" s="1"/>
  <c r="C16" i="120"/>
  <c r="D13" i="120"/>
  <c r="F13" i="120" s="1"/>
  <c r="N12" i="56" s="1"/>
  <c r="D58" i="120"/>
  <c r="F58" i="120" s="1"/>
  <c r="N57" i="56" s="1"/>
  <c r="C44" i="120"/>
  <c r="B44" i="120" s="1"/>
  <c r="M43" i="56" s="1"/>
  <c r="Q43" i="56" s="1"/>
  <c r="C12" i="120"/>
  <c r="D11" i="120"/>
  <c r="F11" i="120" s="1"/>
  <c r="N10" i="56" s="1"/>
  <c r="C11" i="120"/>
  <c r="D25" i="120"/>
  <c r="F25" i="120" s="1"/>
  <c r="N24" i="56" s="1"/>
  <c r="C39" i="120"/>
  <c r="B39" i="120" s="1"/>
  <c r="M38" i="56" s="1"/>
  <c r="Q38" i="56" s="1"/>
  <c r="C10" i="120"/>
  <c r="D10" i="120"/>
  <c r="F10" i="120" s="1"/>
  <c r="N9" i="56" s="1"/>
  <c r="AJ79" i="117"/>
  <c r="AJ78" i="117"/>
  <c r="AJ77" i="117"/>
  <c r="AJ76" i="117"/>
  <c r="AJ75" i="117"/>
  <c r="AJ74" i="117"/>
  <c r="AJ73" i="117"/>
  <c r="AJ72" i="117"/>
  <c r="AJ71" i="117"/>
  <c r="AJ70" i="117"/>
  <c r="AJ69" i="117"/>
  <c r="AJ68" i="117"/>
  <c r="AJ67" i="117"/>
  <c r="AJ66" i="117"/>
  <c r="AJ65" i="117"/>
  <c r="AJ64" i="117"/>
  <c r="AJ63" i="117"/>
  <c r="AJ62" i="117"/>
  <c r="AJ61" i="117"/>
  <c r="AJ60" i="117"/>
  <c r="AJ59" i="117"/>
  <c r="AJ58" i="117"/>
  <c r="AJ57" i="117"/>
  <c r="AJ56" i="117"/>
  <c r="AJ55" i="117"/>
  <c r="AJ54" i="117"/>
  <c r="AJ53" i="117"/>
  <c r="AJ52" i="117"/>
  <c r="AJ51" i="117"/>
  <c r="AJ50" i="117"/>
  <c r="AJ49" i="117"/>
  <c r="AJ48" i="117"/>
  <c r="AJ47" i="117"/>
  <c r="AJ46" i="117"/>
  <c r="AJ45" i="117"/>
  <c r="AJ44" i="117"/>
  <c r="AJ43" i="117"/>
  <c r="AJ42" i="117"/>
  <c r="AJ41" i="117"/>
  <c r="AJ40" i="117"/>
  <c r="AJ39" i="117"/>
  <c r="AJ38" i="117"/>
  <c r="AJ37" i="117"/>
  <c r="AJ36" i="117"/>
  <c r="AJ35" i="117"/>
  <c r="AJ34" i="117"/>
  <c r="AJ33" i="117"/>
  <c r="AJ32" i="117"/>
  <c r="AJ31" i="117"/>
  <c r="AJ30" i="117"/>
  <c r="AJ29" i="117"/>
  <c r="AJ28" i="117"/>
  <c r="AJ27" i="117"/>
  <c r="AJ26" i="117"/>
  <c r="AJ25" i="117"/>
  <c r="AJ24" i="117"/>
  <c r="AJ23" i="117"/>
  <c r="AJ22" i="117"/>
  <c r="AJ21" i="117"/>
  <c r="AJ20" i="117"/>
  <c r="AJ19" i="117"/>
  <c r="AJ18" i="117"/>
  <c r="AJ17" i="117"/>
  <c r="AJ16" i="117"/>
  <c r="AJ15" i="117"/>
  <c r="AJ14" i="117"/>
  <c r="AJ13" i="117"/>
  <c r="AJ12" i="117"/>
  <c r="AJ11" i="117"/>
  <c r="BQ10" i="117" a="1"/>
  <c r="BQ78" i="117" l="1"/>
  <c r="BP78" i="117" s="1"/>
  <c r="BR73" i="117"/>
  <c r="BT73" i="117" s="1"/>
  <c r="BQ70" i="117"/>
  <c r="BP70" i="117" s="1"/>
  <c r="BR65" i="117"/>
  <c r="BT65" i="117" s="1"/>
  <c r="BR76" i="117"/>
  <c r="BT76" i="117" s="1"/>
  <c r="BQ73" i="117"/>
  <c r="BP73" i="117" s="1"/>
  <c r="BR68" i="117"/>
  <c r="BT68" i="117" s="1"/>
  <c r="BQ65" i="117"/>
  <c r="BP65" i="117" s="1"/>
  <c r="BR79" i="117"/>
  <c r="BT79" i="117" s="1"/>
  <c r="BQ76" i="117"/>
  <c r="BP76" i="117" s="1"/>
  <c r="BR71" i="117"/>
  <c r="BT71" i="117" s="1"/>
  <c r="BQ68" i="117"/>
  <c r="BP68" i="117" s="1"/>
  <c r="BQ79" i="117"/>
  <c r="BP79" i="117" s="1"/>
  <c r="BR74" i="117"/>
  <c r="BT74" i="117" s="1"/>
  <c r="BQ71" i="117"/>
  <c r="BP71" i="117" s="1"/>
  <c r="BR66" i="117"/>
  <c r="BT66" i="117" s="1"/>
  <c r="BR78" i="117"/>
  <c r="BT78" i="117" s="1"/>
  <c r="BQ75" i="117"/>
  <c r="BP75" i="117" s="1"/>
  <c r="BR70" i="117"/>
  <c r="BT70" i="117" s="1"/>
  <c r="BQ67" i="117"/>
  <c r="BP67" i="117" s="1"/>
  <c r="BR75" i="117"/>
  <c r="BT75" i="117" s="1"/>
  <c r="BQ74" i="117"/>
  <c r="BP74" i="117" s="1"/>
  <c r="BQ69" i="117"/>
  <c r="BP69" i="117" s="1"/>
  <c r="BR64" i="117"/>
  <c r="BT64" i="117" s="1"/>
  <c r="BQ63" i="117"/>
  <c r="BP63" i="117" s="1"/>
  <c r="BQ64" i="117"/>
  <c r="BP64" i="117" s="1"/>
  <c r="BR61" i="117"/>
  <c r="BT61" i="117" s="1"/>
  <c r="BQ58" i="117"/>
  <c r="BP58" i="117" s="1"/>
  <c r="BQ61" i="117"/>
  <c r="BP61" i="117" s="1"/>
  <c r="BR77" i="117"/>
  <c r="BT77" i="117" s="1"/>
  <c r="BR59" i="117"/>
  <c r="BT59" i="117" s="1"/>
  <c r="BQ56" i="117"/>
  <c r="BP56" i="117" s="1"/>
  <c r="BR69" i="117"/>
  <c r="BT69" i="117" s="1"/>
  <c r="BR63" i="117"/>
  <c r="BT63" i="117" s="1"/>
  <c r="BQ60" i="117"/>
  <c r="BP60" i="117" s="1"/>
  <c r="BR55" i="117"/>
  <c r="BT55" i="117" s="1"/>
  <c r="BQ59" i="117"/>
  <c r="BP59" i="117" s="1"/>
  <c r="BQ57" i="117"/>
  <c r="BP57" i="117" s="1"/>
  <c r="BR52" i="117"/>
  <c r="BT52" i="117" s="1"/>
  <c r="BQ49" i="117"/>
  <c r="BP49" i="117" s="1"/>
  <c r="BQ52" i="117"/>
  <c r="BP52" i="117" s="1"/>
  <c r="BR47" i="117"/>
  <c r="BT47" i="117" s="1"/>
  <c r="BR72" i="117"/>
  <c r="BT72" i="117" s="1"/>
  <c r="BR60" i="117"/>
  <c r="BT60" i="117" s="1"/>
  <c r="BR58" i="117"/>
  <c r="BT58" i="117" s="1"/>
  <c r="BR50" i="117"/>
  <c r="BT50" i="117" s="1"/>
  <c r="BQ72" i="117"/>
  <c r="BP72" i="117" s="1"/>
  <c r="BR62" i="117"/>
  <c r="BT62" i="117" s="1"/>
  <c r="BR56" i="117"/>
  <c r="BT56" i="117" s="1"/>
  <c r="BR53" i="117"/>
  <c r="BT53" i="117" s="1"/>
  <c r="BQ50" i="117"/>
  <c r="BP50" i="117" s="1"/>
  <c r="BR57" i="117"/>
  <c r="BT57" i="117" s="1"/>
  <c r="BQ54" i="117"/>
  <c r="BP54" i="117" s="1"/>
  <c r="BR49" i="117"/>
  <c r="BT49" i="117" s="1"/>
  <c r="BQ46" i="117"/>
  <c r="BP46" i="117" s="1"/>
  <c r="BQ62" i="117"/>
  <c r="BP62" i="117" s="1"/>
  <c r="BR42" i="117"/>
  <c r="BT42" i="117" s="1"/>
  <c r="BQ39" i="117"/>
  <c r="BP39" i="117" s="1"/>
  <c r="BR67" i="117"/>
  <c r="BT67" i="117" s="1"/>
  <c r="BR45" i="117"/>
  <c r="BT45" i="117" s="1"/>
  <c r="BQ42" i="117"/>
  <c r="BP42" i="117" s="1"/>
  <c r="BQ45" i="117"/>
  <c r="BP45" i="117" s="1"/>
  <c r="BR40" i="117"/>
  <c r="BT40" i="117" s="1"/>
  <c r="BQ66" i="117"/>
  <c r="BP66" i="117" s="1"/>
  <c r="BR51" i="117"/>
  <c r="BT51" i="117" s="1"/>
  <c r="BR43" i="117"/>
  <c r="BT43" i="117" s="1"/>
  <c r="BQ40" i="117"/>
  <c r="BP40" i="117" s="1"/>
  <c r="BQ77" i="117"/>
  <c r="BP77" i="117" s="1"/>
  <c r="BQ55" i="117"/>
  <c r="BP55" i="117" s="1"/>
  <c r="BR54" i="117"/>
  <c r="BT54" i="117" s="1"/>
  <c r="BQ53" i="117"/>
  <c r="BP53" i="117" s="1"/>
  <c r="BR46" i="117"/>
  <c r="BT46" i="117" s="1"/>
  <c r="BQ44" i="117"/>
  <c r="BP44" i="117" s="1"/>
  <c r="BR39" i="117"/>
  <c r="BT39" i="117" s="1"/>
  <c r="BQ41" i="117"/>
  <c r="BP41" i="117" s="1"/>
  <c r="BR32" i="117"/>
  <c r="BT32" i="117" s="1"/>
  <c r="BQ29" i="117"/>
  <c r="BP29" i="117" s="1"/>
  <c r="BR24" i="117"/>
  <c r="BT24" i="117" s="1"/>
  <c r="BR35" i="117"/>
  <c r="BT35" i="117" s="1"/>
  <c r="BQ32" i="117"/>
  <c r="BP32" i="117" s="1"/>
  <c r="BR27" i="117"/>
  <c r="BT27" i="117" s="1"/>
  <c r="BQ35" i="117"/>
  <c r="BP35" i="117" s="1"/>
  <c r="BR30" i="117"/>
  <c r="BT30" i="117" s="1"/>
  <c r="BQ27" i="117"/>
  <c r="BP27" i="117" s="1"/>
  <c r="BQ51" i="117"/>
  <c r="BP51" i="117" s="1"/>
  <c r="BR48" i="117"/>
  <c r="BT48" i="117" s="1"/>
  <c r="BR44" i="117"/>
  <c r="BT44" i="117" s="1"/>
  <c r="BQ43" i="117"/>
  <c r="BP43" i="117" s="1"/>
  <c r="BR33" i="117"/>
  <c r="BT33" i="117" s="1"/>
  <c r="BQ30" i="117"/>
  <c r="BP30" i="117" s="1"/>
  <c r="BR41" i="117"/>
  <c r="BT41" i="117" s="1"/>
  <c r="BQ34" i="117"/>
  <c r="BP34" i="117" s="1"/>
  <c r="BR29" i="117"/>
  <c r="BT29" i="117" s="1"/>
  <c r="BQ26" i="117"/>
  <c r="BP26" i="117" s="1"/>
  <c r="BR26" i="117"/>
  <c r="BT26" i="117" s="1"/>
  <c r="BR22" i="117"/>
  <c r="BT22" i="117" s="1"/>
  <c r="BQ19" i="117"/>
  <c r="BP19" i="117" s="1"/>
  <c r="BR14" i="117"/>
  <c r="BT14" i="117" s="1"/>
  <c r="BQ11" i="117"/>
  <c r="BP11" i="117" s="1"/>
  <c r="BQ23" i="117"/>
  <c r="BP23" i="117" s="1"/>
  <c r="BR28" i="117"/>
  <c r="BT28" i="117" s="1"/>
  <c r="BQ22" i="117"/>
  <c r="BP22" i="117" s="1"/>
  <c r="BR17" i="117"/>
  <c r="BT17" i="117" s="1"/>
  <c r="BQ14" i="117"/>
  <c r="BP14" i="117" s="1"/>
  <c r="BR12" i="117"/>
  <c r="BT12" i="117" s="1"/>
  <c r="BQ47" i="117"/>
  <c r="BP47" i="117" s="1"/>
  <c r="BR38" i="117"/>
  <c r="BT38" i="117" s="1"/>
  <c r="BR34" i="117"/>
  <c r="BT34" i="117" s="1"/>
  <c r="BQ33" i="117"/>
  <c r="BP33" i="117" s="1"/>
  <c r="BQ28" i="117"/>
  <c r="BP28" i="117" s="1"/>
  <c r="BR20" i="117"/>
  <c r="BT20" i="117" s="1"/>
  <c r="BQ17" i="117"/>
  <c r="BP17" i="117" s="1"/>
  <c r="BQ38" i="117"/>
  <c r="BP38" i="117" s="1"/>
  <c r="BR25" i="117"/>
  <c r="BT25" i="117" s="1"/>
  <c r="BR23" i="117"/>
  <c r="BT23" i="117" s="1"/>
  <c r="BQ20" i="117"/>
  <c r="BP20" i="117" s="1"/>
  <c r="BR15" i="117"/>
  <c r="BT15" i="117" s="1"/>
  <c r="BQ12" i="117"/>
  <c r="BP12" i="117" s="1"/>
  <c r="BQ37" i="117"/>
  <c r="BP37" i="117" s="1"/>
  <c r="BQ31" i="117"/>
  <c r="BP31" i="117" s="1"/>
  <c r="BR19" i="117"/>
  <c r="BT19" i="117" s="1"/>
  <c r="BQ16" i="117"/>
  <c r="BP16" i="117" s="1"/>
  <c r="BR11" i="117"/>
  <c r="BT11" i="117" s="1"/>
  <c r="BQ25" i="117"/>
  <c r="BP25" i="117" s="1"/>
  <c r="BQ48" i="117"/>
  <c r="BP48" i="117" s="1"/>
  <c r="BQ24" i="117"/>
  <c r="BP24" i="117" s="1"/>
  <c r="BR10" i="117"/>
  <c r="BT10" i="117" s="1"/>
  <c r="BQ10" i="117"/>
  <c r="BP10" i="117" s="1"/>
  <c r="BQ18" i="117"/>
  <c r="BP18" i="117" s="1"/>
  <c r="BR31" i="117"/>
  <c r="BT31" i="117" s="1"/>
  <c r="BQ21" i="117"/>
  <c r="BP21" i="117" s="1"/>
  <c r="BR36" i="117"/>
  <c r="BT36" i="117" s="1"/>
  <c r="BR16" i="117"/>
  <c r="BT16" i="117" s="1"/>
  <c r="BQ15" i="117"/>
  <c r="BP15" i="117" s="1"/>
  <c r="BR18" i="117"/>
  <c r="BT18" i="117" s="1"/>
  <c r="BQ36" i="117"/>
  <c r="BP36" i="117" s="1"/>
  <c r="BR21" i="117"/>
  <c r="BT21" i="117" s="1"/>
  <c r="BR37" i="117"/>
  <c r="BT37" i="117" s="1"/>
  <c r="BQ13" i="117"/>
  <c r="BP13" i="117" s="1"/>
  <c r="BR13" i="117"/>
  <c r="BT13" i="117" s="1"/>
  <c r="BK10" i="117" a="1"/>
  <c r="BL77" i="117" l="1"/>
  <c r="BN77" i="117" s="1"/>
  <c r="BW76" i="54" s="1"/>
  <c r="BK74" i="117"/>
  <c r="BJ74" i="117" s="1"/>
  <c r="BV73" i="54" s="1"/>
  <c r="BL69" i="117"/>
  <c r="BN69" i="117" s="1"/>
  <c r="BW68" i="54" s="1"/>
  <c r="BK66" i="117"/>
  <c r="BJ66" i="117" s="1"/>
  <c r="BV65" i="54" s="1"/>
  <c r="BK77" i="117"/>
  <c r="BJ77" i="117" s="1"/>
  <c r="BV76" i="54" s="1"/>
  <c r="BL72" i="117"/>
  <c r="BN72" i="117" s="1"/>
  <c r="BW71" i="54" s="1"/>
  <c r="BK69" i="117"/>
  <c r="BJ69" i="117" s="1"/>
  <c r="BV68" i="54" s="1"/>
  <c r="BL64" i="117"/>
  <c r="BN64" i="117" s="1"/>
  <c r="BW63" i="54" s="1"/>
  <c r="BL75" i="117"/>
  <c r="BN75" i="117" s="1"/>
  <c r="BW74" i="54" s="1"/>
  <c r="BK72" i="117"/>
  <c r="BJ72" i="117" s="1"/>
  <c r="BV71" i="54" s="1"/>
  <c r="BL67" i="117"/>
  <c r="BN67" i="117" s="1"/>
  <c r="BW66" i="54" s="1"/>
  <c r="BK64" i="117"/>
  <c r="BJ64" i="117" s="1"/>
  <c r="BV63" i="54" s="1"/>
  <c r="BL78" i="117"/>
  <c r="BN78" i="117" s="1"/>
  <c r="BW77" i="54" s="1"/>
  <c r="BK75" i="117"/>
  <c r="BJ75" i="117" s="1"/>
  <c r="BV74" i="54" s="1"/>
  <c r="BL70" i="117"/>
  <c r="BN70" i="117" s="1"/>
  <c r="BW69" i="54" s="1"/>
  <c r="BK67" i="117"/>
  <c r="BJ67" i="117" s="1"/>
  <c r="BV66" i="54" s="1"/>
  <c r="BK79" i="117"/>
  <c r="BJ79" i="117" s="1"/>
  <c r="BV78" i="54" s="1"/>
  <c r="BL74" i="117"/>
  <c r="BN74" i="117" s="1"/>
  <c r="BW73" i="54" s="1"/>
  <c r="BK71" i="117"/>
  <c r="BJ71" i="117" s="1"/>
  <c r="BV70" i="54" s="1"/>
  <c r="BL66" i="117"/>
  <c r="BN66" i="117" s="1"/>
  <c r="BW65" i="54" s="1"/>
  <c r="BK76" i="117"/>
  <c r="BJ76" i="117" s="1"/>
  <c r="BV75" i="54" s="1"/>
  <c r="BK70" i="117"/>
  <c r="BJ70" i="117" s="1"/>
  <c r="BV69" i="54" s="1"/>
  <c r="BK65" i="117"/>
  <c r="BJ65" i="117" s="1"/>
  <c r="BV64" i="54" s="1"/>
  <c r="BL62" i="117"/>
  <c r="BN62" i="117" s="1"/>
  <c r="BW61" i="54" s="1"/>
  <c r="BK59" i="117"/>
  <c r="BJ59" i="117" s="1"/>
  <c r="BV58" i="54" s="1"/>
  <c r="BK62" i="117"/>
  <c r="BJ62" i="117" s="1"/>
  <c r="BV61" i="54" s="1"/>
  <c r="BL57" i="117"/>
  <c r="BN57" i="117" s="1"/>
  <c r="BW56" i="54" s="1"/>
  <c r="BL79" i="117"/>
  <c r="BN79" i="117" s="1"/>
  <c r="BW78" i="54" s="1"/>
  <c r="BL73" i="117"/>
  <c r="BN73" i="117" s="1"/>
  <c r="BW72" i="54" s="1"/>
  <c r="BL68" i="117"/>
  <c r="BN68" i="117" s="1"/>
  <c r="BW67" i="54" s="1"/>
  <c r="BL63" i="117"/>
  <c r="BN63" i="117" s="1"/>
  <c r="BW62" i="54" s="1"/>
  <c r="BK60" i="117"/>
  <c r="BJ60" i="117" s="1"/>
  <c r="BV59" i="54" s="1"/>
  <c r="BL76" i="117"/>
  <c r="BN76" i="117" s="1"/>
  <c r="BW75" i="54" s="1"/>
  <c r="BL71" i="117"/>
  <c r="BN71" i="117" s="1"/>
  <c r="BW70" i="54" s="1"/>
  <c r="BL65" i="117"/>
  <c r="BN65" i="117" s="1"/>
  <c r="BW64" i="54" s="1"/>
  <c r="BL59" i="117"/>
  <c r="BN59" i="117" s="1"/>
  <c r="BW58" i="54" s="1"/>
  <c r="BK56" i="117"/>
  <c r="BJ56" i="117" s="1"/>
  <c r="BV55" i="54" s="1"/>
  <c r="BK78" i="117"/>
  <c r="BJ78" i="117" s="1"/>
  <c r="BV77" i="54" s="1"/>
  <c r="BK61" i="117"/>
  <c r="BJ61" i="117" s="1"/>
  <c r="BV60" i="54" s="1"/>
  <c r="BK53" i="117"/>
  <c r="BJ53" i="117" s="1"/>
  <c r="BV52" i="54" s="1"/>
  <c r="BL48" i="117"/>
  <c r="BN48" i="117" s="1"/>
  <c r="BW47" i="54" s="1"/>
  <c r="BL55" i="117"/>
  <c r="BN55" i="117" s="1"/>
  <c r="BW54" i="54" s="1"/>
  <c r="BL51" i="117"/>
  <c r="BN51" i="117" s="1"/>
  <c r="BW50" i="54" s="1"/>
  <c r="BK48" i="117"/>
  <c r="BJ48" i="117" s="1"/>
  <c r="BV47" i="54" s="1"/>
  <c r="BK57" i="117"/>
  <c r="BJ57" i="117" s="1"/>
  <c r="BV56" i="54" s="1"/>
  <c r="BK55" i="117"/>
  <c r="BJ55" i="117" s="1"/>
  <c r="BV54" i="54" s="1"/>
  <c r="BL54" i="117"/>
  <c r="BN54" i="117" s="1"/>
  <c r="BW53" i="54" s="1"/>
  <c r="BK51" i="117"/>
  <c r="BJ51" i="117" s="1"/>
  <c r="BV50" i="54" s="1"/>
  <c r="BL60" i="117"/>
  <c r="BN60" i="117" s="1"/>
  <c r="BW59" i="54" s="1"/>
  <c r="BK54" i="117"/>
  <c r="BJ54" i="117" s="1"/>
  <c r="BV53" i="54" s="1"/>
  <c r="BL49" i="117"/>
  <c r="BN49" i="117" s="1"/>
  <c r="BW48" i="54" s="1"/>
  <c r="BK68" i="117"/>
  <c r="BJ68" i="117" s="1"/>
  <c r="BV67" i="54" s="1"/>
  <c r="BL61" i="117"/>
  <c r="BN61" i="117" s="1"/>
  <c r="BW60" i="54" s="1"/>
  <c r="BL53" i="117"/>
  <c r="BN53" i="117" s="1"/>
  <c r="BW52" i="54" s="1"/>
  <c r="BK50" i="117"/>
  <c r="BJ50" i="117" s="1"/>
  <c r="BV49" i="54" s="1"/>
  <c r="BK47" i="117"/>
  <c r="BJ47" i="117" s="1"/>
  <c r="BV46" i="54" s="1"/>
  <c r="BK43" i="117"/>
  <c r="BJ43" i="117" s="1"/>
  <c r="BV42" i="54" s="1"/>
  <c r="BL38" i="117"/>
  <c r="BN38" i="117" s="1"/>
  <c r="BW37" i="54" s="1"/>
  <c r="BK49" i="117"/>
  <c r="BJ49" i="117" s="1"/>
  <c r="BV48" i="54" s="1"/>
  <c r="BL41" i="117"/>
  <c r="BN41" i="117" s="1"/>
  <c r="BW40" i="54" s="1"/>
  <c r="BK38" i="117"/>
  <c r="BJ38" i="117" s="1"/>
  <c r="BV37" i="54" s="1"/>
  <c r="BK63" i="117"/>
  <c r="BJ63" i="117" s="1"/>
  <c r="BV62" i="54" s="1"/>
  <c r="BL58" i="117"/>
  <c r="BN58" i="117" s="1"/>
  <c r="BW57" i="54" s="1"/>
  <c r="BL56" i="117"/>
  <c r="BN56" i="117" s="1"/>
  <c r="BW55" i="54" s="1"/>
  <c r="BL52" i="117"/>
  <c r="BN52" i="117" s="1"/>
  <c r="BW51" i="54" s="1"/>
  <c r="BL46" i="117"/>
  <c r="BN46" i="117" s="1"/>
  <c r="BW45" i="54" s="1"/>
  <c r="BL44" i="117"/>
  <c r="BN44" i="117" s="1"/>
  <c r="BW43" i="54" s="1"/>
  <c r="BK41" i="117"/>
  <c r="BJ41" i="117" s="1"/>
  <c r="BV40" i="54" s="1"/>
  <c r="BK58" i="117"/>
  <c r="BJ58" i="117" s="1"/>
  <c r="BV57" i="54" s="1"/>
  <c r="BK52" i="117"/>
  <c r="BJ52" i="117" s="1"/>
  <c r="BV51" i="54" s="1"/>
  <c r="BK46" i="117"/>
  <c r="BJ46" i="117" s="1"/>
  <c r="BV45" i="54" s="1"/>
  <c r="BK44" i="117"/>
  <c r="BJ44" i="117" s="1"/>
  <c r="BV43" i="54" s="1"/>
  <c r="BL39" i="117"/>
  <c r="BN39" i="117" s="1"/>
  <c r="BW38" i="54" s="1"/>
  <c r="BL47" i="117"/>
  <c r="BN47" i="117" s="1"/>
  <c r="BW46" i="54" s="1"/>
  <c r="BL43" i="117"/>
  <c r="BN43" i="117" s="1"/>
  <c r="BW42" i="54" s="1"/>
  <c r="BK40" i="117"/>
  <c r="BJ40" i="117" s="1"/>
  <c r="BV39" i="54" s="1"/>
  <c r="BL37" i="117"/>
  <c r="BN37" i="117" s="1"/>
  <c r="BW36" i="54" s="1"/>
  <c r="BL36" i="117"/>
  <c r="BN36" i="117" s="1"/>
  <c r="BW35" i="54" s="1"/>
  <c r="BK33" i="117"/>
  <c r="BJ33" i="117" s="1"/>
  <c r="BV32" i="54" s="1"/>
  <c r="BL28" i="117"/>
  <c r="BN28" i="117" s="1"/>
  <c r="BW27" i="54" s="1"/>
  <c r="BK25" i="117"/>
  <c r="BJ25" i="117" s="1"/>
  <c r="BV24" i="54" s="1"/>
  <c r="BK37" i="117"/>
  <c r="BJ37" i="117" s="1"/>
  <c r="BV36" i="54" s="1"/>
  <c r="BK36" i="117"/>
  <c r="BJ36" i="117" s="1"/>
  <c r="BV35" i="54" s="1"/>
  <c r="BL31" i="117"/>
  <c r="BN31" i="117" s="1"/>
  <c r="BW30" i="54" s="1"/>
  <c r="BK28" i="117"/>
  <c r="BJ28" i="117" s="1"/>
  <c r="BV27" i="54" s="1"/>
  <c r="BL45" i="117"/>
  <c r="BN45" i="117" s="1"/>
  <c r="BW44" i="54" s="1"/>
  <c r="BL40" i="117"/>
  <c r="BN40" i="117" s="1"/>
  <c r="BW39" i="54" s="1"/>
  <c r="BL34" i="117"/>
  <c r="BN34" i="117" s="1"/>
  <c r="BW33" i="54" s="1"/>
  <c r="BK31" i="117"/>
  <c r="BJ31" i="117" s="1"/>
  <c r="BV30" i="54" s="1"/>
  <c r="BK73" i="117"/>
  <c r="BJ73" i="117" s="1"/>
  <c r="BV72" i="54" s="1"/>
  <c r="BK45" i="117"/>
  <c r="BJ45" i="117" s="1"/>
  <c r="BV44" i="54" s="1"/>
  <c r="BK39" i="117"/>
  <c r="BJ39" i="117" s="1"/>
  <c r="BV38" i="54" s="1"/>
  <c r="BK34" i="117"/>
  <c r="BJ34" i="117" s="1"/>
  <c r="BV33" i="54" s="1"/>
  <c r="BL29" i="117"/>
  <c r="BN29" i="117" s="1"/>
  <c r="BW28" i="54" s="1"/>
  <c r="BK42" i="117"/>
  <c r="BJ42" i="117" s="1"/>
  <c r="BV41" i="54" s="1"/>
  <c r="BL33" i="117"/>
  <c r="BN33" i="117" s="1"/>
  <c r="BW32" i="54" s="1"/>
  <c r="BK30" i="117"/>
  <c r="BJ30" i="117" s="1"/>
  <c r="BV29" i="54" s="1"/>
  <c r="BL25" i="117"/>
  <c r="BN25" i="117" s="1"/>
  <c r="BW24" i="54" s="1"/>
  <c r="BL24" i="117"/>
  <c r="BN24" i="117" s="1"/>
  <c r="BW23" i="54" s="1"/>
  <c r="BK23" i="117"/>
  <c r="BJ23" i="117" s="1"/>
  <c r="BV22" i="54" s="1"/>
  <c r="BL18" i="117"/>
  <c r="BN18" i="117" s="1"/>
  <c r="BW17" i="54" s="1"/>
  <c r="BK15" i="117"/>
  <c r="BK13" i="117"/>
  <c r="BL22" i="117"/>
  <c r="BN22" i="117" s="1"/>
  <c r="BW21" i="54" s="1"/>
  <c r="BL35" i="117"/>
  <c r="BN35" i="117" s="1"/>
  <c r="BW34" i="54" s="1"/>
  <c r="BL30" i="117"/>
  <c r="BN30" i="117" s="1"/>
  <c r="BW29" i="54" s="1"/>
  <c r="BL26" i="117"/>
  <c r="BN26" i="117" s="1"/>
  <c r="BW25" i="54" s="1"/>
  <c r="BK24" i="117"/>
  <c r="BJ24" i="117" s="1"/>
  <c r="BV23" i="54" s="1"/>
  <c r="BL21" i="117"/>
  <c r="BN21" i="117" s="1"/>
  <c r="BW20" i="54" s="1"/>
  <c r="BK18" i="117"/>
  <c r="BL13" i="117"/>
  <c r="BN13" i="117" s="1"/>
  <c r="BW12" i="54" s="1"/>
  <c r="BK35" i="117"/>
  <c r="BJ35" i="117" s="1"/>
  <c r="BV34" i="54" s="1"/>
  <c r="BK29" i="117"/>
  <c r="BJ29" i="117" s="1"/>
  <c r="BV28" i="54" s="1"/>
  <c r="BK26" i="117"/>
  <c r="BJ26" i="117" s="1"/>
  <c r="BV25" i="54" s="1"/>
  <c r="BK21" i="117"/>
  <c r="BL16" i="117"/>
  <c r="BN16" i="117" s="1"/>
  <c r="BW15" i="54" s="1"/>
  <c r="BL19" i="117"/>
  <c r="BN19" i="117" s="1"/>
  <c r="BW18" i="54" s="1"/>
  <c r="BK16" i="117"/>
  <c r="BL11" i="117"/>
  <c r="BN11" i="117" s="1"/>
  <c r="BW10" i="54" s="1"/>
  <c r="BL50" i="117"/>
  <c r="BN50" i="117" s="1"/>
  <c r="BW49" i="54" s="1"/>
  <c r="BL23" i="117"/>
  <c r="BN23" i="117" s="1"/>
  <c r="BW22" i="54" s="1"/>
  <c r="BK20" i="117"/>
  <c r="BL15" i="117"/>
  <c r="BN15" i="117" s="1"/>
  <c r="BW14" i="54" s="1"/>
  <c r="BK12" i="117"/>
  <c r="BL42" i="117"/>
  <c r="BN42" i="117" s="1"/>
  <c r="BW41" i="54" s="1"/>
  <c r="BK32" i="117"/>
  <c r="BJ32" i="117" s="1"/>
  <c r="BV31" i="54" s="1"/>
  <c r="BL27" i="117"/>
  <c r="BN27" i="117" s="1"/>
  <c r="BW26" i="54" s="1"/>
  <c r="BK22" i="117"/>
  <c r="BJ22" i="117" s="1"/>
  <c r="BV21" i="54" s="1"/>
  <c r="BK11" i="117"/>
  <c r="BL14" i="117"/>
  <c r="BN14" i="117" s="1"/>
  <c r="BW13" i="54" s="1"/>
  <c r="BK27" i="117"/>
  <c r="BJ27" i="117" s="1"/>
  <c r="BV26" i="54" s="1"/>
  <c r="BL17" i="117"/>
  <c r="BN17" i="117" s="1"/>
  <c r="BW16" i="54" s="1"/>
  <c r="BL12" i="117"/>
  <c r="BN12" i="117" s="1"/>
  <c r="BW11" i="54" s="1"/>
  <c r="BK17" i="117"/>
  <c r="BK19" i="117"/>
  <c r="BK14" i="117"/>
  <c r="BL32" i="117"/>
  <c r="BN32" i="117" s="1"/>
  <c r="BW31" i="54" s="1"/>
  <c r="BL20" i="117"/>
  <c r="BN20" i="117" s="1"/>
  <c r="BW19" i="54" s="1"/>
  <c r="BL10" i="117"/>
  <c r="BN10" i="117" s="1"/>
  <c r="BW9" i="54" s="1"/>
  <c r="BK10" i="117"/>
  <c r="BE10" i="117" a="1"/>
  <c r="BE78" i="117" l="1"/>
  <c r="BD78" i="117" s="1"/>
  <c r="BP77" i="54" s="1"/>
  <c r="BF73" i="117"/>
  <c r="BH73" i="117" s="1"/>
  <c r="BQ72" i="54" s="1"/>
  <c r="BE70" i="117"/>
  <c r="BD70" i="117" s="1"/>
  <c r="BP69" i="54" s="1"/>
  <c r="BF65" i="117"/>
  <c r="BH65" i="117" s="1"/>
  <c r="BQ64" i="54" s="1"/>
  <c r="BF76" i="117"/>
  <c r="BH76" i="117" s="1"/>
  <c r="BQ75" i="54" s="1"/>
  <c r="BE73" i="117"/>
  <c r="BD73" i="117" s="1"/>
  <c r="BP72" i="54" s="1"/>
  <c r="BF68" i="117"/>
  <c r="BH68" i="117" s="1"/>
  <c r="BQ67" i="54" s="1"/>
  <c r="BE65" i="117"/>
  <c r="BD65" i="117" s="1"/>
  <c r="BP64" i="54" s="1"/>
  <c r="BF79" i="117"/>
  <c r="BH79" i="117" s="1"/>
  <c r="BQ78" i="54" s="1"/>
  <c r="BE76" i="117"/>
  <c r="BD76" i="117" s="1"/>
  <c r="BP75" i="54" s="1"/>
  <c r="BF71" i="117"/>
  <c r="BH71" i="117" s="1"/>
  <c r="BQ70" i="54" s="1"/>
  <c r="BE68" i="117"/>
  <c r="BD68" i="117" s="1"/>
  <c r="BP67" i="54" s="1"/>
  <c r="BE79" i="117"/>
  <c r="BD79" i="117" s="1"/>
  <c r="BP78" i="54" s="1"/>
  <c r="BF74" i="117"/>
  <c r="BH74" i="117" s="1"/>
  <c r="BQ73" i="54" s="1"/>
  <c r="BE71" i="117"/>
  <c r="BD71" i="117" s="1"/>
  <c r="BP70" i="54" s="1"/>
  <c r="BF66" i="117"/>
  <c r="BH66" i="117" s="1"/>
  <c r="BQ65" i="54" s="1"/>
  <c r="BF78" i="117"/>
  <c r="BH78" i="117" s="1"/>
  <c r="BQ77" i="54" s="1"/>
  <c r="BE75" i="117"/>
  <c r="BD75" i="117" s="1"/>
  <c r="BP74" i="54" s="1"/>
  <c r="BF70" i="117"/>
  <c r="BH70" i="117" s="1"/>
  <c r="BQ69" i="54" s="1"/>
  <c r="BE67" i="117"/>
  <c r="BD67" i="117" s="1"/>
  <c r="BP66" i="54" s="1"/>
  <c r="BE72" i="117"/>
  <c r="BD72" i="117" s="1"/>
  <c r="BP71" i="54" s="1"/>
  <c r="BE63" i="117"/>
  <c r="BD63" i="117" s="1"/>
  <c r="BP62" i="54" s="1"/>
  <c r="BF61" i="117"/>
  <c r="BH61" i="117" s="1"/>
  <c r="BQ60" i="54" s="1"/>
  <c r="BE58" i="117"/>
  <c r="BD58" i="117" s="1"/>
  <c r="BP57" i="54" s="1"/>
  <c r="BF69" i="117"/>
  <c r="BH69" i="117" s="1"/>
  <c r="BQ68" i="54" s="1"/>
  <c r="BE61" i="117"/>
  <c r="BD61" i="117" s="1"/>
  <c r="BP60" i="54" s="1"/>
  <c r="BF75" i="117"/>
  <c r="BH75" i="117" s="1"/>
  <c r="BQ74" i="54" s="1"/>
  <c r="BE74" i="117"/>
  <c r="BD74" i="117" s="1"/>
  <c r="BP73" i="54" s="1"/>
  <c r="BE69" i="117"/>
  <c r="BD69" i="117" s="1"/>
  <c r="BP68" i="54" s="1"/>
  <c r="BF64" i="117"/>
  <c r="BH64" i="117" s="1"/>
  <c r="BQ63" i="54" s="1"/>
  <c r="BF59" i="117"/>
  <c r="BH59" i="117" s="1"/>
  <c r="BQ58" i="54" s="1"/>
  <c r="BE56" i="117"/>
  <c r="BD56" i="117" s="1"/>
  <c r="BP55" i="54" s="1"/>
  <c r="BE77" i="117"/>
  <c r="BD77" i="117" s="1"/>
  <c r="BP76" i="54" s="1"/>
  <c r="BF72" i="117"/>
  <c r="BH72" i="117" s="1"/>
  <c r="BQ71" i="54" s="1"/>
  <c r="BF67" i="117"/>
  <c r="BH67" i="117" s="1"/>
  <c r="BQ66" i="54" s="1"/>
  <c r="BE66" i="117"/>
  <c r="BD66" i="117" s="1"/>
  <c r="BP65" i="54" s="1"/>
  <c r="BF63" i="117"/>
  <c r="BH63" i="117" s="1"/>
  <c r="BQ62" i="54" s="1"/>
  <c r="BE60" i="117"/>
  <c r="BD60" i="117" s="1"/>
  <c r="BP59" i="54" s="1"/>
  <c r="BF55" i="117"/>
  <c r="BH55" i="117" s="1"/>
  <c r="BQ54" i="54" s="1"/>
  <c r="BF77" i="117"/>
  <c r="BH77" i="117" s="1"/>
  <c r="BQ76" i="54" s="1"/>
  <c r="BF56" i="117"/>
  <c r="BH56" i="117" s="1"/>
  <c r="BQ55" i="54" s="1"/>
  <c r="BF52" i="117"/>
  <c r="BH52" i="117" s="1"/>
  <c r="BQ51" i="54" s="1"/>
  <c r="BE49" i="117"/>
  <c r="BD49" i="117" s="1"/>
  <c r="BP48" i="54" s="1"/>
  <c r="BE52" i="117"/>
  <c r="BD52" i="117" s="1"/>
  <c r="BP51" i="54" s="1"/>
  <c r="BF47" i="117"/>
  <c r="BH47" i="117" s="1"/>
  <c r="BQ46" i="54" s="1"/>
  <c r="BF50" i="117"/>
  <c r="BH50" i="117" s="1"/>
  <c r="BQ49" i="54" s="1"/>
  <c r="BF53" i="117"/>
  <c r="BH53" i="117" s="1"/>
  <c r="BQ52" i="54" s="1"/>
  <c r="BE50" i="117"/>
  <c r="BD50" i="117" s="1"/>
  <c r="BP49" i="54" s="1"/>
  <c r="BE62" i="117"/>
  <c r="BD62" i="117" s="1"/>
  <c r="BP61" i="54" s="1"/>
  <c r="BF58" i="117"/>
  <c r="BH58" i="117" s="1"/>
  <c r="BQ57" i="54" s="1"/>
  <c r="BE54" i="117"/>
  <c r="BD54" i="117" s="1"/>
  <c r="BP53" i="54" s="1"/>
  <c r="BF49" i="117"/>
  <c r="BH49" i="117" s="1"/>
  <c r="BQ48" i="54" s="1"/>
  <c r="BE46" i="117"/>
  <c r="BD46" i="117" s="1"/>
  <c r="BP45" i="54" s="1"/>
  <c r="BE57" i="117"/>
  <c r="BD57" i="117" s="1"/>
  <c r="BP56" i="54" s="1"/>
  <c r="BF42" i="117"/>
  <c r="BH42" i="117" s="1"/>
  <c r="BQ41" i="54" s="1"/>
  <c r="BE39" i="117"/>
  <c r="BD39" i="117" s="1"/>
  <c r="BP38" i="54" s="1"/>
  <c r="BE59" i="117"/>
  <c r="BD59" i="117" s="1"/>
  <c r="BP58" i="54" s="1"/>
  <c r="BE55" i="117"/>
  <c r="BD55" i="117" s="1"/>
  <c r="BP54" i="54" s="1"/>
  <c r="BF48" i="117"/>
  <c r="BH48" i="117" s="1"/>
  <c r="BQ47" i="54" s="1"/>
  <c r="BE47" i="117"/>
  <c r="BD47" i="117" s="1"/>
  <c r="BP46" i="54" s="1"/>
  <c r="BF45" i="117"/>
  <c r="BH45" i="117" s="1"/>
  <c r="BQ44" i="54" s="1"/>
  <c r="BE42" i="117"/>
  <c r="BD42" i="117" s="1"/>
  <c r="BP41" i="54" s="1"/>
  <c r="BF62" i="117"/>
  <c r="BH62" i="117" s="1"/>
  <c r="BQ61" i="54" s="1"/>
  <c r="BF60" i="117"/>
  <c r="BH60" i="117" s="1"/>
  <c r="BQ59" i="54" s="1"/>
  <c r="BF54" i="117"/>
  <c r="BH54" i="117" s="1"/>
  <c r="BQ53" i="54" s="1"/>
  <c r="BE53" i="117"/>
  <c r="BD53" i="117" s="1"/>
  <c r="BP52" i="54" s="1"/>
  <c r="BE48" i="117"/>
  <c r="BD48" i="117" s="1"/>
  <c r="BP47" i="54" s="1"/>
  <c r="BE45" i="117"/>
  <c r="BD45" i="117" s="1"/>
  <c r="BP44" i="54" s="1"/>
  <c r="BF40" i="117"/>
  <c r="BH40" i="117" s="1"/>
  <c r="BQ39" i="54" s="1"/>
  <c r="BE64" i="117"/>
  <c r="BD64" i="117" s="1"/>
  <c r="BP63" i="54" s="1"/>
  <c r="BF43" i="117"/>
  <c r="BH43" i="117" s="1"/>
  <c r="BQ42" i="54" s="1"/>
  <c r="BE40" i="117"/>
  <c r="BD40" i="117" s="1"/>
  <c r="BP39" i="54" s="1"/>
  <c r="BF57" i="117"/>
  <c r="BH57" i="117" s="1"/>
  <c r="BQ56" i="54" s="1"/>
  <c r="BE51" i="117"/>
  <c r="BD51" i="117" s="1"/>
  <c r="BP50" i="54" s="1"/>
  <c r="BE44" i="117"/>
  <c r="BD44" i="117" s="1"/>
  <c r="BP43" i="54" s="1"/>
  <c r="BF39" i="117"/>
  <c r="BH39" i="117" s="1"/>
  <c r="BQ38" i="54" s="1"/>
  <c r="BF32" i="117"/>
  <c r="BH32" i="117" s="1"/>
  <c r="BQ31" i="54" s="1"/>
  <c r="BE29" i="117"/>
  <c r="BD29" i="117" s="1"/>
  <c r="BP28" i="54" s="1"/>
  <c r="BF24" i="117"/>
  <c r="BH24" i="117" s="1"/>
  <c r="BQ23" i="54" s="1"/>
  <c r="BF38" i="117"/>
  <c r="BH38" i="117" s="1"/>
  <c r="BQ37" i="54" s="1"/>
  <c r="BF35" i="117"/>
  <c r="BH35" i="117" s="1"/>
  <c r="BQ34" i="54" s="1"/>
  <c r="BE32" i="117"/>
  <c r="BD32" i="117" s="1"/>
  <c r="BP31" i="54" s="1"/>
  <c r="BF27" i="117"/>
  <c r="BH27" i="117" s="1"/>
  <c r="BQ26" i="54" s="1"/>
  <c r="BF41" i="117"/>
  <c r="BH41" i="117" s="1"/>
  <c r="BQ40" i="54" s="1"/>
  <c r="BE38" i="117"/>
  <c r="BD38" i="117" s="1"/>
  <c r="BP37" i="54" s="1"/>
  <c r="BF37" i="117"/>
  <c r="BH37" i="117" s="1"/>
  <c r="BQ36" i="54" s="1"/>
  <c r="BE35" i="117"/>
  <c r="BD35" i="117" s="1"/>
  <c r="BP34" i="54" s="1"/>
  <c r="BF30" i="117"/>
  <c r="BH30" i="117" s="1"/>
  <c r="BQ29" i="54" s="1"/>
  <c r="BF46" i="117"/>
  <c r="BH46" i="117" s="1"/>
  <c r="BQ45" i="54" s="1"/>
  <c r="BE41" i="117"/>
  <c r="BD41" i="117" s="1"/>
  <c r="BP40" i="54" s="1"/>
  <c r="BE37" i="117"/>
  <c r="BD37" i="117" s="1"/>
  <c r="BP36" i="54" s="1"/>
  <c r="BF33" i="117"/>
  <c r="BH33" i="117" s="1"/>
  <c r="BQ32" i="54" s="1"/>
  <c r="BE30" i="117"/>
  <c r="BD30" i="117" s="1"/>
  <c r="BP29" i="54" s="1"/>
  <c r="BE34" i="117"/>
  <c r="BD34" i="117" s="1"/>
  <c r="BP33" i="54" s="1"/>
  <c r="BF29" i="117"/>
  <c r="BH29" i="117" s="1"/>
  <c r="BQ28" i="54" s="1"/>
  <c r="BE26" i="117"/>
  <c r="BD26" i="117" s="1"/>
  <c r="BP25" i="54" s="1"/>
  <c r="BF44" i="117"/>
  <c r="BH44" i="117" s="1"/>
  <c r="BQ43" i="54" s="1"/>
  <c r="BF36" i="117"/>
  <c r="BH36" i="117" s="1"/>
  <c r="BQ35" i="54" s="1"/>
  <c r="BF22" i="117"/>
  <c r="BH22" i="117" s="1"/>
  <c r="BQ21" i="54" s="1"/>
  <c r="BE19" i="117"/>
  <c r="BF14" i="117"/>
  <c r="BH14" i="117" s="1"/>
  <c r="BQ13" i="54" s="1"/>
  <c r="BE11" i="117"/>
  <c r="BF12" i="117"/>
  <c r="BH12" i="117" s="1"/>
  <c r="BQ11" i="54" s="1"/>
  <c r="BF28" i="117"/>
  <c r="BH28" i="117" s="1"/>
  <c r="BE36" i="117"/>
  <c r="BD36" i="117" s="1"/>
  <c r="BP35" i="54" s="1"/>
  <c r="BF31" i="117"/>
  <c r="BH31" i="117" s="1"/>
  <c r="BQ30" i="54" s="1"/>
  <c r="BF25" i="117"/>
  <c r="BH25" i="117" s="1"/>
  <c r="BQ24" i="54" s="1"/>
  <c r="BE22" i="117"/>
  <c r="BF17" i="117"/>
  <c r="BH17" i="117" s="1"/>
  <c r="BQ16" i="54" s="1"/>
  <c r="BE14" i="117"/>
  <c r="BE17" i="117"/>
  <c r="BE31" i="117"/>
  <c r="BD31" i="117" s="1"/>
  <c r="BP30" i="54" s="1"/>
  <c r="BE25" i="117"/>
  <c r="BD25" i="117" s="1"/>
  <c r="BP24" i="54" s="1"/>
  <c r="BF20" i="117"/>
  <c r="BH20" i="117" s="1"/>
  <c r="BQ19" i="54" s="1"/>
  <c r="BE23" i="117"/>
  <c r="BE24" i="117"/>
  <c r="BF23" i="117"/>
  <c r="BH23" i="117" s="1"/>
  <c r="BQ22" i="54" s="1"/>
  <c r="BE20" i="117"/>
  <c r="BF15" i="117"/>
  <c r="BH15" i="117" s="1"/>
  <c r="BQ14" i="54" s="1"/>
  <c r="BE12" i="117"/>
  <c r="BE43" i="117"/>
  <c r="BD43" i="117" s="1"/>
  <c r="BP42" i="54" s="1"/>
  <c r="BE27" i="117"/>
  <c r="BD27" i="117" s="1"/>
  <c r="BP26" i="54" s="1"/>
  <c r="BF19" i="117"/>
  <c r="BH19" i="117" s="1"/>
  <c r="BQ18" i="54" s="1"/>
  <c r="BE16" i="117"/>
  <c r="BF11" i="117"/>
  <c r="BH11" i="117" s="1"/>
  <c r="BQ10" i="54" s="1"/>
  <c r="BF18" i="117"/>
  <c r="BH18" i="117" s="1"/>
  <c r="BQ17" i="54" s="1"/>
  <c r="BE13" i="117"/>
  <c r="BF34" i="117"/>
  <c r="BH34" i="117" s="1"/>
  <c r="BQ33" i="54" s="1"/>
  <c r="BF21" i="117"/>
  <c r="BH21" i="117" s="1"/>
  <c r="BQ20" i="54" s="1"/>
  <c r="BF26" i="117"/>
  <c r="BH26" i="117" s="1"/>
  <c r="BQ25" i="54" s="1"/>
  <c r="BE18" i="117"/>
  <c r="BF13" i="117"/>
  <c r="BH13" i="117" s="1"/>
  <c r="BQ12" i="54" s="1"/>
  <c r="BE33" i="117"/>
  <c r="BD33" i="117" s="1"/>
  <c r="BP32" i="54" s="1"/>
  <c r="BF51" i="117"/>
  <c r="BH51" i="117" s="1"/>
  <c r="BQ50" i="54" s="1"/>
  <c r="BE15" i="117"/>
  <c r="BE28" i="117"/>
  <c r="BD28" i="117" s="1"/>
  <c r="BE21" i="117"/>
  <c r="BF16" i="117"/>
  <c r="BH16" i="117" s="1"/>
  <c r="BQ15" i="54" s="1"/>
  <c r="BE10" i="117"/>
  <c r="BF10" i="117"/>
  <c r="BH10" i="117" s="1"/>
  <c r="BQ9" i="54" s="1"/>
  <c r="AY10" i="117" a="1"/>
  <c r="AZ77" i="117" l="1"/>
  <c r="BB77" i="117" s="1"/>
  <c r="BK76" i="54" s="1"/>
  <c r="AY74" i="117"/>
  <c r="AX74" i="117" s="1"/>
  <c r="BJ73" i="54" s="1"/>
  <c r="AZ69" i="117"/>
  <c r="BB69" i="117" s="1"/>
  <c r="BK68" i="54" s="1"/>
  <c r="AY66" i="117"/>
  <c r="AX66" i="117" s="1"/>
  <c r="BJ65" i="54" s="1"/>
  <c r="AY77" i="117"/>
  <c r="AX77" i="117" s="1"/>
  <c r="BJ76" i="54" s="1"/>
  <c r="AZ72" i="117"/>
  <c r="BB72" i="117" s="1"/>
  <c r="BK71" i="54" s="1"/>
  <c r="AY69" i="117"/>
  <c r="AX69" i="117" s="1"/>
  <c r="BJ68" i="54" s="1"/>
  <c r="AZ64" i="117"/>
  <c r="BB64" i="117" s="1"/>
  <c r="BK63" i="54" s="1"/>
  <c r="AZ75" i="117"/>
  <c r="BB75" i="117" s="1"/>
  <c r="BK74" i="54" s="1"/>
  <c r="AY72" i="117"/>
  <c r="AX72" i="117" s="1"/>
  <c r="BJ71" i="54" s="1"/>
  <c r="AZ67" i="117"/>
  <c r="BB67" i="117" s="1"/>
  <c r="BK66" i="54" s="1"/>
  <c r="AZ78" i="117"/>
  <c r="BB78" i="117" s="1"/>
  <c r="BK77" i="54" s="1"/>
  <c r="AY75" i="117"/>
  <c r="AX75" i="117" s="1"/>
  <c r="BJ74" i="54" s="1"/>
  <c r="AZ70" i="117"/>
  <c r="BB70" i="117" s="1"/>
  <c r="BK69" i="54" s="1"/>
  <c r="AY67" i="117"/>
  <c r="AX67" i="117" s="1"/>
  <c r="BJ66" i="54" s="1"/>
  <c r="AY79" i="117"/>
  <c r="AX79" i="117" s="1"/>
  <c r="BJ78" i="54" s="1"/>
  <c r="AZ74" i="117"/>
  <c r="BB74" i="117" s="1"/>
  <c r="BK73" i="54" s="1"/>
  <c r="AY71" i="117"/>
  <c r="AX71" i="117" s="1"/>
  <c r="BJ70" i="54" s="1"/>
  <c r="AZ66" i="117"/>
  <c r="BB66" i="117" s="1"/>
  <c r="BK65" i="54" s="1"/>
  <c r="AZ62" i="117"/>
  <c r="BB62" i="117" s="1"/>
  <c r="BK61" i="54" s="1"/>
  <c r="AY59" i="117"/>
  <c r="AX59" i="117" s="1"/>
  <c r="BJ58" i="54" s="1"/>
  <c r="AY62" i="117"/>
  <c r="AX62" i="117" s="1"/>
  <c r="BJ61" i="54" s="1"/>
  <c r="AZ57" i="117"/>
  <c r="BB57" i="117" s="1"/>
  <c r="BK56" i="54" s="1"/>
  <c r="AZ76" i="117"/>
  <c r="BB76" i="117" s="1"/>
  <c r="BK75" i="54" s="1"/>
  <c r="AZ71" i="117"/>
  <c r="BB71" i="117" s="1"/>
  <c r="BK70" i="54" s="1"/>
  <c r="AZ65" i="117"/>
  <c r="BB65" i="117" s="1"/>
  <c r="BK64" i="54" s="1"/>
  <c r="AY76" i="117"/>
  <c r="AX76" i="117" s="1"/>
  <c r="BJ75" i="54" s="1"/>
  <c r="AY70" i="117"/>
  <c r="AX70" i="117" s="1"/>
  <c r="BJ69" i="54" s="1"/>
  <c r="AY65" i="117"/>
  <c r="AX65" i="117" s="1"/>
  <c r="BJ64" i="54" s="1"/>
  <c r="AZ63" i="117"/>
  <c r="BB63" i="117" s="1"/>
  <c r="BK62" i="54" s="1"/>
  <c r="AY60" i="117"/>
  <c r="AX60" i="117" s="1"/>
  <c r="BJ59" i="54" s="1"/>
  <c r="AY78" i="117"/>
  <c r="AX78" i="117" s="1"/>
  <c r="BJ77" i="54" s="1"/>
  <c r="AY73" i="117"/>
  <c r="AX73" i="117" s="1"/>
  <c r="BJ72" i="54" s="1"/>
  <c r="AY68" i="117"/>
  <c r="AX68" i="117" s="1"/>
  <c r="BJ67" i="54" s="1"/>
  <c r="AY64" i="117"/>
  <c r="AX64" i="117" s="1"/>
  <c r="BJ63" i="54" s="1"/>
  <c r="AZ59" i="117"/>
  <c r="BB59" i="117" s="1"/>
  <c r="BK58" i="54" s="1"/>
  <c r="AY56" i="117"/>
  <c r="AX56" i="117" s="1"/>
  <c r="BJ55" i="54" s="1"/>
  <c r="AZ55" i="117"/>
  <c r="BB55" i="117" s="1"/>
  <c r="BK54" i="54" s="1"/>
  <c r="AY53" i="117"/>
  <c r="AX53" i="117" s="1"/>
  <c r="BJ52" i="54" s="1"/>
  <c r="AZ48" i="117"/>
  <c r="BB48" i="117" s="1"/>
  <c r="BK47" i="54" s="1"/>
  <c r="AZ68" i="117"/>
  <c r="BB68" i="117" s="1"/>
  <c r="BK67" i="54" s="1"/>
  <c r="AZ58" i="117"/>
  <c r="BB58" i="117" s="1"/>
  <c r="BK57" i="54" s="1"/>
  <c r="AY55" i="117"/>
  <c r="AX55" i="117" s="1"/>
  <c r="BJ54" i="54" s="1"/>
  <c r="AZ51" i="117"/>
  <c r="BB51" i="117" s="1"/>
  <c r="BK50" i="54" s="1"/>
  <c r="AY48" i="117"/>
  <c r="AX48" i="117" s="1"/>
  <c r="BJ47" i="54" s="1"/>
  <c r="AZ61" i="117"/>
  <c r="BB61" i="117" s="1"/>
  <c r="BK60" i="54" s="1"/>
  <c r="AY58" i="117"/>
  <c r="AX58" i="117" s="1"/>
  <c r="BJ57" i="54" s="1"/>
  <c r="AZ54" i="117"/>
  <c r="BB54" i="117" s="1"/>
  <c r="BK53" i="54" s="1"/>
  <c r="AY51" i="117"/>
  <c r="AX51" i="117" s="1"/>
  <c r="BJ50" i="54" s="1"/>
  <c r="AZ79" i="117"/>
  <c r="BB79" i="117" s="1"/>
  <c r="BK78" i="54" s="1"/>
  <c r="AY61" i="117"/>
  <c r="AX61" i="117" s="1"/>
  <c r="BJ60" i="54" s="1"/>
  <c r="AZ56" i="117"/>
  <c r="BB56" i="117" s="1"/>
  <c r="BK55" i="54" s="1"/>
  <c r="AY54" i="117"/>
  <c r="AX54" i="117" s="1"/>
  <c r="BJ53" i="54" s="1"/>
  <c r="AZ49" i="117"/>
  <c r="BB49" i="117" s="1"/>
  <c r="BK48" i="54" s="1"/>
  <c r="AY63" i="117"/>
  <c r="AX63" i="117" s="1"/>
  <c r="BJ62" i="54" s="1"/>
  <c r="AZ60" i="117"/>
  <c r="BB60" i="117" s="1"/>
  <c r="BK59" i="54" s="1"/>
  <c r="AY57" i="117"/>
  <c r="AX57" i="117" s="1"/>
  <c r="BJ56" i="54" s="1"/>
  <c r="AZ53" i="117"/>
  <c r="BB53" i="117" s="1"/>
  <c r="BK52" i="54" s="1"/>
  <c r="AY50" i="117"/>
  <c r="AX50" i="117" s="1"/>
  <c r="BJ49" i="54" s="1"/>
  <c r="AY43" i="117"/>
  <c r="AX43" i="117" s="1"/>
  <c r="BJ42" i="54" s="1"/>
  <c r="AZ38" i="117"/>
  <c r="BB38" i="117" s="1"/>
  <c r="BK37" i="54" s="1"/>
  <c r="AZ50" i="117"/>
  <c r="BB50" i="117" s="1"/>
  <c r="BK49" i="54" s="1"/>
  <c r="AZ46" i="117"/>
  <c r="BB46" i="117" s="1"/>
  <c r="BK45" i="54" s="1"/>
  <c r="AZ41" i="117"/>
  <c r="BB41" i="117" s="1"/>
  <c r="BK40" i="54" s="1"/>
  <c r="AY46" i="117"/>
  <c r="AX46" i="117" s="1"/>
  <c r="BJ45" i="54" s="1"/>
  <c r="AZ44" i="117"/>
  <c r="BB44" i="117" s="1"/>
  <c r="BK43" i="54" s="1"/>
  <c r="AY41" i="117"/>
  <c r="AX41" i="117" s="1"/>
  <c r="BJ40" i="54" s="1"/>
  <c r="AZ47" i="117"/>
  <c r="BB47" i="117" s="1"/>
  <c r="BK46" i="54" s="1"/>
  <c r="AY44" i="117"/>
  <c r="AX44" i="117" s="1"/>
  <c r="BJ43" i="54" s="1"/>
  <c r="AZ39" i="117"/>
  <c r="BB39" i="117" s="1"/>
  <c r="BK38" i="54" s="1"/>
  <c r="AZ73" i="117"/>
  <c r="BB73" i="117" s="1"/>
  <c r="BK72" i="54" s="1"/>
  <c r="AZ43" i="117"/>
  <c r="BB43" i="117" s="1"/>
  <c r="BK42" i="54" s="1"/>
  <c r="AY40" i="117"/>
  <c r="AX40" i="117" s="1"/>
  <c r="BJ39" i="54" s="1"/>
  <c r="AZ36" i="117"/>
  <c r="BB36" i="117" s="1"/>
  <c r="BK35" i="54" s="1"/>
  <c r="AY33" i="117"/>
  <c r="AX33" i="117" s="1"/>
  <c r="BJ32" i="54" s="1"/>
  <c r="AZ28" i="117"/>
  <c r="BB28" i="117" s="1"/>
  <c r="AY25" i="117"/>
  <c r="AX25" i="117" s="1"/>
  <c r="BJ24" i="54" s="1"/>
  <c r="AZ42" i="117"/>
  <c r="BB42" i="117" s="1"/>
  <c r="BK41" i="54" s="1"/>
  <c r="AY36" i="117"/>
  <c r="AX36" i="117" s="1"/>
  <c r="BJ35" i="54" s="1"/>
  <c r="AZ31" i="117"/>
  <c r="BB31" i="117" s="1"/>
  <c r="BK30" i="54" s="1"/>
  <c r="AY28" i="117"/>
  <c r="AX28" i="117" s="1"/>
  <c r="AY42" i="117"/>
  <c r="AX42" i="117" s="1"/>
  <c r="BJ41" i="54" s="1"/>
  <c r="AZ34" i="117"/>
  <c r="BB34" i="117" s="1"/>
  <c r="BK33" i="54" s="1"/>
  <c r="AY31" i="117"/>
  <c r="AX31" i="117" s="1"/>
  <c r="BJ30" i="54" s="1"/>
  <c r="AY34" i="117"/>
  <c r="AX34" i="117" s="1"/>
  <c r="BJ33" i="54" s="1"/>
  <c r="AZ29" i="117"/>
  <c r="BB29" i="117" s="1"/>
  <c r="BK28" i="54" s="1"/>
  <c r="AY47" i="117"/>
  <c r="AX47" i="117" s="1"/>
  <c r="BJ46" i="54" s="1"/>
  <c r="AY37" i="117"/>
  <c r="AX37" i="117" s="1"/>
  <c r="BJ36" i="54" s="1"/>
  <c r="AZ33" i="117"/>
  <c r="BB33" i="117" s="1"/>
  <c r="BK32" i="54" s="1"/>
  <c r="AY30" i="117"/>
  <c r="AX30" i="117" s="1"/>
  <c r="BJ29" i="54" s="1"/>
  <c r="AZ25" i="117"/>
  <c r="BB25" i="117" s="1"/>
  <c r="BK24" i="54" s="1"/>
  <c r="AZ45" i="117"/>
  <c r="BB45" i="117" s="1"/>
  <c r="BK44" i="54" s="1"/>
  <c r="AZ32" i="117"/>
  <c r="BB32" i="117" s="1"/>
  <c r="BK31" i="54" s="1"/>
  <c r="AY23" i="117"/>
  <c r="AZ18" i="117"/>
  <c r="BB18" i="117" s="1"/>
  <c r="BK17" i="54" s="1"/>
  <c r="CD14" i="167" s="1"/>
  <c r="CE14" i="167" s="1"/>
  <c r="AY15" i="117"/>
  <c r="AZ52" i="117"/>
  <c r="BB52" i="117" s="1"/>
  <c r="BK51" i="54" s="1"/>
  <c r="AY45" i="117"/>
  <c r="AX45" i="117" s="1"/>
  <c r="BJ44" i="54" s="1"/>
  <c r="AY32" i="117"/>
  <c r="AX32" i="117" s="1"/>
  <c r="BJ31" i="54" s="1"/>
  <c r="AZ21" i="117"/>
  <c r="BB21" i="117" s="1"/>
  <c r="BK20" i="54" s="1"/>
  <c r="CD17" i="167" s="1"/>
  <c r="CE17" i="167" s="1"/>
  <c r="AY18" i="117"/>
  <c r="AZ13" i="117"/>
  <c r="BB13" i="117" s="1"/>
  <c r="BK12" i="54" s="1"/>
  <c r="CD9" i="167" s="1"/>
  <c r="CE9" i="167" s="1"/>
  <c r="AY52" i="117"/>
  <c r="AX52" i="117" s="1"/>
  <c r="BJ51" i="54" s="1"/>
  <c r="AY49" i="117"/>
  <c r="AX49" i="117" s="1"/>
  <c r="BJ48" i="54" s="1"/>
  <c r="AZ27" i="117"/>
  <c r="BB27" i="117" s="1"/>
  <c r="BK26" i="54" s="1"/>
  <c r="AY21" i="117"/>
  <c r="AZ37" i="117"/>
  <c r="BB37" i="117" s="1"/>
  <c r="BK36" i="54" s="1"/>
  <c r="AY27" i="117"/>
  <c r="AX27" i="117" s="1"/>
  <c r="BJ26" i="54" s="1"/>
  <c r="AZ19" i="117"/>
  <c r="BB19" i="117" s="1"/>
  <c r="BK18" i="54" s="1"/>
  <c r="CD15" i="167" s="1"/>
  <c r="CE15" i="167" s="1"/>
  <c r="AY16" i="117"/>
  <c r="AZ11" i="117"/>
  <c r="BB11" i="117" s="1"/>
  <c r="BK10" i="54" s="1"/>
  <c r="CD7" i="167" s="1"/>
  <c r="CE7" i="167" s="1"/>
  <c r="AY26" i="117"/>
  <c r="AX26" i="117" s="1"/>
  <c r="BJ25" i="54" s="1"/>
  <c r="AY24" i="117"/>
  <c r="AZ23" i="117"/>
  <c r="BB23" i="117" s="1"/>
  <c r="BK22" i="54" s="1"/>
  <c r="CD19" i="167" s="1"/>
  <c r="CE19" i="167" s="1"/>
  <c r="AY20" i="117"/>
  <c r="AZ15" i="117"/>
  <c r="BB15" i="117" s="1"/>
  <c r="BK14" i="54" s="1"/>
  <c r="CD11" i="167" s="1"/>
  <c r="CE11" i="167" s="1"/>
  <c r="AY12" i="117"/>
  <c r="AZ16" i="117"/>
  <c r="BB16" i="117" s="1"/>
  <c r="BK15" i="54" s="1"/>
  <c r="CD12" i="167" s="1"/>
  <c r="CE12" i="167" s="1"/>
  <c r="AY13" i="117"/>
  <c r="AZ35" i="117"/>
  <c r="BB35" i="117" s="1"/>
  <c r="BK34" i="54" s="1"/>
  <c r="AZ30" i="117"/>
  <c r="BB30" i="117" s="1"/>
  <c r="BK29" i="54" s="1"/>
  <c r="AZ22" i="117"/>
  <c r="BB22" i="117" s="1"/>
  <c r="BK21" i="54" s="1"/>
  <c r="CD18" i="167" s="1"/>
  <c r="CE18" i="167" s="1"/>
  <c r="AY35" i="117"/>
  <c r="AX35" i="117" s="1"/>
  <c r="BJ34" i="54" s="1"/>
  <c r="AZ20" i="117"/>
  <c r="BB20" i="117" s="1"/>
  <c r="BK19" i="54" s="1"/>
  <c r="CD16" i="167" s="1"/>
  <c r="CE16" i="167" s="1"/>
  <c r="AZ14" i="117"/>
  <c r="BB14" i="117" s="1"/>
  <c r="BK13" i="54" s="1"/>
  <c r="CD10" i="167" s="1"/>
  <c r="CE10" i="167" s="1"/>
  <c r="AZ17" i="117"/>
  <c r="BB17" i="117" s="1"/>
  <c r="BK16" i="54" s="1"/>
  <c r="CD13" i="167" s="1"/>
  <c r="CE13" i="167" s="1"/>
  <c r="AY17" i="117"/>
  <c r="AY11" i="117"/>
  <c r="AZ40" i="117"/>
  <c r="BB40" i="117" s="1"/>
  <c r="BK39" i="54" s="1"/>
  <c r="AY29" i="117"/>
  <c r="AX29" i="117" s="1"/>
  <c r="BJ28" i="54" s="1"/>
  <c r="AY39" i="117"/>
  <c r="AX39" i="117" s="1"/>
  <c r="BJ38" i="54" s="1"/>
  <c r="AY19" i="117"/>
  <c r="AY14" i="117"/>
  <c r="AZ26" i="117"/>
  <c r="BB26" i="117" s="1"/>
  <c r="BK25" i="54" s="1"/>
  <c r="AY22" i="117"/>
  <c r="AY38" i="117"/>
  <c r="AX38" i="117" s="1"/>
  <c r="BJ37" i="54" s="1"/>
  <c r="AZ24" i="117"/>
  <c r="BB24" i="117" s="1"/>
  <c r="BK23" i="54" s="1"/>
  <c r="CD20" i="167" s="1"/>
  <c r="CE20" i="167" s="1"/>
  <c r="AZ12" i="117"/>
  <c r="BB12" i="117" s="1"/>
  <c r="BK11" i="54" s="1"/>
  <c r="CD8" i="167" s="1"/>
  <c r="CE8" i="167" s="1"/>
  <c r="AY10" i="117"/>
  <c r="AZ10" i="117"/>
  <c r="BB10" i="117" s="1"/>
  <c r="BK9" i="54" s="1"/>
  <c r="CD6" i="167" s="1"/>
  <c r="CE6" i="167" s="1"/>
  <c r="AS10" i="117" a="1"/>
  <c r="AS78" i="117" l="1"/>
  <c r="AR78" i="117" s="1"/>
  <c r="AZ77" i="54" s="1"/>
  <c r="AT73" i="117"/>
  <c r="AV73" i="117" s="1"/>
  <c r="BA72" i="54" s="1"/>
  <c r="BB72" i="54" s="1"/>
  <c r="AS70" i="117"/>
  <c r="AR70" i="117" s="1"/>
  <c r="AZ69" i="54" s="1"/>
  <c r="AT65" i="117"/>
  <c r="AV65" i="117" s="1"/>
  <c r="BA64" i="54" s="1"/>
  <c r="BB64" i="54" s="1"/>
  <c r="AT76" i="117"/>
  <c r="AV76" i="117" s="1"/>
  <c r="BA75" i="54" s="1"/>
  <c r="BB75" i="54" s="1"/>
  <c r="AS73" i="117"/>
  <c r="AR73" i="117" s="1"/>
  <c r="AZ72" i="54" s="1"/>
  <c r="AT68" i="117"/>
  <c r="AV68" i="117" s="1"/>
  <c r="BA67" i="54" s="1"/>
  <c r="BB67" i="54" s="1"/>
  <c r="AS65" i="117"/>
  <c r="AR65" i="117" s="1"/>
  <c r="AZ64" i="54" s="1"/>
  <c r="AT79" i="117"/>
  <c r="AV79" i="117" s="1"/>
  <c r="BA78" i="54" s="1"/>
  <c r="BB78" i="54" s="1"/>
  <c r="AS76" i="117"/>
  <c r="AR76" i="117" s="1"/>
  <c r="AZ75" i="54" s="1"/>
  <c r="AT71" i="117"/>
  <c r="AV71" i="117" s="1"/>
  <c r="BA70" i="54" s="1"/>
  <c r="BB70" i="54" s="1"/>
  <c r="AS68" i="117"/>
  <c r="AR68" i="117" s="1"/>
  <c r="AZ67" i="54" s="1"/>
  <c r="AS79" i="117"/>
  <c r="AR79" i="117" s="1"/>
  <c r="AZ78" i="54" s="1"/>
  <c r="AT74" i="117"/>
  <c r="AV74" i="117" s="1"/>
  <c r="BA73" i="54" s="1"/>
  <c r="BB73" i="54" s="1"/>
  <c r="AS71" i="117"/>
  <c r="AR71" i="117" s="1"/>
  <c r="AZ70" i="54" s="1"/>
  <c r="AT66" i="117"/>
  <c r="AV66" i="117" s="1"/>
  <c r="BA65" i="54" s="1"/>
  <c r="BB65" i="54" s="1"/>
  <c r="AT78" i="117"/>
  <c r="AV78" i="117" s="1"/>
  <c r="BA77" i="54" s="1"/>
  <c r="BB77" i="54" s="1"/>
  <c r="AS75" i="117"/>
  <c r="AR75" i="117" s="1"/>
  <c r="AZ74" i="54" s="1"/>
  <c r="AT70" i="117"/>
  <c r="AV70" i="117" s="1"/>
  <c r="BA69" i="54" s="1"/>
  <c r="BB69" i="54" s="1"/>
  <c r="AS67" i="117"/>
  <c r="AR67" i="117" s="1"/>
  <c r="AZ66" i="54" s="1"/>
  <c r="AS63" i="117"/>
  <c r="AR63" i="117" s="1"/>
  <c r="AZ62" i="54" s="1"/>
  <c r="AT77" i="117"/>
  <c r="AV77" i="117" s="1"/>
  <c r="BA76" i="54" s="1"/>
  <c r="BB76" i="54" s="1"/>
  <c r="AT61" i="117"/>
  <c r="AV61" i="117" s="1"/>
  <c r="BA60" i="54" s="1"/>
  <c r="BB60" i="54" s="1"/>
  <c r="AS58" i="117"/>
  <c r="AR58" i="117" s="1"/>
  <c r="AZ57" i="54" s="1"/>
  <c r="AS77" i="117"/>
  <c r="AR77" i="117" s="1"/>
  <c r="AZ76" i="54" s="1"/>
  <c r="AT72" i="117"/>
  <c r="AV72" i="117" s="1"/>
  <c r="BA71" i="54" s="1"/>
  <c r="BB71" i="54" s="1"/>
  <c r="AT67" i="117"/>
  <c r="AV67" i="117" s="1"/>
  <c r="BA66" i="54" s="1"/>
  <c r="BB66" i="54" s="1"/>
  <c r="AS66" i="117"/>
  <c r="AR66" i="117" s="1"/>
  <c r="AZ65" i="54" s="1"/>
  <c r="AT64" i="117"/>
  <c r="AV64" i="117" s="1"/>
  <c r="BA63" i="54" s="1"/>
  <c r="BB63" i="54" s="1"/>
  <c r="AS61" i="117"/>
  <c r="AR61" i="117" s="1"/>
  <c r="AZ60" i="54" s="1"/>
  <c r="AS72" i="117"/>
  <c r="AR72" i="117" s="1"/>
  <c r="AZ71" i="54" s="1"/>
  <c r="AS64" i="117"/>
  <c r="AR64" i="117" s="1"/>
  <c r="AZ63" i="54" s="1"/>
  <c r="AT59" i="117"/>
  <c r="AV59" i="117" s="1"/>
  <c r="BA58" i="54" s="1"/>
  <c r="BB58" i="54" s="1"/>
  <c r="AS56" i="117"/>
  <c r="AR56" i="117" s="1"/>
  <c r="AZ55" i="54" s="1"/>
  <c r="AT63" i="117"/>
  <c r="AV63" i="117" s="1"/>
  <c r="BA62" i="54" s="1"/>
  <c r="BB62" i="54" s="1"/>
  <c r="AS60" i="117"/>
  <c r="AR60" i="117" s="1"/>
  <c r="AZ59" i="54" s="1"/>
  <c r="AT55" i="117"/>
  <c r="AV55" i="117" s="1"/>
  <c r="BA54" i="54" s="1"/>
  <c r="BB54" i="54" s="1"/>
  <c r="AT75" i="117"/>
  <c r="AV75" i="117" s="1"/>
  <c r="BA74" i="54" s="1"/>
  <c r="BB74" i="54" s="1"/>
  <c r="AS59" i="117"/>
  <c r="AR59" i="117" s="1"/>
  <c r="AZ58" i="54" s="1"/>
  <c r="AT52" i="117"/>
  <c r="AV52" i="117" s="1"/>
  <c r="BA51" i="54" s="1"/>
  <c r="BB51" i="54" s="1"/>
  <c r="AS49" i="117"/>
  <c r="AR49" i="117" s="1"/>
  <c r="AZ48" i="54" s="1"/>
  <c r="AT69" i="117"/>
  <c r="AV69" i="117" s="1"/>
  <c r="BA68" i="54" s="1"/>
  <c r="BB68" i="54" s="1"/>
  <c r="AT62" i="117"/>
  <c r="AV62" i="117" s="1"/>
  <c r="BA61" i="54" s="1"/>
  <c r="BB61" i="54" s="1"/>
  <c r="AT57" i="117"/>
  <c r="AV57" i="117" s="1"/>
  <c r="BA56" i="54" s="1"/>
  <c r="BB56" i="54" s="1"/>
  <c r="AS52" i="117"/>
  <c r="AR52" i="117" s="1"/>
  <c r="AZ51" i="54" s="1"/>
  <c r="AT47" i="117"/>
  <c r="AV47" i="117" s="1"/>
  <c r="BA46" i="54" s="1"/>
  <c r="BB46" i="54" s="1"/>
  <c r="AS69" i="117"/>
  <c r="AR69" i="117" s="1"/>
  <c r="AZ68" i="54" s="1"/>
  <c r="AS62" i="117"/>
  <c r="AR62" i="117" s="1"/>
  <c r="AZ61" i="54" s="1"/>
  <c r="AT60" i="117"/>
  <c r="AV60" i="117" s="1"/>
  <c r="BA59" i="54" s="1"/>
  <c r="BB59" i="54" s="1"/>
  <c r="AS57" i="117"/>
  <c r="AR57" i="117" s="1"/>
  <c r="AZ56" i="54" s="1"/>
  <c r="AT50" i="117"/>
  <c r="AV50" i="117" s="1"/>
  <c r="BA49" i="54" s="1"/>
  <c r="BB49" i="54" s="1"/>
  <c r="AT53" i="117"/>
  <c r="AV53" i="117" s="1"/>
  <c r="BA52" i="54" s="1"/>
  <c r="BB52" i="54" s="1"/>
  <c r="AS50" i="117"/>
  <c r="AR50" i="117" s="1"/>
  <c r="AZ49" i="54" s="1"/>
  <c r="AS74" i="117"/>
  <c r="AR74" i="117" s="1"/>
  <c r="AZ73" i="54" s="1"/>
  <c r="AS54" i="117"/>
  <c r="AR54" i="117" s="1"/>
  <c r="AZ53" i="54" s="1"/>
  <c r="AT49" i="117"/>
  <c r="AV49" i="117" s="1"/>
  <c r="BA48" i="54" s="1"/>
  <c r="BB48" i="54" s="1"/>
  <c r="AS46" i="117"/>
  <c r="AR46" i="117" s="1"/>
  <c r="AZ45" i="54" s="1"/>
  <c r="AT42" i="117"/>
  <c r="AV42" i="117" s="1"/>
  <c r="BA41" i="54" s="1"/>
  <c r="BB41" i="54" s="1"/>
  <c r="AS39" i="117"/>
  <c r="AR39" i="117" s="1"/>
  <c r="AZ38" i="54" s="1"/>
  <c r="AT51" i="117"/>
  <c r="AV51" i="117" s="1"/>
  <c r="BA50" i="54" s="1"/>
  <c r="BB50" i="54" s="1"/>
  <c r="AT45" i="117"/>
  <c r="AV45" i="117" s="1"/>
  <c r="BA44" i="54" s="1"/>
  <c r="BB44" i="54" s="1"/>
  <c r="AS42" i="117"/>
  <c r="AR42" i="117" s="1"/>
  <c r="AZ41" i="54" s="1"/>
  <c r="AS51" i="117"/>
  <c r="AR51" i="117" s="1"/>
  <c r="AZ50" i="54" s="1"/>
  <c r="AS45" i="117"/>
  <c r="AR45" i="117" s="1"/>
  <c r="AZ44" i="54" s="1"/>
  <c r="AT40" i="117"/>
  <c r="AV40" i="117" s="1"/>
  <c r="BA39" i="54" s="1"/>
  <c r="BB39" i="54" s="1"/>
  <c r="AS55" i="117"/>
  <c r="AR55" i="117" s="1"/>
  <c r="AZ54" i="54" s="1"/>
  <c r="AT43" i="117"/>
  <c r="AV43" i="117" s="1"/>
  <c r="BA42" i="54" s="1"/>
  <c r="BB42" i="54" s="1"/>
  <c r="AS40" i="117"/>
  <c r="AR40" i="117" s="1"/>
  <c r="AZ39" i="54" s="1"/>
  <c r="AS44" i="117"/>
  <c r="AR44" i="117" s="1"/>
  <c r="AZ43" i="54" s="1"/>
  <c r="AT39" i="117"/>
  <c r="AV39" i="117" s="1"/>
  <c r="BA38" i="54" s="1"/>
  <c r="BB38" i="54" s="1"/>
  <c r="AT58" i="117"/>
  <c r="AV58" i="117" s="1"/>
  <c r="BA57" i="54" s="1"/>
  <c r="BB57" i="54" s="1"/>
  <c r="AS47" i="117"/>
  <c r="AR47" i="117" s="1"/>
  <c r="AZ46" i="54" s="1"/>
  <c r="AS38" i="117"/>
  <c r="AR38" i="117" s="1"/>
  <c r="AZ37" i="54" s="1"/>
  <c r="AT37" i="117"/>
  <c r="AV37" i="117" s="1"/>
  <c r="BA36" i="54" s="1"/>
  <c r="BB36" i="54" s="1"/>
  <c r="AT32" i="117"/>
  <c r="AV32" i="117" s="1"/>
  <c r="BA31" i="54" s="1"/>
  <c r="BB31" i="54" s="1"/>
  <c r="AS29" i="117"/>
  <c r="AR29" i="117" s="1"/>
  <c r="AZ28" i="54" s="1"/>
  <c r="AT24" i="117"/>
  <c r="AV24" i="117" s="1"/>
  <c r="BA23" i="54" s="1"/>
  <c r="BB23" i="54" s="1"/>
  <c r="AT44" i="117"/>
  <c r="AV44" i="117" s="1"/>
  <c r="BA43" i="54" s="1"/>
  <c r="BB43" i="54" s="1"/>
  <c r="AS43" i="117"/>
  <c r="AR43" i="117" s="1"/>
  <c r="AZ42" i="54" s="1"/>
  <c r="AS37" i="117"/>
  <c r="AR37" i="117" s="1"/>
  <c r="AZ36" i="54" s="1"/>
  <c r="AT35" i="117"/>
  <c r="AV35" i="117" s="1"/>
  <c r="BA34" i="54" s="1"/>
  <c r="BB34" i="54" s="1"/>
  <c r="AS32" i="117"/>
  <c r="AR32" i="117" s="1"/>
  <c r="AZ31" i="54" s="1"/>
  <c r="AT27" i="117"/>
  <c r="AV27" i="117" s="1"/>
  <c r="BA26" i="54" s="1"/>
  <c r="BB26" i="54" s="1"/>
  <c r="AT56" i="117"/>
  <c r="AV56" i="117" s="1"/>
  <c r="BA55" i="54" s="1"/>
  <c r="BB55" i="54" s="1"/>
  <c r="AS35" i="117"/>
  <c r="AR35" i="117" s="1"/>
  <c r="AZ34" i="54" s="1"/>
  <c r="AT30" i="117"/>
  <c r="AV30" i="117" s="1"/>
  <c r="BA29" i="54" s="1"/>
  <c r="BB29" i="54" s="1"/>
  <c r="AT33" i="117"/>
  <c r="AV33" i="117" s="1"/>
  <c r="BA32" i="54" s="1"/>
  <c r="BB32" i="54" s="1"/>
  <c r="AS30" i="117"/>
  <c r="AR30" i="117" s="1"/>
  <c r="AZ29" i="54" s="1"/>
  <c r="AT54" i="117"/>
  <c r="AV54" i="117" s="1"/>
  <c r="BA53" i="54" s="1"/>
  <c r="BB53" i="54" s="1"/>
  <c r="AS48" i="117"/>
  <c r="AR48" i="117" s="1"/>
  <c r="AZ47" i="54" s="1"/>
  <c r="AT38" i="117"/>
  <c r="AV38" i="117" s="1"/>
  <c r="BA37" i="54" s="1"/>
  <c r="BB37" i="54" s="1"/>
  <c r="AS34" i="117"/>
  <c r="AR34" i="117" s="1"/>
  <c r="AZ33" i="54" s="1"/>
  <c r="AT29" i="117"/>
  <c r="AV29" i="117" s="1"/>
  <c r="BA28" i="54" s="1"/>
  <c r="BB28" i="54" s="1"/>
  <c r="AS26" i="117"/>
  <c r="AR26" i="117" s="1"/>
  <c r="AZ25" i="54" s="1"/>
  <c r="AT34" i="117"/>
  <c r="AV34" i="117" s="1"/>
  <c r="BA33" i="54" s="1"/>
  <c r="BB33" i="54" s="1"/>
  <c r="AS33" i="117"/>
  <c r="AR33" i="117" s="1"/>
  <c r="AZ32" i="54" s="1"/>
  <c r="AS28" i="117"/>
  <c r="AR28" i="117" s="1"/>
  <c r="AZ27" i="54" s="1"/>
  <c r="AS25" i="117"/>
  <c r="AR25" i="117" s="1"/>
  <c r="AZ24" i="54" s="1"/>
  <c r="AT22" i="117"/>
  <c r="AV22" i="117" s="1"/>
  <c r="BA21" i="54" s="1"/>
  <c r="BB21" i="54" s="1"/>
  <c r="AS19" i="117"/>
  <c r="AT14" i="117"/>
  <c r="AV14" i="117" s="1"/>
  <c r="BA13" i="54" s="1"/>
  <c r="AS11" i="117"/>
  <c r="AT46" i="117"/>
  <c r="AV46" i="117" s="1"/>
  <c r="BA45" i="54" s="1"/>
  <c r="BB45" i="54" s="1"/>
  <c r="AS24" i="117"/>
  <c r="AR24" i="117" s="1"/>
  <c r="AZ23" i="54" s="1"/>
  <c r="AS22" i="117"/>
  <c r="AR22" i="117" s="1"/>
  <c r="AZ21" i="54" s="1"/>
  <c r="AT17" i="117"/>
  <c r="AV17" i="117" s="1"/>
  <c r="BA16" i="54" s="1"/>
  <c r="AS14" i="117"/>
  <c r="AS27" i="117"/>
  <c r="AR27" i="117" s="1"/>
  <c r="AZ26" i="54" s="1"/>
  <c r="AT26" i="117"/>
  <c r="AV26" i="117" s="1"/>
  <c r="BA25" i="54" s="1"/>
  <c r="BB25" i="54" s="1"/>
  <c r="AT20" i="117"/>
  <c r="AV20" i="117" s="1"/>
  <c r="BA19" i="54" s="1"/>
  <c r="BB19" i="54" s="1"/>
  <c r="AS17" i="117"/>
  <c r="AT36" i="117"/>
  <c r="AV36" i="117" s="1"/>
  <c r="BA35" i="54" s="1"/>
  <c r="BB35" i="54" s="1"/>
  <c r="AT23" i="117"/>
  <c r="AV23" i="117" s="1"/>
  <c r="BA22" i="54" s="1"/>
  <c r="BB22" i="54" s="1"/>
  <c r="AS20" i="117"/>
  <c r="AR20" i="117" s="1"/>
  <c r="AZ19" i="54" s="1"/>
  <c r="AT15" i="117"/>
  <c r="AV15" i="117" s="1"/>
  <c r="BA14" i="54" s="1"/>
  <c r="AS12" i="117"/>
  <c r="AT31" i="117"/>
  <c r="AV31" i="117" s="1"/>
  <c r="BA30" i="54" s="1"/>
  <c r="BB30" i="54" s="1"/>
  <c r="AT48" i="117"/>
  <c r="AV48" i="117" s="1"/>
  <c r="BA47" i="54" s="1"/>
  <c r="BB47" i="54" s="1"/>
  <c r="AS41" i="117"/>
  <c r="AR41" i="117" s="1"/>
  <c r="AZ40" i="54" s="1"/>
  <c r="AT28" i="117"/>
  <c r="AV28" i="117" s="1"/>
  <c r="BA27" i="54" s="1"/>
  <c r="BB27" i="54" s="1"/>
  <c r="AT25" i="117"/>
  <c r="AV25" i="117" s="1"/>
  <c r="BA24" i="54" s="1"/>
  <c r="BB24" i="54" s="1"/>
  <c r="AT19" i="117"/>
  <c r="AV19" i="117" s="1"/>
  <c r="BA18" i="54" s="1"/>
  <c r="AS16" i="117"/>
  <c r="AT11" i="117"/>
  <c r="AV11" i="117" s="1"/>
  <c r="BA10" i="54" s="1"/>
  <c r="AT12" i="117"/>
  <c r="AV12" i="117" s="1"/>
  <c r="BA11" i="54" s="1"/>
  <c r="AS36" i="117"/>
  <c r="AR36" i="117" s="1"/>
  <c r="AZ35" i="54" s="1"/>
  <c r="AS23" i="117"/>
  <c r="AR23" i="117" s="1"/>
  <c r="AZ22" i="54" s="1"/>
  <c r="AT21" i="117"/>
  <c r="AV21" i="117" s="1"/>
  <c r="BA20" i="54" s="1"/>
  <c r="BB20" i="54" s="1"/>
  <c r="AT16" i="117"/>
  <c r="AV16" i="117" s="1"/>
  <c r="BA15" i="54" s="1"/>
  <c r="AS15" i="117"/>
  <c r="AS53" i="117"/>
  <c r="AR53" i="117" s="1"/>
  <c r="AZ52" i="54" s="1"/>
  <c r="AS21" i="117"/>
  <c r="AR21" i="117" s="1"/>
  <c r="AZ20" i="54" s="1"/>
  <c r="AT41" i="117"/>
  <c r="AV41" i="117" s="1"/>
  <c r="BA40" i="54" s="1"/>
  <c r="BB40" i="54" s="1"/>
  <c r="AS31" i="117"/>
  <c r="AR31" i="117" s="1"/>
  <c r="AZ30" i="54" s="1"/>
  <c r="AT18" i="117"/>
  <c r="AV18" i="117" s="1"/>
  <c r="BA17" i="54" s="1"/>
  <c r="AS18" i="117"/>
  <c r="AT13" i="117"/>
  <c r="AV13" i="117" s="1"/>
  <c r="BA12" i="54" s="1"/>
  <c r="AS13" i="117"/>
  <c r="AT10" i="117"/>
  <c r="AV10" i="117" s="1"/>
  <c r="BA9" i="54" s="1"/>
  <c r="AS10" i="117"/>
  <c r="AM10" i="117" a="1"/>
  <c r="Y21" i="123" l="1"/>
  <c r="X21" i="123"/>
  <c r="Y19" i="123"/>
  <c r="X19" i="123"/>
  <c r="Y17" i="123"/>
  <c r="X17" i="123"/>
  <c r="X24" i="123"/>
  <c r="Y24" i="123"/>
  <c r="X16" i="123"/>
  <c r="Y16" i="123"/>
  <c r="Y22" i="123"/>
  <c r="X22" i="123"/>
  <c r="Y25" i="123"/>
  <c r="X25" i="123"/>
  <c r="Y20" i="123"/>
  <c r="X20" i="123"/>
  <c r="Y18" i="123"/>
  <c r="X18" i="123"/>
  <c r="Y23" i="123"/>
  <c r="X23" i="123"/>
  <c r="AN77" i="117"/>
  <c r="AP77" i="117" s="1"/>
  <c r="AM74" i="117"/>
  <c r="AL74" i="117" s="1"/>
  <c r="AN69" i="117"/>
  <c r="AP69" i="117" s="1"/>
  <c r="AT75" i="54" s="1"/>
  <c r="AM66" i="117"/>
  <c r="AM77" i="117"/>
  <c r="AL77" i="117" s="1"/>
  <c r="AN72" i="117"/>
  <c r="AP72" i="117" s="1"/>
  <c r="AT78" i="54" s="1"/>
  <c r="AM69" i="117"/>
  <c r="AN75" i="117"/>
  <c r="AP75" i="117" s="1"/>
  <c r="AM72" i="117"/>
  <c r="AN67" i="117"/>
  <c r="AP67" i="117" s="1"/>
  <c r="AT73" i="54" s="1"/>
  <c r="AN78" i="117"/>
  <c r="AP78" i="117" s="1"/>
  <c r="AM75" i="117"/>
  <c r="AL75" i="117" s="1"/>
  <c r="AN70" i="117"/>
  <c r="AP70" i="117" s="1"/>
  <c r="AT76" i="54" s="1"/>
  <c r="AM67" i="117"/>
  <c r="AM79" i="117"/>
  <c r="AL79" i="117" s="1"/>
  <c r="AN74" i="117"/>
  <c r="AP74" i="117" s="1"/>
  <c r="AM71" i="117"/>
  <c r="AN66" i="117"/>
  <c r="AP66" i="117" s="1"/>
  <c r="AT72" i="54" s="1"/>
  <c r="AN62" i="117"/>
  <c r="AP62" i="117" s="1"/>
  <c r="AT68" i="54" s="1"/>
  <c r="AN79" i="117"/>
  <c r="AP79" i="117" s="1"/>
  <c r="AN73" i="117"/>
  <c r="AP73" i="117" s="1"/>
  <c r="AN68" i="117"/>
  <c r="AP68" i="117" s="1"/>
  <c r="AT74" i="54" s="1"/>
  <c r="AM62" i="117"/>
  <c r="AN57" i="117"/>
  <c r="AP57" i="117" s="1"/>
  <c r="AT63" i="54" s="1"/>
  <c r="AM78" i="117"/>
  <c r="AL78" i="117" s="1"/>
  <c r="AM73" i="117"/>
  <c r="AL73" i="117" s="1"/>
  <c r="AM68" i="117"/>
  <c r="AN63" i="117"/>
  <c r="AP63" i="117" s="1"/>
  <c r="AT69" i="54" s="1"/>
  <c r="AM60" i="117"/>
  <c r="AM64" i="117"/>
  <c r="AN59" i="117"/>
  <c r="AP59" i="117" s="1"/>
  <c r="AT65" i="54" s="1"/>
  <c r="AM56" i="117"/>
  <c r="AN76" i="117"/>
  <c r="AP76" i="117" s="1"/>
  <c r="AN56" i="117"/>
  <c r="AP56" i="117" s="1"/>
  <c r="AT62" i="54" s="1"/>
  <c r="AM55" i="117"/>
  <c r="AM53" i="117"/>
  <c r="AN48" i="117"/>
  <c r="AP48" i="117" s="1"/>
  <c r="AT54" i="54" s="1"/>
  <c r="AM76" i="117"/>
  <c r="AL76" i="117" s="1"/>
  <c r="AN64" i="117"/>
  <c r="AP64" i="117" s="1"/>
  <c r="AT70" i="54" s="1"/>
  <c r="AN51" i="117"/>
  <c r="AP51" i="117" s="1"/>
  <c r="AT57" i="54" s="1"/>
  <c r="AM48" i="117"/>
  <c r="AM63" i="117"/>
  <c r="AN54" i="117"/>
  <c r="AP54" i="117" s="1"/>
  <c r="AT60" i="54" s="1"/>
  <c r="AM51" i="117"/>
  <c r="AM70" i="117"/>
  <c r="AN60" i="117"/>
  <c r="AP60" i="117" s="1"/>
  <c r="AT66" i="54" s="1"/>
  <c r="AM59" i="117"/>
  <c r="AM54" i="117"/>
  <c r="AN49" i="117"/>
  <c r="AP49" i="117" s="1"/>
  <c r="AT55" i="54" s="1"/>
  <c r="AM65" i="117"/>
  <c r="AM58" i="117"/>
  <c r="AN55" i="117"/>
  <c r="AP55" i="117" s="1"/>
  <c r="AT61" i="54" s="1"/>
  <c r="AN53" i="117"/>
  <c r="AP53" i="117" s="1"/>
  <c r="AT59" i="54" s="1"/>
  <c r="AM50" i="117"/>
  <c r="AN52" i="117"/>
  <c r="AP52" i="117" s="1"/>
  <c r="AT58" i="54" s="1"/>
  <c r="AM47" i="117"/>
  <c r="AN46" i="117"/>
  <c r="AP46" i="117" s="1"/>
  <c r="AT52" i="54" s="1"/>
  <c r="AM43" i="117"/>
  <c r="AN38" i="117"/>
  <c r="AP38" i="117" s="1"/>
  <c r="AT44" i="54" s="1"/>
  <c r="AN65" i="117"/>
  <c r="AP65" i="117" s="1"/>
  <c r="AT71" i="54" s="1"/>
  <c r="AM52" i="117"/>
  <c r="AM49" i="117"/>
  <c r="AM46" i="117"/>
  <c r="AN41" i="117"/>
  <c r="AP41" i="117" s="1"/>
  <c r="AT47" i="54" s="1"/>
  <c r="AN61" i="117"/>
  <c r="AP61" i="117" s="1"/>
  <c r="AT67" i="54" s="1"/>
  <c r="AM57" i="117"/>
  <c r="AN44" i="117"/>
  <c r="AP44" i="117" s="1"/>
  <c r="AT50" i="54" s="1"/>
  <c r="AM41" i="117"/>
  <c r="AM61" i="117"/>
  <c r="AM44" i="117"/>
  <c r="AN39" i="117"/>
  <c r="AP39" i="117" s="1"/>
  <c r="AT45" i="54" s="1"/>
  <c r="AN58" i="117"/>
  <c r="AP58" i="117" s="1"/>
  <c r="AT64" i="54" s="1"/>
  <c r="AN47" i="117"/>
  <c r="AP47" i="117" s="1"/>
  <c r="AT53" i="54" s="1"/>
  <c r="AN43" i="117"/>
  <c r="AP43" i="117" s="1"/>
  <c r="AT49" i="54" s="1"/>
  <c r="AM40" i="117"/>
  <c r="AN45" i="117"/>
  <c r="AP45" i="117" s="1"/>
  <c r="AT51" i="54" s="1"/>
  <c r="AN40" i="117"/>
  <c r="AP40" i="117" s="1"/>
  <c r="AT46" i="54" s="1"/>
  <c r="AN36" i="117"/>
  <c r="AP36" i="117" s="1"/>
  <c r="AT42" i="54" s="1"/>
  <c r="AM33" i="117"/>
  <c r="AN28" i="117"/>
  <c r="AP28" i="117" s="1"/>
  <c r="AT34" i="54" s="1"/>
  <c r="AM25" i="117"/>
  <c r="AM45" i="117"/>
  <c r="AM39" i="117"/>
  <c r="AM36" i="117"/>
  <c r="AN31" i="117"/>
  <c r="AP31" i="117" s="1"/>
  <c r="AT37" i="54" s="1"/>
  <c r="AM28" i="117"/>
  <c r="AM38" i="117"/>
  <c r="AN34" i="117"/>
  <c r="AP34" i="117" s="1"/>
  <c r="AT40" i="54" s="1"/>
  <c r="AM31" i="117"/>
  <c r="AM34" i="117"/>
  <c r="AN29" i="117"/>
  <c r="AP29" i="117" s="1"/>
  <c r="AT35" i="54" s="1"/>
  <c r="AN71" i="117"/>
  <c r="AP71" i="117" s="1"/>
  <c r="AT77" i="54" s="1"/>
  <c r="AN33" i="117"/>
  <c r="AP33" i="117" s="1"/>
  <c r="AT39" i="54" s="1"/>
  <c r="AM30" i="117"/>
  <c r="AN25" i="117"/>
  <c r="AP25" i="117" s="1"/>
  <c r="AT31" i="54" s="1"/>
  <c r="AN50" i="117"/>
  <c r="AP50" i="117" s="1"/>
  <c r="AT56" i="54" s="1"/>
  <c r="AM35" i="117"/>
  <c r="AM29" i="117"/>
  <c r="AM27" i="117"/>
  <c r="AM23" i="117"/>
  <c r="AN18" i="117"/>
  <c r="AP18" i="117" s="1"/>
  <c r="AT24" i="54" s="1"/>
  <c r="AM15" i="117"/>
  <c r="AM26" i="117"/>
  <c r="AN24" i="117"/>
  <c r="AP24" i="117" s="1"/>
  <c r="AT30" i="54" s="1"/>
  <c r="AN22" i="117"/>
  <c r="AP22" i="117" s="1"/>
  <c r="AT28" i="54" s="1"/>
  <c r="AN21" i="117"/>
  <c r="AP21" i="117" s="1"/>
  <c r="AT27" i="54" s="1"/>
  <c r="AM18" i="117"/>
  <c r="AN13" i="117"/>
  <c r="AP13" i="117" s="1"/>
  <c r="AT19" i="54" s="1"/>
  <c r="AM21" i="117"/>
  <c r="AM32" i="117"/>
  <c r="AN32" i="117"/>
  <c r="AP32" i="117" s="1"/>
  <c r="AT38" i="54" s="1"/>
  <c r="AN26" i="117"/>
  <c r="AP26" i="117" s="1"/>
  <c r="AT32" i="54" s="1"/>
  <c r="AN19" i="117"/>
  <c r="AP19" i="117" s="1"/>
  <c r="AT25" i="54" s="1"/>
  <c r="AM16" i="117"/>
  <c r="AN11" i="117"/>
  <c r="AP11" i="117" s="1"/>
  <c r="AT17" i="54" s="1"/>
  <c r="AM42" i="117"/>
  <c r="AN35" i="117"/>
  <c r="AP35" i="117" s="1"/>
  <c r="AT41" i="54" s="1"/>
  <c r="AN30" i="117"/>
  <c r="AP30" i="117" s="1"/>
  <c r="AT36" i="54" s="1"/>
  <c r="AN27" i="117"/>
  <c r="AP27" i="117" s="1"/>
  <c r="AT33" i="54" s="1"/>
  <c r="AN23" i="117"/>
  <c r="AP23" i="117" s="1"/>
  <c r="AT29" i="54" s="1"/>
  <c r="AM20" i="117"/>
  <c r="AN15" i="117"/>
  <c r="AP15" i="117" s="1"/>
  <c r="AT21" i="54" s="1"/>
  <c r="AM12" i="117"/>
  <c r="AN16" i="117"/>
  <c r="AP16" i="117" s="1"/>
  <c r="AT22" i="54" s="1"/>
  <c r="AM13" i="117"/>
  <c r="AN37" i="117"/>
  <c r="AP37" i="117" s="1"/>
  <c r="AT43" i="54" s="1"/>
  <c r="AM37" i="117"/>
  <c r="AM17" i="117"/>
  <c r="AM11" i="117"/>
  <c r="AN42" i="117"/>
  <c r="AP42" i="117" s="1"/>
  <c r="AT48" i="54" s="1"/>
  <c r="AN20" i="117"/>
  <c r="AP20" i="117" s="1"/>
  <c r="AT26" i="54" s="1"/>
  <c r="AN14" i="117"/>
  <c r="AP14" i="117" s="1"/>
  <c r="AT20" i="54" s="1"/>
  <c r="AN17" i="117"/>
  <c r="AP17" i="117" s="1"/>
  <c r="AT23" i="54" s="1"/>
  <c r="AN12" i="117"/>
  <c r="AP12" i="117" s="1"/>
  <c r="AT18" i="54" s="1"/>
  <c r="AM24" i="117"/>
  <c r="AM22" i="117"/>
  <c r="AM19" i="117"/>
  <c r="AM14" i="117"/>
  <c r="AN10" i="117"/>
  <c r="AP10" i="117" s="1"/>
  <c r="AT16" i="54" s="1"/>
  <c r="AM10" i="117"/>
  <c r="AQ16" i="54" s="1"/>
  <c r="AJ10" i="117"/>
  <c r="AA10" i="117" a="1"/>
  <c r="AL28" i="117" l="1"/>
  <c r="AQ34" i="54"/>
  <c r="AL60" i="117"/>
  <c r="AQ66" i="54"/>
  <c r="AQ25" i="54"/>
  <c r="AQ17" i="54"/>
  <c r="AQ26" i="54"/>
  <c r="AL35" i="117"/>
  <c r="AQ41" i="54"/>
  <c r="AL31" i="117"/>
  <c r="AQ37" i="54"/>
  <c r="AL25" i="117"/>
  <c r="AQ31" i="54"/>
  <c r="AL48" i="117"/>
  <c r="AQ54" i="54"/>
  <c r="AL71" i="117"/>
  <c r="AQ77" i="54"/>
  <c r="AL72" i="117"/>
  <c r="AQ78" i="54"/>
  <c r="AL44" i="117"/>
  <c r="AQ50" i="54"/>
  <c r="AL49" i="117"/>
  <c r="AQ55" i="54"/>
  <c r="AL50" i="117"/>
  <c r="AQ56" i="54"/>
  <c r="AL64" i="117"/>
  <c r="AQ70" i="54"/>
  <c r="AL67" i="117"/>
  <c r="AQ73" i="54"/>
  <c r="AL22" i="117"/>
  <c r="AQ28" i="54"/>
  <c r="AQ23" i="54"/>
  <c r="AL47" i="117"/>
  <c r="AQ53" i="54"/>
  <c r="AL54" i="117"/>
  <c r="AQ60" i="54"/>
  <c r="AL56" i="117"/>
  <c r="AQ62" i="54"/>
  <c r="AL30" i="117"/>
  <c r="AQ36" i="54"/>
  <c r="AL24" i="117"/>
  <c r="AQ30" i="54"/>
  <c r="AL37" i="117"/>
  <c r="AQ43" i="54"/>
  <c r="AL26" i="117"/>
  <c r="AQ32" i="54"/>
  <c r="AL38" i="117"/>
  <c r="AQ44" i="54"/>
  <c r="AL33" i="117"/>
  <c r="AQ39" i="54"/>
  <c r="AL46" i="117"/>
  <c r="AQ52" i="54"/>
  <c r="AL59" i="117"/>
  <c r="AQ65" i="54"/>
  <c r="AL62" i="117"/>
  <c r="AQ68" i="54"/>
  <c r="AL69" i="117"/>
  <c r="AQ75" i="54"/>
  <c r="AQ21" i="54"/>
  <c r="AQ19" i="54"/>
  <c r="AU16" i="54"/>
  <c r="AR16" i="54"/>
  <c r="AS16" i="54"/>
  <c r="AL42" i="117"/>
  <c r="AQ48" i="54"/>
  <c r="AL23" i="117"/>
  <c r="AQ29" i="54"/>
  <c r="AL36" i="117"/>
  <c r="AQ42" i="54"/>
  <c r="AL41" i="117"/>
  <c r="AQ47" i="54"/>
  <c r="AL51" i="117"/>
  <c r="AQ57" i="54"/>
  <c r="AL53" i="117"/>
  <c r="AQ59" i="54"/>
  <c r="AL66" i="117"/>
  <c r="AQ72" i="54"/>
  <c r="AL32" i="117"/>
  <c r="AQ38" i="54"/>
  <c r="AQ27" i="54"/>
  <c r="AL61" i="117"/>
  <c r="AQ67" i="54"/>
  <c r="AL52" i="117"/>
  <c r="AQ58" i="54"/>
  <c r="AL70" i="117"/>
  <c r="AQ76" i="54"/>
  <c r="AQ18" i="54"/>
  <c r="AQ24" i="54"/>
  <c r="AL27" i="117"/>
  <c r="AQ33" i="54"/>
  <c r="AL39" i="117"/>
  <c r="AQ45" i="54"/>
  <c r="AL40" i="117"/>
  <c r="AQ46" i="54"/>
  <c r="AL58" i="117"/>
  <c r="AQ64" i="54"/>
  <c r="AL55" i="117"/>
  <c r="AQ61" i="54"/>
  <c r="AL68" i="117"/>
  <c r="AQ74" i="54"/>
  <c r="AQ20" i="54"/>
  <c r="AQ22" i="54"/>
  <c r="AL29" i="117"/>
  <c r="AQ35" i="54"/>
  <c r="AL34" i="117"/>
  <c r="AQ40" i="54"/>
  <c r="AL45" i="117"/>
  <c r="AQ51" i="54"/>
  <c r="AL57" i="117"/>
  <c r="AQ63" i="54"/>
  <c r="AL43" i="117"/>
  <c r="AQ49" i="54"/>
  <c r="AL65" i="117"/>
  <c r="AQ71" i="54"/>
  <c r="AL63" i="117"/>
  <c r="AQ69" i="54"/>
  <c r="AB78" i="117"/>
  <c r="AD78" i="117" s="1"/>
  <c r="AA75" i="117"/>
  <c r="Z75" i="117" s="1"/>
  <c r="AB70" i="117"/>
  <c r="AD70" i="117" s="1"/>
  <c r="AA67" i="117"/>
  <c r="Z67" i="117" s="1"/>
  <c r="AA78" i="117"/>
  <c r="Z78" i="117" s="1"/>
  <c r="AB73" i="117"/>
  <c r="AD73" i="117" s="1"/>
  <c r="AA70" i="117"/>
  <c r="Z70" i="117" s="1"/>
  <c r="AB65" i="117"/>
  <c r="AD65" i="117" s="1"/>
  <c r="AB76" i="117"/>
  <c r="AD76" i="117" s="1"/>
  <c r="AA73" i="117"/>
  <c r="Z73" i="117" s="1"/>
  <c r="AB68" i="117"/>
  <c r="AD68" i="117" s="1"/>
  <c r="AA65" i="117"/>
  <c r="Z65" i="117" s="1"/>
  <c r="AB79" i="117"/>
  <c r="AD79" i="117" s="1"/>
  <c r="AA76" i="117"/>
  <c r="Z76" i="117" s="1"/>
  <c r="AB71" i="117"/>
  <c r="AD71" i="117" s="1"/>
  <c r="AA68" i="117"/>
  <c r="Z68" i="117" s="1"/>
  <c r="AB75" i="117"/>
  <c r="AD75" i="117" s="1"/>
  <c r="AA72" i="117"/>
  <c r="Z72" i="117" s="1"/>
  <c r="AB67" i="117"/>
  <c r="AD67" i="117" s="1"/>
  <c r="AB63" i="117"/>
  <c r="AD63" i="117" s="1"/>
  <c r="AA60" i="117"/>
  <c r="Z60" i="117" s="1"/>
  <c r="AA63" i="117"/>
  <c r="Z63" i="117" s="1"/>
  <c r="AB58" i="117"/>
  <c r="AD58" i="117" s="1"/>
  <c r="AB74" i="117"/>
  <c r="AD74" i="117" s="1"/>
  <c r="AB69" i="117"/>
  <c r="AD69" i="117" s="1"/>
  <c r="AB61" i="117"/>
  <c r="AD61" i="117" s="1"/>
  <c r="AA79" i="117"/>
  <c r="Z79" i="117" s="1"/>
  <c r="AA74" i="117"/>
  <c r="Z74" i="117" s="1"/>
  <c r="AA69" i="117"/>
  <c r="Z69" i="117" s="1"/>
  <c r="AB64" i="117"/>
  <c r="AD64" i="117" s="1"/>
  <c r="AA61" i="117"/>
  <c r="Z61" i="117" s="1"/>
  <c r="AA77" i="117"/>
  <c r="Z77" i="117" s="1"/>
  <c r="AA71" i="117"/>
  <c r="Z71" i="117" s="1"/>
  <c r="AA66" i="117"/>
  <c r="Z66" i="117" s="1"/>
  <c r="AB60" i="117"/>
  <c r="AD60" i="117" s="1"/>
  <c r="AA57" i="117"/>
  <c r="Z57" i="117" s="1"/>
  <c r="AA54" i="117"/>
  <c r="Z54" i="117" s="1"/>
  <c r="AB49" i="117"/>
  <c r="AD49" i="117" s="1"/>
  <c r="AB66" i="117"/>
  <c r="AD66" i="117" s="1"/>
  <c r="AB52" i="117"/>
  <c r="AD52" i="117" s="1"/>
  <c r="AA49" i="117"/>
  <c r="Z49" i="117" s="1"/>
  <c r="AA52" i="117"/>
  <c r="Z52" i="117" s="1"/>
  <c r="AB77" i="117"/>
  <c r="AD77" i="117" s="1"/>
  <c r="AA64" i="117"/>
  <c r="Z64" i="117" s="1"/>
  <c r="AA58" i="117"/>
  <c r="Z58" i="117" s="1"/>
  <c r="AB55" i="117"/>
  <c r="AD55" i="117" s="1"/>
  <c r="AB50" i="117"/>
  <c r="AD50" i="117" s="1"/>
  <c r="AA47" i="117"/>
  <c r="Z47" i="117" s="1"/>
  <c r="AB72" i="117"/>
  <c r="AD72" i="117" s="1"/>
  <c r="AA62" i="117"/>
  <c r="Z62" i="117" s="1"/>
  <c r="AB57" i="117"/>
  <c r="AD57" i="117" s="1"/>
  <c r="AB54" i="117"/>
  <c r="AD54" i="117" s="1"/>
  <c r="AA51" i="117"/>
  <c r="Z51" i="117" s="1"/>
  <c r="AA56" i="117"/>
  <c r="Z56" i="117" s="1"/>
  <c r="AA44" i="117"/>
  <c r="Z44" i="117" s="1"/>
  <c r="AB39" i="117"/>
  <c r="AD39" i="117" s="1"/>
  <c r="AB53" i="117"/>
  <c r="AD53" i="117" s="1"/>
  <c r="AB42" i="117"/>
  <c r="AD42" i="117" s="1"/>
  <c r="AA39" i="117"/>
  <c r="Z39" i="117" s="1"/>
  <c r="AA53" i="117"/>
  <c r="Z53" i="117" s="1"/>
  <c r="AB47" i="117"/>
  <c r="AD47" i="117" s="1"/>
  <c r="AB45" i="117"/>
  <c r="AD45" i="117" s="1"/>
  <c r="AA42" i="117"/>
  <c r="Z42" i="117" s="1"/>
  <c r="AB48" i="117"/>
  <c r="AD48" i="117" s="1"/>
  <c r="AA45" i="117"/>
  <c r="Z45" i="117" s="1"/>
  <c r="AB40" i="117"/>
  <c r="AD40" i="117" s="1"/>
  <c r="AB56" i="117"/>
  <c r="AD56" i="117" s="1"/>
  <c r="AA55" i="117"/>
  <c r="Z55" i="117" s="1"/>
  <c r="AB44" i="117"/>
  <c r="AD44" i="117" s="1"/>
  <c r="AA41" i="117"/>
  <c r="Z41" i="117" s="1"/>
  <c r="AB51" i="117"/>
  <c r="AD51" i="117" s="1"/>
  <c r="AB37" i="117"/>
  <c r="AD37" i="117" s="1"/>
  <c r="AA34" i="117"/>
  <c r="Z34" i="117" s="1"/>
  <c r="AB29" i="117"/>
  <c r="AD29" i="117" s="1"/>
  <c r="AA26" i="117"/>
  <c r="Z26" i="117" s="1"/>
  <c r="AA48" i="117"/>
  <c r="Z48" i="117" s="1"/>
  <c r="AB46" i="117"/>
  <c r="AD46" i="117" s="1"/>
  <c r="AB41" i="117"/>
  <c r="AD41" i="117" s="1"/>
  <c r="AA37" i="117"/>
  <c r="Z37" i="117" s="1"/>
  <c r="AB32" i="117"/>
  <c r="AD32" i="117" s="1"/>
  <c r="AA29" i="117"/>
  <c r="Z29" i="117" s="1"/>
  <c r="AA46" i="117"/>
  <c r="Z46" i="117" s="1"/>
  <c r="AA40" i="117"/>
  <c r="Z40" i="117" s="1"/>
  <c r="AB35" i="117"/>
  <c r="AD35" i="117" s="1"/>
  <c r="AA32" i="117"/>
  <c r="Z32" i="117" s="1"/>
  <c r="AA35" i="117"/>
  <c r="Z35" i="117" s="1"/>
  <c r="AB30" i="117"/>
  <c r="AD30" i="117" s="1"/>
  <c r="AA50" i="117"/>
  <c r="Z50" i="117" s="1"/>
  <c r="AA38" i="117"/>
  <c r="Z38" i="117" s="1"/>
  <c r="AB34" i="117"/>
  <c r="AD34" i="117" s="1"/>
  <c r="AA31" i="117"/>
  <c r="Z31" i="117" s="1"/>
  <c r="AB26" i="117"/>
  <c r="AD26" i="117" s="1"/>
  <c r="AB36" i="117"/>
  <c r="AD36" i="117" s="1"/>
  <c r="AB31" i="117"/>
  <c r="AD31" i="117" s="1"/>
  <c r="AB24" i="117"/>
  <c r="AD24" i="117" s="1"/>
  <c r="AB19" i="117"/>
  <c r="AD19" i="117" s="1"/>
  <c r="AA16" i="117"/>
  <c r="Z16" i="117" s="1"/>
  <c r="AB11" i="117"/>
  <c r="AD11" i="117" s="1"/>
  <c r="AA11" i="117"/>
  <c r="Z11" i="117" s="1"/>
  <c r="AB33" i="117"/>
  <c r="AD33" i="117" s="1"/>
  <c r="AB23" i="117"/>
  <c r="AD23" i="117" s="1"/>
  <c r="AB62" i="117"/>
  <c r="AD62" i="117" s="1"/>
  <c r="AB43" i="117"/>
  <c r="AD43" i="117" s="1"/>
  <c r="AA36" i="117"/>
  <c r="Z36" i="117" s="1"/>
  <c r="AA30" i="117"/>
  <c r="Z30" i="117" s="1"/>
  <c r="AA24" i="117"/>
  <c r="Z24" i="117" s="1"/>
  <c r="AB22" i="117"/>
  <c r="AD22" i="117" s="1"/>
  <c r="AA19" i="117"/>
  <c r="Z19" i="117" s="1"/>
  <c r="AB14" i="117"/>
  <c r="AD14" i="117" s="1"/>
  <c r="AA14" i="117"/>
  <c r="Z14" i="117" s="1"/>
  <c r="AA43" i="117"/>
  <c r="Z43" i="117" s="1"/>
  <c r="AB38" i="117"/>
  <c r="AD38" i="117" s="1"/>
  <c r="AB27" i="117"/>
  <c r="AD27" i="117" s="1"/>
  <c r="AA22" i="117"/>
  <c r="Z22" i="117" s="1"/>
  <c r="AB17" i="117"/>
  <c r="AD17" i="117" s="1"/>
  <c r="AA27" i="117"/>
  <c r="Z27" i="117" s="1"/>
  <c r="AB20" i="117"/>
  <c r="AD20" i="117" s="1"/>
  <c r="AA17" i="117"/>
  <c r="Z17" i="117" s="1"/>
  <c r="AB12" i="117"/>
  <c r="AD12" i="117" s="1"/>
  <c r="AA59" i="117"/>
  <c r="Z59" i="117" s="1"/>
  <c r="AA25" i="117"/>
  <c r="Z25" i="117" s="1"/>
  <c r="AA21" i="117"/>
  <c r="Z21" i="117" s="1"/>
  <c r="AB16" i="117"/>
  <c r="AD16" i="117" s="1"/>
  <c r="AA13" i="117"/>
  <c r="Z13" i="117" s="1"/>
  <c r="AB28" i="117"/>
  <c r="AD28" i="117" s="1"/>
  <c r="AB59" i="117"/>
  <c r="AD59" i="117" s="1"/>
  <c r="AB18" i="117"/>
  <c r="AD18" i="117" s="1"/>
  <c r="AB13" i="117"/>
  <c r="AD13" i="117" s="1"/>
  <c r="AA18" i="117"/>
  <c r="Z18" i="117" s="1"/>
  <c r="AA12" i="117"/>
  <c r="Z12" i="117" s="1"/>
  <c r="AB25" i="117"/>
  <c r="AD25" i="117" s="1"/>
  <c r="AA23" i="117"/>
  <c r="Z23" i="117" s="1"/>
  <c r="AB21" i="117"/>
  <c r="AD21" i="117" s="1"/>
  <c r="AA33" i="117"/>
  <c r="Z33" i="117" s="1"/>
  <c r="AA20" i="117"/>
  <c r="Z20" i="117" s="1"/>
  <c r="AB15" i="117"/>
  <c r="AD15" i="117" s="1"/>
  <c r="AA15" i="117"/>
  <c r="Z15" i="117" s="1"/>
  <c r="AA28" i="117"/>
  <c r="Z28" i="117" s="1"/>
  <c r="AA10" i="117"/>
  <c r="Z10" i="117" s="1"/>
  <c r="AB10" i="117"/>
  <c r="AD10" i="117" s="1"/>
  <c r="U10" i="117" a="1"/>
  <c r="AS20" i="54" l="1"/>
  <c r="AU20" i="54"/>
  <c r="AR20" i="54"/>
  <c r="AU45" i="54"/>
  <c r="AS45" i="54"/>
  <c r="AR45" i="54"/>
  <c r="AU21" i="54"/>
  <c r="AS21" i="54"/>
  <c r="AR21" i="54"/>
  <c r="AU52" i="54"/>
  <c r="AS52" i="54"/>
  <c r="AR52" i="54"/>
  <c r="AU43" i="54"/>
  <c r="AR43" i="54"/>
  <c r="AS43" i="54"/>
  <c r="AS60" i="54"/>
  <c r="AR60" i="54"/>
  <c r="AU60" i="54"/>
  <c r="AS73" i="54"/>
  <c r="AU73" i="54"/>
  <c r="AR73" i="54"/>
  <c r="AU50" i="54"/>
  <c r="AR50" i="54"/>
  <c r="AS50" i="54"/>
  <c r="AS31" i="54"/>
  <c r="AU31" i="54"/>
  <c r="AR31" i="54"/>
  <c r="AU17" i="54"/>
  <c r="AS17" i="54"/>
  <c r="AR17" i="54"/>
  <c r="AU69" i="54"/>
  <c r="AR69" i="54"/>
  <c r="AS69" i="54"/>
  <c r="AR18" i="54"/>
  <c r="AU18" i="54"/>
  <c r="AS18" i="54"/>
  <c r="AS48" i="54"/>
  <c r="AR48" i="54"/>
  <c r="AU48" i="54"/>
  <c r="AU75" i="54"/>
  <c r="AS75" i="54"/>
  <c r="AR75" i="54"/>
  <c r="AU39" i="54"/>
  <c r="AR39" i="54"/>
  <c r="AS39" i="54"/>
  <c r="AU30" i="54"/>
  <c r="AR30" i="54"/>
  <c r="AS30" i="54"/>
  <c r="AS53" i="54"/>
  <c r="AR53" i="54"/>
  <c r="AU53" i="54"/>
  <c r="AS70" i="54"/>
  <c r="AR70" i="54"/>
  <c r="AU70" i="54"/>
  <c r="AU78" i="54"/>
  <c r="AR78" i="54"/>
  <c r="AS78" i="54"/>
  <c r="AR37" i="54"/>
  <c r="AU37" i="54"/>
  <c r="AS37" i="54"/>
  <c r="AS25" i="54"/>
  <c r="AU25" i="54"/>
  <c r="AR25" i="54"/>
  <c r="AU51" i="54"/>
  <c r="AS51" i="54"/>
  <c r="AR51" i="54"/>
  <c r="AS57" i="54"/>
  <c r="AU57" i="54"/>
  <c r="AR57" i="54"/>
  <c r="AR71" i="54"/>
  <c r="AU71" i="54"/>
  <c r="AS71" i="54"/>
  <c r="AS68" i="54"/>
  <c r="AR68" i="54"/>
  <c r="AU68" i="54"/>
  <c r="AU44" i="54"/>
  <c r="AS44" i="54"/>
  <c r="AR44" i="54"/>
  <c r="AU36" i="54"/>
  <c r="AR36" i="54"/>
  <c r="AS36" i="54"/>
  <c r="AU23" i="54"/>
  <c r="AS23" i="54"/>
  <c r="AR23" i="54"/>
  <c r="AS56" i="54"/>
  <c r="AU56" i="54"/>
  <c r="AR56" i="54"/>
  <c r="AU77" i="54"/>
  <c r="AR77" i="54"/>
  <c r="AS77" i="54"/>
  <c r="AU41" i="54"/>
  <c r="AR41" i="54"/>
  <c r="AS41" i="54"/>
  <c r="AU66" i="54"/>
  <c r="AS66" i="54"/>
  <c r="AR66" i="54"/>
  <c r="AU74" i="54"/>
  <c r="AS74" i="54"/>
  <c r="AR74" i="54"/>
  <c r="AU38" i="54"/>
  <c r="AR38" i="54"/>
  <c r="AS38" i="54"/>
  <c r="AS49" i="54"/>
  <c r="AU49" i="54"/>
  <c r="AR49" i="54"/>
  <c r="AR35" i="54"/>
  <c r="AS35" i="54"/>
  <c r="AU35" i="54"/>
  <c r="AS61" i="54"/>
  <c r="AR61" i="54"/>
  <c r="AU61" i="54"/>
  <c r="AU33" i="54"/>
  <c r="AR33" i="54"/>
  <c r="AS33" i="54"/>
  <c r="AU58" i="54"/>
  <c r="AR58" i="54"/>
  <c r="AS58" i="54"/>
  <c r="AS72" i="54"/>
  <c r="AU72" i="54"/>
  <c r="AR72" i="54"/>
  <c r="AU42" i="54"/>
  <c r="AR42" i="54"/>
  <c r="AS42" i="54"/>
  <c r="AR27" i="54"/>
  <c r="AS27" i="54"/>
  <c r="AU27" i="54"/>
  <c r="AU40" i="54"/>
  <c r="AR40" i="54"/>
  <c r="AS40" i="54"/>
  <c r="AR47" i="54"/>
  <c r="AS47" i="54"/>
  <c r="AU47" i="54"/>
  <c r="AR19" i="54"/>
  <c r="AS19" i="54"/>
  <c r="AU19" i="54"/>
  <c r="AS65" i="54"/>
  <c r="AU65" i="54"/>
  <c r="AR65" i="54"/>
  <c r="AS32" i="54"/>
  <c r="AR32" i="54"/>
  <c r="AU32" i="54"/>
  <c r="AS62" i="54"/>
  <c r="AR62" i="54"/>
  <c r="AU62" i="54"/>
  <c r="AU28" i="54"/>
  <c r="AS28" i="54"/>
  <c r="AR28" i="54"/>
  <c r="AR55" i="54"/>
  <c r="AS55" i="54"/>
  <c r="AU55" i="54"/>
  <c r="AU54" i="54"/>
  <c r="AS54" i="54"/>
  <c r="AR54" i="54"/>
  <c r="AU26" i="54"/>
  <c r="AS26" i="54"/>
  <c r="AR26" i="54"/>
  <c r="AS34" i="54"/>
  <c r="AR34" i="54"/>
  <c r="AU34" i="54"/>
  <c r="AU46" i="54"/>
  <c r="AS46" i="54"/>
  <c r="AR46" i="54"/>
  <c r="AS76" i="54"/>
  <c r="AR76" i="54"/>
  <c r="AU76" i="54"/>
  <c r="AR63" i="54"/>
  <c r="AU63" i="54"/>
  <c r="AS63" i="54"/>
  <c r="AU22" i="54"/>
  <c r="AS22" i="54"/>
  <c r="AR22" i="54"/>
  <c r="AS64" i="54"/>
  <c r="AR64" i="54"/>
  <c r="AU64" i="54"/>
  <c r="AU24" i="54"/>
  <c r="AR24" i="54"/>
  <c r="AS24" i="54"/>
  <c r="AU67" i="54"/>
  <c r="AR67" i="54"/>
  <c r="AS67" i="54"/>
  <c r="AU59" i="54"/>
  <c r="AR59" i="54"/>
  <c r="AS59" i="54"/>
  <c r="AR29" i="54"/>
  <c r="AU29" i="54"/>
  <c r="AS29" i="54"/>
  <c r="U79" i="117"/>
  <c r="T79" i="117" s="1"/>
  <c r="V74" i="117"/>
  <c r="X74" i="117" s="1"/>
  <c r="U71" i="117"/>
  <c r="T71" i="117" s="1"/>
  <c r="V66" i="117"/>
  <c r="X66" i="117" s="1"/>
  <c r="V77" i="117"/>
  <c r="X77" i="117" s="1"/>
  <c r="U74" i="117"/>
  <c r="T74" i="117" s="1"/>
  <c r="V69" i="117"/>
  <c r="X69" i="117" s="1"/>
  <c r="U66" i="117"/>
  <c r="T66" i="117" s="1"/>
  <c r="U77" i="117"/>
  <c r="T77" i="117" s="1"/>
  <c r="V72" i="117"/>
  <c r="X72" i="117" s="1"/>
  <c r="U69" i="117"/>
  <c r="T69" i="117" s="1"/>
  <c r="V75" i="117"/>
  <c r="X75" i="117" s="1"/>
  <c r="U72" i="117"/>
  <c r="T72" i="117" s="1"/>
  <c r="V67" i="117"/>
  <c r="X67" i="117" s="1"/>
  <c r="V79" i="117"/>
  <c r="X79" i="117" s="1"/>
  <c r="U76" i="117"/>
  <c r="T76" i="117" s="1"/>
  <c r="V71" i="117"/>
  <c r="X71" i="117" s="1"/>
  <c r="U68" i="117"/>
  <c r="T68" i="117" s="1"/>
  <c r="U64" i="117"/>
  <c r="T64" i="117" s="1"/>
  <c r="V70" i="117"/>
  <c r="X70" i="117" s="1"/>
  <c r="V62" i="117"/>
  <c r="X62" i="117" s="1"/>
  <c r="U59" i="117"/>
  <c r="T59" i="117" s="1"/>
  <c r="V76" i="117"/>
  <c r="X76" i="117" s="1"/>
  <c r="U75" i="117"/>
  <c r="T75" i="117" s="1"/>
  <c r="U70" i="117"/>
  <c r="T70" i="117" s="1"/>
  <c r="V65" i="117"/>
  <c r="X65" i="117" s="1"/>
  <c r="U62" i="117"/>
  <c r="T62" i="117" s="1"/>
  <c r="U65" i="117"/>
  <c r="T65" i="117" s="1"/>
  <c r="V60" i="117"/>
  <c r="X60" i="117" s="1"/>
  <c r="U57" i="117"/>
  <c r="T57" i="117" s="1"/>
  <c r="U73" i="117"/>
  <c r="T73" i="117" s="1"/>
  <c r="V64" i="117"/>
  <c r="X64" i="117" s="1"/>
  <c r="U61" i="117"/>
  <c r="T61" i="117" s="1"/>
  <c r="V56" i="117"/>
  <c r="X56" i="117" s="1"/>
  <c r="U60" i="117"/>
  <c r="T60" i="117" s="1"/>
  <c r="V59" i="117"/>
  <c r="X59" i="117" s="1"/>
  <c r="U56" i="117"/>
  <c r="T56" i="117" s="1"/>
  <c r="U55" i="117"/>
  <c r="T55" i="117" s="1"/>
  <c r="V53" i="117"/>
  <c r="X53" i="117" s="1"/>
  <c r="U50" i="117"/>
  <c r="T50" i="117" s="1"/>
  <c r="V73" i="117"/>
  <c r="X73" i="117" s="1"/>
  <c r="V57" i="117"/>
  <c r="X57" i="117" s="1"/>
  <c r="U53" i="117"/>
  <c r="T53" i="117" s="1"/>
  <c r="V48" i="117"/>
  <c r="X48" i="117" s="1"/>
  <c r="V61" i="117"/>
  <c r="X61" i="117" s="1"/>
  <c r="V51" i="117"/>
  <c r="X51" i="117" s="1"/>
  <c r="U67" i="117"/>
  <c r="T67" i="117" s="1"/>
  <c r="V54" i="117"/>
  <c r="X54" i="117" s="1"/>
  <c r="U51" i="117"/>
  <c r="T51" i="117" s="1"/>
  <c r="V55" i="117"/>
  <c r="X55" i="117" s="1"/>
  <c r="V50" i="117"/>
  <c r="X50" i="117" s="1"/>
  <c r="U47" i="117"/>
  <c r="T47" i="117" s="1"/>
  <c r="V68" i="117"/>
  <c r="X68" i="117" s="1"/>
  <c r="V43" i="117"/>
  <c r="X43" i="117" s="1"/>
  <c r="U40" i="117"/>
  <c r="T40" i="117" s="1"/>
  <c r="U54" i="117"/>
  <c r="T54" i="117" s="1"/>
  <c r="V46" i="117"/>
  <c r="X46" i="117" s="1"/>
  <c r="U43" i="117"/>
  <c r="T43" i="117" s="1"/>
  <c r="V58" i="117"/>
  <c r="X58" i="117" s="1"/>
  <c r="U46" i="117"/>
  <c r="T46" i="117" s="1"/>
  <c r="V41" i="117"/>
  <c r="X41" i="117" s="1"/>
  <c r="U58" i="117"/>
  <c r="T58" i="117" s="1"/>
  <c r="V44" i="117"/>
  <c r="X44" i="117" s="1"/>
  <c r="U41" i="117"/>
  <c r="T41" i="117" s="1"/>
  <c r="U63" i="117"/>
  <c r="T63" i="117" s="1"/>
  <c r="U45" i="117"/>
  <c r="T45" i="117" s="1"/>
  <c r="V40" i="117"/>
  <c r="X40" i="117" s="1"/>
  <c r="V49" i="117"/>
  <c r="X49" i="117" s="1"/>
  <c r="V38" i="117"/>
  <c r="X38" i="117" s="1"/>
  <c r="V33" i="117"/>
  <c r="X33" i="117" s="1"/>
  <c r="U30" i="117"/>
  <c r="T30" i="117" s="1"/>
  <c r="V25" i="117"/>
  <c r="X25" i="117" s="1"/>
  <c r="V63" i="117"/>
  <c r="X63" i="117" s="1"/>
  <c r="V52" i="117"/>
  <c r="X52" i="117" s="1"/>
  <c r="U49" i="117"/>
  <c r="T49" i="117" s="1"/>
  <c r="V42" i="117"/>
  <c r="X42" i="117" s="1"/>
  <c r="U38" i="117"/>
  <c r="T38" i="117" s="1"/>
  <c r="V36" i="117"/>
  <c r="X36" i="117" s="1"/>
  <c r="U33" i="117"/>
  <c r="T33" i="117" s="1"/>
  <c r="V28" i="117"/>
  <c r="X28" i="117" s="1"/>
  <c r="U52" i="117"/>
  <c r="T52" i="117" s="1"/>
  <c r="U48" i="117"/>
  <c r="T48" i="117" s="1"/>
  <c r="U42" i="117"/>
  <c r="T42" i="117" s="1"/>
  <c r="U36" i="117"/>
  <c r="T36" i="117" s="1"/>
  <c r="V31" i="117"/>
  <c r="X31" i="117" s="1"/>
  <c r="U28" i="117"/>
  <c r="T28" i="117" s="1"/>
  <c r="V78" i="117"/>
  <c r="X78" i="117" s="1"/>
  <c r="V34" i="117"/>
  <c r="X34" i="117" s="1"/>
  <c r="U31" i="117"/>
  <c r="T31" i="117" s="1"/>
  <c r="U35" i="117"/>
  <c r="T35" i="117" s="1"/>
  <c r="V30" i="117"/>
  <c r="X30" i="117" s="1"/>
  <c r="U27" i="117"/>
  <c r="T27" i="117" s="1"/>
  <c r="U39" i="117"/>
  <c r="T39" i="117" s="1"/>
  <c r="U37" i="117"/>
  <c r="T37" i="117" s="1"/>
  <c r="V32" i="117"/>
  <c r="X32" i="117" s="1"/>
  <c r="V23" i="117"/>
  <c r="X23" i="117" s="1"/>
  <c r="U20" i="117"/>
  <c r="T20" i="117" s="1"/>
  <c r="V15" i="117"/>
  <c r="X15" i="117" s="1"/>
  <c r="U12" i="117"/>
  <c r="T12" i="117" s="1"/>
  <c r="U32" i="117"/>
  <c r="T32" i="117" s="1"/>
  <c r="V26" i="117"/>
  <c r="X26" i="117" s="1"/>
  <c r="U25" i="117"/>
  <c r="T25" i="117" s="1"/>
  <c r="U23" i="117"/>
  <c r="T23" i="117" s="1"/>
  <c r="V18" i="117"/>
  <c r="X18" i="117" s="1"/>
  <c r="U15" i="117"/>
  <c r="T15" i="117" s="1"/>
  <c r="U34" i="117"/>
  <c r="T34" i="117" s="1"/>
  <c r="V24" i="117"/>
  <c r="X24" i="117" s="1"/>
  <c r="U26" i="117"/>
  <c r="T26" i="117" s="1"/>
  <c r="V21" i="117"/>
  <c r="X21" i="117" s="1"/>
  <c r="U78" i="117"/>
  <c r="T78" i="117" s="1"/>
  <c r="U44" i="117"/>
  <c r="T44" i="117" s="1"/>
  <c r="V29" i="117"/>
  <c r="X29" i="117" s="1"/>
  <c r="U21" i="117"/>
  <c r="T21" i="117" s="1"/>
  <c r="V16" i="117"/>
  <c r="X16" i="117" s="1"/>
  <c r="U13" i="117"/>
  <c r="T13" i="117" s="1"/>
  <c r="V45" i="117"/>
  <c r="X45" i="117" s="1"/>
  <c r="U29" i="117"/>
  <c r="T29" i="117" s="1"/>
  <c r="V39" i="117"/>
  <c r="X39" i="117" s="1"/>
  <c r="V37" i="117"/>
  <c r="X37" i="117" s="1"/>
  <c r="V20" i="117"/>
  <c r="X20" i="117" s="1"/>
  <c r="U17" i="117"/>
  <c r="T17" i="117" s="1"/>
  <c r="V12" i="117"/>
  <c r="X12" i="117" s="1"/>
  <c r="U18" i="117"/>
  <c r="T18" i="117" s="1"/>
  <c r="V13" i="117"/>
  <c r="X13" i="117" s="1"/>
  <c r="V35" i="117"/>
  <c r="X35" i="117" s="1"/>
  <c r="U22" i="117"/>
  <c r="T22" i="117" s="1"/>
  <c r="U19" i="117"/>
  <c r="T19" i="117" s="1"/>
  <c r="V14" i="117"/>
  <c r="X14" i="117" s="1"/>
  <c r="U14" i="117"/>
  <c r="T14" i="117" s="1"/>
  <c r="U16" i="117"/>
  <c r="T16" i="117" s="1"/>
  <c r="U11" i="117"/>
  <c r="T11" i="117" s="1"/>
  <c r="V27" i="117"/>
  <c r="X27" i="117" s="1"/>
  <c r="V11" i="117"/>
  <c r="X11" i="117" s="1"/>
  <c r="V47" i="117"/>
  <c r="X47" i="117" s="1"/>
  <c r="U24" i="117"/>
  <c r="T24" i="117" s="1"/>
  <c r="V22" i="117"/>
  <c r="X22" i="117" s="1"/>
  <c r="V19" i="117"/>
  <c r="X19" i="117" s="1"/>
  <c r="V17" i="117"/>
  <c r="X17" i="117" s="1"/>
  <c r="V10" i="117"/>
  <c r="X10" i="117" s="1"/>
  <c r="AL29" i="54" s="1"/>
  <c r="U10" i="117"/>
  <c r="O10" i="117" a="1"/>
  <c r="P78" i="117" l="1"/>
  <c r="R78" i="117" s="1"/>
  <c r="AF77" i="54" s="1"/>
  <c r="O75" i="117"/>
  <c r="N75" i="117" s="1"/>
  <c r="AE74" i="54" s="1"/>
  <c r="P70" i="117"/>
  <c r="R70" i="117" s="1"/>
  <c r="AF69" i="54" s="1"/>
  <c r="O67" i="117"/>
  <c r="N67" i="117" s="1"/>
  <c r="AE66" i="54" s="1"/>
  <c r="O78" i="117"/>
  <c r="N78" i="117" s="1"/>
  <c r="AE77" i="54" s="1"/>
  <c r="P73" i="117"/>
  <c r="R73" i="117" s="1"/>
  <c r="AF72" i="54" s="1"/>
  <c r="O70" i="117"/>
  <c r="N70" i="117" s="1"/>
  <c r="AE69" i="54" s="1"/>
  <c r="P65" i="117"/>
  <c r="R65" i="117" s="1"/>
  <c r="AF64" i="54" s="1"/>
  <c r="P76" i="117"/>
  <c r="R76" i="117" s="1"/>
  <c r="AF75" i="54" s="1"/>
  <c r="O73" i="117"/>
  <c r="N73" i="117" s="1"/>
  <c r="AE72" i="54" s="1"/>
  <c r="P68" i="117"/>
  <c r="R68" i="117" s="1"/>
  <c r="AF67" i="54" s="1"/>
  <c r="O65" i="117"/>
  <c r="N65" i="117" s="1"/>
  <c r="AE64" i="54" s="1"/>
  <c r="P79" i="117"/>
  <c r="R79" i="117" s="1"/>
  <c r="AF78" i="54" s="1"/>
  <c r="O76" i="117"/>
  <c r="N76" i="117" s="1"/>
  <c r="AE75" i="54" s="1"/>
  <c r="P71" i="117"/>
  <c r="R71" i="117" s="1"/>
  <c r="AF70" i="54" s="1"/>
  <c r="O68" i="117"/>
  <c r="N68" i="117" s="1"/>
  <c r="AE67" i="54" s="1"/>
  <c r="P75" i="117"/>
  <c r="R75" i="117" s="1"/>
  <c r="AF74" i="54" s="1"/>
  <c r="O72" i="117"/>
  <c r="N72" i="117" s="1"/>
  <c r="AE71" i="54" s="1"/>
  <c r="P67" i="117"/>
  <c r="R67" i="117" s="1"/>
  <c r="AF66" i="54" s="1"/>
  <c r="P63" i="117"/>
  <c r="R63" i="117" s="1"/>
  <c r="AF62" i="54" s="1"/>
  <c r="O60" i="117"/>
  <c r="N60" i="117" s="1"/>
  <c r="AE59" i="54" s="1"/>
  <c r="P77" i="117"/>
  <c r="R77" i="117" s="1"/>
  <c r="AF76" i="54" s="1"/>
  <c r="P72" i="117"/>
  <c r="R72" i="117" s="1"/>
  <c r="AF71" i="54" s="1"/>
  <c r="P66" i="117"/>
  <c r="R66" i="117" s="1"/>
  <c r="AF65" i="54" s="1"/>
  <c r="O63" i="117"/>
  <c r="N63" i="117" s="1"/>
  <c r="AE62" i="54" s="1"/>
  <c r="P58" i="117"/>
  <c r="R58" i="117" s="1"/>
  <c r="AF57" i="54" s="1"/>
  <c r="O77" i="117"/>
  <c r="N77" i="117" s="1"/>
  <c r="AE76" i="54" s="1"/>
  <c r="O71" i="117"/>
  <c r="N71" i="117" s="1"/>
  <c r="AE70" i="54" s="1"/>
  <c r="O66" i="117"/>
  <c r="N66" i="117" s="1"/>
  <c r="AE65" i="54" s="1"/>
  <c r="P64" i="117"/>
  <c r="R64" i="117" s="1"/>
  <c r="AF63" i="54" s="1"/>
  <c r="O61" i="117"/>
  <c r="N61" i="117" s="1"/>
  <c r="AE60" i="54" s="1"/>
  <c r="P60" i="117"/>
  <c r="R60" i="117" s="1"/>
  <c r="AF59" i="54" s="1"/>
  <c r="O57" i="117"/>
  <c r="N57" i="117" s="1"/>
  <c r="AE56" i="54" s="1"/>
  <c r="O58" i="117"/>
  <c r="N58" i="117" s="1"/>
  <c r="AE57" i="54" s="1"/>
  <c r="O54" i="117"/>
  <c r="N54" i="117" s="1"/>
  <c r="AE53" i="54" s="1"/>
  <c r="P49" i="117"/>
  <c r="R49" i="117" s="1"/>
  <c r="AF48" i="54" s="1"/>
  <c r="P62" i="117"/>
  <c r="R62" i="117" s="1"/>
  <c r="AF61" i="54" s="1"/>
  <c r="P52" i="117"/>
  <c r="R52" i="117" s="1"/>
  <c r="AF51" i="54" s="1"/>
  <c r="O49" i="117"/>
  <c r="N49" i="117" s="1"/>
  <c r="AE48" i="54" s="1"/>
  <c r="P74" i="117"/>
  <c r="R74" i="117" s="1"/>
  <c r="AF73" i="54" s="1"/>
  <c r="O62" i="117"/>
  <c r="N62" i="117" s="1"/>
  <c r="AE61" i="54" s="1"/>
  <c r="P59" i="117"/>
  <c r="R59" i="117" s="1"/>
  <c r="AF58" i="54" s="1"/>
  <c r="P55" i="117"/>
  <c r="R55" i="117" s="1"/>
  <c r="AF54" i="54" s="1"/>
  <c r="O52" i="117"/>
  <c r="N52" i="117" s="1"/>
  <c r="AE51" i="54" s="1"/>
  <c r="O74" i="117"/>
  <c r="N74" i="117" s="1"/>
  <c r="AE73" i="54" s="1"/>
  <c r="P61" i="117"/>
  <c r="R61" i="117" s="1"/>
  <c r="AF60" i="54" s="1"/>
  <c r="O59" i="117"/>
  <c r="N59" i="117" s="1"/>
  <c r="AE58" i="54" s="1"/>
  <c r="P56" i="117"/>
  <c r="R56" i="117" s="1"/>
  <c r="AF55" i="54" s="1"/>
  <c r="O55" i="117"/>
  <c r="N55" i="117" s="1"/>
  <c r="AE54" i="54" s="1"/>
  <c r="P50" i="117"/>
  <c r="R50" i="117" s="1"/>
  <c r="AF49" i="54" s="1"/>
  <c r="O79" i="117"/>
  <c r="N79" i="117" s="1"/>
  <c r="AE78" i="54" s="1"/>
  <c r="P54" i="117"/>
  <c r="R54" i="117" s="1"/>
  <c r="AF53" i="54" s="1"/>
  <c r="O51" i="117"/>
  <c r="N51" i="117" s="1"/>
  <c r="AE50" i="54" s="1"/>
  <c r="P51" i="117"/>
  <c r="R51" i="117" s="1"/>
  <c r="AF50" i="54" s="1"/>
  <c r="O48" i="117"/>
  <c r="N48" i="117" s="1"/>
  <c r="AE47" i="54" s="1"/>
  <c r="O44" i="117"/>
  <c r="N44" i="117" s="1"/>
  <c r="AE43" i="54" s="1"/>
  <c r="P39" i="117"/>
  <c r="R39" i="117" s="1"/>
  <c r="O64" i="117"/>
  <c r="N64" i="117" s="1"/>
  <c r="AE63" i="54" s="1"/>
  <c r="O50" i="117"/>
  <c r="N50" i="117" s="1"/>
  <c r="AE49" i="54" s="1"/>
  <c r="P42" i="117"/>
  <c r="R42" i="117" s="1"/>
  <c r="AF41" i="54" s="1"/>
  <c r="O39" i="117"/>
  <c r="N39" i="117" s="1"/>
  <c r="O56" i="117"/>
  <c r="N56" i="117" s="1"/>
  <c r="AE55" i="54" s="1"/>
  <c r="P45" i="117"/>
  <c r="R45" i="117" s="1"/>
  <c r="AF44" i="54" s="1"/>
  <c r="O42" i="117"/>
  <c r="N42" i="117" s="1"/>
  <c r="AE41" i="54" s="1"/>
  <c r="O45" i="117"/>
  <c r="N45" i="117" s="1"/>
  <c r="AE44" i="54" s="1"/>
  <c r="P40" i="117"/>
  <c r="R40" i="117" s="1"/>
  <c r="AF39" i="54" s="1"/>
  <c r="P48" i="117"/>
  <c r="R48" i="117" s="1"/>
  <c r="AF47" i="54" s="1"/>
  <c r="O47" i="117"/>
  <c r="N47" i="117" s="1"/>
  <c r="AE46" i="54" s="1"/>
  <c r="P44" i="117"/>
  <c r="R44" i="117" s="1"/>
  <c r="AF43" i="54" s="1"/>
  <c r="O41" i="117"/>
  <c r="N41" i="117" s="1"/>
  <c r="AE40" i="54" s="1"/>
  <c r="P57" i="117"/>
  <c r="R57" i="117" s="1"/>
  <c r="AF56" i="54" s="1"/>
  <c r="P43" i="117"/>
  <c r="R43" i="117" s="1"/>
  <c r="AF42" i="54" s="1"/>
  <c r="P37" i="117"/>
  <c r="R37" i="117" s="1"/>
  <c r="O34" i="117"/>
  <c r="N34" i="117" s="1"/>
  <c r="P29" i="117"/>
  <c r="R29" i="117" s="1"/>
  <c r="O26" i="117"/>
  <c r="N26" i="117" s="1"/>
  <c r="AE25" i="54" s="1"/>
  <c r="P53" i="117"/>
  <c r="R53" i="117" s="1"/>
  <c r="AF52" i="54" s="1"/>
  <c r="O43" i="117"/>
  <c r="N43" i="117" s="1"/>
  <c r="AE42" i="54" s="1"/>
  <c r="O37" i="117"/>
  <c r="N37" i="117" s="1"/>
  <c r="P32" i="117"/>
  <c r="R32" i="117" s="1"/>
  <c r="O29" i="117"/>
  <c r="N29" i="117" s="1"/>
  <c r="O53" i="117"/>
  <c r="N53" i="117" s="1"/>
  <c r="AE52" i="54" s="1"/>
  <c r="P35" i="117"/>
  <c r="R35" i="117" s="1"/>
  <c r="O32" i="117"/>
  <c r="N32" i="117" s="1"/>
  <c r="O35" i="117"/>
  <c r="N35" i="117" s="1"/>
  <c r="P30" i="117"/>
  <c r="R30" i="117" s="1"/>
  <c r="P34" i="117"/>
  <c r="R34" i="117" s="1"/>
  <c r="O31" i="117"/>
  <c r="N31" i="117" s="1"/>
  <c r="P26" i="117"/>
  <c r="R26" i="117" s="1"/>
  <c r="AF25" i="54" s="1"/>
  <c r="O33" i="117"/>
  <c r="N33" i="117" s="1"/>
  <c r="O28" i="117"/>
  <c r="N28" i="117" s="1"/>
  <c r="AE27" i="54" s="1"/>
  <c r="O27" i="117"/>
  <c r="N27" i="117" s="1"/>
  <c r="AE26" i="54" s="1"/>
  <c r="O24" i="117"/>
  <c r="N24" i="117" s="1"/>
  <c r="AE23" i="54" s="1"/>
  <c r="P19" i="117"/>
  <c r="R19" i="117" s="1"/>
  <c r="AF18" i="54" s="1"/>
  <c r="O16" i="117"/>
  <c r="P11" i="117"/>
  <c r="R11" i="117" s="1"/>
  <c r="AF10" i="54" s="1"/>
  <c r="P41" i="117"/>
  <c r="R41" i="117" s="1"/>
  <c r="AF40" i="54" s="1"/>
  <c r="O40" i="117"/>
  <c r="N40" i="117" s="1"/>
  <c r="AE39" i="54" s="1"/>
  <c r="P22" i="117"/>
  <c r="R22" i="117" s="1"/>
  <c r="AF21" i="54" s="1"/>
  <c r="O19" i="117"/>
  <c r="P14" i="117"/>
  <c r="R14" i="117" s="1"/>
  <c r="AF13" i="54" s="1"/>
  <c r="O30" i="117"/>
  <c r="N30" i="117" s="1"/>
  <c r="O22" i="117"/>
  <c r="N22" i="117" s="1"/>
  <c r="AE21" i="54" s="1"/>
  <c r="P17" i="117"/>
  <c r="R17" i="117" s="1"/>
  <c r="AF16" i="54" s="1"/>
  <c r="P38" i="117"/>
  <c r="R38" i="117" s="1"/>
  <c r="P36" i="117"/>
  <c r="R36" i="117" s="1"/>
  <c r="P31" i="117"/>
  <c r="R31" i="117" s="1"/>
  <c r="P20" i="117"/>
  <c r="R20" i="117" s="1"/>
  <c r="AF19" i="54" s="1"/>
  <c r="O17" i="117"/>
  <c r="P12" i="117"/>
  <c r="R12" i="117" s="1"/>
  <c r="AF11" i="54" s="1"/>
  <c r="P46" i="117"/>
  <c r="R46" i="117" s="1"/>
  <c r="AF45" i="54" s="1"/>
  <c r="O36" i="117"/>
  <c r="N36" i="117" s="1"/>
  <c r="O69" i="117"/>
  <c r="N69" i="117" s="1"/>
  <c r="AE68" i="54" s="1"/>
  <c r="P33" i="117"/>
  <c r="R33" i="117" s="1"/>
  <c r="P28" i="117"/>
  <c r="R28" i="117" s="1"/>
  <c r="AF27" i="54" s="1"/>
  <c r="P27" i="117"/>
  <c r="R27" i="117" s="1"/>
  <c r="AF26" i="54" s="1"/>
  <c r="P24" i="117"/>
  <c r="R24" i="117" s="1"/>
  <c r="AF23" i="54" s="1"/>
  <c r="O21" i="117"/>
  <c r="P16" i="117"/>
  <c r="R16" i="117" s="1"/>
  <c r="AF15" i="54" s="1"/>
  <c r="O13" i="117"/>
  <c r="O11" i="117"/>
  <c r="O14" i="117"/>
  <c r="O38" i="117"/>
  <c r="N38" i="117" s="1"/>
  <c r="P25" i="117"/>
  <c r="R25" i="117" s="1"/>
  <c r="AF24" i="54" s="1"/>
  <c r="P23" i="117"/>
  <c r="R23" i="117" s="1"/>
  <c r="AF22" i="54" s="1"/>
  <c r="O20" i="117"/>
  <c r="O15" i="117"/>
  <c r="P69" i="117"/>
  <c r="R69" i="117" s="1"/>
  <c r="AF68" i="54" s="1"/>
  <c r="O25" i="117"/>
  <c r="N25" i="117" s="1"/>
  <c r="AE24" i="54" s="1"/>
  <c r="O18" i="117"/>
  <c r="O12" i="117"/>
  <c r="P18" i="117"/>
  <c r="R18" i="117" s="1"/>
  <c r="AF17" i="54" s="1"/>
  <c r="P13" i="117"/>
  <c r="R13" i="117" s="1"/>
  <c r="AF12" i="54" s="1"/>
  <c r="O23" i="117"/>
  <c r="N23" i="117" s="1"/>
  <c r="AE22" i="54" s="1"/>
  <c r="O46" i="117"/>
  <c r="N46" i="117" s="1"/>
  <c r="AE45" i="54" s="1"/>
  <c r="P21" i="117"/>
  <c r="R21" i="117" s="1"/>
  <c r="AF20" i="54" s="1"/>
  <c r="P15" i="117"/>
  <c r="R15" i="117" s="1"/>
  <c r="AF14" i="54" s="1"/>
  <c r="P47" i="117"/>
  <c r="R47" i="117" s="1"/>
  <c r="AF46" i="54" s="1"/>
  <c r="O10" i="117"/>
  <c r="P10" i="117"/>
  <c r="R10" i="117" s="1"/>
  <c r="AF9" i="54" s="1"/>
  <c r="I10" i="117" a="1"/>
  <c r="I79" i="117" l="1"/>
  <c r="H79" i="117" s="1"/>
  <c r="Y78" i="54" s="1"/>
  <c r="J74" i="117"/>
  <c r="L74" i="117" s="1"/>
  <c r="Z73" i="54" s="1"/>
  <c r="I71" i="117"/>
  <c r="H71" i="117" s="1"/>
  <c r="Y70" i="54" s="1"/>
  <c r="J66" i="117"/>
  <c r="L66" i="117" s="1"/>
  <c r="Z65" i="54" s="1"/>
  <c r="J77" i="117"/>
  <c r="L77" i="117" s="1"/>
  <c r="Z76" i="54" s="1"/>
  <c r="I74" i="117"/>
  <c r="H74" i="117" s="1"/>
  <c r="Y73" i="54" s="1"/>
  <c r="J69" i="117"/>
  <c r="L69" i="117" s="1"/>
  <c r="Z68" i="54" s="1"/>
  <c r="I66" i="117"/>
  <c r="H66" i="117" s="1"/>
  <c r="Y65" i="54" s="1"/>
  <c r="I77" i="117"/>
  <c r="H77" i="117" s="1"/>
  <c r="Y76" i="54" s="1"/>
  <c r="J72" i="117"/>
  <c r="L72" i="117" s="1"/>
  <c r="Z71" i="54" s="1"/>
  <c r="I69" i="117"/>
  <c r="H69" i="117" s="1"/>
  <c r="Y68" i="54" s="1"/>
  <c r="J75" i="117"/>
  <c r="L75" i="117" s="1"/>
  <c r="Z74" i="54" s="1"/>
  <c r="I72" i="117"/>
  <c r="H72" i="117" s="1"/>
  <c r="Y71" i="54" s="1"/>
  <c r="J67" i="117"/>
  <c r="L67" i="117" s="1"/>
  <c r="Z66" i="54" s="1"/>
  <c r="J79" i="117"/>
  <c r="L79" i="117" s="1"/>
  <c r="Z78" i="54" s="1"/>
  <c r="I76" i="117"/>
  <c r="H76" i="117" s="1"/>
  <c r="Y75" i="54" s="1"/>
  <c r="J71" i="117"/>
  <c r="L71" i="117" s="1"/>
  <c r="Z70" i="54" s="1"/>
  <c r="I68" i="117"/>
  <c r="H68" i="117" s="1"/>
  <c r="Y67" i="54" s="1"/>
  <c r="J78" i="117"/>
  <c r="L78" i="117" s="1"/>
  <c r="Z77" i="54" s="1"/>
  <c r="I64" i="117"/>
  <c r="H64" i="117" s="1"/>
  <c r="Y63" i="54" s="1"/>
  <c r="I78" i="117"/>
  <c r="H78" i="117" s="1"/>
  <c r="Y77" i="54" s="1"/>
  <c r="J73" i="117"/>
  <c r="L73" i="117" s="1"/>
  <c r="Z72" i="54" s="1"/>
  <c r="J68" i="117"/>
  <c r="L68" i="117" s="1"/>
  <c r="Z67" i="54" s="1"/>
  <c r="I67" i="117"/>
  <c r="H67" i="117" s="1"/>
  <c r="Y66" i="54" s="1"/>
  <c r="J62" i="117"/>
  <c r="L62" i="117" s="1"/>
  <c r="Z61" i="54" s="1"/>
  <c r="I59" i="117"/>
  <c r="H59" i="117" s="1"/>
  <c r="Y58" i="54" s="1"/>
  <c r="I73" i="117"/>
  <c r="H73" i="117" s="1"/>
  <c r="Y72" i="54" s="1"/>
  <c r="I62" i="117"/>
  <c r="H62" i="117" s="1"/>
  <c r="Y61" i="54" s="1"/>
  <c r="J60" i="117"/>
  <c r="L60" i="117" s="1"/>
  <c r="Z59" i="54" s="1"/>
  <c r="I57" i="117"/>
  <c r="H57" i="117" s="1"/>
  <c r="Y56" i="54" s="1"/>
  <c r="J64" i="117"/>
  <c r="L64" i="117" s="1"/>
  <c r="Z63" i="54" s="1"/>
  <c r="I61" i="117"/>
  <c r="H61" i="117" s="1"/>
  <c r="Y60" i="54" s="1"/>
  <c r="J56" i="117"/>
  <c r="L56" i="117" s="1"/>
  <c r="Z55" i="54" s="1"/>
  <c r="J63" i="117"/>
  <c r="L63" i="117" s="1"/>
  <c r="Z62" i="54" s="1"/>
  <c r="J53" i="117"/>
  <c r="L53" i="117" s="1"/>
  <c r="Z52" i="54" s="1"/>
  <c r="I50" i="117"/>
  <c r="H50" i="117" s="1"/>
  <c r="Y49" i="54" s="1"/>
  <c r="I63" i="117"/>
  <c r="H63" i="117" s="1"/>
  <c r="Y62" i="54" s="1"/>
  <c r="I53" i="117"/>
  <c r="H53" i="117" s="1"/>
  <c r="Y52" i="54" s="1"/>
  <c r="J48" i="117"/>
  <c r="L48" i="117" s="1"/>
  <c r="Z47" i="54" s="1"/>
  <c r="J65" i="117"/>
  <c r="L65" i="117" s="1"/>
  <c r="Z64" i="54" s="1"/>
  <c r="J58" i="117"/>
  <c r="L58" i="117" s="1"/>
  <c r="Z57" i="54" s="1"/>
  <c r="J51" i="117"/>
  <c r="L51" i="117" s="1"/>
  <c r="Z50" i="54" s="1"/>
  <c r="I75" i="117"/>
  <c r="H75" i="117" s="1"/>
  <c r="Y74" i="54" s="1"/>
  <c r="I65" i="117"/>
  <c r="H65" i="117" s="1"/>
  <c r="Y64" i="54" s="1"/>
  <c r="I58" i="117"/>
  <c r="H58" i="117" s="1"/>
  <c r="Y57" i="54" s="1"/>
  <c r="J54" i="117"/>
  <c r="L54" i="117" s="1"/>
  <c r="Z53" i="54" s="1"/>
  <c r="I51" i="117"/>
  <c r="H51" i="117" s="1"/>
  <c r="Y50" i="54" s="1"/>
  <c r="I56" i="117"/>
  <c r="H56" i="117" s="1"/>
  <c r="Y55" i="54" s="1"/>
  <c r="I55" i="117"/>
  <c r="H55" i="117" s="1"/>
  <c r="Y54" i="54" s="1"/>
  <c r="J50" i="117"/>
  <c r="L50" i="117" s="1"/>
  <c r="Z49" i="54" s="1"/>
  <c r="I47" i="117"/>
  <c r="H47" i="117" s="1"/>
  <c r="Y46" i="54" s="1"/>
  <c r="J70" i="117"/>
  <c r="L70" i="117" s="1"/>
  <c r="Z69" i="54" s="1"/>
  <c r="J59" i="117"/>
  <c r="L59" i="117" s="1"/>
  <c r="Z58" i="54" s="1"/>
  <c r="J52" i="117"/>
  <c r="L52" i="117" s="1"/>
  <c r="Z51" i="54" s="1"/>
  <c r="J43" i="117"/>
  <c r="L43" i="117" s="1"/>
  <c r="Z42" i="54" s="1"/>
  <c r="I40" i="117"/>
  <c r="H40" i="117" s="1"/>
  <c r="Y39" i="54" s="1"/>
  <c r="I70" i="117"/>
  <c r="H70" i="117" s="1"/>
  <c r="Y69" i="54" s="1"/>
  <c r="I52" i="117"/>
  <c r="H52" i="117" s="1"/>
  <c r="Y51" i="54" s="1"/>
  <c r="J49" i="117"/>
  <c r="L49" i="117" s="1"/>
  <c r="Z48" i="54" s="1"/>
  <c r="I48" i="117"/>
  <c r="H48" i="117" s="1"/>
  <c r="Y47" i="54" s="1"/>
  <c r="J46" i="117"/>
  <c r="L46" i="117" s="1"/>
  <c r="Z45" i="54" s="1"/>
  <c r="I43" i="117"/>
  <c r="H43" i="117" s="1"/>
  <c r="Y42" i="54" s="1"/>
  <c r="I49" i="117"/>
  <c r="H49" i="117" s="1"/>
  <c r="Y48" i="54" s="1"/>
  <c r="J47" i="117"/>
  <c r="L47" i="117" s="1"/>
  <c r="Z46" i="54" s="1"/>
  <c r="I46" i="117"/>
  <c r="H46" i="117" s="1"/>
  <c r="Y45" i="54" s="1"/>
  <c r="J41" i="117"/>
  <c r="L41" i="117" s="1"/>
  <c r="Z40" i="54" s="1"/>
  <c r="J44" i="117"/>
  <c r="L44" i="117" s="1"/>
  <c r="Z43" i="54" s="1"/>
  <c r="I41" i="117"/>
  <c r="H41" i="117" s="1"/>
  <c r="Y40" i="54" s="1"/>
  <c r="J61" i="117"/>
  <c r="L61" i="117" s="1"/>
  <c r="Z60" i="54" s="1"/>
  <c r="J57" i="117"/>
  <c r="L57" i="117" s="1"/>
  <c r="Z56" i="54" s="1"/>
  <c r="I45" i="117"/>
  <c r="H45" i="117" s="1"/>
  <c r="Y44" i="54" s="1"/>
  <c r="J40" i="117"/>
  <c r="L40" i="117" s="1"/>
  <c r="Z39" i="54" s="1"/>
  <c r="J45" i="117"/>
  <c r="L45" i="117" s="1"/>
  <c r="Z44" i="54" s="1"/>
  <c r="I44" i="117"/>
  <c r="H44" i="117" s="1"/>
  <c r="Y43" i="54" s="1"/>
  <c r="J39" i="117"/>
  <c r="L39" i="117" s="1"/>
  <c r="Z38" i="54" s="1"/>
  <c r="J33" i="117"/>
  <c r="L33" i="117" s="1"/>
  <c r="Z32" i="54" s="1"/>
  <c r="I30" i="117"/>
  <c r="H30" i="117" s="1"/>
  <c r="Y29" i="54" s="1"/>
  <c r="J25" i="117"/>
  <c r="L25" i="117" s="1"/>
  <c r="Z24" i="54" s="1"/>
  <c r="I39" i="117"/>
  <c r="H39" i="117" s="1"/>
  <c r="Y38" i="54" s="1"/>
  <c r="J36" i="117"/>
  <c r="L36" i="117" s="1"/>
  <c r="Z35" i="54" s="1"/>
  <c r="I33" i="117"/>
  <c r="H33" i="117" s="1"/>
  <c r="Y32" i="54" s="1"/>
  <c r="J28" i="117"/>
  <c r="L28" i="117" s="1"/>
  <c r="Z27" i="54" s="1"/>
  <c r="I54" i="117"/>
  <c r="H54" i="117" s="1"/>
  <c r="Y53" i="54" s="1"/>
  <c r="I36" i="117"/>
  <c r="H36" i="117" s="1"/>
  <c r="Y35" i="54" s="1"/>
  <c r="J31" i="117"/>
  <c r="L31" i="117" s="1"/>
  <c r="Z30" i="54" s="1"/>
  <c r="I28" i="117"/>
  <c r="H28" i="117" s="1"/>
  <c r="Y27" i="54" s="1"/>
  <c r="I60" i="117"/>
  <c r="H60" i="117" s="1"/>
  <c r="Y59" i="54" s="1"/>
  <c r="J55" i="117"/>
  <c r="L55" i="117" s="1"/>
  <c r="Z54" i="54" s="1"/>
  <c r="J34" i="117"/>
  <c r="L34" i="117" s="1"/>
  <c r="Z33" i="54" s="1"/>
  <c r="I31" i="117"/>
  <c r="H31" i="117" s="1"/>
  <c r="Y30" i="54" s="1"/>
  <c r="J76" i="117"/>
  <c r="L76" i="117" s="1"/>
  <c r="Z75" i="54" s="1"/>
  <c r="I38" i="117"/>
  <c r="H38" i="117" s="1"/>
  <c r="Y37" i="54" s="1"/>
  <c r="I35" i="117"/>
  <c r="H35" i="117" s="1"/>
  <c r="Y34" i="54" s="1"/>
  <c r="J30" i="117"/>
  <c r="L30" i="117" s="1"/>
  <c r="Z29" i="54" s="1"/>
  <c r="I27" i="117"/>
  <c r="H27" i="117" s="1"/>
  <c r="Y26" i="54" s="1"/>
  <c r="J23" i="117"/>
  <c r="L23" i="117" s="1"/>
  <c r="Z22" i="54" s="1"/>
  <c r="I20" i="117"/>
  <c r="J15" i="117"/>
  <c r="L15" i="117" s="1"/>
  <c r="Z14" i="54" s="1"/>
  <c r="I12" i="117"/>
  <c r="I18" i="117"/>
  <c r="I23" i="117"/>
  <c r="H23" i="117" s="1"/>
  <c r="Y22" i="54" s="1"/>
  <c r="J18" i="117"/>
  <c r="L18" i="117" s="1"/>
  <c r="Z17" i="54" s="1"/>
  <c r="I15" i="117"/>
  <c r="J42" i="117"/>
  <c r="L42" i="117" s="1"/>
  <c r="Z41" i="54" s="1"/>
  <c r="J37" i="117"/>
  <c r="L37" i="117" s="1"/>
  <c r="Z36" i="54" s="1"/>
  <c r="J21" i="117"/>
  <c r="L21" i="117" s="1"/>
  <c r="Z20" i="54" s="1"/>
  <c r="I42" i="117"/>
  <c r="H42" i="117" s="1"/>
  <c r="Y41" i="54" s="1"/>
  <c r="I37" i="117"/>
  <c r="H37" i="117" s="1"/>
  <c r="Y36" i="54" s="1"/>
  <c r="J32" i="117"/>
  <c r="L32" i="117" s="1"/>
  <c r="Z31" i="54" s="1"/>
  <c r="J27" i="117"/>
  <c r="L27" i="117" s="1"/>
  <c r="Z26" i="54" s="1"/>
  <c r="J24" i="117"/>
  <c r="L24" i="117" s="1"/>
  <c r="Z23" i="54" s="1"/>
  <c r="I21" i="117"/>
  <c r="J16" i="117"/>
  <c r="L16" i="117" s="1"/>
  <c r="Z15" i="54" s="1"/>
  <c r="I13" i="117"/>
  <c r="J35" i="117"/>
  <c r="L35" i="117" s="1"/>
  <c r="Z34" i="54" s="1"/>
  <c r="I34" i="117"/>
  <c r="H34" i="117" s="1"/>
  <c r="Y33" i="54" s="1"/>
  <c r="I29" i="117"/>
  <c r="H29" i="117" s="1"/>
  <c r="Y28" i="54" s="1"/>
  <c r="I26" i="117"/>
  <c r="H26" i="117" s="1"/>
  <c r="Y25" i="54" s="1"/>
  <c r="I25" i="117"/>
  <c r="H25" i="117" s="1"/>
  <c r="Y24" i="54" s="1"/>
  <c r="J20" i="117"/>
  <c r="L20" i="117" s="1"/>
  <c r="Z19" i="54" s="1"/>
  <c r="I17" i="117"/>
  <c r="J12" i="117"/>
  <c r="L12" i="117" s="1"/>
  <c r="Z11" i="54" s="1"/>
  <c r="J13" i="117"/>
  <c r="L13" i="117" s="1"/>
  <c r="Z12" i="54" s="1"/>
  <c r="I32" i="117"/>
  <c r="H32" i="117" s="1"/>
  <c r="Y31" i="54" s="1"/>
  <c r="I24" i="117"/>
  <c r="H24" i="117" s="1"/>
  <c r="Y23" i="54" s="1"/>
  <c r="J22" i="117"/>
  <c r="L22" i="117" s="1"/>
  <c r="Z21" i="54" s="1"/>
  <c r="J38" i="117"/>
  <c r="L38" i="117" s="1"/>
  <c r="Z37" i="54" s="1"/>
  <c r="J29" i="117"/>
  <c r="L29" i="117" s="1"/>
  <c r="Z28" i="54" s="1"/>
  <c r="I22" i="117"/>
  <c r="H22" i="117" s="1"/>
  <c r="Y21" i="54" s="1"/>
  <c r="J19" i="117"/>
  <c r="L19" i="117" s="1"/>
  <c r="Z18" i="54" s="1"/>
  <c r="I19" i="117"/>
  <c r="J14" i="117"/>
  <c r="L14" i="117" s="1"/>
  <c r="Z13" i="54" s="1"/>
  <c r="J26" i="117"/>
  <c r="L26" i="117" s="1"/>
  <c r="Z25" i="54" s="1"/>
  <c r="J17" i="117"/>
  <c r="L17" i="117" s="1"/>
  <c r="Z16" i="54" s="1"/>
  <c r="I16" i="117"/>
  <c r="I11" i="117"/>
  <c r="I14" i="117"/>
  <c r="J11" i="117"/>
  <c r="L11" i="117" s="1"/>
  <c r="Z10" i="54" s="1"/>
  <c r="J10" i="117"/>
  <c r="L10" i="117" s="1"/>
  <c r="Z9" i="54" s="1"/>
  <c r="I10" i="117"/>
  <c r="C10" i="117" a="1"/>
  <c r="D78" i="117" l="1"/>
  <c r="F78" i="117" s="1"/>
  <c r="C75" i="117"/>
  <c r="B75" i="117" s="1"/>
  <c r="M74" i="54" s="1"/>
  <c r="D70" i="117"/>
  <c r="F70" i="117" s="1"/>
  <c r="C67" i="117"/>
  <c r="B67" i="117" s="1"/>
  <c r="M66" i="54" s="1"/>
  <c r="C78" i="117"/>
  <c r="B78" i="117" s="1"/>
  <c r="M77" i="54" s="1"/>
  <c r="D73" i="117"/>
  <c r="F73" i="117" s="1"/>
  <c r="C70" i="117"/>
  <c r="B70" i="117" s="1"/>
  <c r="M69" i="54" s="1"/>
  <c r="D65" i="117"/>
  <c r="F65" i="117" s="1"/>
  <c r="D76" i="117"/>
  <c r="F76" i="117" s="1"/>
  <c r="C73" i="117"/>
  <c r="B73" i="117" s="1"/>
  <c r="M72" i="54" s="1"/>
  <c r="D68" i="117"/>
  <c r="F68" i="117" s="1"/>
  <c r="C65" i="117"/>
  <c r="B65" i="117" s="1"/>
  <c r="M64" i="54" s="1"/>
  <c r="D79" i="117"/>
  <c r="F79" i="117" s="1"/>
  <c r="C76" i="117"/>
  <c r="B76" i="117" s="1"/>
  <c r="M75" i="54" s="1"/>
  <c r="D71" i="117"/>
  <c r="F71" i="117" s="1"/>
  <c r="C68" i="117"/>
  <c r="B68" i="117" s="1"/>
  <c r="M67" i="54" s="1"/>
  <c r="D75" i="117"/>
  <c r="F75" i="117" s="1"/>
  <c r="C72" i="117"/>
  <c r="B72" i="117" s="1"/>
  <c r="M71" i="54" s="1"/>
  <c r="D67" i="117"/>
  <c r="F67" i="117" s="1"/>
  <c r="D74" i="117"/>
  <c r="F74" i="117" s="1"/>
  <c r="D69" i="117"/>
  <c r="F69" i="117" s="1"/>
  <c r="D63" i="117"/>
  <c r="F63" i="117" s="1"/>
  <c r="C60" i="117"/>
  <c r="B60" i="117" s="1"/>
  <c r="M59" i="54" s="1"/>
  <c r="C79" i="117"/>
  <c r="B79" i="117" s="1"/>
  <c r="M78" i="54" s="1"/>
  <c r="C74" i="117"/>
  <c r="B74" i="117" s="1"/>
  <c r="M73" i="54" s="1"/>
  <c r="C69" i="117"/>
  <c r="B69" i="117" s="1"/>
  <c r="M68" i="54" s="1"/>
  <c r="C63" i="117"/>
  <c r="B63" i="117" s="1"/>
  <c r="M62" i="54" s="1"/>
  <c r="D58" i="117"/>
  <c r="F58" i="117" s="1"/>
  <c r="D64" i="117"/>
  <c r="F64" i="117" s="1"/>
  <c r="C61" i="117"/>
  <c r="B61" i="117" s="1"/>
  <c r="M60" i="54" s="1"/>
  <c r="D60" i="117"/>
  <c r="F60" i="117" s="1"/>
  <c r="C57" i="117"/>
  <c r="B57" i="117" s="1"/>
  <c r="M56" i="54" s="1"/>
  <c r="D72" i="117"/>
  <c r="F72" i="117" s="1"/>
  <c r="C59" i="117"/>
  <c r="B59" i="117" s="1"/>
  <c r="M58" i="54" s="1"/>
  <c r="C54" i="117"/>
  <c r="B54" i="117" s="1"/>
  <c r="M53" i="54" s="1"/>
  <c r="D49" i="117"/>
  <c r="F49" i="117" s="1"/>
  <c r="C64" i="117"/>
  <c r="B64" i="117" s="1"/>
  <c r="M63" i="54" s="1"/>
  <c r="D57" i="117"/>
  <c r="F57" i="117" s="1"/>
  <c r="D52" i="117"/>
  <c r="F52" i="117" s="1"/>
  <c r="C49" i="117"/>
  <c r="B49" i="117" s="1"/>
  <c r="M48" i="54" s="1"/>
  <c r="D66" i="117"/>
  <c r="F66" i="117" s="1"/>
  <c r="D56" i="117"/>
  <c r="F56" i="117" s="1"/>
  <c r="D55" i="117"/>
  <c r="F55" i="117" s="1"/>
  <c r="C52" i="117"/>
  <c r="B52" i="117" s="1"/>
  <c r="M51" i="54" s="1"/>
  <c r="C66" i="117"/>
  <c r="B66" i="117" s="1"/>
  <c r="M65" i="54" s="1"/>
  <c r="C56" i="117"/>
  <c r="B56" i="117" s="1"/>
  <c r="M55" i="54" s="1"/>
  <c r="C55" i="117"/>
  <c r="B55" i="117" s="1"/>
  <c r="M54" i="54" s="1"/>
  <c r="D50" i="117"/>
  <c r="F50" i="117" s="1"/>
  <c r="C71" i="117"/>
  <c r="B71" i="117" s="1"/>
  <c r="M70" i="54" s="1"/>
  <c r="D61" i="117"/>
  <c r="F61" i="117" s="1"/>
  <c r="D59" i="117"/>
  <c r="F59" i="117" s="1"/>
  <c r="D54" i="117"/>
  <c r="F54" i="117" s="1"/>
  <c r="C51" i="117"/>
  <c r="B51" i="117" s="1"/>
  <c r="M50" i="54" s="1"/>
  <c r="C53" i="117"/>
  <c r="B53" i="117" s="1"/>
  <c r="M52" i="54" s="1"/>
  <c r="C44" i="117"/>
  <c r="B44" i="117" s="1"/>
  <c r="M43" i="54" s="1"/>
  <c r="D39" i="117"/>
  <c r="F39" i="117" s="1"/>
  <c r="D77" i="117"/>
  <c r="F77" i="117" s="1"/>
  <c r="D42" i="117"/>
  <c r="F42" i="117" s="1"/>
  <c r="C39" i="117"/>
  <c r="B39" i="117" s="1"/>
  <c r="M38" i="54" s="1"/>
  <c r="C77" i="117"/>
  <c r="B77" i="117" s="1"/>
  <c r="M76" i="54" s="1"/>
  <c r="D45" i="117"/>
  <c r="F45" i="117" s="1"/>
  <c r="C42" i="117"/>
  <c r="B42" i="117" s="1"/>
  <c r="M41" i="54" s="1"/>
  <c r="D51" i="117"/>
  <c r="F51" i="117" s="1"/>
  <c r="D48" i="117"/>
  <c r="F48" i="117" s="1"/>
  <c r="D47" i="117"/>
  <c r="F47" i="117" s="1"/>
  <c r="C45" i="117"/>
  <c r="B45" i="117" s="1"/>
  <c r="M44" i="54" s="1"/>
  <c r="D40" i="117"/>
  <c r="F40" i="117" s="1"/>
  <c r="C62" i="117"/>
  <c r="B62" i="117" s="1"/>
  <c r="M61" i="54" s="1"/>
  <c r="D53" i="117"/>
  <c r="F53" i="117" s="1"/>
  <c r="D44" i="117"/>
  <c r="F44" i="117" s="1"/>
  <c r="C41" i="117"/>
  <c r="B41" i="117" s="1"/>
  <c r="M40" i="54" s="1"/>
  <c r="C46" i="117"/>
  <c r="B46" i="117" s="1"/>
  <c r="M45" i="54" s="1"/>
  <c r="C40" i="117"/>
  <c r="B40" i="117" s="1"/>
  <c r="M39" i="54" s="1"/>
  <c r="D37" i="117"/>
  <c r="F37" i="117" s="1"/>
  <c r="C34" i="117"/>
  <c r="B34" i="117" s="1"/>
  <c r="M33" i="54" s="1"/>
  <c r="D29" i="117"/>
  <c r="F29" i="117" s="1"/>
  <c r="C26" i="117"/>
  <c r="B26" i="117" s="1"/>
  <c r="M25" i="54" s="1"/>
  <c r="C50" i="117"/>
  <c r="B50" i="117" s="1"/>
  <c r="M49" i="54" s="1"/>
  <c r="C37" i="117"/>
  <c r="B37" i="117" s="1"/>
  <c r="M36" i="54" s="1"/>
  <c r="D32" i="117"/>
  <c r="F32" i="117" s="1"/>
  <c r="C29" i="117"/>
  <c r="B29" i="117" s="1"/>
  <c r="M28" i="54" s="1"/>
  <c r="D38" i="117"/>
  <c r="F38" i="117" s="1"/>
  <c r="D35" i="117"/>
  <c r="F35" i="117" s="1"/>
  <c r="C32" i="117"/>
  <c r="B32" i="117" s="1"/>
  <c r="M31" i="54" s="1"/>
  <c r="D43" i="117"/>
  <c r="F43" i="117" s="1"/>
  <c r="C38" i="117"/>
  <c r="B38" i="117" s="1"/>
  <c r="M37" i="54" s="1"/>
  <c r="C35" i="117"/>
  <c r="B35" i="117" s="1"/>
  <c r="M34" i="54" s="1"/>
  <c r="D30" i="117"/>
  <c r="F30" i="117" s="1"/>
  <c r="D46" i="117"/>
  <c r="F46" i="117" s="1"/>
  <c r="D41" i="117"/>
  <c r="F41" i="117" s="1"/>
  <c r="D34" i="117"/>
  <c r="F34" i="117" s="1"/>
  <c r="C31" i="117"/>
  <c r="B31" i="117" s="1"/>
  <c r="M30" i="54" s="1"/>
  <c r="D26" i="117"/>
  <c r="F26" i="117" s="1"/>
  <c r="C24" i="117"/>
  <c r="B24" i="117" s="1"/>
  <c r="M23" i="54" s="1"/>
  <c r="D19" i="117"/>
  <c r="F19" i="117" s="1"/>
  <c r="C16" i="117"/>
  <c r="D11" i="117"/>
  <c r="F11" i="117" s="1"/>
  <c r="C58" i="117"/>
  <c r="B58" i="117" s="1"/>
  <c r="M57" i="54" s="1"/>
  <c r="C48" i="117"/>
  <c r="B48" i="117" s="1"/>
  <c r="M47" i="54" s="1"/>
  <c r="D22" i="117"/>
  <c r="F22" i="117" s="1"/>
  <c r="C19" i="117"/>
  <c r="D14" i="117"/>
  <c r="F14" i="117" s="1"/>
  <c r="D23" i="117"/>
  <c r="F23" i="117" s="1"/>
  <c r="D62" i="117"/>
  <c r="F62" i="117" s="1"/>
  <c r="D33" i="117"/>
  <c r="F33" i="117" s="1"/>
  <c r="D28" i="117"/>
  <c r="F28" i="117" s="1"/>
  <c r="D25" i="117"/>
  <c r="F25" i="117" s="1"/>
  <c r="C22" i="117"/>
  <c r="C43" i="117"/>
  <c r="B43" i="117" s="1"/>
  <c r="M42" i="54" s="1"/>
  <c r="C33" i="117"/>
  <c r="B33" i="117" s="1"/>
  <c r="M32" i="54" s="1"/>
  <c r="C28" i="117"/>
  <c r="B28" i="117" s="1"/>
  <c r="M27" i="54" s="1"/>
  <c r="C25" i="117"/>
  <c r="B25" i="117" s="1"/>
  <c r="M24" i="54" s="1"/>
  <c r="D20" i="117"/>
  <c r="F20" i="117" s="1"/>
  <c r="C17" i="117"/>
  <c r="D12" i="117"/>
  <c r="F12" i="117" s="1"/>
  <c r="C47" i="117"/>
  <c r="B47" i="117" s="1"/>
  <c r="M46" i="54" s="1"/>
  <c r="C36" i="117"/>
  <c r="B36" i="117" s="1"/>
  <c r="M35" i="54" s="1"/>
  <c r="C30" i="117"/>
  <c r="B30" i="117" s="1"/>
  <c r="M29" i="54" s="1"/>
  <c r="D24" i="117"/>
  <c r="F24" i="117" s="1"/>
  <c r="C21" i="117"/>
  <c r="D16" i="117"/>
  <c r="F16" i="117" s="1"/>
  <c r="C13" i="117"/>
  <c r="C11" i="117"/>
  <c r="D17" i="117"/>
  <c r="F17" i="117" s="1"/>
  <c r="C14" i="117"/>
  <c r="D27" i="117"/>
  <c r="F27" i="117" s="1"/>
  <c r="D31" i="117"/>
  <c r="F31" i="117" s="1"/>
  <c r="C23" i="117"/>
  <c r="D18" i="117"/>
  <c r="F18" i="117" s="1"/>
  <c r="D21" i="117"/>
  <c r="F21" i="117" s="1"/>
  <c r="D15" i="117"/>
  <c r="F15" i="117" s="1"/>
  <c r="C20" i="117"/>
  <c r="C15" i="117"/>
  <c r="D13" i="117"/>
  <c r="F13" i="117" s="1"/>
  <c r="D36" i="117"/>
  <c r="F36" i="117" s="1"/>
  <c r="C27" i="117"/>
  <c r="B27" i="117" s="1"/>
  <c r="M26" i="54" s="1"/>
  <c r="C18" i="117"/>
  <c r="C12" i="117"/>
  <c r="D10" i="117"/>
  <c r="F10" i="117" s="1"/>
  <c r="C10" i="117"/>
  <c r="AP79" i="112"/>
  <c r="AD79" i="112"/>
  <c r="AP78" i="112"/>
  <c r="AD78" i="112"/>
  <c r="AP77" i="112"/>
  <c r="AD77" i="112"/>
  <c r="AP76" i="112"/>
  <c r="AD76" i="112"/>
  <c r="AP75" i="112"/>
  <c r="AD75" i="112"/>
  <c r="AP74" i="112"/>
  <c r="AD74" i="112"/>
  <c r="AP73" i="112"/>
  <c r="AD73" i="112"/>
  <c r="AP72" i="112"/>
  <c r="AD72" i="112"/>
  <c r="AP71" i="112"/>
  <c r="AD71" i="112"/>
  <c r="AP70" i="112"/>
  <c r="AD70" i="112"/>
  <c r="AP69" i="112"/>
  <c r="AD69" i="112"/>
  <c r="AP68" i="112"/>
  <c r="AD68" i="112"/>
  <c r="AP67" i="112"/>
  <c r="AD67" i="112"/>
  <c r="AP66" i="112"/>
  <c r="AD66" i="112"/>
  <c r="AP65" i="112"/>
  <c r="AD65" i="112"/>
  <c r="AP64" i="112"/>
  <c r="AD64" i="112"/>
  <c r="AP63" i="112"/>
  <c r="AD63" i="112"/>
  <c r="AP62" i="112"/>
  <c r="AD62" i="112"/>
  <c r="AP61" i="112"/>
  <c r="AD61" i="112"/>
  <c r="AP60" i="112"/>
  <c r="AD60" i="112"/>
  <c r="AP59" i="112"/>
  <c r="AD59" i="112"/>
  <c r="AP58" i="112"/>
  <c r="AD58" i="112"/>
  <c r="AP57" i="112"/>
  <c r="AD57" i="112"/>
  <c r="AP56" i="112"/>
  <c r="AD56" i="112"/>
  <c r="AP55" i="112"/>
  <c r="AD55" i="112"/>
  <c r="AP54" i="112"/>
  <c r="AD54" i="112"/>
  <c r="AP53" i="112"/>
  <c r="AD53" i="112"/>
  <c r="AP52" i="112"/>
  <c r="AD52" i="112"/>
  <c r="AP51" i="112"/>
  <c r="AD51" i="112"/>
  <c r="AP50" i="112"/>
  <c r="AD50" i="112"/>
  <c r="AP49" i="112"/>
  <c r="AD49" i="112"/>
  <c r="AP48" i="112"/>
  <c r="AD48" i="112"/>
  <c r="AP47" i="112"/>
  <c r="AD47" i="112"/>
  <c r="AP46" i="112"/>
  <c r="AD46" i="112"/>
  <c r="AP45" i="112"/>
  <c r="AD45" i="112"/>
  <c r="AP44" i="112"/>
  <c r="AD44" i="112"/>
  <c r="AP43" i="112"/>
  <c r="AD43" i="112"/>
  <c r="AP42" i="112"/>
  <c r="AD42" i="112"/>
  <c r="AP41" i="112"/>
  <c r="AD41" i="112"/>
  <c r="AP40" i="112"/>
  <c r="AD40" i="112"/>
  <c r="AP39" i="112"/>
  <c r="AD39" i="112"/>
  <c r="AP38" i="112"/>
  <c r="AD38" i="112"/>
  <c r="AP37" i="112"/>
  <c r="AD37" i="112"/>
  <c r="AP36" i="112"/>
  <c r="AD36" i="112"/>
  <c r="AP35" i="112"/>
  <c r="AD35" i="112"/>
  <c r="AP34" i="112"/>
  <c r="AD34" i="112"/>
  <c r="AP33" i="112"/>
  <c r="AD33" i="112"/>
  <c r="AP32" i="112"/>
  <c r="AD32" i="112"/>
  <c r="AP31" i="112"/>
  <c r="AD31" i="112"/>
  <c r="AP30" i="112"/>
  <c r="AD30" i="112"/>
  <c r="AP29" i="112"/>
  <c r="AD29" i="112"/>
  <c r="AP28" i="112"/>
  <c r="AD28" i="112"/>
  <c r="AP27" i="112"/>
  <c r="AD27" i="112"/>
  <c r="AP26" i="112"/>
  <c r="AD26" i="112"/>
  <c r="AP25" i="112"/>
  <c r="AD25" i="112"/>
  <c r="AP24" i="112"/>
  <c r="AD24" i="112"/>
  <c r="AP23" i="112"/>
  <c r="AD23" i="112"/>
  <c r="AP22" i="112"/>
  <c r="AD22" i="112"/>
  <c r="AP21" i="112"/>
  <c r="AD21" i="112"/>
  <c r="AP20" i="112"/>
  <c r="AD20" i="112"/>
  <c r="AP19" i="112"/>
  <c r="AD19" i="112"/>
  <c r="AP18" i="112"/>
  <c r="AD18" i="112"/>
  <c r="AP17" i="112"/>
  <c r="AD17" i="112"/>
  <c r="AP16" i="112"/>
  <c r="AD16" i="112"/>
  <c r="AP15" i="112"/>
  <c r="AD15" i="112"/>
  <c r="AP14" i="112"/>
  <c r="AD14" i="112"/>
  <c r="AP13" i="112"/>
  <c r="AD13" i="112"/>
  <c r="AP12" i="112"/>
  <c r="AD12" i="112"/>
  <c r="AP11" i="112"/>
  <c r="AD11" i="112"/>
  <c r="BQ10" i="112" a="1"/>
  <c r="Q57" i="54" l="1"/>
  <c r="N57" i="54"/>
  <c r="O57" i="54"/>
  <c r="P57" i="54" s="1"/>
  <c r="N46" i="54"/>
  <c r="Q46" i="54"/>
  <c r="O46" i="54"/>
  <c r="P46" i="54" s="1"/>
  <c r="Q30" i="54"/>
  <c r="O30" i="54"/>
  <c r="P30" i="54" s="1"/>
  <c r="N30" i="54"/>
  <c r="O31" i="54"/>
  <c r="P31" i="54" s="1"/>
  <c r="Q31" i="54"/>
  <c r="N31" i="54"/>
  <c r="Q61" i="54"/>
  <c r="O61" i="54"/>
  <c r="P61" i="54" s="1"/>
  <c r="N61" i="54"/>
  <c r="O76" i="54"/>
  <c r="P76" i="54" s="1"/>
  <c r="N76" i="54"/>
  <c r="Q76" i="54"/>
  <c r="Q51" i="54"/>
  <c r="O51" i="54"/>
  <c r="P51" i="54" s="1"/>
  <c r="N51" i="54"/>
  <c r="O64" i="54"/>
  <c r="P64" i="54" s="1"/>
  <c r="Q64" i="54"/>
  <c r="N64" i="54"/>
  <c r="Q66" i="54"/>
  <c r="N66" i="54"/>
  <c r="O66" i="54"/>
  <c r="P66" i="54" s="1"/>
  <c r="O47" i="54"/>
  <c r="P47" i="54" s="1"/>
  <c r="N47" i="54"/>
  <c r="Q47" i="54"/>
  <c r="Q33" i="54"/>
  <c r="N33" i="54"/>
  <c r="O33" i="54"/>
  <c r="P33" i="54" s="1"/>
  <c r="N38" i="54"/>
  <c r="O38" i="54"/>
  <c r="P38" i="54" s="1"/>
  <c r="Q38" i="54"/>
  <c r="Q53" i="54"/>
  <c r="O53" i="54"/>
  <c r="P53" i="54" s="1"/>
  <c r="N53" i="54"/>
  <c r="N62" i="54"/>
  <c r="O62" i="54"/>
  <c r="P62" i="54" s="1"/>
  <c r="Q62" i="54"/>
  <c r="Q74" i="54"/>
  <c r="N74" i="54"/>
  <c r="O74" i="54"/>
  <c r="P74" i="54" s="1"/>
  <c r="Q58" i="54"/>
  <c r="O58" i="54"/>
  <c r="P58" i="54" s="1"/>
  <c r="N58" i="54"/>
  <c r="O68" i="54"/>
  <c r="P68" i="54" s="1"/>
  <c r="Q68" i="54"/>
  <c r="N68" i="54"/>
  <c r="O71" i="54"/>
  <c r="P71" i="54" s="1"/>
  <c r="N71" i="54"/>
  <c r="Q71" i="54"/>
  <c r="O72" i="54"/>
  <c r="P72" i="54" s="1"/>
  <c r="Q72" i="54"/>
  <c r="N72" i="54"/>
  <c r="O28" i="54"/>
  <c r="P28" i="54" s="1"/>
  <c r="Q28" i="54"/>
  <c r="N28" i="54"/>
  <c r="Q39" i="54"/>
  <c r="N39" i="54"/>
  <c r="O39" i="54"/>
  <c r="P39" i="54" s="1"/>
  <c r="N70" i="54"/>
  <c r="O70" i="54"/>
  <c r="P70" i="54" s="1"/>
  <c r="Q70" i="54"/>
  <c r="Q73" i="54"/>
  <c r="O73" i="54"/>
  <c r="P73" i="54" s="1"/>
  <c r="N73" i="54"/>
  <c r="O24" i="54"/>
  <c r="P24" i="54" s="1"/>
  <c r="N24" i="54"/>
  <c r="Q24" i="54"/>
  <c r="Q45" i="54"/>
  <c r="O45" i="54"/>
  <c r="P45" i="54" s="1"/>
  <c r="N45" i="54"/>
  <c r="O48" i="54"/>
  <c r="P48" i="54" s="1"/>
  <c r="Q48" i="54"/>
  <c r="N48" i="54"/>
  <c r="O56" i="54"/>
  <c r="P56" i="54" s="1"/>
  <c r="Q56" i="54"/>
  <c r="N56" i="54"/>
  <c r="N78" i="54"/>
  <c r="Q78" i="54"/>
  <c r="O78" i="54"/>
  <c r="P78" i="54" s="1"/>
  <c r="N67" i="54"/>
  <c r="Q67" i="54"/>
  <c r="O67" i="54"/>
  <c r="P67" i="54" s="1"/>
  <c r="O44" i="54"/>
  <c r="P44" i="54" s="1"/>
  <c r="N44" i="54"/>
  <c r="Q44" i="54"/>
  <c r="O27" i="54"/>
  <c r="P27" i="54" s="1"/>
  <c r="N27" i="54"/>
  <c r="Q27" i="54"/>
  <c r="O34" i="54"/>
  <c r="P34" i="54" s="1"/>
  <c r="N34" i="54"/>
  <c r="Q34" i="54"/>
  <c r="Q36" i="54"/>
  <c r="N36" i="54"/>
  <c r="O36" i="54"/>
  <c r="P36" i="54" s="1"/>
  <c r="Q40" i="54"/>
  <c r="O40" i="54"/>
  <c r="P40" i="54" s="1"/>
  <c r="N40" i="54"/>
  <c r="Q43" i="54"/>
  <c r="O43" i="54"/>
  <c r="P43" i="54" s="1"/>
  <c r="N43" i="54"/>
  <c r="N54" i="54"/>
  <c r="Q54" i="54"/>
  <c r="O54" i="54"/>
  <c r="P54" i="54" s="1"/>
  <c r="N59" i="54"/>
  <c r="Q59" i="54"/>
  <c r="O59" i="54"/>
  <c r="P59" i="54" s="1"/>
  <c r="Q69" i="54"/>
  <c r="O69" i="54"/>
  <c r="P69" i="54" s="1"/>
  <c r="N69" i="54"/>
  <c r="O29" i="54"/>
  <c r="P29" i="54" s="1"/>
  <c r="N29" i="54"/>
  <c r="Q29" i="54"/>
  <c r="N32" i="54"/>
  <c r="Q32" i="54"/>
  <c r="O32" i="54"/>
  <c r="P32" i="54" s="1"/>
  <c r="Q23" i="54"/>
  <c r="N23" i="54"/>
  <c r="O23" i="54"/>
  <c r="P23" i="54" s="1"/>
  <c r="Q37" i="54"/>
  <c r="O37" i="54"/>
  <c r="P37" i="54" s="1"/>
  <c r="N37" i="54"/>
  <c r="Q49" i="54"/>
  <c r="O49" i="54"/>
  <c r="P49" i="54" s="1"/>
  <c r="N49" i="54"/>
  <c r="O41" i="54"/>
  <c r="P41" i="54" s="1"/>
  <c r="N41" i="54"/>
  <c r="Q41" i="54"/>
  <c r="Q52" i="54"/>
  <c r="N52" i="54"/>
  <c r="O52" i="54"/>
  <c r="P52" i="54" s="1"/>
  <c r="O55" i="54"/>
  <c r="P55" i="54" s="1"/>
  <c r="Q55" i="54"/>
  <c r="N55" i="54"/>
  <c r="O60" i="54"/>
  <c r="P60" i="54" s="1"/>
  <c r="N60" i="54"/>
  <c r="Q60" i="54"/>
  <c r="N75" i="54"/>
  <c r="Q75" i="54"/>
  <c r="O75" i="54"/>
  <c r="P75" i="54" s="1"/>
  <c r="N26" i="54"/>
  <c r="Q26" i="54"/>
  <c r="O26" i="54"/>
  <c r="P26" i="54" s="1"/>
  <c r="O35" i="54"/>
  <c r="P35" i="54" s="1"/>
  <c r="Q35" i="54"/>
  <c r="N35" i="54"/>
  <c r="Q42" i="54"/>
  <c r="O42" i="54"/>
  <c r="P42" i="54" s="1"/>
  <c r="N42" i="54"/>
  <c r="N25" i="54"/>
  <c r="Q25" i="54"/>
  <c r="O25" i="54"/>
  <c r="P25" i="54" s="1"/>
  <c r="Q50" i="54"/>
  <c r="N50" i="54"/>
  <c r="O50" i="54"/>
  <c r="P50" i="54" s="1"/>
  <c r="Q65" i="54"/>
  <c r="N65" i="54"/>
  <c r="O65" i="54"/>
  <c r="P65" i="54" s="1"/>
  <c r="O63" i="54"/>
  <c r="P63" i="54" s="1"/>
  <c r="Q63" i="54"/>
  <c r="N63" i="54"/>
  <c r="O77" i="54"/>
  <c r="P77" i="54" s="1"/>
  <c r="Q77" i="54"/>
  <c r="N77" i="54"/>
  <c r="BR76" i="112"/>
  <c r="BT76" i="112" s="1"/>
  <c r="CO75" i="55" s="1"/>
  <c r="BR72" i="112"/>
  <c r="BT72" i="112" s="1"/>
  <c r="CO71" i="55" s="1"/>
  <c r="BR68" i="112"/>
  <c r="BT68" i="112" s="1"/>
  <c r="CO67" i="55" s="1"/>
  <c r="BR64" i="112"/>
  <c r="BT64" i="112" s="1"/>
  <c r="CO63" i="55" s="1"/>
  <c r="BQ76" i="112"/>
  <c r="BP76" i="112" s="1"/>
  <c r="CN75" i="55" s="1"/>
  <c r="BQ72" i="112"/>
  <c r="BP72" i="112" s="1"/>
  <c r="CN71" i="55" s="1"/>
  <c r="BQ68" i="112"/>
  <c r="BP68" i="112" s="1"/>
  <c r="CN67" i="55" s="1"/>
  <c r="BQ64" i="112"/>
  <c r="BP64" i="112" s="1"/>
  <c r="CN63" i="55" s="1"/>
  <c r="BR79" i="112"/>
  <c r="BT79" i="112" s="1"/>
  <c r="CO78" i="55" s="1"/>
  <c r="BR75" i="112"/>
  <c r="BT75" i="112" s="1"/>
  <c r="CO74" i="55" s="1"/>
  <c r="BR71" i="112"/>
  <c r="BT71" i="112" s="1"/>
  <c r="CO70" i="55" s="1"/>
  <c r="BR67" i="112"/>
  <c r="BT67" i="112" s="1"/>
  <c r="CO66" i="55" s="1"/>
  <c r="BR63" i="112"/>
  <c r="BT63" i="112" s="1"/>
  <c r="CO62" i="55" s="1"/>
  <c r="BR78" i="112"/>
  <c r="BT78" i="112" s="1"/>
  <c r="CO77" i="55" s="1"/>
  <c r="BR74" i="112"/>
  <c r="BT74" i="112" s="1"/>
  <c r="CO73" i="55" s="1"/>
  <c r="BR70" i="112"/>
  <c r="BT70" i="112" s="1"/>
  <c r="CO69" i="55" s="1"/>
  <c r="BR66" i="112"/>
  <c r="BT66" i="112" s="1"/>
  <c r="CO65" i="55" s="1"/>
  <c r="BR77" i="112"/>
  <c r="BT77" i="112" s="1"/>
  <c r="CO76" i="55" s="1"/>
  <c r="BR73" i="112"/>
  <c r="BT73" i="112" s="1"/>
  <c r="CO72" i="55" s="1"/>
  <c r="BR69" i="112"/>
  <c r="BT69" i="112" s="1"/>
  <c r="CO68" i="55" s="1"/>
  <c r="BR65" i="112"/>
  <c r="BT65" i="112" s="1"/>
  <c r="CO64" i="55" s="1"/>
  <c r="BR60" i="112"/>
  <c r="BT60" i="112" s="1"/>
  <c r="CO59" i="55" s="1"/>
  <c r="BR56" i="112"/>
  <c r="BT56" i="112" s="1"/>
  <c r="CO55" i="55" s="1"/>
  <c r="BR52" i="112"/>
  <c r="BT52" i="112" s="1"/>
  <c r="CO51" i="55" s="1"/>
  <c r="BQ79" i="112"/>
  <c r="BP79" i="112" s="1"/>
  <c r="CN78" i="55" s="1"/>
  <c r="BQ71" i="112"/>
  <c r="BP71" i="112" s="1"/>
  <c r="CN70" i="55" s="1"/>
  <c r="BQ63" i="112"/>
  <c r="BP63" i="112" s="1"/>
  <c r="CN62" i="55" s="1"/>
  <c r="BQ60" i="112"/>
  <c r="BP60" i="112" s="1"/>
  <c r="CN59" i="55" s="1"/>
  <c r="BQ56" i="112"/>
  <c r="BP56" i="112" s="1"/>
  <c r="CN55" i="55" s="1"/>
  <c r="BQ78" i="112"/>
  <c r="BP78" i="112" s="1"/>
  <c r="CN77" i="55" s="1"/>
  <c r="BQ70" i="112"/>
  <c r="BP70" i="112" s="1"/>
  <c r="CN69" i="55" s="1"/>
  <c r="BR59" i="112"/>
  <c r="BT59" i="112" s="1"/>
  <c r="CO58" i="55" s="1"/>
  <c r="BR55" i="112"/>
  <c r="BT55" i="112" s="1"/>
  <c r="CO54" i="55" s="1"/>
  <c r="BR62" i="112"/>
  <c r="BT62" i="112" s="1"/>
  <c r="CO61" i="55" s="1"/>
  <c r="BR58" i="112"/>
  <c r="BT58" i="112" s="1"/>
  <c r="CO57" i="55" s="1"/>
  <c r="BR54" i="112"/>
  <c r="BT54" i="112" s="1"/>
  <c r="CO53" i="55" s="1"/>
  <c r="BQ74" i="112"/>
  <c r="BP74" i="112" s="1"/>
  <c r="CN73" i="55" s="1"/>
  <c r="BQ66" i="112"/>
  <c r="BP66" i="112" s="1"/>
  <c r="CN65" i="55" s="1"/>
  <c r="BR61" i="112"/>
  <c r="BT61" i="112" s="1"/>
  <c r="CO60" i="55" s="1"/>
  <c r="BR57" i="112"/>
  <c r="BT57" i="112" s="1"/>
  <c r="CO56" i="55" s="1"/>
  <c r="BR53" i="112"/>
  <c r="BT53" i="112" s="1"/>
  <c r="CO52" i="55" s="1"/>
  <c r="BQ77" i="112"/>
  <c r="BP77" i="112" s="1"/>
  <c r="CN76" i="55" s="1"/>
  <c r="BQ61" i="112"/>
  <c r="BP61" i="112" s="1"/>
  <c r="CN60" i="55" s="1"/>
  <c r="BQ48" i="112"/>
  <c r="BP48" i="112" s="1"/>
  <c r="CN47" i="55" s="1"/>
  <c r="BQ44" i="112"/>
  <c r="BP44" i="112" s="1"/>
  <c r="CN43" i="55" s="1"/>
  <c r="BQ52" i="112"/>
  <c r="BP52" i="112" s="1"/>
  <c r="CN51" i="55" s="1"/>
  <c r="BR51" i="112"/>
  <c r="BT51" i="112" s="1"/>
  <c r="CO50" i="55" s="1"/>
  <c r="BR47" i="112"/>
  <c r="BT47" i="112" s="1"/>
  <c r="CO46" i="55" s="1"/>
  <c r="BR43" i="112"/>
  <c r="BT43" i="112" s="1"/>
  <c r="CO42" i="55" s="1"/>
  <c r="BQ59" i="112"/>
  <c r="BP59" i="112" s="1"/>
  <c r="CN58" i="55" s="1"/>
  <c r="BQ51" i="112"/>
  <c r="BP51" i="112" s="1"/>
  <c r="CN50" i="55" s="1"/>
  <c r="BQ47" i="112"/>
  <c r="BP47" i="112" s="1"/>
  <c r="CN46" i="55" s="1"/>
  <c r="BQ43" i="112"/>
  <c r="BP43" i="112" s="1"/>
  <c r="CN42" i="55" s="1"/>
  <c r="BQ67" i="112"/>
  <c r="BP67" i="112" s="1"/>
  <c r="CN66" i="55" s="1"/>
  <c r="BQ57" i="112"/>
  <c r="BP57" i="112" s="1"/>
  <c r="CN56" i="55" s="1"/>
  <c r="BQ53" i="112"/>
  <c r="BP53" i="112" s="1"/>
  <c r="CN52" i="55" s="1"/>
  <c r="BQ50" i="112"/>
  <c r="BP50" i="112" s="1"/>
  <c r="CN49" i="55" s="1"/>
  <c r="BQ46" i="112"/>
  <c r="BP46" i="112" s="1"/>
  <c r="CN45" i="55" s="1"/>
  <c r="BQ42" i="112"/>
  <c r="BP42" i="112" s="1"/>
  <c r="CN41" i="55" s="1"/>
  <c r="BQ73" i="112"/>
  <c r="BP73" i="112" s="1"/>
  <c r="CN72" i="55" s="1"/>
  <c r="BQ55" i="112"/>
  <c r="BP55" i="112" s="1"/>
  <c r="CN54" i="55" s="1"/>
  <c r="BQ49" i="112"/>
  <c r="BP49" i="112" s="1"/>
  <c r="CN48" i="55" s="1"/>
  <c r="BQ45" i="112"/>
  <c r="BP45" i="112" s="1"/>
  <c r="CN44" i="55" s="1"/>
  <c r="BQ75" i="112"/>
  <c r="BP75" i="112" s="1"/>
  <c r="CN74" i="55" s="1"/>
  <c r="BR39" i="112"/>
  <c r="BT39" i="112" s="1"/>
  <c r="CO38" i="55" s="1"/>
  <c r="BR35" i="112"/>
  <c r="BT35" i="112" s="1"/>
  <c r="CO34" i="55" s="1"/>
  <c r="BQ58" i="112"/>
  <c r="BP58" i="112" s="1"/>
  <c r="CN57" i="55" s="1"/>
  <c r="BR46" i="112"/>
  <c r="BT46" i="112" s="1"/>
  <c r="CO45" i="55" s="1"/>
  <c r="BQ39" i="112"/>
  <c r="BP39" i="112" s="1"/>
  <c r="CN38" i="55" s="1"/>
  <c r="BQ35" i="112"/>
  <c r="BP35" i="112" s="1"/>
  <c r="CN34" i="55" s="1"/>
  <c r="BR45" i="112"/>
  <c r="BT45" i="112" s="1"/>
  <c r="CO44" i="55" s="1"/>
  <c r="BR38" i="112"/>
  <c r="BT38" i="112" s="1"/>
  <c r="CO37" i="55" s="1"/>
  <c r="BR34" i="112"/>
  <c r="BT34" i="112" s="1"/>
  <c r="CO33" i="55" s="1"/>
  <c r="BQ69" i="112"/>
  <c r="BP69" i="112" s="1"/>
  <c r="CN68" i="55" s="1"/>
  <c r="BQ65" i="112"/>
  <c r="BP65" i="112" s="1"/>
  <c r="CN64" i="55" s="1"/>
  <c r="BQ62" i="112"/>
  <c r="BP62" i="112" s="1"/>
  <c r="CN61" i="55" s="1"/>
  <c r="BR44" i="112"/>
  <c r="BT44" i="112" s="1"/>
  <c r="CO43" i="55" s="1"/>
  <c r="BQ38" i="112"/>
  <c r="BP38" i="112" s="1"/>
  <c r="CN37" i="55" s="1"/>
  <c r="BQ34" i="112"/>
  <c r="BP34" i="112" s="1"/>
  <c r="CN33" i="55" s="1"/>
  <c r="BR49" i="112"/>
  <c r="BT49" i="112" s="1"/>
  <c r="CO48" i="55" s="1"/>
  <c r="BR42" i="112"/>
  <c r="BT42" i="112" s="1"/>
  <c r="CO41" i="55" s="1"/>
  <c r="BR40" i="112"/>
  <c r="BT40" i="112" s="1"/>
  <c r="CO39" i="55" s="1"/>
  <c r="BR36" i="112"/>
  <c r="BT36" i="112" s="1"/>
  <c r="CO35" i="55" s="1"/>
  <c r="BR32" i="112"/>
  <c r="BT32" i="112" s="1"/>
  <c r="CO31" i="55" s="1"/>
  <c r="BR41" i="112"/>
  <c r="BT41" i="112" s="1"/>
  <c r="CO40" i="55" s="1"/>
  <c r="BR33" i="112"/>
  <c r="BT33" i="112" s="1"/>
  <c r="CO32" i="55" s="1"/>
  <c r="BQ30" i="112"/>
  <c r="BP30" i="112" s="1"/>
  <c r="CN29" i="55" s="1"/>
  <c r="BQ26" i="112"/>
  <c r="BP26" i="112" s="1"/>
  <c r="CN25" i="55" s="1"/>
  <c r="BQ22" i="112"/>
  <c r="BQ41" i="112"/>
  <c r="BP41" i="112" s="1"/>
  <c r="CN40" i="55" s="1"/>
  <c r="BQ40" i="112"/>
  <c r="BP40" i="112" s="1"/>
  <c r="CN39" i="55" s="1"/>
  <c r="BQ33" i="112"/>
  <c r="BP33" i="112" s="1"/>
  <c r="CN32" i="55" s="1"/>
  <c r="BR29" i="112"/>
  <c r="BT29" i="112" s="1"/>
  <c r="CO28" i="55" s="1"/>
  <c r="BR25" i="112"/>
  <c r="BT25" i="112" s="1"/>
  <c r="CO24" i="55" s="1"/>
  <c r="BQ29" i="112"/>
  <c r="BP29" i="112" s="1"/>
  <c r="CN28" i="55" s="1"/>
  <c r="BQ25" i="112"/>
  <c r="BP25" i="112" s="1"/>
  <c r="CN24" i="55" s="1"/>
  <c r="BQ21" i="112"/>
  <c r="BR37" i="112"/>
  <c r="BT37" i="112" s="1"/>
  <c r="CO36" i="55" s="1"/>
  <c r="BQ28" i="112"/>
  <c r="BP28" i="112" s="1"/>
  <c r="CN27" i="55" s="1"/>
  <c r="BQ24" i="112"/>
  <c r="BR50" i="112"/>
  <c r="BT50" i="112" s="1"/>
  <c r="CO49" i="55" s="1"/>
  <c r="BQ31" i="112"/>
  <c r="BP31" i="112" s="1"/>
  <c r="CN30" i="55" s="1"/>
  <c r="BQ27" i="112"/>
  <c r="BP27" i="112" s="1"/>
  <c r="CN26" i="55" s="1"/>
  <c r="BQ23" i="112"/>
  <c r="BQ36" i="112"/>
  <c r="BP36" i="112" s="1"/>
  <c r="CN35" i="55" s="1"/>
  <c r="BQ32" i="112"/>
  <c r="BP32" i="112" s="1"/>
  <c r="CN31" i="55" s="1"/>
  <c r="BQ20" i="112"/>
  <c r="BQ19" i="112"/>
  <c r="BQ15" i="112"/>
  <c r="BQ11" i="112"/>
  <c r="BR48" i="112"/>
  <c r="BT48" i="112" s="1"/>
  <c r="CO47" i="55" s="1"/>
  <c r="BQ37" i="112"/>
  <c r="BP37" i="112" s="1"/>
  <c r="CN36" i="55" s="1"/>
  <c r="BR28" i="112"/>
  <c r="BT28" i="112" s="1"/>
  <c r="CO27" i="55" s="1"/>
  <c r="BR18" i="112"/>
  <c r="BT18" i="112" s="1"/>
  <c r="CO17" i="55" s="1"/>
  <c r="BR14" i="112"/>
  <c r="BT14" i="112" s="1"/>
  <c r="CO13" i="55" s="1"/>
  <c r="BR10" i="112"/>
  <c r="BT10" i="112" s="1"/>
  <c r="CO9" i="55" s="1"/>
  <c r="BR26" i="112"/>
  <c r="BT26" i="112" s="1"/>
  <c r="CO25" i="55" s="1"/>
  <c r="BR21" i="112"/>
  <c r="BT21" i="112" s="1"/>
  <c r="CO20" i="55" s="1"/>
  <c r="BR17" i="112"/>
  <c r="BT17" i="112" s="1"/>
  <c r="CO16" i="55" s="1"/>
  <c r="BR13" i="112"/>
  <c r="BT13" i="112" s="1"/>
  <c r="CO12" i="55" s="1"/>
  <c r="BR24" i="112"/>
  <c r="BT24" i="112" s="1"/>
  <c r="CO23" i="55" s="1"/>
  <c r="BR16" i="112"/>
  <c r="BT16" i="112" s="1"/>
  <c r="CO15" i="55" s="1"/>
  <c r="BR12" i="112"/>
  <c r="BT12" i="112" s="1"/>
  <c r="CO11" i="55" s="1"/>
  <c r="BR30" i="112"/>
  <c r="BT30" i="112" s="1"/>
  <c r="CO29" i="55" s="1"/>
  <c r="BR22" i="112"/>
  <c r="BT22" i="112" s="1"/>
  <c r="CO21" i="55" s="1"/>
  <c r="BQ16" i="112"/>
  <c r="BQ17" i="112"/>
  <c r="BQ10" i="112"/>
  <c r="BR23" i="112"/>
  <c r="BT23" i="112" s="1"/>
  <c r="CO22" i="55" s="1"/>
  <c r="BR11" i="112"/>
  <c r="BT11" i="112" s="1"/>
  <c r="CO10" i="55" s="1"/>
  <c r="BQ13" i="112"/>
  <c r="BQ54" i="112"/>
  <c r="BP54" i="112" s="1"/>
  <c r="CN53" i="55" s="1"/>
  <c r="BR19" i="112"/>
  <c r="BT19" i="112" s="1"/>
  <c r="CO18" i="55" s="1"/>
  <c r="BR15" i="112"/>
  <c r="BT15" i="112" s="1"/>
  <c r="CO14" i="55" s="1"/>
  <c r="BR27" i="112"/>
  <c r="BT27" i="112" s="1"/>
  <c r="CO26" i="55" s="1"/>
  <c r="BR20" i="112"/>
  <c r="BT20" i="112" s="1"/>
  <c r="CO19" i="55" s="1"/>
  <c r="BQ12" i="112"/>
  <c r="BR31" i="112"/>
  <c r="BT31" i="112" s="1"/>
  <c r="CO30" i="55" s="1"/>
  <c r="BQ18" i="112"/>
  <c r="BQ14" i="112"/>
  <c r="BK10" i="112" a="1"/>
  <c r="BL78" i="112" l="1"/>
  <c r="BN78" i="112" s="1"/>
  <c r="BW77" i="55" s="1"/>
  <c r="BL74" i="112"/>
  <c r="BN74" i="112" s="1"/>
  <c r="BW73" i="55" s="1"/>
  <c r="BL70" i="112"/>
  <c r="BN70" i="112" s="1"/>
  <c r="BW69" i="55" s="1"/>
  <c r="BL66" i="112"/>
  <c r="BN66" i="112" s="1"/>
  <c r="BW65" i="55" s="1"/>
  <c r="BK78" i="112"/>
  <c r="BJ78" i="112" s="1"/>
  <c r="BV77" i="55" s="1"/>
  <c r="BK74" i="112"/>
  <c r="BJ74" i="112" s="1"/>
  <c r="BV73" i="55" s="1"/>
  <c r="BK70" i="112"/>
  <c r="BJ70" i="112" s="1"/>
  <c r="BV69" i="55" s="1"/>
  <c r="BK66" i="112"/>
  <c r="BJ66" i="112" s="1"/>
  <c r="BV65" i="55" s="1"/>
  <c r="BL77" i="112"/>
  <c r="BN77" i="112" s="1"/>
  <c r="BW76" i="55" s="1"/>
  <c r="BL73" i="112"/>
  <c r="BN73" i="112" s="1"/>
  <c r="BW72" i="55" s="1"/>
  <c r="BL69" i="112"/>
  <c r="BN69" i="112" s="1"/>
  <c r="BW68" i="55" s="1"/>
  <c r="BL65" i="112"/>
  <c r="BN65" i="112" s="1"/>
  <c r="BW64" i="55" s="1"/>
  <c r="BL76" i="112"/>
  <c r="BN76" i="112" s="1"/>
  <c r="BW75" i="55" s="1"/>
  <c r="BL72" i="112"/>
  <c r="BN72" i="112" s="1"/>
  <c r="BW71" i="55" s="1"/>
  <c r="BL68" i="112"/>
  <c r="BN68" i="112" s="1"/>
  <c r="BW67" i="55" s="1"/>
  <c r="BL64" i="112"/>
  <c r="BN64" i="112" s="1"/>
  <c r="BW63" i="55" s="1"/>
  <c r="BL79" i="112"/>
  <c r="BN79" i="112" s="1"/>
  <c r="BW78" i="55" s="1"/>
  <c r="BL75" i="112"/>
  <c r="BN75" i="112" s="1"/>
  <c r="BW74" i="55" s="1"/>
  <c r="BL71" i="112"/>
  <c r="BN71" i="112" s="1"/>
  <c r="BW70" i="55" s="1"/>
  <c r="BL67" i="112"/>
  <c r="BN67" i="112" s="1"/>
  <c r="BW66" i="55" s="1"/>
  <c r="BL63" i="112"/>
  <c r="BN63" i="112" s="1"/>
  <c r="BW62" i="55" s="1"/>
  <c r="BK73" i="112"/>
  <c r="BJ73" i="112" s="1"/>
  <c r="BV72" i="55" s="1"/>
  <c r="BK65" i="112"/>
  <c r="BJ65" i="112" s="1"/>
  <c r="BV64" i="55" s="1"/>
  <c r="BL62" i="112"/>
  <c r="BN62" i="112" s="1"/>
  <c r="BW61" i="55" s="1"/>
  <c r="BL58" i="112"/>
  <c r="BN58" i="112" s="1"/>
  <c r="BW57" i="55" s="1"/>
  <c r="BL54" i="112"/>
  <c r="BN54" i="112" s="1"/>
  <c r="BW53" i="55" s="1"/>
  <c r="BK62" i="112"/>
  <c r="BJ62" i="112" s="1"/>
  <c r="BV61" i="55" s="1"/>
  <c r="BK58" i="112"/>
  <c r="BJ58" i="112" s="1"/>
  <c r="BV57" i="55" s="1"/>
  <c r="BK54" i="112"/>
  <c r="BJ54" i="112" s="1"/>
  <c r="BV53" i="55" s="1"/>
  <c r="BK72" i="112"/>
  <c r="BJ72" i="112" s="1"/>
  <c r="BV71" i="55" s="1"/>
  <c r="BK64" i="112"/>
  <c r="BJ64" i="112" s="1"/>
  <c r="BV63" i="55" s="1"/>
  <c r="BL61" i="112"/>
  <c r="BN61" i="112" s="1"/>
  <c r="BW60" i="55" s="1"/>
  <c r="BL57" i="112"/>
  <c r="BN57" i="112" s="1"/>
  <c r="BW56" i="55" s="1"/>
  <c r="BL53" i="112"/>
  <c r="BN53" i="112" s="1"/>
  <c r="BW52" i="55" s="1"/>
  <c r="BK77" i="112"/>
  <c r="BJ77" i="112" s="1"/>
  <c r="BV76" i="55" s="1"/>
  <c r="BK69" i="112"/>
  <c r="BJ69" i="112" s="1"/>
  <c r="BV68" i="55" s="1"/>
  <c r="BL60" i="112"/>
  <c r="BN60" i="112" s="1"/>
  <c r="BW59" i="55" s="1"/>
  <c r="BL56" i="112"/>
  <c r="BN56" i="112" s="1"/>
  <c r="BW55" i="55" s="1"/>
  <c r="BK76" i="112"/>
  <c r="BJ76" i="112" s="1"/>
  <c r="BV75" i="55" s="1"/>
  <c r="BK68" i="112"/>
  <c r="BJ68" i="112" s="1"/>
  <c r="BV67" i="55" s="1"/>
  <c r="BL59" i="112"/>
  <c r="BN59" i="112" s="1"/>
  <c r="BW58" i="55" s="1"/>
  <c r="BL55" i="112"/>
  <c r="BN55" i="112" s="1"/>
  <c r="BW54" i="55" s="1"/>
  <c r="BK75" i="112"/>
  <c r="BJ75" i="112" s="1"/>
  <c r="BV74" i="55" s="1"/>
  <c r="BK55" i="112"/>
  <c r="BJ55" i="112" s="1"/>
  <c r="BV54" i="55" s="1"/>
  <c r="BK50" i="112"/>
  <c r="BJ50" i="112" s="1"/>
  <c r="BV49" i="55" s="1"/>
  <c r="BK46" i="112"/>
  <c r="BJ46" i="112" s="1"/>
  <c r="BV45" i="55" s="1"/>
  <c r="BK42" i="112"/>
  <c r="BJ42" i="112" s="1"/>
  <c r="BV41" i="55" s="1"/>
  <c r="BK79" i="112"/>
  <c r="BJ79" i="112" s="1"/>
  <c r="BV78" i="55" s="1"/>
  <c r="BK61" i="112"/>
  <c r="BJ61" i="112" s="1"/>
  <c r="BV60" i="55" s="1"/>
  <c r="BL49" i="112"/>
  <c r="BN49" i="112" s="1"/>
  <c r="BW48" i="55" s="1"/>
  <c r="BL45" i="112"/>
  <c r="BN45" i="112" s="1"/>
  <c r="BW44" i="55" s="1"/>
  <c r="BK49" i="112"/>
  <c r="BJ49" i="112" s="1"/>
  <c r="BV48" i="55" s="1"/>
  <c r="BK45" i="112"/>
  <c r="BJ45" i="112" s="1"/>
  <c r="BV44" i="55" s="1"/>
  <c r="BK59" i="112"/>
  <c r="BJ59" i="112" s="1"/>
  <c r="BV58" i="55" s="1"/>
  <c r="BK52" i="112"/>
  <c r="BJ52" i="112" s="1"/>
  <c r="BV51" i="55" s="1"/>
  <c r="BK48" i="112"/>
  <c r="BJ48" i="112" s="1"/>
  <c r="BV47" i="55" s="1"/>
  <c r="BK44" i="112"/>
  <c r="BJ44" i="112" s="1"/>
  <c r="BV43" i="55" s="1"/>
  <c r="BK71" i="112"/>
  <c r="BJ71" i="112" s="1"/>
  <c r="BV70" i="55" s="1"/>
  <c r="BK53" i="112"/>
  <c r="BJ53" i="112" s="1"/>
  <c r="BV52" i="55" s="1"/>
  <c r="BK51" i="112"/>
  <c r="BJ51" i="112" s="1"/>
  <c r="BV50" i="55" s="1"/>
  <c r="BK47" i="112"/>
  <c r="BJ47" i="112" s="1"/>
  <c r="BV46" i="55" s="1"/>
  <c r="BK43" i="112"/>
  <c r="BJ43" i="112" s="1"/>
  <c r="BV42" i="55" s="1"/>
  <c r="BL48" i="112"/>
  <c r="BN48" i="112" s="1"/>
  <c r="BW47" i="55" s="1"/>
  <c r="BL42" i="112"/>
  <c r="BN42" i="112" s="1"/>
  <c r="BW41" i="55" s="1"/>
  <c r="BL41" i="112"/>
  <c r="BN41" i="112" s="1"/>
  <c r="BW40" i="55" s="1"/>
  <c r="BL37" i="112"/>
  <c r="BN37" i="112" s="1"/>
  <c r="BW36" i="55" s="1"/>
  <c r="BL33" i="112"/>
  <c r="BN33" i="112" s="1"/>
  <c r="BW32" i="55" s="1"/>
  <c r="BL47" i="112"/>
  <c r="BN47" i="112" s="1"/>
  <c r="BW46" i="55" s="1"/>
  <c r="BK41" i="112"/>
  <c r="BJ41" i="112" s="1"/>
  <c r="BV40" i="55" s="1"/>
  <c r="BK37" i="112"/>
  <c r="BJ37" i="112" s="1"/>
  <c r="BV36" i="55" s="1"/>
  <c r="BK33" i="112"/>
  <c r="BJ33" i="112" s="1"/>
  <c r="BV32" i="55" s="1"/>
  <c r="BK57" i="112"/>
  <c r="BJ57" i="112" s="1"/>
  <c r="BV56" i="55" s="1"/>
  <c r="BK56" i="112"/>
  <c r="BJ56" i="112" s="1"/>
  <c r="BV55" i="55" s="1"/>
  <c r="BL40" i="112"/>
  <c r="BN40" i="112" s="1"/>
  <c r="BW39" i="55" s="1"/>
  <c r="BL36" i="112"/>
  <c r="BN36" i="112" s="1"/>
  <c r="BW35" i="55" s="1"/>
  <c r="BL32" i="112"/>
  <c r="BN32" i="112" s="1"/>
  <c r="BW31" i="55" s="1"/>
  <c r="BK60" i="112"/>
  <c r="BJ60" i="112" s="1"/>
  <c r="BV59" i="55" s="1"/>
  <c r="BL46" i="112"/>
  <c r="BN46" i="112" s="1"/>
  <c r="BW45" i="55" s="1"/>
  <c r="BK40" i="112"/>
  <c r="BJ40" i="112" s="1"/>
  <c r="BV39" i="55" s="1"/>
  <c r="BK36" i="112"/>
  <c r="BJ36" i="112" s="1"/>
  <c r="BV35" i="55" s="1"/>
  <c r="BK32" i="112"/>
  <c r="BJ32" i="112" s="1"/>
  <c r="BV31" i="55" s="1"/>
  <c r="BL38" i="112"/>
  <c r="BN38" i="112" s="1"/>
  <c r="BW37" i="55" s="1"/>
  <c r="BL34" i="112"/>
  <c r="BN34" i="112" s="1"/>
  <c r="BW33" i="55" s="1"/>
  <c r="BK63" i="112"/>
  <c r="BJ63" i="112" s="1"/>
  <c r="BV62" i="55" s="1"/>
  <c r="BK35" i="112"/>
  <c r="BJ35" i="112" s="1"/>
  <c r="BV34" i="55" s="1"/>
  <c r="BK28" i="112"/>
  <c r="BJ28" i="112" s="1"/>
  <c r="BV27" i="55" s="1"/>
  <c r="BK24" i="112"/>
  <c r="BL31" i="112"/>
  <c r="BN31" i="112" s="1"/>
  <c r="BW30" i="55" s="1"/>
  <c r="BL27" i="112"/>
  <c r="BN27" i="112" s="1"/>
  <c r="BW26" i="55" s="1"/>
  <c r="BL23" i="112"/>
  <c r="BN23" i="112" s="1"/>
  <c r="BW22" i="55" s="1"/>
  <c r="BK34" i="112"/>
  <c r="BJ34" i="112" s="1"/>
  <c r="BV33" i="55" s="1"/>
  <c r="BK31" i="112"/>
  <c r="BJ31" i="112" s="1"/>
  <c r="BV30" i="55" s="1"/>
  <c r="BK27" i="112"/>
  <c r="BJ27" i="112" s="1"/>
  <c r="BV26" i="55" s="1"/>
  <c r="BK23" i="112"/>
  <c r="BL44" i="112"/>
  <c r="BN44" i="112" s="1"/>
  <c r="BW43" i="55" s="1"/>
  <c r="BL43" i="112"/>
  <c r="BN43" i="112" s="1"/>
  <c r="BW42" i="55" s="1"/>
  <c r="BK39" i="112"/>
  <c r="BJ39" i="112" s="1"/>
  <c r="BV38" i="55" s="1"/>
  <c r="BK30" i="112"/>
  <c r="BJ30" i="112" s="1"/>
  <c r="BV29" i="55" s="1"/>
  <c r="BK26" i="112"/>
  <c r="BJ26" i="112" s="1"/>
  <c r="BV25" i="55" s="1"/>
  <c r="BK22" i="112"/>
  <c r="BL52" i="112"/>
  <c r="BN52" i="112" s="1"/>
  <c r="BW51" i="55" s="1"/>
  <c r="BL51" i="112"/>
  <c r="BN51" i="112" s="1"/>
  <c r="BW50" i="55" s="1"/>
  <c r="BK38" i="112"/>
  <c r="BJ38" i="112" s="1"/>
  <c r="BV37" i="55" s="1"/>
  <c r="BK29" i="112"/>
  <c r="BJ29" i="112" s="1"/>
  <c r="BV28" i="55" s="1"/>
  <c r="BK25" i="112"/>
  <c r="BK21" i="112"/>
  <c r="BL50" i="112"/>
  <c r="BN50" i="112" s="1"/>
  <c r="BW49" i="55" s="1"/>
  <c r="BL35" i="112"/>
  <c r="BN35" i="112" s="1"/>
  <c r="BW34" i="55" s="1"/>
  <c r="BL30" i="112"/>
  <c r="BN30" i="112" s="1"/>
  <c r="BW29" i="55" s="1"/>
  <c r="BL22" i="112"/>
  <c r="BN22" i="112" s="1"/>
  <c r="BW21" i="55" s="1"/>
  <c r="BK17" i="112"/>
  <c r="BK13" i="112"/>
  <c r="BL29" i="112"/>
  <c r="BN29" i="112" s="1"/>
  <c r="BW28" i="55" s="1"/>
  <c r="BL16" i="112"/>
  <c r="BN16" i="112" s="1"/>
  <c r="BW15" i="55" s="1"/>
  <c r="BL12" i="112"/>
  <c r="BN12" i="112" s="1"/>
  <c r="BW11" i="55" s="1"/>
  <c r="BL39" i="112"/>
  <c r="BN39" i="112" s="1"/>
  <c r="BW38" i="55" s="1"/>
  <c r="BL28" i="112"/>
  <c r="BN28" i="112" s="1"/>
  <c r="BW27" i="55" s="1"/>
  <c r="BK20" i="112"/>
  <c r="BL19" i="112"/>
  <c r="BN19" i="112" s="1"/>
  <c r="BW18" i="55" s="1"/>
  <c r="BL15" i="112"/>
  <c r="BN15" i="112" s="1"/>
  <c r="BW14" i="55" s="1"/>
  <c r="BK67" i="112"/>
  <c r="BJ67" i="112" s="1"/>
  <c r="BV66" i="55" s="1"/>
  <c r="BL25" i="112"/>
  <c r="BN25" i="112" s="1"/>
  <c r="BW24" i="55" s="1"/>
  <c r="BL18" i="112"/>
  <c r="BN18" i="112" s="1"/>
  <c r="BW17" i="55" s="1"/>
  <c r="BL14" i="112"/>
  <c r="BN14" i="112" s="1"/>
  <c r="BW13" i="55" s="1"/>
  <c r="BL11" i="112"/>
  <c r="BN11" i="112" s="1"/>
  <c r="BW10" i="55" s="1"/>
  <c r="BL20" i="112"/>
  <c r="BN20" i="112" s="1"/>
  <c r="BW19" i="55" s="1"/>
  <c r="BL24" i="112"/>
  <c r="BN24" i="112" s="1"/>
  <c r="BW23" i="55" s="1"/>
  <c r="BK18" i="112"/>
  <c r="BK14" i="112"/>
  <c r="BK16" i="112"/>
  <c r="BK19" i="112"/>
  <c r="BK15" i="112"/>
  <c r="BK11" i="112"/>
  <c r="BL26" i="112"/>
  <c r="BN26" i="112" s="1"/>
  <c r="BW25" i="55" s="1"/>
  <c r="BL21" i="112"/>
  <c r="BN21" i="112" s="1"/>
  <c r="BW20" i="55" s="1"/>
  <c r="BL17" i="112"/>
  <c r="BN17" i="112" s="1"/>
  <c r="BW16" i="55" s="1"/>
  <c r="BL13" i="112"/>
  <c r="BN13" i="112" s="1"/>
  <c r="BW12" i="55" s="1"/>
  <c r="BK12" i="112"/>
  <c r="BL10" i="112"/>
  <c r="BN10" i="112" s="1"/>
  <c r="BW9" i="55" s="1"/>
  <c r="BK10" i="112"/>
  <c r="BE10" i="112" a="1"/>
  <c r="BF76" i="112" l="1"/>
  <c r="BH76" i="112" s="1"/>
  <c r="BQ75" i="55" s="1"/>
  <c r="BF72" i="112"/>
  <c r="BH72" i="112" s="1"/>
  <c r="BQ71" i="55" s="1"/>
  <c r="BF68" i="112"/>
  <c r="BH68" i="112" s="1"/>
  <c r="BQ67" i="55" s="1"/>
  <c r="BF64" i="112"/>
  <c r="BH64" i="112" s="1"/>
  <c r="BQ63" i="55" s="1"/>
  <c r="BE76" i="112"/>
  <c r="BD76" i="112" s="1"/>
  <c r="BP75" i="55" s="1"/>
  <c r="BE72" i="112"/>
  <c r="BD72" i="112" s="1"/>
  <c r="BP71" i="55" s="1"/>
  <c r="BE68" i="112"/>
  <c r="BD68" i="112" s="1"/>
  <c r="BP67" i="55" s="1"/>
  <c r="BE64" i="112"/>
  <c r="BD64" i="112" s="1"/>
  <c r="BP63" i="55" s="1"/>
  <c r="BF79" i="112"/>
  <c r="BH79" i="112" s="1"/>
  <c r="BQ78" i="55" s="1"/>
  <c r="BF75" i="112"/>
  <c r="BH75" i="112" s="1"/>
  <c r="BQ74" i="55" s="1"/>
  <c r="BF71" i="112"/>
  <c r="BH71" i="112" s="1"/>
  <c r="BQ70" i="55" s="1"/>
  <c r="BF67" i="112"/>
  <c r="BH67" i="112" s="1"/>
  <c r="BQ66" i="55" s="1"/>
  <c r="BF63" i="112"/>
  <c r="BH63" i="112" s="1"/>
  <c r="BQ62" i="55" s="1"/>
  <c r="BF78" i="112"/>
  <c r="BH78" i="112" s="1"/>
  <c r="BQ77" i="55" s="1"/>
  <c r="BF74" i="112"/>
  <c r="BH74" i="112" s="1"/>
  <c r="BQ73" i="55" s="1"/>
  <c r="BF70" i="112"/>
  <c r="BH70" i="112" s="1"/>
  <c r="BQ69" i="55" s="1"/>
  <c r="BF66" i="112"/>
  <c r="BH66" i="112" s="1"/>
  <c r="BQ65" i="55" s="1"/>
  <c r="BF77" i="112"/>
  <c r="BH77" i="112" s="1"/>
  <c r="BQ76" i="55" s="1"/>
  <c r="BF73" i="112"/>
  <c r="BH73" i="112" s="1"/>
  <c r="BQ72" i="55" s="1"/>
  <c r="BF69" i="112"/>
  <c r="BH69" i="112" s="1"/>
  <c r="BQ68" i="55" s="1"/>
  <c r="BF65" i="112"/>
  <c r="BH65" i="112" s="1"/>
  <c r="BQ64" i="55" s="1"/>
  <c r="BE75" i="112"/>
  <c r="BD75" i="112" s="1"/>
  <c r="BP74" i="55" s="1"/>
  <c r="BE67" i="112"/>
  <c r="BD67" i="112" s="1"/>
  <c r="BP66" i="55" s="1"/>
  <c r="BF60" i="112"/>
  <c r="BH60" i="112" s="1"/>
  <c r="BQ59" i="55" s="1"/>
  <c r="BF56" i="112"/>
  <c r="BH56" i="112" s="1"/>
  <c r="BQ55" i="55" s="1"/>
  <c r="BE74" i="112"/>
  <c r="BD74" i="112" s="1"/>
  <c r="BP73" i="55" s="1"/>
  <c r="BE66" i="112"/>
  <c r="BD66" i="112" s="1"/>
  <c r="BP65" i="55" s="1"/>
  <c r="BE60" i="112"/>
  <c r="BD60" i="112" s="1"/>
  <c r="BP59" i="55" s="1"/>
  <c r="BE56" i="112"/>
  <c r="BD56" i="112" s="1"/>
  <c r="BP55" i="55" s="1"/>
  <c r="BE73" i="112"/>
  <c r="BD73" i="112" s="1"/>
  <c r="BP72" i="55" s="1"/>
  <c r="BE65" i="112"/>
  <c r="BD65" i="112" s="1"/>
  <c r="BP64" i="55" s="1"/>
  <c r="BF59" i="112"/>
  <c r="BH59" i="112" s="1"/>
  <c r="BQ58" i="55" s="1"/>
  <c r="BF55" i="112"/>
  <c r="BH55" i="112" s="1"/>
  <c r="BQ54" i="55" s="1"/>
  <c r="BE79" i="112"/>
  <c r="BD79" i="112" s="1"/>
  <c r="BP78" i="55" s="1"/>
  <c r="BE71" i="112"/>
  <c r="BD71" i="112" s="1"/>
  <c r="BP70" i="55" s="1"/>
  <c r="BE63" i="112"/>
  <c r="BD63" i="112" s="1"/>
  <c r="BP62" i="55" s="1"/>
  <c r="BF62" i="112"/>
  <c r="BH62" i="112" s="1"/>
  <c r="BQ61" i="55" s="1"/>
  <c r="BF58" i="112"/>
  <c r="BH58" i="112" s="1"/>
  <c r="BQ57" i="55" s="1"/>
  <c r="BF54" i="112"/>
  <c r="BH54" i="112" s="1"/>
  <c r="BQ53" i="55" s="1"/>
  <c r="BE77" i="112"/>
  <c r="BD77" i="112" s="1"/>
  <c r="BP76" i="55" s="1"/>
  <c r="BE69" i="112"/>
  <c r="BD69" i="112" s="1"/>
  <c r="BP68" i="55" s="1"/>
  <c r="BF61" i="112"/>
  <c r="BH61" i="112" s="1"/>
  <c r="BQ60" i="55" s="1"/>
  <c r="BF57" i="112"/>
  <c r="BH57" i="112" s="1"/>
  <c r="BQ56" i="55" s="1"/>
  <c r="BF53" i="112"/>
  <c r="BH53" i="112" s="1"/>
  <c r="BQ52" i="55" s="1"/>
  <c r="BE52" i="112"/>
  <c r="BD52" i="112" s="1"/>
  <c r="BP51" i="55" s="1"/>
  <c r="BE48" i="112"/>
  <c r="BD48" i="112" s="1"/>
  <c r="BP47" i="55" s="1"/>
  <c r="BE44" i="112"/>
  <c r="BD44" i="112" s="1"/>
  <c r="BP43" i="55" s="1"/>
  <c r="BE55" i="112"/>
  <c r="BD55" i="112" s="1"/>
  <c r="BP54" i="55" s="1"/>
  <c r="BE53" i="112"/>
  <c r="BD53" i="112" s="1"/>
  <c r="BP52" i="55" s="1"/>
  <c r="BF51" i="112"/>
  <c r="BH51" i="112" s="1"/>
  <c r="BQ50" i="55" s="1"/>
  <c r="BF47" i="112"/>
  <c r="BH47" i="112" s="1"/>
  <c r="BQ46" i="55" s="1"/>
  <c r="BF43" i="112"/>
  <c r="BH43" i="112" s="1"/>
  <c r="BQ42" i="55" s="1"/>
  <c r="BE78" i="112"/>
  <c r="BD78" i="112" s="1"/>
  <c r="BP77" i="55" s="1"/>
  <c r="BE62" i="112"/>
  <c r="BD62" i="112" s="1"/>
  <c r="BP61" i="55" s="1"/>
  <c r="BE54" i="112"/>
  <c r="BD54" i="112" s="1"/>
  <c r="BP53" i="55" s="1"/>
  <c r="BE51" i="112"/>
  <c r="BD51" i="112" s="1"/>
  <c r="BP50" i="55" s="1"/>
  <c r="BE47" i="112"/>
  <c r="BD47" i="112" s="1"/>
  <c r="BP46" i="55" s="1"/>
  <c r="BE43" i="112"/>
  <c r="BD43" i="112" s="1"/>
  <c r="BP42" i="55" s="1"/>
  <c r="BE50" i="112"/>
  <c r="BD50" i="112" s="1"/>
  <c r="BP49" i="55" s="1"/>
  <c r="BE46" i="112"/>
  <c r="BD46" i="112" s="1"/>
  <c r="BP45" i="55" s="1"/>
  <c r="BE58" i="112"/>
  <c r="BD58" i="112" s="1"/>
  <c r="BP57" i="55" s="1"/>
  <c r="BE49" i="112"/>
  <c r="BD49" i="112" s="1"/>
  <c r="BP48" i="55" s="1"/>
  <c r="BE45" i="112"/>
  <c r="BD45" i="112" s="1"/>
  <c r="BP44" i="55" s="1"/>
  <c r="BF50" i="112"/>
  <c r="BH50" i="112" s="1"/>
  <c r="BQ49" i="55" s="1"/>
  <c r="BF39" i="112"/>
  <c r="BH39" i="112" s="1"/>
  <c r="BQ38" i="55" s="1"/>
  <c r="BF35" i="112"/>
  <c r="BH35" i="112" s="1"/>
  <c r="BQ34" i="55" s="1"/>
  <c r="BF49" i="112"/>
  <c r="BH49" i="112" s="1"/>
  <c r="BQ48" i="55" s="1"/>
  <c r="BE39" i="112"/>
  <c r="BD39" i="112" s="1"/>
  <c r="BP38" i="55" s="1"/>
  <c r="BE35" i="112"/>
  <c r="BD35" i="112" s="1"/>
  <c r="BP34" i="55" s="1"/>
  <c r="BF48" i="112"/>
  <c r="BH48" i="112" s="1"/>
  <c r="BQ47" i="55" s="1"/>
  <c r="BF42" i="112"/>
  <c r="BH42" i="112" s="1"/>
  <c r="BQ41" i="55" s="1"/>
  <c r="BF38" i="112"/>
  <c r="BH38" i="112" s="1"/>
  <c r="BQ37" i="55" s="1"/>
  <c r="BF34" i="112"/>
  <c r="BH34" i="112" s="1"/>
  <c r="BQ33" i="55" s="1"/>
  <c r="BE59" i="112"/>
  <c r="BD59" i="112" s="1"/>
  <c r="BP58" i="55" s="1"/>
  <c r="BE57" i="112"/>
  <c r="BD57" i="112" s="1"/>
  <c r="BP56" i="55" s="1"/>
  <c r="BE42" i="112"/>
  <c r="BD42" i="112" s="1"/>
  <c r="BP41" i="55" s="1"/>
  <c r="BE38" i="112"/>
  <c r="BD38" i="112" s="1"/>
  <c r="BP37" i="55" s="1"/>
  <c r="BE34" i="112"/>
  <c r="BD34" i="112" s="1"/>
  <c r="BP33" i="55" s="1"/>
  <c r="BF52" i="112"/>
  <c r="BH52" i="112" s="1"/>
  <c r="BQ51" i="55" s="1"/>
  <c r="BF44" i="112"/>
  <c r="BH44" i="112" s="1"/>
  <c r="BQ43" i="55" s="1"/>
  <c r="BF40" i="112"/>
  <c r="BH40" i="112" s="1"/>
  <c r="BQ39" i="55" s="1"/>
  <c r="BF36" i="112"/>
  <c r="BH36" i="112" s="1"/>
  <c r="BQ35" i="55" s="1"/>
  <c r="BF32" i="112"/>
  <c r="BH32" i="112" s="1"/>
  <c r="BQ31" i="55" s="1"/>
  <c r="BE37" i="112"/>
  <c r="BD37" i="112" s="1"/>
  <c r="BP36" i="55" s="1"/>
  <c r="BE36" i="112"/>
  <c r="BD36" i="112" s="1"/>
  <c r="BP35" i="55" s="1"/>
  <c r="BE30" i="112"/>
  <c r="BD30" i="112" s="1"/>
  <c r="BP29" i="55" s="1"/>
  <c r="BE26" i="112"/>
  <c r="BD26" i="112" s="1"/>
  <c r="BP25" i="55" s="1"/>
  <c r="BE22" i="112"/>
  <c r="BF29" i="112"/>
  <c r="BH29" i="112" s="1"/>
  <c r="BQ28" i="55" s="1"/>
  <c r="BF25" i="112"/>
  <c r="BH25" i="112" s="1"/>
  <c r="BQ24" i="55" s="1"/>
  <c r="BE61" i="112"/>
  <c r="BD61" i="112" s="1"/>
  <c r="BP60" i="55" s="1"/>
  <c r="BE32" i="112"/>
  <c r="BD32" i="112" s="1"/>
  <c r="BP31" i="55" s="1"/>
  <c r="BE29" i="112"/>
  <c r="BD29" i="112" s="1"/>
  <c r="BP28" i="55" s="1"/>
  <c r="BE25" i="112"/>
  <c r="BD25" i="112" s="1"/>
  <c r="BP24" i="55" s="1"/>
  <c r="BE21" i="112"/>
  <c r="BE70" i="112"/>
  <c r="BD70" i="112" s="1"/>
  <c r="BP69" i="55" s="1"/>
  <c r="BE41" i="112"/>
  <c r="BD41" i="112" s="1"/>
  <c r="BP40" i="55" s="1"/>
  <c r="BE40" i="112"/>
  <c r="BD40" i="112" s="1"/>
  <c r="BP39" i="55" s="1"/>
  <c r="BE33" i="112"/>
  <c r="BD33" i="112" s="1"/>
  <c r="BP32" i="55" s="1"/>
  <c r="BE28" i="112"/>
  <c r="BD28" i="112" s="1"/>
  <c r="BP27" i="55" s="1"/>
  <c r="BE24" i="112"/>
  <c r="BD24" i="112" s="1"/>
  <c r="BP23" i="55" s="1"/>
  <c r="BF45" i="112"/>
  <c r="BH45" i="112" s="1"/>
  <c r="BQ44" i="55" s="1"/>
  <c r="BE31" i="112"/>
  <c r="BD31" i="112" s="1"/>
  <c r="BP30" i="55" s="1"/>
  <c r="BE27" i="112"/>
  <c r="BD27" i="112" s="1"/>
  <c r="BP26" i="55" s="1"/>
  <c r="BE23" i="112"/>
  <c r="BF24" i="112"/>
  <c r="BH24" i="112" s="1"/>
  <c r="BQ23" i="55" s="1"/>
  <c r="BF21" i="112"/>
  <c r="BH21" i="112" s="1"/>
  <c r="BQ20" i="55" s="1"/>
  <c r="BE19" i="112"/>
  <c r="BE15" i="112"/>
  <c r="BE11" i="112"/>
  <c r="BF31" i="112"/>
  <c r="BH31" i="112" s="1"/>
  <c r="BQ30" i="55" s="1"/>
  <c r="BF23" i="112"/>
  <c r="BH23" i="112" s="1"/>
  <c r="BQ22" i="55" s="1"/>
  <c r="BF18" i="112"/>
  <c r="BH18" i="112" s="1"/>
  <c r="BQ17" i="55" s="1"/>
  <c r="BF14" i="112"/>
  <c r="BH14" i="112" s="1"/>
  <c r="BQ13" i="55" s="1"/>
  <c r="BF46" i="112"/>
  <c r="BH46" i="112" s="1"/>
  <c r="BQ45" i="55" s="1"/>
  <c r="BF17" i="112"/>
  <c r="BH17" i="112" s="1"/>
  <c r="BQ16" i="55" s="1"/>
  <c r="BF13" i="112"/>
  <c r="BH13" i="112" s="1"/>
  <c r="BQ12" i="55" s="1"/>
  <c r="BF27" i="112"/>
  <c r="BH27" i="112" s="1"/>
  <c r="BQ26" i="55" s="1"/>
  <c r="BF16" i="112"/>
  <c r="BH16" i="112" s="1"/>
  <c r="BQ15" i="55" s="1"/>
  <c r="BF12" i="112"/>
  <c r="BH12" i="112" s="1"/>
  <c r="BQ11" i="55" s="1"/>
  <c r="BE20" i="112"/>
  <c r="BE14" i="112"/>
  <c r="BF33" i="112"/>
  <c r="BH33" i="112" s="1"/>
  <c r="BQ32" i="55" s="1"/>
  <c r="BF30" i="112"/>
  <c r="BH30" i="112" s="1"/>
  <c r="BQ29" i="55" s="1"/>
  <c r="BE17" i="112"/>
  <c r="BE13" i="112"/>
  <c r="BE12" i="112"/>
  <c r="BF41" i="112"/>
  <c r="BH41" i="112" s="1"/>
  <c r="BQ40" i="55" s="1"/>
  <c r="BF28" i="112"/>
  <c r="BH28" i="112" s="1"/>
  <c r="BQ27" i="55" s="1"/>
  <c r="BE18" i="112"/>
  <c r="BF22" i="112"/>
  <c r="BH22" i="112" s="1"/>
  <c r="BQ21" i="55" s="1"/>
  <c r="BF37" i="112"/>
  <c r="BH37" i="112" s="1"/>
  <c r="BQ36" i="55" s="1"/>
  <c r="BF26" i="112"/>
  <c r="BH26" i="112" s="1"/>
  <c r="BQ25" i="55" s="1"/>
  <c r="BF19" i="112"/>
  <c r="BH19" i="112" s="1"/>
  <c r="BQ18" i="55" s="1"/>
  <c r="BF15" i="112"/>
  <c r="BH15" i="112" s="1"/>
  <c r="BQ14" i="55" s="1"/>
  <c r="BF11" i="112"/>
  <c r="BH11" i="112" s="1"/>
  <c r="BQ10" i="55" s="1"/>
  <c r="BF20" i="112"/>
  <c r="BH20" i="112" s="1"/>
  <c r="BQ19" i="55" s="1"/>
  <c r="BE16" i="112"/>
  <c r="BE10" i="112"/>
  <c r="BF10" i="112"/>
  <c r="BH10" i="112" s="1"/>
  <c r="BQ9" i="55" s="1"/>
  <c r="AY10" i="112" a="1"/>
  <c r="AZ78" i="112" l="1"/>
  <c r="BB78" i="112" s="1"/>
  <c r="BK77" i="55" s="1"/>
  <c r="AZ74" i="112"/>
  <c r="BB74" i="112" s="1"/>
  <c r="BK73" i="55" s="1"/>
  <c r="AZ70" i="112"/>
  <c r="BB70" i="112" s="1"/>
  <c r="BK69" i="55" s="1"/>
  <c r="AZ66" i="112"/>
  <c r="BB66" i="112" s="1"/>
  <c r="BK65" i="55" s="1"/>
  <c r="AY78" i="112"/>
  <c r="AX78" i="112" s="1"/>
  <c r="BJ77" i="55" s="1"/>
  <c r="AY74" i="112"/>
  <c r="AX74" i="112" s="1"/>
  <c r="BJ73" i="55" s="1"/>
  <c r="AY70" i="112"/>
  <c r="AX70" i="112" s="1"/>
  <c r="BJ69" i="55" s="1"/>
  <c r="AY66" i="112"/>
  <c r="AX66" i="112" s="1"/>
  <c r="BJ65" i="55" s="1"/>
  <c r="AZ77" i="112"/>
  <c r="BB77" i="112" s="1"/>
  <c r="BK76" i="55" s="1"/>
  <c r="AZ73" i="112"/>
  <c r="BB73" i="112" s="1"/>
  <c r="BK72" i="55" s="1"/>
  <c r="AZ69" i="112"/>
  <c r="BB69" i="112" s="1"/>
  <c r="BK68" i="55" s="1"/>
  <c r="AZ65" i="112"/>
  <c r="BB65" i="112" s="1"/>
  <c r="BK64" i="55" s="1"/>
  <c r="AZ76" i="112"/>
  <c r="BB76" i="112" s="1"/>
  <c r="BK75" i="55" s="1"/>
  <c r="AZ72" i="112"/>
  <c r="BB72" i="112" s="1"/>
  <c r="BK71" i="55" s="1"/>
  <c r="AZ68" i="112"/>
  <c r="BB68" i="112" s="1"/>
  <c r="BK67" i="55" s="1"/>
  <c r="AZ64" i="112"/>
  <c r="BB64" i="112" s="1"/>
  <c r="BK63" i="55" s="1"/>
  <c r="AZ79" i="112"/>
  <c r="BB79" i="112" s="1"/>
  <c r="BK78" i="55" s="1"/>
  <c r="AZ75" i="112"/>
  <c r="BB75" i="112" s="1"/>
  <c r="BK74" i="55" s="1"/>
  <c r="AZ71" i="112"/>
  <c r="BB71" i="112" s="1"/>
  <c r="BK70" i="55" s="1"/>
  <c r="AZ67" i="112"/>
  <c r="BB67" i="112" s="1"/>
  <c r="BK66" i="55" s="1"/>
  <c r="AZ63" i="112"/>
  <c r="BB63" i="112" s="1"/>
  <c r="BK62" i="55" s="1"/>
  <c r="AZ62" i="112"/>
  <c r="BB62" i="112" s="1"/>
  <c r="BK61" i="55" s="1"/>
  <c r="AZ58" i="112"/>
  <c r="BB58" i="112" s="1"/>
  <c r="BK57" i="55" s="1"/>
  <c r="AZ54" i="112"/>
  <c r="BB54" i="112" s="1"/>
  <c r="BK53" i="55" s="1"/>
  <c r="AY76" i="112"/>
  <c r="AX76" i="112" s="1"/>
  <c r="BJ75" i="55" s="1"/>
  <c r="AY68" i="112"/>
  <c r="AX68" i="112" s="1"/>
  <c r="BJ67" i="55" s="1"/>
  <c r="AY62" i="112"/>
  <c r="AX62" i="112" s="1"/>
  <c r="BJ61" i="55" s="1"/>
  <c r="AY58" i="112"/>
  <c r="AX58" i="112" s="1"/>
  <c r="BJ57" i="55" s="1"/>
  <c r="AY54" i="112"/>
  <c r="AX54" i="112" s="1"/>
  <c r="BJ53" i="55" s="1"/>
  <c r="AY75" i="112"/>
  <c r="AX75" i="112" s="1"/>
  <c r="BJ74" i="55" s="1"/>
  <c r="AY67" i="112"/>
  <c r="AX67" i="112" s="1"/>
  <c r="BJ66" i="55" s="1"/>
  <c r="AZ61" i="112"/>
  <c r="BB61" i="112" s="1"/>
  <c r="BK60" i="55" s="1"/>
  <c r="AZ57" i="112"/>
  <c r="BB57" i="112" s="1"/>
  <c r="BK56" i="55" s="1"/>
  <c r="AZ53" i="112"/>
  <c r="BB53" i="112" s="1"/>
  <c r="BK52" i="55" s="1"/>
  <c r="AZ60" i="112"/>
  <c r="BB60" i="112" s="1"/>
  <c r="BK59" i="55" s="1"/>
  <c r="AZ56" i="112"/>
  <c r="BB56" i="112" s="1"/>
  <c r="BK55" i="55" s="1"/>
  <c r="AY79" i="112"/>
  <c r="AX79" i="112" s="1"/>
  <c r="BJ78" i="55" s="1"/>
  <c r="AY71" i="112"/>
  <c r="AX71" i="112" s="1"/>
  <c r="BJ70" i="55" s="1"/>
  <c r="AY63" i="112"/>
  <c r="AX63" i="112" s="1"/>
  <c r="BJ62" i="55" s="1"/>
  <c r="AZ59" i="112"/>
  <c r="BB59" i="112" s="1"/>
  <c r="BK58" i="55" s="1"/>
  <c r="AZ55" i="112"/>
  <c r="BB55" i="112" s="1"/>
  <c r="BK54" i="55" s="1"/>
  <c r="AY72" i="112"/>
  <c r="AX72" i="112" s="1"/>
  <c r="BJ71" i="55" s="1"/>
  <c r="AY57" i="112"/>
  <c r="AX57" i="112" s="1"/>
  <c r="BJ56" i="55" s="1"/>
  <c r="AY50" i="112"/>
  <c r="AX50" i="112" s="1"/>
  <c r="BJ49" i="55" s="1"/>
  <c r="AY46" i="112"/>
  <c r="AX46" i="112" s="1"/>
  <c r="BJ45" i="55" s="1"/>
  <c r="AY42" i="112"/>
  <c r="AX42" i="112" s="1"/>
  <c r="BJ41" i="55" s="1"/>
  <c r="AZ49" i="112"/>
  <c r="BB49" i="112" s="1"/>
  <c r="BK48" i="55" s="1"/>
  <c r="AZ45" i="112"/>
  <c r="BB45" i="112" s="1"/>
  <c r="BK44" i="55" s="1"/>
  <c r="AY77" i="112"/>
  <c r="AX77" i="112" s="1"/>
  <c r="BJ76" i="55" s="1"/>
  <c r="AY56" i="112"/>
  <c r="AX56" i="112" s="1"/>
  <c r="BJ55" i="55" s="1"/>
  <c r="AY49" i="112"/>
  <c r="AX49" i="112" s="1"/>
  <c r="BJ48" i="55" s="1"/>
  <c r="AY45" i="112"/>
  <c r="AX45" i="112" s="1"/>
  <c r="BJ44" i="55" s="1"/>
  <c r="AY65" i="112"/>
  <c r="AX65" i="112" s="1"/>
  <c r="BJ64" i="55" s="1"/>
  <c r="AY61" i="112"/>
  <c r="AX61" i="112" s="1"/>
  <c r="BJ60" i="55" s="1"/>
  <c r="AY52" i="112"/>
  <c r="AX52" i="112" s="1"/>
  <c r="BJ51" i="55" s="1"/>
  <c r="AY48" i="112"/>
  <c r="AX48" i="112" s="1"/>
  <c r="BJ47" i="55" s="1"/>
  <c r="AY44" i="112"/>
  <c r="AX44" i="112" s="1"/>
  <c r="BJ43" i="55" s="1"/>
  <c r="AY60" i="112"/>
  <c r="AX60" i="112" s="1"/>
  <c r="BJ59" i="55" s="1"/>
  <c r="AY51" i="112"/>
  <c r="AX51" i="112" s="1"/>
  <c r="BJ50" i="55" s="1"/>
  <c r="AY47" i="112"/>
  <c r="AX47" i="112" s="1"/>
  <c r="BJ46" i="55" s="1"/>
  <c r="AY43" i="112"/>
  <c r="AX43" i="112" s="1"/>
  <c r="BJ42" i="55" s="1"/>
  <c r="AZ51" i="112"/>
  <c r="BB51" i="112" s="1"/>
  <c r="BK50" i="55" s="1"/>
  <c r="AZ43" i="112"/>
  <c r="BB43" i="112" s="1"/>
  <c r="BK42" i="55" s="1"/>
  <c r="AZ41" i="112"/>
  <c r="BB41" i="112" s="1"/>
  <c r="BK40" i="55" s="1"/>
  <c r="AZ37" i="112"/>
  <c r="BB37" i="112" s="1"/>
  <c r="BK36" i="55" s="1"/>
  <c r="AZ33" i="112"/>
  <c r="BB33" i="112" s="1"/>
  <c r="BK32" i="55" s="1"/>
  <c r="AY73" i="112"/>
  <c r="AX73" i="112" s="1"/>
  <c r="BJ72" i="55" s="1"/>
  <c r="AY64" i="112"/>
  <c r="AX64" i="112" s="1"/>
  <c r="BJ63" i="55" s="1"/>
  <c r="AY41" i="112"/>
  <c r="AX41" i="112" s="1"/>
  <c r="BJ40" i="55" s="1"/>
  <c r="AY37" i="112"/>
  <c r="AX37" i="112" s="1"/>
  <c r="BJ36" i="55" s="1"/>
  <c r="AY33" i="112"/>
  <c r="AX33" i="112" s="1"/>
  <c r="BJ32" i="55" s="1"/>
  <c r="AY55" i="112"/>
  <c r="AX55" i="112" s="1"/>
  <c r="BJ54" i="55" s="1"/>
  <c r="AZ50" i="112"/>
  <c r="BB50" i="112" s="1"/>
  <c r="BK49" i="55" s="1"/>
  <c r="AZ40" i="112"/>
  <c r="BB40" i="112" s="1"/>
  <c r="BK39" i="55" s="1"/>
  <c r="AZ36" i="112"/>
  <c r="BB36" i="112" s="1"/>
  <c r="BK35" i="55" s="1"/>
  <c r="AZ32" i="112"/>
  <c r="BB32" i="112" s="1"/>
  <c r="BK31" i="55" s="1"/>
  <c r="AY53" i="112"/>
  <c r="AX53" i="112" s="1"/>
  <c r="BJ52" i="55" s="1"/>
  <c r="AZ48" i="112"/>
  <c r="BB48" i="112" s="1"/>
  <c r="BK47" i="55" s="1"/>
  <c r="AY40" i="112"/>
  <c r="AX40" i="112" s="1"/>
  <c r="BJ39" i="55" s="1"/>
  <c r="AY36" i="112"/>
  <c r="AX36" i="112" s="1"/>
  <c r="BJ35" i="55" s="1"/>
  <c r="AY32" i="112"/>
  <c r="AX32" i="112" s="1"/>
  <c r="BJ31" i="55" s="1"/>
  <c r="AZ46" i="112"/>
  <c r="BB46" i="112" s="1"/>
  <c r="BK45" i="55" s="1"/>
  <c r="AZ38" i="112"/>
  <c r="BB38" i="112" s="1"/>
  <c r="BK37" i="55" s="1"/>
  <c r="AZ34" i="112"/>
  <c r="BB34" i="112" s="1"/>
  <c r="BK33" i="55" s="1"/>
  <c r="AZ52" i="112"/>
  <c r="BB52" i="112" s="1"/>
  <c r="BK51" i="55" s="1"/>
  <c r="AY28" i="112"/>
  <c r="AX28" i="112" s="1"/>
  <c r="BJ27" i="55" s="1"/>
  <c r="AY24" i="112"/>
  <c r="AY38" i="112"/>
  <c r="AX38" i="112" s="1"/>
  <c r="BJ37" i="55" s="1"/>
  <c r="AZ31" i="112"/>
  <c r="BB31" i="112" s="1"/>
  <c r="BK30" i="55" s="1"/>
  <c r="AZ27" i="112"/>
  <c r="BB27" i="112" s="1"/>
  <c r="BK26" i="55" s="1"/>
  <c r="AZ23" i="112"/>
  <c r="BB23" i="112" s="1"/>
  <c r="BK22" i="55" s="1"/>
  <c r="CE19" i="159" s="1"/>
  <c r="CF19" i="159" s="1"/>
  <c r="AY59" i="112"/>
  <c r="AX59" i="112" s="1"/>
  <c r="BJ58" i="55" s="1"/>
  <c r="AZ35" i="112"/>
  <c r="BB35" i="112" s="1"/>
  <c r="BK34" i="55" s="1"/>
  <c r="AY31" i="112"/>
  <c r="AX31" i="112" s="1"/>
  <c r="BJ30" i="55" s="1"/>
  <c r="AY27" i="112"/>
  <c r="AX27" i="112" s="1"/>
  <c r="BJ26" i="55" s="1"/>
  <c r="AY23" i="112"/>
  <c r="AY30" i="112"/>
  <c r="AX30" i="112" s="1"/>
  <c r="BJ29" i="55" s="1"/>
  <c r="AY26" i="112"/>
  <c r="AX26" i="112" s="1"/>
  <c r="BJ25" i="55" s="1"/>
  <c r="AY22" i="112"/>
  <c r="AZ47" i="112"/>
  <c r="BB47" i="112" s="1"/>
  <c r="BK46" i="55" s="1"/>
  <c r="AZ44" i="112"/>
  <c r="BB44" i="112" s="1"/>
  <c r="BK43" i="55" s="1"/>
  <c r="AZ39" i="112"/>
  <c r="BB39" i="112" s="1"/>
  <c r="BK38" i="55" s="1"/>
  <c r="AY29" i="112"/>
  <c r="AX29" i="112" s="1"/>
  <c r="BJ28" i="55" s="1"/>
  <c r="AY25" i="112"/>
  <c r="AY21" i="112"/>
  <c r="AY69" i="112"/>
  <c r="AX69" i="112" s="1"/>
  <c r="BJ68" i="55" s="1"/>
  <c r="AZ25" i="112"/>
  <c r="BB25" i="112" s="1"/>
  <c r="BK24" i="55" s="1"/>
  <c r="CE21" i="159" s="1"/>
  <c r="CF21" i="159" s="1"/>
  <c r="AY17" i="112"/>
  <c r="AY13" i="112"/>
  <c r="AY35" i="112"/>
  <c r="AX35" i="112" s="1"/>
  <c r="BJ34" i="55" s="1"/>
  <c r="AY34" i="112"/>
  <c r="AX34" i="112" s="1"/>
  <c r="BJ33" i="55" s="1"/>
  <c r="AZ20" i="112"/>
  <c r="BB20" i="112" s="1"/>
  <c r="BK19" i="55" s="1"/>
  <c r="CE16" i="159" s="1"/>
  <c r="CF16" i="159" s="1"/>
  <c r="AZ16" i="112"/>
  <c r="BB16" i="112" s="1"/>
  <c r="BK15" i="55" s="1"/>
  <c r="CE12" i="159" s="1"/>
  <c r="CF12" i="159" s="1"/>
  <c r="AZ12" i="112"/>
  <c r="BB12" i="112" s="1"/>
  <c r="BK11" i="55" s="1"/>
  <c r="CE8" i="159" s="1"/>
  <c r="CF8" i="159" s="1"/>
  <c r="AZ30" i="112"/>
  <c r="BB30" i="112" s="1"/>
  <c r="BK29" i="55" s="1"/>
  <c r="AZ22" i="112"/>
  <c r="BB22" i="112" s="1"/>
  <c r="BK21" i="55" s="1"/>
  <c r="CE18" i="159" s="1"/>
  <c r="CF18" i="159" s="1"/>
  <c r="AZ21" i="112"/>
  <c r="BB21" i="112" s="1"/>
  <c r="BK20" i="55" s="1"/>
  <c r="CE17" i="159" s="1"/>
  <c r="CF17" i="159" s="1"/>
  <c r="AZ19" i="112"/>
  <c r="BB19" i="112" s="1"/>
  <c r="BK18" i="55" s="1"/>
  <c r="CE15" i="159" s="1"/>
  <c r="CF15" i="159" s="1"/>
  <c r="AZ15" i="112"/>
  <c r="BB15" i="112" s="1"/>
  <c r="BK14" i="55" s="1"/>
  <c r="CE11" i="159" s="1"/>
  <c r="CF11" i="159" s="1"/>
  <c r="AY39" i="112"/>
  <c r="AX39" i="112" s="1"/>
  <c r="BJ38" i="55" s="1"/>
  <c r="AZ18" i="112"/>
  <c r="BB18" i="112" s="1"/>
  <c r="BK17" i="55" s="1"/>
  <c r="CE14" i="159" s="1"/>
  <c r="CF14" i="159" s="1"/>
  <c r="AZ14" i="112"/>
  <c r="BB14" i="112" s="1"/>
  <c r="BK13" i="55" s="1"/>
  <c r="CE10" i="159" s="1"/>
  <c r="CF10" i="159" s="1"/>
  <c r="AY19" i="112"/>
  <c r="AY15" i="112"/>
  <c r="AZ11" i="112"/>
  <c r="BB11" i="112" s="1"/>
  <c r="BK10" i="55" s="1"/>
  <c r="CE7" i="159" s="1"/>
  <c r="CF7" i="159" s="1"/>
  <c r="AZ29" i="112"/>
  <c r="BB29" i="112" s="1"/>
  <c r="BK28" i="55" s="1"/>
  <c r="AZ17" i="112"/>
  <c r="BB17" i="112" s="1"/>
  <c r="BK16" i="55" s="1"/>
  <c r="CE13" i="159" s="1"/>
  <c r="CF13" i="159" s="1"/>
  <c r="AZ13" i="112"/>
  <c r="BB13" i="112" s="1"/>
  <c r="BK12" i="55" s="1"/>
  <c r="CE9" i="159" s="1"/>
  <c r="CF9" i="159" s="1"/>
  <c r="AY20" i="112"/>
  <c r="AY16" i="112"/>
  <c r="AY11" i="112"/>
  <c r="AZ24" i="112"/>
  <c r="BB24" i="112" s="1"/>
  <c r="BK23" i="55" s="1"/>
  <c r="CE20" i="159" s="1"/>
  <c r="CF20" i="159" s="1"/>
  <c r="AY14" i="112"/>
  <c r="AZ28" i="112"/>
  <c r="BB28" i="112" s="1"/>
  <c r="BK27" i="55" s="1"/>
  <c r="AY12" i="112"/>
  <c r="AY18" i="112"/>
  <c r="AZ42" i="112"/>
  <c r="BB42" i="112" s="1"/>
  <c r="BK41" i="55" s="1"/>
  <c r="AZ26" i="112"/>
  <c r="BB26" i="112" s="1"/>
  <c r="BK25" i="55" s="1"/>
  <c r="AZ10" i="112"/>
  <c r="BB10" i="112" s="1"/>
  <c r="BK9" i="55" s="1"/>
  <c r="CE6" i="159" s="1"/>
  <c r="CF6" i="159" s="1"/>
  <c r="AY10" i="112"/>
  <c r="AS10" i="112" a="1"/>
  <c r="AT76" i="112" l="1"/>
  <c r="AV76" i="112" s="1"/>
  <c r="BA75" i="55" s="1"/>
  <c r="BB75" i="55" s="1"/>
  <c r="AT72" i="112"/>
  <c r="AV72" i="112" s="1"/>
  <c r="BA71" i="55" s="1"/>
  <c r="BB71" i="55" s="1"/>
  <c r="AT68" i="112"/>
  <c r="AV68" i="112" s="1"/>
  <c r="BA67" i="55" s="1"/>
  <c r="BB67" i="55" s="1"/>
  <c r="AT64" i="112"/>
  <c r="AV64" i="112" s="1"/>
  <c r="BA63" i="55" s="1"/>
  <c r="BB63" i="55" s="1"/>
  <c r="AS76" i="112"/>
  <c r="AR76" i="112" s="1"/>
  <c r="AZ75" i="55" s="1"/>
  <c r="AS72" i="112"/>
  <c r="AR72" i="112" s="1"/>
  <c r="AZ71" i="55" s="1"/>
  <c r="AS68" i="112"/>
  <c r="AR68" i="112" s="1"/>
  <c r="AZ67" i="55" s="1"/>
  <c r="AS64" i="112"/>
  <c r="AR64" i="112" s="1"/>
  <c r="AZ63" i="55" s="1"/>
  <c r="AT79" i="112"/>
  <c r="AV79" i="112" s="1"/>
  <c r="BA78" i="55" s="1"/>
  <c r="BB78" i="55" s="1"/>
  <c r="AT75" i="112"/>
  <c r="AV75" i="112" s="1"/>
  <c r="BA74" i="55" s="1"/>
  <c r="BB74" i="55" s="1"/>
  <c r="AT71" i="112"/>
  <c r="AV71" i="112" s="1"/>
  <c r="BA70" i="55" s="1"/>
  <c r="BB70" i="55" s="1"/>
  <c r="AT67" i="112"/>
  <c r="AV67" i="112" s="1"/>
  <c r="BA66" i="55" s="1"/>
  <c r="BB66" i="55" s="1"/>
  <c r="AT63" i="112"/>
  <c r="AV63" i="112" s="1"/>
  <c r="BA62" i="55" s="1"/>
  <c r="BB62" i="55" s="1"/>
  <c r="AT78" i="112"/>
  <c r="AV78" i="112" s="1"/>
  <c r="BA77" i="55" s="1"/>
  <c r="BB77" i="55" s="1"/>
  <c r="AT74" i="112"/>
  <c r="AV74" i="112" s="1"/>
  <c r="BA73" i="55" s="1"/>
  <c r="BB73" i="55" s="1"/>
  <c r="AT70" i="112"/>
  <c r="AV70" i="112" s="1"/>
  <c r="BA69" i="55" s="1"/>
  <c r="BB69" i="55" s="1"/>
  <c r="AT66" i="112"/>
  <c r="AV66" i="112" s="1"/>
  <c r="BA65" i="55" s="1"/>
  <c r="BB65" i="55" s="1"/>
  <c r="AT77" i="112"/>
  <c r="AV77" i="112" s="1"/>
  <c r="BA76" i="55" s="1"/>
  <c r="BB76" i="55" s="1"/>
  <c r="AT73" i="112"/>
  <c r="AV73" i="112" s="1"/>
  <c r="BA72" i="55" s="1"/>
  <c r="BB72" i="55" s="1"/>
  <c r="AT69" i="112"/>
  <c r="AV69" i="112" s="1"/>
  <c r="BA68" i="55" s="1"/>
  <c r="BB68" i="55" s="1"/>
  <c r="AT65" i="112"/>
  <c r="AV65" i="112" s="1"/>
  <c r="BA64" i="55" s="1"/>
  <c r="BB64" i="55" s="1"/>
  <c r="AS78" i="112"/>
  <c r="AR78" i="112" s="1"/>
  <c r="AZ77" i="55" s="1"/>
  <c r="AS70" i="112"/>
  <c r="AR70" i="112" s="1"/>
  <c r="AZ69" i="55" s="1"/>
  <c r="AT60" i="112"/>
  <c r="AV60" i="112" s="1"/>
  <c r="BA59" i="55" s="1"/>
  <c r="BB59" i="55" s="1"/>
  <c r="AT56" i="112"/>
  <c r="AV56" i="112" s="1"/>
  <c r="BA55" i="55" s="1"/>
  <c r="BB55" i="55" s="1"/>
  <c r="AS77" i="112"/>
  <c r="AR77" i="112" s="1"/>
  <c r="AZ76" i="55" s="1"/>
  <c r="AS69" i="112"/>
  <c r="AR69" i="112" s="1"/>
  <c r="AZ68" i="55" s="1"/>
  <c r="AS60" i="112"/>
  <c r="AR60" i="112" s="1"/>
  <c r="AZ59" i="55" s="1"/>
  <c r="AS56" i="112"/>
  <c r="AR56" i="112" s="1"/>
  <c r="AZ55" i="55" s="1"/>
  <c r="AT59" i="112"/>
  <c r="AV59" i="112" s="1"/>
  <c r="BA58" i="55" s="1"/>
  <c r="BB58" i="55" s="1"/>
  <c r="AT55" i="112"/>
  <c r="AV55" i="112" s="1"/>
  <c r="BA54" i="55" s="1"/>
  <c r="BB54" i="55" s="1"/>
  <c r="AS74" i="112"/>
  <c r="AR74" i="112" s="1"/>
  <c r="AZ73" i="55" s="1"/>
  <c r="AS66" i="112"/>
  <c r="AR66" i="112" s="1"/>
  <c r="AZ65" i="55" s="1"/>
  <c r="AT62" i="112"/>
  <c r="AV62" i="112" s="1"/>
  <c r="BA61" i="55" s="1"/>
  <c r="BB61" i="55" s="1"/>
  <c r="AT58" i="112"/>
  <c r="AV58" i="112" s="1"/>
  <c r="BA57" i="55" s="1"/>
  <c r="BB57" i="55" s="1"/>
  <c r="AT54" i="112"/>
  <c r="AV54" i="112" s="1"/>
  <c r="BA53" i="55" s="1"/>
  <c r="BB53" i="55" s="1"/>
  <c r="AT61" i="112"/>
  <c r="AV61" i="112" s="1"/>
  <c r="BA60" i="55" s="1"/>
  <c r="BB60" i="55" s="1"/>
  <c r="AT57" i="112"/>
  <c r="AV57" i="112" s="1"/>
  <c r="BA56" i="55" s="1"/>
  <c r="BB56" i="55" s="1"/>
  <c r="AT53" i="112"/>
  <c r="AV53" i="112" s="1"/>
  <c r="BA52" i="55" s="1"/>
  <c r="BB52" i="55" s="1"/>
  <c r="AS73" i="112"/>
  <c r="AR73" i="112" s="1"/>
  <c r="AZ72" i="55" s="1"/>
  <c r="AS71" i="112"/>
  <c r="AR71" i="112" s="1"/>
  <c r="AZ70" i="55" s="1"/>
  <c r="AS59" i="112"/>
  <c r="AR59" i="112" s="1"/>
  <c r="AZ58" i="55" s="1"/>
  <c r="AS52" i="112"/>
  <c r="AR52" i="112" s="1"/>
  <c r="AZ51" i="55" s="1"/>
  <c r="AS48" i="112"/>
  <c r="AR48" i="112" s="1"/>
  <c r="AZ47" i="55" s="1"/>
  <c r="AS44" i="112"/>
  <c r="AR44" i="112" s="1"/>
  <c r="AZ43" i="55" s="1"/>
  <c r="AS75" i="112"/>
  <c r="AR75" i="112" s="1"/>
  <c r="AZ74" i="55" s="1"/>
  <c r="AS58" i="112"/>
  <c r="AR58" i="112" s="1"/>
  <c r="AZ57" i="55" s="1"/>
  <c r="AT51" i="112"/>
  <c r="AV51" i="112" s="1"/>
  <c r="BA50" i="55" s="1"/>
  <c r="BB50" i="55" s="1"/>
  <c r="AT47" i="112"/>
  <c r="AV47" i="112" s="1"/>
  <c r="BA46" i="55" s="1"/>
  <c r="BB46" i="55" s="1"/>
  <c r="AT43" i="112"/>
  <c r="AV43" i="112" s="1"/>
  <c r="BA42" i="55" s="1"/>
  <c r="BB42" i="55" s="1"/>
  <c r="AS57" i="112"/>
  <c r="AR57" i="112" s="1"/>
  <c r="AZ56" i="55" s="1"/>
  <c r="AS51" i="112"/>
  <c r="AR51" i="112" s="1"/>
  <c r="AZ50" i="55" s="1"/>
  <c r="AS47" i="112"/>
  <c r="AR47" i="112" s="1"/>
  <c r="AZ46" i="55" s="1"/>
  <c r="AS43" i="112"/>
  <c r="AR43" i="112" s="1"/>
  <c r="AZ42" i="55" s="1"/>
  <c r="AS55" i="112"/>
  <c r="AR55" i="112" s="1"/>
  <c r="AZ54" i="55" s="1"/>
  <c r="AS50" i="112"/>
  <c r="AR50" i="112" s="1"/>
  <c r="AZ49" i="55" s="1"/>
  <c r="AS46" i="112"/>
  <c r="AR46" i="112" s="1"/>
  <c r="AZ45" i="55" s="1"/>
  <c r="AS67" i="112"/>
  <c r="AR67" i="112" s="1"/>
  <c r="AZ66" i="55" s="1"/>
  <c r="AS61" i="112"/>
  <c r="AR61" i="112" s="1"/>
  <c r="AZ60" i="55" s="1"/>
  <c r="AS53" i="112"/>
  <c r="AR53" i="112" s="1"/>
  <c r="AZ52" i="55" s="1"/>
  <c r="AS49" i="112"/>
  <c r="AR49" i="112" s="1"/>
  <c r="AZ48" i="55" s="1"/>
  <c r="AS45" i="112"/>
  <c r="AR45" i="112" s="1"/>
  <c r="AZ44" i="55" s="1"/>
  <c r="AT45" i="112"/>
  <c r="AV45" i="112" s="1"/>
  <c r="BA44" i="55" s="1"/>
  <c r="BB44" i="55" s="1"/>
  <c r="AS42" i="112"/>
  <c r="AR42" i="112" s="1"/>
  <c r="AZ41" i="55" s="1"/>
  <c r="AT39" i="112"/>
  <c r="AV39" i="112" s="1"/>
  <c r="BA38" i="55" s="1"/>
  <c r="BB38" i="55" s="1"/>
  <c r="AT35" i="112"/>
  <c r="AV35" i="112" s="1"/>
  <c r="BA34" i="55" s="1"/>
  <c r="BB34" i="55" s="1"/>
  <c r="AS79" i="112"/>
  <c r="AR79" i="112" s="1"/>
  <c r="AZ78" i="55" s="1"/>
  <c r="AS54" i="112"/>
  <c r="AR54" i="112" s="1"/>
  <c r="AZ53" i="55" s="1"/>
  <c r="AT52" i="112"/>
  <c r="AV52" i="112" s="1"/>
  <c r="BA51" i="55" s="1"/>
  <c r="BB51" i="55" s="1"/>
  <c r="AT44" i="112"/>
  <c r="AV44" i="112" s="1"/>
  <c r="BA43" i="55" s="1"/>
  <c r="BB43" i="55" s="1"/>
  <c r="AS39" i="112"/>
  <c r="AR39" i="112" s="1"/>
  <c r="AZ38" i="55" s="1"/>
  <c r="AS35" i="112"/>
  <c r="AR35" i="112" s="1"/>
  <c r="AZ34" i="55" s="1"/>
  <c r="AT38" i="112"/>
  <c r="AV38" i="112" s="1"/>
  <c r="BA37" i="55" s="1"/>
  <c r="BB37" i="55" s="1"/>
  <c r="AT34" i="112"/>
  <c r="AV34" i="112" s="1"/>
  <c r="BA33" i="55" s="1"/>
  <c r="BB33" i="55" s="1"/>
  <c r="AT50" i="112"/>
  <c r="AV50" i="112" s="1"/>
  <c r="BA49" i="55" s="1"/>
  <c r="BB49" i="55" s="1"/>
  <c r="AS38" i="112"/>
  <c r="AR38" i="112" s="1"/>
  <c r="AZ37" i="55" s="1"/>
  <c r="AS34" i="112"/>
  <c r="AR34" i="112" s="1"/>
  <c r="AZ33" i="55" s="1"/>
  <c r="AT40" i="112"/>
  <c r="AV40" i="112" s="1"/>
  <c r="BA39" i="55" s="1"/>
  <c r="BB39" i="55" s="1"/>
  <c r="AT36" i="112"/>
  <c r="AV36" i="112" s="1"/>
  <c r="BA35" i="55" s="1"/>
  <c r="BB35" i="55" s="1"/>
  <c r="AT32" i="112"/>
  <c r="AV32" i="112" s="1"/>
  <c r="BA31" i="55" s="1"/>
  <c r="BB31" i="55" s="1"/>
  <c r="AT42" i="112"/>
  <c r="AV42" i="112" s="1"/>
  <c r="BA41" i="55" s="1"/>
  <c r="BB41" i="55" s="1"/>
  <c r="AS30" i="112"/>
  <c r="AR30" i="112" s="1"/>
  <c r="AZ29" i="55" s="1"/>
  <c r="AS26" i="112"/>
  <c r="AS22" i="112"/>
  <c r="AS63" i="112"/>
  <c r="AR63" i="112" s="1"/>
  <c r="AZ62" i="55" s="1"/>
  <c r="AT29" i="112"/>
  <c r="AV29" i="112" s="1"/>
  <c r="BA28" i="55" s="1"/>
  <c r="BB28" i="55" s="1"/>
  <c r="AT25" i="112"/>
  <c r="AV25" i="112" s="1"/>
  <c r="BA24" i="55" s="1"/>
  <c r="BB24" i="55" s="1"/>
  <c r="AT37" i="112"/>
  <c r="AV37" i="112" s="1"/>
  <c r="BA36" i="55" s="1"/>
  <c r="BB36" i="55" s="1"/>
  <c r="AS29" i="112"/>
  <c r="AR29" i="112" s="1"/>
  <c r="AZ28" i="55" s="1"/>
  <c r="AS25" i="112"/>
  <c r="AS21" i="112"/>
  <c r="AS28" i="112"/>
  <c r="AR28" i="112" s="1"/>
  <c r="AZ27" i="55" s="1"/>
  <c r="AS24" i="112"/>
  <c r="AS62" i="112"/>
  <c r="AR62" i="112" s="1"/>
  <c r="AZ61" i="55" s="1"/>
  <c r="AT49" i="112"/>
  <c r="AV49" i="112" s="1"/>
  <c r="BA48" i="55" s="1"/>
  <c r="BB48" i="55" s="1"/>
  <c r="AT41" i="112"/>
  <c r="AV41" i="112" s="1"/>
  <c r="BA40" i="55" s="1"/>
  <c r="BB40" i="55" s="1"/>
  <c r="AT33" i="112"/>
  <c r="AV33" i="112" s="1"/>
  <c r="BA32" i="55" s="1"/>
  <c r="BB32" i="55" s="1"/>
  <c r="AS31" i="112"/>
  <c r="AR31" i="112" s="1"/>
  <c r="AZ30" i="55" s="1"/>
  <c r="AS27" i="112"/>
  <c r="AR27" i="112" s="1"/>
  <c r="AZ26" i="55" s="1"/>
  <c r="AS23" i="112"/>
  <c r="AT27" i="112"/>
  <c r="AV27" i="112" s="1"/>
  <c r="BA26" i="55" s="1"/>
  <c r="BB26" i="55" s="1"/>
  <c r="AS19" i="112"/>
  <c r="AS15" i="112"/>
  <c r="AS33" i="112"/>
  <c r="AR33" i="112" s="1"/>
  <c r="AZ32" i="55" s="1"/>
  <c r="AT26" i="112"/>
  <c r="AV26" i="112" s="1"/>
  <c r="BA25" i="55" s="1"/>
  <c r="BB25" i="55" s="1"/>
  <c r="AT18" i="112"/>
  <c r="AV18" i="112" s="1"/>
  <c r="BA17" i="55" s="1"/>
  <c r="BB17" i="55" s="1"/>
  <c r="AT14" i="112"/>
  <c r="AV14" i="112" s="1"/>
  <c r="BA13" i="55" s="1"/>
  <c r="BB13" i="55" s="1"/>
  <c r="AS37" i="112"/>
  <c r="AR37" i="112" s="1"/>
  <c r="AZ36" i="55" s="1"/>
  <c r="AT24" i="112"/>
  <c r="AV24" i="112" s="1"/>
  <c r="BA23" i="55" s="1"/>
  <c r="BB23" i="55" s="1"/>
  <c r="AT17" i="112"/>
  <c r="AV17" i="112" s="1"/>
  <c r="BA16" i="55" s="1"/>
  <c r="BB16" i="55" s="1"/>
  <c r="AT13" i="112"/>
  <c r="AV13" i="112" s="1"/>
  <c r="BA12" i="55" s="1"/>
  <c r="BB12" i="55" s="1"/>
  <c r="AT30" i="112"/>
  <c r="AV30" i="112" s="1"/>
  <c r="BA29" i="55" s="1"/>
  <c r="BB29" i="55" s="1"/>
  <c r="AT22" i="112"/>
  <c r="AV22" i="112" s="1"/>
  <c r="BA21" i="55" s="1"/>
  <c r="BB21" i="55" s="1"/>
  <c r="AT21" i="112"/>
  <c r="AV21" i="112" s="1"/>
  <c r="BA20" i="55" s="1"/>
  <c r="BB20" i="55" s="1"/>
  <c r="AT20" i="112"/>
  <c r="AV20" i="112" s="1"/>
  <c r="BA19" i="55" s="1"/>
  <c r="BB19" i="55" s="1"/>
  <c r="AT16" i="112"/>
  <c r="AV16" i="112" s="1"/>
  <c r="BA15" i="55" s="1"/>
  <c r="BB15" i="55" s="1"/>
  <c r="AT12" i="112"/>
  <c r="AV12" i="112" s="1"/>
  <c r="BA11" i="55" s="1"/>
  <c r="BB11" i="55" s="1"/>
  <c r="AS32" i="112"/>
  <c r="AR32" i="112" s="1"/>
  <c r="AZ31" i="55" s="1"/>
  <c r="AS40" i="112"/>
  <c r="AR40" i="112" s="1"/>
  <c r="AZ39" i="55" s="1"/>
  <c r="AT31" i="112"/>
  <c r="AV31" i="112" s="1"/>
  <c r="BA30" i="55" s="1"/>
  <c r="BB30" i="55" s="1"/>
  <c r="AT48" i="112"/>
  <c r="AV48" i="112" s="1"/>
  <c r="BA47" i="55" s="1"/>
  <c r="BB47" i="55" s="1"/>
  <c r="AS36" i="112"/>
  <c r="AR36" i="112" s="1"/>
  <c r="AZ35" i="55" s="1"/>
  <c r="AT19" i="112"/>
  <c r="AV19" i="112" s="1"/>
  <c r="BA18" i="55" s="1"/>
  <c r="BB18" i="55" s="1"/>
  <c r="AT15" i="112"/>
  <c r="AV15" i="112" s="1"/>
  <c r="BA14" i="55" s="1"/>
  <c r="BB14" i="55" s="1"/>
  <c r="AT46" i="112"/>
  <c r="AV46" i="112" s="1"/>
  <c r="BA45" i="55" s="1"/>
  <c r="BB45" i="55" s="1"/>
  <c r="AS20" i="112"/>
  <c r="AS16" i="112"/>
  <c r="AT11" i="112"/>
  <c r="AV11" i="112" s="1"/>
  <c r="BA10" i="55" s="1"/>
  <c r="BB10" i="55" s="1"/>
  <c r="AS13" i="112"/>
  <c r="AS41" i="112"/>
  <c r="AR41" i="112" s="1"/>
  <c r="AZ40" i="55" s="1"/>
  <c r="AT23" i="112"/>
  <c r="AV23" i="112" s="1"/>
  <c r="BA22" i="55" s="1"/>
  <c r="BB22" i="55" s="1"/>
  <c r="AS11" i="112"/>
  <c r="AT28" i="112"/>
  <c r="AV28" i="112" s="1"/>
  <c r="BA27" i="55" s="1"/>
  <c r="BB27" i="55" s="1"/>
  <c r="AS17" i="112"/>
  <c r="AS65" i="112"/>
  <c r="AR65" i="112" s="1"/>
  <c r="AZ64" i="55" s="1"/>
  <c r="AS18" i="112"/>
  <c r="AS14" i="112"/>
  <c r="AS12" i="112"/>
  <c r="AT10" i="112"/>
  <c r="AV10" i="112" s="1"/>
  <c r="BA9" i="55" s="1"/>
  <c r="BB9" i="55" s="1"/>
  <c r="AS10" i="112"/>
  <c r="AP10" i="112"/>
  <c r="AG10" i="112" a="1"/>
  <c r="Y24" i="104" l="1"/>
  <c r="X24" i="104"/>
  <c r="Y23" i="104"/>
  <c r="X23" i="104"/>
  <c r="Y11" i="104"/>
  <c r="Y7" i="104"/>
  <c r="Y21" i="104"/>
  <c r="Y13" i="104"/>
  <c r="Y25" i="104"/>
  <c r="X25" i="104"/>
  <c r="Y20" i="104"/>
  <c r="Y6" i="104"/>
  <c r="Y19" i="104"/>
  <c r="Y15" i="104"/>
  <c r="Y16" i="104"/>
  <c r="Y10" i="104"/>
  <c r="Y9" i="104"/>
  <c r="Y12" i="104"/>
  <c r="Y17" i="104"/>
  <c r="Y14" i="104"/>
  <c r="Y8" i="104"/>
  <c r="Y18" i="104"/>
  <c r="Y22" i="104"/>
  <c r="AG79" i="112"/>
  <c r="AF79" i="112" s="1"/>
  <c r="AG75" i="112"/>
  <c r="AF75" i="112" s="1"/>
  <c r="AG71" i="112"/>
  <c r="AF71" i="112" s="1"/>
  <c r="AG67" i="112"/>
  <c r="AF67" i="112" s="1"/>
  <c r="AH78" i="112"/>
  <c r="AJ78" i="112" s="1"/>
  <c r="AH74" i="112"/>
  <c r="AJ74" i="112" s="1"/>
  <c r="AH70" i="112"/>
  <c r="AJ70" i="112" s="1"/>
  <c r="AH66" i="112"/>
  <c r="AJ66" i="112" s="1"/>
  <c r="AG78" i="112"/>
  <c r="AF78" i="112" s="1"/>
  <c r="AG74" i="112"/>
  <c r="AF74" i="112" s="1"/>
  <c r="AG70" i="112"/>
  <c r="AF70" i="112" s="1"/>
  <c r="AG66" i="112"/>
  <c r="AF66" i="112" s="1"/>
  <c r="AG77" i="112"/>
  <c r="AF77" i="112" s="1"/>
  <c r="AG73" i="112"/>
  <c r="AF73" i="112" s="1"/>
  <c r="AG69" i="112"/>
  <c r="AF69" i="112" s="1"/>
  <c r="AG65" i="112"/>
  <c r="AF65" i="112" s="1"/>
  <c r="AG76" i="112"/>
  <c r="AF76" i="112" s="1"/>
  <c r="AG72" i="112"/>
  <c r="AF72" i="112" s="1"/>
  <c r="AG68" i="112"/>
  <c r="AF68" i="112" s="1"/>
  <c r="AG64" i="112"/>
  <c r="AF64" i="112" s="1"/>
  <c r="AH72" i="112"/>
  <c r="AJ72" i="112" s="1"/>
  <c r="AH64" i="112"/>
  <c r="AJ64" i="112" s="1"/>
  <c r="AG59" i="112"/>
  <c r="AF59" i="112" s="1"/>
  <c r="AN78" i="55" s="1"/>
  <c r="AG55" i="112"/>
  <c r="AF55" i="112" s="1"/>
  <c r="AN74" i="55" s="1"/>
  <c r="AH79" i="112"/>
  <c r="AJ79" i="112" s="1"/>
  <c r="AH71" i="112"/>
  <c r="AJ71" i="112" s="1"/>
  <c r="AH63" i="112"/>
  <c r="AJ63" i="112" s="1"/>
  <c r="AH62" i="112"/>
  <c r="AJ62" i="112" s="1"/>
  <c r="AH58" i="112"/>
  <c r="AJ58" i="112" s="1"/>
  <c r="AO77" i="55" s="1"/>
  <c r="AH54" i="112"/>
  <c r="AJ54" i="112" s="1"/>
  <c r="AO73" i="55" s="1"/>
  <c r="AG63" i="112"/>
  <c r="AF63" i="112" s="1"/>
  <c r="AG62" i="112"/>
  <c r="AF62" i="112" s="1"/>
  <c r="AG58" i="112"/>
  <c r="AF58" i="112" s="1"/>
  <c r="AN77" i="55" s="1"/>
  <c r="AG54" i="112"/>
  <c r="AF54" i="112" s="1"/>
  <c r="AN73" i="55" s="1"/>
  <c r="AH76" i="112"/>
  <c r="AJ76" i="112" s="1"/>
  <c r="AH68" i="112"/>
  <c r="AJ68" i="112" s="1"/>
  <c r="AG61" i="112"/>
  <c r="AF61" i="112" s="1"/>
  <c r="AG57" i="112"/>
  <c r="AF57" i="112" s="1"/>
  <c r="AN76" i="55" s="1"/>
  <c r="AG60" i="112"/>
  <c r="AF60" i="112" s="1"/>
  <c r="AG56" i="112"/>
  <c r="AF56" i="112" s="1"/>
  <c r="AN75" i="55" s="1"/>
  <c r="AH67" i="112"/>
  <c r="AJ67" i="112" s="1"/>
  <c r="AH61" i="112"/>
  <c r="AJ61" i="112" s="1"/>
  <c r="AH53" i="112"/>
  <c r="AJ53" i="112" s="1"/>
  <c r="AO72" i="55" s="1"/>
  <c r="AH50" i="112"/>
  <c r="AJ50" i="112" s="1"/>
  <c r="AO69" i="55" s="1"/>
  <c r="AH46" i="112"/>
  <c r="AJ46" i="112" s="1"/>
  <c r="AO65" i="55" s="1"/>
  <c r="AH42" i="112"/>
  <c r="AJ42" i="112" s="1"/>
  <c r="AO61" i="55" s="1"/>
  <c r="AH69" i="112"/>
  <c r="AJ69" i="112" s="1"/>
  <c r="AH60" i="112"/>
  <c r="AJ60" i="112" s="1"/>
  <c r="AG53" i="112"/>
  <c r="AF53" i="112" s="1"/>
  <c r="AN72" i="55" s="1"/>
  <c r="AG50" i="112"/>
  <c r="AF50" i="112" s="1"/>
  <c r="AN69" i="55" s="1"/>
  <c r="AG46" i="112"/>
  <c r="AF46" i="112" s="1"/>
  <c r="AN65" i="55" s="1"/>
  <c r="AH73" i="112"/>
  <c r="AJ73" i="112" s="1"/>
  <c r="AH59" i="112"/>
  <c r="AJ59" i="112" s="1"/>
  <c r="AO78" i="55" s="1"/>
  <c r="AH49" i="112"/>
  <c r="AJ49" i="112" s="1"/>
  <c r="AO68" i="55" s="1"/>
  <c r="AH45" i="112"/>
  <c r="AJ45" i="112" s="1"/>
  <c r="AO64" i="55" s="1"/>
  <c r="AH77" i="112"/>
  <c r="AJ77" i="112" s="1"/>
  <c r="AH57" i="112"/>
  <c r="AJ57" i="112" s="1"/>
  <c r="AO76" i="55" s="1"/>
  <c r="AH52" i="112"/>
  <c r="AJ52" i="112" s="1"/>
  <c r="AO71" i="55" s="1"/>
  <c r="AH48" i="112"/>
  <c r="AJ48" i="112" s="1"/>
  <c r="AO67" i="55" s="1"/>
  <c r="AH44" i="112"/>
  <c r="AJ44" i="112" s="1"/>
  <c r="AO63" i="55" s="1"/>
  <c r="AH55" i="112"/>
  <c r="AJ55" i="112" s="1"/>
  <c r="AO74" i="55" s="1"/>
  <c r="AH51" i="112"/>
  <c r="AJ51" i="112" s="1"/>
  <c r="AO70" i="55" s="1"/>
  <c r="AH47" i="112"/>
  <c r="AJ47" i="112" s="1"/>
  <c r="AO66" i="55" s="1"/>
  <c r="AH43" i="112"/>
  <c r="AJ43" i="112" s="1"/>
  <c r="AO62" i="55" s="1"/>
  <c r="AG48" i="112"/>
  <c r="AF48" i="112" s="1"/>
  <c r="AN67" i="55" s="1"/>
  <c r="AG38" i="112"/>
  <c r="AF38" i="112" s="1"/>
  <c r="AN57" i="55" s="1"/>
  <c r="AG34" i="112"/>
  <c r="AF34" i="112" s="1"/>
  <c r="AN53" i="55" s="1"/>
  <c r="AG47" i="112"/>
  <c r="AF47" i="112" s="1"/>
  <c r="AN66" i="55" s="1"/>
  <c r="AH41" i="112"/>
  <c r="AJ41" i="112" s="1"/>
  <c r="AO60" i="55" s="1"/>
  <c r="AH37" i="112"/>
  <c r="AJ37" i="112" s="1"/>
  <c r="AO56" i="55" s="1"/>
  <c r="AH75" i="112"/>
  <c r="AJ75" i="112" s="1"/>
  <c r="AG41" i="112"/>
  <c r="AF41" i="112" s="1"/>
  <c r="AN60" i="55" s="1"/>
  <c r="AG37" i="112"/>
  <c r="AF37" i="112" s="1"/>
  <c r="AN56" i="55" s="1"/>
  <c r="AG33" i="112"/>
  <c r="AF33" i="112" s="1"/>
  <c r="AN52" i="55" s="1"/>
  <c r="AG45" i="112"/>
  <c r="AF45" i="112" s="1"/>
  <c r="AN64" i="55" s="1"/>
  <c r="AH40" i="112"/>
  <c r="AJ40" i="112" s="1"/>
  <c r="AO59" i="55" s="1"/>
  <c r="AH36" i="112"/>
  <c r="AJ36" i="112" s="1"/>
  <c r="AO55" i="55" s="1"/>
  <c r="AH32" i="112"/>
  <c r="AJ32" i="112" s="1"/>
  <c r="AO51" i="55" s="1"/>
  <c r="AH65" i="112"/>
  <c r="AJ65" i="112" s="1"/>
  <c r="AG39" i="112"/>
  <c r="AF39" i="112" s="1"/>
  <c r="AN58" i="55" s="1"/>
  <c r="AG35" i="112"/>
  <c r="AF35" i="112" s="1"/>
  <c r="AN54" i="55" s="1"/>
  <c r="AG44" i="112"/>
  <c r="AF44" i="112" s="1"/>
  <c r="AN63" i="55" s="1"/>
  <c r="AG43" i="112"/>
  <c r="AF43" i="112" s="1"/>
  <c r="AN62" i="55" s="1"/>
  <c r="AH34" i="112"/>
  <c r="AJ34" i="112" s="1"/>
  <c r="AO53" i="55" s="1"/>
  <c r="AH28" i="112"/>
  <c r="AJ28" i="112" s="1"/>
  <c r="AO47" i="55" s="1"/>
  <c r="AH24" i="112"/>
  <c r="AJ24" i="112" s="1"/>
  <c r="AO43" i="55" s="1"/>
  <c r="AG49" i="112"/>
  <c r="AF49" i="112" s="1"/>
  <c r="AN68" i="55" s="1"/>
  <c r="AG40" i="112"/>
  <c r="AF40" i="112" s="1"/>
  <c r="AN59" i="55" s="1"/>
  <c r="AH33" i="112"/>
  <c r="AJ33" i="112" s="1"/>
  <c r="AO52" i="55" s="1"/>
  <c r="AG28" i="112"/>
  <c r="AF28" i="112" s="1"/>
  <c r="AN47" i="55" s="1"/>
  <c r="AG24" i="112"/>
  <c r="AF24" i="112" s="1"/>
  <c r="AN43" i="55" s="1"/>
  <c r="AG52" i="112"/>
  <c r="AF52" i="112" s="1"/>
  <c r="AN71" i="55" s="1"/>
  <c r="AG51" i="112"/>
  <c r="AF51" i="112" s="1"/>
  <c r="AN70" i="55" s="1"/>
  <c r="AG42" i="112"/>
  <c r="AF42" i="112" s="1"/>
  <c r="AN61" i="55" s="1"/>
  <c r="AG32" i="112"/>
  <c r="AF32" i="112" s="1"/>
  <c r="AN51" i="55" s="1"/>
  <c r="AH31" i="112"/>
  <c r="AJ31" i="112" s="1"/>
  <c r="AO50" i="55" s="1"/>
  <c r="AH27" i="112"/>
  <c r="AJ27" i="112" s="1"/>
  <c r="AO46" i="55" s="1"/>
  <c r="AH23" i="112"/>
  <c r="AJ23" i="112" s="1"/>
  <c r="AO42" i="55" s="1"/>
  <c r="AH38" i="112"/>
  <c r="AJ38" i="112" s="1"/>
  <c r="AO57" i="55" s="1"/>
  <c r="AH30" i="112"/>
  <c r="AJ30" i="112" s="1"/>
  <c r="AO49" i="55" s="1"/>
  <c r="AH26" i="112"/>
  <c r="AJ26" i="112" s="1"/>
  <c r="AO45" i="55" s="1"/>
  <c r="AH22" i="112"/>
  <c r="AJ22" i="112" s="1"/>
  <c r="AO41" i="55" s="1"/>
  <c r="AH29" i="112"/>
  <c r="AJ29" i="112" s="1"/>
  <c r="AO48" i="55" s="1"/>
  <c r="AH25" i="112"/>
  <c r="AJ25" i="112" s="1"/>
  <c r="AO44" i="55" s="1"/>
  <c r="AH21" i="112"/>
  <c r="AJ21" i="112" s="1"/>
  <c r="AO40" i="55" s="1"/>
  <c r="AG30" i="112"/>
  <c r="AF30" i="112" s="1"/>
  <c r="AN49" i="55" s="1"/>
  <c r="AG22" i="112"/>
  <c r="AF22" i="112" s="1"/>
  <c r="AN41" i="55" s="1"/>
  <c r="AH17" i="112"/>
  <c r="AJ17" i="112" s="1"/>
  <c r="AO36" i="55" s="1"/>
  <c r="AH13" i="112"/>
  <c r="AJ13" i="112" s="1"/>
  <c r="AO32" i="55" s="1"/>
  <c r="AG29" i="112"/>
  <c r="AF29" i="112" s="1"/>
  <c r="AN48" i="55" s="1"/>
  <c r="AG21" i="112"/>
  <c r="AF21" i="112" s="1"/>
  <c r="AN40" i="55" s="1"/>
  <c r="AG17" i="112"/>
  <c r="AG13" i="112"/>
  <c r="AH35" i="112"/>
  <c r="AJ35" i="112" s="1"/>
  <c r="AO54" i="55" s="1"/>
  <c r="AG27" i="112"/>
  <c r="AF27" i="112" s="1"/>
  <c r="AN46" i="55" s="1"/>
  <c r="AG20" i="112"/>
  <c r="AG16" i="112"/>
  <c r="AG25" i="112"/>
  <c r="AF25" i="112" s="1"/>
  <c r="AN44" i="55" s="1"/>
  <c r="AG19" i="112"/>
  <c r="AG15" i="112"/>
  <c r="AG11" i="112"/>
  <c r="AG12" i="112"/>
  <c r="AG26" i="112"/>
  <c r="AF26" i="112" s="1"/>
  <c r="AN45" i="55" s="1"/>
  <c r="AH18" i="112"/>
  <c r="AJ18" i="112" s="1"/>
  <c r="AO37" i="55" s="1"/>
  <c r="AH14" i="112"/>
  <c r="AJ14" i="112" s="1"/>
  <c r="AO33" i="55" s="1"/>
  <c r="AG18" i="112"/>
  <c r="AG14" i="112"/>
  <c r="AH12" i="112"/>
  <c r="AJ12" i="112" s="1"/>
  <c r="AO31" i="55" s="1"/>
  <c r="AG31" i="112"/>
  <c r="AF31" i="112" s="1"/>
  <c r="AN50" i="55" s="1"/>
  <c r="AH19" i="112"/>
  <c r="AJ19" i="112" s="1"/>
  <c r="AO38" i="55" s="1"/>
  <c r="AH15" i="112"/>
  <c r="AJ15" i="112" s="1"/>
  <c r="AO34" i="55" s="1"/>
  <c r="AG36" i="112"/>
  <c r="AF36" i="112" s="1"/>
  <c r="AN55" i="55" s="1"/>
  <c r="AH56" i="112"/>
  <c r="AJ56" i="112" s="1"/>
  <c r="AO75" i="55" s="1"/>
  <c r="AG23" i="112"/>
  <c r="AF23" i="112" s="1"/>
  <c r="AN42" i="55" s="1"/>
  <c r="AH20" i="112"/>
  <c r="AJ20" i="112" s="1"/>
  <c r="AO39" i="55" s="1"/>
  <c r="AH16" i="112"/>
  <c r="AJ16" i="112" s="1"/>
  <c r="AO35" i="55" s="1"/>
  <c r="AH39" i="112"/>
  <c r="AJ39" i="112" s="1"/>
  <c r="AO58" i="55" s="1"/>
  <c r="AH11" i="112"/>
  <c r="AJ11" i="112" s="1"/>
  <c r="AO30" i="55" s="1"/>
  <c r="AG10" i="112"/>
  <c r="AH10" i="112"/>
  <c r="AJ10" i="112" s="1"/>
  <c r="AO29" i="55" s="1"/>
  <c r="AD10" i="112"/>
  <c r="U10" i="112" a="1"/>
  <c r="V77" i="112" l="1"/>
  <c r="X77" i="112" s="1"/>
  <c r="V73" i="112"/>
  <c r="X73" i="112" s="1"/>
  <c r="V69" i="112"/>
  <c r="X69" i="112" s="1"/>
  <c r="V65" i="112"/>
  <c r="X65" i="112" s="1"/>
  <c r="U77" i="112"/>
  <c r="T77" i="112" s="1"/>
  <c r="U73" i="112"/>
  <c r="T73" i="112" s="1"/>
  <c r="U69" i="112"/>
  <c r="T69" i="112" s="1"/>
  <c r="U65" i="112"/>
  <c r="T65" i="112" s="1"/>
  <c r="V76" i="112"/>
  <c r="X76" i="112" s="1"/>
  <c r="V72" i="112"/>
  <c r="X72" i="112" s="1"/>
  <c r="V68" i="112"/>
  <c r="X68" i="112" s="1"/>
  <c r="V64" i="112"/>
  <c r="X64" i="112" s="1"/>
  <c r="V79" i="112"/>
  <c r="X79" i="112" s="1"/>
  <c r="V75" i="112"/>
  <c r="X75" i="112" s="1"/>
  <c r="V71" i="112"/>
  <c r="X71" i="112" s="1"/>
  <c r="V67" i="112"/>
  <c r="X67" i="112" s="1"/>
  <c r="V78" i="112"/>
  <c r="X78" i="112" s="1"/>
  <c r="V74" i="112"/>
  <c r="X74" i="112" s="1"/>
  <c r="V70" i="112"/>
  <c r="X70" i="112" s="1"/>
  <c r="V66" i="112"/>
  <c r="X66" i="112" s="1"/>
  <c r="U75" i="112"/>
  <c r="T75" i="112" s="1"/>
  <c r="U67" i="112"/>
  <c r="T67" i="112" s="1"/>
  <c r="V61" i="112"/>
  <c r="X61" i="112" s="1"/>
  <c r="V57" i="112"/>
  <c r="X57" i="112" s="1"/>
  <c r="AL76" i="55" s="1"/>
  <c r="V53" i="112"/>
  <c r="X53" i="112" s="1"/>
  <c r="AL72" i="55" s="1"/>
  <c r="U74" i="112"/>
  <c r="T74" i="112" s="1"/>
  <c r="U66" i="112"/>
  <c r="T66" i="112" s="1"/>
  <c r="U61" i="112"/>
  <c r="T61" i="112" s="1"/>
  <c r="U57" i="112"/>
  <c r="T57" i="112" s="1"/>
  <c r="AK76" i="55" s="1"/>
  <c r="V60" i="112"/>
  <c r="X60" i="112" s="1"/>
  <c r="V56" i="112"/>
  <c r="X56" i="112" s="1"/>
  <c r="AL75" i="55" s="1"/>
  <c r="U79" i="112"/>
  <c r="T79" i="112" s="1"/>
  <c r="U71" i="112"/>
  <c r="T71" i="112" s="1"/>
  <c r="V59" i="112"/>
  <c r="X59" i="112" s="1"/>
  <c r="AL78" i="55" s="1"/>
  <c r="V55" i="112"/>
  <c r="X55" i="112" s="1"/>
  <c r="AL74" i="55" s="1"/>
  <c r="V63" i="112"/>
  <c r="X63" i="112" s="1"/>
  <c r="V62" i="112"/>
  <c r="X62" i="112" s="1"/>
  <c r="V58" i="112"/>
  <c r="X58" i="112" s="1"/>
  <c r="AL77" i="55" s="1"/>
  <c r="V54" i="112"/>
  <c r="X54" i="112" s="1"/>
  <c r="AL73" i="55" s="1"/>
  <c r="U64" i="112"/>
  <c r="T64" i="112" s="1"/>
  <c r="U56" i="112"/>
  <c r="T56" i="112" s="1"/>
  <c r="AK75" i="55" s="1"/>
  <c r="U49" i="112"/>
  <c r="T49" i="112" s="1"/>
  <c r="AK68" i="55" s="1"/>
  <c r="U45" i="112"/>
  <c r="T45" i="112" s="1"/>
  <c r="AK64" i="55" s="1"/>
  <c r="U55" i="112"/>
  <c r="T55" i="112" s="1"/>
  <c r="AK74" i="55" s="1"/>
  <c r="V52" i="112"/>
  <c r="X52" i="112" s="1"/>
  <c r="AL71" i="55" s="1"/>
  <c r="V48" i="112"/>
  <c r="X48" i="112" s="1"/>
  <c r="AL67" i="55" s="1"/>
  <c r="V44" i="112"/>
  <c r="X44" i="112" s="1"/>
  <c r="AL63" i="55" s="1"/>
  <c r="U68" i="112"/>
  <c r="T68" i="112" s="1"/>
  <c r="U63" i="112"/>
  <c r="T63" i="112" s="1"/>
  <c r="U62" i="112"/>
  <c r="T62" i="112" s="1"/>
  <c r="U54" i="112"/>
  <c r="T54" i="112" s="1"/>
  <c r="AK73" i="55" s="1"/>
  <c r="U52" i="112"/>
  <c r="T52" i="112" s="1"/>
  <c r="AK71" i="55" s="1"/>
  <c r="U48" i="112"/>
  <c r="T48" i="112" s="1"/>
  <c r="AK67" i="55" s="1"/>
  <c r="U44" i="112"/>
  <c r="T44" i="112" s="1"/>
  <c r="AK63" i="55" s="1"/>
  <c r="U60" i="112"/>
  <c r="T60" i="112" s="1"/>
  <c r="U51" i="112"/>
  <c r="T51" i="112" s="1"/>
  <c r="AK70" i="55" s="1"/>
  <c r="U47" i="112"/>
  <c r="T47" i="112" s="1"/>
  <c r="AK66" i="55" s="1"/>
  <c r="U43" i="112"/>
  <c r="T43" i="112" s="1"/>
  <c r="AK62" i="55" s="1"/>
  <c r="U78" i="112"/>
  <c r="T78" i="112" s="1"/>
  <c r="U58" i="112"/>
  <c r="T58" i="112" s="1"/>
  <c r="AK77" i="55" s="1"/>
  <c r="U50" i="112"/>
  <c r="T50" i="112" s="1"/>
  <c r="AK69" i="55" s="1"/>
  <c r="U46" i="112"/>
  <c r="T46" i="112" s="1"/>
  <c r="AK65" i="55" s="1"/>
  <c r="U72" i="112"/>
  <c r="T72" i="112" s="1"/>
  <c r="V50" i="112"/>
  <c r="X50" i="112" s="1"/>
  <c r="AL69" i="55" s="1"/>
  <c r="U42" i="112"/>
  <c r="T42" i="112" s="1"/>
  <c r="AK61" i="55" s="1"/>
  <c r="V40" i="112"/>
  <c r="X40" i="112" s="1"/>
  <c r="AL59" i="55" s="1"/>
  <c r="V36" i="112"/>
  <c r="X36" i="112" s="1"/>
  <c r="AL55" i="55" s="1"/>
  <c r="V49" i="112"/>
  <c r="X49" i="112" s="1"/>
  <c r="AL68" i="55" s="1"/>
  <c r="U40" i="112"/>
  <c r="T40" i="112" s="1"/>
  <c r="AK59" i="55" s="1"/>
  <c r="U36" i="112"/>
  <c r="T36" i="112" s="1"/>
  <c r="AK55" i="55" s="1"/>
  <c r="U70" i="112"/>
  <c r="T70" i="112" s="1"/>
  <c r="V39" i="112"/>
  <c r="X39" i="112" s="1"/>
  <c r="AL58" i="55" s="1"/>
  <c r="V35" i="112"/>
  <c r="X35" i="112" s="1"/>
  <c r="AL54" i="55" s="1"/>
  <c r="V47" i="112"/>
  <c r="X47" i="112" s="1"/>
  <c r="AL66" i="55" s="1"/>
  <c r="U39" i="112"/>
  <c r="T39" i="112" s="1"/>
  <c r="AK58" i="55" s="1"/>
  <c r="U35" i="112"/>
  <c r="T35" i="112" s="1"/>
  <c r="AK54" i="55" s="1"/>
  <c r="V41" i="112"/>
  <c r="X41" i="112" s="1"/>
  <c r="AL60" i="55" s="1"/>
  <c r="V37" i="112"/>
  <c r="X37" i="112" s="1"/>
  <c r="AL56" i="55" s="1"/>
  <c r="V33" i="112"/>
  <c r="X33" i="112" s="1"/>
  <c r="AL52" i="55" s="1"/>
  <c r="U31" i="112"/>
  <c r="T31" i="112" s="1"/>
  <c r="AK50" i="55" s="1"/>
  <c r="U27" i="112"/>
  <c r="T27" i="112" s="1"/>
  <c r="AK46" i="55" s="1"/>
  <c r="U23" i="112"/>
  <c r="T23" i="112" s="1"/>
  <c r="AK42" i="55" s="1"/>
  <c r="V30" i="112"/>
  <c r="X30" i="112" s="1"/>
  <c r="AL49" i="55" s="1"/>
  <c r="V26" i="112"/>
  <c r="X26" i="112" s="1"/>
  <c r="AL45" i="55" s="1"/>
  <c r="V46" i="112"/>
  <c r="X46" i="112" s="1"/>
  <c r="AL65" i="55" s="1"/>
  <c r="V45" i="112"/>
  <c r="X45" i="112" s="1"/>
  <c r="AL64" i="55" s="1"/>
  <c r="V43" i="112"/>
  <c r="X43" i="112" s="1"/>
  <c r="AL62" i="55" s="1"/>
  <c r="V34" i="112"/>
  <c r="X34" i="112" s="1"/>
  <c r="AL53" i="55" s="1"/>
  <c r="U30" i="112"/>
  <c r="T30" i="112" s="1"/>
  <c r="AK49" i="55" s="1"/>
  <c r="U26" i="112"/>
  <c r="T26" i="112" s="1"/>
  <c r="AK45" i="55" s="1"/>
  <c r="U22" i="112"/>
  <c r="T22" i="112" s="1"/>
  <c r="AK41" i="55" s="1"/>
  <c r="U76" i="112"/>
  <c r="T76" i="112" s="1"/>
  <c r="V51" i="112"/>
  <c r="X51" i="112" s="1"/>
  <c r="AL70" i="55" s="1"/>
  <c r="V42" i="112"/>
  <c r="X42" i="112" s="1"/>
  <c r="AL61" i="55" s="1"/>
  <c r="U33" i="112"/>
  <c r="T33" i="112" s="1"/>
  <c r="AK52" i="55" s="1"/>
  <c r="U29" i="112"/>
  <c r="T29" i="112" s="1"/>
  <c r="AK48" i="55" s="1"/>
  <c r="U25" i="112"/>
  <c r="T25" i="112" s="1"/>
  <c r="AK44" i="55" s="1"/>
  <c r="V38" i="112"/>
  <c r="X38" i="112" s="1"/>
  <c r="AL57" i="55" s="1"/>
  <c r="V32" i="112"/>
  <c r="X32" i="112" s="1"/>
  <c r="AL51" i="55" s="1"/>
  <c r="U28" i="112"/>
  <c r="T28" i="112" s="1"/>
  <c r="AK47" i="55" s="1"/>
  <c r="U24" i="112"/>
  <c r="T24" i="112" s="1"/>
  <c r="AK43" i="55" s="1"/>
  <c r="V24" i="112"/>
  <c r="X24" i="112" s="1"/>
  <c r="AL43" i="55" s="1"/>
  <c r="U20" i="112"/>
  <c r="T20" i="112" s="1"/>
  <c r="AK39" i="55" s="1"/>
  <c r="U16" i="112"/>
  <c r="T16" i="112" s="1"/>
  <c r="AK35" i="55" s="1"/>
  <c r="U12" i="112"/>
  <c r="T12" i="112" s="1"/>
  <c r="AK31" i="55" s="1"/>
  <c r="U41" i="112"/>
  <c r="T41" i="112" s="1"/>
  <c r="AK60" i="55" s="1"/>
  <c r="U32" i="112"/>
  <c r="T32" i="112" s="1"/>
  <c r="AK51" i="55" s="1"/>
  <c r="V31" i="112"/>
  <c r="X31" i="112" s="1"/>
  <c r="AL50" i="55" s="1"/>
  <c r="V23" i="112"/>
  <c r="X23" i="112" s="1"/>
  <c r="AL42" i="55" s="1"/>
  <c r="V19" i="112"/>
  <c r="X19" i="112" s="1"/>
  <c r="AL38" i="55" s="1"/>
  <c r="V15" i="112"/>
  <c r="X15" i="112" s="1"/>
  <c r="AL34" i="55" s="1"/>
  <c r="V11" i="112"/>
  <c r="X11" i="112" s="1"/>
  <c r="AL30" i="55" s="1"/>
  <c r="V29" i="112"/>
  <c r="X29" i="112" s="1"/>
  <c r="AL48" i="55" s="1"/>
  <c r="V21" i="112"/>
  <c r="X21" i="112" s="1"/>
  <c r="AL40" i="55" s="1"/>
  <c r="V18" i="112"/>
  <c r="X18" i="112" s="1"/>
  <c r="AL37" i="55" s="1"/>
  <c r="V14" i="112"/>
  <c r="X14" i="112" s="1"/>
  <c r="AL33" i="55" s="1"/>
  <c r="U59" i="112"/>
  <c r="T59" i="112" s="1"/>
  <c r="AK78" i="55" s="1"/>
  <c r="V27" i="112"/>
  <c r="X27" i="112" s="1"/>
  <c r="AL46" i="55" s="1"/>
  <c r="V17" i="112"/>
  <c r="X17" i="112" s="1"/>
  <c r="AL36" i="55" s="1"/>
  <c r="V13" i="112"/>
  <c r="X13" i="112" s="1"/>
  <c r="AL32" i="55" s="1"/>
  <c r="U13" i="112"/>
  <c r="T13" i="112" s="1"/>
  <c r="AK32" i="55" s="1"/>
  <c r="U11" i="112"/>
  <c r="T11" i="112" s="1"/>
  <c r="AK30" i="55" s="1"/>
  <c r="U14" i="112"/>
  <c r="T14" i="112" s="1"/>
  <c r="AK33" i="55" s="1"/>
  <c r="U37" i="112"/>
  <c r="T37" i="112" s="1"/>
  <c r="AK56" i="55" s="1"/>
  <c r="V28" i="112"/>
  <c r="X28" i="112" s="1"/>
  <c r="AL47" i="55" s="1"/>
  <c r="V22" i="112"/>
  <c r="X22" i="112" s="1"/>
  <c r="AL41" i="55" s="1"/>
  <c r="U18" i="112"/>
  <c r="T18" i="112" s="1"/>
  <c r="AK37" i="55" s="1"/>
  <c r="V20" i="112"/>
  <c r="X20" i="112" s="1"/>
  <c r="AL39" i="55" s="1"/>
  <c r="V16" i="112"/>
  <c r="X16" i="112" s="1"/>
  <c r="AL35" i="55" s="1"/>
  <c r="U17" i="112"/>
  <c r="T17" i="112" s="1"/>
  <c r="AK36" i="55" s="1"/>
  <c r="U38" i="112"/>
  <c r="T38" i="112" s="1"/>
  <c r="AK57" i="55" s="1"/>
  <c r="V25" i="112"/>
  <c r="X25" i="112" s="1"/>
  <c r="AL44" i="55" s="1"/>
  <c r="U21" i="112"/>
  <c r="T21" i="112" s="1"/>
  <c r="AK40" i="55" s="1"/>
  <c r="U53" i="112"/>
  <c r="T53" i="112" s="1"/>
  <c r="AK72" i="55" s="1"/>
  <c r="U34" i="112"/>
  <c r="T34" i="112" s="1"/>
  <c r="AK53" i="55" s="1"/>
  <c r="U19" i="112"/>
  <c r="T19" i="112" s="1"/>
  <c r="AK38" i="55" s="1"/>
  <c r="U15" i="112"/>
  <c r="T15" i="112" s="1"/>
  <c r="AK34" i="55" s="1"/>
  <c r="V12" i="112"/>
  <c r="X12" i="112" s="1"/>
  <c r="AL31" i="55" s="1"/>
  <c r="U10" i="112"/>
  <c r="V10" i="112"/>
  <c r="X10" i="112" s="1"/>
  <c r="O10" i="112" a="1"/>
  <c r="AL29" i="55" l="1"/>
  <c r="AL26" i="55"/>
  <c r="P79" i="112"/>
  <c r="R79" i="112" s="1"/>
  <c r="AF78" i="55" s="1"/>
  <c r="P75" i="112"/>
  <c r="R75" i="112" s="1"/>
  <c r="AF74" i="55" s="1"/>
  <c r="P71" i="112"/>
  <c r="R71" i="112" s="1"/>
  <c r="AF70" i="55" s="1"/>
  <c r="P67" i="112"/>
  <c r="R67" i="112" s="1"/>
  <c r="AF66" i="55" s="1"/>
  <c r="O79" i="112"/>
  <c r="N79" i="112" s="1"/>
  <c r="AE78" i="55" s="1"/>
  <c r="O75" i="112"/>
  <c r="N75" i="112" s="1"/>
  <c r="AE74" i="55" s="1"/>
  <c r="O71" i="112"/>
  <c r="N71" i="112" s="1"/>
  <c r="AE70" i="55" s="1"/>
  <c r="O67" i="112"/>
  <c r="N67" i="112" s="1"/>
  <c r="AE66" i="55" s="1"/>
  <c r="P78" i="112"/>
  <c r="R78" i="112" s="1"/>
  <c r="AF77" i="55" s="1"/>
  <c r="P74" i="112"/>
  <c r="R74" i="112" s="1"/>
  <c r="AF73" i="55" s="1"/>
  <c r="P70" i="112"/>
  <c r="R70" i="112" s="1"/>
  <c r="AF69" i="55" s="1"/>
  <c r="P66" i="112"/>
  <c r="R66" i="112" s="1"/>
  <c r="AF65" i="55" s="1"/>
  <c r="P77" i="112"/>
  <c r="R77" i="112" s="1"/>
  <c r="AF76" i="55" s="1"/>
  <c r="P73" i="112"/>
  <c r="R73" i="112" s="1"/>
  <c r="AF72" i="55" s="1"/>
  <c r="P69" i="112"/>
  <c r="R69" i="112" s="1"/>
  <c r="AF68" i="55" s="1"/>
  <c r="P65" i="112"/>
  <c r="R65" i="112" s="1"/>
  <c r="AF64" i="55" s="1"/>
  <c r="P76" i="112"/>
  <c r="R76" i="112" s="1"/>
  <c r="AF75" i="55" s="1"/>
  <c r="P72" i="112"/>
  <c r="R72" i="112" s="1"/>
  <c r="AF71" i="55" s="1"/>
  <c r="P68" i="112"/>
  <c r="R68" i="112" s="1"/>
  <c r="AF67" i="55" s="1"/>
  <c r="P64" i="112"/>
  <c r="R64" i="112" s="1"/>
  <c r="AF63" i="55" s="1"/>
  <c r="O77" i="112"/>
  <c r="N77" i="112" s="1"/>
  <c r="AE76" i="55" s="1"/>
  <c r="O69" i="112"/>
  <c r="N69" i="112" s="1"/>
  <c r="AE68" i="55" s="1"/>
  <c r="P59" i="112"/>
  <c r="R59" i="112" s="1"/>
  <c r="AF58" i="55" s="1"/>
  <c r="P55" i="112"/>
  <c r="R55" i="112" s="1"/>
  <c r="AF54" i="55" s="1"/>
  <c r="O76" i="112"/>
  <c r="N76" i="112" s="1"/>
  <c r="AE75" i="55" s="1"/>
  <c r="O68" i="112"/>
  <c r="N68" i="112" s="1"/>
  <c r="AE67" i="55" s="1"/>
  <c r="P63" i="112"/>
  <c r="R63" i="112" s="1"/>
  <c r="AF62" i="55" s="1"/>
  <c r="O59" i="112"/>
  <c r="N59" i="112" s="1"/>
  <c r="AE58" i="55" s="1"/>
  <c r="O55" i="112"/>
  <c r="N55" i="112" s="1"/>
  <c r="AE54" i="55" s="1"/>
  <c r="O74" i="112"/>
  <c r="N74" i="112" s="1"/>
  <c r="AE73" i="55" s="1"/>
  <c r="O66" i="112"/>
  <c r="N66" i="112" s="1"/>
  <c r="AE65" i="55" s="1"/>
  <c r="O63" i="112"/>
  <c r="N63" i="112" s="1"/>
  <c r="AE62" i="55" s="1"/>
  <c r="P62" i="112"/>
  <c r="R62" i="112" s="1"/>
  <c r="AF61" i="55" s="1"/>
  <c r="P58" i="112"/>
  <c r="R58" i="112" s="1"/>
  <c r="AF57" i="55" s="1"/>
  <c r="P54" i="112"/>
  <c r="R54" i="112" s="1"/>
  <c r="AF53" i="55" s="1"/>
  <c r="O73" i="112"/>
  <c r="N73" i="112" s="1"/>
  <c r="AE72" i="55" s="1"/>
  <c r="O65" i="112"/>
  <c r="N65" i="112" s="1"/>
  <c r="AE64" i="55" s="1"/>
  <c r="P61" i="112"/>
  <c r="R61" i="112" s="1"/>
  <c r="AF60" i="55" s="1"/>
  <c r="P57" i="112"/>
  <c r="R57" i="112" s="1"/>
  <c r="AF56" i="55" s="1"/>
  <c r="O78" i="112"/>
  <c r="N78" i="112" s="1"/>
  <c r="AE77" i="55" s="1"/>
  <c r="O70" i="112"/>
  <c r="N70" i="112" s="1"/>
  <c r="AE69" i="55" s="1"/>
  <c r="P60" i="112"/>
  <c r="R60" i="112" s="1"/>
  <c r="AF59" i="55" s="1"/>
  <c r="P56" i="112"/>
  <c r="R56" i="112" s="1"/>
  <c r="AF55" i="55" s="1"/>
  <c r="O53" i="112"/>
  <c r="N53" i="112" s="1"/>
  <c r="AE52" i="55" s="1"/>
  <c r="O51" i="112"/>
  <c r="N51" i="112" s="1"/>
  <c r="AE50" i="55" s="1"/>
  <c r="O47" i="112"/>
  <c r="N47" i="112" s="1"/>
  <c r="AE46" i="55" s="1"/>
  <c r="O43" i="112"/>
  <c r="N43" i="112" s="1"/>
  <c r="AE42" i="55" s="1"/>
  <c r="O64" i="112"/>
  <c r="N64" i="112" s="1"/>
  <c r="AE63" i="55" s="1"/>
  <c r="O57" i="112"/>
  <c r="N57" i="112" s="1"/>
  <c r="AE56" i="55" s="1"/>
  <c r="P50" i="112"/>
  <c r="R50" i="112" s="1"/>
  <c r="AF49" i="55" s="1"/>
  <c r="P46" i="112"/>
  <c r="R46" i="112" s="1"/>
  <c r="AF45" i="55" s="1"/>
  <c r="O56" i="112"/>
  <c r="N56" i="112" s="1"/>
  <c r="AE55" i="55" s="1"/>
  <c r="O50" i="112"/>
  <c r="N50" i="112" s="1"/>
  <c r="AE49" i="55" s="1"/>
  <c r="O46" i="112"/>
  <c r="N46" i="112" s="1"/>
  <c r="AE45" i="55" s="1"/>
  <c r="O42" i="112"/>
  <c r="N42" i="112" s="1"/>
  <c r="AE41" i="55" s="1"/>
  <c r="O72" i="112"/>
  <c r="N72" i="112" s="1"/>
  <c r="AE71" i="55" s="1"/>
  <c r="O54" i="112"/>
  <c r="N54" i="112" s="1"/>
  <c r="AE53" i="55" s="1"/>
  <c r="O49" i="112"/>
  <c r="N49" i="112" s="1"/>
  <c r="AE48" i="55" s="1"/>
  <c r="O45" i="112"/>
  <c r="N45" i="112" s="1"/>
  <c r="AE44" i="55" s="1"/>
  <c r="O60" i="112"/>
  <c r="N60" i="112" s="1"/>
  <c r="AE59" i="55" s="1"/>
  <c r="O52" i="112"/>
  <c r="N52" i="112" s="1"/>
  <c r="AE51" i="55" s="1"/>
  <c r="O48" i="112"/>
  <c r="N48" i="112" s="1"/>
  <c r="AE47" i="55" s="1"/>
  <c r="O44" i="112"/>
  <c r="N44" i="112" s="1"/>
  <c r="AE43" i="55" s="1"/>
  <c r="O58" i="112"/>
  <c r="N58" i="112" s="1"/>
  <c r="AE57" i="55" s="1"/>
  <c r="P53" i="112"/>
  <c r="R53" i="112" s="1"/>
  <c r="AF52" i="55" s="1"/>
  <c r="P38" i="112"/>
  <c r="R38" i="112" s="1"/>
  <c r="AF37" i="55" s="1"/>
  <c r="P34" i="112"/>
  <c r="R34" i="112" s="1"/>
  <c r="AF33" i="55" s="1"/>
  <c r="O62" i="112"/>
  <c r="N62" i="112" s="1"/>
  <c r="AE61" i="55" s="1"/>
  <c r="O61" i="112"/>
  <c r="N61" i="112" s="1"/>
  <c r="AE60" i="55" s="1"/>
  <c r="P51" i="112"/>
  <c r="R51" i="112" s="1"/>
  <c r="AF50" i="55" s="1"/>
  <c r="P43" i="112"/>
  <c r="R43" i="112" s="1"/>
  <c r="AF42" i="55" s="1"/>
  <c r="O38" i="112"/>
  <c r="N38" i="112" s="1"/>
  <c r="AE37" i="55" s="1"/>
  <c r="O34" i="112"/>
  <c r="N34" i="112" s="1"/>
  <c r="AE33" i="55" s="1"/>
  <c r="P49" i="112"/>
  <c r="R49" i="112" s="1"/>
  <c r="AF48" i="55" s="1"/>
  <c r="P42" i="112"/>
  <c r="R42" i="112" s="1"/>
  <c r="AF41" i="55" s="1"/>
  <c r="P41" i="112"/>
  <c r="R41" i="112" s="1"/>
  <c r="AF40" i="55" s="1"/>
  <c r="P37" i="112"/>
  <c r="R37" i="112" s="1"/>
  <c r="AF36" i="55" s="1"/>
  <c r="P33" i="112"/>
  <c r="R33" i="112" s="1"/>
  <c r="AF32" i="55" s="1"/>
  <c r="P48" i="112"/>
  <c r="R48" i="112" s="1"/>
  <c r="AF47" i="55" s="1"/>
  <c r="O41" i="112"/>
  <c r="N41" i="112" s="1"/>
  <c r="AE40" i="55" s="1"/>
  <c r="O37" i="112"/>
  <c r="N37" i="112" s="1"/>
  <c r="AE36" i="55" s="1"/>
  <c r="O33" i="112"/>
  <c r="N33" i="112" s="1"/>
  <c r="AE32" i="55" s="1"/>
  <c r="P45" i="112"/>
  <c r="R45" i="112" s="1"/>
  <c r="AF44" i="55" s="1"/>
  <c r="P39" i="112"/>
  <c r="R39" i="112" s="1"/>
  <c r="AF38" i="55" s="1"/>
  <c r="P35" i="112"/>
  <c r="R35" i="112" s="1"/>
  <c r="AF34" i="55" s="1"/>
  <c r="O39" i="112"/>
  <c r="N39" i="112" s="1"/>
  <c r="AE38" i="55" s="1"/>
  <c r="O29" i="112"/>
  <c r="N29" i="112" s="1"/>
  <c r="AE28" i="55" s="1"/>
  <c r="O25" i="112"/>
  <c r="P36" i="112"/>
  <c r="R36" i="112" s="1"/>
  <c r="AF35" i="55" s="1"/>
  <c r="P32" i="112"/>
  <c r="R32" i="112" s="1"/>
  <c r="AF31" i="55" s="1"/>
  <c r="P28" i="112"/>
  <c r="R28" i="112" s="1"/>
  <c r="AF27" i="55" s="1"/>
  <c r="P24" i="112"/>
  <c r="R24" i="112" s="1"/>
  <c r="AF23" i="55" s="1"/>
  <c r="P44" i="112"/>
  <c r="R44" i="112" s="1"/>
  <c r="AF43" i="55" s="1"/>
  <c r="O36" i="112"/>
  <c r="N36" i="112" s="1"/>
  <c r="AE35" i="55" s="1"/>
  <c r="O32" i="112"/>
  <c r="N32" i="112" s="1"/>
  <c r="AE31" i="55" s="1"/>
  <c r="O28" i="112"/>
  <c r="N28" i="112" s="1"/>
  <c r="AE27" i="55" s="1"/>
  <c r="O24" i="112"/>
  <c r="P52" i="112"/>
  <c r="R52" i="112" s="1"/>
  <c r="AF51" i="55" s="1"/>
  <c r="O35" i="112"/>
  <c r="N35" i="112" s="1"/>
  <c r="AE34" i="55" s="1"/>
  <c r="O31" i="112"/>
  <c r="N31" i="112" s="1"/>
  <c r="AE30" i="55" s="1"/>
  <c r="O27" i="112"/>
  <c r="N27" i="112" s="1"/>
  <c r="AE26" i="55" s="1"/>
  <c r="O23" i="112"/>
  <c r="O40" i="112"/>
  <c r="N40" i="112" s="1"/>
  <c r="AE39" i="55" s="1"/>
  <c r="O30" i="112"/>
  <c r="N30" i="112" s="1"/>
  <c r="AE29" i="55" s="1"/>
  <c r="O26" i="112"/>
  <c r="O22" i="112"/>
  <c r="O18" i="112"/>
  <c r="O14" i="112"/>
  <c r="P40" i="112"/>
  <c r="R40" i="112" s="1"/>
  <c r="AF39" i="55" s="1"/>
  <c r="P25" i="112"/>
  <c r="R25" i="112" s="1"/>
  <c r="AF24" i="55" s="1"/>
  <c r="P17" i="112"/>
  <c r="R17" i="112" s="1"/>
  <c r="AF16" i="55" s="1"/>
  <c r="P13" i="112"/>
  <c r="R13" i="112" s="1"/>
  <c r="AF12" i="55" s="1"/>
  <c r="P30" i="112"/>
  <c r="R30" i="112" s="1"/>
  <c r="AF29" i="55" s="1"/>
  <c r="P20" i="112"/>
  <c r="R20" i="112" s="1"/>
  <c r="AF19" i="55" s="1"/>
  <c r="P16" i="112"/>
  <c r="R16" i="112" s="1"/>
  <c r="AF15" i="55" s="1"/>
  <c r="P29" i="112"/>
  <c r="R29" i="112" s="1"/>
  <c r="AF28" i="55" s="1"/>
  <c r="P19" i="112"/>
  <c r="R19" i="112" s="1"/>
  <c r="AF18" i="55" s="1"/>
  <c r="P15" i="112"/>
  <c r="R15" i="112" s="1"/>
  <c r="AF14" i="55" s="1"/>
  <c r="P11" i="112"/>
  <c r="R11" i="112" s="1"/>
  <c r="AF10" i="55" s="1"/>
  <c r="P23" i="112"/>
  <c r="R23" i="112" s="1"/>
  <c r="AF22" i="55" s="1"/>
  <c r="O21" i="112"/>
  <c r="O13" i="112"/>
  <c r="O19" i="112"/>
  <c r="O15" i="112"/>
  <c r="P12" i="112"/>
  <c r="R12" i="112" s="1"/>
  <c r="AF11" i="55" s="1"/>
  <c r="O17" i="112"/>
  <c r="P47" i="112"/>
  <c r="R47" i="112" s="1"/>
  <c r="AF46" i="55" s="1"/>
  <c r="P27" i="112"/>
  <c r="R27" i="112" s="1"/>
  <c r="AF26" i="55" s="1"/>
  <c r="P22" i="112"/>
  <c r="R22" i="112" s="1"/>
  <c r="AF21" i="55" s="1"/>
  <c r="O12" i="112"/>
  <c r="P26" i="112"/>
  <c r="R26" i="112" s="1"/>
  <c r="AF25" i="55" s="1"/>
  <c r="O20" i="112"/>
  <c r="O16" i="112"/>
  <c r="P31" i="112"/>
  <c r="R31" i="112" s="1"/>
  <c r="AF30" i="55" s="1"/>
  <c r="O11" i="112"/>
  <c r="P21" i="112"/>
  <c r="R21" i="112" s="1"/>
  <c r="AF20" i="55" s="1"/>
  <c r="P18" i="112"/>
  <c r="R18" i="112" s="1"/>
  <c r="AF17" i="55" s="1"/>
  <c r="P14" i="112"/>
  <c r="R14" i="112" s="1"/>
  <c r="AF13" i="55" s="1"/>
  <c r="P10" i="112"/>
  <c r="R10" i="112" s="1"/>
  <c r="AF9" i="55" s="1"/>
  <c r="O10" i="112"/>
  <c r="I10" i="112" a="1"/>
  <c r="J77" i="112" l="1"/>
  <c r="L77" i="112" s="1"/>
  <c r="Z76" i="55" s="1"/>
  <c r="J73" i="112"/>
  <c r="L73" i="112" s="1"/>
  <c r="Z72" i="55" s="1"/>
  <c r="J69" i="112"/>
  <c r="L69" i="112" s="1"/>
  <c r="Z68" i="55" s="1"/>
  <c r="J65" i="112"/>
  <c r="L65" i="112" s="1"/>
  <c r="Z64" i="55" s="1"/>
  <c r="I77" i="112"/>
  <c r="H77" i="112" s="1"/>
  <c r="Y76" i="55" s="1"/>
  <c r="I73" i="112"/>
  <c r="H73" i="112" s="1"/>
  <c r="Y72" i="55" s="1"/>
  <c r="I69" i="112"/>
  <c r="H69" i="112" s="1"/>
  <c r="Y68" i="55" s="1"/>
  <c r="I65" i="112"/>
  <c r="H65" i="112" s="1"/>
  <c r="Y64" i="55" s="1"/>
  <c r="J76" i="112"/>
  <c r="L76" i="112" s="1"/>
  <c r="Z75" i="55" s="1"/>
  <c r="J72" i="112"/>
  <c r="L72" i="112" s="1"/>
  <c r="Z71" i="55" s="1"/>
  <c r="J68" i="112"/>
  <c r="L68" i="112" s="1"/>
  <c r="Z67" i="55" s="1"/>
  <c r="J64" i="112"/>
  <c r="L64" i="112" s="1"/>
  <c r="Z63" i="55" s="1"/>
  <c r="J79" i="112"/>
  <c r="L79" i="112" s="1"/>
  <c r="Z78" i="55" s="1"/>
  <c r="J75" i="112"/>
  <c r="L75" i="112" s="1"/>
  <c r="Z74" i="55" s="1"/>
  <c r="J71" i="112"/>
  <c r="L71" i="112" s="1"/>
  <c r="Z70" i="55" s="1"/>
  <c r="J67" i="112"/>
  <c r="L67" i="112" s="1"/>
  <c r="Z66" i="55" s="1"/>
  <c r="J78" i="112"/>
  <c r="L78" i="112" s="1"/>
  <c r="Z77" i="55" s="1"/>
  <c r="J74" i="112"/>
  <c r="L74" i="112" s="1"/>
  <c r="Z73" i="55" s="1"/>
  <c r="J70" i="112"/>
  <c r="L70" i="112" s="1"/>
  <c r="Z69" i="55" s="1"/>
  <c r="J66" i="112"/>
  <c r="L66" i="112" s="1"/>
  <c r="Z65" i="55" s="1"/>
  <c r="I78" i="112"/>
  <c r="H78" i="112" s="1"/>
  <c r="Y77" i="55" s="1"/>
  <c r="I70" i="112"/>
  <c r="H70" i="112" s="1"/>
  <c r="Y69" i="55" s="1"/>
  <c r="J61" i="112"/>
  <c r="L61" i="112" s="1"/>
  <c r="Z60" i="55" s="1"/>
  <c r="J57" i="112"/>
  <c r="L57" i="112" s="1"/>
  <c r="Z56" i="55" s="1"/>
  <c r="J53" i="112"/>
  <c r="L53" i="112" s="1"/>
  <c r="Z52" i="55" s="1"/>
  <c r="I61" i="112"/>
  <c r="H61" i="112" s="1"/>
  <c r="Y60" i="55" s="1"/>
  <c r="I57" i="112"/>
  <c r="H57" i="112" s="1"/>
  <c r="Y56" i="55" s="1"/>
  <c r="I76" i="112"/>
  <c r="H76" i="112" s="1"/>
  <c r="Y75" i="55" s="1"/>
  <c r="I68" i="112"/>
  <c r="H68" i="112" s="1"/>
  <c r="Y67" i="55" s="1"/>
  <c r="J60" i="112"/>
  <c r="L60" i="112" s="1"/>
  <c r="Z59" i="55" s="1"/>
  <c r="J56" i="112"/>
  <c r="L56" i="112" s="1"/>
  <c r="Z55" i="55" s="1"/>
  <c r="I74" i="112"/>
  <c r="H74" i="112" s="1"/>
  <c r="Y73" i="55" s="1"/>
  <c r="I66" i="112"/>
  <c r="H66" i="112" s="1"/>
  <c r="Y65" i="55" s="1"/>
  <c r="J59" i="112"/>
  <c r="L59" i="112" s="1"/>
  <c r="Z58" i="55" s="1"/>
  <c r="J55" i="112"/>
  <c r="L55" i="112" s="1"/>
  <c r="Z54" i="55" s="1"/>
  <c r="I72" i="112"/>
  <c r="H72" i="112" s="1"/>
  <c r="Y71" i="55" s="1"/>
  <c r="I64" i="112"/>
  <c r="H64" i="112" s="1"/>
  <c r="Y63" i="55" s="1"/>
  <c r="I63" i="112"/>
  <c r="H63" i="112" s="1"/>
  <c r="Y62" i="55" s="1"/>
  <c r="J62" i="112"/>
  <c r="L62" i="112" s="1"/>
  <c r="Z61" i="55" s="1"/>
  <c r="J58" i="112"/>
  <c r="L58" i="112" s="1"/>
  <c r="Z57" i="55" s="1"/>
  <c r="J54" i="112"/>
  <c r="L54" i="112" s="1"/>
  <c r="Z53" i="55" s="1"/>
  <c r="I79" i="112"/>
  <c r="H79" i="112" s="1"/>
  <c r="Y78" i="55" s="1"/>
  <c r="I59" i="112"/>
  <c r="H59" i="112" s="1"/>
  <c r="Y58" i="55" s="1"/>
  <c r="I49" i="112"/>
  <c r="H49" i="112" s="1"/>
  <c r="Y48" i="55" s="1"/>
  <c r="I45" i="112"/>
  <c r="H45" i="112" s="1"/>
  <c r="Y44" i="55" s="1"/>
  <c r="I58" i="112"/>
  <c r="H58" i="112" s="1"/>
  <c r="Y57" i="55" s="1"/>
  <c r="J52" i="112"/>
  <c r="L52" i="112" s="1"/>
  <c r="Z51" i="55" s="1"/>
  <c r="J48" i="112"/>
  <c r="L48" i="112" s="1"/>
  <c r="Z47" i="55" s="1"/>
  <c r="J44" i="112"/>
  <c r="L44" i="112" s="1"/>
  <c r="Z43" i="55" s="1"/>
  <c r="I52" i="112"/>
  <c r="H52" i="112" s="1"/>
  <c r="Y51" i="55" s="1"/>
  <c r="I48" i="112"/>
  <c r="H48" i="112" s="1"/>
  <c r="Y47" i="55" s="1"/>
  <c r="I44" i="112"/>
  <c r="H44" i="112" s="1"/>
  <c r="Y43" i="55" s="1"/>
  <c r="J63" i="112"/>
  <c r="L63" i="112" s="1"/>
  <c r="Z62" i="55" s="1"/>
  <c r="I55" i="112"/>
  <c r="H55" i="112" s="1"/>
  <c r="Y54" i="55" s="1"/>
  <c r="I51" i="112"/>
  <c r="H51" i="112" s="1"/>
  <c r="Y50" i="55" s="1"/>
  <c r="I47" i="112"/>
  <c r="H47" i="112" s="1"/>
  <c r="Y46" i="55" s="1"/>
  <c r="I43" i="112"/>
  <c r="H43" i="112" s="1"/>
  <c r="Y42" i="55" s="1"/>
  <c r="I75" i="112"/>
  <c r="H75" i="112" s="1"/>
  <c r="Y74" i="55" s="1"/>
  <c r="I50" i="112"/>
  <c r="H50" i="112" s="1"/>
  <c r="Y49" i="55" s="1"/>
  <c r="I46" i="112"/>
  <c r="H46" i="112" s="1"/>
  <c r="Y45" i="55" s="1"/>
  <c r="J45" i="112"/>
  <c r="L45" i="112" s="1"/>
  <c r="Z44" i="55" s="1"/>
  <c r="J40" i="112"/>
  <c r="L40" i="112" s="1"/>
  <c r="Z39" i="55" s="1"/>
  <c r="J36" i="112"/>
  <c r="L36" i="112" s="1"/>
  <c r="Z35" i="55" s="1"/>
  <c r="I60" i="112"/>
  <c r="H60" i="112" s="1"/>
  <c r="Y59" i="55" s="1"/>
  <c r="I53" i="112"/>
  <c r="H53" i="112" s="1"/>
  <c r="Y52" i="55" s="1"/>
  <c r="I40" i="112"/>
  <c r="H40" i="112" s="1"/>
  <c r="Y39" i="55" s="1"/>
  <c r="I36" i="112"/>
  <c r="H36" i="112" s="1"/>
  <c r="Y35" i="55" s="1"/>
  <c r="I62" i="112"/>
  <c r="H62" i="112" s="1"/>
  <c r="Y61" i="55" s="1"/>
  <c r="J51" i="112"/>
  <c r="L51" i="112" s="1"/>
  <c r="Z50" i="55" s="1"/>
  <c r="J43" i="112"/>
  <c r="L43" i="112" s="1"/>
  <c r="Z42" i="55" s="1"/>
  <c r="J39" i="112"/>
  <c r="L39" i="112" s="1"/>
  <c r="Z38" i="55" s="1"/>
  <c r="J35" i="112"/>
  <c r="L35" i="112" s="1"/>
  <c r="Z34" i="55" s="1"/>
  <c r="J50" i="112"/>
  <c r="L50" i="112" s="1"/>
  <c r="Z49" i="55" s="1"/>
  <c r="I39" i="112"/>
  <c r="H39" i="112" s="1"/>
  <c r="Y38" i="55" s="1"/>
  <c r="I35" i="112"/>
  <c r="H35" i="112" s="1"/>
  <c r="Y34" i="55" s="1"/>
  <c r="I71" i="112"/>
  <c r="H71" i="112" s="1"/>
  <c r="Y70" i="55" s="1"/>
  <c r="J47" i="112"/>
  <c r="L47" i="112" s="1"/>
  <c r="Z46" i="55" s="1"/>
  <c r="I42" i="112"/>
  <c r="H42" i="112" s="1"/>
  <c r="Y41" i="55" s="1"/>
  <c r="J41" i="112"/>
  <c r="L41" i="112" s="1"/>
  <c r="Z40" i="55" s="1"/>
  <c r="J37" i="112"/>
  <c r="L37" i="112" s="1"/>
  <c r="Z36" i="55" s="1"/>
  <c r="J33" i="112"/>
  <c r="L33" i="112" s="1"/>
  <c r="Z32" i="55" s="1"/>
  <c r="I67" i="112"/>
  <c r="H67" i="112" s="1"/>
  <c r="Y66" i="55" s="1"/>
  <c r="I33" i="112"/>
  <c r="H33" i="112" s="1"/>
  <c r="Y32" i="55" s="1"/>
  <c r="I31" i="112"/>
  <c r="H31" i="112" s="1"/>
  <c r="Y30" i="55" s="1"/>
  <c r="I27" i="112"/>
  <c r="H27" i="112" s="1"/>
  <c r="Y26" i="55" s="1"/>
  <c r="I23" i="112"/>
  <c r="I56" i="112"/>
  <c r="H56" i="112" s="1"/>
  <c r="Y55" i="55" s="1"/>
  <c r="I54" i="112"/>
  <c r="H54" i="112" s="1"/>
  <c r="Y53" i="55" s="1"/>
  <c r="J38" i="112"/>
  <c r="L38" i="112" s="1"/>
  <c r="Z37" i="55" s="1"/>
  <c r="J30" i="112"/>
  <c r="L30" i="112" s="1"/>
  <c r="Z29" i="55" s="1"/>
  <c r="J26" i="112"/>
  <c r="L26" i="112" s="1"/>
  <c r="Z25" i="55" s="1"/>
  <c r="I38" i="112"/>
  <c r="H38" i="112" s="1"/>
  <c r="Y37" i="55" s="1"/>
  <c r="I37" i="112"/>
  <c r="H37" i="112" s="1"/>
  <c r="Y36" i="55" s="1"/>
  <c r="I30" i="112"/>
  <c r="H30" i="112" s="1"/>
  <c r="Y29" i="55" s="1"/>
  <c r="I26" i="112"/>
  <c r="I22" i="112"/>
  <c r="J46" i="112"/>
  <c r="L46" i="112" s="1"/>
  <c r="Z45" i="55" s="1"/>
  <c r="I29" i="112"/>
  <c r="H29" i="112" s="1"/>
  <c r="Y28" i="55" s="1"/>
  <c r="I25" i="112"/>
  <c r="J42" i="112"/>
  <c r="L42" i="112" s="1"/>
  <c r="Z41" i="55" s="1"/>
  <c r="I41" i="112"/>
  <c r="H41" i="112" s="1"/>
  <c r="Y40" i="55" s="1"/>
  <c r="I34" i="112"/>
  <c r="H34" i="112" s="1"/>
  <c r="Y33" i="55" s="1"/>
  <c r="I32" i="112"/>
  <c r="H32" i="112" s="1"/>
  <c r="Y31" i="55" s="1"/>
  <c r="I28" i="112"/>
  <c r="H28" i="112" s="1"/>
  <c r="Y27" i="55" s="1"/>
  <c r="I24" i="112"/>
  <c r="J49" i="112"/>
  <c r="L49" i="112" s="1"/>
  <c r="Z48" i="55" s="1"/>
  <c r="J27" i="112"/>
  <c r="L27" i="112" s="1"/>
  <c r="Z26" i="55" s="1"/>
  <c r="I20" i="112"/>
  <c r="I16" i="112"/>
  <c r="I12" i="112"/>
  <c r="J21" i="112"/>
  <c r="L21" i="112" s="1"/>
  <c r="Z20" i="55" s="1"/>
  <c r="J19" i="112"/>
  <c r="L19" i="112" s="1"/>
  <c r="Z18" i="55" s="1"/>
  <c r="J15" i="112"/>
  <c r="L15" i="112" s="1"/>
  <c r="Z14" i="55" s="1"/>
  <c r="J11" i="112"/>
  <c r="L11" i="112" s="1"/>
  <c r="Z10" i="55" s="1"/>
  <c r="J32" i="112"/>
  <c r="L32" i="112" s="1"/>
  <c r="Z31" i="55" s="1"/>
  <c r="J24" i="112"/>
  <c r="L24" i="112" s="1"/>
  <c r="Z23" i="55" s="1"/>
  <c r="J18" i="112"/>
  <c r="L18" i="112" s="1"/>
  <c r="Z17" i="55" s="1"/>
  <c r="J14" i="112"/>
  <c r="L14" i="112" s="1"/>
  <c r="Z13" i="55" s="1"/>
  <c r="J34" i="112"/>
  <c r="L34" i="112" s="1"/>
  <c r="Z33" i="55" s="1"/>
  <c r="J17" i="112"/>
  <c r="L17" i="112" s="1"/>
  <c r="Z16" i="55" s="1"/>
  <c r="J13" i="112"/>
  <c r="L13" i="112" s="1"/>
  <c r="Z12" i="55" s="1"/>
  <c r="J29" i="112"/>
  <c r="L29" i="112" s="1"/>
  <c r="Z28" i="55" s="1"/>
  <c r="I13" i="112"/>
  <c r="I19" i="112"/>
  <c r="I15" i="112"/>
  <c r="J23" i="112"/>
  <c r="L23" i="112" s="1"/>
  <c r="Z22" i="55" s="1"/>
  <c r="I21" i="112"/>
  <c r="I18" i="112"/>
  <c r="I14" i="112"/>
  <c r="I11" i="112"/>
  <c r="J28" i="112"/>
  <c r="L28" i="112" s="1"/>
  <c r="Z27" i="55" s="1"/>
  <c r="J22" i="112"/>
  <c r="L22" i="112" s="1"/>
  <c r="Z21" i="55" s="1"/>
  <c r="J12" i="112"/>
  <c r="L12" i="112" s="1"/>
  <c r="Z11" i="55" s="1"/>
  <c r="J31" i="112"/>
  <c r="L31" i="112" s="1"/>
  <c r="Z30" i="55" s="1"/>
  <c r="J25" i="112"/>
  <c r="L25" i="112" s="1"/>
  <c r="Z24" i="55" s="1"/>
  <c r="J20" i="112"/>
  <c r="L20" i="112" s="1"/>
  <c r="Z19" i="55" s="1"/>
  <c r="J16" i="112"/>
  <c r="L16" i="112" s="1"/>
  <c r="Z15" i="55" s="1"/>
  <c r="I17" i="112"/>
  <c r="J10" i="112"/>
  <c r="L10" i="112" s="1"/>
  <c r="Z9" i="55" s="1"/>
  <c r="I10" i="112"/>
  <c r="C10" i="112" a="1"/>
  <c r="D79" i="112" l="1"/>
  <c r="F79" i="112" s="1"/>
  <c r="N78" i="55" s="1"/>
  <c r="D75" i="112"/>
  <c r="F75" i="112" s="1"/>
  <c r="N74" i="55" s="1"/>
  <c r="D71" i="112"/>
  <c r="F71" i="112" s="1"/>
  <c r="N70" i="55" s="1"/>
  <c r="D67" i="112"/>
  <c r="F67" i="112" s="1"/>
  <c r="N66" i="55" s="1"/>
  <c r="C79" i="112"/>
  <c r="B79" i="112" s="1"/>
  <c r="M78" i="55" s="1"/>
  <c r="C75" i="112"/>
  <c r="B75" i="112" s="1"/>
  <c r="M74" i="55" s="1"/>
  <c r="C71" i="112"/>
  <c r="B71" i="112" s="1"/>
  <c r="M70" i="55" s="1"/>
  <c r="C67" i="112"/>
  <c r="B67" i="112" s="1"/>
  <c r="M66" i="55" s="1"/>
  <c r="D78" i="112"/>
  <c r="F78" i="112" s="1"/>
  <c r="N77" i="55" s="1"/>
  <c r="D74" i="112"/>
  <c r="F74" i="112" s="1"/>
  <c r="N73" i="55" s="1"/>
  <c r="D70" i="112"/>
  <c r="F70" i="112" s="1"/>
  <c r="N69" i="55" s="1"/>
  <c r="D66" i="112"/>
  <c r="F66" i="112" s="1"/>
  <c r="N65" i="55" s="1"/>
  <c r="D77" i="112"/>
  <c r="F77" i="112" s="1"/>
  <c r="N76" i="55" s="1"/>
  <c r="D73" i="112"/>
  <c r="F73" i="112" s="1"/>
  <c r="N72" i="55" s="1"/>
  <c r="D69" i="112"/>
  <c r="F69" i="112" s="1"/>
  <c r="N68" i="55" s="1"/>
  <c r="D65" i="112"/>
  <c r="F65" i="112" s="1"/>
  <c r="N64" i="55" s="1"/>
  <c r="D76" i="112"/>
  <c r="F76" i="112" s="1"/>
  <c r="N75" i="55" s="1"/>
  <c r="D72" i="112"/>
  <c r="F72" i="112" s="1"/>
  <c r="N71" i="55" s="1"/>
  <c r="D68" i="112"/>
  <c r="F68" i="112" s="1"/>
  <c r="N67" i="55" s="1"/>
  <c r="D64" i="112"/>
  <c r="F64" i="112" s="1"/>
  <c r="N63" i="55" s="1"/>
  <c r="C72" i="112"/>
  <c r="B72" i="112" s="1"/>
  <c r="M71" i="55" s="1"/>
  <c r="C64" i="112"/>
  <c r="B64" i="112" s="1"/>
  <c r="M63" i="55" s="1"/>
  <c r="D63" i="112"/>
  <c r="F63" i="112" s="1"/>
  <c r="N62" i="55" s="1"/>
  <c r="D59" i="112"/>
  <c r="F59" i="112" s="1"/>
  <c r="N58" i="55" s="1"/>
  <c r="D55" i="112"/>
  <c r="F55" i="112" s="1"/>
  <c r="N54" i="55" s="1"/>
  <c r="C78" i="112"/>
  <c r="B78" i="112" s="1"/>
  <c r="M77" i="55" s="1"/>
  <c r="C70" i="112"/>
  <c r="B70" i="112" s="1"/>
  <c r="M69" i="55" s="1"/>
  <c r="C63" i="112"/>
  <c r="B63" i="112" s="1"/>
  <c r="M62" i="55" s="1"/>
  <c r="C59" i="112"/>
  <c r="B59" i="112" s="1"/>
  <c r="M58" i="55" s="1"/>
  <c r="C55" i="112"/>
  <c r="B55" i="112" s="1"/>
  <c r="M54" i="55" s="1"/>
  <c r="D62" i="112"/>
  <c r="F62" i="112" s="1"/>
  <c r="N61" i="55" s="1"/>
  <c r="D58" i="112"/>
  <c r="F58" i="112" s="1"/>
  <c r="N57" i="55" s="1"/>
  <c r="D54" i="112"/>
  <c r="F54" i="112" s="1"/>
  <c r="N53" i="55" s="1"/>
  <c r="C76" i="112"/>
  <c r="B76" i="112" s="1"/>
  <c r="M75" i="55" s="1"/>
  <c r="C68" i="112"/>
  <c r="B68" i="112" s="1"/>
  <c r="M67" i="55" s="1"/>
  <c r="D61" i="112"/>
  <c r="F61" i="112" s="1"/>
  <c r="N60" i="55" s="1"/>
  <c r="D57" i="112"/>
  <c r="F57" i="112" s="1"/>
  <c r="N56" i="55" s="1"/>
  <c r="D60" i="112"/>
  <c r="F60" i="112" s="1"/>
  <c r="N59" i="55" s="1"/>
  <c r="D56" i="112"/>
  <c r="F56" i="112" s="1"/>
  <c r="N55" i="55" s="1"/>
  <c r="C61" i="112"/>
  <c r="B61" i="112" s="1"/>
  <c r="M60" i="55" s="1"/>
  <c r="C51" i="112"/>
  <c r="B51" i="112" s="1"/>
  <c r="M50" i="55" s="1"/>
  <c r="C47" i="112"/>
  <c r="B47" i="112" s="1"/>
  <c r="M46" i="55" s="1"/>
  <c r="C43" i="112"/>
  <c r="B43" i="112" s="1"/>
  <c r="M42" i="55" s="1"/>
  <c r="C60" i="112"/>
  <c r="B60" i="112" s="1"/>
  <c r="M59" i="55" s="1"/>
  <c r="C54" i="112"/>
  <c r="B54" i="112" s="1"/>
  <c r="M53" i="55" s="1"/>
  <c r="D50" i="112"/>
  <c r="F50" i="112" s="1"/>
  <c r="N49" i="55" s="1"/>
  <c r="D46" i="112"/>
  <c r="F46" i="112" s="1"/>
  <c r="N45" i="55" s="1"/>
  <c r="C66" i="112"/>
  <c r="B66" i="112" s="1"/>
  <c r="M65" i="55" s="1"/>
  <c r="C58" i="112"/>
  <c r="B58" i="112" s="1"/>
  <c r="M57" i="55" s="1"/>
  <c r="C50" i="112"/>
  <c r="B50" i="112" s="1"/>
  <c r="M49" i="55" s="1"/>
  <c r="C46" i="112"/>
  <c r="B46" i="112" s="1"/>
  <c r="M45" i="55" s="1"/>
  <c r="C69" i="112"/>
  <c r="B69" i="112" s="1"/>
  <c r="M68" i="55" s="1"/>
  <c r="C57" i="112"/>
  <c r="B57" i="112" s="1"/>
  <c r="M56" i="55" s="1"/>
  <c r="C49" i="112"/>
  <c r="B49" i="112" s="1"/>
  <c r="M48" i="55" s="1"/>
  <c r="C45" i="112"/>
  <c r="B45" i="112" s="1"/>
  <c r="M44" i="55" s="1"/>
  <c r="C73" i="112"/>
  <c r="B73" i="112" s="1"/>
  <c r="M72" i="55" s="1"/>
  <c r="C62" i="112"/>
  <c r="B62" i="112" s="1"/>
  <c r="M61" i="55" s="1"/>
  <c r="C53" i="112"/>
  <c r="B53" i="112" s="1"/>
  <c r="M52" i="55" s="1"/>
  <c r="C52" i="112"/>
  <c r="B52" i="112" s="1"/>
  <c r="M51" i="55" s="1"/>
  <c r="C48" i="112"/>
  <c r="B48" i="112" s="1"/>
  <c r="M47" i="55" s="1"/>
  <c r="C44" i="112"/>
  <c r="B44" i="112" s="1"/>
  <c r="M43" i="55" s="1"/>
  <c r="C74" i="112"/>
  <c r="B74" i="112" s="1"/>
  <c r="M73" i="55" s="1"/>
  <c r="C65" i="112"/>
  <c r="B65" i="112" s="1"/>
  <c r="M64" i="55" s="1"/>
  <c r="C56" i="112"/>
  <c r="B56" i="112" s="1"/>
  <c r="M55" i="55" s="1"/>
  <c r="D47" i="112"/>
  <c r="F47" i="112" s="1"/>
  <c r="N46" i="55" s="1"/>
  <c r="D42" i="112"/>
  <c r="F42" i="112" s="1"/>
  <c r="N41" i="55" s="1"/>
  <c r="D38" i="112"/>
  <c r="F38" i="112" s="1"/>
  <c r="N37" i="55" s="1"/>
  <c r="D34" i="112"/>
  <c r="F34" i="112" s="1"/>
  <c r="N33" i="55" s="1"/>
  <c r="D45" i="112"/>
  <c r="F45" i="112" s="1"/>
  <c r="N44" i="55" s="1"/>
  <c r="C42" i="112"/>
  <c r="B42" i="112" s="1"/>
  <c r="M41" i="55" s="1"/>
  <c r="C38" i="112"/>
  <c r="B38" i="112" s="1"/>
  <c r="M37" i="55" s="1"/>
  <c r="C34" i="112"/>
  <c r="B34" i="112" s="1"/>
  <c r="M33" i="55" s="1"/>
  <c r="D53" i="112"/>
  <c r="F53" i="112" s="1"/>
  <c r="N52" i="55" s="1"/>
  <c r="D52" i="112"/>
  <c r="F52" i="112" s="1"/>
  <c r="N51" i="55" s="1"/>
  <c r="D44" i="112"/>
  <c r="F44" i="112" s="1"/>
  <c r="N43" i="55" s="1"/>
  <c r="D41" i="112"/>
  <c r="F41" i="112" s="1"/>
  <c r="N40" i="55" s="1"/>
  <c r="D37" i="112"/>
  <c r="F37" i="112" s="1"/>
  <c r="N36" i="55" s="1"/>
  <c r="D33" i="112"/>
  <c r="F33" i="112" s="1"/>
  <c r="N32" i="55" s="1"/>
  <c r="C77" i="112"/>
  <c r="B77" i="112" s="1"/>
  <c r="M76" i="55" s="1"/>
  <c r="C41" i="112"/>
  <c r="B41" i="112" s="1"/>
  <c r="M40" i="55" s="1"/>
  <c r="C37" i="112"/>
  <c r="B37" i="112" s="1"/>
  <c r="M36" i="55" s="1"/>
  <c r="C33" i="112"/>
  <c r="D48" i="112"/>
  <c r="F48" i="112" s="1"/>
  <c r="N47" i="55" s="1"/>
  <c r="D39" i="112"/>
  <c r="F39" i="112" s="1"/>
  <c r="N38" i="55" s="1"/>
  <c r="D35" i="112"/>
  <c r="F35" i="112" s="1"/>
  <c r="N34" i="55" s="1"/>
  <c r="D40" i="112"/>
  <c r="F40" i="112" s="1"/>
  <c r="N39" i="55" s="1"/>
  <c r="C29" i="112"/>
  <c r="C25" i="112"/>
  <c r="C40" i="112"/>
  <c r="B40" i="112" s="1"/>
  <c r="M39" i="55" s="1"/>
  <c r="D32" i="112"/>
  <c r="F32" i="112" s="1"/>
  <c r="N31" i="55" s="1"/>
  <c r="D28" i="112"/>
  <c r="F28" i="112" s="1"/>
  <c r="N27" i="55" s="1"/>
  <c r="D24" i="112"/>
  <c r="F24" i="112" s="1"/>
  <c r="N23" i="55" s="1"/>
  <c r="C32" i="112"/>
  <c r="C28" i="112"/>
  <c r="C24" i="112"/>
  <c r="D49" i="112"/>
  <c r="F49" i="112" s="1"/>
  <c r="N48" i="55" s="1"/>
  <c r="D36" i="112"/>
  <c r="F36" i="112" s="1"/>
  <c r="N35" i="55" s="1"/>
  <c r="C31" i="112"/>
  <c r="C27" i="112"/>
  <c r="C23" i="112"/>
  <c r="C30" i="112"/>
  <c r="C26" i="112"/>
  <c r="C22" i="112"/>
  <c r="D29" i="112"/>
  <c r="F29" i="112" s="1"/>
  <c r="N28" i="55" s="1"/>
  <c r="C18" i="112"/>
  <c r="C14" i="112"/>
  <c r="D27" i="112"/>
  <c r="F27" i="112" s="1"/>
  <c r="N26" i="55" s="1"/>
  <c r="D22" i="112"/>
  <c r="F22" i="112" s="1"/>
  <c r="N21" i="55" s="1"/>
  <c r="D17" i="112"/>
  <c r="F17" i="112" s="1"/>
  <c r="N16" i="55" s="1"/>
  <c r="D13" i="112"/>
  <c r="F13" i="112" s="1"/>
  <c r="N12" i="55" s="1"/>
  <c r="D20" i="112"/>
  <c r="F20" i="112" s="1"/>
  <c r="N19" i="55" s="1"/>
  <c r="D16" i="112"/>
  <c r="F16" i="112" s="1"/>
  <c r="N15" i="55" s="1"/>
  <c r="D43" i="112"/>
  <c r="F43" i="112" s="1"/>
  <c r="N42" i="55" s="1"/>
  <c r="D31" i="112"/>
  <c r="F31" i="112" s="1"/>
  <c r="N30" i="55" s="1"/>
  <c r="D23" i="112"/>
  <c r="F23" i="112" s="1"/>
  <c r="N22" i="55" s="1"/>
  <c r="C21" i="112"/>
  <c r="D19" i="112"/>
  <c r="F19" i="112" s="1"/>
  <c r="N18" i="55" s="1"/>
  <c r="D15" i="112"/>
  <c r="F15" i="112" s="1"/>
  <c r="N14" i="55" s="1"/>
  <c r="D11" i="112"/>
  <c r="F11" i="112" s="1"/>
  <c r="N10" i="55" s="1"/>
  <c r="C36" i="112"/>
  <c r="B36" i="112" s="1"/>
  <c r="M35" i="55" s="1"/>
  <c r="D30" i="112"/>
  <c r="F30" i="112" s="1"/>
  <c r="N29" i="55" s="1"/>
  <c r="C20" i="112"/>
  <c r="C16" i="112"/>
  <c r="D14" i="112"/>
  <c r="F14" i="112" s="1"/>
  <c r="N13" i="55" s="1"/>
  <c r="C39" i="112"/>
  <c r="B39" i="112" s="1"/>
  <c r="M38" i="55" s="1"/>
  <c r="C17" i="112"/>
  <c r="C19" i="112"/>
  <c r="D21" i="112"/>
  <c r="F21" i="112" s="1"/>
  <c r="N20" i="55" s="1"/>
  <c r="C13" i="112"/>
  <c r="D18" i="112"/>
  <c r="F18" i="112" s="1"/>
  <c r="N17" i="55" s="1"/>
  <c r="C15" i="112"/>
  <c r="C35" i="112"/>
  <c r="B35" i="112" s="1"/>
  <c r="M34" i="55" s="1"/>
  <c r="C11" i="112"/>
  <c r="D51" i="112"/>
  <c r="F51" i="112" s="1"/>
  <c r="N50" i="55" s="1"/>
  <c r="D26" i="112"/>
  <c r="F26" i="112" s="1"/>
  <c r="N25" i="55" s="1"/>
  <c r="D12" i="112"/>
  <c r="F12" i="112" s="1"/>
  <c r="N11" i="55" s="1"/>
  <c r="D25" i="112"/>
  <c r="F25" i="112" s="1"/>
  <c r="N24" i="55" s="1"/>
  <c r="C12" i="112"/>
  <c r="D10" i="112"/>
  <c r="F10" i="112" s="1"/>
  <c r="N9" i="55" s="1"/>
  <c r="C10" i="112"/>
  <c r="AM334" i="137" a="1"/>
  <c r="Q43" i="55" l="1"/>
  <c r="P43" i="55"/>
  <c r="O43" i="55"/>
  <c r="Q58" i="55"/>
  <c r="P58" i="55"/>
  <c r="O58" i="55"/>
  <c r="O34" i="55"/>
  <c r="Q34" i="55"/>
  <c r="P34" i="55"/>
  <c r="Q68" i="55"/>
  <c r="P68" i="55"/>
  <c r="O68" i="55"/>
  <c r="O35" i="55"/>
  <c r="Q35" i="55"/>
  <c r="P35" i="55"/>
  <c r="Q40" i="55"/>
  <c r="O40" i="55"/>
  <c r="P40" i="55"/>
  <c r="Q33" i="55"/>
  <c r="O33" i="55"/>
  <c r="P33" i="55"/>
  <c r="Q55" i="55"/>
  <c r="P55" i="55"/>
  <c r="O55" i="55"/>
  <c r="Q72" i="55"/>
  <c r="O72" i="55"/>
  <c r="P72" i="55"/>
  <c r="Q65" i="55"/>
  <c r="O65" i="55"/>
  <c r="P65" i="55"/>
  <c r="Q60" i="55"/>
  <c r="P60" i="55"/>
  <c r="O60" i="55"/>
  <c r="Q66" i="55"/>
  <c r="P66" i="55"/>
  <c r="O66" i="55"/>
  <c r="Q53" i="55"/>
  <c r="P53" i="55"/>
  <c r="O53" i="55"/>
  <c r="Q76" i="55"/>
  <c r="P76" i="55"/>
  <c r="O76" i="55"/>
  <c r="Q37" i="55"/>
  <c r="O37" i="55"/>
  <c r="P37" i="55"/>
  <c r="Q64" i="55"/>
  <c r="O64" i="55"/>
  <c r="P64" i="55"/>
  <c r="Q44" i="55"/>
  <c r="P44" i="55"/>
  <c r="O44" i="55"/>
  <c r="Q70" i="55"/>
  <c r="P70" i="55"/>
  <c r="O70" i="55"/>
  <c r="Q56" i="55"/>
  <c r="P56" i="55"/>
  <c r="O56" i="55"/>
  <c r="Q78" i="55"/>
  <c r="P78" i="55"/>
  <c r="O78" i="55"/>
  <c r="Q47" i="55"/>
  <c r="O47" i="55"/>
  <c r="P47" i="55"/>
  <c r="Q41" i="55"/>
  <c r="O41" i="55"/>
  <c r="P41" i="55"/>
  <c r="Q73" i="55"/>
  <c r="O73" i="55"/>
  <c r="P73" i="55"/>
  <c r="Q48" i="55"/>
  <c r="O48" i="55"/>
  <c r="P48" i="55"/>
  <c r="Q54" i="55"/>
  <c r="P54" i="55"/>
  <c r="O54" i="55"/>
  <c r="Q63" i="55"/>
  <c r="P63" i="55"/>
  <c r="O63" i="55"/>
  <c r="Q74" i="55"/>
  <c r="P74" i="55"/>
  <c r="O74" i="55"/>
  <c r="Q59" i="55"/>
  <c r="P59" i="55"/>
  <c r="O59" i="55"/>
  <c r="Q51" i="55"/>
  <c r="P51" i="55"/>
  <c r="O51" i="55"/>
  <c r="Q45" i="55"/>
  <c r="P45" i="55"/>
  <c r="O45" i="55"/>
  <c r="Q42" i="55"/>
  <c r="P42" i="55"/>
  <c r="O42" i="55"/>
  <c r="Q67" i="55"/>
  <c r="P67" i="55"/>
  <c r="O67" i="55"/>
  <c r="Q69" i="55"/>
  <c r="P69" i="55"/>
  <c r="O69" i="55"/>
  <c r="Q71" i="55"/>
  <c r="P71" i="55"/>
  <c r="O71" i="55"/>
  <c r="Q52" i="55"/>
  <c r="P52" i="55"/>
  <c r="O52" i="55"/>
  <c r="Q49" i="55"/>
  <c r="O49" i="55"/>
  <c r="P49" i="55"/>
  <c r="Q46" i="55"/>
  <c r="P46" i="55"/>
  <c r="O46" i="55"/>
  <c r="Q75" i="55"/>
  <c r="P75" i="55"/>
  <c r="O75" i="55"/>
  <c r="Q77" i="55"/>
  <c r="P77" i="55"/>
  <c r="O77" i="55"/>
  <c r="Q38" i="55"/>
  <c r="O38" i="55"/>
  <c r="P38" i="55"/>
  <c r="Q62" i="55"/>
  <c r="P62" i="55"/>
  <c r="O62" i="55"/>
  <c r="Q39" i="55"/>
  <c r="O39" i="55"/>
  <c r="P39" i="55"/>
  <c r="Q36" i="55"/>
  <c r="O36" i="55"/>
  <c r="P36" i="55"/>
  <c r="Q61" i="55"/>
  <c r="P61" i="55"/>
  <c r="O61" i="55"/>
  <c r="Q57" i="55"/>
  <c r="O57" i="55"/>
  <c r="P57" i="55"/>
  <c r="Q50" i="55"/>
  <c r="P50" i="55"/>
  <c r="O50" i="55"/>
  <c r="AM433" i="137"/>
  <c r="AM429" i="137"/>
  <c r="AM425" i="137"/>
  <c r="AM421" i="137"/>
  <c r="AM417" i="137"/>
  <c r="AM413" i="137"/>
  <c r="AM409" i="137"/>
  <c r="AM405" i="137"/>
  <c r="AM401" i="137"/>
  <c r="AM397" i="137"/>
  <c r="AM393" i="137"/>
  <c r="AM389" i="137"/>
  <c r="AM385" i="137"/>
  <c r="AM381" i="137"/>
  <c r="AM377" i="137"/>
  <c r="AM373" i="137"/>
  <c r="AM369" i="137"/>
  <c r="AM365" i="137"/>
  <c r="AM361" i="137"/>
  <c r="AM357" i="137"/>
  <c r="AM353" i="137"/>
  <c r="AM349" i="137"/>
  <c r="AM345" i="137"/>
  <c r="AM341" i="137"/>
  <c r="AM337" i="137"/>
  <c r="AM430" i="137"/>
  <c r="AM426" i="137"/>
  <c r="AM422" i="137"/>
  <c r="AM418" i="137"/>
  <c r="AM414" i="137"/>
  <c r="AM410" i="137"/>
  <c r="AM406" i="137"/>
  <c r="AM402" i="137"/>
  <c r="AM398" i="137"/>
  <c r="AM394" i="137"/>
  <c r="AM390" i="137"/>
  <c r="AM386" i="137"/>
  <c r="AM382" i="137"/>
  <c r="AM378" i="137"/>
  <c r="AM374" i="137"/>
  <c r="AM370" i="137"/>
  <c r="AM366" i="137"/>
  <c r="AM362" i="137"/>
  <c r="AM358" i="137"/>
  <c r="AM354" i="137"/>
  <c r="AM350" i="137"/>
  <c r="AM346" i="137"/>
  <c r="AM342" i="137"/>
  <c r="AM338" i="137"/>
  <c r="AM334" i="137"/>
  <c r="AM432" i="137"/>
  <c r="AM428" i="137"/>
  <c r="AM424" i="137"/>
  <c r="AM420" i="137"/>
  <c r="AM416" i="137"/>
  <c r="AM412" i="137"/>
  <c r="AM408" i="137"/>
  <c r="AM404" i="137"/>
  <c r="AM400" i="137"/>
  <c r="AM396" i="137"/>
  <c r="AM392" i="137"/>
  <c r="AM388" i="137"/>
  <c r="AM384" i="137"/>
  <c r="AM380" i="137"/>
  <c r="AM376" i="137"/>
  <c r="AM372" i="137"/>
  <c r="AM368" i="137"/>
  <c r="AM364" i="137"/>
  <c r="AM360" i="137"/>
  <c r="AM356" i="137"/>
  <c r="AM352" i="137"/>
  <c r="AM348" i="137"/>
  <c r="AM344" i="137"/>
  <c r="AM340" i="137"/>
  <c r="AM336" i="137"/>
  <c r="AM423" i="137"/>
  <c r="AM411" i="137"/>
  <c r="AM379" i="137"/>
  <c r="AM371" i="137"/>
  <c r="AM431" i="137"/>
  <c r="AM403" i="137"/>
  <c r="AM395" i="137"/>
  <c r="AM363" i="137"/>
  <c r="AM355" i="137"/>
  <c r="AM347" i="137"/>
  <c r="AM339" i="137"/>
  <c r="AM335" i="137"/>
  <c r="AM427" i="137"/>
  <c r="AM387" i="137"/>
  <c r="AM419" i="137"/>
  <c r="AM415" i="137"/>
  <c r="AM407" i="137"/>
  <c r="AM399" i="137"/>
  <c r="AM391" i="137"/>
  <c r="AM383" i="137"/>
  <c r="AM375" i="137"/>
  <c r="AM367" i="137"/>
  <c r="AM359" i="137"/>
  <c r="AM351" i="137"/>
  <c r="AM343" i="137"/>
  <c r="AF334" i="137" a="1"/>
  <c r="AF432" i="137" l="1"/>
  <c r="AF429" i="137"/>
  <c r="AF425" i="137"/>
  <c r="AF421" i="137"/>
  <c r="AF433" i="137"/>
  <c r="AF431" i="137"/>
  <c r="AF427" i="137"/>
  <c r="AF423" i="137"/>
  <c r="AF419" i="137"/>
  <c r="AF415" i="137"/>
  <c r="AF411" i="137"/>
  <c r="AF407" i="137"/>
  <c r="AF403" i="137"/>
  <c r="AF399" i="137"/>
  <c r="AF395" i="137"/>
  <c r="AF391" i="137"/>
  <c r="AF387" i="137"/>
  <c r="AF383" i="137"/>
  <c r="AF379" i="137"/>
  <c r="AF375" i="137"/>
  <c r="AF371" i="137"/>
  <c r="AF367" i="137"/>
  <c r="AF363" i="137"/>
  <c r="AF359" i="137"/>
  <c r="AF355" i="137"/>
  <c r="AF351" i="137"/>
  <c r="AF347" i="137"/>
  <c r="AF343" i="137"/>
  <c r="AF339" i="137"/>
  <c r="AF335" i="137"/>
  <c r="AF428" i="137"/>
  <c r="AF416" i="137"/>
  <c r="AF424" i="137"/>
  <c r="AF420" i="137"/>
  <c r="AF418" i="137"/>
  <c r="AF412" i="137"/>
  <c r="AF404" i="137"/>
  <c r="AF396" i="137"/>
  <c r="AF388" i="137"/>
  <c r="AF380" i="137"/>
  <c r="AF372" i="137"/>
  <c r="AF364" i="137"/>
  <c r="AF356" i="137"/>
  <c r="AF348" i="137"/>
  <c r="AF340" i="137"/>
  <c r="AF408" i="137"/>
  <c r="AF400" i="137"/>
  <c r="AF392" i="137"/>
  <c r="AF384" i="137"/>
  <c r="AF376" i="137"/>
  <c r="AF368" i="137"/>
  <c r="AF360" i="137"/>
  <c r="AF352" i="137"/>
  <c r="AF344" i="137"/>
  <c r="AF336" i="137"/>
  <c r="AF413" i="137"/>
  <c r="AF405" i="137"/>
  <c r="AF397" i="137"/>
  <c r="AF389" i="137"/>
  <c r="AF381" i="137"/>
  <c r="AF373" i="137"/>
  <c r="AF365" i="137"/>
  <c r="AF357" i="137"/>
  <c r="AF422" i="137"/>
  <c r="AF409" i="137"/>
  <c r="AF401" i="137"/>
  <c r="AF393" i="137"/>
  <c r="AF385" i="137"/>
  <c r="AF377" i="137"/>
  <c r="AF369" i="137"/>
  <c r="AF361" i="137"/>
  <c r="AF353" i="137"/>
  <c r="AF345" i="137"/>
  <c r="AF337" i="137"/>
  <c r="AF350" i="137"/>
  <c r="AF342" i="137"/>
  <c r="AF426" i="137"/>
  <c r="AF430" i="137"/>
  <c r="AF349" i="137"/>
  <c r="AF341" i="137"/>
  <c r="AF417" i="137"/>
  <c r="AF414" i="137"/>
  <c r="AF406" i="137"/>
  <c r="AF398" i="137"/>
  <c r="AF390" i="137"/>
  <c r="AF382" i="137"/>
  <c r="AF374" i="137"/>
  <c r="AF366" i="137"/>
  <c r="AF358" i="137"/>
  <c r="AF410" i="137"/>
  <c r="AF402" i="137"/>
  <c r="AF394" i="137"/>
  <c r="AF386" i="137"/>
  <c r="AF378" i="137"/>
  <c r="AF370" i="137"/>
  <c r="AF362" i="137"/>
  <c r="AF354" i="137"/>
  <c r="AF346" i="137"/>
  <c r="AF338" i="137"/>
  <c r="AF334" i="137"/>
  <c r="Y334" i="137" a="1"/>
  <c r="Y432" i="137" l="1"/>
  <c r="Y428" i="137"/>
  <c r="Y424" i="137"/>
  <c r="Y420" i="137"/>
  <c r="Y416" i="137"/>
  <c r="Y412" i="137"/>
  <c r="Y408" i="137"/>
  <c r="Y404" i="137"/>
  <c r="Y400" i="137"/>
  <c r="Y396" i="137"/>
  <c r="Y392" i="137"/>
  <c r="Y388" i="137"/>
  <c r="Y384" i="137"/>
  <c r="Y380" i="137"/>
  <c r="Y376" i="137"/>
  <c r="Y372" i="137"/>
  <c r="Y368" i="137"/>
  <c r="Y364" i="137"/>
  <c r="Y360" i="137"/>
  <c r="Y356" i="137"/>
  <c r="Y352" i="137"/>
  <c r="Y348" i="137"/>
  <c r="Y344" i="137"/>
  <c r="Y340" i="137"/>
  <c r="Y336" i="137"/>
  <c r="Y433" i="137"/>
  <c r="Y429" i="137"/>
  <c r="Y425" i="137"/>
  <c r="Y421" i="137"/>
  <c r="Y417" i="137"/>
  <c r="Y413" i="137"/>
  <c r="Y409" i="137"/>
  <c r="Y405" i="137"/>
  <c r="Y401" i="137"/>
  <c r="Y397" i="137"/>
  <c r="Y393" i="137"/>
  <c r="Y389" i="137"/>
  <c r="Y385" i="137"/>
  <c r="Y381" i="137"/>
  <c r="Y377" i="137"/>
  <c r="Y373" i="137"/>
  <c r="Y369" i="137"/>
  <c r="Y365" i="137"/>
  <c r="Y361" i="137"/>
  <c r="Y357" i="137"/>
  <c r="Y353" i="137"/>
  <c r="Y349" i="137"/>
  <c r="Y345" i="137"/>
  <c r="Y341" i="137"/>
  <c r="Y337" i="137"/>
  <c r="Y431" i="137"/>
  <c r="Y427" i="137"/>
  <c r="Y423" i="137"/>
  <c r="Y419" i="137"/>
  <c r="Y415" i="137"/>
  <c r="Y411" i="137"/>
  <c r="Y407" i="137"/>
  <c r="Y403" i="137"/>
  <c r="Y399" i="137"/>
  <c r="Y395" i="137"/>
  <c r="Y391" i="137"/>
  <c r="Y387" i="137"/>
  <c r="Y383" i="137"/>
  <c r="Y379" i="137"/>
  <c r="Y375" i="137"/>
  <c r="Y371" i="137"/>
  <c r="Y367" i="137"/>
  <c r="Y363" i="137"/>
  <c r="Y359" i="137"/>
  <c r="Y355" i="137"/>
  <c r="Y351" i="137"/>
  <c r="Y347" i="137"/>
  <c r="Y343" i="137"/>
  <c r="Y339" i="137"/>
  <c r="Y335" i="137"/>
  <c r="Y406" i="137"/>
  <c r="Y398" i="137"/>
  <c r="Y366" i="137"/>
  <c r="Y358" i="137"/>
  <c r="Y418" i="137"/>
  <c r="Y414" i="137"/>
  <c r="Y390" i="137"/>
  <c r="Y382" i="137"/>
  <c r="Y426" i="137"/>
  <c r="Y422" i="137"/>
  <c r="Y374" i="137"/>
  <c r="Y350" i="137"/>
  <c r="Y342" i="137"/>
  <c r="Y430" i="137"/>
  <c r="Y410" i="137"/>
  <c r="Y402" i="137"/>
  <c r="Y394" i="137"/>
  <c r="Y386" i="137"/>
  <c r="Y378" i="137"/>
  <c r="Y370" i="137"/>
  <c r="Y362" i="137"/>
  <c r="Y354" i="137"/>
  <c r="Y346" i="137"/>
  <c r="Y338" i="137"/>
  <c r="Y334" i="137"/>
  <c r="R334" i="137" a="1"/>
  <c r="R432" i="137" l="1"/>
  <c r="R428" i="137"/>
  <c r="R424" i="137"/>
  <c r="R420" i="137"/>
  <c r="R430" i="137"/>
  <c r="R426" i="137"/>
  <c r="R422" i="137"/>
  <c r="R418" i="137"/>
  <c r="R414" i="137"/>
  <c r="R410" i="137"/>
  <c r="R406" i="137"/>
  <c r="R402" i="137"/>
  <c r="R398" i="137"/>
  <c r="R394" i="137"/>
  <c r="R390" i="137"/>
  <c r="R386" i="137"/>
  <c r="R382" i="137"/>
  <c r="R378" i="137"/>
  <c r="R374" i="137"/>
  <c r="R370" i="137"/>
  <c r="R366" i="137"/>
  <c r="R362" i="137"/>
  <c r="R358" i="137"/>
  <c r="R354" i="137"/>
  <c r="R350" i="137"/>
  <c r="R346" i="137"/>
  <c r="R342" i="137"/>
  <c r="R338" i="137"/>
  <c r="R423" i="137"/>
  <c r="R419" i="137"/>
  <c r="R431" i="137"/>
  <c r="R427" i="137"/>
  <c r="R415" i="137"/>
  <c r="R407" i="137"/>
  <c r="R399" i="137"/>
  <c r="R391" i="137"/>
  <c r="R383" i="137"/>
  <c r="R375" i="137"/>
  <c r="R367" i="137"/>
  <c r="R359" i="137"/>
  <c r="R351" i="137"/>
  <c r="R343" i="137"/>
  <c r="R335" i="137"/>
  <c r="R417" i="137"/>
  <c r="R336" i="137"/>
  <c r="R433" i="137"/>
  <c r="R412" i="137"/>
  <c r="R404" i="137"/>
  <c r="R396" i="137"/>
  <c r="R388" i="137"/>
  <c r="R380" i="137"/>
  <c r="R372" i="137"/>
  <c r="R364" i="137"/>
  <c r="R356" i="137"/>
  <c r="R348" i="137"/>
  <c r="R340" i="137"/>
  <c r="R337" i="137"/>
  <c r="R416" i="137"/>
  <c r="R409" i="137"/>
  <c r="R401" i="137"/>
  <c r="R393" i="137"/>
  <c r="R385" i="137"/>
  <c r="R377" i="137"/>
  <c r="R369" i="137"/>
  <c r="R361" i="137"/>
  <c r="R353" i="137"/>
  <c r="R345" i="137"/>
  <c r="R421" i="137"/>
  <c r="R411" i="137"/>
  <c r="R403" i="137"/>
  <c r="R395" i="137"/>
  <c r="R387" i="137"/>
  <c r="R379" i="137"/>
  <c r="R371" i="137"/>
  <c r="R363" i="137"/>
  <c r="R355" i="137"/>
  <c r="R347" i="137"/>
  <c r="R339" i="137"/>
  <c r="R425" i="137"/>
  <c r="R408" i="137"/>
  <c r="R400" i="137"/>
  <c r="R392" i="137"/>
  <c r="R384" i="137"/>
  <c r="R376" i="137"/>
  <c r="R368" i="137"/>
  <c r="R360" i="137"/>
  <c r="R352" i="137"/>
  <c r="R344" i="137"/>
  <c r="R413" i="137"/>
  <c r="R405" i="137"/>
  <c r="R397" i="137"/>
  <c r="R389" i="137"/>
  <c r="R381" i="137"/>
  <c r="R373" i="137"/>
  <c r="R365" i="137"/>
  <c r="R357" i="137"/>
  <c r="R349" i="137"/>
  <c r="R341" i="137"/>
  <c r="R429" i="137"/>
  <c r="R334" i="137"/>
  <c r="I334" i="137" a="1"/>
  <c r="I431" i="137" l="1"/>
  <c r="I427" i="137"/>
  <c r="I423" i="137"/>
  <c r="I419" i="137"/>
  <c r="I415" i="137"/>
  <c r="I411" i="137"/>
  <c r="I407" i="137"/>
  <c r="I403" i="137"/>
  <c r="I399" i="137"/>
  <c r="I395" i="137"/>
  <c r="I391" i="137"/>
  <c r="I387" i="137"/>
  <c r="I383" i="137"/>
  <c r="I379" i="137"/>
  <c r="I375" i="137"/>
  <c r="I371" i="137"/>
  <c r="I367" i="137"/>
  <c r="I363" i="137"/>
  <c r="I359" i="137"/>
  <c r="I355" i="137"/>
  <c r="I351" i="137"/>
  <c r="I347" i="137"/>
  <c r="I343" i="137"/>
  <c r="I339" i="137"/>
  <c r="I335" i="137"/>
  <c r="I432" i="137"/>
  <c r="I428" i="137"/>
  <c r="I424" i="137"/>
  <c r="I420" i="137"/>
  <c r="I416" i="137"/>
  <c r="I412" i="137"/>
  <c r="I408" i="137"/>
  <c r="I404" i="137"/>
  <c r="I400" i="137"/>
  <c r="I396" i="137"/>
  <c r="I392" i="137"/>
  <c r="I388" i="137"/>
  <c r="I384" i="137"/>
  <c r="I380" i="137"/>
  <c r="I376" i="137"/>
  <c r="I372" i="137"/>
  <c r="I368" i="137"/>
  <c r="I364" i="137"/>
  <c r="I360" i="137"/>
  <c r="I356" i="137"/>
  <c r="I352" i="137"/>
  <c r="I348" i="137"/>
  <c r="I344" i="137"/>
  <c r="I340" i="137"/>
  <c r="I336" i="137"/>
  <c r="I430" i="137"/>
  <c r="I426" i="137"/>
  <c r="I422" i="137"/>
  <c r="I418" i="137"/>
  <c r="I414" i="137"/>
  <c r="I410" i="137"/>
  <c r="I406" i="137"/>
  <c r="I402" i="137"/>
  <c r="I398" i="137"/>
  <c r="I394" i="137"/>
  <c r="I390" i="137"/>
  <c r="I386" i="137"/>
  <c r="I382" i="137"/>
  <c r="I378" i="137"/>
  <c r="I374" i="137"/>
  <c r="I370" i="137"/>
  <c r="I366" i="137"/>
  <c r="I362" i="137"/>
  <c r="I358" i="137"/>
  <c r="I354" i="137"/>
  <c r="I350" i="137"/>
  <c r="I346" i="137"/>
  <c r="I342" i="137"/>
  <c r="I338" i="137"/>
  <c r="I429" i="137"/>
  <c r="I393" i="137"/>
  <c r="I385" i="137"/>
  <c r="I353" i="137"/>
  <c r="I345" i="137"/>
  <c r="I417" i="137"/>
  <c r="I409" i="137"/>
  <c r="I377" i="137"/>
  <c r="I369" i="137"/>
  <c r="I433" i="137"/>
  <c r="I401" i="137"/>
  <c r="I361" i="137"/>
  <c r="I337" i="137"/>
  <c r="I421" i="137"/>
  <c r="I425" i="137"/>
  <c r="I413" i="137"/>
  <c r="I405" i="137"/>
  <c r="I397" i="137"/>
  <c r="I389" i="137"/>
  <c r="I381" i="137"/>
  <c r="I373" i="137"/>
  <c r="I365" i="137"/>
  <c r="I357" i="137"/>
  <c r="I349" i="137"/>
  <c r="I341" i="137"/>
  <c r="I334" i="137"/>
  <c r="B334" i="137" a="1"/>
  <c r="B431" i="137" l="1"/>
  <c r="B427" i="137"/>
  <c r="B423" i="137"/>
  <c r="B433" i="137"/>
  <c r="B429" i="137"/>
  <c r="B425" i="137"/>
  <c r="B421" i="137"/>
  <c r="B417" i="137"/>
  <c r="B413" i="137"/>
  <c r="B409" i="137"/>
  <c r="B405" i="137"/>
  <c r="B401" i="137"/>
  <c r="B397" i="137"/>
  <c r="B393" i="137"/>
  <c r="B389" i="137"/>
  <c r="B385" i="137"/>
  <c r="B381" i="137"/>
  <c r="B377" i="137"/>
  <c r="B373" i="137"/>
  <c r="B369" i="137"/>
  <c r="B365" i="137"/>
  <c r="B361" i="137"/>
  <c r="B357" i="137"/>
  <c r="B353" i="137"/>
  <c r="B349" i="137"/>
  <c r="B345" i="137"/>
  <c r="B341" i="137"/>
  <c r="B337" i="137"/>
  <c r="B430" i="137"/>
  <c r="B426" i="137"/>
  <c r="B422" i="137"/>
  <c r="B418" i="137"/>
  <c r="B410" i="137"/>
  <c r="B402" i="137"/>
  <c r="B394" i="137"/>
  <c r="B386" i="137"/>
  <c r="B378" i="137"/>
  <c r="B370" i="137"/>
  <c r="B362" i="137"/>
  <c r="B354" i="137"/>
  <c r="B346" i="137"/>
  <c r="B338" i="137"/>
  <c r="B348" i="137"/>
  <c r="B340" i="137"/>
  <c r="B432" i="137"/>
  <c r="B420" i="137"/>
  <c r="B347" i="137"/>
  <c r="B428" i="137"/>
  <c r="B415" i="137"/>
  <c r="B407" i="137"/>
  <c r="B399" i="137"/>
  <c r="B391" i="137"/>
  <c r="B383" i="137"/>
  <c r="B375" i="137"/>
  <c r="B367" i="137"/>
  <c r="B359" i="137"/>
  <c r="B351" i="137"/>
  <c r="B343" i="137"/>
  <c r="B335" i="137"/>
  <c r="B414" i="137"/>
  <c r="B406" i="137"/>
  <c r="B398" i="137"/>
  <c r="B390" i="137"/>
  <c r="B382" i="137"/>
  <c r="B374" i="137"/>
  <c r="B366" i="137"/>
  <c r="B358" i="137"/>
  <c r="B350" i="137"/>
  <c r="B342" i="137"/>
  <c r="B411" i="137"/>
  <c r="B403" i="137"/>
  <c r="B395" i="137"/>
  <c r="B387" i="137"/>
  <c r="B379" i="137"/>
  <c r="B371" i="137"/>
  <c r="B363" i="137"/>
  <c r="B355" i="137"/>
  <c r="B412" i="137"/>
  <c r="B404" i="137"/>
  <c r="B396" i="137"/>
  <c r="B388" i="137"/>
  <c r="B380" i="137"/>
  <c r="B372" i="137"/>
  <c r="B364" i="137"/>
  <c r="B356" i="137"/>
  <c r="B339" i="137"/>
  <c r="B416" i="137"/>
  <c r="B408" i="137"/>
  <c r="B400" i="137"/>
  <c r="B392" i="137"/>
  <c r="B384" i="137"/>
  <c r="B376" i="137"/>
  <c r="B368" i="137"/>
  <c r="B360" i="137"/>
  <c r="B352" i="137"/>
  <c r="B344" i="137"/>
  <c r="B336" i="137"/>
  <c r="B424" i="137"/>
  <c r="B419" i="137"/>
  <c r="B334" i="137"/>
  <c r="AM227" i="137" a="1"/>
  <c r="AM324" i="137" l="1"/>
  <c r="AM320" i="137"/>
  <c r="AM316" i="137"/>
  <c r="AM312" i="137"/>
  <c r="AM308" i="137"/>
  <c r="AM304" i="137"/>
  <c r="AM300" i="137"/>
  <c r="AM296" i="137"/>
  <c r="AM292" i="137"/>
  <c r="AM288" i="137"/>
  <c r="AM284" i="137"/>
  <c r="AM280" i="137"/>
  <c r="AM276" i="137"/>
  <c r="AM272" i="137"/>
  <c r="AM268" i="137"/>
  <c r="AM264" i="137"/>
  <c r="AM260" i="137"/>
  <c r="AM256" i="137"/>
  <c r="AM252" i="137"/>
  <c r="AM248" i="137"/>
  <c r="AM244" i="137"/>
  <c r="AM240" i="137"/>
  <c r="AM236" i="137"/>
  <c r="AM232" i="137"/>
  <c r="AM228" i="137"/>
  <c r="AM301" i="137"/>
  <c r="AM297" i="137"/>
  <c r="AM285" i="137"/>
  <c r="AM273" i="137"/>
  <c r="AM293" i="137"/>
  <c r="AM289" i="137"/>
  <c r="AM281" i="137"/>
  <c r="AM325" i="137"/>
  <c r="AM321" i="137"/>
  <c r="AM317" i="137"/>
  <c r="AM313" i="137"/>
  <c r="AM309" i="137"/>
  <c r="AM305" i="137"/>
  <c r="AM323" i="137"/>
  <c r="AM319" i="137"/>
  <c r="AM315" i="137"/>
  <c r="AM311" i="137"/>
  <c r="AM307" i="137"/>
  <c r="AM303" i="137"/>
  <c r="AM299" i="137"/>
  <c r="AM295" i="137"/>
  <c r="AM291" i="137"/>
  <c r="AM287" i="137"/>
  <c r="AM283" i="137"/>
  <c r="AM279" i="137"/>
  <c r="AM275" i="137"/>
  <c r="AM271" i="137"/>
  <c r="AM267" i="137"/>
  <c r="AM263" i="137"/>
  <c r="AM259" i="137"/>
  <c r="AM255" i="137"/>
  <c r="AM251" i="137"/>
  <c r="AM247" i="137"/>
  <c r="AM243" i="137"/>
  <c r="AM239" i="137"/>
  <c r="AM235" i="137"/>
  <c r="AM231" i="137"/>
  <c r="AM227" i="137"/>
  <c r="AM254" i="137"/>
  <c r="AM241" i="137"/>
  <c r="AM310" i="137"/>
  <c r="AM286" i="137"/>
  <c r="AM262" i="137"/>
  <c r="AM249" i="137"/>
  <c r="AM258" i="137"/>
  <c r="AM245" i="137"/>
  <c r="AM318" i="137"/>
  <c r="AM302" i="137"/>
  <c r="AM294" i="137"/>
  <c r="AM278" i="137"/>
  <c r="AM230" i="137"/>
  <c r="AM266" i="137"/>
  <c r="AM253" i="137"/>
  <c r="AM322" i="137"/>
  <c r="AM314" i="137"/>
  <c r="AM306" i="137"/>
  <c r="AM298" i="137"/>
  <c r="AM290" i="137"/>
  <c r="AM282" i="137"/>
  <c r="AM265" i="137"/>
  <c r="AM246" i="137"/>
  <c r="AM233" i="137"/>
  <c r="AM274" i="137"/>
  <c r="AM269" i="137"/>
  <c r="AM250" i="137"/>
  <c r="AM237" i="137"/>
  <c r="AM234" i="137"/>
  <c r="AM277" i="137"/>
  <c r="AM242" i="137"/>
  <c r="AM257" i="137"/>
  <c r="AM326" i="137"/>
  <c r="AM238" i="137"/>
  <c r="AM270" i="137"/>
  <c r="AM261" i="137"/>
  <c r="AM229" i="137"/>
  <c r="AF227" i="137" a="1"/>
  <c r="AF324" i="137" l="1"/>
  <c r="AF320" i="137"/>
  <c r="AF316" i="137"/>
  <c r="AF312" i="137"/>
  <c r="AF308" i="137"/>
  <c r="AF304" i="137"/>
  <c r="AF300" i="137"/>
  <c r="AF296" i="137"/>
  <c r="AF292" i="137"/>
  <c r="AF288" i="137"/>
  <c r="AF284" i="137"/>
  <c r="AF280" i="137"/>
  <c r="AF276" i="137"/>
  <c r="AF272" i="137"/>
  <c r="AF268" i="137"/>
  <c r="AF264" i="137"/>
  <c r="AF260" i="137"/>
  <c r="AF256" i="137"/>
  <c r="AF252" i="137"/>
  <c r="AF248" i="137"/>
  <c r="AF244" i="137"/>
  <c r="AF240" i="137"/>
  <c r="AF236" i="137"/>
  <c r="AF232" i="137"/>
  <c r="AF228" i="137"/>
  <c r="AF319" i="137"/>
  <c r="AF311" i="137"/>
  <c r="AF303" i="137"/>
  <c r="AF295" i="137"/>
  <c r="AF287" i="137"/>
  <c r="AF279" i="137"/>
  <c r="AF274" i="137"/>
  <c r="AF269" i="137"/>
  <c r="AF267" i="137"/>
  <c r="AF250" i="137"/>
  <c r="AF237" i="137"/>
  <c r="AF235" i="137"/>
  <c r="AF258" i="137"/>
  <c r="AF245" i="137"/>
  <c r="AF318" i="137"/>
  <c r="AF302" i="137"/>
  <c r="AF286" i="137"/>
  <c r="AF247" i="137"/>
  <c r="AF230" i="137"/>
  <c r="AF321" i="137"/>
  <c r="AF313" i="137"/>
  <c r="AF305" i="137"/>
  <c r="AF297" i="137"/>
  <c r="AF289" i="137"/>
  <c r="AF281" i="137"/>
  <c r="AF271" i="137"/>
  <c r="AF254" i="137"/>
  <c r="AF241" i="137"/>
  <c r="AF239" i="137"/>
  <c r="AF273" i="137"/>
  <c r="AF243" i="137"/>
  <c r="AF310" i="137"/>
  <c r="AF294" i="137"/>
  <c r="AF278" i="137"/>
  <c r="AF249" i="137"/>
  <c r="AF325" i="137"/>
  <c r="AF277" i="137"/>
  <c r="AF261" i="137"/>
  <c r="AF259" i="137"/>
  <c r="AF242" i="137"/>
  <c r="AF229" i="137"/>
  <c r="AF322" i="137"/>
  <c r="AF314" i="137"/>
  <c r="AF306" i="137"/>
  <c r="AF298" i="137"/>
  <c r="AF290" i="137"/>
  <c r="AF282" i="137"/>
  <c r="AF265" i="137"/>
  <c r="AF263" i="137"/>
  <c r="AF246" i="137"/>
  <c r="AF233" i="137"/>
  <c r="AF231" i="137"/>
  <c r="AF262" i="137"/>
  <c r="AF299" i="137"/>
  <c r="AF251" i="137"/>
  <c r="AF234" i="137"/>
  <c r="AF307" i="137"/>
  <c r="AF266" i="137"/>
  <c r="AF317" i="137"/>
  <c r="AF275" i="137"/>
  <c r="AF257" i="137"/>
  <c r="AF315" i="137"/>
  <c r="AF283" i="137"/>
  <c r="AF309" i="137"/>
  <c r="AF285" i="137"/>
  <c r="AF326" i="137"/>
  <c r="AF293" i="137"/>
  <c r="AF238" i="137"/>
  <c r="AF323" i="137"/>
  <c r="AF291" i="137"/>
  <c r="AF253" i="137"/>
  <c r="AF301" i="137"/>
  <c r="AF270" i="137"/>
  <c r="AF255" i="137"/>
  <c r="AF227" i="137"/>
  <c r="Y227" i="137" a="1"/>
  <c r="Y323" i="137" l="1"/>
  <c r="Y319" i="137"/>
  <c r="Y315" i="137"/>
  <c r="Y311" i="137"/>
  <c r="Y307" i="137"/>
  <c r="Y303" i="137"/>
  <c r="Y299" i="137"/>
  <c r="Y295" i="137"/>
  <c r="Y291" i="137"/>
  <c r="Y287" i="137"/>
  <c r="Y283" i="137"/>
  <c r="Y279" i="137"/>
  <c r="Y275" i="137"/>
  <c r="Y271" i="137"/>
  <c r="Y267" i="137"/>
  <c r="Y263" i="137"/>
  <c r="Y259" i="137"/>
  <c r="Y255" i="137"/>
  <c r="Y251" i="137"/>
  <c r="Y247" i="137"/>
  <c r="Y243" i="137"/>
  <c r="Y239" i="137"/>
  <c r="Y235" i="137"/>
  <c r="Y231" i="137"/>
  <c r="Y316" i="137"/>
  <c r="Y292" i="137"/>
  <c r="Y288" i="137"/>
  <c r="Y280" i="137"/>
  <c r="Y276" i="137"/>
  <c r="Y300" i="137"/>
  <c r="Y296" i="137"/>
  <c r="Y284" i="137"/>
  <c r="Y272" i="137"/>
  <c r="Y324" i="137"/>
  <c r="Y320" i="137"/>
  <c r="Y312" i="137"/>
  <c r="Y308" i="137"/>
  <c r="Y304" i="137"/>
  <c r="Y326" i="137"/>
  <c r="Y322" i="137"/>
  <c r="Y318" i="137"/>
  <c r="Y314" i="137"/>
  <c r="Y310" i="137"/>
  <c r="Y306" i="137"/>
  <c r="Y302" i="137"/>
  <c r="Y298" i="137"/>
  <c r="Y294" i="137"/>
  <c r="Y290" i="137"/>
  <c r="Y286" i="137"/>
  <c r="Y282" i="137"/>
  <c r="Y278" i="137"/>
  <c r="Y274" i="137"/>
  <c r="Y270" i="137"/>
  <c r="Y266" i="137"/>
  <c r="Y262" i="137"/>
  <c r="Y258" i="137"/>
  <c r="Y254" i="137"/>
  <c r="Y250" i="137"/>
  <c r="Y246" i="137"/>
  <c r="Y242" i="137"/>
  <c r="Y238" i="137"/>
  <c r="Y234" i="137"/>
  <c r="Y230" i="137"/>
  <c r="Y265" i="137"/>
  <c r="Y252" i="137"/>
  <c r="Y233" i="137"/>
  <c r="Y321" i="137"/>
  <c r="Y305" i="137"/>
  <c r="Y297" i="137"/>
  <c r="Y281" i="137"/>
  <c r="Y241" i="137"/>
  <c r="Y228" i="137"/>
  <c r="Y264" i="137"/>
  <c r="Y269" i="137"/>
  <c r="Y256" i="137"/>
  <c r="Y237" i="137"/>
  <c r="Y313" i="137"/>
  <c r="Y289" i="137"/>
  <c r="Y260" i="137"/>
  <c r="Y273" i="137"/>
  <c r="Y232" i="137"/>
  <c r="Y317" i="137"/>
  <c r="Y309" i="137"/>
  <c r="Y301" i="137"/>
  <c r="Y293" i="137"/>
  <c r="Y285" i="137"/>
  <c r="Y257" i="137"/>
  <c r="Y244" i="137"/>
  <c r="Y325" i="137"/>
  <c r="Y277" i="137"/>
  <c r="Y261" i="137"/>
  <c r="Y248" i="137"/>
  <c r="Y229" i="137"/>
  <c r="Y245" i="137"/>
  <c r="Y268" i="137"/>
  <c r="Y249" i="137"/>
  <c r="Y240" i="137"/>
  <c r="Y236" i="137"/>
  <c r="Y253" i="137"/>
  <c r="Y227" i="137"/>
  <c r="R227" i="137" a="1"/>
  <c r="R323" i="137" l="1"/>
  <c r="R319" i="137"/>
  <c r="R315" i="137"/>
  <c r="R311" i="137"/>
  <c r="R307" i="137"/>
  <c r="R303" i="137"/>
  <c r="R299" i="137"/>
  <c r="R295" i="137"/>
  <c r="R291" i="137"/>
  <c r="R287" i="137"/>
  <c r="R283" i="137"/>
  <c r="R279" i="137"/>
  <c r="R275" i="137"/>
  <c r="R271" i="137"/>
  <c r="R267" i="137"/>
  <c r="R263" i="137"/>
  <c r="R259" i="137"/>
  <c r="R255" i="137"/>
  <c r="R251" i="137"/>
  <c r="R247" i="137"/>
  <c r="R243" i="137"/>
  <c r="R239" i="137"/>
  <c r="R235" i="137"/>
  <c r="R231" i="137"/>
  <c r="R326" i="137"/>
  <c r="R325" i="137"/>
  <c r="R322" i="137"/>
  <c r="R314" i="137"/>
  <c r="R306" i="137"/>
  <c r="R298" i="137"/>
  <c r="R290" i="137"/>
  <c r="R282" i="137"/>
  <c r="R277" i="137"/>
  <c r="R261" i="137"/>
  <c r="R248" i="137"/>
  <c r="R246" i="137"/>
  <c r="R229" i="137"/>
  <c r="R276" i="137"/>
  <c r="R254" i="137"/>
  <c r="R237" i="137"/>
  <c r="R313" i="137"/>
  <c r="R297" i="137"/>
  <c r="R281" i="137"/>
  <c r="R260" i="137"/>
  <c r="R241" i="137"/>
  <c r="R324" i="137"/>
  <c r="R316" i="137"/>
  <c r="R308" i="137"/>
  <c r="R300" i="137"/>
  <c r="R292" i="137"/>
  <c r="R284" i="137"/>
  <c r="R274" i="137"/>
  <c r="R265" i="137"/>
  <c r="R252" i="137"/>
  <c r="R250" i="137"/>
  <c r="R233" i="137"/>
  <c r="R269" i="137"/>
  <c r="R256" i="137"/>
  <c r="R321" i="137"/>
  <c r="R305" i="137"/>
  <c r="R289" i="137"/>
  <c r="R258" i="137"/>
  <c r="R228" i="137"/>
  <c r="R272" i="137"/>
  <c r="R270" i="137"/>
  <c r="R253" i="137"/>
  <c r="R240" i="137"/>
  <c r="R238" i="137"/>
  <c r="R317" i="137"/>
  <c r="R309" i="137"/>
  <c r="R301" i="137"/>
  <c r="R293" i="137"/>
  <c r="R285" i="137"/>
  <c r="R257" i="137"/>
  <c r="R244" i="137"/>
  <c r="R242" i="137"/>
  <c r="R310" i="137"/>
  <c r="R278" i="137"/>
  <c r="R286" i="137"/>
  <c r="R232" i="137"/>
  <c r="R296" i="137"/>
  <c r="R230" i="137"/>
  <c r="R304" i="137"/>
  <c r="R320" i="137"/>
  <c r="R288" i="137"/>
  <c r="R268" i="137"/>
  <c r="R234" i="137"/>
  <c r="R318" i="137"/>
  <c r="R266" i="137"/>
  <c r="R249" i="137"/>
  <c r="R294" i="137"/>
  <c r="R273" i="137"/>
  <c r="R264" i="137"/>
  <c r="R302" i="137"/>
  <c r="R262" i="137"/>
  <c r="R245" i="137"/>
  <c r="R312" i="137"/>
  <c r="R280" i="137"/>
  <c r="R236" i="137"/>
  <c r="R227" i="137"/>
  <c r="I227" i="137" a="1"/>
  <c r="I326" i="137" l="1"/>
  <c r="I322" i="137"/>
  <c r="I318" i="137"/>
  <c r="I314" i="137"/>
  <c r="I310" i="137"/>
  <c r="I306" i="137"/>
  <c r="I302" i="137"/>
  <c r="I298" i="137"/>
  <c r="I294" i="137"/>
  <c r="I290" i="137"/>
  <c r="I286" i="137"/>
  <c r="I282" i="137"/>
  <c r="I278" i="137"/>
  <c r="I274" i="137"/>
  <c r="I270" i="137"/>
  <c r="I266" i="137"/>
  <c r="I262" i="137"/>
  <c r="I258" i="137"/>
  <c r="I254" i="137"/>
  <c r="I250" i="137"/>
  <c r="I246" i="137"/>
  <c r="I242" i="137"/>
  <c r="I238" i="137"/>
  <c r="I234" i="137"/>
  <c r="I230" i="137"/>
  <c r="I295" i="137"/>
  <c r="I283" i="137"/>
  <c r="I315" i="137"/>
  <c r="I287" i="137"/>
  <c r="I279" i="137"/>
  <c r="I275" i="137"/>
  <c r="I323" i="137"/>
  <c r="I319" i="137"/>
  <c r="I311" i="137"/>
  <c r="I307" i="137"/>
  <c r="I303" i="137"/>
  <c r="I299" i="137"/>
  <c r="I291" i="137"/>
  <c r="I325" i="137"/>
  <c r="I321" i="137"/>
  <c r="I317" i="137"/>
  <c r="I313" i="137"/>
  <c r="I309" i="137"/>
  <c r="I305" i="137"/>
  <c r="I301" i="137"/>
  <c r="I297" i="137"/>
  <c r="I293" i="137"/>
  <c r="I289" i="137"/>
  <c r="I285" i="137"/>
  <c r="I281" i="137"/>
  <c r="I277" i="137"/>
  <c r="I273" i="137"/>
  <c r="I269" i="137"/>
  <c r="I265" i="137"/>
  <c r="I261" i="137"/>
  <c r="I257" i="137"/>
  <c r="I253" i="137"/>
  <c r="I249" i="137"/>
  <c r="I245" i="137"/>
  <c r="I241" i="137"/>
  <c r="I237" i="137"/>
  <c r="I233" i="137"/>
  <c r="I229" i="137"/>
  <c r="I263" i="137"/>
  <c r="I244" i="137"/>
  <c r="I231" i="137"/>
  <c r="I316" i="137"/>
  <c r="I292" i="137"/>
  <c r="I271" i="137"/>
  <c r="I276" i="137"/>
  <c r="I256" i="137"/>
  <c r="I267" i="137"/>
  <c r="I248" i="137"/>
  <c r="I235" i="137"/>
  <c r="I324" i="137"/>
  <c r="I308" i="137"/>
  <c r="I300" i="137"/>
  <c r="I284" i="137"/>
  <c r="I252" i="137"/>
  <c r="I239" i="137"/>
  <c r="I243" i="137"/>
  <c r="I320" i="137"/>
  <c r="I312" i="137"/>
  <c r="I304" i="137"/>
  <c r="I296" i="137"/>
  <c r="I288" i="137"/>
  <c r="I280" i="137"/>
  <c r="I268" i="137"/>
  <c r="I255" i="137"/>
  <c r="I236" i="137"/>
  <c r="I272" i="137"/>
  <c r="I259" i="137"/>
  <c r="I240" i="137"/>
  <c r="I260" i="137"/>
  <c r="I247" i="137"/>
  <c r="I251" i="137"/>
  <c r="I232" i="137"/>
  <c r="I264" i="137"/>
  <c r="I228" i="137"/>
  <c r="I227" i="137"/>
  <c r="B227" i="137" a="1"/>
  <c r="B326" i="137" l="1"/>
  <c r="B322" i="137"/>
  <c r="B318" i="137"/>
  <c r="B314" i="137"/>
  <c r="B310" i="137"/>
  <c r="B306" i="137"/>
  <c r="B302" i="137"/>
  <c r="B298" i="137"/>
  <c r="B294" i="137"/>
  <c r="B290" i="137"/>
  <c r="B286" i="137"/>
  <c r="B282" i="137"/>
  <c r="B278" i="137"/>
  <c r="B274" i="137"/>
  <c r="B270" i="137"/>
  <c r="B266" i="137"/>
  <c r="B262" i="137"/>
  <c r="B258" i="137"/>
  <c r="B254" i="137"/>
  <c r="B250" i="137"/>
  <c r="B246" i="137"/>
  <c r="B242" i="137"/>
  <c r="B238" i="137"/>
  <c r="B234" i="137"/>
  <c r="B230" i="137"/>
  <c r="B325" i="137"/>
  <c r="B317" i="137"/>
  <c r="B309" i="137"/>
  <c r="B301" i="137"/>
  <c r="B293" i="137"/>
  <c r="B285" i="137"/>
  <c r="B272" i="137"/>
  <c r="B259" i="137"/>
  <c r="B257" i="137"/>
  <c r="B240" i="137"/>
  <c r="B267" i="137"/>
  <c r="B233" i="137"/>
  <c r="B324" i="137"/>
  <c r="B308" i="137"/>
  <c r="B292" i="137"/>
  <c r="B269" i="137"/>
  <c r="B252" i="137"/>
  <c r="B237" i="137"/>
  <c r="B319" i="137"/>
  <c r="B311" i="137"/>
  <c r="B303" i="137"/>
  <c r="B295" i="137"/>
  <c r="B287" i="137"/>
  <c r="B279" i="137"/>
  <c r="B277" i="137"/>
  <c r="B263" i="137"/>
  <c r="B261" i="137"/>
  <c r="B244" i="137"/>
  <c r="B231" i="137"/>
  <c r="B229" i="137"/>
  <c r="B265" i="137"/>
  <c r="B248" i="137"/>
  <c r="B235" i="137"/>
  <c r="B316" i="137"/>
  <c r="B300" i="137"/>
  <c r="B284" i="137"/>
  <c r="B271" i="137"/>
  <c r="B239" i="137"/>
  <c r="B275" i="137"/>
  <c r="B264" i="137"/>
  <c r="B251" i="137"/>
  <c r="B249" i="137"/>
  <c r="B232" i="137"/>
  <c r="B320" i="137"/>
  <c r="B312" i="137"/>
  <c r="B304" i="137"/>
  <c r="B296" i="137"/>
  <c r="B288" i="137"/>
  <c r="B280" i="137"/>
  <c r="B268" i="137"/>
  <c r="B255" i="137"/>
  <c r="B253" i="137"/>
  <c r="B236" i="137"/>
  <c r="B321" i="137"/>
  <c r="B289" i="137"/>
  <c r="B243" i="137"/>
  <c r="B273" i="137"/>
  <c r="B247" i="137"/>
  <c r="B299" i="137"/>
  <c r="B260" i="137"/>
  <c r="B297" i="137"/>
  <c r="B276" i="137"/>
  <c r="B241" i="137"/>
  <c r="B307" i="137"/>
  <c r="B305" i="137"/>
  <c r="B256" i="137"/>
  <c r="B315" i="137"/>
  <c r="B283" i="137"/>
  <c r="B313" i="137"/>
  <c r="B281" i="137"/>
  <c r="B323" i="137"/>
  <c r="B291" i="137"/>
  <c r="B245" i="137"/>
  <c r="B228" i="137"/>
  <c r="B227" i="137"/>
  <c r="AM120" i="137" a="1"/>
  <c r="AM217" i="137" l="1"/>
  <c r="AM213" i="137"/>
  <c r="AM209" i="137"/>
  <c r="AM205" i="137"/>
  <c r="AM201" i="137"/>
  <c r="AM197" i="137"/>
  <c r="AM193" i="137"/>
  <c r="AM189" i="137"/>
  <c r="AM185" i="137"/>
  <c r="AM181" i="137"/>
  <c r="AM177" i="137"/>
  <c r="AM173" i="137"/>
  <c r="AM169" i="137"/>
  <c r="AM165" i="137"/>
  <c r="AM161" i="137"/>
  <c r="AM157" i="137"/>
  <c r="AM153" i="137"/>
  <c r="AM149" i="137"/>
  <c r="AM145" i="137"/>
  <c r="AM141" i="137"/>
  <c r="AM137" i="137"/>
  <c r="AM133" i="137"/>
  <c r="AM129" i="137"/>
  <c r="AM125" i="137"/>
  <c r="AM121" i="137"/>
  <c r="AM166" i="137"/>
  <c r="AM158" i="137"/>
  <c r="AM150" i="137"/>
  <c r="AM142" i="137"/>
  <c r="AM134" i="137"/>
  <c r="AM126" i="137"/>
  <c r="AM218" i="137"/>
  <c r="AM214" i="137"/>
  <c r="AM210" i="137"/>
  <c r="AM206" i="137"/>
  <c r="AM202" i="137"/>
  <c r="AM198" i="137"/>
  <c r="AM194" i="137"/>
  <c r="AM190" i="137"/>
  <c r="AM186" i="137"/>
  <c r="AM182" i="137"/>
  <c r="AM174" i="137"/>
  <c r="AM170" i="137"/>
  <c r="AM162" i="137"/>
  <c r="AM154" i="137"/>
  <c r="AM146" i="137"/>
  <c r="AM138" i="137"/>
  <c r="AM130" i="137"/>
  <c r="AM122" i="137"/>
  <c r="AM211" i="137"/>
  <c r="AM207" i="137"/>
  <c r="AM178" i="137"/>
  <c r="AM216" i="137"/>
  <c r="AM212" i="137"/>
  <c r="AM208" i="137"/>
  <c r="AM204" i="137"/>
  <c r="AM200" i="137"/>
  <c r="AM196" i="137"/>
  <c r="AM192" i="137"/>
  <c r="AM188" i="137"/>
  <c r="AM184" i="137"/>
  <c r="AM180" i="137"/>
  <c r="AM176" i="137"/>
  <c r="AM172" i="137"/>
  <c r="AM168" i="137"/>
  <c r="AM164" i="137"/>
  <c r="AM160" i="137"/>
  <c r="AM156" i="137"/>
  <c r="AM152" i="137"/>
  <c r="AM148" i="137"/>
  <c r="AM144" i="137"/>
  <c r="AM140" i="137"/>
  <c r="AM136" i="137"/>
  <c r="AM132" i="137"/>
  <c r="AM128" i="137"/>
  <c r="AM124" i="137"/>
  <c r="AM120" i="137"/>
  <c r="AM215" i="137"/>
  <c r="AM203" i="137"/>
  <c r="AM187" i="137"/>
  <c r="AM171" i="137"/>
  <c r="AM155" i="137"/>
  <c r="AM139" i="137"/>
  <c r="AM123" i="137"/>
  <c r="AM219" i="137"/>
  <c r="AM191" i="137"/>
  <c r="AM175" i="137"/>
  <c r="AM159" i="137"/>
  <c r="AM127" i="137"/>
  <c r="AM195" i="137"/>
  <c r="AM179" i="137"/>
  <c r="AM163" i="137"/>
  <c r="AM147" i="137"/>
  <c r="AM131" i="137"/>
  <c r="AM199" i="137"/>
  <c r="AM183" i="137"/>
  <c r="AM167" i="137"/>
  <c r="AM151" i="137"/>
  <c r="AM135" i="137"/>
  <c r="AM143" i="137"/>
  <c r="AF120" i="137" a="1"/>
  <c r="AF194" i="137" l="1"/>
  <c r="AF146" i="137"/>
  <c r="AF142" i="137"/>
  <c r="AF126" i="137"/>
  <c r="AF217" i="137"/>
  <c r="AF213" i="137"/>
  <c r="AF209" i="137"/>
  <c r="AF205" i="137"/>
  <c r="AF201" i="137"/>
  <c r="AF197" i="137"/>
  <c r="AF193" i="137"/>
  <c r="AF189" i="137"/>
  <c r="AF185" i="137"/>
  <c r="AF181" i="137"/>
  <c r="AF177" i="137"/>
  <c r="AF173" i="137"/>
  <c r="AF169" i="137"/>
  <c r="AF165" i="137"/>
  <c r="AF161" i="137"/>
  <c r="AF157" i="137"/>
  <c r="AF153" i="137"/>
  <c r="AF149" i="137"/>
  <c r="AF145" i="137"/>
  <c r="AF141" i="137"/>
  <c r="AF137" i="137"/>
  <c r="AF133" i="137"/>
  <c r="AF129" i="137"/>
  <c r="AF125" i="137"/>
  <c r="AF121" i="137"/>
  <c r="AF218" i="137"/>
  <c r="AF214" i="137"/>
  <c r="AF210" i="137"/>
  <c r="AF206" i="137"/>
  <c r="AF198" i="137"/>
  <c r="AF138" i="137"/>
  <c r="AF190" i="137"/>
  <c r="AF134" i="137"/>
  <c r="AF122" i="137"/>
  <c r="AF216" i="137"/>
  <c r="AF212" i="137"/>
  <c r="AF208" i="137"/>
  <c r="AF204" i="137"/>
  <c r="AF200" i="137"/>
  <c r="AF196" i="137"/>
  <c r="AF192" i="137"/>
  <c r="AF188" i="137"/>
  <c r="AF184" i="137"/>
  <c r="AF180" i="137"/>
  <c r="AF176" i="137"/>
  <c r="AF172" i="137"/>
  <c r="AF168" i="137"/>
  <c r="AF164" i="137"/>
  <c r="AF160" i="137"/>
  <c r="AF156" i="137"/>
  <c r="AF152" i="137"/>
  <c r="AF148" i="137"/>
  <c r="AF144" i="137"/>
  <c r="AF140" i="137"/>
  <c r="AF136" i="137"/>
  <c r="AF132" i="137"/>
  <c r="AF128" i="137"/>
  <c r="AF124" i="137"/>
  <c r="AF202" i="137"/>
  <c r="AF186" i="137"/>
  <c r="AF182" i="137"/>
  <c r="AF178" i="137"/>
  <c r="AF174" i="137"/>
  <c r="AF170" i="137"/>
  <c r="AF166" i="137"/>
  <c r="AF162" i="137"/>
  <c r="AF158" i="137"/>
  <c r="AF154" i="137"/>
  <c r="AF150" i="137"/>
  <c r="AF130" i="137"/>
  <c r="AF199" i="137"/>
  <c r="AF183" i="137"/>
  <c r="AF167" i="137"/>
  <c r="AF151" i="137"/>
  <c r="AF135" i="137"/>
  <c r="AF211" i="137"/>
  <c r="AF203" i="137"/>
  <c r="AF187" i="137"/>
  <c r="AF171" i="137"/>
  <c r="AF155" i="137"/>
  <c r="AF139" i="137"/>
  <c r="AF123" i="137"/>
  <c r="AF219" i="137"/>
  <c r="AF191" i="137"/>
  <c r="AF159" i="137"/>
  <c r="AF127" i="137"/>
  <c r="AF207" i="137"/>
  <c r="AF195" i="137"/>
  <c r="AF179" i="137"/>
  <c r="AF163" i="137"/>
  <c r="AF147" i="137"/>
  <c r="AF131" i="137"/>
  <c r="AF215" i="137"/>
  <c r="AF175" i="137"/>
  <c r="AF143" i="137"/>
  <c r="AF120" i="137"/>
  <c r="Y120" i="137" a="1"/>
  <c r="Y216" i="137" l="1"/>
  <c r="Y212" i="137"/>
  <c r="Y208" i="137"/>
  <c r="Y204" i="137"/>
  <c r="Y200" i="137"/>
  <c r="Y196" i="137"/>
  <c r="Y192" i="137"/>
  <c r="Y188" i="137"/>
  <c r="Y184" i="137"/>
  <c r="Y180" i="137"/>
  <c r="Y176" i="137"/>
  <c r="Y172" i="137"/>
  <c r="Y168" i="137"/>
  <c r="Y164" i="137"/>
  <c r="Y160" i="137"/>
  <c r="Y156" i="137"/>
  <c r="Y152" i="137"/>
  <c r="Y148" i="137"/>
  <c r="Y144" i="137"/>
  <c r="Y140" i="137"/>
  <c r="Y136" i="137"/>
  <c r="Y132" i="137"/>
  <c r="Y128" i="137"/>
  <c r="Y124" i="137"/>
  <c r="Y213" i="137"/>
  <c r="Y189" i="137"/>
  <c r="Y181" i="137"/>
  <c r="Y173" i="137"/>
  <c r="Y169" i="137"/>
  <c r="Y161" i="137"/>
  <c r="Y153" i="137"/>
  <c r="Y145" i="137"/>
  <c r="Y137" i="137"/>
  <c r="Y129" i="137"/>
  <c r="Y121" i="137"/>
  <c r="Y217" i="137"/>
  <c r="Y209" i="137"/>
  <c r="Y205" i="137"/>
  <c r="Y201" i="137"/>
  <c r="Y197" i="137"/>
  <c r="Y193" i="137"/>
  <c r="Y185" i="137"/>
  <c r="Y177" i="137"/>
  <c r="Y165" i="137"/>
  <c r="Y157" i="137"/>
  <c r="Y149" i="137"/>
  <c r="Y141" i="137"/>
  <c r="Y133" i="137"/>
  <c r="Y125" i="137"/>
  <c r="Y214" i="137"/>
  <c r="Y210" i="137"/>
  <c r="Y219" i="137"/>
  <c r="Y215" i="137"/>
  <c r="Y211" i="137"/>
  <c r="Y207" i="137"/>
  <c r="Y203" i="137"/>
  <c r="Y199" i="137"/>
  <c r="Y195" i="137"/>
  <c r="Y191" i="137"/>
  <c r="Y187" i="137"/>
  <c r="Y183" i="137"/>
  <c r="Y179" i="137"/>
  <c r="Y175" i="137"/>
  <c r="Y171" i="137"/>
  <c r="Y167" i="137"/>
  <c r="Y163" i="137"/>
  <c r="Y159" i="137"/>
  <c r="Y155" i="137"/>
  <c r="Y151" i="137"/>
  <c r="Y147" i="137"/>
  <c r="Y143" i="137"/>
  <c r="Y139" i="137"/>
  <c r="Y135" i="137"/>
  <c r="Y131" i="137"/>
  <c r="Y127" i="137"/>
  <c r="Y123" i="137"/>
  <c r="Y218" i="137"/>
  <c r="Y198" i="137"/>
  <c r="Y182" i="137"/>
  <c r="Y166" i="137"/>
  <c r="Y150" i="137"/>
  <c r="Y134" i="137"/>
  <c r="Y202" i="137"/>
  <c r="Y186" i="137"/>
  <c r="Y170" i="137"/>
  <c r="Y138" i="137"/>
  <c r="Y190" i="137"/>
  <c r="Y174" i="137"/>
  <c r="Y158" i="137"/>
  <c r="Y142" i="137"/>
  <c r="Y126" i="137"/>
  <c r="Y206" i="137"/>
  <c r="Y194" i="137"/>
  <c r="Y178" i="137"/>
  <c r="Y162" i="137"/>
  <c r="Y146" i="137"/>
  <c r="Y130" i="137"/>
  <c r="Y154" i="137"/>
  <c r="Y122" i="137"/>
  <c r="Y120" i="137"/>
  <c r="R120" i="137" a="1"/>
  <c r="R213" i="137" l="1"/>
  <c r="R201" i="137"/>
  <c r="R197" i="137"/>
  <c r="R189" i="137"/>
  <c r="R185" i="137"/>
  <c r="R181" i="137"/>
  <c r="R177" i="137"/>
  <c r="R173" i="137"/>
  <c r="R169" i="137"/>
  <c r="R165" i="137"/>
  <c r="R137" i="137"/>
  <c r="R133" i="137"/>
  <c r="R129" i="137"/>
  <c r="R216" i="137"/>
  <c r="R212" i="137"/>
  <c r="R208" i="137"/>
  <c r="R204" i="137"/>
  <c r="R200" i="137"/>
  <c r="R196" i="137"/>
  <c r="R192" i="137"/>
  <c r="R188" i="137"/>
  <c r="R184" i="137"/>
  <c r="R180" i="137"/>
  <c r="R176" i="137"/>
  <c r="R172" i="137"/>
  <c r="R168" i="137"/>
  <c r="R164" i="137"/>
  <c r="R160" i="137"/>
  <c r="R156" i="137"/>
  <c r="R152" i="137"/>
  <c r="R148" i="137"/>
  <c r="R144" i="137"/>
  <c r="R140" i="137"/>
  <c r="R136" i="137"/>
  <c r="R132" i="137"/>
  <c r="R128" i="137"/>
  <c r="R124" i="137"/>
  <c r="R217" i="137"/>
  <c r="R209" i="137"/>
  <c r="R205" i="137"/>
  <c r="R157" i="137"/>
  <c r="R153" i="137"/>
  <c r="R149" i="137"/>
  <c r="R125" i="137"/>
  <c r="R161" i="137"/>
  <c r="R219" i="137"/>
  <c r="R215" i="137"/>
  <c r="R211" i="137"/>
  <c r="R207" i="137"/>
  <c r="R203" i="137"/>
  <c r="R199" i="137"/>
  <c r="R195" i="137"/>
  <c r="R191" i="137"/>
  <c r="R187" i="137"/>
  <c r="R183" i="137"/>
  <c r="R179" i="137"/>
  <c r="R175" i="137"/>
  <c r="R171" i="137"/>
  <c r="R167" i="137"/>
  <c r="R163" i="137"/>
  <c r="R159" i="137"/>
  <c r="R155" i="137"/>
  <c r="R151" i="137"/>
  <c r="R147" i="137"/>
  <c r="R143" i="137"/>
  <c r="R139" i="137"/>
  <c r="R135" i="137"/>
  <c r="R131" i="137"/>
  <c r="R127" i="137"/>
  <c r="R123" i="137"/>
  <c r="R193" i="137"/>
  <c r="R145" i="137"/>
  <c r="R141" i="137"/>
  <c r="R121" i="137"/>
  <c r="R214" i="137"/>
  <c r="R194" i="137"/>
  <c r="R178" i="137"/>
  <c r="R162" i="137"/>
  <c r="R146" i="137"/>
  <c r="R130" i="137"/>
  <c r="R198" i="137"/>
  <c r="R182" i="137"/>
  <c r="R166" i="137"/>
  <c r="R150" i="137"/>
  <c r="R134" i="137"/>
  <c r="R210" i="137"/>
  <c r="R202" i="137"/>
  <c r="R170" i="137"/>
  <c r="R138" i="137"/>
  <c r="R218" i="137"/>
  <c r="R190" i="137"/>
  <c r="R174" i="137"/>
  <c r="R158" i="137"/>
  <c r="R142" i="137"/>
  <c r="R126" i="137"/>
  <c r="R206" i="137"/>
  <c r="R186" i="137"/>
  <c r="R154" i="137"/>
  <c r="R122" i="137"/>
  <c r="R120" i="137"/>
  <c r="I120" i="137" a="1"/>
  <c r="I219" i="137" l="1"/>
  <c r="I215" i="137"/>
  <c r="I211" i="137"/>
  <c r="I207" i="137"/>
  <c r="I203" i="137"/>
  <c r="I199" i="137"/>
  <c r="I195" i="137"/>
  <c r="I191" i="137"/>
  <c r="I187" i="137"/>
  <c r="I183" i="137"/>
  <c r="I179" i="137"/>
  <c r="I175" i="137"/>
  <c r="I171" i="137"/>
  <c r="I167" i="137"/>
  <c r="I163" i="137"/>
  <c r="I159" i="137"/>
  <c r="I155" i="137"/>
  <c r="I151" i="137"/>
  <c r="I147" i="137"/>
  <c r="I143" i="137"/>
  <c r="I139" i="137"/>
  <c r="I135" i="137"/>
  <c r="I131" i="137"/>
  <c r="I127" i="137"/>
  <c r="I123" i="137"/>
  <c r="I176" i="137"/>
  <c r="I164" i="137"/>
  <c r="I156" i="137"/>
  <c r="I148" i="137"/>
  <c r="I140" i="137"/>
  <c r="I132" i="137"/>
  <c r="I124" i="137"/>
  <c r="I216" i="137"/>
  <c r="I212" i="137"/>
  <c r="I208" i="137"/>
  <c r="I204" i="137"/>
  <c r="I200" i="137"/>
  <c r="I196" i="137"/>
  <c r="I192" i="137"/>
  <c r="I188" i="137"/>
  <c r="I184" i="137"/>
  <c r="I180" i="137"/>
  <c r="I172" i="137"/>
  <c r="I168" i="137"/>
  <c r="I160" i="137"/>
  <c r="I152" i="137"/>
  <c r="I144" i="137"/>
  <c r="I136" i="137"/>
  <c r="I128" i="137"/>
  <c r="I217" i="137"/>
  <c r="I205" i="137"/>
  <c r="I218" i="137"/>
  <c r="I214" i="137"/>
  <c r="I210" i="137"/>
  <c r="I206" i="137"/>
  <c r="I202" i="137"/>
  <c r="I198" i="137"/>
  <c r="I194" i="137"/>
  <c r="I190" i="137"/>
  <c r="I186" i="137"/>
  <c r="I182" i="137"/>
  <c r="I178" i="137"/>
  <c r="I174" i="137"/>
  <c r="I170" i="137"/>
  <c r="I166" i="137"/>
  <c r="I162" i="137"/>
  <c r="I158" i="137"/>
  <c r="I154" i="137"/>
  <c r="I150" i="137"/>
  <c r="I146" i="137"/>
  <c r="I142" i="137"/>
  <c r="I138" i="137"/>
  <c r="I134" i="137"/>
  <c r="I130" i="137"/>
  <c r="I126" i="137"/>
  <c r="I122" i="137"/>
  <c r="I213" i="137"/>
  <c r="I209" i="137"/>
  <c r="I193" i="137"/>
  <c r="I177" i="137"/>
  <c r="I161" i="137"/>
  <c r="I145" i="137"/>
  <c r="I129" i="137"/>
  <c r="I197" i="137"/>
  <c r="I149" i="137"/>
  <c r="I201" i="137"/>
  <c r="I185" i="137"/>
  <c r="I169" i="137"/>
  <c r="I153" i="137"/>
  <c r="I137" i="137"/>
  <c r="I121" i="137"/>
  <c r="I189" i="137"/>
  <c r="I173" i="137"/>
  <c r="I157" i="137"/>
  <c r="I141" i="137"/>
  <c r="I125" i="137"/>
  <c r="I181" i="137"/>
  <c r="I165" i="137"/>
  <c r="I133" i="137"/>
  <c r="I120" i="137"/>
  <c r="B120" i="137" a="1"/>
  <c r="B160" i="137" l="1"/>
  <c r="B156" i="137"/>
  <c r="B152" i="137"/>
  <c r="B124" i="137"/>
  <c r="B219" i="137"/>
  <c r="B215" i="137"/>
  <c r="B211" i="137"/>
  <c r="B207" i="137"/>
  <c r="B203" i="137"/>
  <c r="B199" i="137"/>
  <c r="B195" i="137"/>
  <c r="B191" i="137"/>
  <c r="B187" i="137"/>
  <c r="B183" i="137"/>
  <c r="B179" i="137"/>
  <c r="B175" i="137"/>
  <c r="B171" i="137"/>
  <c r="B167" i="137"/>
  <c r="B163" i="137"/>
  <c r="B159" i="137"/>
  <c r="B155" i="137"/>
  <c r="B151" i="137"/>
  <c r="B147" i="137"/>
  <c r="B143" i="137"/>
  <c r="B139" i="137"/>
  <c r="B135" i="137"/>
  <c r="B131" i="137"/>
  <c r="B127" i="137"/>
  <c r="B123" i="137"/>
  <c r="B216" i="137"/>
  <c r="B212" i="137"/>
  <c r="B208" i="137"/>
  <c r="B204" i="137"/>
  <c r="B200" i="137"/>
  <c r="B196" i="137"/>
  <c r="B192" i="137"/>
  <c r="B188" i="137"/>
  <c r="B184" i="137"/>
  <c r="B180" i="137"/>
  <c r="B176" i="137"/>
  <c r="B172" i="137"/>
  <c r="B168" i="137"/>
  <c r="B164" i="137"/>
  <c r="B144" i="137"/>
  <c r="B132" i="137"/>
  <c r="B148" i="137"/>
  <c r="B140" i="137"/>
  <c r="B128" i="137"/>
  <c r="B218" i="137"/>
  <c r="B214" i="137"/>
  <c r="B210" i="137"/>
  <c r="B206" i="137"/>
  <c r="B202" i="137"/>
  <c r="B198" i="137"/>
  <c r="B194" i="137"/>
  <c r="B190" i="137"/>
  <c r="B186" i="137"/>
  <c r="B182" i="137"/>
  <c r="B178" i="137"/>
  <c r="B174" i="137"/>
  <c r="B170" i="137"/>
  <c r="B166" i="137"/>
  <c r="B162" i="137"/>
  <c r="B158" i="137"/>
  <c r="B154" i="137"/>
  <c r="B150" i="137"/>
  <c r="B146" i="137"/>
  <c r="B142" i="137"/>
  <c r="B138" i="137"/>
  <c r="B134" i="137"/>
  <c r="B130" i="137"/>
  <c r="B126" i="137"/>
  <c r="B122" i="137"/>
  <c r="B136" i="137"/>
  <c r="B205" i="137"/>
  <c r="B189" i="137"/>
  <c r="B173" i="137"/>
  <c r="B157" i="137"/>
  <c r="B141" i="137"/>
  <c r="B125" i="137"/>
  <c r="B213" i="137"/>
  <c r="B193" i="137"/>
  <c r="B177" i="137"/>
  <c r="B161" i="137"/>
  <c r="B145" i="137"/>
  <c r="B129" i="137"/>
  <c r="B181" i="137"/>
  <c r="B149" i="137"/>
  <c r="B217" i="137"/>
  <c r="B201" i="137"/>
  <c r="B185" i="137"/>
  <c r="B169" i="137"/>
  <c r="B153" i="137"/>
  <c r="B137" i="137"/>
  <c r="B121" i="137"/>
  <c r="B209" i="137"/>
  <c r="B197" i="137"/>
  <c r="B165" i="137"/>
  <c r="B133" i="137"/>
  <c r="B120" i="137"/>
  <c r="AM13" i="137" a="1"/>
  <c r="AM110" i="137" l="1"/>
  <c r="AM106" i="137"/>
  <c r="AM102" i="137"/>
  <c r="AM98" i="137"/>
  <c r="AM94" i="137"/>
  <c r="AM90" i="137"/>
  <c r="AM86" i="137"/>
  <c r="AM82" i="137"/>
  <c r="AM78" i="137"/>
  <c r="AM74" i="137"/>
  <c r="AM70" i="137"/>
  <c r="AM66" i="137"/>
  <c r="AM62" i="137"/>
  <c r="AM58" i="137"/>
  <c r="AM54" i="137"/>
  <c r="AM50" i="137"/>
  <c r="AM46" i="137"/>
  <c r="AM42" i="137"/>
  <c r="AM38" i="137"/>
  <c r="AM34" i="137"/>
  <c r="AM30" i="137"/>
  <c r="AM26" i="137"/>
  <c r="AM22" i="137"/>
  <c r="AM18" i="137"/>
  <c r="AM14" i="137"/>
  <c r="AM107" i="137"/>
  <c r="AM99" i="137"/>
  <c r="AM83" i="137"/>
  <c r="AM75" i="137"/>
  <c r="AM67" i="137"/>
  <c r="AM59" i="137"/>
  <c r="AM51" i="137"/>
  <c r="AM43" i="137"/>
  <c r="AM35" i="137"/>
  <c r="AM27" i="137"/>
  <c r="AM15" i="137"/>
  <c r="AM108" i="137"/>
  <c r="AM72" i="137"/>
  <c r="AM52" i="137"/>
  <c r="AM48" i="137"/>
  <c r="AM40" i="137"/>
  <c r="AM20" i="137"/>
  <c r="AM16" i="137"/>
  <c r="AM103" i="137"/>
  <c r="AM95" i="137"/>
  <c r="AM87" i="137"/>
  <c r="AM79" i="137"/>
  <c r="AM71" i="137"/>
  <c r="AM63" i="137"/>
  <c r="AM55" i="137"/>
  <c r="AM47" i="137"/>
  <c r="AM39" i="137"/>
  <c r="AM31" i="137"/>
  <c r="AM19" i="137"/>
  <c r="AM104" i="137"/>
  <c r="AM96" i="137"/>
  <c r="AM80" i="137"/>
  <c r="AM76" i="137"/>
  <c r="AM68" i="137"/>
  <c r="AM64" i="137"/>
  <c r="AM32" i="137"/>
  <c r="AM28" i="137"/>
  <c r="AM111" i="137"/>
  <c r="AM91" i="137"/>
  <c r="AM23" i="137"/>
  <c r="AM112" i="137"/>
  <c r="AM36" i="137"/>
  <c r="AM24" i="137"/>
  <c r="AM109" i="137"/>
  <c r="AM105" i="137"/>
  <c r="AM101" i="137"/>
  <c r="AM97" i="137"/>
  <c r="AM93" i="137"/>
  <c r="AM89" i="137"/>
  <c r="AM85" i="137"/>
  <c r="AM81" i="137"/>
  <c r="AM77" i="137"/>
  <c r="AM73" i="137"/>
  <c r="AM69" i="137"/>
  <c r="AM65" i="137"/>
  <c r="AM61" i="137"/>
  <c r="AM57" i="137"/>
  <c r="AM53" i="137"/>
  <c r="AM49" i="137"/>
  <c r="AM45" i="137"/>
  <c r="AM41" i="137"/>
  <c r="AM37" i="137"/>
  <c r="AM33" i="137"/>
  <c r="AM29" i="137"/>
  <c r="AM25" i="137"/>
  <c r="AM21" i="137"/>
  <c r="AM17" i="137"/>
  <c r="AM13" i="137"/>
  <c r="AM100" i="137"/>
  <c r="AM92" i="137"/>
  <c r="AM88" i="137"/>
  <c r="AM84" i="137"/>
  <c r="AM60" i="137"/>
  <c r="AM56" i="137"/>
  <c r="AM44" i="137"/>
  <c r="AF13" i="137" a="1"/>
  <c r="AF67" i="137" l="1"/>
  <c r="AF55" i="137"/>
  <c r="AF39" i="137"/>
  <c r="AF35" i="137"/>
  <c r="AF31" i="137"/>
  <c r="AF110" i="137"/>
  <c r="AF106" i="137"/>
  <c r="AF102" i="137"/>
  <c r="AF98" i="137"/>
  <c r="AF94" i="137"/>
  <c r="AF90" i="137"/>
  <c r="AF86" i="137"/>
  <c r="AF82" i="137"/>
  <c r="AF78" i="137"/>
  <c r="AF74" i="137"/>
  <c r="AF70" i="137"/>
  <c r="AF66" i="137"/>
  <c r="AF62" i="137"/>
  <c r="AF58" i="137"/>
  <c r="AF54" i="137"/>
  <c r="AF50" i="137"/>
  <c r="AF46" i="137"/>
  <c r="AF42" i="137"/>
  <c r="AF38" i="137"/>
  <c r="AF34" i="137"/>
  <c r="AF30" i="137"/>
  <c r="AF26" i="137"/>
  <c r="AF22" i="137"/>
  <c r="AF18" i="137"/>
  <c r="AF14" i="137"/>
  <c r="AF107" i="137"/>
  <c r="AF91" i="137"/>
  <c r="AF87" i="137"/>
  <c r="AF83" i="137"/>
  <c r="AF27" i="137"/>
  <c r="AF23" i="137"/>
  <c r="AF63" i="137"/>
  <c r="AF51" i="137"/>
  <c r="AF109" i="137"/>
  <c r="AF105" i="137"/>
  <c r="AF101" i="137"/>
  <c r="AF97" i="137"/>
  <c r="AF93" i="137"/>
  <c r="AF89" i="137"/>
  <c r="AF85" i="137"/>
  <c r="AF81" i="137"/>
  <c r="AF77" i="137"/>
  <c r="AF73" i="137"/>
  <c r="AF69" i="137"/>
  <c r="AF65" i="137"/>
  <c r="AF61" i="137"/>
  <c r="AF57" i="137"/>
  <c r="AF53" i="137"/>
  <c r="AF49" i="137"/>
  <c r="AF45" i="137"/>
  <c r="AF41" i="137"/>
  <c r="AF37" i="137"/>
  <c r="AF33" i="137"/>
  <c r="AF29" i="137"/>
  <c r="AF25" i="137"/>
  <c r="AF21" i="137"/>
  <c r="AF17" i="137"/>
  <c r="AF111" i="137"/>
  <c r="AF103" i="137"/>
  <c r="AF99" i="137"/>
  <c r="AF95" i="137"/>
  <c r="AF79" i="137"/>
  <c r="AF75" i="137"/>
  <c r="AF71" i="137"/>
  <c r="AF59" i="137"/>
  <c r="AF47" i="137"/>
  <c r="AF43" i="137"/>
  <c r="AF19" i="137"/>
  <c r="AF15" i="137"/>
  <c r="AF92" i="137"/>
  <c r="AF36" i="137"/>
  <c r="AF112" i="137"/>
  <c r="AF88" i="137"/>
  <c r="AF24" i="137"/>
  <c r="AF108" i="137"/>
  <c r="AF44" i="137"/>
  <c r="AF96" i="137"/>
  <c r="AF64" i="137"/>
  <c r="AF32" i="137"/>
  <c r="AF84" i="137"/>
  <c r="AF52" i="137"/>
  <c r="AF20" i="137"/>
  <c r="AF104" i="137"/>
  <c r="AF72" i="137"/>
  <c r="AF40" i="137"/>
  <c r="AF60" i="137"/>
  <c r="AF28" i="137"/>
  <c r="AF80" i="137"/>
  <c r="AF48" i="137"/>
  <c r="AF16" i="137"/>
  <c r="AF100" i="137"/>
  <c r="AF68" i="137"/>
  <c r="AF56" i="137"/>
  <c r="AF76" i="137"/>
  <c r="AF13" i="137"/>
  <c r="Y13" i="137" a="1"/>
  <c r="Y109" i="137" l="1"/>
  <c r="Y105" i="137"/>
  <c r="Y101" i="137"/>
  <c r="Y97" i="137"/>
  <c r="Y93" i="137"/>
  <c r="Y89" i="137"/>
  <c r="Y85" i="137"/>
  <c r="Y81" i="137"/>
  <c r="Y77" i="137"/>
  <c r="Y73" i="137"/>
  <c r="Y69" i="137"/>
  <c r="Y65" i="137"/>
  <c r="Y61" i="137"/>
  <c r="Y57" i="137"/>
  <c r="Y53" i="137"/>
  <c r="Y49" i="137"/>
  <c r="Y45" i="137"/>
  <c r="Y41" i="137"/>
  <c r="Y37" i="137"/>
  <c r="Y33" i="137"/>
  <c r="Y29" i="137"/>
  <c r="Y25" i="137"/>
  <c r="Y21" i="137"/>
  <c r="Y17" i="137"/>
  <c r="Y94" i="137"/>
  <c r="Y86" i="137"/>
  <c r="Y78" i="137"/>
  <c r="Y70" i="137"/>
  <c r="Y62" i="137"/>
  <c r="Y54" i="137"/>
  <c r="Y46" i="137"/>
  <c r="Y38" i="137"/>
  <c r="Y30" i="137"/>
  <c r="Y18" i="137"/>
  <c r="Y91" i="137"/>
  <c r="Y79" i="137"/>
  <c r="Y67" i="137"/>
  <c r="Y43" i="137"/>
  <c r="Y35" i="137"/>
  <c r="Y31" i="137"/>
  <c r="Y110" i="137"/>
  <c r="Y106" i="137"/>
  <c r="Y102" i="137"/>
  <c r="Y98" i="137"/>
  <c r="Y90" i="137"/>
  <c r="Y82" i="137"/>
  <c r="Y74" i="137"/>
  <c r="Y66" i="137"/>
  <c r="Y58" i="137"/>
  <c r="Y50" i="137"/>
  <c r="Y42" i="137"/>
  <c r="Y34" i="137"/>
  <c r="Y26" i="137"/>
  <c r="Y22" i="137"/>
  <c r="Y14" i="137"/>
  <c r="Y111" i="137"/>
  <c r="Y99" i="137"/>
  <c r="Y83" i="137"/>
  <c r="Y59" i="137"/>
  <c r="Y23" i="137"/>
  <c r="Y19" i="137"/>
  <c r="Y87" i="137"/>
  <c r="Y71" i="137"/>
  <c r="Y63" i="137"/>
  <c r="Y55" i="137"/>
  <c r="Y47" i="137"/>
  <c r="Y15" i="137"/>
  <c r="Y112" i="137"/>
  <c r="Y108" i="137"/>
  <c r="Y104" i="137"/>
  <c r="Y100" i="137"/>
  <c r="Y96" i="137"/>
  <c r="Y92" i="137"/>
  <c r="Y88" i="137"/>
  <c r="Y84" i="137"/>
  <c r="Y80" i="137"/>
  <c r="Y76" i="137"/>
  <c r="Y72" i="137"/>
  <c r="Y68" i="137"/>
  <c r="Y64" i="137"/>
  <c r="Y60" i="137"/>
  <c r="Y56" i="137"/>
  <c r="Y52" i="137"/>
  <c r="Y48" i="137"/>
  <c r="Y44" i="137"/>
  <c r="Y40" i="137"/>
  <c r="Y36" i="137"/>
  <c r="Y32" i="137"/>
  <c r="Y28" i="137"/>
  <c r="Y24" i="137"/>
  <c r="Y20" i="137"/>
  <c r="Y16" i="137"/>
  <c r="Y107" i="137"/>
  <c r="Y103" i="137"/>
  <c r="Y95" i="137"/>
  <c r="Y75" i="137"/>
  <c r="Y51" i="137"/>
  <c r="Y39" i="137"/>
  <c r="Y27" i="137"/>
  <c r="Y13" i="137"/>
  <c r="R13" i="137" a="1"/>
  <c r="R78" i="137" l="1"/>
  <c r="R62" i="137"/>
  <c r="R58" i="137"/>
  <c r="R50" i="137"/>
  <c r="R26" i="137"/>
  <c r="R22" i="137"/>
  <c r="R109" i="137"/>
  <c r="R105" i="137"/>
  <c r="R101" i="137"/>
  <c r="R97" i="137"/>
  <c r="R93" i="137"/>
  <c r="R89" i="137"/>
  <c r="R85" i="137"/>
  <c r="R81" i="137"/>
  <c r="R77" i="137"/>
  <c r="R73" i="137"/>
  <c r="R69" i="137"/>
  <c r="R65" i="137"/>
  <c r="R61" i="137"/>
  <c r="R57" i="137"/>
  <c r="R53" i="137"/>
  <c r="R49" i="137"/>
  <c r="R45" i="137"/>
  <c r="R41" i="137"/>
  <c r="R37" i="137"/>
  <c r="R33" i="137"/>
  <c r="R29" i="137"/>
  <c r="R25" i="137"/>
  <c r="R21" i="137"/>
  <c r="R17" i="137"/>
  <c r="R110" i="137"/>
  <c r="R106" i="137"/>
  <c r="R102" i="137"/>
  <c r="R98" i="137"/>
  <c r="R94" i="137"/>
  <c r="R74" i="137"/>
  <c r="R70" i="137"/>
  <c r="R46" i="137"/>
  <c r="R42" i="137"/>
  <c r="R18" i="137"/>
  <c r="R14" i="137"/>
  <c r="R111" i="137"/>
  <c r="R90" i="137"/>
  <c r="R30" i="137"/>
  <c r="R112" i="137"/>
  <c r="R108" i="137"/>
  <c r="R104" i="137"/>
  <c r="R100" i="137"/>
  <c r="R96" i="137"/>
  <c r="R92" i="137"/>
  <c r="R88" i="137"/>
  <c r="R84" i="137"/>
  <c r="R80" i="137"/>
  <c r="R76" i="137"/>
  <c r="R72" i="137"/>
  <c r="R68" i="137"/>
  <c r="R64" i="137"/>
  <c r="R60" i="137"/>
  <c r="R56" i="137"/>
  <c r="R52" i="137"/>
  <c r="R48" i="137"/>
  <c r="R44" i="137"/>
  <c r="R40" i="137"/>
  <c r="R36" i="137"/>
  <c r="R32" i="137"/>
  <c r="R28" i="137"/>
  <c r="R24" i="137"/>
  <c r="R20" i="137"/>
  <c r="R16" i="137"/>
  <c r="R86" i="137"/>
  <c r="R82" i="137"/>
  <c r="R66" i="137"/>
  <c r="R54" i="137"/>
  <c r="R38" i="137"/>
  <c r="R34" i="137"/>
  <c r="R103" i="137"/>
  <c r="R79" i="137"/>
  <c r="R15" i="137"/>
  <c r="R67" i="137"/>
  <c r="R87" i="137"/>
  <c r="R23" i="137"/>
  <c r="R107" i="137"/>
  <c r="R75" i="137"/>
  <c r="R43" i="137"/>
  <c r="R95" i="137"/>
  <c r="R63" i="137"/>
  <c r="R31" i="137"/>
  <c r="R83" i="137"/>
  <c r="R51" i="137"/>
  <c r="R19" i="137"/>
  <c r="R71" i="137"/>
  <c r="R39" i="137"/>
  <c r="R91" i="137"/>
  <c r="R59" i="137"/>
  <c r="R27" i="137"/>
  <c r="R47" i="137"/>
  <c r="R99" i="137"/>
  <c r="R35" i="137"/>
  <c r="R55" i="137"/>
  <c r="R13" i="137"/>
  <c r="I13" i="137" a="1"/>
  <c r="I112" i="137" l="1"/>
  <c r="I108" i="137"/>
  <c r="I104" i="137"/>
  <c r="I100" i="137"/>
  <c r="I96" i="137"/>
  <c r="I92" i="137"/>
  <c r="I88" i="137"/>
  <c r="I84" i="137"/>
  <c r="I80" i="137"/>
  <c r="I76" i="137"/>
  <c r="I72" i="137"/>
  <c r="I68" i="137"/>
  <c r="I64" i="137"/>
  <c r="I60" i="137"/>
  <c r="I56" i="137"/>
  <c r="I52" i="137"/>
  <c r="I48" i="137"/>
  <c r="I44" i="137"/>
  <c r="I40" i="137"/>
  <c r="I36" i="137"/>
  <c r="I32" i="137"/>
  <c r="I28" i="137"/>
  <c r="I24" i="137"/>
  <c r="I20" i="137"/>
  <c r="I16" i="137"/>
  <c r="I89" i="137"/>
  <c r="I81" i="137"/>
  <c r="I73" i="137"/>
  <c r="I57" i="137"/>
  <c r="I49" i="137"/>
  <c r="I41" i="137"/>
  <c r="I33" i="137"/>
  <c r="I25" i="137"/>
  <c r="I21" i="137"/>
  <c r="I62" i="137"/>
  <c r="I58" i="137"/>
  <c r="I26" i="137"/>
  <c r="I109" i="137"/>
  <c r="I101" i="137"/>
  <c r="I97" i="137"/>
  <c r="I93" i="137"/>
  <c r="I85" i="137"/>
  <c r="I77" i="137"/>
  <c r="I69" i="137"/>
  <c r="I61" i="137"/>
  <c r="I53" i="137"/>
  <c r="I45" i="137"/>
  <c r="I37" i="137"/>
  <c r="I29" i="137"/>
  <c r="I17" i="137"/>
  <c r="I102" i="137"/>
  <c r="I94" i="137"/>
  <c r="I90" i="137"/>
  <c r="I86" i="137"/>
  <c r="I74" i="137"/>
  <c r="I54" i="137"/>
  <c r="I50" i="137"/>
  <c r="I46" i="137"/>
  <c r="I42" i="137"/>
  <c r="I38" i="137"/>
  <c r="I14" i="137"/>
  <c r="I105" i="137"/>
  <c r="I65" i="137"/>
  <c r="I111" i="137"/>
  <c r="I107" i="137"/>
  <c r="I103" i="137"/>
  <c r="I99" i="137"/>
  <c r="I95" i="137"/>
  <c r="I91" i="137"/>
  <c r="I87" i="137"/>
  <c r="I83" i="137"/>
  <c r="I79" i="137"/>
  <c r="I75" i="137"/>
  <c r="I71" i="137"/>
  <c r="I67" i="137"/>
  <c r="I63" i="137"/>
  <c r="I59" i="137"/>
  <c r="I55" i="137"/>
  <c r="I51" i="137"/>
  <c r="I47" i="137"/>
  <c r="I43" i="137"/>
  <c r="I39" i="137"/>
  <c r="I35" i="137"/>
  <c r="I31" i="137"/>
  <c r="I27" i="137"/>
  <c r="I23" i="137"/>
  <c r="I19" i="137"/>
  <c r="I15" i="137"/>
  <c r="I110" i="137"/>
  <c r="I106" i="137"/>
  <c r="I98" i="137"/>
  <c r="I82" i="137"/>
  <c r="I78" i="137"/>
  <c r="I70" i="137"/>
  <c r="I66" i="137"/>
  <c r="I34" i="137"/>
  <c r="I30" i="137"/>
  <c r="I22" i="137"/>
  <c r="I18" i="137"/>
  <c r="I13" i="137"/>
  <c r="AP334" i="136" a="1"/>
  <c r="AP433" i="136" l="1"/>
  <c r="AP429" i="136"/>
  <c r="AP425" i="136"/>
  <c r="AP421" i="136"/>
  <c r="AP417" i="136"/>
  <c r="AP413" i="136"/>
  <c r="AP409" i="136"/>
  <c r="AP405" i="136"/>
  <c r="AP401" i="136"/>
  <c r="AP397" i="136"/>
  <c r="AP393" i="136"/>
  <c r="AP389" i="136"/>
  <c r="AP385" i="136"/>
  <c r="AP381" i="136"/>
  <c r="AP377" i="136"/>
  <c r="AP373" i="136"/>
  <c r="AP369" i="136"/>
  <c r="AP365" i="136"/>
  <c r="AP361" i="136"/>
  <c r="AP357" i="136"/>
  <c r="AP353" i="136"/>
  <c r="AP349" i="136"/>
  <c r="AP345" i="136"/>
  <c r="AP341" i="136"/>
  <c r="AP337" i="136"/>
  <c r="AP430" i="136"/>
  <c r="AP426" i="136"/>
  <c r="AP422" i="136"/>
  <c r="AP418" i="136"/>
  <c r="AP414" i="136"/>
  <c r="AP410" i="136"/>
  <c r="AP406" i="136"/>
  <c r="AP402" i="136"/>
  <c r="AP398" i="136"/>
  <c r="AP394" i="136"/>
  <c r="AP390" i="136"/>
  <c r="AP386" i="136"/>
  <c r="AP382" i="136"/>
  <c r="AP378" i="136"/>
  <c r="AP374" i="136"/>
  <c r="AP370" i="136"/>
  <c r="AP366" i="136"/>
  <c r="AP362" i="136"/>
  <c r="AP358" i="136"/>
  <c r="AP354" i="136"/>
  <c r="AP350" i="136"/>
  <c r="AP346" i="136"/>
  <c r="AP342" i="136"/>
  <c r="AP338" i="136"/>
  <c r="AP334" i="136"/>
  <c r="AP432" i="136"/>
  <c r="AP428" i="136"/>
  <c r="AP424" i="136"/>
  <c r="AP420" i="136"/>
  <c r="AP416" i="136"/>
  <c r="AP412" i="136"/>
  <c r="AP408" i="136"/>
  <c r="AP404" i="136"/>
  <c r="AP400" i="136"/>
  <c r="AP396" i="136"/>
  <c r="AP392" i="136"/>
  <c r="AP388" i="136"/>
  <c r="AP384" i="136"/>
  <c r="AP380" i="136"/>
  <c r="AP376" i="136"/>
  <c r="AP411" i="136"/>
  <c r="AP363" i="136"/>
  <c r="AP344" i="136"/>
  <c r="AP343" i="136"/>
  <c r="AP360" i="136"/>
  <c r="AP423" i="136"/>
  <c r="AP399" i="136"/>
  <c r="AP364" i="136"/>
  <c r="AP419" i="136"/>
  <c r="AP407" i="136"/>
  <c r="AP395" i="136"/>
  <c r="AP387" i="136"/>
  <c r="AP379" i="136"/>
  <c r="AP367" i="136"/>
  <c r="AP348" i="136"/>
  <c r="AP335" i="136"/>
  <c r="AP431" i="136"/>
  <c r="AP427" i="136"/>
  <c r="AP383" i="136"/>
  <c r="AP375" i="136"/>
  <c r="AP355" i="136"/>
  <c r="AP403" i="136"/>
  <c r="AP371" i="136"/>
  <c r="AP352" i="136"/>
  <c r="AP339" i="136"/>
  <c r="AP356" i="136"/>
  <c r="AP368" i="136"/>
  <c r="AP347" i="136"/>
  <c r="AP391" i="136"/>
  <c r="AP351" i="136"/>
  <c r="AP372" i="136"/>
  <c r="AP359" i="136"/>
  <c r="AP336" i="136"/>
  <c r="AP415" i="136"/>
  <c r="AP340" i="136"/>
  <c r="AH334" i="136" a="1"/>
  <c r="BP10" i="121" l="1"/>
  <c r="CN9" i="57" s="1"/>
  <c r="BP19" i="121"/>
  <c r="CN18" i="57" s="1"/>
  <c r="BP15" i="121"/>
  <c r="CN14" i="57" s="1"/>
  <c r="BP25" i="121"/>
  <c r="CN24" i="57" s="1"/>
  <c r="BP24" i="121"/>
  <c r="CN23" i="57" s="1"/>
  <c r="BP22" i="121"/>
  <c r="CN21" i="57" s="1"/>
  <c r="BP16" i="121"/>
  <c r="CN15" i="57" s="1"/>
  <c r="BP12" i="121"/>
  <c r="CN11" i="57" s="1"/>
  <c r="BP13" i="121"/>
  <c r="CN12" i="57" s="1"/>
  <c r="BP11" i="121"/>
  <c r="CN10" i="57" s="1"/>
  <c r="BP21" i="121"/>
  <c r="CN20" i="57" s="1"/>
  <c r="BP23" i="121"/>
  <c r="CN22" i="57" s="1"/>
  <c r="BP20" i="121"/>
  <c r="CN19" i="57" s="1"/>
  <c r="BP18" i="121"/>
  <c r="CN17" i="57" s="1"/>
  <c r="BP14" i="121"/>
  <c r="CN13" i="57" s="1"/>
  <c r="BP17" i="121"/>
  <c r="CN16" i="57" s="1"/>
  <c r="AH430" i="136"/>
  <c r="AH422" i="136"/>
  <c r="AH433" i="136"/>
  <c r="AH429" i="136"/>
  <c r="AH425" i="136"/>
  <c r="AH421" i="136"/>
  <c r="AH417" i="136"/>
  <c r="AH413" i="136"/>
  <c r="AH409" i="136"/>
  <c r="AH405" i="136"/>
  <c r="AH401" i="136"/>
  <c r="AH397" i="136"/>
  <c r="AH393" i="136"/>
  <c r="AH389" i="136"/>
  <c r="AH385" i="136"/>
  <c r="AH381" i="136"/>
  <c r="AH377" i="136"/>
  <c r="AH373" i="136"/>
  <c r="AH369" i="136"/>
  <c r="AH365" i="136"/>
  <c r="AH361" i="136"/>
  <c r="AH357" i="136"/>
  <c r="AH353" i="136"/>
  <c r="AH349" i="136"/>
  <c r="AH345" i="136"/>
  <c r="AH341" i="136"/>
  <c r="AH337" i="136"/>
  <c r="AH418" i="136"/>
  <c r="AH414" i="136"/>
  <c r="AH410" i="136"/>
  <c r="AH406" i="136"/>
  <c r="AH402" i="136"/>
  <c r="AH426" i="136"/>
  <c r="AH415" i="136"/>
  <c r="AH408" i="136"/>
  <c r="AH398" i="136"/>
  <c r="AH390" i="136"/>
  <c r="AH382" i="136"/>
  <c r="AH374" i="136"/>
  <c r="AH372" i="136"/>
  <c r="AH359" i="136"/>
  <c r="AH346" i="136"/>
  <c r="AH340" i="136"/>
  <c r="AH335" i="136"/>
  <c r="AH428" i="136"/>
  <c r="AH392" i="136"/>
  <c r="AH384" i="136"/>
  <c r="AH376" i="136"/>
  <c r="AH358" i="136"/>
  <c r="AH424" i="136"/>
  <c r="AH383" i="136"/>
  <c r="AH375" i="136"/>
  <c r="AH411" i="136"/>
  <c r="AH404" i="136"/>
  <c r="AH363" i="136"/>
  <c r="AH350" i="136"/>
  <c r="AH344" i="136"/>
  <c r="AH371" i="136"/>
  <c r="AH394" i="136"/>
  <c r="AH386" i="136"/>
  <c r="AH378" i="136"/>
  <c r="AH366" i="136"/>
  <c r="AH360" i="136"/>
  <c r="AH347" i="136"/>
  <c r="AH416" i="136"/>
  <c r="AH391" i="136"/>
  <c r="AH370" i="136"/>
  <c r="AH364" i="136"/>
  <c r="AH432" i="136"/>
  <c r="AH407" i="136"/>
  <c r="AH395" i="136"/>
  <c r="AH387" i="136"/>
  <c r="AH379" i="136"/>
  <c r="AH367" i="136"/>
  <c r="AH354" i="136"/>
  <c r="AH348" i="136"/>
  <c r="AH400" i="136"/>
  <c r="AH352" i="136"/>
  <c r="AH339" i="136"/>
  <c r="AH431" i="136"/>
  <c r="AH362" i="136"/>
  <c r="AH356" i="136"/>
  <c r="AH343" i="136"/>
  <c r="AH420" i="136"/>
  <c r="AH423" i="136"/>
  <c r="AH403" i="136"/>
  <c r="AH427" i="136"/>
  <c r="AH399" i="136"/>
  <c r="AH351" i="136"/>
  <c r="AH380" i="136"/>
  <c r="AH396" i="136"/>
  <c r="AH336" i="136"/>
  <c r="AH412" i="136"/>
  <c r="AH419" i="136"/>
  <c r="AH355" i="136"/>
  <c r="AH342" i="136"/>
  <c r="AH368" i="136"/>
  <c r="AH338" i="136"/>
  <c r="AH388" i="136"/>
  <c r="AH334" i="136"/>
  <c r="Z334" i="136" a="1"/>
  <c r="Z432" i="136" l="1"/>
  <c r="Z428" i="136"/>
  <c r="Z424" i="136"/>
  <c r="Z420" i="136"/>
  <c r="Z416" i="136"/>
  <c r="Z412" i="136"/>
  <c r="Z408" i="136"/>
  <c r="Z404" i="136"/>
  <c r="Z400" i="136"/>
  <c r="Z396" i="136"/>
  <c r="Z392" i="136"/>
  <c r="Z388" i="136"/>
  <c r="Z384" i="136"/>
  <c r="Z380" i="136"/>
  <c r="Z376" i="136"/>
  <c r="Z372" i="136"/>
  <c r="Z368" i="136"/>
  <c r="Z364" i="136"/>
  <c r="Z360" i="136"/>
  <c r="Z356" i="136"/>
  <c r="Z352" i="136"/>
  <c r="Z348" i="136"/>
  <c r="Z344" i="136"/>
  <c r="Z340" i="136"/>
  <c r="Z336" i="136"/>
  <c r="Z433" i="136"/>
  <c r="Z429" i="136"/>
  <c r="Z425" i="136"/>
  <c r="Z421" i="136"/>
  <c r="Z417" i="136"/>
  <c r="Z413" i="136"/>
  <c r="Z409" i="136"/>
  <c r="Z405" i="136"/>
  <c r="Z401" i="136"/>
  <c r="Z397" i="136"/>
  <c r="Z393" i="136"/>
  <c r="Z389" i="136"/>
  <c r="Z385" i="136"/>
  <c r="Z381" i="136"/>
  <c r="Z377" i="136"/>
  <c r="Z373" i="136"/>
  <c r="Z369" i="136"/>
  <c r="Z365" i="136"/>
  <c r="Z361" i="136"/>
  <c r="Z357" i="136"/>
  <c r="Z353" i="136"/>
  <c r="Z349" i="136"/>
  <c r="Z345" i="136"/>
  <c r="Z341" i="136"/>
  <c r="Z337" i="136"/>
  <c r="Z431" i="136"/>
  <c r="Z427" i="136"/>
  <c r="Z423" i="136"/>
  <c r="Z419" i="136"/>
  <c r="Z415" i="136"/>
  <c r="Z411" i="136"/>
  <c r="Z407" i="136"/>
  <c r="Z403" i="136"/>
  <c r="Z399" i="136"/>
  <c r="Z395" i="136"/>
  <c r="Z391" i="136"/>
  <c r="Z387" i="136"/>
  <c r="Z383" i="136"/>
  <c r="Z379" i="136"/>
  <c r="Z375" i="136"/>
  <c r="Z422" i="136"/>
  <c r="Z355" i="136"/>
  <c r="Z342" i="136"/>
  <c r="Z410" i="136"/>
  <c r="Z339" i="136"/>
  <c r="Z366" i="136"/>
  <c r="Z418" i="136"/>
  <c r="Z398" i="136"/>
  <c r="Z390" i="136"/>
  <c r="Z382" i="136"/>
  <c r="Z374" i="136"/>
  <c r="Z359" i="136"/>
  <c r="Z346" i="136"/>
  <c r="Z354" i="136"/>
  <c r="Z335" i="136"/>
  <c r="Z371" i="136"/>
  <c r="Z358" i="136"/>
  <c r="Z402" i="136"/>
  <c r="Z394" i="136"/>
  <c r="Z414" i="136"/>
  <c r="Z363" i="136"/>
  <c r="Z350" i="136"/>
  <c r="Z367" i="136"/>
  <c r="Z406" i="136"/>
  <c r="Z386" i="136"/>
  <c r="Z378" i="136"/>
  <c r="Z362" i="136"/>
  <c r="Z343" i="136"/>
  <c r="Z430" i="136"/>
  <c r="Z338" i="136"/>
  <c r="Z351" i="136"/>
  <c r="Z426" i="136"/>
  <c r="Z370" i="136"/>
  <c r="Z347" i="136"/>
  <c r="Z334" i="136"/>
  <c r="R334" i="136" a="1"/>
  <c r="BD12" i="121" l="1"/>
  <c r="BP11" i="57" s="1"/>
  <c r="BD17" i="121"/>
  <c r="BP16" i="57" s="1"/>
  <c r="BD25" i="121"/>
  <c r="BP24" i="57" s="1"/>
  <c r="BD13" i="121"/>
  <c r="BP12" i="57" s="1"/>
  <c r="BD14" i="121"/>
  <c r="BP13" i="57" s="1"/>
  <c r="BD24" i="121"/>
  <c r="BP23" i="57" s="1"/>
  <c r="BD19" i="121"/>
  <c r="BP18" i="57" s="1"/>
  <c r="BD10" i="121"/>
  <c r="BP9" i="57" s="1"/>
  <c r="BD16" i="121"/>
  <c r="BP15" i="57" s="1"/>
  <c r="BD18" i="121"/>
  <c r="BP17" i="57" s="1"/>
  <c r="BD11" i="121"/>
  <c r="BP10" i="57" s="1"/>
  <c r="BD22" i="121"/>
  <c r="BP21" i="57" s="1"/>
  <c r="BD23" i="121"/>
  <c r="BP22" i="57" s="1"/>
  <c r="BD15" i="121"/>
  <c r="BP14" i="57" s="1"/>
  <c r="BD20" i="121"/>
  <c r="BP19" i="57" s="1"/>
  <c r="BD21" i="121"/>
  <c r="BP20" i="57" s="1"/>
  <c r="R417" i="136"/>
  <c r="R413" i="136"/>
  <c r="R409" i="136"/>
  <c r="R405" i="136"/>
  <c r="R432" i="136"/>
  <c r="R428" i="136"/>
  <c r="R424" i="136"/>
  <c r="R420" i="136"/>
  <c r="R416" i="136"/>
  <c r="R412" i="136"/>
  <c r="R408" i="136"/>
  <c r="R404" i="136"/>
  <c r="R400" i="136"/>
  <c r="R396" i="136"/>
  <c r="R392" i="136"/>
  <c r="R388" i="136"/>
  <c r="R384" i="136"/>
  <c r="R380" i="136"/>
  <c r="R376" i="136"/>
  <c r="R372" i="136"/>
  <c r="R368" i="136"/>
  <c r="R364" i="136"/>
  <c r="R360" i="136"/>
  <c r="R356" i="136"/>
  <c r="R352" i="136"/>
  <c r="R348" i="136"/>
  <c r="R344" i="136"/>
  <c r="R340" i="136"/>
  <c r="R336" i="136"/>
  <c r="R425" i="136"/>
  <c r="R421" i="136"/>
  <c r="R433" i="136"/>
  <c r="R429" i="136"/>
  <c r="R426" i="136"/>
  <c r="R419" i="136"/>
  <c r="R401" i="136"/>
  <c r="R393" i="136"/>
  <c r="R385" i="136"/>
  <c r="R377" i="136"/>
  <c r="R370" i="136"/>
  <c r="R357" i="136"/>
  <c r="R351" i="136"/>
  <c r="R338" i="136"/>
  <c r="R346" i="136"/>
  <c r="R369" i="136"/>
  <c r="R350" i="136"/>
  <c r="R337" i="136"/>
  <c r="R403" i="136"/>
  <c r="R354" i="136"/>
  <c r="R371" i="136"/>
  <c r="R394" i="136"/>
  <c r="R422" i="136"/>
  <c r="R415" i="136"/>
  <c r="R361" i="136"/>
  <c r="R355" i="136"/>
  <c r="R342" i="136"/>
  <c r="R414" i="136"/>
  <c r="R407" i="136"/>
  <c r="R395" i="136"/>
  <c r="R387" i="136"/>
  <c r="R379" i="136"/>
  <c r="R410" i="136"/>
  <c r="R341" i="136"/>
  <c r="R431" i="136"/>
  <c r="R339" i="136"/>
  <c r="R427" i="136"/>
  <c r="R402" i="136"/>
  <c r="R418" i="136"/>
  <c r="R411" i="136"/>
  <c r="R398" i="136"/>
  <c r="R390" i="136"/>
  <c r="R382" i="136"/>
  <c r="R374" i="136"/>
  <c r="R365" i="136"/>
  <c r="R359" i="136"/>
  <c r="R363" i="136"/>
  <c r="R397" i="136"/>
  <c r="R389" i="136"/>
  <c r="R381" i="136"/>
  <c r="R373" i="136"/>
  <c r="R367" i="136"/>
  <c r="R335" i="136"/>
  <c r="R406" i="136"/>
  <c r="R358" i="136"/>
  <c r="R345" i="136"/>
  <c r="R386" i="136"/>
  <c r="R378" i="136"/>
  <c r="R349" i="136"/>
  <c r="R362" i="136"/>
  <c r="R430" i="136"/>
  <c r="R347" i="136"/>
  <c r="R343" i="136"/>
  <c r="R391" i="136"/>
  <c r="R353" i="136"/>
  <c r="R366" i="136"/>
  <c r="R399" i="136"/>
  <c r="R423" i="136"/>
  <c r="R383" i="136"/>
  <c r="R375" i="136"/>
  <c r="R334" i="136"/>
  <c r="J334" i="136" a="1"/>
  <c r="AX10" i="121" l="1"/>
  <c r="BJ9" i="57" s="1"/>
  <c r="CB6" i="169" s="1"/>
  <c r="AX19" i="121"/>
  <c r="BJ18" i="57" s="1"/>
  <c r="CB15" i="169" s="1"/>
  <c r="AX23" i="121"/>
  <c r="BJ22" i="57" s="1"/>
  <c r="CB19" i="169" s="1"/>
  <c r="AX21" i="121"/>
  <c r="BJ20" i="57" s="1"/>
  <c r="CB17" i="169" s="1"/>
  <c r="AX13" i="121"/>
  <c r="BJ12" i="57" s="1"/>
  <c r="CB9" i="169" s="1"/>
  <c r="AX17" i="121"/>
  <c r="BJ16" i="57" s="1"/>
  <c r="CB13" i="169" s="1"/>
  <c r="AX15" i="121"/>
  <c r="BJ14" i="57" s="1"/>
  <c r="CB11" i="169" s="1"/>
  <c r="AX24" i="121"/>
  <c r="BJ23" i="57" s="1"/>
  <c r="CB20" i="169" s="1"/>
  <c r="AX12" i="121"/>
  <c r="BJ11" i="57" s="1"/>
  <c r="CB8" i="169" s="1"/>
  <c r="AX25" i="121"/>
  <c r="BJ24" i="57" s="1"/>
  <c r="CB21" i="169" s="1"/>
  <c r="AX14" i="121"/>
  <c r="BJ13" i="57" s="1"/>
  <c r="CB10" i="169" s="1"/>
  <c r="AX11" i="121"/>
  <c r="BJ10" i="57" s="1"/>
  <c r="CB7" i="169" s="1"/>
  <c r="AX16" i="121"/>
  <c r="BJ15" i="57" s="1"/>
  <c r="CB12" i="169" s="1"/>
  <c r="AX20" i="121"/>
  <c r="BJ19" i="57" s="1"/>
  <c r="CB16" i="169" s="1"/>
  <c r="AX18" i="121"/>
  <c r="BJ17" i="57" s="1"/>
  <c r="CB14" i="169" s="1"/>
  <c r="AX22" i="121"/>
  <c r="BJ21" i="57" s="1"/>
  <c r="CB18" i="169" s="1"/>
  <c r="AX26" i="121"/>
  <c r="BJ25" i="57" s="1"/>
  <c r="J431" i="136"/>
  <c r="J427" i="136"/>
  <c r="J423" i="136"/>
  <c r="J419" i="136"/>
  <c r="J415" i="136"/>
  <c r="J411" i="136"/>
  <c r="J407" i="136"/>
  <c r="J403" i="136"/>
  <c r="J399" i="136"/>
  <c r="J395" i="136"/>
  <c r="J391" i="136"/>
  <c r="J387" i="136"/>
  <c r="J383" i="136"/>
  <c r="J379" i="136"/>
  <c r="J375" i="136"/>
  <c r="J371" i="136"/>
  <c r="J367" i="136"/>
  <c r="J363" i="136"/>
  <c r="J359" i="136"/>
  <c r="J355" i="136"/>
  <c r="J351" i="136"/>
  <c r="J347" i="136"/>
  <c r="J343" i="136"/>
  <c r="J339" i="136"/>
  <c r="J335" i="136"/>
  <c r="J432" i="136"/>
  <c r="J428" i="136"/>
  <c r="J424" i="136"/>
  <c r="J420" i="136"/>
  <c r="J416" i="136"/>
  <c r="J412" i="136"/>
  <c r="J408" i="136"/>
  <c r="J404" i="136"/>
  <c r="J400" i="136"/>
  <c r="J396" i="136"/>
  <c r="J392" i="136"/>
  <c r="J388" i="136"/>
  <c r="J384" i="136"/>
  <c r="J380" i="136"/>
  <c r="J376" i="136"/>
  <c r="J372" i="136"/>
  <c r="J368" i="136"/>
  <c r="J364" i="136"/>
  <c r="J360" i="136"/>
  <c r="J356" i="136"/>
  <c r="J352" i="136"/>
  <c r="J348" i="136"/>
  <c r="J344" i="136"/>
  <c r="J340" i="136"/>
  <c r="J336" i="136"/>
  <c r="J430" i="136"/>
  <c r="J426" i="136"/>
  <c r="J422" i="136"/>
  <c r="J418" i="136"/>
  <c r="J414" i="136"/>
  <c r="J410" i="136"/>
  <c r="J406" i="136"/>
  <c r="J402" i="136"/>
  <c r="J398" i="136"/>
  <c r="J394" i="136"/>
  <c r="J390" i="136"/>
  <c r="J386" i="136"/>
  <c r="J382" i="136"/>
  <c r="J378" i="136"/>
  <c r="J374" i="136"/>
  <c r="J433" i="136"/>
  <c r="J366" i="136"/>
  <c r="J353" i="136"/>
  <c r="J342" i="136"/>
  <c r="J369" i="136"/>
  <c r="J413" i="136"/>
  <c r="J389" i="136"/>
  <c r="J381" i="136"/>
  <c r="J341" i="136"/>
  <c r="J429" i="136"/>
  <c r="J401" i="136"/>
  <c r="J393" i="136"/>
  <c r="J385" i="136"/>
  <c r="J377" i="136"/>
  <c r="J370" i="136"/>
  <c r="J357" i="136"/>
  <c r="J338" i="136"/>
  <c r="J421" i="136"/>
  <c r="J365" i="136"/>
  <c r="J417" i="136"/>
  <c r="J354" i="136"/>
  <c r="J425" i="136"/>
  <c r="J361" i="136"/>
  <c r="J346" i="136"/>
  <c r="J350" i="136"/>
  <c r="J397" i="136"/>
  <c r="J409" i="136"/>
  <c r="J358" i="136"/>
  <c r="J337" i="136"/>
  <c r="J373" i="136"/>
  <c r="J362" i="136"/>
  <c r="J345" i="136"/>
  <c r="J349" i="136"/>
  <c r="J405" i="136"/>
  <c r="J334" i="136"/>
  <c r="B334" i="136" a="1"/>
  <c r="AR10" i="121" l="1"/>
  <c r="AZ9" i="57" s="1"/>
  <c r="BB9" i="57" s="1"/>
  <c r="AR15" i="121"/>
  <c r="AZ14" i="57" s="1"/>
  <c r="BB14" i="57" s="1"/>
  <c r="AR11" i="121"/>
  <c r="AZ10" i="57" s="1"/>
  <c r="BB10" i="57" s="1"/>
  <c r="AR20" i="121"/>
  <c r="AZ19" i="57" s="1"/>
  <c r="BB19" i="57" s="1"/>
  <c r="AR12" i="121"/>
  <c r="AZ11" i="57" s="1"/>
  <c r="BB11" i="57" s="1"/>
  <c r="AR22" i="121"/>
  <c r="AZ21" i="57" s="1"/>
  <c r="BB21" i="57" s="1"/>
  <c r="AR21" i="121"/>
  <c r="AZ20" i="57" s="1"/>
  <c r="BB20" i="57" s="1"/>
  <c r="AR17" i="121"/>
  <c r="AZ16" i="57" s="1"/>
  <c r="BB16" i="57" s="1"/>
  <c r="AR25" i="121"/>
  <c r="AZ24" i="57" s="1"/>
  <c r="BB24" i="57" s="1"/>
  <c r="AR13" i="121"/>
  <c r="AZ12" i="57" s="1"/>
  <c r="BB12" i="57" s="1"/>
  <c r="AR24" i="121"/>
  <c r="AZ23" i="57" s="1"/>
  <c r="BB23" i="57" s="1"/>
  <c r="AR18" i="121"/>
  <c r="AZ17" i="57" s="1"/>
  <c r="BB17" i="57" s="1"/>
  <c r="AR14" i="121"/>
  <c r="AZ13" i="57" s="1"/>
  <c r="BB13" i="57" s="1"/>
  <c r="AR19" i="121"/>
  <c r="AZ18" i="57" s="1"/>
  <c r="BB18" i="57" s="1"/>
  <c r="AR16" i="121"/>
  <c r="AZ15" i="57" s="1"/>
  <c r="BB15" i="57" s="1"/>
  <c r="AR23" i="121"/>
  <c r="AZ22" i="57" s="1"/>
  <c r="BB22" i="57" s="1"/>
  <c r="AF10" i="121"/>
  <c r="AN29" i="57" s="1"/>
  <c r="AF12" i="121"/>
  <c r="AN31" i="57" s="1"/>
  <c r="AF14" i="121"/>
  <c r="AN33" i="57" s="1"/>
  <c r="AF13" i="121"/>
  <c r="AN32" i="57" s="1"/>
  <c r="AF11" i="121"/>
  <c r="AN30" i="57" s="1"/>
  <c r="T10" i="121"/>
  <c r="B431" i="136"/>
  <c r="B427" i="136"/>
  <c r="B423" i="136"/>
  <c r="B419" i="136"/>
  <c r="B415" i="136"/>
  <c r="B411" i="136"/>
  <c r="B407" i="136"/>
  <c r="B403" i="136"/>
  <c r="B399" i="136"/>
  <c r="B395" i="136"/>
  <c r="B391" i="136"/>
  <c r="B387" i="136"/>
  <c r="B383" i="136"/>
  <c r="B379" i="136"/>
  <c r="B375" i="136"/>
  <c r="B371" i="136"/>
  <c r="B367" i="136"/>
  <c r="B363" i="136"/>
  <c r="B359" i="136"/>
  <c r="B355" i="136"/>
  <c r="B351" i="136"/>
  <c r="B347" i="136"/>
  <c r="B343" i="136"/>
  <c r="B339" i="136"/>
  <c r="B335" i="136"/>
  <c r="B432" i="136"/>
  <c r="B428" i="136"/>
  <c r="B424" i="136"/>
  <c r="B420" i="136"/>
  <c r="B416" i="136"/>
  <c r="B412" i="136"/>
  <c r="B408" i="136"/>
  <c r="B404" i="136"/>
  <c r="B430" i="136"/>
  <c r="B405" i="136"/>
  <c r="B396" i="136"/>
  <c r="B388" i="136"/>
  <c r="B380" i="136"/>
  <c r="B368" i="136"/>
  <c r="B362" i="136"/>
  <c r="B349" i="136"/>
  <c r="B336" i="136"/>
  <c r="B418" i="136"/>
  <c r="B398" i="136"/>
  <c r="B392" i="136"/>
  <c r="B384" i="136"/>
  <c r="B376" i="136"/>
  <c r="B346" i="136"/>
  <c r="B356" i="136"/>
  <c r="B350" i="136"/>
  <c r="B406" i="136"/>
  <c r="B360" i="136"/>
  <c r="B354" i="136"/>
  <c r="B433" i="136"/>
  <c r="B426" i="136"/>
  <c r="B372" i="136"/>
  <c r="B366" i="136"/>
  <c r="B353" i="136"/>
  <c r="B340" i="136"/>
  <c r="B344" i="136"/>
  <c r="B338" i="136"/>
  <c r="B361" i="136"/>
  <c r="B348" i="136"/>
  <c r="B342" i="136"/>
  <c r="B400" i="136"/>
  <c r="B365" i="136"/>
  <c r="B352" i="136"/>
  <c r="B417" i="136"/>
  <c r="B381" i="136"/>
  <c r="B429" i="136"/>
  <c r="B422" i="136"/>
  <c r="B401" i="136"/>
  <c r="B393" i="136"/>
  <c r="B385" i="136"/>
  <c r="B377" i="136"/>
  <c r="B370" i="136"/>
  <c r="B357" i="136"/>
  <c r="B425" i="136"/>
  <c r="B390" i="136"/>
  <c r="B382" i="136"/>
  <c r="B374" i="136"/>
  <c r="B421" i="136"/>
  <c r="B414" i="136"/>
  <c r="B369" i="136"/>
  <c r="B337" i="136"/>
  <c r="B397" i="136"/>
  <c r="B410" i="136"/>
  <c r="B413" i="136"/>
  <c r="B389" i="136"/>
  <c r="B373" i="136"/>
  <c r="B402" i="136"/>
  <c r="B358" i="136"/>
  <c r="B364" i="136"/>
  <c r="B378" i="136"/>
  <c r="B345" i="136"/>
  <c r="B394" i="136"/>
  <c r="B409" i="136"/>
  <c r="B341" i="136"/>
  <c r="B386" i="136"/>
  <c r="B334" i="136"/>
  <c r="AP227" i="136" a="1"/>
  <c r="Y9" i="125" l="1"/>
  <c r="X9" i="125"/>
  <c r="G9" i="125" s="1"/>
  <c r="Y11" i="125"/>
  <c r="X11" i="125"/>
  <c r="G11" i="125" s="1"/>
  <c r="Y21" i="125"/>
  <c r="X21" i="125"/>
  <c r="G21" i="125" s="1"/>
  <c r="X6" i="125"/>
  <c r="Y6" i="125"/>
  <c r="Y13" i="125"/>
  <c r="X13" i="125"/>
  <c r="G13" i="125" s="1"/>
  <c r="Y12" i="125"/>
  <c r="X12" i="125"/>
  <c r="G12" i="125" s="1"/>
  <c r="Y17" i="125"/>
  <c r="X17" i="125"/>
  <c r="G17" i="125" s="1"/>
  <c r="AK26" i="57"/>
  <c r="AK29" i="57"/>
  <c r="Y15" i="125"/>
  <c r="X15" i="125"/>
  <c r="G15" i="125" s="1"/>
  <c r="Y18" i="125"/>
  <c r="X18" i="125"/>
  <c r="G18" i="125" s="1"/>
  <c r="Y19" i="125"/>
  <c r="X19" i="125"/>
  <c r="G19" i="125" s="1"/>
  <c r="Y10" i="125"/>
  <c r="X10" i="125"/>
  <c r="G10" i="125" s="1"/>
  <c r="Y8" i="125"/>
  <c r="X8" i="125"/>
  <c r="G8" i="125" s="1"/>
  <c r="Y14" i="125"/>
  <c r="X14" i="125"/>
  <c r="G14" i="125" s="1"/>
  <c r="Y16" i="125"/>
  <c r="X16" i="125"/>
  <c r="G16" i="125" s="1"/>
  <c r="B10" i="121"/>
  <c r="M9" i="57" s="1"/>
  <c r="Q9" i="57" s="1"/>
  <c r="B14" i="121"/>
  <c r="M13" i="57" s="1"/>
  <c r="Q13" i="57" s="1"/>
  <c r="B25" i="121"/>
  <c r="M24" i="57" s="1"/>
  <c r="Q24" i="57" s="1"/>
  <c r="B15" i="121"/>
  <c r="M14" i="57" s="1"/>
  <c r="Q14" i="57" s="1"/>
  <c r="B17" i="121"/>
  <c r="M16" i="57" s="1"/>
  <c r="Q16" i="57" s="1"/>
  <c r="B24" i="121"/>
  <c r="M23" i="57" s="1"/>
  <c r="Q23" i="57" s="1"/>
  <c r="B12" i="121"/>
  <c r="M11" i="57" s="1"/>
  <c r="Q11" i="57" s="1"/>
  <c r="B19" i="121"/>
  <c r="M18" i="57" s="1"/>
  <c r="Q18" i="57" s="1"/>
  <c r="B18" i="121"/>
  <c r="M17" i="57" s="1"/>
  <c r="Q17" i="57" s="1"/>
  <c r="B26" i="121"/>
  <c r="M25" i="57" s="1"/>
  <c r="Q25" i="57" s="1"/>
  <c r="B11" i="121"/>
  <c r="M10" i="57" s="1"/>
  <c r="Q10" i="57" s="1"/>
  <c r="B27" i="121"/>
  <c r="M26" i="57" s="1"/>
  <c r="Q26" i="57" s="1"/>
  <c r="B23" i="121"/>
  <c r="M22" i="57" s="1"/>
  <c r="Q22" i="57" s="1"/>
  <c r="B21" i="121"/>
  <c r="M20" i="57" s="1"/>
  <c r="Q20" i="57" s="1"/>
  <c r="B16" i="121"/>
  <c r="M15" i="57" s="1"/>
  <c r="Q15" i="57" s="1"/>
  <c r="B13" i="121"/>
  <c r="M12" i="57" s="1"/>
  <c r="Q12" i="57" s="1"/>
  <c r="B28" i="121"/>
  <c r="M27" i="57" s="1"/>
  <c r="Q27" i="57" s="1"/>
  <c r="B22" i="121"/>
  <c r="M21" i="57" s="1"/>
  <c r="Q21" i="57" s="1"/>
  <c r="B20" i="121"/>
  <c r="M19" i="57" s="1"/>
  <c r="Q19" i="57" s="1"/>
  <c r="B29" i="121"/>
  <c r="M28" i="57" s="1"/>
  <c r="Q28" i="57" s="1"/>
  <c r="Y20" i="125"/>
  <c r="X20" i="125"/>
  <c r="G20" i="125" s="1"/>
  <c r="Y7" i="125"/>
  <c r="X7" i="125"/>
  <c r="AP324" i="136"/>
  <c r="AP320" i="136"/>
  <c r="AP316" i="136"/>
  <c r="AP312" i="136"/>
  <c r="AP308" i="136"/>
  <c r="AP304" i="136"/>
  <c r="AP300" i="136"/>
  <c r="AP296" i="136"/>
  <c r="AP292" i="136"/>
  <c r="AP288" i="136"/>
  <c r="AP284" i="136"/>
  <c r="AP280" i="136"/>
  <c r="AP276" i="136"/>
  <c r="AP272" i="136"/>
  <c r="AP268" i="136"/>
  <c r="AP264" i="136"/>
  <c r="AP325" i="136"/>
  <c r="AP321" i="136"/>
  <c r="AP317" i="136"/>
  <c r="AP313" i="136"/>
  <c r="AP309" i="136"/>
  <c r="AP305" i="136"/>
  <c r="AP301" i="136"/>
  <c r="AP297" i="136"/>
  <c r="AP293" i="136"/>
  <c r="AP289" i="136"/>
  <c r="AP285" i="136"/>
  <c r="AP281" i="136"/>
  <c r="AP277" i="136"/>
  <c r="AP273" i="136"/>
  <c r="AP269" i="136"/>
  <c r="AP265" i="136"/>
  <c r="AP261" i="136"/>
  <c r="AP257" i="136"/>
  <c r="AP253" i="136"/>
  <c r="AP249" i="136"/>
  <c r="AP245" i="136"/>
  <c r="AP241" i="136"/>
  <c r="AP237" i="136"/>
  <c r="AP233" i="136"/>
  <c r="AP229" i="136"/>
  <c r="AP260" i="136"/>
  <c r="AP256" i="136"/>
  <c r="AP252" i="136"/>
  <c r="AP248" i="136"/>
  <c r="AP244" i="136"/>
  <c r="AP235" i="136"/>
  <c r="AP318" i="136"/>
  <c r="AP310" i="136"/>
  <c r="AP302" i="136"/>
  <c r="AP294" i="136"/>
  <c r="AP286" i="136"/>
  <c r="AP278" i="136"/>
  <c r="AP270" i="136"/>
  <c r="AP262" i="136"/>
  <c r="AP254" i="136"/>
  <c r="AP246" i="136"/>
  <c r="AP239" i="136"/>
  <c r="AP322" i="136"/>
  <c r="AP314" i="136"/>
  <c r="AP306" i="136"/>
  <c r="AP298" i="136"/>
  <c r="AP290" i="136"/>
  <c r="AP282" i="136"/>
  <c r="AP274" i="136"/>
  <c r="AP266" i="136"/>
  <c r="AP258" i="136"/>
  <c r="AP250" i="136"/>
  <c r="AP242" i="136"/>
  <c r="AP240" i="136"/>
  <c r="AP227" i="136"/>
  <c r="AP319" i="136"/>
  <c r="AP311" i="136"/>
  <c r="AP291" i="136"/>
  <c r="AP275" i="136"/>
  <c r="AP259" i="136"/>
  <c r="AP243" i="136"/>
  <c r="AP234" i="136"/>
  <c r="AP238" i="136"/>
  <c r="AP295" i="136"/>
  <c r="AP279" i="136"/>
  <c r="AP263" i="136"/>
  <c r="AP247" i="136"/>
  <c r="AP326" i="136"/>
  <c r="AP315" i="136"/>
  <c r="AP299" i="136"/>
  <c r="AP283" i="136"/>
  <c r="AP267" i="136"/>
  <c r="AP251" i="136"/>
  <c r="AP287" i="136"/>
  <c r="AP271" i="136"/>
  <c r="AP231" i="136"/>
  <c r="AP230" i="136"/>
  <c r="AP307" i="136"/>
  <c r="AP228" i="136"/>
  <c r="AP232" i="136"/>
  <c r="AP236" i="136"/>
  <c r="AP303" i="136"/>
  <c r="AP255" i="136"/>
  <c r="AP323" i="136"/>
  <c r="AH227" i="136" a="1"/>
  <c r="BP10" i="120" l="1"/>
  <c r="CN9" i="56" s="1"/>
  <c r="BP14" i="120"/>
  <c r="CN13" i="56" s="1"/>
  <c r="BP19" i="120"/>
  <c r="CN18" i="56" s="1"/>
  <c r="BP22" i="120"/>
  <c r="CN21" i="56" s="1"/>
  <c r="BP18" i="120"/>
  <c r="CN17" i="56" s="1"/>
  <c r="BP20" i="120"/>
  <c r="CN19" i="56" s="1"/>
  <c r="BP16" i="120"/>
  <c r="CN15" i="56" s="1"/>
  <c r="BP13" i="120"/>
  <c r="CN12" i="56" s="1"/>
  <c r="BP21" i="120"/>
  <c r="CN20" i="56" s="1"/>
  <c r="BP17" i="120"/>
  <c r="CN16" i="56" s="1"/>
  <c r="BP11" i="120"/>
  <c r="CN10" i="56" s="1"/>
  <c r="BP15" i="120"/>
  <c r="CN14" i="56" s="1"/>
  <c r="BP23" i="120"/>
  <c r="CN22" i="56" s="1"/>
  <c r="BP24" i="120"/>
  <c r="CN23" i="56" s="1"/>
  <c r="BP12" i="120"/>
  <c r="CN11" i="56" s="1"/>
  <c r="AH324" i="136"/>
  <c r="AH320" i="136"/>
  <c r="AH316" i="136"/>
  <c r="AH312" i="136"/>
  <c r="AH308" i="136"/>
  <c r="AH304" i="136"/>
  <c r="AH300" i="136"/>
  <c r="AH296" i="136"/>
  <c r="AH292" i="136"/>
  <c r="AH288" i="136"/>
  <c r="AH284" i="136"/>
  <c r="AH280" i="136"/>
  <c r="AH276" i="136"/>
  <c r="AH272" i="136"/>
  <c r="AH268" i="136"/>
  <c r="AH264" i="136"/>
  <c r="AH260" i="136"/>
  <c r="AH256" i="136"/>
  <c r="AH252" i="136"/>
  <c r="AH248" i="136"/>
  <c r="AH244" i="136"/>
  <c r="AH240" i="136"/>
  <c r="AH236" i="136"/>
  <c r="AH232" i="136"/>
  <c r="AH228" i="136"/>
  <c r="AH325" i="136"/>
  <c r="AH323" i="136"/>
  <c r="AH319" i="136"/>
  <c r="AH315" i="136"/>
  <c r="AH311" i="136"/>
  <c r="AH307" i="136"/>
  <c r="AH303" i="136"/>
  <c r="AH299" i="136"/>
  <c r="AH295" i="136"/>
  <c r="AH291" i="136"/>
  <c r="AH287" i="136"/>
  <c r="AH283" i="136"/>
  <c r="AH279" i="136"/>
  <c r="AH275" i="136"/>
  <c r="AH271" i="136"/>
  <c r="AH267" i="136"/>
  <c r="AH263" i="136"/>
  <c r="AH259" i="136"/>
  <c r="AH255" i="136"/>
  <c r="AH251" i="136"/>
  <c r="AH247" i="136"/>
  <c r="AH243" i="136"/>
  <c r="AH239" i="136"/>
  <c r="AH235" i="136"/>
  <c r="AH231" i="136"/>
  <c r="AH321" i="136"/>
  <c r="AH313" i="136"/>
  <c r="AH305" i="136"/>
  <c r="AH297" i="136"/>
  <c r="AH289" i="136"/>
  <c r="AH281" i="136"/>
  <c r="AH273" i="136"/>
  <c r="AH265" i="136"/>
  <c r="AH257" i="136"/>
  <c r="AH249" i="136"/>
  <c r="AH237" i="136"/>
  <c r="AH241" i="136"/>
  <c r="AH318" i="136"/>
  <c r="AH310" i="136"/>
  <c r="AH238" i="136"/>
  <c r="AH322" i="136"/>
  <c r="AH314" i="136"/>
  <c r="AH306" i="136"/>
  <c r="AH298" i="136"/>
  <c r="AH290" i="136"/>
  <c r="AH282" i="136"/>
  <c r="AH274" i="136"/>
  <c r="AH266" i="136"/>
  <c r="AH258" i="136"/>
  <c r="AH250" i="136"/>
  <c r="AH242" i="136"/>
  <c r="AH229" i="136"/>
  <c r="AH309" i="136"/>
  <c r="AH230" i="136"/>
  <c r="AH301" i="136"/>
  <c r="AH285" i="136"/>
  <c r="AH269" i="136"/>
  <c r="AH253" i="136"/>
  <c r="AH234" i="136"/>
  <c r="AH317" i="136"/>
  <c r="AH233" i="136"/>
  <c r="AH294" i="136"/>
  <c r="AH278" i="136"/>
  <c r="AH246" i="136"/>
  <c r="AH326" i="136"/>
  <c r="AH245" i="136"/>
  <c r="AH302" i="136"/>
  <c r="AH254" i="136"/>
  <c r="AH262" i="136"/>
  <c r="AH261" i="136"/>
  <c r="AH286" i="136"/>
  <c r="AH270" i="136"/>
  <c r="AH293" i="136"/>
  <c r="AH277" i="136"/>
  <c r="AH227" i="136"/>
  <c r="Z227" i="136" a="1"/>
  <c r="BJ10" i="120" l="1"/>
  <c r="BV9" i="56" s="1"/>
  <c r="BJ21" i="120"/>
  <c r="BV20" i="56" s="1"/>
  <c r="BJ24" i="120"/>
  <c r="BV23" i="56" s="1"/>
  <c r="BJ19" i="120"/>
  <c r="BV18" i="56" s="1"/>
  <c r="BJ26" i="120"/>
  <c r="BV25" i="56" s="1"/>
  <c r="BJ22" i="120"/>
  <c r="BV21" i="56" s="1"/>
  <c r="BJ11" i="120"/>
  <c r="BV10" i="56" s="1"/>
  <c r="BJ25" i="120"/>
  <c r="BV24" i="56" s="1"/>
  <c r="BJ20" i="120"/>
  <c r="BV19" i="56" s="1"/>
  <c r="BJ18" i="120"/>
  <c r="BV17" i="56" s="1"/>
  <c r="BJ12" i="120"/>
  <c r="BV11" i="56" s="1"/>
  <c r="BJ15" i="120"/>
  <c r="BV14" i="56" s="1"/>
  <c r="BJ13" i="120"/>
  <c r="BV12" i="56" s="1"/>
  <c r="BJ16" i="120"/>
  <c r="BV15" i="56" s="1"/>
  <c r="BJ14" i="120"/>
  <c r="BV13" i="56" s="1"/>
  <c r="BJ23" i="120"/>
  <c r="BV22" i="56" s="1"/>
  <c r="BJ17" i="120"/>
  <c r="BV16" i="56" s="1"/>
  <c r="Z323" i="136"/>
  <c r="Z319" i="136"/>
  <c r="Z315" i="136"/>
  <c r="Z311" i="136"/>
  <c r="Z307" i="136"/>
  <c r="Z303" i="136"/>
  <c r="Z299" i="136"/>
  <c r="Z295" i="136"/>
  <c r="Z291" i="136"/>
  <c r="Z287" i="136"/>
  <c r="Z283" i="136"/>
  <c r="Z279" i="136"/>
  <c r="Z275" i="136"/>
  <c r="Z267" i="136"/>
  <c r="Z263" i="136"/>
  <c r="Z259" i="136"/>
  <c r="Z255" i="136"/>
  <c r="Z251" i="136"/>
  <c r="Z247" i="136"/>
  <c r="Z324" i="136"/>
  <c r="Z320" i="136"/>
  <c r="Z316" i="136"/>
  <c r="Z312" i="136"/>
  <c r="Z308" i="136"/>
  <c r="Z304" i="136"/>
  <c r="Z300" i="136"/>
  <c r="Z296" i="136"/>
  <c r="Z292" i="136"/>
  <c r="Z288" i="136"/>
  <c r="Z284" i="136"/>
  <c r="Z280" i="136"/>
  <c r="Z276" i="136"/>
  <c r="Z272" i="136"/>
  <c r="Z268" i="136"/>
  <c r="Z264" i="136"/>
  <c r="Z260" i="136"/>
  <c r="Z256" i="136"/>
  <c r="Z252" i="136"/>
  <c r="Z248" i="136"/>
  <c r="Z244" i="136"/>
  <c r="Z240" i="136"/>
  <c r="Z236" i="136"/>
  <c r="Z232" i="136"/>
  <c r="Z228" i="136"/>
  <c r="Z271" i="136"/>
  <c r="Z243" i="136"/>
  <c r="Z233" i="136"/>
  <c r="Z231" i="136"/>
  <c r="Z321" i="136"/>
  <c r="Z313" i="136"/>
  <c r="Z305" i="136"/>
  <c r="Z297" i="136"/>
  <c r="Z289" i="136"/>
  <c r="Z281" i="136"/>
  <c r="Z273" i="136"/>
  <c r="Z265" i="136"/>
  <c r="Z257" i="136"/>
  <c r="Z249" i="136"/>
  <c r="Z237" i="136"/>
  <c r="Z235" i="136"/>
  <c r="Z326" i="136"/>
  <c r="Z317" i="136"/>
  <c r="Z309" i="136"/>
  <c r="Z301" i="136"/>
  <c r="Z293" i="136"/>
  <c r="Z285" i="136"/>
  <c r="Z277" i="136"/>
  <c r="Z269" i="136"/>
  <c r="Z261" i="136"/>
  <c r="Z253" i="136"/>
  <c r="Z245" i="136"/>
  <c r="Z234" i="136"/>
  <c r="Z325" i="136"/>
  <c r="Z238" i="136"/>
  <c r="Z322" i="136"/>
  <c r="Z314" i="136"/>
  <c r="Z302" i="136"/>
  <c r="Z286" i="136"/>
  <c r="Z270" i="136"/>
  <c r="Z254" i="136"/>
  <c r="Z318" i="136"/>
  <c r="Z230" i="136"/>
  <c r="Z290" i="136"/>
  <c r="Z274" i="136"/>
  <c r="Z258" i="136"/>
  <c r="Z242" i="136"/>
  <c r="Z306" i="136"/>
  <c r="Z294" i="136"/>
  <c r="Z278" i="136"/>
  <c r="Z262" i="136"/>
  <c r="Z246" i="136"/>
  <c r="Z298" i="136"/>
  <c r="Z250" i="136"/>
  <c r="Z310" i="136"/>
  <c r="Z239" i="136"/>
  <c r="Z229" i="136"/>
  <c r="Z241" i="136"/>
  <c r="Z282" i="136"/>
  <c r="Z266" i="136"/>
  <c r="Z227" i="136"/>
  <c r="R227" i="136" a="1"/>
  <c r="BD10" i="120" l="1"/>
  <c r="BP9" i="56" s="1"/>
  <c r="BD25" i="120"/>
  <c r="BP24" i="56" s="1"/>
  <c r="BD13" i="120"/>
  <c r="BP12" i="56" s="1"/>
  <c r="BD12" i="120"/>
  <c r="BP11" i="56" s="1"/>
  <c r="BD20" i="120"/>
  <c r="BP19" i="56" s="1"/>
  <c r="BD16" i="120"/>
  <c r="BP15" i="56" s="1"/>
  <c r="BD23" i="120"/>
  <c r="BP22" i="56" s="1"/>
  <c r="BD18" i="120"/>
  <c r="BP17" i="56" s="1"/>
  <c r="BD21" i="120"/>
  <c r="BP20" i="56" s="1"/>
  <c r="BD19" i="120"/>
  <c r="BP18" i="56" s="1"/>
  <c r="BD22" i="120"/>
  <c r="BP21" i="56" s="1"/>
  <c r="BD15" i="120"/>
  <c r="BP14" i="56" s="1"/>
  <c r="BD11" i="120"/>
  <c r="BP10" i="56" s="1"/>
  <c r="BD17" i="120"/>
  <c r="BP16" i="56" s="1"/>
  <c r="BD14" i="120"/>
  <c r="BP13" i="56" s="1"/>
  <c r="BD24" i="120"/>
  <c r="BP23" i="56" s="1"/>
  <c r="BD26" i="120"/>
  <c r="BP25" i="56" s="1"/>
  <c r="R323" i="136"/>
  <c r="R319" i="136"/>
  <c r="R315" i="136"/>
  <c r="R311" i="136"/>
  <c r="R307" i="136"/>
  <c r="R303" i="136"/>
  <c r="R299" i="136"/>
  <c r="R295" i="136"/>
  <c r="R291" i="136"/>
  <c r="R287" i="136"/>
  <c r="R283" i="136"/>
  <c r="R279" i="136"/>
  <c r="R275" i="136"/>
  <c r="R271" i="136"/>
  <c r="R267" i="136"/>
  <c r="R263" i="136"/>
  <c r="R259" i="136"/>
  <c r="R255" i="136"/>
  <c r="R251" i="136"/>
  <c r="R247" i="136"/>
  <c r="R243" i="136"/>
  <c r="R239" i="136"/>
  <c r="R235" i="136"/>
  <c r="R231" i="136"/>
  <c r="R324" i="136"/>
  <c r="R326" i="136"/>
  <c r="R322" i="136"/>
  <c r="R318" i="136"/>
  <c r="R314" i="136"/>
  <c r="R310" i="136"/>
  <c r="R306" i="136"/>
  <c r="R302" i="136"/>
  <c r="R298" i="136"/>
  <c r="R294" i="136"/>
  <c r="R290" i="136"/>
  <c r="R286" i="136"/>
  <c r="R282" i="136"/>
  <c r="R278" i="136"/>
  <c r="R274" i="136"/>
  <c r="R270" i="136"/>
  <c r="R266" i="136"/>
  <c r="R262" i="136"/>
  <c r="R258" i="136"/>
  <c r="R254" i="136"/>
  <c r="R250" i="136"/>
  <c r="R246" i="136"/>
  <c r="R242" i="136"/>
  <c r="R238" i="136"/>
  <c r="R234" i="136"/>
  <c r="R230" i="136"/>
  <c r="R316" i="136"/>
  <c r="R308" i="136"/>
  <c r="R300" i="136"/>
  <c r="R292" i="136"/>
  <c r="R284" i="136"/>
  <c r="R276" i="136"/>
  <c r="R268" i="136"/>
  <c r="R260" i="136"/>
  <c r="R252" i="136"/>
  <c r="R244" i="136"/>
  <c r="R229" i="136"/>
  <c r="R233" i="136"/>
  <c r="R321" i="136"/>
  <c r="R313" i="136"/>
  <c r="R305" i="136"/>
  <c r="R236" i="136"/>
  <c r="R317" i="136"/>
  <c r="R309" i="136"/>
  <c r="R301" i="136"/>
  <c r="R293" i="136"/>
  <c r="R285" i="136"/>
  <c r="R277" i="136"/>
  <c r="R269" i="136"/>
  <c r="R261" i="136"/>
  <c r="R253" i="136"/>
  <c r="R245" i="136"/>
  <c r="R240" i="136"/>
  <c r="R325" i="136"/>
  <c r="R320" i="136"/>
  <c r="R296" i="136"/>
  <c r="R280" i="136"/>
  <c r="R264" i="136"/>
  <c r="R248" i="136"/>
  <c r="R289" i="136"/>
  <c r="R257" i="136"/>
  <c r="R228" i="136"/>
  <c r="R256" i="136"/>
  <c r="R232" i="136"/>
  <c r="R312" i="136"/>
  <c r="R297" i="136"/>
  <c r="R281" i="136"/>
  <c r="R265" i="136"/>
  <c r="R273" i="136"/>
  <c r="R237" i="136"/>
  <c r="R241" i="136"/>
  <c r="R288" i="136"/>
  <c r="R272" i="136"/>
  <c r="R304" i="136"/>
  <c r="R249" i="136"/>
  <c r="R227" i="136"/>
  <c r="J227" i="136" a="1"/>
  <c r="AX10" i="120" l="1"/>
  <c r="BJ9" i="56" s="1"/>
  <c r="CB6" i="168" s="1"/>
  <c r="AX14" i="120"/>
  <c r="BJ13" i="56" s="1"/>
  <c r="CB10" i="168" s="1"/>
  <c r="AX26" i="120"/>
  <c r="BJ25" i="56" s="1"/>
  <c r="AX15" i="120"/>
  <c r="BJ14" i="56" s="1"/>
  <c r="CB11" i="168" s="1"/>
  <c r="AX17" i="120"/>
  <c r="BJ16" i="56" s="1"/>
  <c r="CB13" i="168" s="1"/>
  <c r="AX20" i="120"/>
  <c r="BJ19" i="56" s="1"/>
  <c r="CB16" i="168" s="1"/>
  <c r="AX18" i="120"/>
  <c r="BJ17" i="56" s="1"/>
  <c r="CB14" i="168" s="1"/>
  <c r="AX23" i="120"/>
  <c r="BJ22" i="56" s="1"/>
  <c r="CB19" i="168" s="1"/>
  <c r="AX19" i="120"/>
  <c r="BJ18" i="56" s="1"/>
  <c r="CB15" i="168" s="1"/>
  <c r="AX13" i="120"/>
  <c r="BJ12" i="56" s="1"/>
  <c r="CB9" i="168" s="1"/>
  <c r="AX12" i="120"/>
  <c r="BJ11" i="56" s="1"/>
  <c r="CB8" i="168" s="1"/>
  <c r="AX25" i="120"/>
  <c r="BJ24" i="56" s="1"/>
  <c r="CB21" i="168" s="1"/>
  <c r="CE21" i="168" s="1"/>
  <c r="AX22" i="120"/>
  <c r="BJ21" i="56" s="1"/>
  <c r="CB18" i="168" s="1"/>
  <c r="AX21" i="120"/>
  <c r="BJ20" i="56" s="1"/>
  <c r="CB17" i="168" s="1"/>
  <c r="AX11" i="120"/>
  <c r="BJ10" i="56" s="1"/>
  <c r="CB7" i="168" s="1"/>
  <c r="AX24" i="120"/>
  <c r="BJ23" i="56" s="1"/>
  <c r="CB20" i="168" s="1"/>
  <c r="AX16" i="120"/>
  <c r="BJ15" i="56" s="1"/>
  <c r="CB12" i="168" s="1"/>
  <c r="J326" i="136"/>
  <c r="J322" i="136"/>
  <c r="J318" i="136"/>
  <c r="J314" i="136"/>
  <c r="J310" i="136"/>
  <c r="J306" i="136"/>
  <c r="J302" i="136"/>
  <c r="J298" i="136"/>
  <c r="J294" i="136"/>
  <c r="J290" i="136"/>
  <c r="J286" i="136"/>
  <c r="J282" i="136"/>
  <c r="J278" i="136"/>
  <c r="J274" i="136"/>
  <c r="J270" i="136"/>
  <c r="J266" i="136"/>
  <c r="J262" i="136"/>
  <c r="J323" i="136"/>
  <c r="J319" i="136"/>
  <c r="J315" i="136"/>
  <c r="J311" i="136"/>
  <c r="J307" i="136"/>
  <c r="J303" i="136"/>
  <c r="J299" i="136"/>
  <c r="J295" i="136"/>
  <c r="J291" i="136"/>
  <c r="J287" i="136"/>
  <c r="J283" i="136"/>
  <c r="J279" i="136"/>
  <c r="J275" i="136"/>
  <c r="J271" i="136"/>
  <c r="J267" i="136"/>
  <c r="J263" i="136"/>
  <c r="J259" i="136"/>
  <c r="J255" i="136"/>
  <c r="J251" i="136"/>
  <c r="J247" i="136"/>
  <c r="J243" i="136"/>
  <c r="J239" i="136"/>
  <c r="J235" i="136"/>
  <c r="J231" i="136"/>
  <c r="J258" i="136"/>
  <c r="J254" i="136"/>
  <c r="J250" i="136"/>
  <c r="J246" i="136"/>
  <c r="J325" i="136"/>
  <c r="J242" i="136"/>
  <c r="J324" i="136"/>
  <c r="J316" i="136"/>
  <c r="J308" i="136"/>
  <c r="J300" i="136"/>
  <c r="J292" i="136"/>
  <c r="J284" i="136"/>
  <c r="J276" i="136"/>
  <c r="J268" i="136"/>
  <c r="J260" i="136"/>
  <c r="J252" i="136"/>
  <c r="J244" i="136"/>
  <c r="J229" i="136"/>
  <c r="J320" i="136"/>
  <c r="J312" i="136"/>
  <c r="J304" i="136"/>
  <c r="J296" i="136"/>
  <c r="J288" i="136"/>
  <c r="J280" i="136"/>
  <c r="J272" i="136"/>
  <c r="J264" i="136"/>
  <c r="J256" i="136"/>
  <c r="J248" i="136"/>
  <c r="J232" i="136"/>
  <c r="J230" i="136"/>
  <c r="J236" i="136"/>
  <c r="J234" i="136"/>
  <c r="J317" i="136"/>
  <c r="J309" i="136"/>
  <c r="J297" i="136"/>
  <c r="J281" i="136"/>
  <c r="J265" i="136"/>
  <c r="J249" i="136"/>
  <c r="J301" i="136"/>
  <c r="J285" i="136"/>
  <c r="J269" i="136"/>
  <c r="J253" i="136"/>
  <c r="J233" i="136"/>
  <c r="J305" i="136"/>
  <c r="J273" i="136"/>
  <c r="J237" i="136"/>
  <c r="J261" i="136"/>
  <c r="J240" i="136"/>
  <c r="J238" i="136"/>
  <c r="J289" i="136"/>
  <c r="J257" i="136"/>
  <c r="J228" i="136"/>
  <c r="J293" i="136"/>
  <c r="J245" i="136"/>
  <c r="J321" i="136"/>
  <c r="J313" i="136"/>
  <c r="J241" i="136"/>
  <c r="J277" i="136"/>
  <c r="J227" i="136"/>
  <c r="B227" i="136" a="1"/>
  <c r="AR10" i="120" l="1"/>
  <c r="AZ9" i="56" s="1"/>
  <c r="BB9" i="56" s="1"/>
  <c r="AR15" i="120"/>
  <c r="AZ14" i="56" s="1"/>
  <c r="BB14" i="56" s="1"/>
  <c r="AR22" i="120"/>
  <c r="AZ21" i="56" s="1"/>
  <c r="BB21" i="56" s="1"/>
  <c r="AR21" i="120"/>
  <c r="AZ20" i="56" s="1"/>
  <c r="BB20" i="56" s="1"/>
  <c r="AR19" i="120"/>
  <c r="AZ18" i="56" s="1"/>
  <c r="BB18" i="56" s="1"/>
  <c r="AR12" i="120"/>
  <c r="AZ11" i="56" s="1"/>
  <c r="BB11" i="56" s="1"/>
  <c r="AR17" i="120"/>
  <c r="AZ16" i="56" s="1"/>
  <c r="BB16" i="56" s="1"/>
  <c r="AR23" i="120"/>
  <c r="AZ22" i="56" s="1"/>
  <c r="BB22" i="56" s="1"/>
  <c r="AR16" i="120"/>
  <c r="AZ15" i="56" s="1"/>
  <c r="BB15" i="56" s="1"/>
  <c r="AR14" i="120"/>
  <c r="AZ13" i="56" s="1"/>
  <c r="BB13" i="56" s="1"/>
  <c r="AR25" i="120"/>
  <c r="AZ24" i="56" s="1"/>
  <c r="BB24" i="56" s="1"/>
  <c r="AR18" i="120"/>
  <c r="AZ17" i="56" s="1"/>
  <c r="BB17" i="56" s="1"/>
  <c r="AR20" i="120"/>
  <c r="AZ19" i="56" s="1"/>
  <c r="BB19" i="56" s="1"/>
  <c r="AR11" i="120"/>
  <c r="AZ10" i="56" s="1"/>
  <c r="BB10" i="56" s="1"/>
  <c r="AR13" i="120"/>
  <c r="AZ12" i="56" s="1"/>
  <c r="BB12" i="56" s="1"/>
  <c r="AR24" i="120"/>
  <c r="AZ23" i="56" s="1"/>
  <c r="BB23" i="56" s="1"/>
  <c r="AF10" i="120"/>
  <c r="AN29" i="56" s="1"/>
  <c r="AF17" i="120"/>
  <c r="AN36" i="56" s="1"/>
  <c r="AF13" i="120"/>
  <c r="AN32" i="56" s="1"/>
  <c r="AF15" i="120"/>
  <c r="AN34" i="56" s="1"/>
  <c r="AF12" i="120"/>
  <c r="AN31" i="56" s="1"/>
  <c r="AF11" i="120"/>
  <c r="AN30" i="56" s="1"/>
  <c r="AF14" i="120"/>
  <c r="AN33" i="56" s="1"/>
  <c r="AF16" i="120"/>
  <c r="AN35" i="56" s="1"/>
  <c r="T10" i="120"/>
  <c r="B326" i="136"/>
  <c r="B322" i="136"/>
  <c r="B318" i="136"/>
  <c r="B314" i="136"/>
  <c r="B310" i="136"/>
  <c r="B306" i="136"/>
  <c r="B302" i="136"/>
  <c r="B298" i="136"/>
  <c r="B294" i="136"/>
  <c r="B290" i="136"/>
  <c r="B286" i="136"/>
  <c r="B282" i="136"/>
  <c r="B278" i="136"/>
  <c r="B274" i="136"/>
  <c r="B270" i="136"/>
  <c r="B266" i="136"/>
  <c r="B262" i="136"/>
  <c r="B258" i="136"/>
  <c r="B254" i="136"/>
  <c r="B250" i="136"/>
  <c r="B246" i="136"/>
  <c r="B242" i="136"/>
  <c r="B238" i="136"/>
  <c r="B234" i="136"/>
  <c r="B230" i="136"/>
  <c r="B325" i="136"/>
  <c r="B321" i="136"/>
  <c r="B317" i="136"/>
  <c r="B313" i="136"/>
  <c r="B309" i="136"/>
  <c r="B305" i="136"/>
  <c r="B301" i="136"/>
  <c r="B297" i="136"/>
  <c r="B293" i="136"/>
  <c r="B289" i="136"/>
  <c r="B285" i="136"/>
  <c r="B281" i="136"/>
  <c r="B277" i="136"/>
  <c r="B273" i="136"/>
  <c r="B269" i="136"/>
  <c r="B265" i="136"/>
  <c r="B261" i="136"/>
  <c r="B257" i="136"/>
  <c r="B253" i="136"/>
  <c r="B249" i="136"/>
  <c r="B245" i="136"/>
  <c r="B241" i="136"/>
  <c r="B237" i="136"/>
  <c r="B233" i="136"/>
  <c r="B229" i="136"/>
  <c r="B319" i="136"/>
  <c r="B311" i="136"/>
  <c r="B303" i="136"/>
  <c r="B295" i="136"/>
  <c r="B287" i="136"/>
  <c r="B279" i="136"/>
  <c r="B271" i="136"/>
  <c r="B263" i="136"/>
  <c r="B255" i="136"/>
  <c r="B247" i="136"/>
  <c r="B240" i="136"/>
  <c r="B231" i="136"/>
  <c r="B324" i="136"/>
  <c r="B316" i="136"/>
  <c r="B308" i="136"/>
  <c r="B228" i="136"/>
  <c r="B320" i="136"/>
  <c r="B312" i="136"/>
  <c r="B304" i="136"/>
  <c r="B296" i="136"/>
  <c r="B288" i="136"/>
  <c r="B280" i="136"/>
  <c r="B272" i="136"/>
  <c r="B264" i="136"/>
  <c r="B256" i="136"/>
  <c r="B248" i="136"/>
  <c r="B232" i="136"/>
  <c r="B239" i="136"/>
  <c r="B291" i="136"/>
  <c r="B275" i="136"/>
  <c r="B259" i="136"/>
  <c r="B243" i="136"/>
  <c r="B307" i="136"/>
  <c r="B268" i="136"/>
  <c r="B315" i="136"/>
  <c r="B283" i="136"/>
  <c r="B267" i="136"/>
  <c r="B292" i="136"/>
  <c r="B276" i="136"/>
  <c r="B300" i="136"/>
  <c r="B284" i="136"/>
  <c r="B252" i="136"/>
  <c r="B251" i="136"/>
  <c r="B323" i="136"/>
  <c r="B236" i="136"/>
  <c r="B260" i="136"/>
  <c r="B244" i="136"/>
  <c r="B235" i="136"/>
  <c r="B299" i="136"/>
  <c r="B227" i="136"/>
  <c r="AP120" i="136" a="1"/>
  <c r="Y7" i="124" l="1"/>
  <c r="X7" i="124"/>
  <c r="G7" i="124" s="1"/>
  <c r="X8" i="124"/>
  <c r="G8" i="124" s="1"/>
  <c r="Y8" i="124"/>
  <c r="X16" i="124"/>
  <c r="G16" i="124" s="1"/>
  <c r="Y16" i="124"/>
  <c r="Y15" i="124"/>
  <c r="X15" i="124"/>
  <c r="G15" i="124" s="1"/>
  <c r="Y14" i="124"/>
  <c r="X14" i="124"/>
  <c r="G14" i="124" s="1"/>
  <c r="Y17" i="124"/>
  <c r="X17" i="124"/>
  <c r="G17" i="124" s="1"/>
  <c r="Y21" i="124"/>
  <c r="X21" i="124"/>
  <c r="G21" i="124" s="1"/>
  <c r="Y18" i="124"/>
  <c r="X18" i="124"/>
  <c r="G18" i="124" s="1"/>
  <c r="Y10" i="124"/>
  <c r="X10" i="124"/>
  <c r="G10" i="124" s="1"/>
  <c r="Y11" i="124"/>
  <c r="X11" i="124"/>
  <c r="G11" i="124" s="1"/>
  <c r="AK26" i="56"/>
  <c r="AK29" i="56"/>
  <c r="X12" i="124"/>
  <c r="G12" i="124" s="1"/>
  <c r="Y12" i="124"/>
  <c r="Y6" i="124"/>
  <c r="X6" i="124"/>
  <c r="G6" i="124" s="1"/>
  <c r="X20" i="124"/>
  <c r="G20" i="124" s="1"/>
  <c r="Y20" i="124"/>
  <c r="Y19" i="124"/>
  <c r="X19" i="124"/>
  <c r="G19" i="124" s="1"/>
  <c r="B10" i="120"/>
  <c r="M9" i="56" s="1"/>
  <c r="Q9" i="56" s="1"/>
  <c r="B26" i="120"/>
  <c r="M25" i="56" s="1"/>
  <c r="Q25" i="56" s="1"/>
  <c r="B24" i="120"/>
  <c r="M23" i="56" s="1"/>
  <c r="Q23" i="56" s="1"/>
  <c r="B25" i="120"/>
  <c r="M24" i="56" s="1"/>
  <c r="Q24" i="56" s="1"/>
  <c r="B11" i="120"/>
  <c r="M10" i="56" s="1"/>
  <c r="Q10" i="56" s="1"/>
  <c r="B19" i="120"/>
  <c r="M18" i="56" s="1"/>
  <c r="Q18" i="56" s="1"/>
  <c r="B17" i="120"/>
  <c r="M16" i="56" s="1"/>
  <c r="Q16" i="56" s="1"/>
  <c r="B18" i="120"/>
  <c r="M17" i="56" s="1"/>
  <c r="Q17" i="56" s="1"/>
  <c r="B20" i="120"/>
  <c r="M19" i="56" s="1"/>
  <c r="Q19" i="56" s="1"/>
  <c r="B23" i="120"/>
  <c r="M22" i="56" s="1"/>
  <c r="Q22" i="56" s="1"/>
  <c r="B21" i="120"/>
  <c r="M20" i="56" s="1"/>
  <c r="Q20" i="56" s="1"/>
  <c r="B28" i="120"/>
  <c r="M27" i="56" s="1"/>
  <c r="Q27" i="56" s="1"/>
  <c r="B29" i="120"/>
  <c r="M28" i="56" s="1"/>
  <c r="Q28" i="56" s="1"/>
  <c r="B27" i="120"/>
  <c r="M26" i="56" s="1"/>
  <c r="Q26" i="56" s="1"/>
  <c r="B13" i="120"/>
  <c r="M12" i="56" s="1"/>
  <c r="Q12" i="56" s="1"/>
  <c r="B12" i="120"/>
  <c r="M11" i="56" s="1"/>
  <c r="Q11" i="56" s="1"/>
  <c r="B16" i="120"/>
  <c r="M15" i="56" s="1"/>
  <c r="Q15" i="56" s="1"/>
  <c r="B22" i="120"/>
  <c r="M21" i="56" s="1"/>
  <c r="Q21" i="56" s="1"/>
  <c r="B14" i="120"/>
  <c r="M13" i="56" s="1"/>
  <c r="Q13" i="56" s="1"/>
  <c r="B15" i="120"/>
  <c r="M14" i="56" s="1"/>
  <c r="Q14" i="56" s="1"/>
  <c r="Y9" i="124"/>
  <c r="X9" i="124"/>
  <c r="G9" i="124" s="1"/>
  <c r="Y13" i="124"/>
  <c r="X13" i="124"/>
  <c r="G13" i="124" s="1"/>
  <c r="AP217" i="136"/>
  <c r="AP213" i="136"/>
  <c r="AP209" i="136"/>
  <c r="AP205" i="136"/>
  <c r="AP201" i="136"/>
  <c r="AP197" i="136"/>
  <c r="AP193" i="136"/>
  <c r="AP189" i="136"/>
  <c r="AP185" i="136"/>
  <c r="AP181" i="136"/>
  <c r="AP177" i="136"/>
  <c r="AP173" i="136"/>
  <c r="AP169" i="136"/>
  <c r="AP165" i="136"/>
  <c r="AP161" i="136"/>
  <c r="AP157" i="136"/>
  <c r="AP153" i="136"/>
  <c r="AP149" i="136"/>
  <c r="AP145" i="136"/>
  <c r="AP141" i="136"/>
  <c r="AP137" i="136"/>
  <c r="AP133" i="136"/>
  <c r="AP129" i="136"/>
  <c r="AP125" i="136"/>
  <c r="AP121" i="136"/>
  <c r="AP194" i="136"/>
  <c r="AP182" i="136"/>
  <c r="AP166" i="136"/>
  <c r="AP218" i="136"/>
  <c r="AP214" i="136"/>
  <c r="AP210" i="136"/>
  <c r="AP206" i="136"/>
  <c r="AP202" i="136"/>
  <c r="AP198" i="136"/>
  <c r="AP190" i="136"/>
  <c r="AP186" i="136"/>
  <c r="AP178" i="136"/>
  <c r="AP174" i="136"/>
  <c r="AP170" i="136"/>
  <c r="AP162" i="136"/>
  <c r="AP216" i="136"/>
  <c r="AP212" i="136"/>
  <c r="AP208" i="136"/>
  <c r="AP204" i="136"/>
  <c r="AP200" i="136"/>
  <c r="AP196" i="136"/>
  <c r="AP192" i="136"/>
  <c r="AP188" i="136"/>
  <c r="AP184" i="136"/>
  <c r="AP180" i="136"/>
  <c r="AP176" i="136"/>
  <c r="AP172" i="136"/>
  <c r="AP168" i="136"/>
  <c r="AP164" i="136"/>
  <c r="AP160" i="136"/>
  <c r="AP156" i="136"/>
  <c r="AP152" i="136"/>
  <c r="AP148" i="136"/>
  <c r="AP144" i="136"/>
  <c r="AP140" i="136"/>
  <c r="AP136" i="136"/>
  <c r="AP132" i="136"/>
  <c r="AP128" i="136"/>
  <c r="AP124" i="136"/>
  <c r="AP120" i="136"/>
  <c r="AP199" i="136"/>
  <c r="AP171" i="136"/>
  <c r="AP158" i="136"/>
  <c r="AP139" i="136"/>
  <c r="AP126" i="136"/>
  <c r="AP195" i="136"/>
  <c r="AP167" i="136"/>
  <c r="AP143" i="136"/>
  <c r="AP130" i="136"/>
  <c r="AP191" i="136"/>
  <c r="AP163" i="136"/>
  <c r="AP147" i="136"/>
  <c r="AP134" i="136"/>
  <c r="AP219" i="136"/>
  <c r="AP187" i="136"/>
  <c r="AP151" i="136"/>
  <c r="AP215" i="136"/>
  <c r="AP183" i="136"/>
  <c r="AP155" i="136"/>
  <c r="AP142" i="136"/>
  <c r="AP211" i="136"/>
  <c r="AP179" i="136"/>
  <c r="AP159" i="136"/>
  <c r="AP146" i="136"/>
  <c r="AP127" i="136"/>
  <c r="AP207" i="136"/>
  <c r="AP175" i="136"/>
  <c r="AP150" i="136"/>
  <c r="AP131" i="136"/>
  <c r="AP203" i="136"/>
  <c r="AP154" i="136"/>
  <c r="AP135" i="136"/>
  <c r="AP122" i="136"/>
  <c r="AP138" i="136"/>
  <c r="AP123" i="136"/>
  <c r="AH120" i="136" a="1"/>
  <c r="BP10" i="112" l="1"/>
  <c r="CN9" i="55" s="1"/>
  <c r="BP17" i="112"/>
  <c r="CN16" i="55" s="1"/>
  <c r="BP24" i="112"/>
  <c r="CN23" i="55" s="1"/>
  <c r="BP12" i="112"/>
  <c r="CN11" i="55" s="1"/>
  <c r="BP14" i="112"/>
  <c r="CN13" i="55" s="1"/>
  <c r="BP22" i="112"/>
  <c r="CN21" i="55" s="1"/>
  <c r="BP18" i="112"/>
  <c r="CN17" i="55" s="1"/>
  <c r="BP21" i="112"/>
  <c r="CN20" i="55" s="1"/>
  <c r="BP19" i="112"/>
  <c r="CN18" i="55" s="1"/>
  <c r="BP11" i="112"/>
  <c r="CN10" i="55" s="1"/>
  <c r="BP13" i="112"/>
  <c r="CN12" i="55" s="1"/>
  <c r="BP15" i="112"/>
  <c r="CN14" i="55" s="1"/>
  <c r="BP20" i="112"/>
  <c r="CN19" i="55" s="1"/>
  <c r="BP23" i="112"/>
  <c r="CN22" i="55" s="1"/>
  <c r="BP16" i="112"/>
  <c r="CN15" i="55" s="1"/>
  <c r="AH217" i="136"/>
  <c r="AH213" i="136"/>
  <c r="AH209" i="136"/>
  <c r="AH205" i="136"/>
  <c r="AH201" i="136"/>
  <c r="AH197" i="136"/>
  <c r="AH193" i="136"/>
  <c r="AH189" i="136"/>
  <c r="AH185" i="136"/>
  <c r="AH181" i="136"/>
  <c r="AH177" i="136"/>
  <c r="AH173" i="136"/>
  <c r="AH169" i="136"/>
  <c r="AH165" i="136"/>
  <c r="AH161" i="136"/>
  <c r="AH157" i="136"/>
  <c r="AH153" i="136"/>
  <c r="AH149" i="136"/>
  <c r="AH145" i="136"/>
  <c r="AH141" i="136"/>
  <c r="AH137" i="136"/>
  <c r="AH133" i="136"/>
  <c r="AH129" i="136"/>
  <c r="AH125" i="136"/>
  <c r="AH121" i="136"/>
  <c r="AH216" i="136"/>
  <c r="AH212" i="136"/>
  <c r="AH208" i="136"/>
  <c r="AH204" i="136"/>
  <c r="AH200" i="136"/>
  <c r="AH196" i="136"/>
  <c r="AH192" i="136"/>
  <c r="AH188" i="136"/>
  <c r="AH184" i="136"/>
  <c r="AH180" i="136"/>
  <c r="AH176" i="136"/>
  <c r="AH172" i="136"/>
  <c r="AH168" i="136"/>
  <c r="AH164" i="136"/>
  <c r="AH160" i="136"/>
  <c r="AH206" i="136"/>
  <c r="AH203" i="136"/>
  <c r="AH174" i="136"/>
  <c r="AH154" i="136"/>
  <c r="AH152" i="136"/>
  <c r="AH135" i="136"/>
  <c r="AH122" i="136"/>
  <c r="AH202" i="136"/>
  <c r="AH199" i="136"/>
  <c r="AH171" i="136"/>
  <c r="AH158" i="136"/>
  <c r="AH156" i="136"/>
  <c r="AH139" i="136"/>
  <c r="AH126" i="136"/>
  <c r="AH124" i="136"/>
  <c r="AH198" i="136"/>
  <c r="AH195" i="136"/>
  <c r="AH170" i="136"/>
  <c r="AH167" i="136"/>
  <c r="AH143" i="136"/>
  <c r="AH130" i="136"/>
  <c r="AH128" i="136"/>
  <c r="AH194" i="136"/>
  <c r="AH191" i="136"/>
  <c r="AH166" i="136"/>
  <c r="AH163" i="136"/>
  <c r="AH132" i="136"/>
  <c r="AH190" i="136"/>
  <c r="AH162" i="136"/>
  <c r="AH151" i="136"/>
  <c r="AH138" i="136"/>
  <c r="AH218" i="136"/>
  <c r="AH215" i="136"/>
  <c r="AH186" i="136"/>
  <c r="AH183" i="136"/>
  <c r="AH155" i="136"/>
  <c r="AH142" i="136"/>
  <c r="AH140" i="136"/>
  <c r="AH123" i="136"/>
  <c r="AH214" i="136"/>
  <c r="AH211" i="136"/>
  <c r="AH182" i="136"/>
  <c r="AH179" i="136"/>
  <c r="AH159" i="136"/>
  <c r="AH146" i="136"/>
  <c r="AH144" i="136"/>
  <c r="AH127" i="136"/>
  <c r="AH210" i="136"/>
  <c r="AH207" i="136"/>
  <c r="AH178" i="136"/>
  <c r="AH175" i="136"/>
  <c r="AH150" i="136"/>
  <c r="AH148" i="136"/>
  <c r="AH131" i="136"/>
  <c r="AH147" i="136"/>
  <c r="AH134" i="136"/>
  <c r="AH219" i="136"/>
  <c r="AH187" i="136"/>
  <c r="AH136" i="136"/>
  <c r="AH120" i="136"/>
  <c r="Z120" i="136" a="1"/>
  <c r="BJ10" i="112" l="1"/>
  <c r="BV9" i="55" s="1"/>
  <c r="BJ20" i="112"/>
  <c r="BV19" i="55" s="1"/>
  <c r="BJ11" i="112"/>
  <c r="BV10" i="55" s="1"/>
  <c r="BJ14" i="112"/>
  <c r="BV13" i="55" s="1"/>
  <c r="BJ19" i="112"/>
  <c r="BV18" i="55" s="1"/>
  <c r="BJ18" i="112"/>
  <c r="BV17" i="55" s="1"/>
  <c r="BJ15" i="112"/>
  <c r="BV14" i="55" s="1"/>
  <c r="BJ13" i="112"/>
  <c r="BV12" i="55" s="1"/>
  <c r="BJ22" i="112"/>
  <c r="BV21" i="55" s="1"/>
  <c r="BJ23" i="112"/>
  <c r="BV22" i="55" s="1"/>
  <c r="BJ25" i="112"/>
  <c r="BV24" i="55" s="1"/>
  <c r="BJ16" i="112"/>
  <c r="BV15" i="55" s="1"/>
  <c r="BJ17" i="112"/>
  <c r="BV16" i="55" s="1"/>
  <c r="BJ21" i="112"/>
  <c r="BV20" i="55" s="1"/>
  <c r="BJ24" i="112"/>
  <c r="BV23" i="55" s="1"/>
  <c r="BJ12" i="112"/>
  <c r="BV11" i="55" s="1"/>
  <c r="CX6" i="194" a="1"/>
  <c r="Z216" i="136"/>
  <c r="Z212" i="136"/>
  <c r="Z208" i="136"/>
  <c r="Z204" i="136"/>
  <c r="Z200" i="136"/>
  <c r="Z196" i="136"/>
  <c r="Z192" i="136"/>
  <c r="Z188" i="136"/>
  <c r="Z184" i="136"/>
  <c r="Z180" i="136"/>
  <c r="Z176" i="136"/>
  <c r="Z172" i="136"/>
  <c r="Z168" i="136"/>
  <c r="Z164" i="136"/>
  <c r="Z160" i="136"/>
  <c r="Z156" i="136"/>
  <c r="Z152" i="136"/>
  <c r="Z148" i="136"/>
  <c r="Z144" i="136"/>
  <c r="Z140" i="136"/>
  <c r="Z136" i="136"/>
  <c r="Z132" i="136"/>
  <c r="Z128" i="136"/>
  <c r="Z124" i="136"/>
  <c r="Z209" i="136"/>
  <c r="Z185" i="136"/>
  <c r="Z177" i="136"/>
  <c r="Z173" i="136"/>
  <c r="Z169" i="136"/>
  <c r="Z217" i="136"/>
  <c r="Z213" i="136"/>
  <c r="Z205" i="136"/>
  <c r="Z201" i="136"/>
  <c r="Z197" i="136"/>
  <c r="Z193" i="136"/>
  <c r="Z189" i="136"/>
  <c r="Z181" i="136"/>
  <c r="Z165" i="136"/>
  <c r="Z219" i="136"/>
  <c r="Z215" i="136"/>
  <c r="Z211" i="136"/>
  <c r="Z207" i="136"/>
  <c r="Z203" i="136"/>
  <c r="Z199" i="136"/>
  <c r="Z195" i="136"/>
  <c r="Z191" i="136"/>
  <c r="Z187" i="136"/>
  <c r="Z183" i="136"/>
  <c r="Z179" i="136"/>
  <c r="Z175" i="136"/>
  <c r="Z171" i="136"/>
  <c r="Z167" i="136"/>
  <c r="Z163" i="136"/>
  <c r="Z159" i="136"/>
  <c r="Z155" i="136"/>
  <c r="Z151" i="136"/>
  <c r="Z147" i="136"/>
  <c r="Z143" i="136"/>
  <c r="Z139" i="136"/>
  <c r="Z135" i="136"/>
  <c r="Z131" i="136"/>
  <c r="Z127" i="136"/>
  <c r="Z123" i="136"/>
  <c r="Z210" i="136"/>
  <c r="Z178" i="136"/>
  <c r="Z150" i="136"/>
  <c r="Z137" i="136"/>
  <c r="Z206" i="136"/>
  <c r="Z174" i="136"/>
  <c r="Z154" i="136"/>
  <c r="Z141" i="136"/>
  <c r="Z122" i="136"/>
  <c r="Z202" i="136"/>
  <c r="Z158" i="136"/>
  <c r="Z145" i="136"/>
  <c r="Z126" i="136"/>
  <c r="Z198" i="136"/>
  <c r="Z170" i="136"/>
  <c r="Z149" i="136"/>
  <c r="Z134" i="136"/>
  <c r="Z121" i="136"/>
  <c r="Z190" i="136"/>
  <c r="Z162" i="136"/>
  <c r="Z157" i="136"/>
  <c r="Z138" i="136"/>
  <c r="Z125" i="136"/>
  <c r="Z218" i="136"/>
  <c r="Z186" i="136"/>
  <c r="Z142" i="136"/>
  <c r="Z129" i="136"/>
  <c r="Z214" i="136"/>
  <c r="Z182" i="136"/>
  <c r="Z161" i="136"/>
  <c r="Z146" i="136"/>
  <c r="Z133" i="136"/>
  <c r="Z130" i="136"/>
  <c r="Z194" i="136"/>
  <c r="Z166" i="136"/>
  <c r="Z153" i="136"/>
  <c r="Z120" i="136"/>
  <c r="R120" i="136" a="1"/>
  <c r="BD10" i="112" l="1"/>
  <c r="BP9" i="55" s="1"/>
  <c r="BD20" i="112"/>
  <c r="BP19" i="55" s="1"/>
  <c r="BD15" i="112"/>
  <c r="BP14" i="55" s="1"/>
  <c r="BD11" i="112"/>
  <c r="BP10" i="55" s="1"/>
  <c r="BD23" i="112"/>
  <c r="BP22" i="55" s="1"/>
  <c r="BD19" i="112"/>
  <c r="BP18" i="55" s="1"/>
  <c r="BD17" i="112"/>
  <c r="BP16" i="55" s="1"/>
  <c r="BD22" i="112"/>
  <c r="BP21" i="55" s="1"/>
  <c r="BD16" i="112"/>
  <c r="BP15" i="55" s="1"/>
  <c r="BD13" i="112"/>
  <c r="BP12" i="55" s="1"/>
  <c r="BD18" i="112"/>
  <c r="BP17" i="55" s="1"/>
  <c r="BD14" i="112"/>
  <c r="BP13" i="55" s="1"/>
  <c r="BD12" i="112"/>
  <c r="BP11" i="55" s="1"/>
  <c r="BD21" i="112"/>
  <c r="BP20" i="55" s="1"/>
  <c r="CY26" i="194"/>
  <c r="CY25" i="194"/>
  <c r="CY24" i="194"/>
  <c r="CY23" i="194"/>
  <c r="CY22" i="194"/>
  <c r="CY21" i="194"/>
  <c r="CY20" i="194"/>
  <c r="CY19" i="194"/>
  <c r="CY18" i="194"/>
  <c r="CY17" i="194"/>
  <c r="CY16" i="194"/>
  <c r="CX26" i="194"/>
  <c r="CX25" i="194"/>
  <c r="CX24" i="194"/>
  <c r="CX23" i="194"/>
  <c r="CX22" i="194"/>
  <c r="CX21" i="194"/>
  <c r="CX20" i="194"/>
  <c r="CX19" i="194"/>
  <c r="CX18" i="194"/>
  <c r="CX17" i="194"/>
  <c r="CY15" i="194"/>
  <c r="CY14" i="194"/>
  <c r="CY13" i="194"/>
  <c r="CY12" i="194"/>
  <c r="CY11" i="194"/>
  <c r="CY10" i="194"/>
  <c r="CY9" i="194"/>
  <c r="CY8" i="194"/>
  <c r="CY7" i="194"/>
  <c r="CX15" i="194"/>
  <c r="CX14" i="194"/>
  <c r="CX13" i="194"/>
  <c r="CX12" i="194"/>
  <c r="CX11" i="194"/>
  <c r="CX10" i="194"/>
  <c r="CX9" i="194"/>
  <c r="CX8" i="194"/>
  <c r="CX7" i="194"/>
  <c r="CY6" i="194"/>
  <c r="CX16" i="194"/>
  <c r="CX6" i="194"/>
  <c r="R216" i="136"/>
  <c r="R212" i="136"/>
  <c r="R208" i="136"/>
  <c r="R204" i="136"/>
  <c r="R200" i="136"/>
  <c r="R196" i="136"/>
  <c r="R192" i="136"/>
  <c r="R188" i="136"/>
  <c r="R184" i="136"/>
  <c r="R180" i="136"/>
  <c r="R176" i="136"/>
  <c r="R172" i="136"/>
  <c r="R168" i="136"/>
  <c r="R164" i="136"/>
  <c r="R160" i="136"/>
  <c r="R156" i="136"/>
  <c r="R152" i="136"/>
  <c r="R148" i="136"/>
  <c r="R144" i="136"/>
  <c r="R140" i="136"/>
  <c r="R136" i="136"/>
  <c r="R132" i="136"/>
  <c r="R128" i="136"/>
  <c r="R124" i="136"/>
  <c r="R219" i="136"/>
  <c r="R215" i="136"/>
  <c r="R211" i="136"/>
  <c r="R207" i="136"/>
  <c r="R203" i="136"/>
  <c r="R199" i="136"/>
  <c r="R195" i="136"/>
  <c r="R191" i="136"/>
  <c r="R187" i="136"/>
  <c r="R183" i="136"/>
  <c r="R179" i="136"/>
  <c r="R175" i="136"/>
  <c r="R171" i="136"/>
  <c r="R167" i="136"/>
  <c r="R163" i="136"/>
  <c r="R217" i="136"/>
  <c r="R214" i="136"/>
  <c r="R185" i="136"/>
  <c r="R182" i="136"/>
  <c r="R161" i="136"/>
  <c r="R146" i="136"/>
  <c r="R133" i="136"/>
  <c r="R131" i="136"/>
  <c r="R213" i="136"/>
  <c r="R210" i="136"/>
  <c r="R181" i="136"/>
  <c r="R178" i="136"/>
  <c r="R150" i="136"/>
  <c r="R137" i="136"/>
  <c r="R135" i="136"/>
  <c r="R209" i="136"/>
  <c r="R206" i="136"/>
  <c r="R177" i="136"/>
  <c r="R174" i="136"/>
  <c r="R154" i="136"/>
  <c r="R141" i="136"/>
  <c r="R139" i="136"/>
  <c r="R122" i="136"/>
  <c r="R205" i="136"/>
  <c r="R202" i="136"/>
  <c r="R173" i="136"/>
  <c r="R158" i="136"/>
  <c r="R145" i="136"/>
  <c r="R201" i="136"/>
  <c r="R198" i="136"/>
  <c r="R170" i="136"/>
  <c r="R147" i="136"/>
  <c r="R130" i="136"/>
  <c r="R197" i="136"/>
  <c r="R194" i="136"/>
  <c r="R169" i="136"/>
  <c r="R166" i="136"/>
  <c r="R153" i="136"/>
  <c r="R151" i="136"/>
  <c r="R134" i="136"/>
  <c r="R121" i="136"/>
  <c r="R193" i="136"/>
  <c r="R190" i="136"/>
  <c r="R165" i="136"/>
  <c r="R162" i="136"/>
  <c r="R157" i="136"/>
  <c r="R155" i="136"/>
  <c r="R138" i="136"/>
  <c r="R125" i="136"/>
  <c r="R123" i="136"/>
  <c r="R218" i="136"/>
  <c r="R189" i="136"/>
  <c r="R186" i="136"/>
  <c r="R159" i="136"/>
  <c r="R142" i="136"/>
  <c r="R129" i="136"/>
  <c r="R127" i="136"/>
  <c r="R143" i="136"/>
  <c r="R126" i="136"/>
  <c r="R149" i="136"/>
  <c r="R120" i="136"/>
  <c r="J120" i="136" a="1"/>
  <c r="CZ12" i="194" l="1"/>
  <c r="CZ18" i="194"/>
  <c r="DA26" i="194"/>
  <c r="CZ26" i="194"/>
  <c r="CZ11" i="194"/>
  <c r="DA25" i="194"/>
  <c r="CZ25" i="194"/>
  <c r="CZ6" i="194"/>
  <c r="CZ13" i="194"/>
  <c r="CZ19" i="194"/>
  <c r="CZ14" i="194"/>
  <c r="CZ20" i="194"/>
  <c r="CZ8" i="194"/>
  <c r="DA22" i="194"/>
  <c r="CZ22" i="194"/>
  <c r="CZ9" i="194"/>
  <c r="DA23" i="194"/>
  <c r="CZ23" i="194"/>
  <c r="CZ17" i="194"/>
  <c r="AX10" i="112"/>
  <c r="BJ9" i="55" s="1"/>
  <c r="CD6" i="159" s="1"/>
  <c r="AX25" i="112"/>
  <c r="BJ24" i="55" s="1"/>
  <c r="CD21" i="159" s="1"/>
  <c r="AX22" i="112"/>
  <c r="BJ21" i="55" s="1"/>
  <c r="CD18" i="159" s="1"/>
  <c r="AX20" i="112"/>
  <c r="BJ19" i="55" s="1"/>
  <c r="CD16" i="159" s="1"/>
  <c r="AX14" i="112"/>
  <c r="BJ13" i="55" s="1"/>
  <c r="CD10" i="159" s="1"/>
  <c r="AX11" i="112"/>
  <c r="BJ10" i="55" s="1"/>
  <c r="CD7" i="159" s="1"/>
  <c r="AX21" i="112"/>
  <c r="BJ20" i="55" s="1"/>
  <c r="CD17" i="159" s="1"/>
  <c r="AX13" i="112"/>
  <c r="BJ12" i="55" s="1"/>
  <c r="CD9" i="159" s="1"/>
  <c r="AX19" i="112"/>
  <c r="BJ18" i="55" s="1"/>
  <c r="CD15" i="159" s="1"/>
  <c r="AX16" i="112"/>
  <c r="BJ15" i="55" s="1"/>
  <c r="CD12" i="159" s="1"/>
  <c r="AX12" i="112"/>
  <c r="BJ11" i="55" s="1"/>
  <c r="CD8" i="159" s="1"/>
  <c r="AX23" i="112"/>
  <c r="BJ22" i="55" s="1"/>
  <c r="CD19" i="159" s="1"/>
  <c r="AX24" i="112"/>
  <c r="BJ23" i="55" s="1"/>
  <c r="CD20" i="159" s="1"/>
  <c r="AX15" i="112"/>
  <c r="BJ14" i="55" s="1"/>
  <c r="CD11" i="159" s="1"/>
  <c r="AX18" i="112"/>
  <c r="BJ17" i="55" s="1"/>
  <c r="CD14" i="159" s="1"/>
  <c r="AX17" i="112"/>
  <c r="BJ16" i="55" s="1"/>
  <c r="CD13" i="159" s="1"/>
  <c r="CZ7" i="194"/>
  <c r="CZ15" i="194"/>
  <c r="DA21" i="194"/>
  <c r="CZ21" i="194"/>
  <c r="CZ10" i="194"/>
  <c r="CZ16" i="194"/>
  <c r="DA24" i="194"/>
  <c r="CZ24" i="194"/>
  <c r="J219" i="136"/>
  <c r="J215" i="136"/>
  <c r="J211" i="136"/>
  <c r="J207" i="136"/>
  <c r="J203" i="136"/>
  <c r="J199" i="136"/>
  <c r="J195" i="136"/>
  <c r="J191" i="136"/>
  <c r="J187" i="136"/>
  <c r="J183" i="136"/>
  <c r="J179" i="136"/>
  <c r="J175" i="136"/>
  <c r="J171" i="136"/>
  <c r="J167" i="136"/>
  <c r="J163" i="136"/>
  <c r="J159" i="136"/>
  <c r="J155" i="136"/>
  <c r="J151" i="136"/>
  <c r="J147" i="136"/>
  <c r="J143" i="136"/>
  <c r="J139" i="136"/>
  <c r="J135" i="136"/>
  <c r="J131" i="136"/>
  <c r="J127" i="136"/>
  <c r="J123" i="136"/>
  <c r="J188" i="136"/>
  <c r="J180" i="136"/>
  <c r="J164" i="136"/>
  <c r="J216" i="136"/>
  <c r="J212" i="136"/>
  <c r="J208" i="136"/>
  <c r="J204" i="136"/>
  <c r="J200" i="136"/>
  <c r="J196" i="136"/>
  <c r="J192" i="136"/>
  <c r="J184" i="136"/>
  <c r="J176" i="136"/>
  <c r="J168" i="136"/>
  <c r="J218" i="136"/>
  <c r="J214" i="136"/>
  <c r="J210" i="136"/>
  <c r="J206" i="136"/>
  <c r="J202" i="136"/>
  <c r="J198" i="136"/>
  <c r="J194" i="136"/>
  <c r="J190" i="136"/>
  <c r="J186" i="136"/>
  <c r="J182" i="136"/>
  <c r="J178" i="136"/>
  <c r="J174" i="136"/>
  <c r="J170" i="136"/>
  <c r="J166" i="136"/>
  <c r="J162" i="136"/>
  <c r="J158" i="136"/>
  <c r="J154" i="136"/>
  <c r="J150" i="136"/>
  <c r="J146" i="136"/>
  <c r="J142" i="136"/>
  <c r="J138" i="136"/>
  <c r="J134" i="136"/>
  <c r="J130" i="136"/>
  <c r="J126" i="136"/>
  <c r="J122" i="136"/>
  <c r="J189" i="136"/>
  <c r="J148" i="136"/>
  <c r="J129" i="136"/>
  <c r="J217" i="136"/>
  <c r="J185" i="136"/>
  <c r="J161" i="136"/>
  <c r="J152" i="136"/>
  <c r="J133" i="136"/>
  <c r="J213" i="136"/>
  <c r="J181" i="136"/>
  <c r="J156" i="136"/>
  <c r="J137" i="136"/>
  <c r="J124" i="136"/>
  <c r="J209" i="136"/>
  <c r="J160" i="136"/>
  <c r="J141" i="136"/>
  <c r="J128" i="136"/>
  <c r="J205" i="136"/>
  <c r="J201" i="136"/>
  <c r="J149" i="136"/>
  <c r="J136" i="136"/>
  <c r="J197" i="136"/>
  <c r="J172" i="136"/>
  <c r="J169" i="136"/>
  <c r="J153" i="136"/>
  <c r="J140" i="136"/>
  <c r="J121" i="136"/>
  <c r="J193" i="136"/>
  <c r="J165" i="136"/>
  <c r="J157" i="136"/>
  <c r="J144" i="136"/>
  <c r="J125" i="136"/>
  <c r="J177" i="136"/>
  <c r="J173" i="136"/>
  <c r="J145" i="136"/>
  <c r="J132" i="136"/>
  <c r="J120" i="136"/>
  <c r="B120" i="136" a="1"/>
  <c r="AR10" i="112" l="1"/>
  <c r="AZ9" i="55" s="1"/>
  <c r="X6" i="104" s="1"/>
  <c r="AR15" i="112"/>
  <c r="AZ14" i="55" s="1"/>
  <c r="X11" i="104" s="1"/>
  <c r="AR22" i="112"/>
  <c r="AZ21" i="55" s="1"/>
  <c r="X18" i="104" s="1"/>
  <c r="AR20" i="112"/>
  <c r="AZ19" i="55" s="1"/>
  <c r="X16" i="104" s="1"/>
  <c r="AR24" i="112"/>
  <c r="AZ23" i="55" s="1"/>
  <c r="X20" i="104" s="1"/>
  <c r="AF10" i="112"/>
  <c r="AN29" i="55" s="1"/>
  <c r="AR14" i="112"/>
  <c r="AZ13" i="55" s="1"/>
  <c r="X10" i="104" s="1"/>
  <c r="AR12" i="112"/>
  <c r="AZ11" i="55" s="1"/>
  <c r="X8" i="104" s="1"/>
  <c r="AR19" i="112"/>
  <c r="AZ18" i="55" s="1"/>
  <c r="X15" i="104" s="1"/>
  <c r="AR26" i="112"/>
  <c r="AZ25" i="55" s="1"/>
  <c r="X22" i="104" s="1"/>
  <c r="AR18" i="112"/>
  <c r="AZ17" i="55" s="1"/>
  <c r="X14" i="104" s="1"/>
  <c r="AR11" i="112"/>
  <c r="AZ10" i="55" s="1"/>
  <c r="X7" i="104" s="1"/>
  <c r="AR13" i="112"/>
  <c r="AZ12" i="55" s="1"/>
  <c r="X9" i="104" s="1"/>
  <c r="AR25" i="112"/>
  <c r="AZ24" i="55" s="1"/>
  <c r="X21" i="104" s="1"/>
  <c r="AR23" i="112"/>
  <c r="AZ22" i="55" s="1"/>
  <c r="X19" i="104" s="1"/>
  <c r="AR17" i="112"/>
  <c r="AZ16" i="55" s="1"/>
  <c r="X13" i="104" s="1"/>
  <c r="AR16" i="112"/>
  <c r="AZ15" i="55" s="1"/>
  <c r="X12" i="104" s="1"/>
  <c r="AR21" i="112"/>
  <c r="AZ20" i="55" s="1"/>
  <c r="X17" i="104" s="1"/>
  <c r="AF15" i="112"/>
  <c r="AN34" i="55" s="1"/>
  <c r="AF11" i="112"/>
  <c r="AN30" i="55" s="1"/>
  <c r="AF17" i="112"/>
  <c r="AN36" i="55" s="1"/>
  <c r="AF13" i="112"/>
  <c r="AN32" i="55" s="1"/>
  <c r="AF16" i="112"/>
  <c r="AN35" i="55" s="1"/>
  <c r="T10" i="112"/>
  <c r="AF18" i="112"/>
  <c r="AN37" i="55" s="1"/>
  <c r="AF12" i="112"/>
  <c r="AN31" i="55" s="1"/>
  <c r="AF14" i="112"/>
  <c r="AN33" i="55" s="1"/>
  <c r="AF19" i="112"/>
  <c r="AN38" i="55" s="1"/>
  <c r="AF20" i="112"/>
  <c r="AN39" i="55" s="1"/>
  <c r="B219" i="136"/>
  <c r="B215" i="136"/>
  <c r="B211" i="136"/>
  <c r="B207" i="136"/>
  <c r="B203" i="136"/>
  <c r="B199" i="136"/>
  <c r="B195" i="136"/>
  <c r="B191" i="136"/>
  <c r="B187" i="136"/>
  <c r="B183" i="136"/>
  <c r="B179" i="136"/>
  <c r="B175" i="136"/>
  <c r="B171" i="136"/>
  <c r="B167" i="136"/>
  <c r="B163" i="136"/>
  <c r="B159" i="136"/>
  <c r="B155" i="136"/>
  <c r="B151" i="136"/>
  <c r="B147" i="136"/>
  <c r="B143" i="136"/>
  <c r="B139" i="136"/>
  <c r="B135" i="136"/>
  <c r="B131" i="136"/>
  <c r="B127" i="136"/>
  <c r="B123" i="136"/>
  <c r="B218" i="136"/>
  <c r="B214" i="136"/>
  <c r="B210" i="136"/>
  <c r="B206" i="136"/>
  <c r="B202" i="136"/>
  <c r="B198" i="136"/>
  <c r="B194" i="136"/>
  <c r="B190" i="136"/>
  <c r="B186" i="136"/>
  <c r="B182" i="136"/>
  <c r="B178" i="136"/>
  <c r="B174" i="136"/>
  <c r="B170" i="136"/>
  <c r="B166" i="136"/>
  <c r="B162" i="136"/>
  <c r="B196" i="136"/>
  <c r="B193" i="136"/>
  <c r="B168" i="136"/>
  <c r="B165" i="136"/>
  <c r="B157" i="136"/>
  <c r="B144" i="136"/>
  <c r="B142" i="136"/>
  <c r="B125" i="136"/>
  <c r="B192" i="136"/>
  <c r="B189" i="136"/>
  <c r="B164" i="136"/>
  <c r="B148" i="136"/>
  <c r="B146" i="136"/>
  <c r="B129" i="136"/>
  <c r="B217" i="136"/>
  <c r="B188" i="136"/>
  <c r="B185" i="136"/>
  <c r="B161" i="136"/>
  <c r="B152" i="136"/>
  <c r="B150" i="136"/>
  <c r="B133" i="136"/>
  <c r="B216" i="136"/>
  <c r="B213" i="136"/>
  <c r="B184" i="136"/>
  <c r="B181" i="136"/>
  <c r="B156" i="136"/>
  <c r="B137" i="136"/>
  <c r="B124" i="136"/>
  <c r="B212" i="136"/>
  <c r="B209" i="136"/>
  <c r="B177" i="136"/>
  <c r="B160" i="136"/>
  <c r="B126" i="136"/>
  <c r="B208" i="136"/>
  <c r="B205" i="136"/>
  <c r="B176" i="136"/>
  <c r="B173" i="136"/>
  <c r="B145" i="136"/>
  <c r="B132" i="136"/>
  <c r="B130" i="136"/>
  <c r="B204" i="136"/>
  <c r="B201" i="136"/>
  <c r="B149" i="136"/>
  <c r="B136" i="136"/>
  <c r="B134" i="136"/>
  <c r="B200" i="136"/>
  <c r="B197" i="136"/>
  <c r="B172" i="136"/>
  <c r="B169" i="136"/>
  <c r="B153" i="136"/>
  <c r="B140" i="136"/>
  <c r="B138" i="136"/>
  <c r="B121" i="136"/>
  <c r="B154" i="136"/>
  <c r="B122" i="136"/>
  <c r="B180" i="136"/>
  <c r="B158" i="136"/>
  <c r="B141" i="136"/>
  <c r="B128" i="136"/>
  <c r="B120" i="136"/>
  <c r="AP13" i="136" a="1"/>
  <c r="AK29" i="55" l="1"/>
  <c r="AK26" i="55"/>
  <c r="N10" i="112"/>
  <c r="AE9" i="55" s="1"/>
  <c r="N16" i="112"/>
  <c r="AE15" i="55" s="1"/>
  <c r="N19" i="112"/>
  <c r="AE18" i="55" s="1"/>
  <c r="H10" i="112"/>
  <c r="Y9" i="55" s="1"/>
  <c r="N22" i="112"/>
  <c r="AE21" i="55" s="1"/>
  <c r="N20" i="112"/>
  <c r="AE19" i="55" s="1"/>
  <c r="N26" i="112"/>
  <c r="AE25" i="55" s="1"/>
  <c r="N15" i="112"/>
  <c r="AE14" i="55" s="1"/>
  <c r="N24" i="112"/>
  <c r="AE23" i="55" s="1"/>
  <c r="N25" i="112"/>
  <c r="AE24" i="55" s="1"/>
  <c r="N11" i="112"/>
  <c r="AE10" i="55" s="1"/>
  <c r="N14" i="112"/>
  <c r="AE13" i="55" s="1"/>
  <c r="N21" i="112"/>
  <c r="AE20" i="55" s="1"/>
  <c r="N23" i="112"/>
  <c r="AE22" i="55" s="1"/>
  <c r="N12" i="112"/>
  <c r="AE11" i="55" s="1"/>
  <c r="N17" i="112"/>
  <c r="AE16" i="55" s="1"/>
  <c r="N13" i="112"/>
  <c r="AE12" i="55" s="1"/>
  <c r="N18" i="112"/>
  <c r="AE17" i="55" s="1"/>
  <c r="H18" i="112"/>
  <c r="Y17" i="55" s="1"/>
  <c r="H16" i="112"/>
  <c r="Y15" i="55" s="1"/>
  <c r="H22" i="112"/>
  <c r="Y21" i="55" s="1"/>
  <c r="H13" i="112"/>
  <c r="Y12" i="55" s="1"/>
  <c r="H23" i="112"/>
  <c r="Y22" i="55" s="1"/>
  <c r="H12" i="112"/>
  <c r="Y11" i="55" s="1"/>
  <c r="H25" i="112"/>
  <c r="Y24" i="55" s="1"/>
  <c r="H11" i="112"/>
  <c r="Y10" i="55" s="1"/>
  <c r="H19" i="112"/>
  <c r="Y18" i="55" s="1"/>
  <c r="H20" i="112"/>
  <c r="Y19" i="55" s="1"/>
  <c r="H17" i="112"/>
  <c r="Y16" i="55" s="1"/>
  <c r="H21" i="112"/>
  <c r="Y20" i="55" s="1"/>
  <c r="H14" i="112"/>
  <c r="Y13" i="55" s="1"/>
  <c r="H26" i="112"/>
  <c r="Y25" i="55" s="1"/>
  <c r="H15" i="112"/>
  <c r="Y14" i="55" s="1"/>
  <c r="H24" i="112"/>
  <c r="Y23" i="55" s="1"/>
  <c r="B10" i="112"/>
  <c r="M9" i="55" s="1"/>
  <c r="B32" i="112"/>
  <c r="M31" i="55" s="1"/>
  <c r="B25" i="112"/>
  <c r="M24" i="55" s="1"/>
  <c r="B28" i="112"/>
  <c r="M27" i="55" s="1"/>
  <c r="B15" i="112"/>
  <c r="M14" i="55" s="1"/>
  <c r="B14" i="112"/>
  <c r="M13" i="55" s="1"/>
  <c r="B13" i="112"/>
  <c r="M12" i="55" s="1"/>
  <c r="B19" i="112"/>
  <c r="M18" i="55" s="1"/>
  <c r="B16" i="112"/>
  <c r="M15" i="55" s="1"/>
  <c r="B31" i="112"/>
  <c r="M30" i="55" s="1"/>
  <c r="B18" i="112"/>
  <c r="M17" i="55" s="1"/>
  <c r="B22" i="112"/>
  <c r="M21" i="55" s="1"/>
  <c r="B27" i="112"/>
  <c r="M26" i="55" s="1"/>
  <c r="B33" i="112"/>
  <c r="M32" i="55" s="1"/>
  <c r="B26" i="112"/>
  <c r="M25" i="55" s="1"/>
  <c r="B24" i="112"/>
  <c r="M23" i="55" s="1"/>
  <c r="B11" i="112"/>
  <c r="M10" i="55" s="1"/>
  <c r="B20" i="112"/>
  <c r="M19" i="55" s="1"/>
  <c r="B29" i="112"/>
  <c r="M28" i="55" s="1"/>
  <c r="B30" i="112"/>
  <c r="M29" i="55" s="1"/>
  <c r="B23" i="112"/>
  <c r="M22" i="55" s="1"/>
  <c r="B21" i="112"/>
  <c r="M20" i="55" s="1"/>
  <c r="B17" i="112"/>
  <c r="M16" i="55" s="1"/>
  <c r="B12" i="112"/>
  <c r="M11" i="55" s="1"/>
  <c r="AP110" i="136"/>
  <c r="AP106" i="136"/>
  <c r="AP102" i="136"/>
  <c r="AP98" i="136"/>
  <c r="AP94" i="136"/>
  <c r="AP90" i="136"/>
  <c r="AP86" i="136"/>
  <c r="AP82" i="136"/>
  <c r="AP78" i="136"/>
  <c r="AP74" i="136"/>
  <c r="AP70" i="136"/>
  <c r="AP66" i="136"/>
  <c r="AP62" i="136"/>
  <c r="AP58" i="136"/>
  <c r="AP54" i="136"/>
  <c r="AP50" i="136"/>
  <c r="AP46" i="136"/>
  <c r="AP42" i="136"/>
  <c r="AP38" i="136"/>
  <c r="AP34" i="136"/>
  <c r="AP30" i="136"/>
  <c r="AP26" i="136"/>
  <c r="AP107" i="136"/>
  <c r="AP103" i="136"/>
  <c r="AP91" i="136"/>
  <c r="AP83" i="136"/>
  <c r="AP71" i="136"/>
  <c r="AP63" i="136"/>
  <c r="AP51" i="136"/>
  <c r="AP43" i="136"/>
  <c r="AP35" i="136"/>
  <c r="AP27" i="136"/>
  <c r="AP92" i="136"/>
  <c r="AP76" i="136"/>
  <c r="AP48" i="136"/>
  <c r="AP28" i="136"/>
  <c r="AP111" i="136"/>
  <c r="AP99" i="136"/>
  <c r="AP95" i="136"/>
  <c r="AP87" i="136"/>
  <c r="AP75" i="136"/>
  <c r="AP67" i="136"/>
  <c r="AP59" i="136"/>
  <c r="AP55" i="136"/>
  <c r="AP47" i="136"/>
  <c r="AP39" i="136"/>
  <c r="AP31" i="136"/>
  <c r="AP112" i="136"/>
  <c r="AP108" i="136"/>
  <c r="AP100" i="136"/>
  <c r="AP96" i="136"/>
  <c r="AP72" i="136"/>
  <c r="AP60" i="136"/>
  <c r="AP44" i="136"/>
  <c r="AP40" i="136"/>
  <c r="AP79" i="136"/>
  <c r="AP68" i="136"/>
  <c r="AP56" i="136"/>
  <c r="AP32" i="136"/>
  <c r="AP109" i="136"/>
  <c r="AP105" i="136"/>
  <c r="AP101" i="136"/>
  <c r="AP97" i="136"/>
  <c r="AP93" i="136"/>
  <c r="AP89" i="136"/>
  <c r="AP85" i="136"/>
  <c r="AP81" i="136"/>
  <c r="AP77" i="136"/>
  <c r="AP73" i="136"/>
  <c r="AP69" i="136"/>
  <c r="AP65" i="136"/>
  <c r="AP61" i="136"/>
  <c r="AP57" i="136"/>
  <c r="AP53" i="136"/>
  <c r="AP49" i="136"/>
  <c r="AP45" i="136"/>
  <c r="AP41" i="136"/>
  <c r="AP37" i="136"/>
  <c r="AP33" i="136"/>
  <c r="AP29" i="136"/>
  <c r="AP25" i="136"/>
  <c r="AP104" i="136"/>
  <c r="AP88" i="136"/>
  <c r="AP84" i="136"/>
  <c r="AP80" i="136"/>
  <c r="AP64" i="136"/>
  <c r="AP52" i="136"/>
  <c r="AP36" i="136"/>
  <c r="AP24" i="136"/>
  <c r="AP23" i="136"/>
  <c r="AP22" i="136"/>
  <c r="AP21" i="136"/>
  <c r="AP20" i="136"/>
  <c r="AP19" i="136"/>
  <c r="AP18" i="136"/>
  <c r="AP17" i="136"/>
  <c r="AP16" i="136"/>
  <c r="AP15" i="136"/>
  <c r="AP14" i="136"/>
  <c r="AP13" i="136"/>
  <c r="AH13" i="136" a="1"/>
  <c r="P28" i="55" l="1"/>
  <c r="Q28" i="55"/>
  <c r="O28" i="55"/>
  <c r="P19" i="55"/>
  <c r="Q19" i="55"/>
  <c r="O19" i="55"/>
  <c r="O30" i="55"/>
  <c r="Q30" i="55"/>
  <c r="P30" i="55"/>
  <c r="O31" i="55"/>
  <c r="P31" i="55"/>
  <c r="Q31" i="55"/>
  <c r="P17" i="55"/>
  <c r="Q17" i="55"/>
  <c r="O17" i="55"/>
  <c r="Q24" i="55"/>
  <c r="O24" i="55"/>
  <c r="P24" i="55"/>
  <c r="Q10" i="55"/>
  <c r="P15" i="55"/>
  <c r="Q15" i="55"/>
  <c r="O15" i="55"/>
  <c r="Q9" i="55"/>
  <c r="P9" i="55"/>
  <c r="O9" i="55"/>
  <c r="O29" i="55"/>
  <c r="Q29" i="55"/>
  <c r="P29" i="55"/>
  <c r="Q11" i="55"/>
  <c r="Q18" i="55"/>
  <c r="P18" i="55"/>
  <c r="O18" i="55"/>
  <c r="Q16" i="55"/>
  <c r="P16" i="55"/>
  <c r="O16" i="55"/>
  <c r="P25" i="55"/>
  <c r="Q25" i="55"/>
  <c r="O25" i="55"/>
  <c r="Q12" i="55"/>
  <c r="P21" i="55"/>
  <c r="O21" i="55"/>
  <c r="Q21" i="55"/>
  <c r="Q20" i="55"/>
  <c r="P20" i="55"/>
  <c r="O20" i="55"/>
  <c r="O32" i="55"/>
  <c r="P32" i="55"/>
  <c r="Q32" i="55"/>
  <c r="Q13" i="55"/>
  <c r="Q27" i="55"/>
  <c r="O27" i="55"/>
  <c r="P27" i="55"/>
  <c r="P23" i="55"/>
  <c r="Q23" i="55"/>
  <c r="O23" i="55"/>
  <c r="Q22" i="55"/>
  <c r="O22" i="55"/>
  <c r="P22" i="55"/>
  <c r="Q26" i="55"/>
  <c r="O26" i="55"/>
  <c r="P26" i="55"/>
  <c r="Q14" i="55"/>
  <c r="P14" i="55"/>
  <c r="O14" i="55"/>
  <c r="AH111" i="136"/>
  <c r="AH103" i="136"/>
  <c r="AH99" i="136"/>
  <c r="AH95" i="136"/>
  <c r="AH87" i="136"/>
  <c r="AH83" i="136"/>
  <c r="AH79" i="136"/>
  <c r="AH27" i="136"/>
  <c r="AH110" i="136"/>
  <c r="AH106" i="136"/>
  <c r="AH102" i="136"/>
  <c r="AH98" i="136"/>
  <c r="AH94" i="136"/>
  <c r="AH90" i="136"/>
  <c r="AH86" i="136"/>
  <c r="AH82" i="136"/>
  <c r="AH78" i="136"/>
  <c r="AH74" i="136"/>
  <c r="AH70" i="136"/>
  <c r="AH66" i="136"/>
  <c r="AH62" i="136"/>
  <c r="AH58" i="136"/>
  <c r="AH54" i="136"/>
  <c r="AH50" i="136"/>
  <c r="AH46" i="136"/>
  <c r="AH42" i="136"/>
  <c r="AH38" i="136"/>
  <c r="AH34" i="136"/>
  <c r="AH30" i="136"/>
  <c r="AH26" i="136"/>
  <c r="AH107" i="136"/>
  <c r="AH51" i="136"/>
  <c r="AH47" i="136"/>
  <c r="AH43" i="136"/>
  <c r="AH35" i="136"/>
  <c r="AH31" i="136"/>
  <c r="AH108" i="136"/>
  <c r="AH55" i="136"/>
  <c r="AH39" i="136"/>
  <c r="AH109" i="136"/>
  <c r="AH105" i="136"/>
  <c r="AH101" i="136"/>
  <c r="AH97" i="136"/>
  <c r="AH93" i="136"/>
  <c r="AH89" i="136"/>
  <c r="AH85" i="136"/>
  <c r="AH81" i="136"/>
  <c r="AH77" i="136"/>
  <c r="AH73" i="136"/>
  <c r="AH69" i="136"/>
  <c r="AH65" i="136"/>
  <c r="AH61" i="136"/>
  <c r="AH57" i="136"/>
  <c r="AH53" i="136"/>
  <c r="AH49" i="136"/>
  <c r="AH45" i="136"/>
  <c r="AH41" i="136"/>
  <c r="AH37" i="136"/>
  <c r="AH33" i="136"/>
  <c r="AH29" i="136"/>
  <c r="AH25" i="136"/>
  <c r="AH91" i="136"/>
  <c r="AH75" i="136"/>
  <c r="AH71" i="136"/>
  <c r="AH67" i="136"/>
  <c r="AH63" i="136"/>
  <c r="AH59" i="136"/>
  <c r="AH112" i="136"/>
  <c r="AH88" i="136"/>
  <c r="AH56" i="136"/>
  <c r="AH76" i="136"/>
  <c r="AH44" i="136"/>
  <c r="AH96" i="136"/>
  <c r="AH64" i="136"/>
  <c r="AH32" i="136"/>
  <c r="AH84" i="136"/>
  <c r="AH52" i="136"/>
  <c r="AH104" i="136"/>
  <c r="AH72" i="136"/>
  <c r="AH40" i="136"/>
  <c r="AH92" i="136"/>
  <c r="AH60" i="136"/>
  <c r="AH28" i="136"/>
  <c r="AH80" i="136"/>
  <c r="AH48" i="136"/>
  <c r="AH100" i="136"/>
  <c r="AH68" i="136"/>
  <c r="AH36" i="136"/>
  <c r="AH24" i="136"/>
  <c r="AH23" i="136"/>
  <c r="AH22" i="136"/>
  <c r="AH21" i="136"/>
  <c r="AH20" i="136"/>
  <c r="AH19" i="136"/>
  <c r="AH18" i="136"/>
  <c r="AH17" i="136"/>
  <c r="AH16" i="136"/>
  <c r="AH15" i="136"/>
  <c r="AH14" i="136"/>
  <c r="AH13" i="136"/>
  <c r="Z13" i="136" a="1"/>
  <c r="BJ10" i="117" l="1"/>
  <c r="BV9" i="54" s="1"/>
  <c r="BJ17" i="117"/>
  <c r="BV16" i="54" s="1"/>
  <c r="BJ20" i="117"/>
  <c r="BV19" i="54" s="1"/>
  <c r="BJ14" i="117"/>
  <c r="BV13" i="54" s="1"/>
  <c r="BJ16" i="117"/>
  <c r="BV15" i="54" s="1"/>
  <c r="BJ19" i="117"/>
  <c r="BV18" i="54" s="1"/>
  <c r="BJ11" i="117"/>
  <c r="BV10" i="54" s="1"/>
  <c r="BJ15" i="117"/>
  <c r="BV14" i="54" s="1"/>
  <c r="BJ13" i="117"/>
  <c r="BV12" i="54" s="1"/>
  <c r="BJ12" i="117"/>
  <c r="BV11" i="54" s="1"/>
  <c r="BJ18" i="117"/>
  <c r="BV17" i="54" s="1"/>
  <c r="BJ21" i="117"/>
  <c r="BV20" i="54" s="1"/>
  <c r="Z109" i="136"/>
  <c r="Z105" i="136"/>
  <c r="Z101" i="136"/>
  <c r="Z97" i="136"/>
  <c r="Z93" i="136"/>
  <c r="Z89" i="136"/>
  <c r="Z85" i="136"/>
  <c r="Z81" i="136"/>
  <c r="Z77" i="136"/>
  <c r="Z73" i="136"/>
  <c r="Z69" i="136"/>
  <c r="Z65" i="136"/>
  <c r="Z61" i="136"/>
  <c r="Z57" i="136"/>
  <c r="Z53" i="136"/>
  <c r="Z49" i="136"/>
  <c r="Z45" i="136"/>
  <c r="Z41" i="136"/>
  <c r="Z37" i="136"/>
  <c r="Z33" i="136"/>
  <c r="Z29" i="136"/>
  <c r="Z25" i="136"/>
  <c r="Z94" i="136"/>
  <c r="Z86" i="136"/>
  <c r="Z74" i="136"/>
  <c r="Z66" i="136"/>
  <c r="Z58" i="136"/>
  <c r="Z54" i="136"/>
  <c r="Z46" i="136"/>
  <c r="Z38" i="136"/>
  <c r="Z30" i="136"/>
  <c r="Z83" i="136"/>
  <c r="Z71" i="136"/>
  <c r="Z67" i="136"/>
  <c r="Z63" i="136"/>
  <c r="Z59" i="136"/>
  <c r="Z43" i="136"/>
  <c r="Z110" i="136"/>
  <c r="Z106" i="136"/>
  <c r="Z102" i="136"/>
  <c r="Z98" i="136"/>
  <c r="Z90" i="136"/>
  <c r="Z82" i="136"/>
  <c r="Z78" i="136"/>
  <c r="Z70" i="136"/>
  <c r="Z62" i="136"/>
  <c r="Z50" i="136"/>
  <c r="Z42" i="136"/>
  <c r="Z34" i="136"/>
  <c r="Z26" i="136"/>
  <c r="Z103" i="136"/>
  <c r="Z55" i="136"/>
  <c r="Z35" i="136"/>
  <c r="Z99" i="136"/>
  <c r="Z87" i="136"/>
  <c r="Z79" i="136"/>
  <c r="Z51" i="136"/>
  <c r="Z39" i="136"/>
  <c r="Z27" i="136"/>
  <c r="Z112" i="136"/>
  <c r="Z108" i="136"/>
  <c r="Z104" i="136"/>
  <c r="Z100" i="136"/>
  <c r="Z96" i="136"/>
  <c r="Z92" i="136"/>
  <c r="Z88" i="136"/>
  <c r="Z84" i="136"/>
  <c r="Z80" i="136"/>
  <c r="Z76" i="136"/>
  <c r="Z72" i="136"/>
  <c r="Z68" i="136"/>
  <c r="Z64" i="136"/>
  <c r="Z60" i="136"/>
  <c r="Z56" i="136"/>
  <c r="Z52" i="136"/>
  <c r="Z48" i="136"/>
  <c r="Z44" i="136"/>
  <c r="Z40" i="136"/>
  <c r="Z36" i="136"/>
  <c r="Z32" i="136"/>
  <c r="Z28" i="136"/>
  <c r="Z111" i="136"/>
  <c r="Z107" i="136"/>
  <c r="Z95" i="136"/>
  <c r="Z91" i="136"/>
  <c r="Z75" i="136"/>
  <c r="Z47" i="136"/>
  <c r="Z31" i="136"/>
  <c r="Z24" i="136"/>
  <c r="Z23" i="136"/>
  <c r="Z22" i="136"/>
  <c r="Z21" i="136"/>
  <c r="Z20" i="136"/>
  <c r="Z19" i="136"/>
  <c r="Z18" i="136"/>
  <c r="Z17" i="136"/>
  <c r="Z16" i="136"/>
  <c r="Z15" i="136"/>
  <c r="Z14" i="136"/>
  <c r="Z13" i="136"/>
  <c r="R13" i="136" a="1"/>
  <c r="BD10" i="117" l="1"/>
  <c r="BP9" i="54" s="1"/>
  <c r="BD12" i="117"/>
  <c r="BP11" i="54" s="1"/>
  <c r="BD21" i="117"/>
  <c r="BP20" i="54" s="1"/>
  <c r="BD15" i="117"/>
  <c r="BP14" i="54" s="1"/>
  <c r="BD16" i="117"/>
  <c r="BP15" i="54" s="1"/>
  <c r="BD13" i="117"/>
  <c r="BP12" i="54" s="1"/>
  <c r="BD24" i="117"/>
  <c r="BP23" i="54" s="1"/>
  <c r="BD17" i="117"/>
  <c r="BP16" i="54" s="1"/>
  <c r="BD22" i="117"/>
  <c r="BP21" i="54" s="1"/>
  <c r="BD20" i="117"/>
  <c r="BP19" i="54" s="1"/>
  <c r="BD23" i="117"/>
  <c r="BP22" i="54" s="1"/>
  <c r="BD19" i="117"/>
  <c r="BP18" i="54" s="1"/>
  <c r="BD14" i="117"/>
  <c r="BP13" i="54" s="1"/>
  <c r="BD18" i="117"/>
  <c r="BP17" i="54" s="1"/>
  <c r="BD11" i="117"/>
  <c r="BP10" i="54" s="1"/>
  <c r="R74" i="136"/>
  <c r="R70" i="136"/>
  <c r="R66" i="136"/>
  <c r="R62" i="136"/>
  <c r="R58" i="136"/>
  <c r="R54" i="136"/>
  <c r="R50" i="136"/>
  <c r="R46" i="136"/>
  <c r="R42" i="136"/>
  <c r="R38" i="136"/>
  <c r="R34" i="136"/>
  <c r="R109" i="136"/>
  <c r="R105" i="136"/>
  <c r="R101" i="136"/>
  <c r="R97" i="136"/>
  <c r="R93" i="136"/>
  <c r="R89" i="136"/>
  <c r="R85" i="136"/>
  <c r="R81" i="136"/>
  <c r="R77" i="136"/>
  <c r="R73" i="136"/>
  <c r="R69" i="136"/>
  <c r="R65" i="136"/>
  <c r="R61" i="136"/>
  <c r="R57" i="136"/>
  <c r="R53" i="136"/>
  <c r="R49" i="136"/>
  <c r="R45" i="136"/>
  <c r="R41" i="136"/>
  <c r="R37" i="136"/>
  <c r="R33" i="136"/>
  <c r="R29" i="136"/>
  <c r="R25" i="136"/>
  <c r="R110" i="136"/>
  <c r="R106" i="136"/>
  <c r="R98" i="136"/>
  <c r="R94" i="136"/>
  <c r="R90" i="136"/>
  <c r="R26" i="136"/>
  <c r="R30" i="136"/>
  <c r="R111" i="136"/>
  <c r="R112" i="136"/>
  <c r="R108" i="136"/>
  <c r="R104" i="136"/>
  <c r="R100" i="136"/>
  <c r="R96" i="136"/>
  <c r="R92" i="136"/>
  <c r="R88" i="136"/>
  <c r="R84" i="136"/>
  <c r="R80" i="136"/>
  <c r="R76" i="136"/>
  <c r="R72" i="136"/>
  <c r="R68" i="136"/>
  <c r="R64" i="136"/>
  <c r="R60" i="136"/>
  <c r="R56" i="136"/>
  <c r="R52" i="136"/>
  <c r="R48" i="136"/>
  <c r="R44" i="136"/>
  <c r="R40" i="136"/>
  <c r="R36" i="136"/>
  <c r="R32" i="136"/>
  <c r="R28" i="136"/>
  <c r="R102" i="136"/>
  <c r="R86" i="136"/>
  <c r="R82" i="136"/>
  <c r="R78" i="136"/>
  <c r="R99" i="136"/>
  <c r="R67" i="136"/>
  <c r="R35" i="136"/>
  <c r="R87" i="136"/>
  <c r="R55" i="136"/>
  <c r="R75" i="136"/>
  <c r="R43" i="136"/>
  <c r="R107" i="136"/>
  <c r="R95" i="136"/>
  <c r="R63" i="136"/>
  <c r="R31" i="136"/>
  <c r="R83" i="136"/>
  <c r="R51" i="136"/>
  <c r="R71" i="136"/>
  <c r="R39" i="136"/>
  <c r="R91" i="136"/>
  <c r="R59" i="136"/>
  <c r="R27" i="136"/>
  <c r="R79" i="136"/>
  <c r="R47" i="136"/>
  <c r="R103" i="136"/>
  <c r="R24" i="136"/>
  <c r="R23" i="136"/>
  <c r="R22" i="136"/>
  <c r="R21" i="136"/>
  <c r="R20" i="136"/>
  <c r="R19" i="136"/>
  <c r="R18" i="136"/>
  <c r="R17" i="136"/>
  <c r="R16" i="136"/>
  <c r="R15" i="136"/>
  <c r="R14" i="136"/>
  <c r="R13" i="136"/>
  <c r="J13" i="136" a="1"/>
  <c r="AX10" i="117" l="1"/>
  <c r="BJ9" i="54" s="1"/>
  <c r="CC6" i="167" s="1"/>
  <c r="AX11" i="117"/>
  <c r="BJ10" i="54" s="1"/>
  <c r="CC7" i="167" s="1"/>
  <c r="AX12" i="117"/>
  <c r="BJ11" i="54" s="1"/>
  <c r="CC8" i="167" s="1"/>
  <c r="AX15" i="117"/>
  <c r="BJ14" i="54" s="1"/>
  <c r="CC11" i="167" s="1"/>
  <c r="AX18" i="117"/>
  <c r="BJ17" i="54" s="1"/>
  <c r="CC14" i="167" s="1"/>
  <c r="AX17" i="117"/>
  <c r="BJ16" i="54" s="1"/>
  <c r="CC13" i="167" s="1"/>
  <c r="AX14" i="117"/>
  <c r="BJ13" i="54" s="1"/>
  <c r="CC10" i="167" s="1"/>
  <c r="AX24" i="117"/>
  <c r="BJ23" i="54" s="1"/>
  <c r="CC20" i="167" s="1"/>
  <c r="AX19" i="117"/>
  <c r="BJ18" i="54" s="1"/>
  <c r="CC15" i="167" s="1"/>
  <c r="AX22" i="117"/>
  <c r="BJ21" i="54" s="1"/>
  <c r="CC18" i="167" s="1"/>
  <c r="AX20" i="117"/>
  <c r="BJ19" i="54" s="1"/>
  <c r="CC16" i="167" s="1"/>
  <c r="AX13" i="117"/>
  <c r="BJ12" i="54" s="1"/>
  <c r="CC9" i="167" s="1"/>
  <c r="AX21" i="117"/>
  <c r="BJ20" i="54" s="1"/>
  <c r="CC17" i="167" s="1"/>
  <c r="AX23" i="117"/>
  <c r="BJ22" i="54" s="1"/>
  <c r="CC19" i="167" s="1"/>
  <c r="AX16" i="117"/>
  <c r="BJ15" i="54" s="1"/>
  <c r="CC12" i="167" s="1"/>
  <c r="J112" i="136"/>
  <c r="J108" i="136"/>
  <c r="J104" i="136"/>
  <c r="J100" i="136"/>
  <c r="J96" i="136"/>
  <c r="J92" i="136"/>
  <c r="J88" i="136"/>
  <c r="J84" i="136"/>
  <c r="J80" i="136"/>
  <c r="J76" i="136"/>
  <c r="J72" i="136"/>
  <c r="J68" i="136"/>
  <c r="J64" i="136"/>
  <c r="J60" i="136"/>
  <c r="J56" i="136"/>
  <c r="J52" i="136"/>
  <c r="J48" i="136"/>
  <c r="J44" i="136"/>
  <c r="J40" i="136"/>
  <c r="J36" i="136"/>
  <c r="J32" i="136"/>
  <c r="J28" i="136"/>
  <c r="J101" i="136"/>
  <c r="J97" i="136"/>
  <c r="J89" i="136"/>
  <c r="J81" i="136"/>
  <c r="J77" i="136"/>
  <c r="J69" i="136"/>
  <c r="J61" i="136"/>
  <c r="J57" i="136"/>
  <c r="J49" i="136"/>
  <c r="J41" i="136"/>
  <c r="J33" i="136"/>
  <c r="J25" i="136"/>
  <c r="J54" i="136"/>
  <c r="J38" i="136"/>
  <c r="J34" i="136"/>
  <c r="J109" i="136"/>
  <c r="J105" i="136"/>
  <c r="J93" i="136"/>
  <c r="J85" i="136"/>
  <c r="J73" i="136"/>
  <c r="J65" i="136"/>
  <c r="J53" i="136"/>
  <c r="J45" i="136"/>
  <c r="J37" i="136"/>
  <c r="J29" i="136"/>
  <c r="J106" i="136"/>
  <c r="J94" i="136"/>
  <c r="J90" i="136"/>
  <c r="J86" i="136"/>
  <c r="J82" i="136"/>
  <c r="J78" i="136"/>
  <c r="J66" i="136"/>
  <c r="J50" i="136"/>
  <c r="J30" i="136"/>
  <c r="J74" i="136"/>
  <c r="J62" i="136"/>
  <c r="J46" i="136"/>
  <c r="J111" i="136"/>
  <c r="J107" i="136"/>
  <c r="J103" i="136"/>
  <c r="J99" i="136"/>
  <c r="J95" i="136"/>
  <c r="J91" i="136"/>
  <c r="J87" i="136"/>
  <c r="J83" i="136"/>
  <c r="J79" i="136"/>
  <c r="J75" i="136"/>
  <c r="J71" i="136"/>
  <c r="J67" i="136"/>
  <c r="J63" i="136"/>
  <c r="J59" i="136"/>
  <c r="J55" i="136"/>
  <c r="J51" i="136"/>
  <c r="J47" i="136"/>
  <c r="J43" i="136"/>
  <c r="J39" i="136"/>
  <c r="J35" i="136"/>
  <c r="J31" i="136"/>
  <c r="J27" i="136"/>
  <c r="J110" i="136"/>
  <c r="J102" i="136"/>
  <c r="J98" i="136"/>
  <c r="J70" i="136"/>
  <c r="J58" i="136"/>
  <c r="J42" i="136"/>
  <c r="J26" i="136"/>
  <c r="J24" i="136"/>
  <c r="J23" i="136"/>
  <c r="J22" i="136"/>
  <c r="J21" i="136"/>
  <c r="J20" i="136"/>
  <c r="J19" i="136"/>
  <c r="J18" i="136"/>
  <c r="J17" i="136"/>
  <c r="J16" i="136"/>
  <c r="J15" i="136"/>
  <c r="J14" i="136"/>
  <c r="J13" i="136"/>
  <c r="AR10" i="117" l="1"/>
  <c r="AZ9" i="54" s="1"/>
  <c r="BB9" i="54" s="1"/>
  <c r="AR15" i="117"/>
  <c r="AZ14" i="54" s="1"/>
  <c r="BB14" i="54" s="1"/>
  <c r="AR16" i="117"/>
  <c r="AZ15" i="54" s="1"/>
  <c r="BB15" i="54" s="1"/>
  <c r="AR11" i="117"/>
  <c r="AZ10" i="54" s="1"/>
  <c r="BB10" i="54" s="1"/>
  <c r="AR14" i="117"/>
  <c r="AZ13" i="54" s="1"/>
  <c r="BB13" i="54" s="1"/>
  <c r="AR13" i="117"/>
  <c r="AZ12" i="54" s="1"/>
  <c r="BB12" i="54" s="1"/>
  <c r="AR12" i="117"/>
  <c r="AZ11" i="54" s="1"/>
  <c r="BB11" i="54" s="1"/>
  <c r="AR17" i="117"/>
  <c r="AZ16" i="54" s="1"/>
  <c r="BB16" i="54" s="1"/>
  <c r="AR19" i="117"/>
  <c r="AZ18" i="54" s="1"/>
  <c r="BB18" i="54" s="1"/>
  <c r="AR18" i="117"/>
  <c r="AZ17" i="54" s="1"/>
  <c r="BB17" i="54" s="1"/>
  <c r="AL10" i="117"/>
  <c r="AL20" i="117"/>
  <c r="AL13" i="117"/>
  <c r="AL17" i="117"/>
  <c r="AL19" i="117"/>
  <c r="AL21" i="117"/>
  <c r="AL12" i="117"/>
  <c r="AL14" i="117"/>
  <c r="AL11" i="117"/>
  <c r="AL15" i="117"/>
  <c r="AL18" i="117"/>
  <c r="AL16" i="117"/>
  <c r="T10" i="117"/>
  <c r="AK29" i="54" s="1"/>
  <c r="J31" i="82"/>
  <c r="H31" i="82"/>
  <c r="G31" i="82"/>
  <c r="J30" i="82"/>
  <c r="I30" i="82"/>
  <c r="H30" i="82"/>
  <c r="G30" i="82"/>
  <c r="I29" i="82"/>
  <c r="H29" i="82"/>
  <c r="G29" i="82"/>
  <c r="J28" i="82"/>
  <c r="I28" i="82"/>
  <c r="H28" i="82"/>
  <c r="G28" i="82"/>
  <c r="K24" i="82"/>
  <c r="J24" i="82"/>
  <c r="I24" i="82"/>
  <c r="H24" i="82"/>
  <c r="G24" i="82"/>
  <c r="K23" i="82"/>
  <c r="J23" i="82"/>
  <c r="I23" i="82"/>
  <c r="H23" i="82"/>
  <c r="G23" i="82"/>
  <c r="K22" i="82"/>
  <c r="J22" i="82"/>
  <c r="I22" i="82"/>
  <c r="H22" i="82"/>
  <c r="G22" i="82"/>
  <c r="K21" i="82"/>
  <c r="J21" i="82"/>
  <c r="I21" i="82"/>
  <c r="H21" i="82"/>
  <c r="G21" i="82"/>
  <c r="I17" i="82"/>
  <c r="H17" i="82"/>
  <c r="G17" i="82"/>
  <c r="I16" i="82"/>
  <c r="H16" i="82"/>
  <c r="G16" i="82"/>
  <c r="I15" i="82"/>
  <c r="H15" i="82"/>
  <c r="G15" i="82"/>
  <c r="I14" i="82"/>
  <c r="H14" i="82"/>
  <c r="G14" i="82"/>
  <c r="Y8" i="123" l="1"/>
  <c r="X8" i="123"/>
  <c r="G8" i="123" s="1"/>
  <c r="Y9" i="123"/>
  <c r="X9" i="123"/>
  <c r="G9" i="123" s="1"/>
  <c r="Y10" i="123"/>
  <c r="X10" i="123"/>
  <c r="G10" i="123" s="1"/>
  <c r="Y7" i="123"/>
  <c r="X7" i="123"/>
  <c r="G7" i="123" s="1"/>
  <c r="Y14" i="123"/>
  <c r="X14" i="123"/>
  <c r="G14" i="123" s="1"/>
  <c r="Y11" i="123"/>
  <c r="X11" i="123"/>
  <c r="G11" i="123" s="1"/>
  <c r="Y15" i="123"/>
  <c r="X15" i="123"/>
  <c r="G15" i="123" s="1"/>
  <c r="Y6" i="123"/>
  <c r="X6" i="123"/>
  <c r="Y12" i="123"/>
  <c r="X12" i="123"/>
  <c r="G12" i="123" s="1"/>
  <c r="Y13" i="123"/>
  <c r="X13" i="123"/>
  <c r="G13" i="123" s="1"/>
  <c r="G19" i="82"/>
  <c r="G12" i="82"/>
  <c r="G26" i="82"/>
  <c r="C2" i="82"/>
  <c r="C40" i="200" l="1"/>
  <c r="C10" i="174"/>
  <c r="C10" i="171"/>
  <c r="C10" i="170"/>
  <c r="C10" i="163"/>
  <c r="E6" i="139"/>
  <c r="BJ25" i="104"/>
  <c r="BJ25" i="124"/>
  <c r="BJ17" i="123"/>
  <c r="BJ19" i="123"/>
  <c r="BJ22" i="125"/>
  <c r="BJ25" i="123"/>
  <c r="BJ20" i="123"/>
  <c r="BJ23" i="125"/>
  <c r="BJ24" i="104"/>
  <c r="BJ22" i="124"/>
  <c r="BJ23" i="124"/>
  <c r="BJ16" i="123"/>
  <c r="BJ18" i="123"/>
  <c r="BJ23" i="123"/>
  <c r="BJ21" i="123"/>
  <c r="BJ24" i="123"/>
  <c r="BJ25" i="125"/>
  <c r="BJ24" i="124"/>
  <c r="BJ24" i="125"/>
  <c r="BJ22" i="123"/>
  <c r="BJ23" i="104"/>
  <c r="AI8" i="57"/>
  <c r="H8" i="57"/>
  <c r="BZ8" i="57"/>
  <c r="CR8" i="57"/>
  <c r="BE8" i="57"/>
  <c r="AI8" i="56"/>
  <c r="H8" i="56"/>
  <c r="CR8" i="56"/>
  <c r="BZ8" i="56"/>
  <c r="BE8" i="56"/>
  <c r="AI8" i="54"/>
  <c r="H8" i="54"/>
  <c r="BE8" i="54"/>
  <c r="CI8" i="54"/>
  <c r="AI8" i="55"/>
  <c r="BZ8" i="55"/>
  <c r="H8" i="55"/>
  <c r="BE8" i="55"/>
  <c r="CR8" i="55"/>
  <c r="B8" i="194"/>
  <c r="B20" i="124"/>
  <c r="B11" i="123"/>
  <c r="AA51" i="200"/>
  <c r="C19" i="159"/>
  <c r="C16" i="169"/>
  <c r="AA19" i="200"/>
  <c r="B19" i="194"/>
  <c r="AF16" i="200"/>
  <c r="B16" i="124"/>
  <c r="AA24" i="200"/>
  <c r="B20" i="125"/>
  <c r="AA50" i="200"/>
  <c r="B7" i="104"/>
  <c r="B15" i="179"/>
  <c r="B8" i="180"/>
  <c r="B12" i="124"/>
  <c r="B23" i="179"/>
  <c r="C40" i="174"/>
  <c r="AA41" i="200"/>
  <c r="E7" i="139"/>
  <c r="B22" i="179"/>
  <c r="B14" i="181"/>
  <c r="B11" i="180"/>
  <c r="B20" i="180"/>
  <c r="AF23" i="200"/>
  <c r="G23" i="136"/>
  <c r="F29" i="150"/>
  <c r="C12" i="159"/>
  <c r="C6" i="143"/>
  <c r="G24" i="136"/>
  <c r="AA44" i="200"/>
  <c r="B12" i="178"/>
  <c r="B23" i="178"/>
  <c r="B12" i="194"/>
  <c r="F29" i="157"/>
  <c r="AK29" i="200"/>
  <c r="B21" i="104"/>
  <c r="C8" i="169"/>
  <c r="B9" i="104"/>
  <c r="G25" i="136"/>
  <c r="AF15" i="200"/>
  <c r="C21" i="159"/>
  <c r="AF28" i="200"/>
  <c r="G15" i="136"/>
  <c r="C12" i="194"/>
  <c r="B20" i="194"/>
  <c r="AF20" i="200"/>
  <c r="F6" i="143"/>
  <c r="B14" i="124"/>
  <c r="AA53" i="200"/>
  <c r="B6" i="179"/>
  <c r="AA58" i="200"/>
  <c r="AF11" i="200"/>
  <c r="B12" i="179"/>
  <c r="AA16" i="200"/>
  <c r="C21" i="167"/>
  <c r="B10" i="124"/>
  <c r="D22" i="190"/>
  <c r="C18" i="168"/>
  <c r="C14" i="169"/>
  <c r="C40" i="170"/>
  <c r="B13" i="194"/>
  <c r="BG20" i="124"/>
  <c r="C9" i="169"/>
  <c r="AA8" i="200"/>
  <c r="AA27" i="200"/>
  <c r="B7" i="178"/>
  <c r="B9" i="181"/>
  <c r="AF22" i="200"/>
  <c r="B7" i="123"/>
  <c r="B17" i="180"/>
  <c r="AK24" i="200"/>
  <c r="B10" i="123"/>
  <c r="AA57" i="200"/>
  <c r="B23" i="194"/>
  <c r="AA28" i="200"/>
  <c r="AA42" i="200"/>
  <c r="B21" i="179"/>
  <c r="E39" i="118"/>
  <c r="AA67" i="200"/>
  <c r="B7" i="181"/>
  <c r="C20" i="174"/>
  <c r="AF18" i="200"/>
  <c r="AA46" i="200"/>
  <c r="F29" i="155"/>
  <c r="AK20" i="200"/>
  <c r="B19" i="124"/>
  <c r="C19" i="169"/>
  <c r="C6" i="167"/>
  <c r="B7" i="179"/>
  <c r="B7" i="180"/>
  <c r="AK28" i="200"/>
  <c r="AA31" i="200"/>
  <c r="AK14" i="200"/>
  <c r="AA36" i="200"/>
  <c r="K29" i="157"/>
  <c r="B11" i="125"/>
  <c r="AK9" i="200"/>
  <c r="AK18" i="200"/>
  <c r="F5" i="143"/>
  <c r="AA17" i="200"/>
  <c r="B15" i="181"/>
  <c r="B17" i="124"/>
  <c r="C13" i="159"/>
  <c r="AA18" i="200"/>
  <c r="B18" i="180"/>
  <c r="AK21" i="200"/>
  <c r="C10" i="159"/>
  <c r="C10" i="169"/>
  <c r="C16" i="168"/>
  <c r="C7" i="159"/>
  <c r="K29" i="155"/>
  <c r="C17" i="168"/>
  <c r="AK8" i="200"/>
  <c r="B147" i="184"/>
  <c r="D17" i="184" s="1"/>
  <c r="B13" i="104"/>
  <c r="AF29" i="200"/>
  <c r="C18" i="167"/>
  <c r="F29" i="148"/>
  <c r="B21" i="125"/>
  <c r="C17" i="167"/>
  <c r="B19" i="181"/>
  <c r="B18" i="181"/>
  <c r="B17" i="179"/>
  <c r="B20" i="179"/>
  <c r="B25" i="194"/>
  <c r="B17" i="178"/>
  <c r="B12" i="181"/>
  <c r="C16" i="167"/>
  <c r="B16" i="181"/>
  <c r="J29" i="157"/>
  <c r="G29" i="157"/>
  <c r="B6" i="178"/>
  <c r="AA38" i="200"/>
  <c r="AD20" i="125"/>
  <c r="F29" i="133"/>
  <c r="AA61" i="200"/>
  <c r="B16" i="178"/>
  <c r="AK27" i="200"/>
  <c r="C9" i="168"/>
  <c r="B11" i="181"/>
  <c r="C8" i="159"/>
  <c r="BG21" i="104"/>
  <c r="B13" i="123"/>
  <c r="B15" i="125"/>
  <c r="AD15" i="125" s="1"/>
  <c r="B17" i="104"/>
  <c r="BG17" i="104" s="1"/>
  <c r="C7" i="169"/>
  <c r="B15" i="104"/>
  <c r="B9" i="124"/>
  <c r="B15" i="123"/>
  <c r="AA10" i="200"/>
  <c r="C19" i="167"/>
  <c r="C6" i="122"/>
  <c r="AD17" i="104"/>
  <c r="B8" i="179"/>
  <c r="B21" i="178"/>
  <c r="C21" i="169"/>
  <c r="F56" i="133"/>
  <c r="V15" i="133" s="1" a="1"/>
  <c r="E12" i="122" a="1"/>
  <c r="AA32" i="200"/>
  <c r="AF9" i="200"/>
  <c r="B19" i="104"/>
  <c r="C22" i="186"/>
  <c r="B7" i="125"/>
  <c r="D22" i="186"/>
  <c r="C7" i="168"/>
  <c r="B22" i="180"/>
  <c r="G56" i="157"/>
  <c r="AK25" i="200"/>
  <c r="B6" i="123"/>
  <c r="D11" i="184"/>
  <c r="K29" i="154"/>
  <c r="B14" i="178"/>
  <c r="B12" i="123"/>
  <c r="B6" i="194"/>
  <c r="C12" i="169"/>
  <c r="AD7" i="104"/>
  <c r="B10" i="194"/>
  <c r="AA52" i="200"/>
  <c r="B11" i="104"/>
  <c r="C14" i="159"/>
  <c r="AA15" i="200"/>
  <c r="AK17" i="200"/>
  <c r="B12" i="104"/>
  <c r="BG12" i="104" s="1"/>
  <c r="F5" i="122"/>
  <c r="AK7" i="200"/>
  <c r="AK19" i="200"/>
  <c r="C11" i="159"/>
  <c r="AF14" i="200"/>
  <c r="B6" i="104"/>
  <c r="G18" i="136"/>
  <c r="B6" i="125"/>
  <c r="AD6" i="125" s="1"/>
  <c r="B163" i="184"/>
  <c r="D26" i="184" s="1"/>
  <c r="B20" i="181"/>
  <c r="G19" i="136"/>
  <c r="AK15" i="200"/>
  <c r="B10" i="180"/>
  <c r="I29" i="155"/>
  <c r="F21" i="133"/>
  <c r="B19" i="125"/>
  <c r="AA23" i="200"/>
  <c r="K29" i="156"/>
  <c r="AA33" i="200"/>
  <c r="C8" i="167"/>
  <c r="AA40" i="200"/>
  <c r="G20" i="136"/>
  <c r="AA12" i="200"/>
  <c r="B8" i="104"/>
  <c r="B16" i="104"/>
  <c r="AD19" i="104"/>
  <c r="B10" i="181"/>
  <c r="P10" i="55"/>
  <c r="AD19" i="125"/>
  <c r="C15" i="167"/>
  <c r="B13" i="181"/>
  <c r="AA68" i="200"/>
  <c r="B8" i="123"/>
  <c r="AD8" i="123" s="1"/>
  <c r="AA54" i="200"/>
  <c r="C10" i="167"/>
  <c r="B171" i="184"/>
  <c r="B22" i="194"/>
  <c r="B10" i="178"/>
  <c r="AA11" i="200"/>
  <c r="AF27" i="200"/>
  <c r="B22" i="178"/>
  <c r="AK10" i="200"/>
  <c r="B18" i="179"/>
  <c r="B11" i="194"/>
  <c r="C19" i="168"/>
  <c r="D5" i="184"/>
  <c r="B17" i="125"/>
  <c r="AK13" i="200"/>
  <c r="C22" i="190"/>
  <c r="C11" i="169"/>
  <c r="AF25" i="200"/>
  <c r="AF6" i="200"/>
  <c r="C9" i="167"/>
  <c r="E28" i="118"/>
  <c r="I29" i="156"/>
  <c r="J29" i="155"/>
  <c r="B8" i="178"/>
  <c r="B13" i="180"/>
  <c r="C15" i="168"/>
  <c r="B9" i="123"/>
  <c r="F56" i="148"/>
  <c r="B13" i="124"/>
  <c r="AD13" i="124" s="1"/>
  <c r="AA37" i="200"/>
  <c r="AA60" i="200"/>
  <c r="C8" i="168"/>
  <c r="B13" i="179"/>
  <c r="F29" i="156"/>
  <c r="B19" i="179"/>
  <c r="C20" i="159"/>
  <c r="B19" i="178"/>
  <c r="AA59" i="200"/>
  <c r="C13" i="167"/>
  <c r="AK12" i="200"/>
  <c r="AA6" i="200"/>
  <c r="C6" i="169"/>
  <c r="F8" i="143"/>
  <c r="G29" i="154"/>
  <c r="B19" i="180"/>
  <c r="B22" i="181"/>
  <c r="D23" i="184"/>
  <c r="AD12" i="104"/>
  <c r="B8" i="124"/>
  <c r="D32" i="184"/>
  <c r="C6" i="168"/>
  <c r="AA29" i="200"/>
  <c r="C6" i="140"/>
  <c r="AA34" i="200"/>
  <c r="AA47" i="200"/>
  <c r="AF10" i="200"/>
  <c r="B9" i="179"/>
  <c r="B9" i="194"/>
  <c r="AA25" i="200"/>
  <c r="B14" i="194"/>
  <c r="B11" i="124"/>
  <c r="AA63" i="200"/>
  <c r="F4" i="143"/>
  <c r="F9" i="122"/>
  <c r="B16" i="180"/>
  <c r="C17" i="169"/>
  <c r="C17" i="159"/>
  <c r="B20" i="178"/>
  <c r="B6" i="180"/>
  <c r="B16" i="179"/>
  <c r="B22" i="104"/>
  <c r="AD22" i="104" s="1"/>
  <c r="B14" i="179"/>
  <c r="C14" i="168"/>
  <c r="C20" i="171"/>
  <c r="C18" i="159"/>
  <c r="C6" i="142"/>
  <c r="B9" i="125"/>
  <c r="BG9" i="125" s="1"/>
  <c r="D8" i="184"/>
  <c r="C15" i="169"/>
  <c r="B12" i="125"/>
  <c r="AD12" i="125" s="1"/>
  <c r="B21" i="194"/>
  <c r="B24" i="194"/>
  <c r="B21" i="124"/>
  <c r="B10" i="125"/>
  <c r="C12" i="168"/>
  <c r="K56" i="156"/>
  <c r="G16" i="136"/>
  <c r="AA64" i="200"/>
  <c r="AD11" i="104"/>
  <c r="AA21" i="200"/>
  <c r="AA14" i="200"/>
  <c r="F9" i="143"/>
  <c r="F8" i="122"/>
  <c r="B15" i="194"/>
  <c r="C11" i="168"/>
  <c r="AK11" i="200"/>
  <c r="C40" i="171"/>
  <c r="C20" i="170"/>
  <c r="B18" i="194"/>
  <c r="B20" i="104"/>
  <c r="C7" i="167"/>
  <c r="C20" i="167"/>
  <c r="AA55" i="200"/>
  <c r="B15" i="178"/>
  <c r="B15" i="124"/>
  <c r="B18" i="104"/>
  <c r="AK22" i="200"/>
  <c r="BG15" i="125"/>
  <c r="H15" i="133" a="1"/>
  <c r="AA65" i="200"/>
  <c r="AF17" i="200"/>
  <c r="C11" i="167"/>
  <c r="AA66" i="200"/>
  <c r="B21" i="180"/>
  <c r="B8" i="181"/>
  <c r="AK6" i="200"/>
  <c r="B6" i="181"/>
  <c r="B7" i="194"/>
  <c r="AF19" i="200"/>
  <c r="AA22" i="200"/>
  <c r="AA9" i="200"/>
  <c r="J29" i="154"/>
  <c r="J29" i="156"/>
  <c r="B21" i="181"/>
  <c r="B12" i="180"/>
  <c r="B16" i="125"/>
  <c r="B14" i="125"/>
  <c r="AK23" i="200"/>
  <c r="AF7" i="200"/>
  <c r="AF24" i="200"/>
  <c r="B23" i="180"/>
  <c r="B13" i="125"/>
  <c r="AF8" i="200"/>
  <c r="B6" i="124"/>
  <c r="AA43" i="200"/>
  <c r="BG19" i="124"/>
  <c r="B10" i="104"/>
  <c r="B9" i="178"/>
  <c r="B14" i="123"/>
  <c r="B13" i="178"/>
  <c r="H29" i="154"/>
  <c r="AA39" i="200"/>
  <c r="F29" i="149"/>
  <c r="C13" i="169"/>
  <c r="AA45" i="200"/>
  <c r="H29" i="155"/>
  <c r="C18" i="169"/>
  <c r="B17" i="181"/>
  <c r="B11" i="179"/>
  <c r="I29" i="154"/>
  <c r="AF13" i="200"/>
  <c r="AF12" i="200"/>
  <c r="B155" i="184"/>
  <c r="C16" i="159"/>
  <c r="AA20" i="200"/>
  <c r="AA56" i="200"/>
  <c r="F56" i="150"/>
  <c r="V15" i="150" a="1"/>
  <c r="C12" i="167"/>
  <c r="I29" i="157"/>
  <c r="B11" i="178"/>
  <c r="AK26" i="200"/>
  <c r="B8" i="125"/>
  <c r="C6" i="159"/>
  <c r="AA35" i="200"/>
  <c r="B10" i="179"/>
  <c r="B15" i="180"/>
  <c r="G29" i="155"/>
  <c r="AD11" i="123"/>
  <c r="G14" i="136"/>
  <c r="C13" i="168"/>
  <c r="C20" i="163"/>
  <c r="E12" i="142" a="1"/>
  <c r="B9" i="180"/>
  <c r="G22" i="136"/>
  <c r="BG11" i="123"/>
  <c r="C9" i="159"/>
  <c r="AA13" i="200"/>
  <c r="B17" i="194"/>
  <c r="C20" i="169"/>
  <c r="G21" i="136"/>
  <c r="BG12" i="123"/>
  <c r="G29" i="156"/>
  <c r="H29" i="156"/>
  <c r="G17" i="136"/>
  <c r="AF21" i="200"/>
  <c r="C14" i="167"/>
  <c r="BG15" i="123"/>
  <c r="E12" i="143" a="1"/>
  <c r="F8" i="142"/>
  <c r="C21" i="168"/>
  <c r="B7" i="124"/>
  <c r="B23" i="181"/>
  <c r="C15" i="159"/>
  <c r="B18" i="125"/>
  <c r="BG18" i="125" s="1"/>
  <c r="B18" i="124"/>
  <c r="C40" i="163"/>
  <c r="AK16" i="200"/>
  <c r="B26" i="194"/>
  <c r="AA62" i="200"/>
  <c r="B14" i="104"/>
  <c r="H29" i="157"/>
  <c r="C20" i="168"/>
  <c r="F29" i="154"/>
  <c r="D7" i="195"/>
  <c r="F4" i="122"/>
  <c r="BG6" i="123"/>
  <c r="AA49" i="200"/>
  <c r="B16" i="194"/>
  <c r="AA26" i="200"/>
  <c r="AA7" i="200"/>
  <c r="C10" i="168"/>
  <c r="B14" i="180"/>
  <c r="AF26" i="200"/>
  <c r="AA48" i="200"/>
  <c r="E12" i="140" a="1"/>
  <c r="O10" i="55"/>
  <c r="AA30" i="200"/>
  <c r="B18" i="178"/>
  <c r="BG16" i="125"/>
  <c r="F8" i="140"/>
  <c r="AD9" i="125"/>
  <c r="BG13" i="104"/>
  <c r="F6" i="122"/>
  <c r="E26" i="122" a="1"/>
  <c r="BG16" i="104"/>
  <c r="AD16" i="104"/>
  <c r="V15" i="148" a="1"/>
  <c r="F18" i="148"/>
  <c r="F21" i="148"/>
  <c r="F6" i="140"/>
  <c r="F9" i="140"/>
  <c r="F4" i="140"/>
  <c r="F5" i="140"/>
  <c r="F6" i="142"/>
  <c r="F9" i="142"/>
  <c r="F5" i="142"/>
  <c r="BG14" i="123"/>
  <c r="F56" i="149"/>
  <c r="F21" i="149"/>
  <c r="H15" i="150" a="1"/>
  <c r="F18" i="150"/>
  <c r="F21" i="150"/>
  <c r="BG8" i="125"/>
  <c r="AD8" i="125"/>
  <c r="BG7" i="124"/>
  <c r="AD7" i="124"/>
  <c r="V15" i="149" a="1"/>
  <c r="F18" i="149"/>
  <c r="AB52" i="200" l="1"/>
  <c r="AG23" i="200"/>
  <c r="AG13" i="200"/>
  <c r="AG17" i="200"/>
  <c r="AG22" i="200"/>
  <c r="AG16" i="200"/>
  <c r="AB23" i="200"/>
  <c r="F21" i="200" s="1"/>
  <c r="AB34" i="200"/>
  <c r="O5" i="200" s="1"/>
  <c r="AB57" i="200"/>
  <c r="AB61" i="200"/>
  <c r="AL6" i="200"/>
  <c r="AG28" i="200"/>
  <c r="AB38" i="200"/>
  <c r="O9" i="200" s="1"/>
  <c r="AL28" i="200"/>
  <c r="AB47" i="200"/>
  <c r="O18" i="200" s="1"/>
  <c r="AB10" i="200"/>
  <c r="F8" i="200" s="1"/>
  <c r="AB8" i="200"/>
  <c r="F6" i="200" s="1"/>
  <c r="AG15" i="200"/>
  <c r="AL13" i="200"/>
  <c r="AB50" i="200"/>
  <c r="O21" i="200" s="1"/>
  <c r="AB67" i="200"/>
  <c r="AB56" i="200"/>
  <c r="AB51" i="200"/>
  <c r="AL14" i="200"/>
  <c r="AB21" i="200"/>
  <c r="F19" i="200" s="1"/>
  <c r="AB41" i="200"/>
  <c r="O12" i="200" s="1"/>
  <c r="AB26" i="200"/>
  <c r="F24" i="200" s="1"/>
  <c r="AB16" i="200"/>
  <c r="F14" i="200" s="1"/>
  <c r="AB32" i="200"/>
  <c r="F30" i="200" s="1"/>
  <c r="AG7" i="200"/>
  <c r="F39" i="200" s="1"/>
  <c r="AB62" i="200"/>
  <c r="AL26" i="200"/>
  <c r="AB33" i="200"/>
  <c r="O4" i="200" s="1"/>
  <c r="AG14" i="200"/>
  <c r="AB40" i="200"/>
  <c r="O11" i="200" s="1"/>
  <c r="AL24" i="200"/>
  <c r="AG12" i="200"/>
  <c r="AB39" i="200"/>
  <c r="O10" i="200" s="1"/>
  <c r="AG6" i="200"/>
  <c r="F38" i="200" s="1"/>
  <c r="AL27" i="200"/>
  <c r="AL22" i="200"/>
  <c r="AB19" i="200"/>
  <c r="F17" i="200" s="1"/>
  <c r="AL8" i="200"/>
  <c r="AB37" i="200"/>
  <c r="O8" i="200" s="1"/>
  <c r="AB28" i="200"/>
  <c r="F26" i="200" s="1"/>
  <c r="AG25" i="200"/>
  <c r="AB6" i="200"/>
  <c r="F4" i="200" s="1"/>
  <c r="AL17" i="200"/>
  <c r="AB53" i="200"/>
  <c r="AG9" i="200"/>
  <c r="AG29" i="200"/>
  <c r="AG11" i="200"/>
  <c r="AL20" i="200"/>
  <c r="AL15" i="200"/>
  <c r="AB31" i="200"/>
  <c r="F29" i="200" s="1"/>
  <c r="AL10" i="200"/>
  <c r="I39" i="200" s="1"/>
  <c r="AG20" i="200"/>
  <c r="AB27" i="200"/>
  <c r="F25" i="200" s="1"/>
  <c r="AB45" i="200"/>
  <c r="O16" i="200" s="1"/>
  <c r="AL18" i="200"/>
  <c r="AB7" i="200"/>
  <c r="F5" i="200" s="1"/>
  <c r="AB49" i="200"/>
  <c r="O20" i="200" s="1"/>
  <c r="AB22" i="200"/>
  <c r="F20" i="200" s="1"/>
  <c r="AB15" i="200"/>
  <c r="F13" i="200" s="1"/>
  <c r="AG27" i="200"/>
  <c r="AB12" i="200"/>
  <c r="F10" i="200" s="1"/>
  <c r="AB66" i="200"/>
  <c r="AB36" i="200"/>
  <c r="O7" i="200" s="1"/>
  <c r="AB58" i="200"/>
  <c r="AB64" i="200"/>
  <c r="AL21" i="200"/>
  <c r="AB9" i="200"/>
  <c r="F7" i="200" s="1"/>
  <c r="AG19" i="200"/>
  <c r="AL9" i="200"/>
  <c r="I38" i="200" s="1"/>
  <c r="AB68" i="200"/>
  <c r="AL12" i="200"/>
  <c r="AG21" i="200"/>
  <c r="AB25" i="200"/>
  <c r="F23" i="200" s="1"/>
  <c r="AG10" i="200"/>
  <c r="AB44" i="200"/>
  <c r="O15" i="200" s="1"/>
  <c r="AB46" i="200"/>
  <c r="O17" i="200" s="1"/>
  <c r="AL19" i="200"/>
  <c r="AB43" i="200"/>
  <c r="O14" i="200" s="1"/>
  <c r="AB59" i="200"/>
  <c r="AB14" i="200"/>
  <c r="F12" i="200" s="1"/>
  <c r="AB65" i="200"/>
  <c r="AL25" i="200"/>
  <c r="AB11" i="200"/>
  <c r="F9" i="200" s="1"/>
  <c r="AB29" i="200"/>
  <c r="F27" i="200" s="1"/>
  <c r="AB42" i="200"/>
  <c r="O13" i="200" s="1"/>
  <c r="AL23" i="200"/>
  <c r="AB17" i="200"/>
  <c r="F15" i="200" s="1"/>
  <c r="AB35" i="200"/>
  <c r="O6" i="200" s="1"/>
  <c r="AB20" i="200"/>
  <c r="F18" i="200" s="1"/>
  <c r="AB13" i="200"/>
  <c r="F11" i="200" s="1"/>
  <c r="AB48" i="200"/>
  <c r="O19" i="200" s="1"/>
  <c r="AL7" i="200"/>
  <c r="AB18" i="200"/>
  <c r="F16" i="200" s="1"/>
  <c r="AB60" i="200"/>
  <c r="AL16" i="200"/>
  <c r="AB63" i="200"/>
  <c r="AB24" i="200"/>
  <c r="F22" i="200" s="1"/>
  <c r="AB30" i="200"/>
  <c r="F28" i="200" s="1"/>
  <c r="AL11" i="200"/>
  <c r="I40" i="200" s="1"/>
  <c r="AG26" i="200"/>
  <c r="AG24" i="200"/>
  <c r="AB54" i="200"/>
  <c r="AG8" i="200"/>
  <c r="F40" i="200" s="1"/>
  <c r="AG18" i="200"/>
  <c r="AL29" i="200"/>
  <c r="AB55" i="200"/>
  <c r="G18" i="148"/>
  <c r="AA168" i="148"/>
  <c r="X183" i="148"/>
  <c r="AC165" i="148"/>
  <c r="AE176" i="148"/>
  <c r="W152" i="148"/>
  <c r="X172" i="148"/>
  <c r="AI146" i="148"/>
  <c r="AH178" i="148"/>
  <c r="Z142" i="148"/>
  <c r="W109" i="148"/>
  <c r="Z123" i="148"/>
  <c r="X137" i="148"/>
  <c r="AH180" i="148"/>
  <c r="AC99" i="148"/>
  <c r="AC115" i="148"/>
  <c r="W132" i="148"/>
  <c r="V89" i="148"/>
  <c r="Y81" i="148"/>
  <c r="AA91" i="148"/>
  <c r="AE122" i="148"/>
  <c r="AD72" i="148"/>
  <c r="W71" i="148"/>
  <c r="AG86" i="148"/>
  <c r="AI101" i="148"/>
  <c r="X87" i="148"/>
  <c r="AJ117" i="148"/>
  <c r="AH84" i="148"/>
  <c r="AA103" i="148"/>
  <c r="AJ67" i="148"/>
  <c r="AF148" i="148"/>
  <c r="V66" i="148"/>
  <c r="AF53" i="148"/>
  <c r="AD43" i="148"/>
  <c r="AA34" i="148"/>
  <c r="AE43" i="148"/>
  <c r="AB43" i="148"/>
  <c r="AE41" i="148"/>
  <c r="Z54" i="148"/>
  <c r="AI23" i="148"/>
  <c r="AF22" i="148"/>
  <c r="AE15" i="148"/>
  <c r="W28" i="148"/>
  <c r="AA41" i="148"/>
  <c r="V28" i="148"/>
  <c r="AF17" i="148"/>
  <c r="AF108" i="148"/>
  <c r="V86" i="148"/>
  <c r="AC64" i="148"/>
  <c r="Y74" i="148"/>
  <c r="X94" i="148"/>
  <c r="V33" i="148"/>
  <c r="AI54" i="148"/>
  <c r="AB22" i="148"/>
  <c r="Z44" i="148"/>
  <c r="AB21" i="148"/>
  <c r="AE175" i="148"/>
  <c r="AJ190" i="148"/>
  <c r="AA177" i="148"/>
  <c r="W190" i="148"/>
  <c r="AH159" i="148"/>
  <c r="Z150" i="148"/>
  <c r="X158" i="148"/>
  <c r="AE144" i="148"/>
  <c r="AF159" i="148"/>
  <c r="AI116" i="148"/>
  <c r="AD130" i="148"/>
  <c r="AG149" i="148"/>
  <c r="AJ112" i="148"/>
  <c r="Y109" i="148"/>
  <c r="X128" i="148"/>
  <c r="AD147" i="148"/>
  <c r="AH96" i="148"/>
  <c r="AI91" i="148"/>
  <c r="AJ103" i="148"/>
  <c r="AG146" i="148"/>
  <c r="V80" i="148"/>
  <c r="W82" i="148"/>
  <c r="AE105" i="148"/>
  <c r="AA133" i="148"/>
  <c r="W105" i="148"/>
  <c r="AH56" i="148"/>
  <c r="AI56" i="148"/>
  <c r="AF60" i="148"/>
  <c r="AJ86" i="148"/>
  <c r="AE65" i="148"/>
  <c r="AD135" i="148"/>
  <c r="AD73" i="148"/>
  <c r="AC53" i="148"/>
  <c r="AG42" i="148"/>
  <c r="AF30" i="148"/>
  <c r="V34" i="148"/>
  <c r="X35" i="148"/>
  <c r="W44" i="148"/>
  <c r="AH28" i="148"/>
  <c r="Y26" i="148"/>
  <c r="AE18" i="148"/>
  <c r="AI27" i="148"/>
  <c r="AD22" i="148"/>
  <c r="X15" i="148"/>
  <c r="Y162" i="148"/>
  <c r="AJ161" i="148"/>
  <c r="AI134" i="148"/>
  <c r="AA119" i="148"/>
  <c r="AD106" i="148"/>
  <c r="AF178" i="148"/>
  <c r="AG55" i="148"/>
  <c r="V27" i="148"/>
  <c r="AF44" i="148"/>
  <c r="W179" i="148"/>
  <c r="V170" i="148"/>
  <c r="W184" i="148"/>
  <c r="AG163" i="148"/>
  <c r="W165" i="148"/>
  <c r="AD153" i="148"/>
  <c r="W166" i="148"/>
  <c r="Y148" i="148"/>
  <c r="AH182" i="148"/>
  <c r="AA120" i="148"/>
  <c r="V134" i="148"/>
  <c r="AF160" i="148"/>
  <c r="AB116" i="148"/>
  <c r="V115" i="148"/>
  <c r="AH134" i="148"/>
  <c r="AB162" i="148"/>
  <c r="Z100" i="148"/>
  <c r="AH97" i="148"/>
  <c r="Y110" i="148"/>
  <c r="W163" i="148"/>
  <c r="AH83" i="148"/>
  <c r="AH88" i="148"/>
  <c r="AH120" i="148"/>
  <c r="X162" i="148"/>
  <c r="AG115" i="148"/>
  <c r="Z60" i="148"/>
  <c r="AF62" i="148"/>
  <c r="V70" i="148"/>
  <c r="AA101" i="148"/>
  <c r="AE71" i="148"/>
  <c r="AE58" i="148"/>
  <c r="AF100" i="148"/>
  <c r="AE30" i="148"/>
  <c r="AF46" i="148"/>
  <c r="AF34" i="148"/>
  <c r="AA35" i="148"/>
  <c r="AJ42" i="148"/>
  <c r="AE51" i="148"/>
  <c r="AA23" i="148"/>
  <c r="X22" i="148"/>
  <c r="AI19" i="148"/>
  <c r="X27" i="148"/>
  <c r="AD16" i="148"/>
  <c r="AD184" i="148"/>
  <c r="AA167" i="148"/>
  <c r="AC183" i="148"/>
  <c r="AC151" i="148"/>
  <c r="AD132" i="148"/>
  <c r="AH126" i="148"/>
  <c r="AH98" i="148"/>
  <c r="AE116" i="148"/>
  <c r="AH65" i="148"/>
  <c r="V41" i="148"/>
  <c r="AH24" i="148"/>
  <c r="AE50" i="148"/>
  <c r="AI186" i="148"/>
  <c r="AH177" i="148"/>
  <c r="AF169" i="148"/>
  <c r="AH176" i="148"/>
  <c r="AG184" i="148"/>
  <c r="AI162" i="148"/>
  <c r="AJ153" i="148"/>
  <c r="AB161" i="148"/>
  <c r="X147" i="148"/>
  <c r="AE127" i="148"/>
  <c r="AH141" i="148"/>
  <c r="AH109" i="148"/>
  <c r="AF123" i="148"/>
  <c r="AE128" i="148"/>
  <c r="AD150" i="148"/>
  <c r="AC94" i="148"/>
  <c r="AI107" i="148"/>
  <c r="AC111" i="148"/>
  <c r="AD131" i="148"/>
  <c r="AF76" i="148"/>
  <c r="V92" i="148"/>
  <c r="AC107" i="148"/>
  <c r="AC116" i="148"/>
  <c r="AG65" i="148"/>
  <c r="AG173" i="148"/>
  <c r="AD67" i="148"/>
  <c r="AG76" i="148"/>
  <c r="AD62" i="148"/>
  <c r="AA62" i="148"/>
  <c r="X97" i="148"/>
  <c r="AB70" i="148"/>
  <c r="AI65" i="148"/>
  <c r="AF38" i="148"/>
  <c r="X54" i="148"/>
  <c r="V42" i="148"/>
  <c r="X29" i="148"/>
  <c r="AJ40" i="148"/>
  <c r="V38" i="148"/>
  <c r="Z23" i="148"/>
  <c r="X163" i="148"/>
  <c r="AI118" i="148"/>
  <c r="AJ118" i="148"/>
  <c r="Y93" i="148"/>
  <c r="AI93" i="148"/>
  <c r="AG78" i="148"/>
  <c r="Z99" i="148"/>
  <c r="X93" i="148"/>
  <c r="AC117" i="148"/>
  <c r="AC45" i="148"/>
  <c r="W32" i="148"/>
  <c r="W23" i="148"/>
  <c r="AG54" i="148"/>
  <c r="AI42" i="148"/>
  <c r="AA190" i="148"/>
  <c r="Z181" i="148"/>
  <c r="X173" i="148"/>
  <c r="AG182" i="148"/>
  <c r="Z162" i="148"/>
  <c r="Y170" i="148"/>
  <c r="AB157" i="148"/>
  <c r="AF174" i="148"/>
  <c r="AA152" i="148"/>
  <c r="W131" i="148"/>
  <c r="AG147" i="148"/>
  <c r="Z113" i="148"/>
  <c r="X127" i="148"/>
  <c r="AC134" i="148"/>
  <c r="Z165" i="148"/>
  <c r="Y99" i="148"/>
  <c r="Z114" i="148"/>
  <c r="W120" i="148"/>
  <c r="Y140" i="148"/>
  <c r="X80" i="148"/>
  <c r="AI97" i="148"/>
  <c r="AA121" i="148"/>
  <c r="AC57" i="148"/>
  <c r="AC70" i="148"/>
  <c r="AG80" i="148"/>
  <c r="X71" i="148"/>
  <c r="AB88" i="148"/>
  <c r="AD75" i="148"/>
  <c r="AA67" i="148"/>
  <c r="AE124" i="148"/>
  <c r="AA79" i="148"/>
  <c r="AA85" i="148"/>
  <c r="Y43" i="148"/>
  <c r="AA33" i="148"/>
  <c r="AG45" i="148"/>
  <c r="Z36" i="148"/>
  <c r="AC30" i="148"/>
  <c r="Z45" i="148"/>
  <c r="AC19" i="148"/>
  <c r="V188" i="148"/>
  <c r="AB180" i="148"/>
  <c r="AC161" i="148"/>
  <c r="AC171" i="148"/>
  <c r="AA149" i="148"/>
  <c r="V166" i="148"/>
  <c r="AE143" i="148"/>
  <c r="Y168" i="148"/>
  <c r="AA138" i="148"/>
  <c r="AC179" i="148"/>
  <c r="V120" i="148"/>
  <c r="AB134" i="148"/>
  <c r="AB154" i="148"/>
  <c r="AC95" i="148"/>
  <c r="AD109" i="148"/>
  <c r="X126" i="148"/>
  <c r="AJ147" i="148"/>
  <c r="Y77" i="148"/>
  <c r="AB87" i="148"/>
  <c r="AD111" i="148"/>
  <c r="AE157" i="148"/>
  <c r="AC67" i="148"/>
  <c r="AB82" i="148"/>
  <c r="AJ93" i="148"/>
  <c r="AJ82" i="148"/>
  <c r="AF132" i="148"/>
  <c r="AF56" i="148"/>
  <c r="W85" i="148"/>
  <c r="AJ62" i="148"/>
  <c r="AG114" i="148"/>
  <c r="AJ60" i="148"/>
  <c r="AJ50" i="148"/>
  <c r="AH40" i="148"/>
  <c r="Y55" i="148"/>
  <c r="AE37" i="148"/>
  <c r="AI46" i="148"/>
  <c r="V32" i="148"/>
  <c r="X41" i="148"/>
  <c r="AH26" i="148"/>
  <c r="Z25" i="148"/>
  <c r="W16" i="148"/>
  <c r="AI172" i="148"/>
  <c r="AF187" i="148"/>
  <c r="Y172" i="148"/>
  <c r="X184" i="148"/>
  <c r="AE156" i="148"/>
  <c r="W186" i="148"/>
  <c r="W153" i="148"/>
  <c r="AI141" i="148"/>
  <c r="Y151" i="148"/>
  <c r="AE113" i="148"/>
  <c r="AH127" i="148"/>
  <c r="Z143" i="148"/>
  <c r="AF109" i="148"/>
  <c r="AC105" i="148"/>
  <c r="V123" i="148"/>
  <c r="AD139" i="148"/>
  <c r="AD93" i="148"/>
  <c r="Y87" i="148"/>
  <c r="AJ98" i="148"/>
  <c r="AJ135" i="148"/>
  <c r="Z77" i="148"/>
  <c r="V77" i="148"/>
  <c r="AB97" i="148"/>
  <c r="Y119" i="148"/>
  <c r="AD96" i="148"/>
  <c r="W160" i="148"/>
  <c r="Z187" i="148"/>
  <c r="X179" i="148"/>
  <c r="Y160" i="148"/>
  <c r="AI169" i="148"/>
  <c r="W148" i="148"/>
  <c r="X165" i="148"/>
  <c r="AI142" i="148"/>
  <c r="AF165" i="148"/>
  <c r="W137" i="148"/>
  <c r="Z168" i="148"/>
  <c r="Z119" i="148"/>
  <c r="X133" i="148"/>
  <c r="Z147" i="148"/>
  <c r="Y94" i="148"/>
  <c r="AB107" i="148"/>
  <c r="AC124" i="148"/>
  <c r="AB145" i="148"/>
  <c r="AG75" i="148"/>
  <c r="X86" i="148"/>
  <c r="AH108" i="148"/>
  <c r="AH151" i="148"/>
  <c r="Y66" i="148"/>
  <c r="AH80" i="148"/>
  <c r="AE91" i="148"/>
  <c r="AA81" i="148"/>
  <c r="AG126" i="148"/>
  <c r="Z138" i="148"/>
  <c r="AC83" i="148"/>
  <c r="Z61" i="148"/>
  <c r="AI105" i="148"/>
  <c r="Z59" i="148"/>
  <c r="AF49" i="148"/>
  <c r="AF39" i="148"/>
  <c r="AG53" i="148"/>
  <c r="AE35" i="148"/>
  <c r="AE44" i="148"/>
  <c r="AG30" i="148"/>
  <c r="Z29" i="148"/>
  <c r="AD25" i="148"/>
  <c r="W22" i="148"/>
  <c r="AB15" i="148"/>
  <c r="AC28" i="148"/>
  <c r="V49" i="148"/>
  <c r="X26" i="148"/>
  <c r="AB142" i="148"/>
  <c r="AC88" i="148"/>
  <c r="V74" i="148"/>
  <c r="AJ104" i="148"/>
  <c r="X60" i="148"/>
  <c r="AJ68" i="148"/>
  <c r="AG50" i="148"/>
  <c r="V46" i="148"/>
  <c r="AJ27" i="148"/>
  <c r="W39" i="148"/>
  <c r="AA22" i="148"/>
  <c r="AE171" i="148"/>
  <c r="AJ186" i="148"/>
  <c r="AE170" i="148"/>
  <c r="AC182" i="148"/>
  <c r="AI155" i="148"/>
  <c r="V183" i="148"/>
  <c r="AB151" i="148"/>
  <c r="AE140" i="148"/>
  <c r="AA148" i="148"/>
  <c r="AI112" i="148"/>
  <c r="AD126" i="148"/>
  <c r="AD141" i="148"/>
  <c r="AJ108" i="148"/>
  <c r="Y104" i="148"/>
  <c r="AB121" i="148"/>
  <c r="AJ137" i="148"/>
  <c r="AH92" i="148"/>
  <c r="AG85" i="148"/>
  <c r="Z97" i="148"/>
  <c r="AC133" i="148"/>
  <c r="V76" i="148"/>
  <c r="Y76" i="148"/>
  <c r="W95" i="148"/>
  <c r="AD113" i="148"/>
  <c r="W94" i="148"/>
  <c r="Y141" i="148"/>
  <c r="AB102" i="148"/>
  <c r="AF134" i="148"/>
  <c r="W73" i="148"/>
  <c r="AI58" i="148"/>
  <c r="AE75" i="148"/>
  <c r="AI59" i="148"/>
  <c r="Y48" i="148"/>
  <c r="AB38" i="148"/>
  <c r="W50" i="148"/>
  <c r="V50" i="148"/>
  <c r="W48" i="148"/>
  <c r="AI35" i="148"/>
  <c r="AJ24" i="148"/>
  <c r="W21" i="148"/>
  <c r="X16" i="148"/>
  <c r="AG19" i="148"/>
  <c r="AG23" i="148"/>
  <c r="AE185" i="148"/>
  <c r="AJ181" i="148"/>
  <c r="AC188" i="148"/>
  <c r="AI114" i="148"/>
  <c r="AC101" i="148"/>
  <c r="AJ71" i="148"/>
  <c r="AJ65" i="148"/>
  <c r="W54" i="148"/>
  <c r="W24" i="148"/>
  <c r="X37" i="148"/>
  <c r="W175" i="148"/>
  <c r="AB190" i="148"/>
  <c r="AC176" i="148"/>
  <c r="Y189" i="148"/>
  <c r="Y159" i="148"/>
  <c r="AD149" i="148"/>
  <c r="Y157" i="148"/>
  <c r="W144" i="148"/>
  <c r="AA156" i="148"/>
  <c r="AA116" i="148"/>
  <c r="V130" i="148"/>
  <c r="AB148" i="148"/>
  <c r="AB112" i="148"/>
  <c r="Z108" i="148"/>
  <c r="AA127" i="148"/>
  <c r="Z145" i="148"/>
  <c r="Z96" i="148"/>
  <c r="W91" i="148"/>
  <c r="X103" i="148"/>
  <c r="AC145" i="148"/>
  <c r="AH79" i="148"/>
  <c r="X81" i="148"/>
  <c r="Z103" i="148"/>
  <c r="Y132" i="148"/>
  <c r="AB104" i="148"/>
  <c r="Z56" i="148"/>
  <c r="V56" i="148"/>
  <c r="W59" i="148"/>
  <c r="W81" i="148"/>
  <c r="AF64" i="148"/>
  <c r="V129" i="148"/>
  <c r="AI71" i="148"/>
  <c r="AG52" i="148"/>
  <c r="Y42" i="148"/>
  <c r="X30" i="148"/>
  <c r="X33" i="148"/>
  <c r="AI55" i="148"/>
  <c r="AI43" i="148"/>
  <c r="Z28" i="148"/>
  <c r="AH22" i="148"/>
  <c r="AC20" i="148"/>
  <c r="AC24" i="148"/>
  <c r="AF18" i="148"/>
  <c r="AD176" i="148"/>
  <c r="AC189" i="148"/>
  <c r="Z156" i="148"/>
  <c r="AE153" i="148"/>
  <c r="AD120" i="148"/>
  <c r="AG106" i="148"/>
  <c r="AB133" i="148"/>
  <c r="AG62" i="148"/>
  <c r="AB127" i="148"/>
  <c r="AB45" i="148"/>
  <c r="V26" i="148"/>
  <c r="AH34" i="148"/>
  <c r="AI182" i="148"/>
  <c r="AH173" i="148"/>
  <c r="AJ189" i="148"/>
  <c r="AA169" i="148"/>
  <c r="W172" i="148"/>
  <c r="V157" i="148"/>
  <c r="W182" i="148"/>
  <c r="AD152" i="148"/>
  <c r="X143" i="148"/>
  <c r="AE123" i="148"/>
  <c r="AH137" i="148"/>
  <c r="AG186" i="148"/>
  <c r="AF119" i="148"/>
  <c r="AI121" i="148"/>
  <c r="AI140" i="148"/>
  <c r="Y89" i="148"/>
  <c r="AD103" i="148"/>
  <c r="AI102" i="148"/>
  <c r="AF120" i="148"/>
  <c r="AF72" i="148"/>
  <c r="Z87" i="148"/>
  <c r="AA96" i="148"/>
  <c r="AB139" i="148"/>
  <c r="AC60" i="148"/>
  <c r="AC135" i="148"/>
  <c r="AD63" i="148"/>
  <c r="AE68" i="148"/>
  <c r="W108" i="148"/>
  <c r="AC144" i="148"/>
  <c r="AE80" i="148"/>
  <c r="AF63" i="148"/>
  <c r="AH128" i="148"/>
  <c r="W34" i="148"/>
  <c r="X50" i="148"/>
  <c r="Y38" i="148"/>
  <c r="W47" i="148"/>
  <c r="AD49" i="148"/>
  <c r="W31" i="148"/>
  <c r="AE181" i="148"/>
  <c r="AA144" i="148"/>
  <c r="AB181" i="148"/>
  <c r="AG189" i="148"/>
  <c r="AE134" i="148"/>
  <c r="AJ83" i="148"/>
  <c r="AG56" i="148"/>
  <c r="AH70" i="148"/>
  <c r="AE159" i="148"/>
  <c r="AB78" i="148"/>
  <c r="AB53" i="148"/>
  <c r="V47" i="148"/>
  <c r="AA27" i="148"/>
  <c r="X52" i="148"/>
  <c r="AF42" i="148"/>
  <c r="AA186" i="148"/>
  <c r="Z177" i="148"/>
  <c r="X169" i="148"/>
  <c r="W176" i="148"/>
  <c r="AE182" i="148"/>
  <c r="V162" i="148"/>
  <c r="AB153" i="148"/>
  <c r="AG159" i="148"/>
  <c r="AJ146" i="148"/>
  <c r="W127" i="148"/>
  <c r="V141" i="148"/>
  <c r="Z109" i="148"/>
  <c r="X123" i="148"/>
  <c r="AG127" i="148"/>
  <c r="AB149" i="148"/>
  <c r="AG93" i="148"/>
  <c r="W107" i="148"/>
  <c r="V109" i="148"/>
  <c r="Y129" i="148"/>
  <c r="X76" i="148"/>
  <c r="AJ91" i="148"/>
  <c r="AF106" i="148"/>
  <c r="AI183" i="148"/>
  <c r="Y65" i="148"/>
  <c r="AG157" i="148"/>
  <c r="V67" i="148"/>
  <c r="AI75" i="148"/>
  <c r="AJ59" i="148"/>
  <c r="AB61" i="148"/>
  <c r="AJ95" i="148"/>
  <c r="AE69" i="148"/>
  <c r="X64" i="148"/>
  <c r="X38" i="148"/>
  <c r="AJ53" i="148"/>
  <c r="AH41" i="148"/>
  <c r="W55" i="148"/>
  <c r="AH39" i="148"/>
  <c r="AH188" i="148"/>
  <c r="AJ15" i="148"/>
  <c r="V184" i="148"/>
  <c r="AB176" i="148"/>
  <c r="AF188" i="148"/>
  <c r="V165" i="148"/>
  <c r="Y181" i="148"/>
  <c r="Z160" i="148"/>
  <c r="AA187" i="148"/>
  <c r="AB158" i="148"/>
  <c r="AA134" i="148"/>
  <c r="W155" i="148"/>
  <c r="V116" i="148"/>
  <c r="AB130" i="148"/>
  <c r="AA140" i="148"/>
  <c r="Y90" i="148"/>
  <c r="Y103" i="148"/>
  <c r="AB119" i="148"/>
  <c r="AE130" i="148"/>
  <c r="AH158" i="148"/>
  <c r="AB83" i="148"/>
  <c r="AJ102" i="148"/>
  <c r="AH130" i="148"/>
  <c r="Y62" i="148"/>
  <c r="AJ74" i="148"/>
  <c r="AF85" i="148"/>
  <c r="AC75" i="148"/>
  <c r="AF102" i="148"/>
  <c r="V96" i="148"/>
  <c r="Y73" i="148"/>
  <c r="X56" i="148"/>
  <c r="AH89" i="148"/>
  <c r="AF110" i="148"/>
  <c r="AJ46" i="148"/>
  <c r="X36" i="148"/>
  <c r="AG49" i="148"/>
  <c r="AI29" i="148"/>
  <c r="Y31" i="148"/>
  <c r="AH51" i="148"/>
  <c r="AF35" i="148"/>
  <c r="AI22" i="148"/>
  <c r="AA20" i="148"/>
  <c r="AA15" i="148"/>
  <c r="AI168" i="148"/>
  <c r="AF183" i="148"/>
  <c r="Y166" i="148"/>
  <c r="AB177" i="148"/>
  <c r="AE152" i="148"/>
  <c r="AE174" i="148"/>
  <c r="W147" i="148"/>
  <c r="X182" i="148"/>
  <c r="Y143" i="148"/>
  <c r="AE109" i="148"/>
  <c r="AH123" i="148"/>
  <c r="AF137" i="148"/>
  <c r="AJ183" i="148"/>
  <c r="Y100" i="148"/>
  <c r="Z116" i="148"/>
  <c r="AH132" i="148"/>
  <c r="AD89" i="148"/>
  <c r="AG81" i="148"/>
  <c r="X92" i="148"/>
  <c r="Y123" i="148"/>
  <c r="Z73" i="148"/>
  <c r="AF71" i="148"/>
  <c r="AD87" i="148"/>
  <c r="AD102" i="148"/>
  <c r="W88" i="148"/>
  <c r="Z183" i="148"/>
  <c r="X175" i="148"/>
  <c r="X186" i="148"/>
  <c r="Z164" i="148"/>
  <c r="Z178" i="148"/>
  <c r="Z159" i="148"/>
  <c r="AG181" i="148"/>
  <c r="AC156" i="148"/>
  <c r="W133" i="148"/>
  <c r="V152" i="148"/>
  <c r="Z115" i="148"/>
  <c r="X129" i="148"/>
  <c r="AF138" i="148"/>
  <c r="AA179" i="148"/>
  <c r="AG101" i="148"/>
  <c r="AG117" i="148"/>
  <c r="AD127" i="148"/>
  <c r="AH149" i="148"/>
  <c r="X82" i="148"/>
  <c r="Z101" i="148"/>
  <c r="W128" i="148"/>
  <c r="AG60" i="148"/>
  <c r="AF73" i="148"/>
  <c r="W84" i="148"/>
  <c r="AC73" i="148"/>
  <c r="X98" i="148"/>
  <c r="AB90" i="148"/>
  <c r="AF70" i="148"/>
  <c r="AD158" i="148"/>
  <c r="AF87" i="148"/>
  <c r="AE103" i="148"/>
  <c r="AF45" i="148"/>
  <c r="V35" i="148"/>
  <c r="AC48" i="148"/>
  <c r="AJ41" i="148"/>
  <c r="V30" i="148"/>
  <c r="Z49" i="148"/>
  <c r="AD34" i="148"/>
  <c r="AG21" i="148"/>
  <c r="W19" i="148"/>
  <c r="Y17" i="148"/>
  <c r="AH20" i="148"/>
  <c r="Y27" i="148"/>
  <c r="AE26" i="148"/>
  <c r="AJ110" i="148"/>
  <c r="AG139" i="148"/>
  <c r="AA104" i="148"/>
  <c r="AE86" i="148"/>
  <c r="W99" i="148"/>
  <c r="AD92" i="148"/>
  <c r="AG32" i="148"/>
  <c r="V55" i="148"/>
  <c r="AA25" i="148"/>
  <c r="Y49" i="148"/>
  <c r="AJ23" i="148"/>
  <c r="AD190" i="148"/>
  <c r="AJ182" i="148"/>
  <c r="AG164" i="148"/>
  <c r="AG175" i="148"/>
  <c r="AI151" i="148"/>
  <c r="AG171" i="148"/>
  <c r="AA146" i="148"/>
  <c r="AJ177" i="148"/>
  <c r="AC141" i="148"/>
  <c r="AI108" i="148"/>
  <c r="AD122" i="148"/>
  <c r="AJ136" i="148"/>
  <c r="AE164" i="148"/>
  <c r="AG98" i="148"/>
  <c r="AF114" i="148"/>
  <c r="Y131" i="148"/>
  <c r="Y184" i="148"/>
  <c r="AC80" i="148"/>
  <c r="AD90" i="148"/>
  <c r="Z120" i="148"/>
  <c r="V72" i="148"/>
  <c r="AG70" i="148"/>
  <c r="AI85" i="148"/>
  <c r="W100" i="148"/>
  <c r="AA86" i="148"/>
  <c r="AA115" i="148"/>
  <c r="AA76" i="148"/>
  <c r="AD100" i="148"/>
  <c r="X67" i="148"/>
  <c r="AH143" i="148"/>
  <c r="X65" i="148"/>
  <c r="X53" i="148"/>
  <c r="V43" i="148"/>
  <c r="AH33" i="148"/>
  <c r="AA42" i="148"/>
  <c r="X42" i="148"/>
  <c r="AA40" i="148"/>
  <c r="AH52" i="148"/>
  <c r="AE22" i="148"/>
  <c r="AD21" i="148"/>
  <c r="AG16" i="148"/>
  <c r="W17" i="148"/>
  <c r="AD27" i="148"/>
  <c r="AD180" i="148"/>
  <c r="AE167" i="148"/>
  <c r="AJ160" i="148"/>
  <c r="AH146" i="148"/>
  <c r="AI148" i="148"/>
  <c r="X91" i="148"/>
  <c r="AH74" i="148"/>
  <c r="Z32" i="148"/>
  <c r="AG20" i="148"/>
  <c r="AA46" i="148"/>
  <c r="W171" i="148"/>
  <c r="AB186" i="148"/>
  <c r="AG169" i="148"/>
  <c r="AD181" i="148"/>
  <c r="AA155" i="148"/>
  <c r="AF182" i="148"/>
  <c r="AI150" i="148"/>
  <c r="W140" i="148"/>
  <c r="AB147" i="148"/>
  <c r="AA112" i="148"/>
  <c r="V126" i="148"/>
  <c r="AC140" i="148"/>
  <c r="AB108" i="148"/>
  <c r="AC103" i="148"/>
  <c r="AE120" i="148"/>
  <c r="V137" i="148"/>
  <c r="Z92" i="148"/>
  <c r="Y85" i="148"/>
  <c r="AB96" i="148"/>
  <c r="AA131" i="148"/>
  <c r="AH75" i="148"/>
  <c r="AA75" i="148"/>
  <c r="AE94" i="148"/>
  <c r="Z112" i="148"/>
  <c r="AB93" i="148"/>
  <c r="AD137" i="148"/>
  <c r="AA99" i="148"/>
  <c r="AB131" i="148"/>
  <c r="AG72" i="148"/>
  <c r="V58" i="148"/>
  <c r="AG73" i="148"/>
  <c r="AA57" i="148"/>
  <c r="AC47" i="148"/>
  <c r="AG37" i="148"/>
  <c r="AI49" i="148"/>
  <c r="AH49" i="148"/>
  <c r="AI47" i="148"/>
  <c r="AG34" i="148"/>
  <c r="AB24" i="148"/>
  <c r="AD28" i="148"/>
  <c r="AC15" i="148"/>
  <c r="AF23" i="148"/>
  <c r="V16" i="148"/>
  <c r="AD172" i="148"/>
  <c r="Y175" i="148"/>
  <c r="AC177" i="148"/>
  <c r="AI138" i="148"/>
  <c r="AD112" i="148"/>
  <c r="AG90" i="148"/>
  <c r="AJ101" i="148"/>
  <c r="AA89" i="148"/>
  <c r="W57" i="148"/>
  <c r="Z41" i="148"/>
  <c r="AC18" i="148"/>
  <c r="AF31" i="148"/>
  <c r="AI178" i="148"/>
  <c r="AH169" i="148"/>
  <c r="Y183" i="148"/>
  <c r="Y163" i="148"/>
  <c r="X164" i="148"/>
  <c r="V153" i="148"/>
  <c r="AE165" i="148"/>
  <c r="AI147" i="148"/>
  <c r="AA173" i="148"/>
  <c r="AE119" i="148"/>
  <c r="AH133" i="148"/>
  <c r="AJ159" i="148"/>
  <c r="AF115" i="148"/>
  <c r="Y114" i="148"/>
  <c r="W134" i="148"/>
  <c r="X159" i="148"/>
  <c r="AD99" i="148"/>
  <c r="AJ96" i="148"/>
  <c r="AG109" i="148"/>
  <c r="V160" i="148"/>
  <c r="Z83" i="148"/>
  <c r="W87" i="148"/>
  <c r="AC119" i="148"/>
  <c r="Z155" i="148"/>
  <c r="X114" i="148"/>
  <c r="AD59" i="148"/>
  <c r="AI61" i="148"/>
  <c r="X69" i="148"/>
  <c r="AB98" i="148"/>
  <c r="AE70" i="148"/>
  <c r="AH57" i="148"/>
  <c r="AJ94" i="148"/>
  <c r="W30" i="148"/>
  <c r="X46" i="148"/>
  <c r="X34" i="148"/>
  <c r="Y34" i="148"/>
  <c r="AF41" i="148"/>
  <c r="AA50" i="148"/>
  <c r="AF186" i="148"/>
  <c r="AF158" i="148"/>
  <c r="AF140" i="148"/>
  <c r="AD133" i="148"/>
  <c r="AC113" i="148"/>
  <c r="V156" i="148"/>
  <c r="AI133" i="148"/>
  <c r="AH62" i="148"/>
  <c r="V90" i="148"/>
  <c r="AA87" i="148"/>
  <c r="Y40" i="148"/>
  <c r="W35" i="148"/>
  <c r="AJ25" i="148"/>
  <c r="AI34" i="148"/>
  <c r="AH38" i="148"/>
  <c r="AA182" i="148"/>
  <c r="Z173" i="148"/>
  <c r="V189" i="148"/>
  <c r="AC168" i="148"/>
  <c r="AD171" i="148"/>
  <c r="AH156" i="148"/>
  <c r="AG178" i="148"/>
  <c r="AG151" i="148"/>
  <c r="AJ142" i="148"/>
  <c r="W123" i="148"/>
  <c r="Z137" i="148"/>
  <c r="AC175" i="148"/>
  <c r="X119" i="148"/>
  <c r="X120" i="148"/>
  <c r="AJ139" i="148"/>
  <c r="Y187" i="148"/>
  <c r="V103" i="148"/>
  <c r="V102" i="148"/>
  <c r="Y118" i="148"/>
  <c r="X72" i="148"/>
  <c r="AD86" i="148"/>
  <c r="AH95" i="148"/>
  <c r="X138" i="148"/>
  <c r="AG59" i="148"/>
  <c r="Y134" i="148"/>
  <c r="V63" i="148"/>
  <c r="AH67" i="148"/>
  <c r="AF97" i="148"/>
  <c r="X130" i="148"/>
  <c r="AF79" i="148"/>
  <c r="AI62" i="148"/>
  <c r="AG125" i="148"/>
  <c r="AD33" i="148"/>
  <c r="AJ49" i="148"/>
  <c r="AD37" i="148"/>
  <c r="AI41" i="148"/>
  <c r="Z48" i="148"/>
  <c r="W89" i="148"/>
  <c r="W189" i="148"/>
  <c r="V180" i="148"/>
  <c r="AB172" i="148"/>
  <c r="V181" i="148"/>
  <c r="V161" i="148"/>
  <c r="AC167" i="148"/>
  <c r="X156" i="148"/>
  <c r="AG167" i="148"/>
  <c r="AJ150" i="148"/>
  <c r="AA130" i="148"/>
  <c r="V146" i="148"/>
  <c r="V112" i="148"/>
  <c r="AB126" i="148"/>
  <c r="AG132" i="148"/>
  <c r="AA161" i="148"/>
  <c r="AG97" i="148"/>
  <c r="AF112" i="148"/>
  <c r="AA117" i="148"/>
  <c r="AA137" i="148"/>
  <c r="AB79" i="148"/>
  <c r="X96" i="148"/>
  <c r="AD115" i="148"/>
  <c r="AD187" i="148"/>
  <c r="Y69" i="148"/>
  <c r="V79" i="148"/>
  <c r="Z70" i="148"/>
  <c r="AH86" i="148"/>
  <c r="V71" i="148"/>
  <c r="AF65" i="148"/>
  <c r="AF118" i="148"/>
  <c r="AE77" i="148"/>
  <c r="W76" i="148"/>
  <c r="AG41" i="148"/>
  <c r="Y32" i="148"/>
  <c r="AD44" i="148"/>
  <c r="Z34" i="148"/>
  <c r="AH48" i="148"/>
  <c r="AJ43" i="148"/>
  <c r="AG25" i="148"/>
  <c r="Z24" i="148"/>
  <c r="V19" i="148"/>
  <c r="AJ16" i="148"/>
  <c r="AH187" i="148"/>
  <c r="AF179" i="148"/>
  <c r="AG160" i="148"/>
  <c r="AF170" i="148"/>
  <c r="AE148" i="148"/>
  <c r="AJ165" i="148"/>
  <c r="W143" i="148"/>
  <c r="AA166" i="148"/>
  <c r="AE137" i="148"/>
  <c r="W170" i="148"/>
  <c r="AH119" i="148"/>
  <c r="AF133" i="148"/>
  <c r="V148" i="148"/>
  <c r="AG94" i="148"/>
  <c r="AG108" i="148"/>
  <c r="AA125" i="148"/>
  <c r="AC146" i="148"/>
  <c r="AC76" i="148"/>
  <c r="AF86" i="148"/>
  <c r="AB109" i="148"/>
  <c r="AJ154" i="148"/>
  <c r="AG66" i="148"/>
  <c r="AE81" i="148"/>
  <c r="W92" i="148"/>
  <c r="Y82" i="148"/>
  <c r="AA188" i="148"/>
  <c r="Z179" i="148"/>
  <c r="X171" i="148"/>
  <c r="AB179" i="148"/>
  <c r="X188" i="148"/>
  <c r="AA165" i="148"/>
  <c r="AB155" i="148"/>
  <c r="AB164" i="148"/>
  <c r="AF149" i="148"/>
  <c r="W129" i="148"/>
  <c r="Z144" i="148"/>
  <c r="Z111" i="148"/>
  <c r="X125" i="148"/>
  <c r="V131" i="148"/>
  <c r="X157" i="148"/>
  <c r="AC96" i="148"/>
  <c r="X110" i="148"/>
  <c r="AC114" i="148"/>
  <c r="Z134" i="148"/>
  <c r="X78" i="148"/>
  <c r="AD94" i="148"/>
  <c r="AG110" i="148"/>
  <c r="W136" i="148"/>
  <c r="AG67" i="148"/>
  <c r="Y78" i="148"/>
  <c r="V69" i="148"/>
  <c r="X79" i="148"/>
  <c r="AE67" i="148"/>
  <c r="V64" i="148"/>
  <c r="AF104" i="148"/>
  <c r="AA74" i="148"/>
  <c r="AJ70" i="148"/>
  <c r="AC40" i="148"/>
  <c r="AJ55" i="148"/>
  <c r="AH43" i="148"/>
  <c r="AC31" i="148"/>
  <c r="Z46" i="148"/>
  <c r="AB41" i="148"/>
  <c r="AD24" i="148"/>
  <c r="V23" i="148"/>
  <c r="AA18" i="148"/>
  <c r="AG15" i="148"/>
  <c r="X20" i="148"/>
  <c r="AJ26" i="148"/>
  <c r="X19" i="148"/>
  <c r="AG124" i="148"/>
  <c r="AI117" i="148"/>
  <c r="AC85" i="148"/>
  <c r="AG129" i="148"/>
  <c r="AA58" i="148"/>
  <c r="W56" i="148"/>
  <c r="AB49" i="148"/>
  <c r="AA44" i="148"/>
  <c r="AD19" i="148"/>
  <c r="AI31" i="148"/>
  <c r="Y18" i="148"/>
  <c r="AD186" i="148"/>
  <c r="AJ178" i="148"/>
  <c r="AC159" i="148"/>
  <c r="X168" i="148"/>
  <c r="AA189" i="148"/>
  <c r="AA164" i="148"/>
  <c r="AA142" i="148"/>
  <c r="Z163" i="148"/>
  <c r="AI136" i="148"/>
  <c r="AB165" i="148"/>
  <c r="AD118" i="148"/>
  <c r="AJ132" i="148"/>
  <c r="V145" i="148"/>
  <c r="AC93" i="148"/>
  <c r="AC106" i="148"/>
  <c r="AD123" i="148"/>
  <c r="Y139" i="148"/>
  <c r="Y75" i="148"/>
  <c r="AJ85" i="148"/>
  <c r="AA107" i="148"/>
  <c r="V143" i="148"/>
  <c r="AC65" i="148"/>
  <c r="W79" i="148"/>
  <c r="AJ90" i="148"/>
  <c r="AB80" i="148"/>
  <c r="AA123" i="148"/>
  <c r="AJ125" i="148"/>
  <c r="AE82" i="148"/>
  <c r="AB60" i="148"/>
  <c r="W104" i="148"/>
  <c r="AB58" i="148"/>
  <c r="X49" i="148"/>
  <c r="X39" i="148"/>
  <c r="Y53" i="148"/>
  <c r="AC34" i="148"/>
  <c r="AA43" i="148"/>
  <c r="AE29" i="148"/>
  <c r="AF37" i="148"/>
  <c r="V25" i="148"/>
  <c r="AJ20" i="148"/>
  <c r="AH17" i="148"/>
  <c r="Z15" i="148"/>
  <c r="AC25" i="148"/>
  <c r="AD168" i="148"/>
  <c r="V179" i="148"/>
  <c r="AD177" i="148"/>
  <c r="AD124" i="148"/>
  <c r="AC110" i="148"/>
  <c r="Y135" i="148"/>
  <c r="AD121" i="148"/>
  <c r="V53" i="148"/>
  <c r="AI15" i="148"/>
  <c r="X25" i="148"/>
  <c r="V190" i="148"/>
  <c r="AB182" i="148"/>
  <c r="Y164" i="148"/>
  <c r="AH174" i="148"/>
  <c r="AA151" i="148"/>
  <c r="AB169" i="148"/>
  <c r="AE145" i="148"/>
  <c r="Z176" i="148"/>
  <c r="AB140" i="148"/>
  <c r="AA108" i="148"/>
  <c r="V122" i="148"/>
  <c r="AB136" i="148"/>
  <c r="AA162" i="148"/>
  <c r="Y98" i="148"/>
  <c r="AI113" i="148"/>
  <c r="Z130" i="148"/>
  <c r="Y174" i="148"/>
  <c r="AG79" i="148"/>
  <c r="AF89" i="148"/>
  <c r="AI119" i="148"/>
  <c r="W180" i="148"/>
  <c r="Y70" i="148"/>
  <c r="V85" i="148"/>
  <c r="AF99" i="148"/>
  <c r="AD85" i="148"/>
  <c r="AD185" i="148"/>
  <c r="W74" i="148"/>
  <c r="AE97" i="148"/>
  <c r="AA66" i="148"/>
  <c r="AI139" i="148"/>
  <c r="AA64" i="148"/>
  <c r="AJ52" i="148"/>
  <c r="AH42" i="148"/>
  <c r="Z33" i="148"/>
  <c r="W41" i="148"/>
  <c r="AF40" i="148"/>
  <c r="Y39" i="148"/>
  <c r="AD51" i="148"/>
  <c r="AG28" i="148"/>
  <c r="V21" i="148"/>
  <c r="V15" i="148"/>
  <c r="Y28" i="148"/>
  <c r="AE189" i="148"/>
  <c r="AJ188" i="148"/>
  <c r="AG161" i="148"/>
  <c r="AF152" i="148"/>
  <c r="AI126" i="148"/>
  <c r="AD156" i="148"/>
  <c r="V139" i="148"/>
  <c r="AJ163" i="148"/>
  <c r="Y59" i="148"/>
  <c r="AA56" i="148"/>
  <c r="AA30" i="148"/>
  <c r="W78" i="148"/>
  <c r="AE25" i="148"/>
  <c r="AI174" i="148"/>
  <c r="AF189" i="148"/>
  <c r="AD175" i="148"/>
  <c r="Z188" i="148"/>
  <c r="AI158" i="148"/>
  <c r="V149" i="148"/>
  <c r="AB156" i="148"/>
  <c r="AI143" i="148"/>
  <c r="AH155" i="148"/>
  <c r="AE115" i="148"/>
  <c r="AH129" i="148"/>
  <c r="AC147" i="148"/>
  <c r="AF111" i="148"/>
  <c r="AG107" i="148"/>
  <c r="AC126" i="148"/>
  <c r="AF144" i="148"/>
  <c r="AD95" i="148"/>
  <c r="X90" i="148"/>
  <c r="AA102" i="148"/>
  <c r="Y144" i="148"/>
  <c r="Z79" i="148"/>
  <c r="AA80" i="148"/>
  <c r="AE102" i="148"/>
  <c r="AC127" i="148"/>
  <c r="X102" i="148"/>
  <c r="Y58" i="148"/>
  <c r="V164" i="148"/>
  <c r="X58" i="148"/>
  <c r="Z80" i="148"/>
  <c r="AI63" i="148"/>
  <c r="AJ106" i="148"/>
  <c r="AI70" i="148"/>
  <c r="Y52" i="148"/>
  <c r="AC41" i="148"/>
  <c r="AC29" i="148"/>
  <c r="AB42" i="148"/>
  <c r="AE54" i="148"/>
  <c r="AE42" i="148"/>
  <c r="AI157" i="148"/>
  <c r="AE142" i="148"/>
  <c r="AD128" i="148"/>
  <c r="AE112" i="148"/>
  <c r="AH94" i="148"/>
  <c r="Y112" i="148"/>
  <c r="AA83" i="148"/>
  <c r="AC130" i="148"/>
  <c r="AE60" i="148"/>
  <c r="Y116" i="148"/>
  <c r="AC50" i="148"/>
  <c r="AH36" i="148"/>
  <c r="AI20" i="148"/>
  <c r="V44" i="148"/>
  <c r="AI21" i="148"/>
  <c r="AA178" i="148"/>
  <c r="Z169" i="148"/>
  <c r="Z182" i="148"/>
  <c r="AC162" i="148"/>
  <c r="AA163" i="148"/>
  <c r="AH152" i="148"/>
  <c r="AJ164" i="148"/>
  <c r="AA147" i="148"/>
  <c r="Y171" i="148"/>
  <c r="W119" i="148"/>
  <c r="Z133" i="148"/>
  <c r="W157" i="148"/>
  <c r="X115" i="148"/>
  <c r="AB113" i="148"/>
  <c r="Y133" i="148"/>
  <c r="AG155" i="148"/>
  <c r="V99" i="148"/>
  <c r="W96" i="148"/>
  <c r="AD107" i="148"/>
  <c r="W158" i="148"/>
  <c r="AD82" i="148"/>
  <c r="Z86" i="148"/>
  <c r="Z118" i="148"/>
  <c r="AI152" i="148"/>
  <c r="Y113" i="148"/>
  <c r="V59" i="148"/>
  <c r="W61" i="148"/>
  <c r="AE66" i="148"/>
  <c r="AF95" i="148"/>
  <c r="AH69" i="148"/>
  <c r="AJ56" i="148"/>
  <c r="X85" i="148"/>
  <c r="AJ29" i="148"/>
  <c r="AJ45" i="148"/>
  <c r="AE33" i="148"/>
  <c r="Y33" i="148"/>
  <c r="AB40" i="148"/>
  <c r="AB35" i="148"/>
  <c r="W185" i="148"/>
  <c r="V176" i="148"/>
  <c r="AB168" i="148"/>
  <c r="Z174" i="148"/>
  <c r="AD179" i="148"/>
  <c r="X161" i="148"/>
  <c r="X152" i="148"/>
  <c r="AF157" i="148"/>
  <c r="AF145" i="148"/>
  <c r="AA126" i="148"/>
  <c r="V140" i="148"/>
  <c r="V108" i="148"/>
  <c r="AB122" i="148"/>
  <c r="W126" i="148"/>
  <c r="Y146" i="148"/>
  <c r="AC92" i="148"/>
  <c r="Z106" i="148"/>
  <c r="Y107" i="148"/>
  <c r="Z126" i="148"/>
  <c r="AB75" i="148"/>
  <c r="AA90" i="148"/>
  <c r="AI103" i="148"/>
  <c r="AH163" i="148"/>
  <c r="AG63" i="148"/>
  <c r="V147" i="148"/>
  <c r="Z66" i="148"/>
  <c r="AI73" i="148"/>
  <c r="AB57" i="148"/>
  <c r="AH59" i="148"/>
  <c r="AB91" i="148"/>
  <c r="AI67" i="148"/>
  <c r="AF61" i="148"/>
  <c r="AI36" i="148"/>
  <c r="AF52" i="148"/>
  <c r="AD40" i="148"/>
  <c r="AE53" i="148"/>
  <c r="AH54" i="148"/>
  <c r="AJ35" i="148"/>
  <c r="AJ21" i="148"/>
  <c r="AB27" i="148"/>
  <c r="Y20" i="148"/>
  <c r="Z16" i="148"/>
  <c r="AH183" i="148"/>
  <c r="AF175" i="148"/>
  <c r="AI187" i="148"/>
  <c r="AH164" i="148"/>
  <c r="AE180" i="148"/>
  <c r="AI159" i="148"/>
  <c r="Y186" i="148"/>
  <c r="Z157" i="148"/>
  <c r="AE133" i="148"/>
  <c r="AC154" i="148"/>
  <c r="AH115" i="148"/>
  <c r="AF129" i="148"/>
  <c r="AC139" i="148"/>
  <c r="Y185" i="148"/>
  <c r="AC102" i="148"/>
  <c r="AE118" i="148"/>
  <c r="Y128" i="148"/>
  <c r="AG156" i="148"/>
  <c r="AF82" i="148"/>
  <c r="W102" i="148"/>
  <c r="AD129" i="148"/>
  <c r="AC61" i="148"/>
  <c r="Z74" i="148"/>
  <c r="AI84" i="148"/>
  <c r="AG74" i="148"/>
  <c r="AJ99" i="148"/>
  <c r="Z93" i="148"/>
  <c r="AH71" i="148"/>
  <c r="AA84" i="148"/>
  <c r="AE88" i="148"/>
  <c r="AA184" i="148"/>
  <c r="X167" i="148"/>
  <c r="AG176" i="148"/>
  <c r="Y190" i="148"/>
  <c r="AJ144" i="148"/>
  <c r="Z139" i="148"/>
  <c r="X121" i="148"/>
  <c r="AB143" i="148"/>
  <c r="V105" i="148"/>
  <c r="W124" i="148"/>
  <c r="AD88" i="148"/>
  <c r="V150" i="148"/>
  <c r="AB141" i="148"/>
  <c r="Z71" i="148"/>
  <c r="W58" i="148"/>
  <c r="X66" i="148"/>
  <c r="AG35" i="148"/>
  <c r="AJ39" i="148"/>
  <c r="Z52" i="148"/>
  <c r="AI28" i="148"/>
  <c r="AH18" i="148"/>
  <c r="Y19" i="148"/>
  <c r="Z20" i="148"/>
  <c r="AJ87" i="148"/>
  <c r="V83" i="148"/>
  <c r="AD68" i="148"/>
  <c r="V52" i="148"/>
  <c r="AB33" i="148"/>
  <c r="AD182" i="148"/>
  <c r="AA185" i="148"/>
  <c r="AI177" i="148"/>
  <c r="AC180" i="148"/>
  <c r="AI132" i="148"/>
  <c r="AD114" i="148"/>
  <c r="AI137" i="148"/>
  <c r="Y101" i="148"/>
  <c r="AB125" i="148"/>
  <c r="AJ81" i="148"/>
  <c r="V127" i="148"/>
  <c r="V73" i="148"/>
  <c r="AI72" i="148"/>
  <c r="Y86" i="148"/>
  <c r="AB150" i="148"/>
  <c r="AI100" i="148"/>
  <c r="AJ34" i="148"/>
  <c r="AD39" i="148"/>
  <c r="V48" i="148"/>
  <c r="Y21" i="148"/>
  <c r="AC16" i="148"/>
  <c r="AH25" i="148"/>
  <c r="AD165" i="148"/>
  <c r="AD108" i="148"/>
  <c r="Y68" i="148"/>
  <c r="W52" i="148"/>
  <c r="AF28" i="148"/>
  <c r="AB178" i="148"/>
  <c r="AB167" i="148"/>
  <c r="AB163" i="148"/>
  <c r="AJ162" i="148"/>
  <c r="W164" i="148"/>
  <c r="AB132" i="148"/>
  <c r="AG92" i="148"/>
  <c r="AG122" i="148"/>
  <c r="AI181" i="148"/>
  <c r="AA106" i="148"/>
  <c r="AG64" i="148"/>
  <c r="Z89" i="148"/>
  <c r="AC120" i="148"/>
  <c r="AF81" i="148"/>
  <c r="W101" i="148"/>
  <c r="AJ48" i="148"/>
  <c r="AC52" i="148"/>
  <c r="W42" i="148"/>
  <c r="AF33" i="148"/>
  <c r="AB20" i="148"/>
  <c r="X21" i="148"/>
  <c r="AJ184" i="148"/>
  <c r="AG154" i="148"/>
  <c r="AJ134" i="148"/>
  <c r="AE100" i="148"/>
  <c r="V62" i="148"/>
  <c r="Y44" i="148"/>
  <c r="AI170" i="148"/>
  <c r="AH168" i="148"/>
  <c r="AE154" i="148"/>
  <c r="X150" i="148"/>
  <c r="AD146" i="148"/>
  <c r="AH125" i="148"/>
  <c r="AF107" i="148"/>
  <c r="AG119" i="148"/>
  <c r="AD91" i="148"/>
  <c r="AE95" i="148"/>
  <c r="Z75" i="148"/>
  <c r="AA92" i="148"/>
  <c r="Z91" i="148"/>
  <c r="AE96" i="148"/>
  <c r="AD71" i="148"/>
  <c r="Y71" i="148"/>
  <c r="AG46" i="148"/>
  <c r="AE48" i="148"/>
  <c r="AE46" i="148"/>
  <c r="AD169" i="148"/>
  <c r="AD116" i="148"/>
  <c r="AD119" i="148"/>
  <c r="AG69" i="148"/>
  <c r="AE78" i="148"/>
  <c r="V37" i="148"/>
  <c r="AB19" i="148"/>
  <c r="AD23" i="148"/>
  <c r="X189" i="148"/>
  <c r="AC187" i="148"/>
  <c r="AF190" i="148"/>
  <c r="AA143" i="148"/>
  <c r="W115" i="148"/>
  <c r="AF146" i="148"/>
  <c r="V107" i="148"/>
  <c r="Y142" i="148"/>
  <c r="AB89" i="148"/>
  <c r="AA139" i="148"/>
  <c r="AD79" i="148"/>
  <c r="AE126" i="148"/>
  <c r="Y56" i="148"/>
  <c r="X174" i="148"/>
  <c r="W63" i="148"/>
  <c r="AJ69" i="148"/>
  <c r="AG40" i="148"/>
  <c r="Z55" i="148"/>
  <c r="AA52" i="148"/>
  <c r="V172" i="148"/>
  <c r="AC166" i="148"/>
  <c r="AD155" i="148"/>
  <c r="AC150" i="148"/>
  <c r="AA122" i="148"/>
  <c r="AA171" i="148"/>
  <c r="AC118" i="148"/>
  <c r="W178" i="148"/>
  <c r="X101" i="148"/>
  <c r="AB71" i="148"/>
  <c r="AA93" i="148"/>
  <c r="AC58" i="148"/>
  <c r="Z62" i="148"/>
  <c r="W90" i="148"/>
  <c r="V75" i="148"/>
  <c r="X116" i="148"/>
  <c r="AF48" i="148"/>
  <c r="AC39" i="148"/>
  <c r="AE55" i="148"/>
  <c r="W26" i="148"/>
  <c r="AI188" i="148"/>
  <c r="AF171" i="148"/>
  <c r="AE190" i="148"/>
  <c r="AJ155" i="148"/>
  <c r="Y150" i="148"/>
  <c r="Y145" i="148"/>
  <c r="AF125" i="148"/>
  <c r="AE158" i="148"/>
  <c r="AI111" i="148"/>
  <c r="AG136" i="148"/>
  <c r="AA95" i="148"/>
  <c r="AJ148" i="148"/>
  <c r="AJ78" i="148"/>
  <c r="X122" i="148"/>
  <c r="Z146" i="148"/>
  <c r="AI64" i="148"/>
  <c r="AJ88" i="148"/>
  <c r="X61" i="148"/>
  <c r="AB50" i="148"/>
  <c r="X48" i="148"/>
  <c r="Y25" i="148"/>
  <c r="AA180" i="148"/>
  <c r="AG185" i="148"/>
  <c r="AF166" i="148"/>
  <c r="AC170" i="148"/>
  <c r="AC186" i="148"/>
  <c r="Z135" i="148"/>
  <c r="X117" i="148"/>
  <c r="AE136" i="148"/>
  <c r="V101" i="148"/>
  <c r="V113" i="148"/>
  <c r="AD84" i="148"/>
  <c r="V125" i="148"/>
  <c r="AH122" i="148"/>
  <c r="AB64" i="148"/>
  <c r="AJ105" i="148"/>
  <c r="AA60" i="148"/>
  <c r="AH31" i="148"/>
  <c r="AH35" i="148"/>
  <c r="AB44" i="148"/>
  <c r="AJ22" i="148"/>
  <c r="AE20" i="148"/>
  <c r="AI17" i="148"/>
  <c r="AJ19" i="148"/>
  <c r="AJ75" i="148"/>
  <c r="AH66" i="148"/>
  <c r="AE83" i="148"/>
  <c r="AI48" i="148"/>
  <c r="AH30" i="148"/>
  <c r="AD178" i="148"/>
  <c r="AE178" i="148"/>
  <c r="AD164" i="148"/>
  <c r="AI163" i="148"/>
  <c r="AI128" i="148"/>
  <c r="AD110" i="148"/>
  <c r="Y130" i="148"/>
  <c r="AG95" i="148"/>
  <c r="AJ113" i="148"/>
  <c r="AJ77" i="148"/>
  <c r="AI109" i="148"/>
  <c r="Y67" i="148"/>
  <c r="AH68" i="148"/>
  <c r="AF66" i="148"/>
  <c r="AH101" i="148"/>
  <c r="Z69" i="148"/>
  <c r="AB55" i="148"/>
  <c r="AJ30" i="148"/>
  <c r="X40" i="148"/>
  <c r="Z22" i="148"/>
  <c r="Y15" i="148"/>
  <c r="AD26" i="148"/>
  <c r="X180" i="148"/>
  <c r="AJ138" i="148"/>
  <c r="AI99" i="148"/>
  <c r="X44" i="148"/>
  <c r="AG17" i="148"/>
  <c r="AB174" i="148"/>
  <c r="V163" i="148"/>
  <c r="AA158" i="148"/>
  <c r="AI154" i="148"/>
  <c r="AA150" i="148"/>
  <c r="AB128" i="148"/>
  <c r="Z170" i="148"/>
  <c r="W116" i="148"/>
  <c r="AD143" i="148"/>
  <c r="AE99" i="148"/>
  <c r="AC59" i="148"/>
  <c r="AA82" i="148"/>
  <c r="AB92" i="148"/>
  <c r="W69" i="148"/>
  <c r="V81" i="148"/>
  <c r="AC44" i="148"/>
  <c r="Y47" i="148"/>
  <c r="V29" i="148"/>
  <c r="AB28" i="148"/>
  <c r="AB18" i="148"/>
  <c r="AH27" i="148"/>
  <c r="AJ176" i="148"/>
  <c r="AB173" i="148"/>
  <c r="AJ126" i="148"/>
  <c r="AJ79" i="148"/>
  <c r="AH61" i="148"/>
  <c r="AC36" i="148"/>
  <c r="AH189" i="148"/>
  <c r="AC163" i="148"/>
  <c r="AE150" i="148"/>
  <c r="W145" i="148"/>
  <c r="AE139" i="148"/>
  <c r="AH121" i="148"/>
  <c r="AH160" i="148"/>
  <c r="X112" i="148"/>
  <c r="AH157" i="148"/>
  <c r="AF88" i="148"/>
  <c r="AH172" i="148"/>
  <c r="AJ84" i="148"/>
  <c r="AG84" i="148"/>
  <c r="AA72" i="148"/>
  <c r="AB65" i="148"/>
  <c r="AB63" i="148"/>
  <c r="Z42" i="148"/>
  <c r="AI40" i="148"/>
  <c r="W38" i="148"/>
  <c r="Z152" i="148"/>
  <c r="AD173" i="148"/>
  <c r="Z95" i="148"/>
  <c r="AH147" i="148"/>
  <c r="AH63" i="148"/>
  <c r="AE38" i="148"/>
  <c r="AF15" i="148"/>
  <c r="AE24" i="148"/>
  <c r="X185" i="148"/>
  <c r="AJ179" i="148"/>
  <c r="AG179" i="148"/>
  <c r="AB189" i="148"/>
  <c r="W111" i="148"/>
  <c r="X139" i="148"/>
  <c r="Y102" i="148"/>
  <c r="AB135" i="148"/>
  <c r="AG83" i="148"/>
  <c r="Z128" i="148"/>
  <c r="AA73" i="148"/>
  <c r="Z105" i="148"/>
  <c r="AI131" i="148"/>
  <c r="AI115" i="148"/>
  <c r="X57" i="148"/>
  <c r="AF55" i="148"/>
  <c r="AE36" i="148"/>
  <c r="Z47" i="148"/>
  <c r="AD55" i="148"/>
  <c r="V168" i="148"/>
  <c r="Y161" i="148"/>
  <c r="AD151" i="148"/>
  <c r="W146" i="148"/>
  <c r="AA118" i="148"/>
  <c r="Y154" i="148"/>
  <c r="AG111" i="148"/>
  <c r="Y153" i="148"/>
  <c r="AB94" i="148"/>
  <c r="AC152" i="148"/>
  <c r="AE84" i="148"/>
  <c r="AG140" i="148"/>
  <c r="Z58" i="148"/>
  <c r="AJ64" i="148"/>
  <c r="W68" i="148"/>
  <c r="AJ80" i="148"/>
  <c r="AG44" i="148"/>
  <c r="AB31" i="148"/>
  <c r="AE47" i="148"/>
  <c r="AC21" i="148"/>
  <c r="AI184" i="148"/>
  <c r="AF167" i="148"/>
  <c r="Y177" i="148"/>
  <c r="AJ151" i="148"/>
  <c r="X145" i="148"/>
  <c r="AH139" i="148"/>
  <c r="AF121" i="148"/>
  <c r="AD145" i="148"/>
  <c r="AD105" i="148"/>
  <c r="AI125" i="148"/>
  <c r="AC89" i="148"/>
  <c r="V159" i="148"/>
  <c r="AG143" i="148"/>
  <c r="AJ129" i="148"/>
  <c r="W70" i="148"/>
  <c r="AJ58" i="148"/>
  <c r="AC74" i="148"/>
  <c r="W60" i="148"/>
  <c r="AB46" i="148"/>
  <c r="AC54" i="148"/>
  <c r="Z21" i="148"/>
  <c r="AA176" i="148"/>
  <c r="X178" i="148"/>
  <c r="X160" i="148"/>
  <c r="AA159" i="148"/>
  <c r="AA160" i="148"/>
  <c r="Z131" i="148"/>
  <c r="X113" i="148"/>
  <c r="AI129" i="148"/>
  <c r="V97" i="148"/>
  <c r="V104" i="148"/>
  <c r="AD80" i="148"/>
  <c r="V106" i="148"/>
  <c r="AI106" i="148"/>
  <c r="AF57" i="148"/>
  <c r="AI87" i="148"/>
  <c r="AG142" i="148"/>
  <c r="Y54" i="148"/>
  <c r="AA31" i="148"/>
  <c r="V36" i="148"/>
  <c r="AA21" i="148"/>
  <c r="Z19" i="148"/>
  <c r="AA16" i="148"/>
  <c r="V18" i="148"/>
  <c r="AH138" i="148"/>
  <c r="AH58" i="148"/>
  <c r="AG82" i="148"/>
  <c r="AB30" i="148"/>
  <c r="AD50" i="148"/>
  <c r="AD174" i="148"/>
  <c r="AI171" i="148"/>
  <c r="AC158" i="148"/>
  <c r="AA154" i="148"/>
  <c r="AI124" i="148"/>
  <c r="X190" i="148"/>
  <c r="AC123" i="148"/>
  <c r="AC90" i="148"/>
  <c r="AD104" i="148"/>
  <c r="AJ73" i="148"/>
  <c r="X99" i="148"/>
  <c r="AG61" i="148"/>
  <c r="AH64" i="148"/>
  <c r="AG131" i="148"/>
  <c r="Z82" i="148"/>
  <c r="X59" i="148"/>
  <c r="AB51" i="148"/>
  <c r="AE49" i="148"/>
  <c r="AI32" i="148"/>
  <c r="Y24" i="148"/>
  <c r="AD15" i="148"/>
  <c r="AD18" i="148"/>
  <c r="AD162" i="148"/>
  <c r="AJ122" i="148"/>
  <c r="AG121" i="148"/>
  <c r="AG31" i="148"/>
  <c r="W187" i="148"/>
  <c r="AB170" i="148"/>
  <c r="AB185" i="148"/>
  <c r="X154" i="148"/>
  <c r="AF147" i="148"/>
  <c r="AF142" i="148"/>
  <c r="AB124" i="148"/>
  <c r="AE151" i="148"/>
  <c r="AC108" i="148"/>
  <c r="X132" i="148"/>
  <c r="AI92" i="148"/>
  <c r="AF124" i="148"/>
  <c r="AB76" i="148"/>
  <c r="AD77" i="148"/>
  <c r="X63" i="148"/>
  <c r="AC71" i="148"/>
  <c r="AA39" i="148"/>
  <c r="AD42" i="148"/>
  <c r="AF43" i="148"/>
  <c r="AH23" i="148"/>
  <c r="W18" i="148"/>
  <c r="AF19" i="148"/>
  <c r="AJ168" i="148"/>
  <c r="AE146" i="148"/>
  <c r="AJ114" i="148"/>
  <c r="AJ127" i="148"/>
  <c r="AA68" i="148"/>
  <c r="AD52" i="148"/>
  <c r="AH185" i="148"/>
  <c r="Y158" i="148"/>
  <c r="Z186" i="148"/>
  <c r="W141" i="148"/>
  <c r="AE135" i="148"/>
  <c r="AH117" i="148"/>
  <c r="AJ143" i="148"/>
  <c r="Y105" i="148"/>
  <c r="Z136" i="148"/>
  <c r="AF84" i="148"/>
  <c r="AG137" i="148"/>
  <c r="AC77" i="148"/>
  <c r="AH78" i="148"/>
  <c r="AA113" i="148"/>
  <c r="AF58" i="148"/>
  <c r="AC178" i="148"/>
  <c r="AH37" i="148"/>
  <c r="AD32" i="148"/>
  <c r="AD54" i="148"/>
  <c r="AI166" i="148"/>
  <c r="AH145" i="148"/>
  <c r="AG77" i="148"/>
  <c r="AA94" i="148"/>
  <c r="AI78" i="148"/>
  <c r="AE40" i="148"/>
  <c r="V17" i="148"/>
  <c r="V20" i="148"/>
  <c r="X181" i="148"/>
  <c r="Y173" i="148"/>
  <c r="W167" i="148"/>
  <c r="AG170" i="148"/>
  <c r="V185" i="148"/>
  <c r="X135" i="148"/>
  <c r="AG96" i="148"/>
  <c r="AF128" i="148"/>
  <c r="AC78" i="148"/>
  <c r="AE114" i="148"/>
  <c r="AG68" i="148"/>
  <c r="AF96" i="148"/>
  <c r="Y155" i="148"/>
  <c r="AH91" i="148"/>
  <c r="W130" i="148"/>
  <c r="AF51" i="148"/>
  <c r="X32" i="148"/>
  <c r="AH29" i="148"/>
  <c r="Z26" i="148"/>
  <c r="AB188" i="148"/>
  <c r="AI185" i="148"/>
  <c r="AJ187" i="148"/>
  <c r="W142" i="148"/>
  <c r="AA114" i="148"/>
  <c r="X144" i="148"/>
  <c r="Y106" i="148"/>
  <c r="AD140" i="148"/>
  <c r="AG87" i="148"/>
  <c r="AC136" i="148"/>
  <c r="AI77" i="148"/>
  <c r="AG120" i="148"/>
  <c r="AG172" i="148"/>
  <c r="AJ145" i="148"/>
  <c r="AA61" i="148"/>
  <c r="AB67" i="148"/>
  <c r="AE39" i="148"/>
  <c r="AH53" i="148"/>
  <c r="AI38" i="148"/>
  <c r="AG24" i="148"/>
  <c r="AI180" i="148"/>
  <c r="AE186" i="148"/>
  <c r="V167" i="148"/>
  <c r="AJ171" i="148"/>
  <c r="W188" i="148"/>
  <c r="AH135" i="148"/>
  <c r="AF117" i="148"/>
  <c r="AB137" i="148"/>
  <c r="AD101" i="148"/>
  <c r="AH114" i="148"/>
  <c r="Z85" i="148"/>
  <c r="AF126" i="148"/>
  <c r="Y127" i="148"/>
  <c r="W80" i="148"/>
  <c r="AE56" i="148"/>
  <c r="AC109" i="148"/>
  <c r="Z67" i="148"/>
  <c r="AE73" i="148"/>
  <c r="Y41" i="148"/>
  <c r="AB36" i="148"/>
  <c r="AF26" i="148"/>
  <c r="AA172" i="148"/>
  <c r="AB171" i="148"/>
  <c r="W156" i="148"/>
  <c r="Y152" i="148"/>
  <c r="AC149" i="148"/>
  <c r="Z127" i="148"/>
  <c r="X109" i="148"/>
  <c r="Y122" i="148"/>
  <c r="V93" i="148"/>
  <c r="W98" i="148"/>
  <c r="AD76" i="148"/>
  <c r="AI96" i="148"/>
  <c r="AI95" i="148"/>
  <c r="X105" i="148"/>
  <c r="AB74" i="148"/>
  <c r="X77" i="148"/>
  <c r="AG48" i="148"/>
  <c r="AA51" i="148"/>
  <c r="AA49" i="148"/>
  <c r="W25" i="148"/>
  <c r="AF16" i="148"/>
  <c r="AJ37" i="148"/>
  <c r="AA17" i="148"/>
  <c r="AH103" i="148"/>
  <c r="AH105" i="148"/>
  <c r="X51" i="148"/>
  <c r="Y23" i="148"/>
  <c r="AI37" i="148"/>
  <c r="AD170" i="148"/>
  <c r="AC164" i="148"/>
  <c r="Z154" i="148"/>
  <c r="AH148" i="148"/>
  <c r="AI120" i="148"/>
  <c r="AI161" i="148"/>
  <c r="AJ115" i="148"/>
  <c r="AF164" i="148"/>
  <c r="AE98" i="148"/>
  <c r="AH170" i="148"/>
  <c r="AJ89" i="148"/>
  <c r="AC56" i="148"/>
  <c r="AH60" i="148"/>
  <c r="AI81" i="148"/>
  <c r="AJ72" i="148"/>
  <c r="AB103" i="148"/>
  <c r="AB47" i="148"/>
  <c r="Y36" i="148"/>
  <c r="AI52" i="148"/>
  <c r="AB23" i="148"/>
  <c r="AA24" i="148"/>
  <c r="AI16" i="148"/>
  <c r="AI149" i="148"/>
  <c r="AC155" i="148"/>
  <c r="AJ109" i="148"/>
  <c r="AB26" i="148"/>
  <c r="W183" i="148"/>
  <c r="AG190" i="148"/>
  <c r="AI173" i="148"/>
  <c r="AB183" i="148"/>
  <c r="AF143" i="148"/>
  <c r="V138" i="148"/>
  <c r="AB120" i="148"/>
  <c r="X141" i="148"/>
  <c r="Z104" i="148"/>
  <c r="Y121" i="148"/>
  <c r="AH87" i="148"/>
  <c r="AH140" i="148"/>
  <c r="AH136" i="148"/>
  <c r="AB69" i="148"/>
  <c r="AB56" i="148"/>
  <c r="AD64" i="148"/>
  <c r="AE34" i="148"/>
  <c r="AG38" i="148"/>
  <c r="AH50" i="148"/>
  <c r="AF27" i="148"/>
  <c r="AF20" i="148"/>
  <c r="AA19" i="148"/>
  <c r="AC181" i="148"/>
  <c r="AF184" i="148"/>
  <c r="AG141" i="148"/>
  <c r="V82" i="148"/>
  <c r="AC37" i="148"/>
  <c r="AD53" i="148"/>
  <c r="AH181" i="148"/>
  <c r="AD183" i="148"/>
  <c r="AE172" i="148"/>
  <c r="AJ175" i="148"/>
  <c r="AE131" i="148"/>
  <c r="AH113" i="148"/>
  <c r="AA135" i="148"/>
  <c r="AG99" i="148"/>
  <c r="AC122" i="148"/>
  <c r="AF80" i="148"/>
  <c r="Z122" i="148"/>
  <c r="AA71" i="148"/>
  <c r="AG71" i="148"/>
  <c r="AH82" i="148"/>
  <c r="Y137" i="148"/>
  <c r="V87" i="148"/>
  <c r="AI33" i="148"/>
  <c r="AB37" i="148"/>
  <c r="AD46" i="148"/>
  <c r="AF156" i="148"/>
  <c r="AJ130" i="148"/>
  <c r="AG128" i="148"/>
  <c r="Z149" i="148"/>
  <c r="X62" i="148"/>
  <c r="V54" i="148"/>
  <c r="AI66" i="148"/>
  <c r="W15" i="148"/>
  <c r="X177" i="148"/>
  <c r="Z166" i="148"/>
  <c r="AH161" i="148"/>
  <c r="AE160" i="148"/>
  <c r="AC157" i="148"/>
  <c r="X131" i="148"/>
  <c r="AC91" i="148"/>
  <c r="V121" i="148"/>
  <c r="V171" i="148"/>
  <c r="AE104" i="148"/>
  <c r="AC63" i="148"/>
  <c r="AC87" i="148"/>
  <c r="AB111" i="148"/>
  <c r="W75" i="148"/>
  <c r="AB95" i="148"/>
  <c r="AF47" i="148"/>
  <c r="Y51" i="148"/>
  <c r="AG29" i="148"/>
  <c r="AC23" i="148"/>
  <c r="AB184" i="148"/>
  <c r="Y178" i="148"/>
  <c r="V175" i="148"/>
  <c r="AG183" i="148"/>
  <c r="AA110" i="148"/>
  <c r="AB138" i="148"/>
  <c r="AG100" i="148"/>
  <c r="AG133" i="148"/>
  <c r="AC82" i="148"/>
  <c r="AC125" i="148"/>
  <c r="W72" i="148"/>
  <c r="W103" i="148"/>
  <c r="AG123" i="148"/>
  <c r="Z110" i="148"/>
  <c r="AD167" i="148"/>
  <c r="AJ54" i="148"/>
  <c r="AC35" i="148"/>
  <c r="AH45" i="148"/>
  <c r="AA29" i="148"/>
  <c r="X24" i="148"/>
  <c r="AI176" i="148"/>
  <c r="AI179" i="148"/>
  <c r="AI160" i="148"/>
  <c r="AD160" i="148"/>
  <c r="AE161" i="148"/>
  <c r="AH131" i="148"/>
  <c r="AF113" i="148"/>
  <c r="AF130" i="148"/>
  <c r="AD97" i="148"/>
  <c r="AI104" i="148"/>
  <c r="Z81" i="148"/>
  <c r="Y111" i="148"/>
  <c r="AE107" i="148"/>
  <c r="AC72" i="148"/>
  <c r="W86" i="148"/>
  <c r="AG88" i="148"/>
  <c r="AD60" i="148"/>
  <c r="AI60" i="148"/>
  <c r="AA36" i="148"/>
  <c r="AI44" i="148"/>
  <c r="AE19" i="148"/>
  <c r="AH190" i="148"/>
  <c r="AA145" i="148"/>
  <c r="Z151" i="148"/>
  <c r="X148" i="148"/>
  <c r="X149" i="148"/>
  <c r="AG134" i="148"/>
  <c r="AE61" i="148"/>
  <c r="AI74" i="148"/>
  <c r="W29" i="148"/>
  <c r="X28" i="148"/>
  <c r="AE23" i="148"/>
  <c r="AG113" i="148"/>
  <c r="W33" i="148"/>
  <c r="AE183" i="148"/>
  <c r="AC174" i="148"/>
  <c r="AB144" i="148"/>
  <c r="AJ120" i="148"/>
  <c r="AH104" i="148"/>
  <c r="V88" i="148"/>
  <c r="X140" i="148"/>
  <c r="Z57" i="148"/>
  <c r="Y35" i="148"/>
  <c r="V51" i="148"/>
  <c r="Z18" i="148"/>
  <c r="Y188" i="148"/>
  <c r="AF150" i="148"/>
  <c r="V40" i="148"/>
  <c r="AG177" i="148"/>
  <c r="W162" i="148"/>
  <c r="V110" i="148"/>
  <c r="Y95" i="148"/>
  <c r="AB77" i="148"/>
  <c r="AC66" i="148"/>
  <c r="W65" i="148"/>
  <c r="AB68" i="148"/>
  <c r="Z30" i="148"/>
  <c r="AF21" i="148"/>
  <c r="AE169" i="148"/>
  <c r="AJ156" i="148"/>
  <c r="Z148" i="148"/>
  <c r="AH16" i="148"/>
  <c r="AH166" i="148"/>
  <c r="W161" i="148"/>
  <c r="AF131" i="148"/>
  <c r="AJ121" i="148"/>
  <c r="AB105" i="148"/>
  <c r="Z88" i="148"/>
  <c r="AI80" i="148"/>
  <c r="AB48" i="148"/>
  <c r="Y30" i="148"/>
  <c r="AH144" i="148"/>
  <c r="Z161" i="148"/>
  <c r="X47" i="148"/>
  <c r="AE45" i="148"/>
  <c r="AG162" i="148"/>
  <c r="AI144" i="148"/>
  <c r="Z121" i="148"/>
  <c r="AA111" i="148"/>
  <c r="X88" i="148"/>
  <c r="Y84" i="148"/>
  <c r="AA69" i="148"/>
  <c r="AE62" i="148"/>
  <c r="AG39" i="148"/>
  <c r="W173" i="148"/>
  <c r="AA157" i="148"/>
  <c r="AJ152" i="148"/>
  <c r="AB110" i="148"/>
  <c r="Z94" i="148"/>
  <c r="AH77" i="148"/>
  <c r="AI98" i="148"/>
  <c r="AF77" i="148"/>
  <c r="Y50" i="148"/>
  <c r="AI51" i="148"/>
  <c r="AJ17" i="148"/>
  <c r="AG165" i="148"/>
  <c r="AJ149" i="148"/>
  <c r="AJ167" i="148"/>
  <c r="AC172" i="148"/>
  <c r="AD189" i="148"/>
  <c r="AG57" i="148"/>
  <c r="Y126" i="148"/>
  <c r="W62" i="148"/>
  <c r="W64" i="148"/>
  <c r="X31" i="148"/>
  <c r="AA183" i="148"/>
  <c r="AA141" i="148"/>
  <c r="AC142" i="148"/>
  <c r="AG138" i="148"/>
  <c r="X134" i="148"/>
  <c r="X118" i="148"/>
  <c r="AC137" i="148"/>
  <c r="Z63" i="148"/>
  <c r="Z51" i="148"/>
  <c r="Y22" i="148"/>
  <c r="AE28" i="148"/>
  <c r="AF75" i="148"/>
  <c r="W46" i="148"/>
  <c r="AE179" i="148"/>
  <c r="AI165" i="148"/>
  <c r="Z184" i="148"/>
  <c r="AJ116" i="148"/>
  <c r="AH100" i="148"/>
  <c r="V84" i="148"/>
  <c r="AC121" i="148"/>
  <c r="X104" i="148"/>
  <c r="Z31" i="148"/>
  <c r="X43" i="148"/>
  <c r="W20" i="148"/>
  <c r="AJ173" i="148"/>
  <c r="Y83" i="148"/>
  <c r="Y29" i="148"/>
  <c r="X170" i="148"/>
  <c r="AC153" i="148"/>
  <c r="AE188" i="148"/>
  <c r="AG89" i="148"/>
  <c r="AB73" i="148"/>
  <c r="Y61" i="148"/>
  <c r="V119" i="148"/>
  <c r="X146" i="148"/>
  <c r="AA48" i="148"/>
  <c r="AG22" i="148"/>
  <c r="AD188" i="148"/>
  <c r="AD136" i="148"/>
  <c r="AI90" i="148"/>
  <c r="AI190" i="148"/>
  <c r="AH162" i="148"/>
  <c r="X153" i="148"/>
  <c r="AF127" i="148"/>
  <c r="Y115" i="148"/>
  <c r="AF98" i="148"/>
  <c r="AD81" i="148"/>
  <c r="X68" i="148"/>
  <c r="AG43" i="148"/>
  <c r="V31" i="148"/>
  <c r="AI130" i="148"/>
  <c r="V94" i="148"/>
  <c r="AB29" i="148"/>
  <c r="AD45" i="148"/>
  <c r="Z190" i="148"/>
  <c r="AI189" i="148"/>
  <c r="Z117" i="148"/>
  <c r="AC104" i="148"/>
  <c r="X84" i="148"/>
  <c r="AE76" i="148"/>
  <c r="X108" i="148"/>
  <c r="Z153" i="148"/>
  <c r="AD31" i="148"/>
  <c r="W169" i="148"/>
  <c r="AA153" i="148"/>
  <c r="V144" i="148"/>
  <c r="AH186" i="148"/>
  <c r="Z90" i="148"/>
  <c r="AH73" i="148"/>
  <c r="AI88" i="148"/>
  <c r="AI68" i="148"/>
  <c r="AH44" i="148"/>
  <c r="W43" i="148"/>
  <c r="AD17" i="148"/>
  <c r="AC160" i="148"/>
  <c r="AI145" i="148"/>
  <c r="AF153" i="148"/>
  <c r="W149" i="148"/>
  <c r="AG150" i="148"/>
  <c r="W138" i="148"/>
  <c r="AB86" i="148"/>
  <c r="AJ107" i="148"/>
  <c r="AB54" i="148"/>
  <c r="AA54" i="148"/>
  <c r="Z175" i="148"/>
  <c r="AB159" i="148"/>
  <c r="W125" i="148"/>
  <c r="Z124" i="148"/>
  <c r="AA105" i="148"/>
  <c r="AJ100" i="148"/>
  <c r="V65" i="148"/>
  <c r="W83" i="148"/>
  <c r="AJ51" i="148"/>
  <c r="AJ33" i="148"/>
  <c r="Y16" i="148"/>
  <c r="AA181" i="148"/>
  <c r="AH112" i="148"/>
  <c r="X18" i="148"/>
  <c r="AJ174" i="148"/>
  <c r="AJ158" i="148"/>
  <c r="AF151" i="148"/>
  <c r="X176" i="148"/>
  <c r="AG144" i="148"/>
  <c r="Y60" i="148"/>
  <c r="X95" i="148"/>
  <c r="AI86" i="148"/>
  <c r="AG47" i="148"/>
  <c r="AJ28" i="148"/>
  <c r="AD30" i="148"/>
  <c r="AC148" i="148"/>
  <c r="AF68" i="148"/>
  <c r="V186" i="148"/>
  <c r="AG188" i="148"/>
  <c r="AA136" i="148"/>
  <c r="AD144" i="148"/>
  <c r="AE138" i="148"/>
  <c r="Z141" i="148"/>
  <c r="AE79" i="148"/>
  <c r="AE59" i="148"/>
  <c r="AC38" i="148"/>
  <c r="AH55" i="148"/>
  <c r="Z17" i="148"/>
  <c r="Z172" i="148"/>
  <c r="W118" i="148"/>
  <c r="AI50" i="148"/>
  <c r="AF185" i="148"/>
  <c r="Z180" i="148"/>
  <c r="AE111" i="148"/>
  <c r="AG102" i="148"/>
  <c r="AC84" i="148"/>
  <c r="AE74" i="148"/>
  <c r="V135" i="148"/>
  <c r="AJ57" i="148"/>
  <c r="Y37" i="148"/>
  <c r="AG33" i="148"/>
  <c r="Y96" i="148"/>
  <c r="AE87" i="148"/>
  <c r="W40" i="148"/>
  <c r="AA174" i="148"/>
  <c r="Z158" i="148"/>
  <c r="V154" i="148"/>
  <c r="X111" i="148"/>
  <c r="V95" i="148"/>
  <c r="AD78" i="148"/>
  <c r="AF101" i="148"/>
  <c r="AC79" i="148"/>
  <c r="AC51" i="148"/>
  <c r="AA53" i="148"/>
  <c r="AB187" i="148"/>
  <c r="Y176" i="148"/>
  <c r="V136" i="148"/>
  <c r="Y138" i="148"/>
  <c r="AB115" i="148"/>
  <c r="AC132" i="148"/>
  <c r="W66" i="148"/>
  <c r="AJ61" i="148"/>
  <c r="AJ36" i="148"/>
  <c r="AF25" i="148"/>
  <c r="AH179" i="148"/>
  <c r="X166" i="148"/>
  <c r="AE129" i="148"/>
  <c r="AJ131" i="148"/>
  <c r="AF116" i="148"/>
  <c r="W114" i="148"/>
  <c r="AD69" i="148"/>
  <c r="AB62" i="148"/>
  <c r="Y156" i="148"/>
  <c r="AB32" i="148"/>
  <c r="AB17" i="148"/>
  <c r="Y165" i="148"/>
  <c r="Y149" i="148"/>
  <c r="AB166" i="148"/>
  <c r="AD166" i="148"/>
  <c r="AI175" i="148"/>
  <c r="Y57" i="148"/>
  <c r="AD83" i="148"/>
  <c r="AB106" i="148"/>
  <c r="AA37" i="148"/>
  <c r="AF24" i="148"/>
  <c r="X23" i="148"/>
  <c r="AE168" i="148"/>
  <c r="Y45" i="148"/>
  <c r="AE187" i="148"/>
  <c r="AG187" i="148"/>
  <c r="AD148" i="148"/>
  <c r="AJ124" i="148"/>
  <c r="AA109" i="148"/>
  <c r="AF93" i="148"/>
  <c r="AA77" i="148"/>
  <c r="AJ63" i="148"/>
  <c r="AI39" i="148"/>
  <c r="AJ44" i="148"/>
  <c r="AH19" i="148"/>
  <c r="AJ172" i="148"/>
  <c r="AH106" i="148"/>
  <c r="AE31" i="148"/>
  <c r="AC184" i="148"/>
  <c r="Y179" i="148"/>
  <c r="V114" i="148"/>
  <c r="AC100" i="148"/>
  <c r="AB81" i="148"/>
  <c r="AB72" i="148"/>
  <c r="AB84" i="148"/>
  <c r="AJ97" i="148"/>
  <c r="AD38" i="148"/>
  <c r="AC27" i="148"/>
  <c r="AE173" i="148"/>
  <c r="AI110" i="148"/>
  <c r="Z76" i="148"/>
  <c r="AI18" i="148"/>
  <c r="W174" i="148"/>
  <c r="AA175" i="148"/>
  <c r="AF135" i="148"/>
  <c r="AC129" i="148"/>
  <c r="AB117" i="148"/>
  <c r="AA97" i="148"/>
  <c r="AI94" i="148"/>
  <c r="AB52" i="148"/>
  <c r="AA32" i="148"/>
  <c r="AB146" i="148"/>
  <c r="V78" i="148"/>
  <c r="X55" i="148"/>
  <c r="AA38" i="148"/>
  <c r="W168" i="148"/>
  <c r="AE149" i="148"/>
  <c r="Z125" i="148"/>
  <c r="AH118" i="148"/>
  <c r="AF94" i="148"/>
  <c r="AF91" i="148"/>
  <c r="AH93" i="148"/>
  <c r="X70" i="148"/>
  <c r="AA47" i="148"/>
  <c r="W177" i="148"/>
  <c r="AF161" i="148"/>
  <c r="AI167" i="148"/>
  <c r="AB114" i="148"/>
  <c r="Z98" i="148"/>
  <c r="AH81" i="148"/>
  <c r="AE108" i="148"/>
  <c r="AI89" i="148"/>
  <c r="AC55" i="148"/>
  <c r="Z38" i="148"/>
  <c r="AD20" i="148"/>
  <c r="AC173" i="148"/>
  <c r="AI156" i="148"/>
  <c r="AH107" i="148"/>
  <c r="AG91" i="148"/>
  <c r="AF74" i="148"/>
  <c r="Y63" i="148"/>
  <c r="AD58" i="148"/>
  <c r="V68" i="148"/>
  <c r="X75" i="148"/>
  <c r="AD47" i="148"/>
  <c r="AH154" i="148"/>
  <c r="AG116" i="148"/>
  <c r="AE90" i="148"/>
  <c r="X73" i="148"/>
  <c r="W53" i="148"/>
  <c r="AI127" i="148"/>
  <c r="AE16" i="148"/>
  <c r="AF154" i="148"/>
  <c r="AG152" i="148"/>
  <c r="AA129" i="148"/>
  <c r="AE72" i="148"/>
  <c r="V24" i="148"/>
  <c r="W151" i="148"/>
  <c r="V182" i="148"/>
  <c r="AA132" i="148"/>
  <c r="AH124" i="148"/>
  <c r="Y72" i="148"/>
  <c r="AB34" i="148"/>
  <c r="AH15" i="148"/>
  <c r="AC98" i="148"/>
  <c r="AF181" i="148"/>
  <c r="V187" i="148"/>
  <c r="Y79" i="148"/>
  <c r="AI164" i="148"/>
  <c r="AF32" i="148"/>
  <c r="AE163" i="148"/>
  <c r="V45" i="148"/>
  <c r="W154" i="148"/>
  <c r="X107" i="148"/>
  <c r="AD74" i="148"/>
  <c r="AD70" i="148"/>
  <c r="AA45" i="148"/>
  <c r="AF162" i="148"/>
  <c r="AC131" i="148"/>
  <c r="AG112" i="148"/>
  <c r="Y182" i="148"/>
  <c r="AC22" i="148"/>
  <c r="AB160" i="148"/>
  <c r="Y125" i="148"/>
  <c r="AE101" i="148"/>
  <c r="AJ140" i="148"/>
  <c r="AC49" i="148"/>
  <c r="AH150" i="148"/>
  <c r="W110" i="148"/>
  <c r="AI82" i="148"/>
  <c r="AB66" i="148"/>
  <c r="W45" i="148"/>
  <c r="AH102" i="148"/>
  <c r="X17" i="148"/>
  <c r="AE184" i="148"/>
  <c r="AH142" i="148"/>
  <c r="AD142" i="148"/>
  <c r="AA65" i="148"/>
  <c r="AA28" i="148"/>
  <c r="AC169" i="148"/>
  <c r="V178" i="148"/>
  <c r="AA128" i="148"/>
  <c r="W112" i="148"/>
  <c r="Z68" i="148"/>
  <c r="AF54" i="148"/>
  <c r="AE17" i="148"/>
  <c r="AJ141" i="148"/>
  <c r="AF177" i="148"/>
  <c r="V158" i="148"/>
  <c r="AF176" i="148"/>
  <c r="V117" i="148"/>
  <c r="AG51" i="148"/>
  <c r="Z132" i="148"/>
  <c r="AC26" i="148"/>
  <c r="W150" i="148"/>
  <c r="W159" i="148"/>
  <c r="AH165" i="148"/>
  <c r="AE64" i="148"/>
  <c r="W37" i="148"/>
  <c r="AH153" i="148"/>
  <c r="AJ123" i="148"/>
  <c r="V98" i="148"/>
  <c r="AE85" i="148"/>
  <c r="AA26" i="148"/>
  <c r="V155" i="148"/>
  <c r="AD117" i="148"/>
  <c r="AJ92" i="148"/>
  <c r="W106" i="148"/>
  <c r="Z40" i="148"/>
  <c r="AC185" i="148"/>
  <c r="AG104" i="148"/>
  <c r="AJ76" i="148"/>
  <c r="AF59" i="148"/>
  <c r="AG36" i="148"/>
  <c r="AH90" i="148"/>
  <c r="AG153" i="148"/>
  <c r="V169" i="148"/>
  <c r="AG135" i="148"/>
  <c r="X124" i="148"/>
  <c r="AB59" i="148"/>
  <c r="Z27" i="148"/>
  <c r="AJ169" i="148"/>
  <c r="V174" i="148"/>
  <c r="AA124" i="148"/>
  <c r="AF103" i="148"/>
  <c r="Z64" i="148"/>
  <c r="AF50" i="148"/>
  <c r="AC17" i="148"/>
  <c r="Y120" i="148"/>
  <c r="AF173" i="148"/>
  <c r="AG148" i="148"/>
  <c r="V142" i="148"/>
  <c r="AE89" i="148"/>
  <c r="AC46" i="148"/>
  <c r="AG103" i="148"/>
  <c r="AI26" i="148"/>
  <c r="AJ185" i="148"/>
  <c r="X142" i="148"/>
  <c r="AF136" i="148"/>
  <c r="AI57" i="148"/>
  <c r="Z53" i="148"/>
  <c r="AE147" i="148"/>
  <c r="Y117" i="148"/>
  <c r="AA88" i="148"/>
  <c r="AF67" i="148"/>
  <c r="AH21" i="148"/>
  <c r="V151" i="148"/>
  <c r="AH110" i="148"/>
  <c r="AF83" i="148"/>
  <c r="Z84" i="148"/>
  <c r="AD35" i="148"/>
  <c r="AF172" i="148"/>
  <c r="Z107" i="148"/>
  <c r="X74" i="148"/>
  <c r="V177" i="148"/>
  <c r="W51" i="148"/>
  <c r="W27" i="148"/>
  <c r="W36" i="148"/>
  <c r="AD163" i="148"/>
  <c r="AJ128" i="148"/>
  <c r="AB100" i="148"/>
  <c r="AI69" i="148"/>
  <c r="AF29" i="148"/>
  <c r="AJ180" i="148"/>
  <c r="AE106" i="148"/>
  <c r="AE141" i="148"/>
  <c r="AG105" i="148"/>
  <c r="Z78" i="148"/>
  <c r="AE57" i="148"/>
  <c r="AI24" i="148"/>
  <c r="AI122" i="148"/>
  <c r="AI25" i="148"/>
  <c r="AC190" i="148"/>
  <c r="Y136" i="148"/>
  <c r="V111" i="148"/>
  <c r="AD56" i="148"/>
  <c r="AD159" i="148"/>
  <c r="W122" i="148"/>
  <c r="AG174" i="148"/>
  <c r="Z129" i="148"/>
  <c r="AB101" i="148"/>
  <c r="Y147" i="148"/>
  <c r="AA55" i="148"/>
  <c r="AF168" i="148"/>
  <c r="AB118" i="148"/>
  <c r="AH85" i="148"/>
  <c r="Y124" i="148"/>
  <c r="AH46" i="148"/>
  <c r="Y180" i="148"/>
  <c r="AH111" i="148"/>
  <c r="AF78" i="148"/>
  <c r="Z65" i="148"/>
  <c r="AE110" i="148"/>
  <c r="X155" i="148"/>
  <c r="AC62" i="148"/>
  <c r="AB25" i="148"/>
  <c r="AB16" i="148"/>
  <c r="AH116" i="148"/>
  <c r="X45" i="148"/>
  <c r="AD154" i="148"/>
  <c r="V118" i="148"/>
  <c r="AJ119" i="148"/>
  <c r="AE177" i="148"/>
  <c r="AG180" i="148"/>
  <c r="AG130" i="148"/>
  <c r="AD48" i="148"/>
  <c r="AE52" i="148"/>
  <c r="AD125" i="148"/>
  <c r="X89" i="148"/>
  <c r="AF141" i="148"/>
  <c r="AC128" i="148"/>
  <c r="AG18" i="148"/>
  <c r="Y97" i="148"/>
  <c r="AI76" i="148"/>
  <c r="AG58" i="148"/>
  <c r="AH72" i="148"/>
  <c r="AJ18" i="148"/>
  <c r="AC33" i="148"/>
  <c r="AG118" i="148"/>
  <c r="X100" i="148"/>
  <c r="AJ32" i="148"/>
  <c r="W121" i="148"/>
  <c r="V61" i="148"/>
  <c r="AE27" i="148"/>
  <c r="AJ170" i="148"/>
  <c r="AJ133" i="148"/>
  <c r="Z43" i="148"/>
  <c r="AA63" i="148"/>
  <c r="X136" i="148"/>
  <c r="Z140" i="148"/>
  <c r="AD161" i="148"/>
  <c r="AG168" i="148"/>
  <c r="AC69" i="148"/>
  <c r="Z50" i="148"/>
  <c r="AA170" i="148"/>
  <c r="V91" i="148"/>
  <c r="Y46" i="148"/>
  <c r="V132" i="148"/>
  <c r="AA59" i="148"/>
  <c r="AH175" i="148"/>
  <c r="X106" i="148"/>
  <c r="AJ111" i="148"/>
  <c r="X151" i="148"/>
  <c r="Z35" i="148"/>
  <c r="AJ157" i="148"/>
  <c r="Z37" i="148"/>
  <c r="AE93" i="148"/>
  <c r="Y91" i="148"/>
  <c r="AF155" i="148"/>
  <c r="X83" i="148"/>
  <c r="AB85" i="148"/>
  <c r="AI79" i="148"/>
  <c r="W97" i="148"/>
  <c r="W181" i="148"/>
  <c r="AC68" i="148"/>
  <c r="W117" i="148"/>
  <c r="V57" i="148"/>
  <c r="AG26" i="148"/>
  <c r="AJ166" i="148"/>
  <c r="AB123" i="148"/>
  <c r="AB39" i="148"/>
  <c r="AC42" i="148"/>
  <c r="AB129" i="148"/>
  <c r="V100" i="148"/>
  <c r="Y169" i="148"/>
  <c r="AE162" i="148"/>
  <c r="Y64" i="148"/>
  <c r="AD36" i="148"/>
  <c r="Z189" i="148"/>
  <c r="AB152" i="148"/>
  <c r="AD41" i="148"/>
  <c r="V128" i="148"/>
  <c r="AE132" i="148"/>
  <c r="AH171" i="148"/>
  <c r="AA100" i="148"/>
  <c r="AH76" i="148"/>
  <c r="W113" i="148"/>
  <c r="AH184" i="148"/>
  <c r="AF36" i="148"/>
  <c r="AC81" i="148"/>
  <c r="AG27" i="148"/>
  <c r="AI135" i="148"/>
  <c r="Y88" i="148"/>
  <c r="V60" i="148"/>
  <c r="AG158" i="148"/>
  <c r="AF139" i="148"/>
  <c r="AE155" i="148"/>
  <c r="Z102" i="148"/>
  <c r="AE166" i="148"/>
  <c r="AI30" i="148"/>
  <c r="X187" i="148"/>
  <c r="AC86" i="148"/>
  <c r="AJ38" i="148"/>
  <c r="AF69" i="148"/>
  <c r="AD134" i="148"/>
  <c r="AE63" i="148"/>
  <c r="AE32" i="148"/>
  <c r="AD157" i="148"/>
  <c r="AD98" i="148"/>
  <c r="AJ31" i="148"/>
  <c r="V22" i="148"/>
  <c r="Y167" i="148"/>
  <c r="Y80" i="148"/>
  <c r="Z72" i="148"/>
  <c r="W135" i="148"/>
  <c r="W77" i="148"/>
  <c r="AG166" i="148"/>
  <c r="W93" i="148"/>
  <c r="AI45" i="148"/>
  <c r="AE117" i="148"/>
  <c r="AD57" i="148"/>
  <c r="AE21" i="148"/>
  <c r="AC112" i="148"/>
  <c r="AF122" i="148"/>
  <c r="AI153" i="148"/>
  <c r="Z185" i="148"/>
  <c r="V124" i="148"/>
  <c r="AH167" i="148"/>
  <c r="W67" i="148"/>
  <c r="AB99" i="148"/>
  <c r="AA78" i="148"/>
  <c r="AH47" i="148"/>
  <c r="AJ66" i="148"/>
  <c r="AF105" i="148"/>
  <c r="AF180" i="148"/>
  <c r="AF92" i="148"/>
  <c r="AA70" i="148"/>
  <c r="V39" i="148"/>
  <c r="AC138" i="148"/>
  <c r="AH99" i="148"/>
  <c r="AD66" i="148"/>
  <c r="AB175" i="148"/>
  <c r="AC97" i="148"/>
  <c r="AF90" i="148"/>
  <c r="AE125" i="148"/>
  <c r="AE92" i="148"/>
  <c r="AI83" i="148"/>
  <c r="V173" i="148"/>
  <c r="AJ47" i="148"/>
  <c r="W49" i="148"/>
  <c r="Z39" i="148"/>
  <c r="AG145" i="148"/>
  <c r="AC32" i="148"/>
  <c r="Y92" i="148"/>
  <c r="Z171" i="148"/>
  <c r="Z167" i="148"/>
  <c r="AC43" i="148"/>
  <c r="AH32" i="148"/>
  <c r="AD29" i="148"/>
  <c r="W139" i="148"/>
  <c r="AI53" i="148"/>
  <c r="AF163" i="148"/>
  <c r="AE121" i="148"/>
  <c r="AC143" i="148"/>
  <c r="AI123" i="148"/>
  <c r="V133" i="148"/>
  <c r="AD65" i="148"/>
  <c r="AD138" i="148"/>
  <c r="Y108" i="148"/>
  <c r="AA98" i="148"/>
  <c r="AD61" i="148"/>
  <c r="F22" i="148"/>
  <c r="G22" i="148" s="1"/>
  <c r="AB186" i="150"/>
  <c r="AI178" i="150"/>
  <c r="AH170" i="150"/>
  <c r="AE182" i="150"/>
  <c r="Y166" i="150"/>
  <c r="Y181" i="150"/>
  <c r="AF156" i="150"/>
  <c r="AB174" i="150"/>
  <c r="AH186" i="150"/>
  <c r="AF174" i="150"/>
  <c r="Z181" i="150"/>
  <c r="AE156" i="150"/>
  <c r="X152" i="150"/>
  <c r="Y187" i="150"/>
  <c r="AG153" i="150"/>
  <c r="AD142" i="150"/>
  <c r="AH124" i="150"/>
  <c r="AG138" i="150"/>
  <c r="AA150" i="150"/>
  <c r="AJ111" i="150"/>
  <c r="AB126" i="150"/>
  <c r="AI131" i="150"/>
  <c r="Z85" i="150"/>
  <c r="AG101" i="150"/>
  <c r="AG115" i="150"/>
  <c r="AJ156" i="150"/>
  <c r="X88" i="150"/>
  <c r="W81" i="150"/>
  <c r="AE124" i="150"/>
  <c r="AE63" i="150"/>
  <c r="AH74" i="150"/>
  <c r="Y100" i="150"/>
  <c r="AA154" i="150"/>
  <c r="AA59" i="150"/>
  <c r="AA110" i="150"/>
  <c r="W131" i="150"/>
  <c r="AE90" i="150"/>
  <c r="AI89" i="150"/>
  <c r="AA34" i="150"/>
  <c r="Z45" i="150"/>
  <c r="V33" i="150"/>
  <c r="Y46" i="150"/>
  <c r="AG46" i="150"/>
  <c r="AH54" i="150"/>
  <c r="AF24" i="150"/>
  <c r="AA23" i="150"/>
  <c r="Z18" i="150"/>
  <c r="AF189" i="150"/>
  <c r="AA182" i="150"/>
  <c r="Z174" i="150"/>
  <c r="AA189" i="150"/>
  <c r="V172" i="150"/>
  <c r="W156" i="150"/>
  <c r="AD162" i="150"/>
  <c r="AH149" i="150"/>
  <c r="AC181" i="150"/>
  <c r="Z154" i="150"/>
  <c r="Z132" i="150"/>
  <c r="AF159" i="150"/>
  <c r="AC105" i="150"/>
  <c r="AB119" i="150"/>
  <c r="AF133" i="150"/>
  <c r="AB160" i="150"/>
  <c r="AD92" i="150"/>
  <c r="V116" i="150"/>
  <c r="AG135" i="150"/>
  <c r="X83" i="150"/>
  <c r="AJ95" i="150"/>
  <c r="AI96" i="150"/>
  <c r="X156" i="150"/>
  <c r="W71" i="150"/>
  <c r="AG88" i="150"/>
  <c r="Z127" i="150"/>
  <c r="V62" i="150"/>
  <c r="AC75" i="150"/>
  <c r="AE133" i="150"/>
  <c r="AC74" i="150"/>
  <c r="AB170" i="150"/>
  <c r="AH182" i="150"/>
  <c r="AF170" i="150"/>
  <c r="Z173" i="150"/>
  <c r="AD168" i="150"/>
  <c r="X148" i="150"/>
  <c r="Y168" i="150"/>
  <c r="AI147" i="150"/>
  <c r="AD138" i="150"/>
  <c r="AH120" i="150"/>
  <c r="AG132" i="150"/>
  <c r="AJ142" i="150"/>
  <c r="AJ107" i="150"/>
  <c r="AB122" i="150"/>
  <c r="AI123" i="150"/>
  <c r="Z81" i="150"/>
  <c r="AC96" i="150"/>
  <c r="Y105" i="150"/>
  <c r="AC137" i="150"/>
  <c r="X84" i="150"/>
  <c r="AF75" i="150"/>
  <c r="AE108" i="150"/>
  <c r="AE59" i="150"/>
  <c r="AH70" i="150"/>
  <c r="AC89" i="150"/>
  <c r="AA118" i="150"/>
  <c r="AA127" i="150"/>
  <c r="AJ61" i="150"/>
  <c r="AG76" i="150"/>
  <c r="AC76" i="150"/>
  <c r="Y78" i="150"/>
  <c r="W54" i="150"/>
  <c r="AA41" i="150"/>
  <c r="AG51" i="150"/>
  <c r="AB30" i="150"/>
  <c r="AC52" i="150"/>
  <c r="AH46" i="150"/>
  <c r="AI28" i="150"/>
  <c r="AC25" i="150"/>
  <c r="V20" i="150"/>
  <c r="AF185" i="150"/>
  <c r="AA178" i="150"/>
  <c r="Z170" i="150"/>
  <c r="AA181" i="150"/>
  <c r="AC165" i="150"/>
  <c r="AC180" i="150"/>
  <c r="AH155" i="150"/>
  <c r="AH145" i="150"/>
  <c r="X162" i="150"/>
  <c r="AE146" i="150"/>
  <c r="Z128" i="150"/>
  <c r="AC145" i="150"/>
  <c r="AE168" i="150"/>
  <c r="AB115" i="150"/>
  <c r="AF129" i="150"/>
  <c r="AG142" i="150"/>
  <c r="AD88" i="150"/>
  <c r="V108" i="150"/>
  <c r="Y125" i="150"/>
  <c r="X79" i="150"/>
  <c r="AJ91" i="150"/>
  <c r="AI88" i="150"/>
  <c r="AB139" i="150"/>
  <c r="W67" i="150"/>
  <c r="AA78" i="150"/>
  <c r="Z111" i="150"/>
  <c r="V58" i="150"/>
  <c r="AE138" i="150"/>
  <c r="Y70" i="150"/>
  <c r="AG63" i="150"/>
  <c r="AI190" i="150"/>
  <c r="AH178" i="150"/>
  <c r="AE190" i="150"/>
  <c r="AG160" i="150"/>
  <c r="W161" i="150"/>
  <c r="AG185" i="150"/>
  <c r="AD156" i="150"/>
  <c r="V143" i="150"/>
  <c r="AE165" i="150"/>
  <c r="AH116" i="150"/>
  <c r="AC127" i="150"/>
  <c r="AJ135" i="150"/>
  <c r="AJ103" i="150"/>
  <c r="AB118" i="150"/>
  <c r="AI115" i="150"/>
  <c r="AG182" i="150"/>
  <c r="Y91" i="150"/>
  <c r="AF99" i="150"/>
  <c r="Y127" i="150"/>
  <c r="X80" i="150"/>
  <c r="AF71" i="150"/>
  <c r="V97" i="150"/>
  <c r="AI173" i="150"/>
  <c r="AH66" i="150"/>
  <c r="AG78" i="150"/>
  <c r="AI94" i="150"/>
  <c r="Z100" i="150"/>
  <c r="V79" i="150"/>
  <c r="AE135" i="150"/>
  <c r="AG65" i="150"/>
  <c r="AA103" i="150"/>
  <c r="W50" i="150"/>
  <c r="AC36" i="150"/>
  <c r="AH42" i="150"/>
  <c r="Z37" i="150"/>
  <c r="Z42" i="150"/>
  <c r="AC38" i="150"/>
  <c r="AC24" i="150"/>
  <c r="X21" i="150"/>
  <c r="AC18" i="150"/>
  <c r="AF181" i="150"/>
  <c r="AA174" i="150"/>
  <c r="X190" i="150"/>
  <c r="AA173" i="150"/>
  <c r="Y160" i="150"/>
  <c r="AG167" i="150"/>
  <c r="AJ151" i="150"/>
  <c r="AC184" i="150"/>
  <c r="V153" i="150"/>
  <c r="V142" i="150"/>
  <c r="Z124" i="150"/>
  <c r="AJ137" i="150"/>
  <c r="AI149" i="150"/>
  <c r="AB111" i="150"/>
  <c r="AF125" i="150"/>
  <c r="AE130" i="150"/>
  <c r="AD84" i="150"/>
  <c r="Y101" i="150"/>
  <c r="AC114" i="150"/>
  <c r="AC154" i="150"/>
  <c r="AJ87" i="150"/>
  <c r="AI80" i="150"/>
  <c r="AA123" i="150"/>
  <c r="W63" i="150"/>
  <c r="Z74" i="150"/>
  <c r="AG98" i="150"/>
  <c r="AD151" i="150"/>
  <c r="AE56" i="150"/>
  <c r="AE103" i="150"/>
  <c r="AI126" i="150"/>
  <c r="AI186" i="150"/>
  <c r="AH174" i="150"/>
  <c r="AE174" i="150"/>
  <c r="AC155" i="150"/>
  <c r="AH154" i="150"/>
  <c r="Y167" i="150"/>
  <c r="AI148" i="150"/>
  <c r="V139" i="150"/>
  <c r="AE153" i="150"/>
  <c r="AH112" i="150"/>
  <c r="Y122" i="150"/>
  <c r="AJ131" i="150"/>
  <c r="AF163" i="150"/>
  <c r="AB114" i="150"/>
  <c r="AI107" i="150"/>
  <c r="Y145" i="150"/>
  <c r="AG85" i="150"/>
  <c r="AF95" i="150"/>
  <c r="AC116" i="150"/>
  <c r="Y143" i="150"/>
  <c r="AF67" i="150"/>
  <c r="V89" i="150"/>
  <c r="AD132" i="150"/>
  <c r="AH62" i="150"/>
  <c r="AD74" i="150"/>
  <c r="AI78" i="150"/>
  <c r="Z84" i="150"/>
  <c r="Y140" i="150"/>
  <c r="AF72" i="150"/>
  <c r="W146" i="150"/>
  <c r="AJ55" i="150"/>
  <c r="W46" i="150"/>
  <c r="X55" i="150"/>
  <c r="AE55" i="150"/>
  <c r="AH48" i="150"/>
  <c r="AD34" i="150"/>
  <c r="AG54" i="150"/>
  <c r="AH25" i="150"/>
  <c r="AB25" i="150"/>
  <c r="AH17" i="150"/>
  <c r="AF177" i="150"/>
  <c r="AA170" i="150"/>
  <c r="X186" i="150"/>
  <c r="Z166" i="150"/>
  <c r="AG154" i="150"/>
  <c r="X160" i="150"/>
  <c r="AJ147" i="150"/>
  <c r="Z165" i="150"/>
  <c r="W147" i="150"/>
  <c r="V138" i="150"/>
  <c r="Z120" i="150"/>
  <c r="Y132" i="150"/>
  <c r="W142" i="150"/>
  <c r="AB107" i="150"/>
  <c r="AF121" i="150"/>
  <c r="AE122" i="150"/>
  <c r="AD80" i="150"/>
  <c r="AG95" i="150"/>
  <c r="AG103" i="150"/>
  <c r="AF136" i="150"/>
  <c r="AJ83" i="150"/>
  <c r="X75" i="150"/>
  <c r="AA107" i="150"/>
  <c r="W59" i="150"/>
  <c r="Z70" i="150"/>
  <c r="Y88" i="150"/>
  <c r="AE111" i="150"/>
  <c r="AE120" i="150"/>
  <c r="AB59" i="150"/>
  <c r="Y74" i="150"/>
  <c r="Y75" i="150"/>
  <c r="AI182" i="150"/>
  <c r="AH166" i="150"/>
  <c r="AC149" i="150"/>
  <c r="W143" i="150"/>
  <c r="AJ143" i="150"/>
  <c r="AG116" i="150"/>
  <c r="AE148" i="150"/>
  <c r="Z101" i="150"/>
  <c r="AC80" i="150"/>
  <c r="AG105" i="150"/>
  <c r="AF63" i="150"/>
  <c r="AD116" i="150"/>
  <c r="AD70" i="150"/>
  <c r="W72" i="150"/>
  <c r="AF56" i="150"/>
  <c r="AJ51" i="150"/>
  <c r="X51" i="150"/>
  <c r="AJ40" i="150"/>
  <c r="AJ31" i="150"/>
  <c r="V28" i="150"/>
  <c r="AF173" i="150"/>
  <c r="X182" i="150"/>
  <c r="AG180" i="150"/>
  <c r="AE184" i="150"/>
  <c r="AH142" i="150"/>
  <c r="Z116" i="150"/>
  <c r="AB135" i="150"/>
  <c r="AF117" i="150"/>
  <c r="AC172" i="150"/>
  <c r="X99" i="150"/>
  <c r="AJ79" i="150"/>
  <c r="AH96" i="150"/>
  <c r="Z66" i="150"/>
  <c r="AE93" i="150"/>
  <c r="AA75" i="150"/>
  <c r="X138" i="150"/>
  <c r="AG62" i="150"/>
  <c r="AB38" i="150"/>
  <c r="AD48" i="150"/>
  <c r="AI36" i="150"/>
  <c r="AH29" i="150"/>
  <c r="AG29" i="150"/>
  <c r="AD32" i="150"/>
  <c r="V22" i="150"/>
  <c r="AI27" i="150"/>
  <c r="AA19" i="150"/>
  <c r="Z16" i="150"/>
  <c r="AE185" i="150"/>
  <c r="AD177" i="150"/>
  <c r="AJ169" i="150"/>
  <c r="AH179" i="150"/>
  <c r="AI159" i="150"/>
  <c r="AC168" i="150"/>
  <c r="Z153" i="150"/>
  <c r="AA138" i="150"/>
  <c r="AJ162" i="150"/>
  <c r="AD135" i="150"/>
  <c r="AD103" i="150"/>
  <c r="Y110" i="150"/>
  <c r="AF122" i="150"/>
  <c r="Y138" i="150"/>
  <c r="X105" i="150"/>
  <c r="V96" i="150"/>
  <c r="AH123" i="150"/>
  <c r="AC146" i="150"/>
  <c r="AJ86" i="150"/>
  <c r="AB99" i="150"/>
  <c r="W105" i="150"/>
  <c r="AJ58" i="150"/>
  <c r="AI74" i="150"/>
  <c r="Y98" i="150"/>
  <c r="X140" i="150"/>
  <c r="AH65" i="150"/>
  <c r="X60" i="150"/>
  <c r="AE62" i="150"/>
  <c r="AE86" i="150"/>
  <c r="AI69" i="150"/>
  <c r="AI85" i="150"/>
  <c r="AF46" i="150"/>
  <c r="X37" i="150"/>
  <c r="AB46" i="150"/>
  <c r="AJ37" i="150"/>
  <c r="AG31" i="150"/>
  <c r="AI46" i="150"/>
  <c r="AF30" i="150"/>
  <c r="Y28" i="150"/>
  <c r="AA20" i="150"/>
  <c r="AD15" i="150"/>
  <c r="AJ168" i="150"/>
  <c r="V185" i="150"/>
  <c r="AB177" i="150"/>
  <c r="V157" i="150"/>
  <c r="AC167" i="150"/>
  <c r="AC147" i="150"/>
  <c r="AJ164" i="150"/>
  <c r="AE145" i="150"/>
  <c r="AD137" i="150"/>
  <c r="V149" i="150"/>
  <c r="V111" i="150"/>
  <c r="Y120" i="150"/>
  <c r="X130" i="150"/>
  <c r="AA156" i="150"/>
  <c r="AJ112" i="150"/>
  <c r="W104" i="150"/>
  <c r="AF142" i="150"/>
  <c r="AG83" i="150"/>
  <c r="AB94" i="150"/>
  <c r="AC112" i="150"/>
  <c r="AI132" i="150"/>
  <c r="AB66" i="150"/>
  <c r="Z86" i="150"/>
  <c r="AH125" i="150"/>
  <c r="V61" i="150"/>
  <c r="Z73" i="150"/>
  <c r="AJ75" i="150"/>
  <c r="AA77" i="150"/>
  <c r="W127" i="150"/>
  <c r="X66" i="150"/>
  <c r="AA132" i="150"/>
  <c r="X54" i="150"/>
  <c r="AF44" i="150"/>
  <c r="AF53" i="150"/>
  <c r="AI52" i="150"/>
  <c r="V45" i="150"/>
  <c r="AE31" i="150"/>
  <c r="AB39" i="150"/>
  <c r="AE27" i="150"/>
  <c r="AC23" i="150"/>
  <c r="AI15" i="150"/>
  <c r="AB176" i="150"/>
  <c r="AI168" i="150"/>
  <c r="AF184" i="150"/>
  <c r="AH164" i="150"/>
  <c r="AC187" i="150"/>
  <c r="AF157" i="150"/>
  <c r="X146" i="150"/>
  <c r="AJ161" i="150"/>
  <c r="V145" i="150"/>
  <c r="AD136" i="150"/>
  <c r="AH118" i="150"/>
  <c r="Y130" i="150"/>
  <c r="AC139" i="150"/>
  <c r="AJ105" i="150"/>
  <c r="AB120" i="150"/>
  <c r="AI119" i="150"/>
  <c r="Z79" i="150"/>
  <c r="AG93" i="150"/>
  <c r="AF101" i="150"/>
  <c r="AC132" i="150"/>
  <c r="X82" i="150"/>
  <c r="AF73" i="150"/>
  <c r="V101" i="150"/>
  <c r="AE57" i="150"/>
  <c r="AH68" i="150"/>
  <c r="Y84" i="150"/>
  <c r="AI102" i="150"/>
  <c r="AA111" i="150"/>
  <c r="AA135" i="150"/>
  <c r="AC59" i="150"/>
  <c r="Y71" i="150"/>
  <c r="AB67" i="150"/>
  <c r="W52" i="150"/>
  <c r="AH38" i="150"/>
  <c r="AC46" i="150"/>
  <c r="AG50" i="150"/>
  <c r="Y47" i="150"/>
  <c r="AJ42" i="150"/>
  <c r="AJ26" i="150"/>
  <c r="V23" i="150"/>
  <c r="W18" i="150"/>
  <c r="AF183" i="150"/>
  <c r="AA176" i="150"/>
  <c r="Z168" i="150"/>
  <c r="AA177" i="150"/>
  <c r="AG162" i="150"/>
  <c r="Y171" i="150"/>
  <c r="AJ153" i="150"/>
  <c r="Y183" i="150"/>
  <c r="W157" i="150"/>
  <c r="V144" i="150"/>
  <c r="Z126" i="150"/>
  <c r="AA141" i="150"/>
  <c r="Y153" i="150"/>
  <c r="AB113" i="150"/>
  <c r="AF127" i="150"/>
  <c r="AE134" i="150"/>
  <c r="AD86" i="150"/>
  <c r="V104" i="150"/>
  <c r="AG119" i="150"/>
  <c r="AC174" i="150"/>
  <c r="AJ89" i="150"/>
  <c r="AI84" i="150"/>
  <c r="AA131" i="150"/>
  <c r="W65" i="150"/>
  <c r="Z76" i="150"/>
  <c r="Z103" i="150"/>
  <c r="V56" i="150"/>
  <c r="AD81" i="150"/>
  <c r="W133" i="150"/>
  <c r="AC58" i="150"/>
  <c r="AA97" i="150"/>
  <c r="AC57" i="150"/>
  <c r="W36" i="150"/>
  <c r="AD46" i="150"/>
  <c r="AE34" i="150"/>
  <c r="AC51" i="150"/>
  <c r="V29" i="150"/>
  <c r="AE29" i="150"/>
  <c r="AD28" i="150"/>
  <c r="AC28" i="150"/>
  <c r="Z20" i="150"/>
  <c r="AB17" i="150"/>
  <c r="AE183" i="150"/>
  <c r="AD175" i="150"/>
  <c r="AJ167" i="150"/>
  <c r="AH175" i="150"/>
  <c r="AI157" i="150"/>
  <c r="X165" i="150"/>
  <c r="Z151" i="150"/>
  <c r="AA136" i="150"/>
  <c r="V158" i="150"/>
  <c r="AD133" i="150"/>
  <c r="AC166" i="150"/>
  <c r="AC107" i="150"/>
  <c r="AF120" i="150"/>
  <c r="X135" i="150"/>
  <c r="X103" i="150"/>
  <c r="V94" i="150"/>
  <c r="AH119" i="150"/>
  <c r="AE142" i="150"/>
  <c r="AJ84" i="150"/>
  <c r="AB97" i="150"/>
  <c r="AE99" i="150"/>
  <c r="AJ56" i="150"/>
  <c r="AI72" i="150"/>
  <c r="AG92" i="150"/>
  <c r="V134" i="150"/>
  <c r="AH63" i="150"/>
  <c r="X56" i="150"/>
  <c r="AE58" i="150"/>
  <c r="AE78" i="150"/>
  <c r="AE60" i="150"/>
  <c r="AC77" i="150"/>
  <c r="AG44" i="150"/>
  <c r="V54" i="150"/>
  <c r="AG43" i="150"/>
  <c r="V34" i="150"/>
  <c r="AI44" i="150"/>
  <c r="V42" i="150"/>
  <c r="AB28" i="150"/>
  <c r="Z26" i="150"/>
  <c r="AB18" i="150"/>
  <c r="Z17" i="150"/>
  <c r="AJ170" i="150"/>
  <c r="V187" i="150"/>
  <c r="AB179" i="150"/>
  <c r="V159" i="150"/>
  <c r="AG172" i="150"/>
  <c r="Y150" i="150"/>
  <c r="AH173" i="150"/>
  <c r="AF149" i="150"/>
  <c r="AD139" i="150"/>
  <c r="W154" i="150"/>
  <c r="V113" i="150"/>
  <c r="AG122" i="150"/>
  <c r="X132" i="150"/>
  <c r="AI164" i="150"/>
  <c r="AJ114" i="150"/>
  <c r="W108" i="150"/>
  <c r="AH146" i="150"/>
  <c r="AC86" i="150"/>
  <c r="AB96" i="150"/>
  <c r="AG117" i="150"/>
  <c r="AJ150" i="150"/>
  <c r="AB68" i="150"/>
  <c r="Z90" i="150"/>
  <c r="AH133" i="150"/>
  <c r="V63" i="150"/>
  <c r="Z75" i="150"/>
  <c r="W83" i="150"/>
  <c r="AD85" i="150"/>
  <c r="W144" i="150"/>
  <c r="X74" i="150"/>
  <c r="AC56" i="150"/>
  <c r="AI57" i="150"/>
  <c r="AE46" i="150"/>
  <c r="AF55" i="150"/>
  <c r="AF35" i="150"/>
  <c r="V49" i="150"/>
  <c r="Z35" i="150"/>
  <c r="AI174" i="150"/>
  <c r="AH162" i="150"/>
  <c r="AD188" i="150"/>
  <c r="W139" i="150"/>
  <c r="Y137" i="150"/>
  <c r="AC111" i="150"/>
  <c r="AJ139" i="150"/>
  <c r="Z97" i="150"/>
  <c r="AA152" i="150"/>
  <c r="X100" i="150"/>
  <c r="AF59" i="150"/>
  <c r="AG100" i="150"/>
  <c r="AD66" i="150"/>
  <c r="W64" i="150"/>
  <c r="AE76" i="150"/>
  <c r="AJ47" i="150"/>
  <c r="X47" i="150"/>
  <c r="AH32" i="150"/>
  <c r="Z32" i="150"/>
  <c r="X19" i="150"/>
  <c r="AF169" i="150"/>
  <c r="X178" i="150"/>
  <c r="Y170" i="150"/>
  <c r="AD166" i="150"/>
  <c r="AH138" i="150"/>
  <c r="Z112" i="150"/>
  <c r="AB131" i="150"/>
  <c r="AF113" i="150"/>
  <c r="AB144" i="150"/>
  <c r="X95" i="150"/>
  <c r="AC141" i="150"/>
  <c r="AH88" i="150"/>
  <c r="Z62" i="150"/>
  <c r="AB77" i="150"/>
  <c r="AC136" i="150"/>
  <c r="AE105" i="150"/>
  <c r="AA79" i="150"/>
  <c r="AH33" i="150"/>
  <c r="AE44" i="150"/>
  <c r="AJ32" i="150"/>
  <c r="AI40" i="150"/>
  <c r="W43" i="150"/>
  <c r="AD53" i="150"/>
  <c r="AB23" i="150"/>
  <c r="W22" i="150"/>
  <c r="X20" i="150"/>
  <c r="X189" i="150"/>
  <c r="AE181" i="150"/>
  <c r="AD173" i="150"/>
  <c r="W188" i="150"/>
  <c r="AH171" i="150"/>
  <c r="AI155" i="150"/>
  <c r="AG161" i="150"/>
  <c r="Z149" i="150"/>
  <c r="W178" i="150"/>
  <c r="AA153" i="150"/>
  <c r="AD131" i="150"/>
  <c r="AA158" i="150"/>
  <c r="AG104" i="150"/>
  <c r="AF118" i="150"/>
  <c r="X133" i="150"/>
  <c r="AG155" i="150"/>
  <c r="V92" i="150"/>
  <c r="AH115" i="150"/>
  <c r="AC134" i="150"/>
  <c r="AJ82" i="150"/>
  <c r="AB95" i="150"/>
  <c r="AE95" i="150"/>
  <c r="V186" i="150"/>
  <c r="AI70" i="150"/>
  <c r="AC87" i="150"/>
  <c r="V126" i="150"/>
  <c r="AH61" i="150"/>
  <c r="AC71" i="150"/>
  <c r="AA124" i="150"/>
  <c r="Y73" i="150"/>
  <c r="W135" i="150"/>
  <c r="Y72" i="150"/>
  <c r="Y42" i="150"/>
  <c r="V52" i="150"/>
  <c r="Y41" i="150"/>
  <c r="AI31" i="150"/>
  <c r="AG38" i="150"/>
  <c r="AD38" i="150"/>
  <c r="AG25" i="150"/>
  <c r="AA24" i="150"/>
  <c r="AA18" i="150"/>
  <c r="X17" i="150"/>
  <c r="W189" i="150"/>
  <c r="V181" i="150"/>
  <c r="AB173" i="150"/>
  <c r="AD186" i="150"/>
  <c r="AA163" i="150"/>
  <c r="Y180" i="150"/>
  <c r="X158" i="150"/>
  <c r="AE141" i="150"/>
  <c r="AI177" i="150"/>
  <c r="AB141" i="150"/>
  <c r="V107" i="150"/>
  <c r="AG114" i="150"/>
  <c r="X126" i="150"/>
  <c r="X144" i="150"/>
  <c r="AJ108" i="150"/>
  <c r="AH99" i="150"/>
  <c r="AD130" i="150"/>
  <c r="AC182" i="150"/>
  <c r="AB90" i="150"/>
  <c r="AF102" i="150"/>
  <c r="AI116" i="150"/>
  <c r="AB62" i="150"/>
  <c r="AB78" i="150"/>
  <c r="AH109" i="150"/>
  <c r="V57" i="150"/>
  <c r="Z69" i="150"/>
  <c r="AJ67" i="150"/>
  <c r="AA69" i="150"/>
  <c r="AA101" i="150"/>
  <c r="AI105" i="150"/>
  <c r="AE100" i="150"/>
  <c r="X50" i="150"/>
  <c r="AF40" i="150"/>
  <c r="AF49" i="150"/>
  <c r="V44" i="150"/>
  <c r="AJ36" i="150"/>
  <c r="AE53" i="150"/>
  <c r="X30" i="150"/>
  <c r="AF23" i="150"/>
  <c r="X24" i="150"/>
  <c r="AA16" i="150"/>
  <c r="AB172" i="150"/>
  <c r="AH188" i="150"/>
  <c r="AF180" i="150"/>
  <c r="AH160" i="150"/>
  <c r="AG176" i="150"/>
  <c r="Y152" i="150"/>
  <c r="AC176" i="150"/>
  <c r="Z152" i="150"/>
  <c r="V141" i="150"/>
  <c r="AD158" i="150"/>
  <c r="AH114" i="150"/>
  <c r="AG124" i="150"/>
  <c r="AJ133" i="150"/>
  <c r="AD176" i="150"/>
  <c r="AB116" i="150"/>
  <c r="AI111" i="150"/>
  <c r="AE155" i="150"/>
  <c r="AC88" i="150"/>
  <c r="AF97" i="150"/>
  <c r="AG121" i="150"/>
  <c r="Y176" i="150"/>
  <c r="AF69" i="150"/>
  <c r="V93" i="150"/>
  <c r="Y147" i="150"/>
  <c r="AH64" i="150"/>
  <c r="AD76" i="150"/>
  <c r="AI86" i="150"/>
  <c r="Z92" i="150"/>
  <c r="W70" i="150"/>
  <c r="AE89" i="150"/>
  <c r="AC60" i="150"/>
  <c r="AA71" i="150"/>
  <c r="W48" i="150"/>
  <c r="Y34" i="150"/>
  <c r="W38" i="150"/>
  <c r="AH52" i="150"/>
  <c r="AE38" i="150"/>
  <c r="W35" i="150"/>
  <c r="AI21" i="150"/>
  <c r="AB27" i="150"/>
  <c r="AE16" i="150"/>
  <c r="AF179" i="150"/>
  <c r="AA172" i="150"/>
  <c r="X188" i="150"/>
  <c r="AA169" i="150"/>
  <c r="AC157" i="150"/>
  <c r="AE163" i="150"/>
  <c r="AJ149" i="150"/>
  <c r="AE172" i="150"/>
  <c r="AB150" i="150"/>
  <c r="V140" i="150"/>
  <c r="Z122" i="150"/>
  <c r="AG134" i="150"/>
  <c r="AB145" i="150"/>
  <c r="AB109" i="150"/>
  <c r="AF123" i="150"/>
  <c r="AE126" i="150"/>
  <c r="AD82" i="150"/>
  <c r="AC98" i="150"/>
  <c r="Y109" i="150"/>
  <c r="W140" i="150"/>
  <c r="AJ85" i="150"/>
  <c r="X77" i="150"/>
  <c r="AA115" i="150"/>
  <c r="W61" i="150"/>
  <c r="Z72" i="150"/>
  <c r="AC93" i="150"/>
  <c r="AE127" i="150"/>
  <c r="AJ136" i="150"/>
  <c r="W79" i="150"/>
  <c r="AA87" i="150"/>
  <c r="AA81" i="150"/>
  <c r="W117" i="150"/>
  <c r="AI55" i="150"/>
  <c r="AE42" i="150"/>
  <c r="AG55" i="150"/>
  <c r="AF34" i="150"/>
  <c r="Z34" i="150"/>
  <c r="AD49" i="150"/>
  <c r="Z25" i="150"/>
  <c r="AC27" i="150"/>
  <c r="AI19" i="150"/>
  <c r="X187" i="150"/>
  <c r="AE179" i="150"/>
  <c r="AD171" i="150"/>
  <c r="W184" i="150"/>
  <c r="AH167" i="150"/>
  <c r="AE188" i="150"/>
  <c r="AB158" i="150"/>
  <c r="Z147" i="150"/>
  <c r="W165" i="150"/>
  <c r="X149" i="150"/>
  <c r="AD129" i="150"/>
  <c r="AE150" i="150"/>
  <c r="AG186" i="150"/>
  <c r="AF116" i="150"/>
  <c r="X131" i="150"/>
  <c r="AA145" i="150"/>
  <c r="V90" i="150"/>
  <c r="AH111" i="150"/>
  <c r="Y129" i="150"/>
  <c r="AJ80" i="150"/>
  <c r="AB93" i="150"/>
  <c r="AE91" i="150"/>
  <c r="Z150" i="150"/>
  <c r="AI68" i="150"/>
  <c r="Y82" i="150"/>
  <c r="V118" i="150"/>
  <c r="AH59" i="150"/>
  <c r="AA80" i="150"/>
  <c r="AE96" i="150"/>
  <c r="AG67" i="150"/>
  <c r="W119" i="150"/>
  <c r="AG66" i="150"/>
  <c r="AE39" i="150"/>
  <c r="AI170" i="150"/>
  <c r="AH158" i="150"/>
  <c r="V170" i="150"/>
  <c r="Y184" i="150"/>
  <c r="AH132" i="150"/>
  <c r="Y106" i="150"/>
  <c r="AB134" i="150"/>
  <c r="Z93" i="150"/>
  <c r="AJ140" i="150"/>
  <c r="X96" i="150"/>
  <c r="AH165" i="150"/>
  <c r="Y90" i="150"/>
  <c r="AD62" i="150"/>
  <c r="W56" i="150"/>
  <c r="AC148" i="150"/>
  <c r="AC43" i="150"/>
  <c r="AC42" i="150"/>
  <c r="AA42" i="150"/>
  <c r="Y27" i="150"/>
  <c r="V19" i="150"/>
  <c r="AA190" i="150"/>
  <c r="X174" i="150"/>
  <c r="W164" i="150"/>
  <c r="AH159" i="150"/>
  <c r="AA183" i="150"/>
  <c r="Z108" i="150"/>
  <c r="AB127" i="150"/>
  <c r="AF109" i="150"/>
  <c r="V132" i="150"/>
  <c r="X91" i="150"/>
  <c r="AA122" i="150"/>
  <c r="AH80" i="150"/>
  <c r="Z58" i="150"/>
  <c r="AB69" i="150"/>
  <c r="AA104" i="150"/>
  <c r="AA89" i="150"/>
  <c r="AF76" i="150"/>
  <c r="AI53" i="150"/>
  <c r="AE40" i="150"/>
  <c r="AC50" i="150"/>
  <c r="Y29" i="150"/>
  <c r="Y51" i="150"/>
  <c r="AD45" i="150"/>
  <c r="AA28" i="150"/>
  <c r="AH24" i="150"/>
  <c r="AH19" i="150"/>
  <c r="X185" i="150"/>
  <c r="AE177" i="150"/>
  <c r="AD169" i="150"/>
  <c r="W180" i="150"/>
  <c r="AG164" i="150"/>
  <c r="AA179" i="150"/>
  <c r="W155" i="150"/>
  <c r="AG190" i="150"/>
  <c r="AF161" i="150"/>
  <c r="AI145" i="150"/>
  <c r="AD127" i="150"/>
  <c r="AF144" i="150"/>
  <c r="AB166" i="150"/>
  <c r="AF114" i="150"/>
  <c r="X129" i="150"/>
  <c r="AJ141" i="150"/>
  <c r="V88" i="150"/>
  <c r="AH107" i="150"/>
  <c r="AG123" i="150"/>
  <c r="AJ78" i="150"/>
  <c r="AB91" i="150"/>
  <c r="AE87" i="150"/>
  <c r="AG137" i="150"/>
  <c r="AI66" i="150"/>
  <c r="AD77" i="150"/>
  <c r="V110" i="150"/>
  <c r="AH57" i="150"/>
  <c r="W110" i="150"/>
  <c r="AG68" i="150"/>
  <c r="AC62" i="150"/>
  <c r="W103" i="150"/>
  <c r="AC61" i="150"/>
  <c r="AG37" i="150"/>
  <c r="V48" i="150"/>
  <c r="AA36" i="150"/>
  <c r="AC55" i="150"/>
  <c r="AC32" i="150"/>
  <c r="AD31" i="150"/>
  <c r="AJ21" i="150"/>
  <c r="AJ23" i="150"/>
  <c r="X18" i="150"/>
  <c r="W15" i="150"/>
  <c r="W185" i="150"/>
  <c r="V177" i="150"/>
  <c r="AB169" i="150"/>
  <c r="AD178" i="150"/>
  <c r="AA159" i="150"/>
  <c r="AA167" i="150"/>
  <c r="AD152" i="150"/>
  <c r="AE137" i="150"/>
  <c r="X161" i="150"/>
  <c r="V135" i="150"/>
  <c r="V103" i="150"/>
  <c r="AC109" i="150"/>
  <c r="X122" i="150"/>
  <c r="AB137" i="150"/>
  <c r="AJ104" i="150"/>
  <c r="AH95" i="150"/>
  <c r="AD122" i="150"/>
  <c r="X145" i="150"/>
  <c r="AB86" i="150"/>
  <c r="AF98" i="150"/>
  <c r="AA102" i="150"/>
  <c r="AB58" i="150"/>
  <c r="AA74" i="150"/>
  <c r="AG96" i="150"/>
  <c r="AC138" i="150"/>
  <c r="Z65" i="150"/>
  <c r="AJ59" i="150"/>
  <c r="AA61" i="150"/>
  <c r="AA85" i="150"/>
  <c r="W66" i="150"/>
  <c r="AE84" i="150"/>
  <c r="X46" i="150"/>
  <c r="AH55" i="150"/>
  <c r="AF45" i="150"/>
  <c r="Y36" i="150"/>
  <c r="X31" i="150"/>
  <c r="AE45" i="150"/>
  <c r="AB29" i="150"/>
  <c r="AD27" i="150"/>
  <c r="AE19" i="150"/>
  <c r="AJ17" i="150"/>
  <c r="AB168" i="150"/>
  <c r="AH184" i="150"/>
  <c r="AF176" i="150"/>
  <c r="AH156" i="150"/>
  <c r="AE166" i="150"/>
  <c r="AG146" i="150"/>
  <c r="V164" i="150"/>
  <c r="W145" i="150"/>
  <c r="V137" i="150"/>
  <c r="AB148" i="150"/>
  <c r="AH110" i="150"/>
  <c r="AC119" i="150"/>
  <c r="AJ129" i="150"/>
  <c r="Y155" i="150"/>
  <c r="AB112" i="150"/>
  <c r="AI103" i="150"/>
  <c r="AI141" i="150"/>
  <c r="Y83" i="150"/>
  <c r="AF93" i="150"/>
  <c r="Y111" i="150"/>
  <c r="AE131" i="150"/>
  <c r="AF65" i="150"/>
  <c r="V85" i="150"/>
  <c r="AD124" i="150"/>
  <c r="AH60" i="150"/>
  <c r="AD72" i="150"/>
  <c r="AF74" i="150"/>
  <c r="W76" i="150"/>
  <c r="AI122" i="150"/>
  <c r="AF64" i="150"/>
  <c r="AE125" i="150"/>
  <c r="AJ53" i="150"/>
  <c r="X44" i="150"/>
  <c r="X53" i="150"/>
  <c r="AE51" i="150"/>
  <c r="AJ44" i="150"/>
  <c r="V31" i="150"/>
  <c r="AB36" i="150"/>
  <c r="W27" i="150"/>
  <c r="AG22" i="150"/>
  <c r="AA15" i="150"/>
  <c r="AF175" i="150"/>
  <c r="AA168" i="150"/>
  <c r="X184" i="150"/>
  <c r="Z164" i="150"/>
  <c r="Y186" i="150"/>
  <c r="AI156" i="150"/>
  <c r="Y188" i="150"/>
  <c r="AE159" i="150"/>
  <c r="AH144" i="150"/>
  <c r="AG173" i="150"/>
  <c r="Z118" i="150"/>
  <c r="AC129" i="150"/>
  <c r="AF138" i="150"/>
  <c r="AB105" i="150"/>
  <c r="AF119" i="150"/>
  <c r="AE118" i="150"/>
  <c r="AD78" i="150"/>
  <c r="Y93" i="150"/>
  <c r="X101" i="150"/>
  <c r="Y131" i="150"/>
  <c r="AJ81" i="150"/>
  <c r="X73" i="150"/>
  <c r="AH100" i="150"/>
  <c r="W57" i="150"/>
  <c r="Z68" i="150"/>
  <c r="AG82" i="150"/>
  <c r="AE101" i="150"/>
  <c r="AE104" i="150"/>
  <c r="AH98" i="150"/>
  <c r="AH190" i="150"/>
  <c r="Z189" i="150"/>
  <c r="AB163" i="150"/>
  <c r="AJ163" i="150"/>
  <c r="AH128" i="150"/>
  <c r="Y175" i="150"/>
  <c r="AB130" i="150"/>
  <c r="Z89" i="150"/>
  <c r="AC126" i="150"/>
  <c r="X92" i="150"/>
  <c r="X141" i="150"/>
  <c r="AC79" i="150"/>
  <c r="AD58" i="150"/>
  <c r="AE80" i="150"/>
  <c r="AA112" i="150"/>
  <c r="AJ38" i="150"/>
  <c r="AC37" i="150"/>
  <c r="AJ30" i="150"/>
  <c r="AD22" i="150"/>
  <c r="AE20" i="150"/>
  <c r="AA186" i="150"/>
  <c r="X170" i="150"/>
  <c r="W160" i="150"/>
  <c r="AH153" i="150"/>
  <c r="Z163" i="150"/>
  <c r="Z104" i="150"/>
  <c r="AB123" i="150"/>
  <c r="AF105" i="150"/>
  <c r="V124" i="150"/>
  <c r="X87" i="150"/>
  <c r="AA106" i="150"/>
  <c r="W75" i="150"/>
  <c r="AI151" i="150"/>
  <c r="AB61" i="150"/>
  <c r="AI87" i="150"/>
  <c r="AC64" i="150"/>
  <c r="V95" i="150"/>
  <c r="AI49" i="150"/>
  <c r="AI35" i="150"/>
  <c r="AD41" i="150"/>
  <c r="AD55" i="150"/>
  <c r="V41" i="150"/>
  <c r="AA37" i="150"/>
  <c r="AG23" i="150"/>
  <c r="AE28" i="150"/>
  <c r="V18" i="150"/>
  <c r="X181" i="150"/>
  <c r="AE173" i="150"/>
  <c r="AJ189" i="150"/>
  <c r="W172" i="150"/>
  <c r="AC159" i="150"/>
  <c r="V166" i="150"/>
  <c r="AB151" i="150"/>
  <c r="AG181" i="150"/>
  <c r="AJ152" i="150"/>
  <c r="AH141" i="150"/>
  <c r="AD123" i="150"/>
  <c r="X137" i="150"/>
  <c r="W148" i="150"/>
  <c r="AF110" i="150"/>
  <c r="X125" i="150"/>
  <c r="AA129" i="150"/>
  <c r="V84" i="150"/>
  <c r="AC100" i="150"/>
  <c r="Y113" i="150"/>
  <c r="AG151" i="150"/>
  <c r="AB87" i="150"/>
  <c r="AE79" i="150"/>
  <c r="W122" i="150"/>
  <c r="AI62" i="150"/>
  <c r="AD73" i="150"/>
  <c r="AC97" i="150"/>
  <c r="AI181" i="150"/>
  <c r="AD180" i="150"/>
  <c r="AI98" i="150"/>
  <c r="AE117" i="150"/>
  <c r="W88" i="150"/>
  <c r="AG72" i="150"/>
  <c r="Z33" i="150"/>
  <c r="W44" i="150"/>
  <c r="AB32" i="150"/>
  <c r="AJ39" i="150"/>
  <c r="AE41" i="150"/>
  <c r="Z52" i="150"/>
  <c r="X22" i="150"/>
  <c r="AC21" i="150"/>
  <c r="AB19" i="150"/>
  <c r="AJ188" i="150"/>
  <c r="W181" i="150"/>
  <c r="V173" i="150"/>
  <c r="AI187" i="150"/>
  <c r="AD170" i="150"/>
  <c r="AA155" i="150"/>
  <c r="AJ160" i="150"/>
  <c r="AD148" i="150"/>
  <c r="Z175" i="150"/>
  <c r="AC152" i="150"/>
  <c r="V131" i="150"/>
  <c r="AD153" i="150"/>
  <c r="Y104" i="150"/>
  <c r="X118" i="150"/>
  <c r="AJ132" i="150"/>
  <c r="AE152" i="150"/>
  <c r="AH91" i="150"/>
  <c r="AD114" i="150"/>
  <c r="Y133" i="150"/>
  <c r="AB82" i="150"/>
  <c r="AF94" i="150"/>
  <c r="AA94" i="150"/>
  <c r="X166" i="150"/>
  <c r="AA70" i="150"/>
  <c r="Y86" i="150"/>
  <c r="AH121" i="150"/>
  <c r="Z61" i="150"/>
  <c r="AG64" i="150"/>
  <c r="W115" i="150"/>
  <c r="AG71" i="150"/>
  <c r="AI130" i="150"/>
  <c r="AG70" i="150"/>
  <c r="AC41" i="150"/>
  <c r="AH51" i="150"/>
  <c r="AC40" i="150"/>
  <c r="Y31" i="150"/>
  <c r="AH37" i="150"/>
  <c r="AB37" i="150"/>
  <c r="Y25" i="150"/>
  <c r="AE23" i="150"/>
  <c r="AG20" i="150"/>
  <c r="AJ16" i="150"/>
  <c r="AI188" i="150"/>
  <c r="AH180" i="150"/>
  <c r="AF172" i="150"/>
  <c r="Z185" i="150"/>
  <c r="AE162" i="150"/>
  <c r="Z179" i="150"/>
  <c r="Z157" i="150"/>
  <c r="W141" i="150"/>
  <c r="Y173" i="150"/>
  <c r="AE140" i="150"/>
  <c r="AH106" i="150"/>
  <c r="Y114" i="150"/>
  <c r="AJ125" i="150"/>
  <c r="AA143" i="150"/>
  <c r="AB108" i="150"/>
  <c r="Z99" i="150"/>
  <c r="Z129" i="150"/>
  <c r="Y172" i="150"/>
  <c r="AF89" i="150"/>
  <c r="X102" i="150"/>
  <c r="AE115" i="150"/>
  <c r="AF61" i="150"/>
  <c r="AE77" i="150"/>
  <c r="AD108" i="150"/>
  <c r="AH56" i="150"/>
  <c r="AD68" i="150"/>
  <c r="AF66" i="150"/>
  <c r="W68" i="150"/>
  <c r="W100" i="150"/>
  <c r="AD97" i="150"/>
  <c r="AA99" i="150"/>
  <c r="AJ49" i="150"/>
  <c r="X40" i="150"/>
  <c r="X49" i="150"/>
  <c r="AH43" i="150"/>
  <c r="X36" i="150"/>
  <c r="AA52" i="150"/>
  <c r="W30" i="150"/>
  <c r="X23" i="150"/>
  <c r="AE24" i="150"/>
  <c r="X15" i="150"/>
  <c r="AF171" i="150"/>
  <c r="Z188" i="150"/>
  <c r="X180" i="150"/>
  <c r="Z160" i="150"/>
  <c r="AC175" i="150"/>
  <c r="AC151" i="150"/>
  <c r="AA175" i="150"/>
  <c r="AA151" i="150"/>
  <c r="AH140" i="150"/>
  <c r="Y157" i="150"/>
  <c r="Z114" i="150"/>
  <c r="Y124" i="150"/>
  <c r="AB133" i="150"/>
  <c r="W174" i="150"/>
  <c r="AF115" i="150"/>
  <c r="AE110" i="150"/>
  <c r="AB152" i="150"/>
  <c r="AG87" i="150"/>
  <c r="X97" i="150"/>
  <c r="AC120" i="150"/>
  <c r="AB157" i="150"/>
  <c r="X69" i="150"/>
  <c r="AH92" i="150"/>
  <c r="AA139" i="150"/>
  <c r="Z64" i="150"/>
  <c r="V76" i="150"/>
  <c r="AE85" i="150"/>
  <c r="V91" i="150"/>
  <c r="AA67" i="150"/>
  <c r="AE81" i="150"/>
  <c r="Y59" i="150"/>
  <c r="AE64" i="150"/>
  <c r="AI47" i="150"/>
  <c r="AF33" i="150"/>
  <c r="V37" i="150"/>
  <c r="AD51" i="150"/>
  <c r="AD37" i="150"/>
  <c r="AB34" i="150"/>
  <c r="W26" i="150"/>
  <c r="AF26" i="150"/>
  <c r="W16" i="150"/>
  <c r="X179" i="150"/>
  <c r="AE171" i="150"/>
  <c r="AJ187" i="150"/>
  <c r="W168" i="150"/>
  <c r="AG156" i="150"/>
  <c r="AF162" i="150"/>
  <c r="AB149" i="150"/>
  <c r="Z171" i="150"/>
  <c r="AE149" i="150"/>
  <c r="AH139" i="150"/>
  <c r="AD121" i="150"/>
  <c r="Y134" i="150"/>
  <c r="AE144" i="150"/>
  <c r="AF108" i="150"/>
  <c r="X123" i="150"/>
  <c r="AA125" i="150"/>
  <c r="V82" i="150"/>
  <c r="AG97" i="150"/>
  <c r="AG107" i="150"/>
  <c r="Y139" i="150"/>
  <c r="AB85" i="150"/>
  <c r="AJ76" i="150"/>
  <c r="W114" i="150"/>
  <c r="AI60" i="150"/>
  <c r="AD71" i="150"/>
  <c r="Y92" i="150"/>
  <c r="W125" i="150"/>
  <c r="W134" i="150"/>
  <c r="AJ69" i="150"/>
  <c r="W86" i="150"/>
  <c r="W80" i="150"/>
  <c r="AE97" i="150"/>
  <c r="AA55" i="150"/>
  <c r="W42" i="150"/>
  <c r="AC54" i="150"/>
  <c r="V32" i="150"/>
  <c r="Y55" i="150"/>
  <c r="Z48" i="150"/>
  <c r="AI23" i="150"/>
  <c r="AG26" i="150"/>
  <c r="AF18" i="150"/>
  <c r="AJ190" i="150"/>
  <c r="W183" i="150"/>
  <c r="V175" i="150"/>
  <c r="AB167" i="150"/>
  <c r="AD174" i="150"/>
  <c r="AA157" i="150"/>
  <c r="AA164" i="150"/>
  <c r="AD150" i="150"/>
  <c r="AH185" i="150"/>
  <c r="AG157" i="150"/>
  <c r="V133" i="150"/>
  <c r="AB165" i="150"/>
  <c r="AG106" i="150"/>
  <c r="X120" i="150"/>
  <c r="AJ134" i="150"/>
  <c r="Z183" i="150"/>
  <c r="AH93" i="150"/>
  <c r="AD118" i="150"/>
  <c r="AG141" i="150"/>
  <c r="AB84" i="150"/>
  <c r="AF96" i="150"/>
  <c r="AA98" i="150"/>
  <c r="AB56" i="150"/>
  <c r="AA72" i="150"/>
  <c r="AC91" i="150"/>
  <c r="AH129" i="150"/>
  <c r="Z63" i="150"/>
  <c r="W102" i="150"/>
  <c r="AA57" i="150"/>
  <c r="Y77" i="150"/>
  <c r="W58" i="150"/>
  <c r="Y76" i="150"/>
  <c r="Y44" i="150"/>
  <c r="AH53" i="150"/>
  <c r="Y43" i="150"/>
  <c r="AC33" i="150"/>
  <c r="AE43" i="150"/>
  <c r="AH41" i="150"/>
  <c r="AG27" i="150"/>
  <c r="AF190" i="150"/>
  <c r="AF160" i="150"/>
  <c r="AH108" i="150"/>
  <c r="AB110" i="150"/>
  <c r="AF91" i="150"/>
  <c r="V81" i="150"/>
  <c r="AF70" i="150"/>
  <c r="AE109" i="150"/>
  <c r="AE47" i="150"/>
  <c r="W25" i="150"/>
  <c r="Z190" i="150"/>
  <c r="Y154" i="150"/>
  <c r="X164" i="150"/>
  <c r="AB103" i="150"/>
  <c r="AC90" i="150"/>
  <c r="X71" i="150"/>
  <c r="W78" i="150"/>
  <c r="AI128" i="150"/>
  <c r="AB55" i="150"/>
  <c r="AJ54" i="150"/>
  <c r="AD47" i="150"/>
  <c r="AC53" i="150"/>
  <c r="AG24" i="150"/>
  <c r="X177" i="150"/>
  <c r="AJ185" i="150"/>
  <c r="Y190" i="150"/>
  <c r="AB147" i="150"/>
  <c r="Z146" i="150"/>
  <c r="AD119" i="150"/>
  <c r="Y141" i="150"/>
  <c r="X121" i="150"/>
  <c r="V80" i="150"/>
  <c r="AJ102" i="150"/>
  <c r="AB83" i="150"/>
  <c r="W106" i="150"/>
  <c r="AD69" i="150"/>
  <c r="W109" i="150"/>
  <c r="AJ57" i="150"/>
  <c r="AG73" i="150"/>
  <c r="AA53" i="150"/>
  <c r="Y49" i="150"/>
  <c r="AG49" i="150"/>
  <c r="AF27" i="150"/>
  <c r="Z19" i="150"/>
  <c r="W177" i="150"/>
  <c r="AI179" i="150"/>
  <c r="AG178" i="150"/>
  <c r="AA187" i="150"/>
  <c r="Z145" i="150"/>
  <c r="AI143" i="150"/>
  <c r="X114" i="150"/>
  <c r="W136" i="150"/>
  <c r="AD106" i="150"/>
  <c r="Y185" i="150"/>
  <c r="AA86" i="150"/>
  <c r="AA66" i="150"/>
  <c r="AH105" i="150"/>
  <c r="Z96" i="150"/>
  <c r="Y61" i="150"/>
  <c r="Y60" i="150"/>
  <c r="AH47" i="150"/>
  <c r="Y54" i="150"/>
  <c r="AH30" i="150"/>
  <c r="AF22" i="150"/>
  <c r="AG16" i="150"/>
  <c r="AH176" i="150"/>
  <c r="Z177" i="150"/>
  <c r="AI166" i="150"/>
  <c r="W137" i="150"/>
  <c r="AH134" i="150"/>
  <c r="AG108" i="150"/>
  <c r="AE136" i="150"/>
  <c r="Z95" i="150"/>
  <c r="Y144" i="150"/>
  <c r="X98" i="150"/>
  <c r="AF57" i="150"/>
  <c r="AC95" i="150"/>
  <c r="AD64" i="150"/>
  <c r="W60" i="150"/>
  <c r="AA63" i="150"/>
  <c r="AJ45" i="150"/>
  <c r="X45" i="150"/>
  <c r="Z29" i="150"/>
  <c r="AA32" i="150"/>
  <c r="W19" i="150"/>
  <c r="AF167" i="150"/>
  <c r="X176" i="150"/>
  <c r="W166" i="150"/>
  <c r="Y163" i="150"/>
  <c r="AH136" i="150"/>
  <c r="Z110" i="150"/>
  <c r="AB129" i="150"/>
  <c r="AF111" i="150"/>
  <c r="V136" i="150"/>
  <c r="X93" i="150"/>
  <c r="AA130" i="150"/>
  <c r="AH84" i="150"/>
  <c r="Z60" i="150"/>
  <c r="AB73" i="150"/>
  <c r="AA120" i="150"/>
  <c r="AE121" i="150"/>
  <c r="AB49" i="150"/>
  <c r="Z38" i="150"/>
  <c r="AJ34" i="150"/>
  <c r="AI30" i="150"/>
  <c r="V24" i="150"/>
  <c r="AJ20" i="150"/>
  <c r="X183" i="150"/>
  <c r="AD183" i="150"/>
  <c r="AD163" i="150"/>
  <c r="AI161" i="150"/>
  <c r="AG174" i="150"/>
  <c r="AB156" i="150"/>
  <c r="AF145" i="150"/>
  <c r="AG128" i="150"/>
  <c r="AF124" i="150"/>
  <c r="X115" i="150"/>
  <c r="V86" i="150"/>
  <c r="AG81" i="150"/>
  <c r="AG129" i="150"/>
  <c r="W113" i="150"/>
  <c r="AD91" i="150"/>
  <c r="AD75" i="150"/>
  <c r="AH71" i="150"/>
  <c r="AH102" i="150"/>
  <c r="AE94" i="150"/>
  <c r="AG57" i="150"/>
  <c r="AC35" i="150"/>
  <c r="X33" i="150"/>
  <c r="Z41" i="150"/>
  <c r="AC49" i="150"/>
  <c r="Y30" i="150"/>
  <c r="AB22" i="150"/>
  <c r="Y20" i="150"/>
  <c r="AJ182" i="150"/>
  <c r="W167" i="150"/>
  <c r="AB171" i="150"/>
  <c r="AC161" i="150"/>
  <c r="X155" i="150"/>
  <c r="AD154" i="150"/>
  <c r="AE154" i="150"/>
  <c r="AF166" i="150"/>
  <c r="V105" i="150"/>
  <c r="V151" i="150"/>
  <c r="X104" i="150"/>
  <c r="AJ106" i="150"/>
  <c r="AH85" i="150"/>
  <c r="AG91" i="150"/>
  <c r="AB88" i="150"/>
  <c r="AF88" i="150"/>
  <c r="AB72" i="150"/>
  <c r="AA76" i="150"/>
  <c r="V75" i="150"/>
  <c r="Y80" i="150"/>
  <c r="AJ63" i="150"/>
  <c r="AE119" i="150"/>
  <c r="AC164" i="150"/>
  <c r="AE92" i="150"/>
  <c r="AI34" i="150"/>
  <c r="W37" i="150"/>
  <c r="V40" i="150"/>
  <c r="Y48" i="150"/>
  <c r="AF39" i="150"/>
  <c r="AD26" i="150"/>
  <c r="AJ25" i="150"/>
  <c r="AB15" i="150"/>
  <c r="AF186" i="150"/>
  <c r="V154" i="150"/>
  <c r="AH104" i="150"/>
  <c r="AB106" i="150"/>
  <c r="AF87" i="150"/>
  <c r="AE75" i="150"/>
  <c r="AF62" i="150"/>
  <c r="AA91" i="150"/>
  <c r="Y39" i="150"/>
  <c r="Z21" i="150"/>
  <c r="Z186" i="150"/>
  <c r="AG148" i="150"/>
  <c r="X151" i="150"/>
  <c r="V162" i="150"/>
  <c r="Y85" i="150"/>
  <c r="X67" i="150"/>
  <c r="V74" i="150"/>
  <c r="X70" i="150"/>
  <c r="AB51" i="150"/>
  <c r="AJ50" i="150"/>
  <c r="X39" i="150"/>
  <c r="AC29" i="150"/>
  <c r="AE26" i="150"/>
  <c r="X173" i="150"/>
  <c r="AJ181" i="150"/>
  <c r="AC179" i="150"/>
  <c r="V178" i="150"/>
  <c r="Z142" i="150"/>
  <c r="AD115" i="150"/>
  <c r="AF134" i="150"/>
  <c r="X117" i="150"/>
  <c r="AI162" i="150"/>
  <c r="AJ98" i="150"/>
  <c r="AB79" i="150"/>
  <c r="AD95" i="150"/>
  <c r="AD65" i="150"/>
  <c r="AA92" i="150"/>
  <c r="AI73" i="150"/>
  <c r="Y63" i="150"/>
  <c r="AA49" i="150"/>
  <c r="Z40" i="150"/>
  <c r="AH40" i="150"/>
  <c r="Y23" i="150"/>
  <c r="AI17" i="150"/>
  <c r="W173" i="150"/>
  <c r="AI171" i="150"/>
  <c r="Y165" i="150"/>
  <c r="AG175" i="150"/>
  <c r="Z141" i="150"/>
  <c r="Y136" i="150"/>
  <c r="X110" i="150"/>
  <c r="W128" i="150"/>
  <c r="AG99" i="150"/>
  <c r="AJ148" i="150"/>
  <c r="AC78" i="150"/>
  <c r="AA62" i="150"/>
  <c r="Y96" i="150"/>
  <c r="AG145" i="150"/>
  <c r="AI97" i="150"/>
  <c r="Y66" i="150"/>
  <c r="AI43" i="150"/>
  <c r="V36" i="150"/>
  <c r="V51" i="150"/>
  <c r="AF28" i="150"/>
  <c r="AB188" i="150"/>
  <c r="AH172" i="150"/>
  <c r="Z169" i="150"/>
  <c r="V160" i="150"/>
  <c r="AD172" i="150"/>
  <c r="AH130" i="150"/>
  <c r="AC103" i="150"/>
  <c r="AB132" i="150"/>
  <c r="Z91" i="150"/>
  <c r="AG131" i="150"/>
  <c r="X94" i="150"/>
  <c r="AB161" i="150"/>
  <c r="AG84" i="150"/>
  <c r="AD60" i="150"/>
  <c r="AI110" i="150"/>
  <c r="AA128" i="150"/>
  <c r="AG40" i="150"/>
  <c r="AI39" i="150"/>
  <c r="AH36" i="150"/>
  <c r="AD24" i="150"/>
  <c r="AH18" i="150"/>
  <c r="AA188" i="150"/>
  <c r="X172" i="150"/>
  <c r="W162" i="150"/>
  <c r="AC156" i="150"/>
  <c r="AC170" i="150"/>
  <c r="Z106" i="150"/>
  <c r="AB125" i="150"/>
  <c r="AF107" i="150"/>
  <c r="V128" i="150"/>
  <c r="X89" i="150"/>
  <c r="AA114" i="150"/>
  <c r="W77" i="150"/>
  <c r="Z56" i="150"/>
  <c r="AB65" i="150"/>
  <c r="AI95" i="150"/>
  <c r="AG69" i="150"/>
  <c r="AB45" i="150"/>
  <c r="AJ52" i="150"/>
  <c r="V30" i="150"/>
  <c r="W51" i="150"/>
  <c r="AB26" i="150"/>
  <c r="AJ18" i="150"/>
  <c r="X175" i="150"/>
  <c r="AD179" i="150"/>
  <c r="AD159" i="150"/>
  <c r="W170" i="150"/>
  <c r="AB162" i="150"/>
  <c r="Z144" i="150"/>
  <c r="AJ138" i="150"/>
  <c r="AC123" i="150"/>
  <c r="AF112" i="150"/>
  <c r="X111" i="150"/>
  <c r="V78" i="150"/>
  <c r="AJ157" i="150"/>
  <c r="Y119" i="150"/>
  <c r="AE83" i="150"/>
  <c r="AD83" i="150"/>
  <c r="AD67" i="150"/>
  <c r="AH67" i="150"/>
  <c r="AH86" i="150"/>
  <c r="Y57" i="150"/>
  <c r="AI118" i="150"/>
  <c r="AA51" i="150"/>
  <c r="AB52" i="150"/>
  <c r="AI29" i="150"/>
  <c r="AH44" i="150"/>
  <c r="AG33" i="150"/>
  <c r="AA22" i="150"/>
  <c r="AG19" i="150"/>
  <c r="AJ178" i="150"/>
  <c r="V183" i="150"/>
  <c r="AI183" i="150"/>
  <c r="Y156" i="150"/>
  <c r="AC189" i="150"/>
  <c r="AD146" i="150"/>
  <c r="AH148" i="150"/>
  <c r="AG144" i="150"/>
  <c r="Z148" i="150"/>
  <c r="AG143" i="150"/>
  <c r="Y149" i="150"/>
  <c r="AC144" i="150"/>
  <c r="AH81" i="150"/>
  <c r="Y81" i="150"/>
  <c r="AB80" i="150"/>
  <c r="AF84" i="150"/>
  <c r="AB64" i="150"/>
  <c r="AA68" i="150"/>
  <c r="V71" i="150"/>
  <c r="Z71" i="150"/>
  <c r="AB75" i="150"/>
  <c r="AJ65" i="150"/>
  <c r="X58" i="150"/>
  <c r="AC65" i="150"/>
  <c r="AE54" i="150"/>
  <c r="AF51" i="150"/>
  <c r="AA29" i="150"/>
  <c r="AG53" i="150"/>
  <c r="AD29" i="150"/>
  <c r="AE25" i="150"/>
  <c r="W21" i="150"/>
  <c r="AF17" i="150"/>
  <c r="AF182" i="150"/>
  <c r="V150" i="150"/>
  <c r="AI160" i="150"/>
  <c r="AC177" i="150"/>
  <c r="AF83" i="150"/>
  <c r="AE71" i="150"/>
  <c r="AI81" i="150"/>
  <c r="AG74" i="150"/>
  <c r="AI32" i="150"/>
  <c r="V25" i="150"/>
  <c r="Z182" i="150"/>
  <c r="AG187" i="150"/>
  <c r="X143" i="150"/>
  <c r="AB146" i="150"/>
  <c r="AG79" i="150"/>
  <c r="X63" i="150"/>
  <c r="V70" i="150"/>
  <c r="W126" i="150"/>
  <c r="AB47" i="150"/>
  <c r="AJ46" i="150"/>
  <c r="W32" i="150"/>
  <c r="AJ29" i="150"/>
  <c r="AI20" i="150"/>
  <c r="X169" i="150"/>
  <c r="AJ177" i="150"/>
  <c r="AG168" i="150"/>
  <c r="AG165" i="150"/>
  <c r="Z138" i="150"/>
  <c r="AD111" i="150"/>
  <c r="AF130" i="150"/>
  <c r="X113" i="150"/>
  <c r="AC143" i="150"/>
  <c r="AJ94" i="150"/>
  <c r="AI139" i="150"/>
  <c r="AD87" i="150"/>
  <c r="AD61" i="150"/>
  <c r="X76" i="150"/>
  <c r="AE129" i="150"/>
  <c r="AI134" i="150"/>
  <c r="AA45" i="150"/>
  <c r="W53" i="150"/>
  <c r="AE32" i="150"/>
  <c r="Z28" i="150"/>
  <c r="V16" i="150"/>
  <c r="W169" i="150"/>
  <c r="V165" i="150"/>
  <c r="AC158" i="150"/>
  <c r="AA162" i="150"/>
  <c r="Z137" i="150"/>
  <c r="AG130" i="150"/>
  <c r="X106" i="150"/>
  <c r="W120" i="150"/>
  <c r="AC94" i="150"/>
  <c r="AG133" i="150"/>
  <c r="AB74" i="150"/>
  <c r="AA58" i="150"/>
  <c r="AC85" i="150"/>
  <c r="AI113" i="150"/>
  <c r="Y62" i="150"/>
  <c r="AB71" i="150"/>
  <c r="AC39" i="150"/>
  <c r="Y52" i="150"/>
  <c r="X43" i="150"/>
  <c r="AD23" i="150"/>
  <c r="AB184" i="150"/>
  <c r="AH168" i="150"/>
  <c r="AC163" i="150"/>
  <c r="X154" i="150"/>
  <c r="AI158" i="150"/>
  <c r="AH126" i="150"/>
  <c r="X159" i="150"/>
  <c r="AB128" i="150"/>
  <c r="Z87" i="150"/>
  <c r="Y121" i="150"/>
  <c r="X90" i="150"/>
  <c r="AE132" i="150"/>
  <c r="AH76" i="150"/>
  <c r="AD56" i="150"/>
  <c r="W149" i="150"/>
  <c r="AE98" i="150"/>
  <c r="AE36" i="150"/>
  <c r="Y35" i="150"/>
  <c r="AG30" i="150"/>
  <c r="AA21" i="150"/>
  <c r="AH20" i="150"/>
  <c r="AA184" i="150"/>
  <c r="X168" i="150"/>
  <c r="W158" i="150"/>
  <c r="AH151" i="150"/>
  <c r="AJ159" i="150"/>
  <c r="AC173" i="150"/>
  <c r="AB121" i="150"/>
  <c r="AF103" i="150"/>
  <c r="V120" i="150"/>
  <c r="X85" i="150"/>
  <c r="AI100" i="150"/>
  <c r="W73" i="150"/>
  <c r="Z135" i="150"/>
  <c r="AB57" i="150"/>
  <c r="AI79" i="150"/>
  <c r="W123" i="150"/>
  <c r="Y40" i="150"/>
  <c r="AJ48" i="150"/>
  <c r="AA44" i="150"/>
  <c r="Z43" i="150"/>
  <c r="AI26" i="150"/>
  <c r="AF20" i="150"/>
  <c r="X171" i="150"/>
  <c r="AD167" i="150"/>
  <c r="AD155" i="150"/>
  <c r="AJ155" i="150"/>
  <c r="AF155" i="150"/>
  <c r="Z140" i="150"/>
  <c r="AD125" i="150"/>
  <c r="Y118" i="150"/>
  <c r="AF104" i="150"/>
  <c r="X107" i="150"/>
  <c r="AD149" i="150"/>
  <c r="AC118" i="150"/>
  <c r="AC108" i="150"/>
  <c r="AJ72" i="150"/>
  <c r="AI76" i="150"/>
  <c r="AD63" i="150"/>
  <c r="X163" i="150"/>
  <c r="AE74" i="150"/>
  <c r="AG56" i="150"/>
  <c r="AI93" i="150"/>
  <c r="AA47" i="150"/>
  <c r="AB48" i="150"/>
  <c r="AG48" i="150"/>
  <c r="AG36" i="150"/>
  <c r="AE30" i="150"/>
  <c r="AH27" i="150"/>
  <c r="AJ15" i="150"/>
  <c r="AJ174" i="150"/>
  <c r="V179" i="150"/>
  <c r="AI175" i="150"/>
  <c r="AC183" i="150"/>
  <c r="AE176" i="150"/>
  <c r="V190" i="150"/>
  <c r="AD143" i="150"/>
  <c r="W138" i="150"/>
  <c r="AF139" i="150"/>
  <c r="X136" i="150"/>
  <c r="AG140" i="150"/>
  <c r="W132" i="150"/>
  <c r="AC188" i="150"/>
  <c r="AB155" i="150"/>
  <c r="Y161" i="150"/>
  <c r="AF80" i="150"/>
  <c r="AB60" i="150"/>
  <c r="AA64" i="150"/>
  <c r="V67" i="150"/>
  <c r="Z67" i="150"/>
  <c r="AI65" i="150"/>
  <c r="AH82" i="150"/>
  <c r="AI77" i="150"/>
  <c r="AA95" i="150"/>
  <c r="AE50" i="150"/>
  <c r="AF47" i="150"/>
  <c r="AC47" i="150"/>
  <c r="AD43" i="150"/>
  <c r="X34" i="150"/>
  <c r="AH21" i="150"/>
  <c r="AF19" i="150"/>
  <c r="AE15" i="150"/>
  <c r="AF178" i="150"/>
  <c r="V146" i="150"/>
  <c r="AF147" i="150"/>
  <c r="AF143" i="150"/>
  <c r="AF79" i="150"/>
  <c r="AE67" i="150"/>
  <c r="AB63" i="150"/>
  <c r="Y64" i="150"/>
  <c r="AC30" i="150"/>
  <c r="Y21" i="150"/>
  <c r="Z178" i="150"/>
  <c r="Y169" i="150"/>
  <c r="AB136" i="150"/>
  <c r="X139" i="150"/>
  <c r="AA149" i="150"/>
  <c r="X59" i="150"/>
  <c r="V66" i="150"/>
  <c r="W74" i="150"/>
  <c r="AG42" i="150"/>
  <c r="AG41" i="150"/>
  <c r="W41" i="150"/>
  <c r="AC26" i="150"/>
  <c r="AI18" i="150"/>
  <c r="AE189" i="150"/>
  <c r="AJ173" i="150"/>
  <c r="AI163" i="150"/>
  <c r="W159" i="150"/>
  <c r="AE180" i="150"/>
  <c r="AD107" i="150"/>
  <c r="AF126" i="150"/>
  <c r="X109" i="150"/>
  <c r="AH131" i="150"/>
  <c r="AJ90" i="150"/>
  <c r="W121" i="150"/>
  <c r="AD79" i="150"/>
  <c r="AD57" i="150"/>
  <c r="X68" i="150"/>
  <c r="AE102" i="150"/>
  <c r="AI101" i="150"/>
  <c r="AB41" i="150"/>
  <c r="W45" i="150"/>
  <c r="AI54" i="150"/>
  <c r="AB24" i="150"/>
  <c r="AE17" i="150"/>
  <c r="V189" i="150"/>
  <c r="V161" i="150"/>
  <c r="AG152" i="150"/>
  <c r="W153" i="150"/>
  <c r="AG159" i="150"/>
  <c r="AC125" i="150"/>
  <c r="Y179" i="150"/>
  <c r="W112" i="150"/>
  <c r="Y89" i="150"/>
  <c r="Y123" i="150"/>
  <c r="AB70" i="150"/>
  <c r="W150" i="150"/>
  <c r="Z77" i="150"/>
  <c r="AD93" i="150"/>
  <c r="AA96" i="150"/>
  <c r="X78" i="150"/>
  <c r="AG34" i="150"/>
  <c r="V53" i="150"/>
  <c r="AJ35" i="150"/>
  <c r="AJ27" i="150"/>
  <c r="AB180" i="150"/>
  <c r="AF188" i="150"/>
  <c r="Y158" i="150"/>
  <c r="X150" i="150"/>
  <c r="Y151" i="150"/>
  <c r="AH122" i="150"/>
  <c r="AJ146" i="150"/>
  <c r="AB124" i="150"/>
  <c r="Z83" i="150"/>
  <c r="AC110" i="150"/>
  <c r="X86" i="150"/>
  <c r="AE116" i="150"/>
  <c r="AH72" i="150"/>
  <c r="AA134" i="150"/>
  <c r="AI82" i="150"/>
  <c r="AE82" i="150"/>
  <c r="X32" i="150"/>
  <c r="Z31" i="150"/>
  <c r="AH35" i="150"/>
  <c r="V26" i="150"/>
  <c r="W20" i="150"/>
  <c r="AA180" i="150"/>
  <c r="AA185" i="150"/>
  <c r="AG189" i="150"/>
  <c r="AH147" i="150"/>
  <c r="AI150" i="150"/>
  <c r="W151" i="150"/>
  <c r="AB117" i="150"/>
  <c r="AI146" i="150"/>
  <c r="V112" i="150"/>
  <c r="X81" i="150"/>
  <c r="AI92" i="150"/>
  <c r="W69" i="150"/>
  <c r="Z119" i="150"/>
  <c r="AA88" i="150"/>
  <c r="Y69" i="150"/>
  <c r="W98" i="150"/>
  <c r="AI51" i="150"/>
  <c r="AC44" i="150"/>
  <c r="AF43" i="150"/>
  <c r="X35" i="150"/>
  <c r="AJ22" i="150"/>
  <c r="AC20" i="150"/>
  <c r="X167" i="150"/>
  <c r="AJ183" i="150"/>
  <c r="AH183" i="150"/>
  <c r="AG150" i="150"/>
  <c r="AH181" i="150"/>
  <c r="Z136" i="150"/>
  <c r="AD117" i="150"/>
  <c r="AG112" i="150"/>
  <c r="AG169" i="150"/>
  <c r="AA133" i="150"/>
  <c r="AH135" i="150"/>
  <c r="AJ100" i="150"/>
  <c r="AB101" i="150"/>
  <c r="AJ68" i="150"/>
  <c r="AI64" i="150"/>
  <c r="AD59" i="150"/>
  <c r="AA100" i="150"/>
  <c r="AE66" i="150"/>
  <c r="AJ77" i="150"/>
  <c r="Y56" i="150"/>
  <c r="AB43" i="150"/>
  <c r="AF38" i="150"/>
  <c r="AI42" i="150"/>
  <c r="AA30" i="150"/>
  <c r="AH23" i="150"/>
  <c r="Z22" i="150"/>
  <c r="AH15" i="150"/>
  <c r="AJ166" i="150"/>
  <c r="V171" i="150"/>
  <c r="AI167" i="150"/>
  <c r="AA165" i="150"/>
  <c r="AE157" i="150"/>
  <c r="AI169" i="150"/>
  <c r="Y189" i="150"/>
  <c r="V129" i="150"/>
  <c r="AC133" i="150"/>
  <c r="X128" i="150"/>
  <c r="AJ130" i="150"/>
  <c r="W124" i="150"/>
  <c r="AD134" i="150"/>
  <c r="AG127" i="150"/>
  <c r="AB138" i="150"/>
  <c r="AI124" i="150"/>
  <c r="AA147" i="150"/>
  <c r="AA60" i="150"/>
  <c r="V59" i="150"/>
  <c r="Z59" i="150"/>
  <c r="AI129" i="150"/>
  <c r="W111" i="150"/>
  <c r="AI114" i="150"/>
  <c r="W87" i="150"/>
  <c r="AF42" i="150"/>
  <c r="X38" i="150"/>
  <c r="AF31" i="150"/>
  <c r="AF29" i="150"/>
  <c r="AA31" i="150"/>
  <c r="AD25" i="150"/>
  <c r="AD19" i="150"/>
  <c r="Y17" i="150"/>
  <c r="W186" i="150"/>
  <c r="Z133" i="150"/>
  <c r="AH58" i="150"/>
  <c r="X42" i="150"/>
  <c r="AB16" i="150"/>
  <c r="AI154" i="150"/>
  <c r="AE114" i="150"/>
  <c r="AC185" i="150"/>
  <c r="AA137" i="150"/>
  <c r="AA54" i="150"/>
  <c r="AH28" i="150"/>
  <c r="AE169" i="150"/>
  <c r="Z159" i="150"/>
  <c r="AH137" i="150"/>
  <c r="AF106" i="150"/>
  <c r="Y95" i="150"/>
  <c r="AJ74" i="150"/>
  <c r="AG86" i="150"/>
  <c r="AC67" i="150"/>
  <c r="W40" i="150"/>
  <c r="AB44" i="150"/>
  <c r="AJ184" i="150"/>
  <c r="Y164" i="150"/>
  <c r="AB159" i="150"/>
  <c r="AD160" i="150"/>
  <c r="AH87" i="150"/>
  <c r="AF90" i="150"/>
  <c r="V77" i="150"/>
  <c r="AG60" i="150"/>
  <c r="Y37" i="150"/>
  <c r="AC31" i="150"/>
  <c r="Y19" i="150"/>
  <c r="AF168" i="150"/>
  <c r="V152" i="150"/>
  <c r="AI189" i="150"/>
  <c r="AB104" i="150"/>
  <c r="AF85" i="150"/>
  <c r="AE73" i="150"/>
  <c r="AF58" i="150"/>
  <c r="AA83" i="150"/>
  <c r="AE35" i="150"/>
  <c r="V27" i="150"/>
  <c r="Z184" i="150"/>
  <c r="Y146" i="150"/>
  <c r="AG147" i="150"/>
  <c r="AB154" i="150"/>
  <c r="AC82" i="150"/>
  <c r="X65" i="150"/>
  <c r="V72" i="150"/>
  <c r="Y58" i="150"/>
  <c r="AJ43" i="150"/>
  <c r="AD35" i="150"/>
  <c r="AH26" i="150"/>
  <c r="AE187" i="150"/>
  <c r="Y162" i="150"/>
  <c r="AJ158" i="150"/>
  <c r="AD113" i="150"/>
  <c r="AE151" i="150"/>
  <c r="AH127" i="150"/>
  <c r="AB89" i="150"/>
  <c r="AI56" i="150"/>
  <c r="AA84" i="150"/>
  <c r="AF60" i="150"/>
  <c r="V39" i="150"/>
  <c r="Z50" i="150"/>
  <c r="AA27" i="150"/>
  <c r="AH16" i="150"/>
  <c r="V167" i="150"/>
  <c r="AA161" i="150"/>
  <c r="X157" i="150"/>
  <c r="V125" i="150"/>
  <c r="X124" i="150"/>
  <c r="W116" i="150"/>
  <c r="Y117" i="150"/>
  <c r="AI108" i="150"/>
  <c r="AA56" i="150"/>
  <c r="AF158" i="150"/>
  <c r="AA93" i="150"/>
  <c r="AE112" i="150"/>
  <c r="AD33" i="150"/>
  <c r="AE49" i="150"/>
  <c r="AG21" i="150"/>
  <c r="AF15" i="150"/>
  <c r="AB190" i="150"/>
  <c r="AF165" i="150"/>
  <c r="Z125" i="150"/>
  <c r="AJ154" i="150"/>
  <c r="AA38" i="150"/>
  <c r="AC17" i="150"/>
  <c r="X147" i="150"/>
  <c r="AE106" i="150"/>
  <c r="Z131" i="150"/>
  <c r="W107" i="150"/>
  <c r="AA46" i="150"/>
  <c r="AJ24" i="150"/>
  <c r="AD189" i="150"/>
  <c r="AC153" i="150"/>
  <c r="W163" i="150"/>
  <c r="W182" i="150"/>
  <c r="AG89" i="150"/>
  <c r="AJ70" i="150"/>
  <c r="AH77" i="150"/>
  <c r="AI112" i="150"/>
  <c r="AA35" i="150"/>
  <c r="AD36" i="150"/>
  <c r="AJ180" i="150"/>
  <c r="AG158" i="150"/>
  <c r="W152" i="150"/>
  <c r="AE147" i="150"/>
  <c r="AH83" i="150"/>
  <c r="AF86" i="150"/>
  <c r="V73" i="150"/>
  <c r="AI90" i="150"/>
  <c r="AF32" i="150"/>
  <c r="Y38" i="150"/>
  <c r="Y18" i="150"/>
  <c r="AE186" i="150"/>
  <c r="V148" i="150"/>
  <c r="AI152" i="150"/>
  <c r="AG149" i="150"/>
  <c r="AF81" i="150"/>
  <c r="AE69" i="150"/>
  <c r="W95" i="150"/>
  <c r="AC69" i="150"/>
  <c r="AD30" i="150"/>
  <c r="W23" i="150"/>
  <c r="Z180" i="150"/>
  <c r="AC178" i="150"/>
  <c r="AG139" i="150"/>
  <c r="AC142" i="150"/>
  <c r="AC162" i="150"/>
  <c r="X61" i="150"/>
  <c r="V68" i="150"/>
  <c r="X62" i="150"/>
  <c r="AD39" i="150"/>
  <c r="Y50" i="150"/>
  <c r="AI22" i="150"/>
  <c r="AE175" i="150"/>
  <c r="AG184" i="150"/>
  <c r="AC150" i="150"/>
  <c r="AD109" i="150"/>
  <c r="AF141" i="150"/>
  <c r="AH103" i="150"/>
  <c r="AB81" i="150"/>
  <c r="AF137" i="150"/>
  <c r="X72" i="150"/>
  <c r="Z80" i="150"/>
  <c r="V50" i="150"/>
  <c r="AB42" i="150"/>
  <c r="AF25" i="150"/>
  <c r="AI16" i="150"/>
  <c r="AB187" i="150"/>
  <c r="V182" i="150"/>
  <c r="AE143" i="150"/>
  <c r="V121" i="150"/>
  <c r="X116" i="150"/>
  <c r="AH101" i="150"/>
  <c r="AC106" i="150"/>
  <c r="AA90" i="150"/>
  <c r="AH117" i="150"/>
  <c r="AI120" i="150"/>
  <c r="AC66" i="150"/>
  <c r="X52" i="150"/>
  <c r="Y53" i="150"/>
  <c r="AJ33" i="150"/>
  <c r="W24" i="150"/>
  <c r="AB182" i="150"/>
  <c r="Z155" i="150"/>
  <c r="Z117" i="150"/>
  <c r="AD128" i="150"/>
  <c r="Z53" i="150"/>
  <c r="AC16" i="150"/>
  <c r="AI142" i="150"/>
  <c r="AD100" i="150"/>
  <c r="Z115" i="150"/>
  <c r="W90" i="150"/>
  <c r="V38" i="150"/>
  <c r="AG28" i="150"/>
  <c r="AD185" i="150"/>
  <c r="Y148" i="150"/>
  <c r="AH150" i="150"/>
  <c r="AH157" i="150"/>
  <c r="AC84" i="150"/>
  <c r="AJ66" i="150"/>
  <c r="AH73" i="150"/>
  <c r="AF68" i="150"/>
  <c r="AB54" i="150"/>
  <c r="AC45" i="150"/>
  <c r="AJ176" i="150"/>
  <c r="AG188" i="150"/>
  <c r="AD145" i="150"/>
  <c r="AB140" i="150"/>
  <c r="AH79" i="150"/>
  <c r="AF82" i="150"/>
  <c r="V69" i="150"/>
  <c r="AB142" i="150"/>
  <c r="AE52" i="150"/>
  <c r="AC48" i="150"/>
  <c r="AE18" i="150"/>
  <c r="AE178" i="150"/>
  <c r="AD184" i="150"/>
  <c r="X142" i="150"/>
  <c r="AI135" i="150"/>
  <c r="AG179" i="150"/>
  <c r="AE65" i="150"/>
  <c r="Z88" i="150"/>
  <c r="AG58" i="150"/>
  <c r="AG52" i="150"/>
  <c r="AD21" i="150"/>
  <c r="Z176" i="150"/>
  <c r="AJ165" i="150"/>
  <c r="Z134" i="150"/>
  <c r="AF135" i="150"/>
  <c r="AB143" i="150"/>
  <c r="X57" i="150"/>
  <c r="V64" i="150"/>
  <c r="AD89" i="150"/>
  <c r="AD54" i="150"/>
  <c r="AA33" i="150"/>
  <c r="AH22" i="150"/>
  <c r="AE167" i="150"/>
  <c r="Y174" i="150"/>
  <c r="AA144" i="150"/>
  <c r="AD105" i="150"/>
  <c r="X127" i="150"/>
  <c r="AC92" i="150"/>
  <c r="AF153" i="150"/>
  <c r="V122" i="150"/>
  <c r="X64" i="150"/>
  <c r="W96" i="150"/>
  <c r="V46" i="150"/>
  <c r="AH34" i="150"/>
  <c r="Z27" i="150"/>
  <c r="X16" i="150"/>
  <c r="AB183" i="150"/>
  <c r="AC169" i="150"/>
  <c r="AE139" i="150"/>
  <c r="V117" i="150"/>
  <c r="X112" i="150"/>
  <c r="AH97" i="150"/>
  <c r="AB100" i="150"/>
  <c r="AA82" i="150"/>
  <c r="Y102" i="150"/>
  <c r="W99" i="150"/>
  <c r="AG170" i="150"/>
  <c r="X48" i="150"/>
  <c r="V43" i="150"/>
  <c r="V55" i="150"/>
  <c r="Y26" i="150"/>
  <c r="AB178" i="150"/>
  <c r="AD147" i="150"/>
  <c r="Z109" i="150"/>
  <c r="AD112" i="150"/>
  <c r="Z49" i="150"/>
  <c r="AD17" i="150"/>
  <c r="AI138" i="150"/>
  <c r="AD96" i="150"/>
  <c r="AC99" i="150"/>
  <c r="AC73" i="150"/>
  <c r="Y32" i="150"/>
  <c r="AI24" i="150"/>
  <c r="AD181" i="150"/>
  <c r="AI185" i="150"/>
  <c r="Y142" i="150"/>
  <c r="AJ145" i="150"/>
  <c r="Y79" i="150"/>
  <c r="AJ62" i="150"/>
  <c r="AH69" i="150"/>
  <c r="AI121" i="150"/>
  <c r="AB50" i="150"/>
  <c r="AB31" i="150"/>
  <c r="AJ172" i="150"/>
  <c r="Y178" i="150"/>
  <c r="AD141" i="150"/>
  <c r="X134" i="150"/>
  <c r="AA160" i="150"/>
  <c r="AF78" i="150"/>
  <c r="V65" i="150"/>
  <c r="AE72" i="150"/>
  <c r="AE48" i="150"/>
  <c r="AH39" i="150"/>
  <c r="AA17" i="150"/>
  <c r="AE170" i="150"/>
  <c r="V174" i="150"/>
  <c r="AC135" i="150"/>
  <c r="AI127" i="150"/>
  <c r="V147" i="150"/>
  <c r="AE61" i="150"/>
  <c r="AF140" i="150"/>
  <c r="AC63" i="150"/>
  <c r="AB35" i="150"/>
  <c r="X28" i="150"/>
  <c r="Z172" i="150"/>
  <c r="Y159" i="150"/>
  <c r="Z130" i="150"/>
  <c r="AF131" i="150"/>
  <c r="AC130" i="150"/>
  <c r="X153" i="150"/>
  <c r="V60" i="150"/>
  <c r="AI61" i="150"/>
  <c r="AD50" i="150"/>
  <c r="AG45" i="150"/>
  <c r="Y22" i="150"/>
  <c r="AD187" i="150"/>
  <c r="AI165" i="150"/>
  <c r="AA140" i="150"/>
  <c r="AC140" i="150"/>
  <c r="X119" i="150"/>
  <c r="Y87" i="150"/>
  <c r="W129" i="150"/>
  <c r="V106" i="150"/>
  <c r="AE68" i="150"/>
  <c r="AC68" i="150"/>
  <c r="AE37" i="150"/>
  <c r="AG32" i="150"/>
  <c r="AA26" i="150"/>
  <c r="AJ186" i="150"/>
  <c r="AB175" i="150"/>
  <c r="AH161" i="150"/>
  <c r="AD164" i="150"/>
  <c r="V109" i="150"/>
  <c r="X108" i="150"/>
  <c r="AH89" i="150"/>
  <c r="AB92" i="150"/>
  <c r="AB76" i="150"/>
  <c r="AG80" i="150"/>
  <c r="AJ71" i="150"/>
  <c r="Z78" i="150"/>
  <c r="W39" i="150"/>
  <c r="AI48" i="150"/>
  <c r="V47" i="150"/>
  <c r="AF21" i="150"/>
  <c r="Y182" i="150"/>
  <c r="AE123" i="150"/>
  <c r="X29" i="150"/>
  <c r="AG126" i="150"/>
  <c r="V99" i="150"/>
  <c r="Y33" i="150"/>
  <c r="AD165" i="150"/>
  <c r="AC131" i="150"/>
  <c r="Y135" i="150"/>
  <c r="W118" i="150"/>
  <c r="AI33" i="150"/>
  <c r="V169" i="150"/>
  <c r="V127" i="150"/>
  <c r="AC122" i="150"/>
  <c r="Z57" i="150"/>
  <c r="AG35" i="150"/>
  <c r="AI184" i="150"/>
  <c r="AC160" i="150"/>
  <c r="Z121" i="150"/>
  <c r="AG136" i="150"/>
  <c r="Z55" i="150"/>
  <c r="AF16" i="150"/>
  <c r="AI144" i="150"/>
  <c r="AD102" i="150"/>
  <c r="Z123" i="150"/>
  <c r="W82" i="150"/>
  <c r="AF41" i="150"/>
  <c r="AJ179" i="150"/>
  <c r="Z167" i="150"/>
  <c r="AA117" i="150"/>
  <c r="AJ64" i="150"/>
  <c r="AA126" i="150"/>
  <c r="W34" i="150"/>
  <c r="X26" i="150"/>
  <c r="V163" i="150"/>
  <c r="AA166" i="150"/>
  <c r="AJ126" i="150"/>
  <c r="AC128" i="150"/>
  <c r="AH163" i="150"/>
  <c r="AI91" i="150"/>
  <c r="AA40" i="150"/>
  <c r="AG18" i="150"/>
  <c r="AC171" i="150"/>
  <c r="AE107" i="150"/>
  <c r="AA48" i="150"/>
  <c r="AC121" i="150"/>
  <c r="V83" i="150"/>
  <c r="W55" i="150"/>
  <c r="AD161" i="150"/>
  <c r="Y126" i="150"/>
  <c r="AC124" i="150"/>
  <c r="AH94" i="150"/>
  <c r="Z54" i="150"/>
  <c r="AB189" i="150"/>
  <c r="V123" i="150"/>
  <c r="AG111" i="150"/>
  <c r="V155" i="150"/>
  <c r="AH31" i="150"/>
  <c r="AI180" i="150"/>
  <c r="AF151" i="150"/>
  <c r="Z113" i="150"/>
  <c r="AD120" i="150"/>
  <c r="Z51" i="150"/>
  <c r="Y15" i="150"/>
  <c r="AI140" i="150"/>
  <c r="AD98" i="150"/>
  <c r="Z107" i="150"/>
  <c r="Y68" i="150"/>
  <c r="V35" i="150"/>
  <c r="AJ175" i="150"/>
  <c r="AH143" i="150"/>
  <c r="AA109" i="150"/>
  <c r="AJ60" i="150"/>
  <c r="AH90" i="150"/>
  <c r="Z44" i="150"/>
  <c r="AE21" i="150"/>
  <c r="AD190" i="150"/>
  <c r="AA148" i="150"/>
  <c r="AJ122" i="150"/>
  <c r="Y107" i="150"/>
  <c r="AH113" i="150"/>
  <c r="AG77" i="150"/>
  <c r="X41" i="150"/>
  <c r="AC19" i="150"/>
  <c r="AE164" i="150"/>
  <c r="W97" i="150"/>
  <c r="AD40" i="150"/>
  <c r="Y116" i="150"/>
  <c r="AI71" i="150"/>
  <c r="W47" i="150"/>
  <c r="AD157" i="150"/>
  <c r="AG120" i="150"/>
  <c r="AG113" i="150"/>
  <c r="AH78" i="150"/>
  <c r="Z46" i="150"/>
  <c r="AB185" i="150"/>
  <c r="V119" i="150"/>
  <c r="AB102" i="150"/>
  <c r="AI104" i="150"/>
  <c r="AG47" i="150"/>
  <c r="AI176" i="150"/>
  <c r="AD144" i="150"/>
  <c r="Z105" i="150"/>
  <c r="AD104" i="150"/>
  <c r="Z47" i="150"/>
  <c r="V15" i="150"/>
  <c r="AI136" i="150"/>
  <c r="AD94" i="150"/>
  <c r="Y94" i="150"/>
  <c r="AE128" i="150"/>
  <c r="AE33" i="150"/>
  <c r="AJ171" i="150"/>
  <c r="AA171" i="150"/>
  <c r="V102" i="150"/>
  <c r="W130" i="150"/>
  <c r="AG171" i="150"/>
  <c r="Z36" i="150"/>
  <c r="AB20" i="150"/>
  <c r="AD182" i="150"/>
  <c r="Z143" i="150"/>
  <c r="AJ118" i="150"/>
  <c r="AF100" i="150"/>
  <c r="AC101" i="150"/>
  <c r="Y67" i="150"/>
  <c r="AB33" i="150"/>
  <c r="AD20" i="150"/>
  <c r="AE160" i="150"/>
  <c r="W89" i="150"/>
  <c r="W33" i="150"/>
  <c r="AG110" i="150"/>
  <c r="AI63" i="150"/>
  <c r="AG39" i="150"/>
  <c r="AH187" i="150"/>
  <c r="AC115" i="150"/>
  <c r="Y103" i="150"/>
  <c r="AE70" i="150"/>
  <c r="AI37" i="150"/>
  <c r="AB181" i="150"/>
  <c r="V115" i="150"/>
  <c r="AB98" i="150"/>
  <c r="W91" i="150"/>
  <c r="Z39" i="150"/>
  <c r="AI172" i="150"/>
  <c r="AD140" i="150"/>
  <c r="Y99" i="150"/>
  <c r="AG94" i="150"/>
  <c r="AA43" i="150"/>
  <c r="AF187" i="150"/>
  <c r="AH169" i="150"/>
  <c r="AD90" i="150"/>
  <c r="AC83" i="150"/>
  <c r="AB53" i="150"/>
  <c r="AJ28" i="150"/>
  <c r="W176" i="150"/>
  <c r="V156" i="150"/>
  <c r="V98" i="150"/>
  <c r="AD99" i="150"/>
  <c r="AE113" i="150"/>
  <c r="W49" i="150"/>
  <c r="AJ19" i="150"/>
  <c r="AG166" i="150"/>
  <c r="Z139" i="150"/>
  <c r="AJ110" i="150"/>
  <c r="AF92" i="150"/>
  <c r="AG90" i="150"/>
  <c r="AA116" i="150"/>
  <c r="W31" i="150"/>
  <c r="AD18" i="150"/>
  <c r="AJ127" i="150"/>
  <c r="Z162" i="150"/>
  <c r="AI45" i="150"/>
  <c r="AF164" i="150"/>
  <c r="AI58" i="150"/>
  <c r="Z24" i="150"/>
  <c r="AJ128" i="150"/>
  <c r="AI99" i="150"/>
  <c r="AE158" i="150"/>
  <c r="W101" i="150"/>
  <c r="AD44" i="150"/>
  <c r="AG118" i="150"/>
  <c r="AI75" i="150"/>
  <c r="AG17" i="150"/>
  <c r="AH152" i="150"/>
  <c r="AJ144" i="150"/>
  <c r="AI50" i="150"/>
  <c r="AF152" i="150"/>
  <c r="AD126" i="150"/>
  <c r="AD101" i="150"/>
  <c r="Z23" i="150"/>
  <c r="AJ123" i="150"/>
  <c r="Z158" i="150"/>
  <c r="AJ41" i="150"/>
  <c r="AI153" i="150"/>
  <c r="Z161" i="150"/>
  <c r="W28" i="150"/>
  <c r="AJ124" i="150"/>
  <c r="AI83" i="150"/>
  <c r="AC190" i="150"/>
  <c r="W93" i="150"/>
  <c r="AF36" i="150"/>
  <c r="AC113" i="150"/>
  <c r="AI67" i="150"/>
  <c r="V17" i="150"/>
  <c r="AI137" i="150"/>
  <c r="AG102" i="150"/>
  <c r="AC34" i="150"/>
  <c r="AF148" i="150"/>
  <c r="AD110" i="150"/>
  <c r="AA73" i="150"/>
  <c r="AI25" i="150"/>
  <c r="AJ119" i="150"/>
  <c r="V188" i="150"/>
  <c r="AF37" i="150"/>
  <c r="AA146" i="150"/>
  <c r="V130" i="150"/>
  <c r="Y24" i="150"/>
  <c r="AJ120" i="150"/>
  <c r="AC72" i="150"/>
  <c r="AH177" i="150"/>
  <c r="W85" i="150"/>
  <c r="Z30" i="150"/>
  <c r="Y108" i="150"/>
  <c r="AI59" i="150"/>
  <c r="AC15" i="150"/>
  <c r="AF132" i="150"/>
  <c r="AC81" i="150"/>
  <c r="W29" i="150"/>
  <c r="AC186" i="150"/>
  <c r="AC102" i="150"/>
  <c r="AA65" i="150"/>
  <c r="AE22" i="150"/>
  <c r="AJ115" i="150"/>
  <c r="V180" i="150"/>
  <c r="AD52" i="150"/>
  <c r="AA142" i="150"/>
  <c r="V114" i="150"/>
  <c r="AA25" i="150"/>
  <c r="AJ116" i="150"/>
  <c r="AG61" i="150"/>
  <c r="AB164" i="150"/>
  <c r="AF77" i="150"/>
  <c r="AH50" i="150"/>
  <c r="AH189" i="150"/>
  <c r="AA108" i="150"/>
  <c r="W17" i="150"/>
  <c r="AF128" i="150"/>
  <c r="AH75" i="150"/>
  <c r="AB40" i="150"/>
  <c r="AE161" i="150"/>
  <c r="Y97" i="150"/>
  <c r="AE88" i="150"/>
  <c r="X25" i="150"/>
  <c r="AG125" i="150"/>
  <c r="AA121" i="150"/>
  <c r="AF154" i="150"/>
  <c r="AB21" i="150"/>
  <c r="W84" i="150"/>
  <c r="AG109" i="150"/>
  <c r="W190" i="150"/>
  <c r="AA119" i="150"/>
  <c r="Y128" i="150"/>
  <c r="AI38" i="150"/>
  <c r="Y115" i="150"/>
  <c r="AA113" i="150"/>
  <c r="AF150" i="150"/>
  <c r="V21" i="150"/>
  <c r="AC70" i="150"/>
  <c r="AJ101" i="150"/>
  <c r="AG177" i="150"/>
  <c r="W62" i="150"/>
  <c r="AC117" i="150"/>
  <c r="AH49" i="150"/>
  <c r="AC104" i="150"/>
  <c r="AA105" i="150"/>
  <c r="AF146" i="150"/>
  <c r="X27" i="150"/>
  <c r="AG59" i="150"/>
  <c r="AJ97" i="150"/>
  <c r="AB153" i="150"/>
  <c r="AF52" i="150"/>
  <c r="Y112" i="150"/>
  <c r="AH45" i="150"/>
  <c r="AJ99" i="150"/>
  <c r="V100" i="150"/>
  <c r="Y177" i="150"/>
  <c r="AC22" i="150"/>
  <c r="W94" i="150"/>
  <c r="AJ93" i="150"/>
  <c r="Z187" i="150"/>
  <c r="AF48" i="150"/>
  <c r="AG183" i="150"/>
  <c r="AI41" i="150"/>
  <c r="AD16" i="150"/>
  <c r="AI133" i="150"/>
  <c r="Z156" i="150"/>
  <c r="AJ96" i="150"/>
  <c r="AI125" i="150"/>
  <c r="AG15" i="150"/>
  <c r="AI117" i="150"/>
  <c r="V184" i="150"/>
  <c r="AJ92" i="150"/>
  <c r="AI109" i="150"/>
  <c r="Y16" i="150"/>
  <c r="Z102" i="150"/>
  <c r="V176" i="150"/>
  <c r="AJ88" i="150"/>
  <c r="Z98" i="150"/>
  <c r="Z15" i="150"/>
  <c r="Z94" i="150"/>
  <c r="V168" i="150"/>
  <c r="AG163" i="150"/>
  <c r="Z82" i="150"/>
  <c r="AI106" i="150"/>
  <c r="AJ121" i="150"/>
  <c r="W187" i="150"/>
  <c r="W92" i="150"/>
  <c r="AJ117" i="150"/>
  <c r="AG75" i="150"/>
  <c r="AJ113" i="150"/>
  <c r="W175" i="150"/>
  <c r="AF50" i="150"/>
  <c r="AD42" i="150"/>
  <c r="Y65" i="150"/>
  <c r="W179" i="150"/>
  <c r="AJ73" i="150"/>
  <c r="W171" i="150"/>
  <c r="V87" i="150"/>
  <c r="AA50" i="150"/>
  <c r="AF54" i="150"/>
  <c r="AJ109" i="150"/>
  <c r="AA39" i="150"/>
  <c r="Y45" i="150"/>
  <c r="G18" i="150"/>
  <c r="K188" i="150"/>
  <c r="N169" i="150"/>
  <c r="O174" i="150"/>
  <c r="Q167" i="150"/>
  <c r="N156" i="150"/>
  <c r="M158" i="150"/>
  <c r="M180" i="150"/>
  <c r="Q142" i="150"/>
  <c r="T144" i="150"/>
  <c r="I171" i="150"/>
  <c r="P116" i="150"/>
  <c r="K129" i="150"/>
  <c r="S136" i="150"/>
  <c r="R135" i="150"/>
  <c r="O165" i="150"/>
  <c r="T88" i="150"/>
  <c r="T104" i="150"/>
  <c r="P121" i="150"/>
  <c r="R128" i="150"/>
  <c r="O161" i="150"/>
  <c r="J64" i="150"/>
  <c r="Q74" i="150"/>
  <c r="T87" i="150"/>
  <c r="K77" i="150"/>
  <c r="I152" i="150"/>
  <c r="L66" i="150"/>
  <c r="L72" i="150"/>
  <c r="P60" i="150"/>
  <c r="J55" i="150"/>
  <c r="S54" i="150"/>
  <c r="Q43" i="150"/>
  <c r="P52" i="150"/>
  <c r="K35" i="150"/>
  <c r="I23" i="150"/>
  <c r="L21" i="150"/>
  <c r="M20" i="150"/>
  <c r="Q122" i="150"/>
  <c r="L156" i="150"/>
  <c r="S106" i="150"/>
  <c r="L94" i="150"/>
  <c r="L116" i="150"/>
  <c r="Q84" i="150"/>
  <c r="I65" i="150"/>
  <c r="H76" i="150"/>
  <c r="M37" i="150"/>
  <c r="O189" i="150"/>
  <c r="M189" i="150"/>
  <c r="M170" i="150"/>
  <c r="P181" i="150"/>
  <c r="J149" i="150"/>
  <c r="T133" i="150"/>
  <c r="K109" i="150"/>
  <c r="I89" i="150"/>
  <c r="L114" i="150"/>
  <c r="K79" i="150"/>
  <c r="J60" i="150"/>
  <c r="I75" i="150"/>
  <c r="Q86" i="150"/>
  <c r="L75" i="150"/>
  <c r="O43" i="150"/>
  <c r="L16" i="150"/>
  <c r="S99" i="150"/>
  <c r="I131" i="150"/>
  <c r="P65" i="150"/>
  <c r="L55" i="150"/>
  <c r="S16" i="150"/>
  <c r="J174" i="150"/>
  <c r="K179" i="150"/>
  <c r="I177" i="150"/>
  <c r="J161" i="150"/>
  <c r="I165" i="150"/>
  <c r="P189" i="150"/>
  <c r="S148" i="150"/>
  <c r="P155" i="150"/>
  <c r="I104" i="150"/>
  <c r="H120" i="150"/>
  <c r="S133" i="150"/>
  <c r="L143" i="150"/>
  <c r="P151" i="150"/>
  <c r="Q81" i="150"/>
  <c r="L92" i="150"/>
  <c r="P111" i="150"/>
  <c r="L128" i="150"/>
  <c r="T162" i="150"/>
  <c r="K60" i="150"/>
  <c r="S182" i="150"/>
  <c r="I188" i="150"/>
  <c r="K169" i="150"/>
  <c r="L163" i="150"/>
  <c r="L176" i="150"/>
  <c r="S151" i="150"/>
  <c r="T160" i="150"/>
  <c r="M137" i="150"/>
  <c r="Q136" i="150"/>
  <c r="T154" i="150"/>
  <c r="P112" i="150"/>
  <c r="S123" i="150"/>
  <c r="O131" i="150"/>
  <c r="J125" i="150"/>
  <c r="O138" i="150"/>
  <c r="T84" i="150"/>
  <c r="S98" i="150"/>
  <c r="P113" i="150"/>
  <c r="J110" i="150"/>
  <c r="L145" i="150"/>
  <c r="R58" i="150"/>
  <c r="M69" i="150"/>
  <c r="T79" i="150"/>
  <c r="O66" i="150"/>
  <c r="P76" i="150"/>
  <c r="L58" i="150"/>
  <c r="L64" i="150"/>
  <c r="J84" i="150"/>
  <c r="R49" i="150"/>
  <c r="O49" i="150"/>
  <c r="P33" i="150"/>
  <c r="S34" i="150"/>
  <c r="I30" i="150"/>
  <c r="R28" i="150"/>
  <c r="Q24" i="150"/>
  <c r="Q17" i="150"/>
  <c r="I112" i="150"/>
  <c r="O136" i="150"/>
  <c r="O139" i="150"/>
  <c r="L86" i="150"/>
  <c r="S95" i="150"/>
  <c r="N71" i="150"/>
  <c r="N81" i="150"/>
  <c r="K59" i="150"/>
  <c r="T31" i="150"/>
  <c r="K184" i="150"/>
  <c r="I184" i="150"/>
  <c r="H160" i="150"/>
  <c r="H159" i="150"/>
  <c r="Q137" i="150"/>
  <c r="T125" i="150"/>
  <c r="I159" i="150"/>
  <c r="R177" i="150"/>
  <c r="K100" i="150"/>
  <c r="R112" i="150"/>
  <c r="Q129" i="150"/>
  <c r="M64" i="150"/>
  <c r="R91" i="150"/>
  <c r="S57" i="150"/>
  <c r="P53" i="150"/>
  <c r="J183" i="150"/>
  <c r="L188" i="150"/>
  <c r="I69" i="150"/>
  <c r="P66" i="150"/>
  <c r="L52" i="150"/>
  <c r="O187" i="150"/>
  <c r="R168" i="150"/>
  <c r="S173" i="150"/>
  <c r="P166" i="150"/>
  <c r="H188" i="150"/>
  <c r="P157" i="150"/>
  <c r="H179" i="150"/>
  <c r="I142" i="150"/>
  <c r="J143" i="150"/>
  <c r="H169" i="150"/>
  <c r="H116" i="150"/>
  <c r="O128" i="150"/>
  <c r="K136" i="150"/>
  <c r="N134" i="150"/>
  <c r="J158" i="150"/>
  <c r="L88" i="150"/>
  <c r="P103" i="150"/>
  <c r="L120" i="150"/>
  <c r="N127" i="150"/>
  <c r="O177" i="150"/>
  <c r="Q182" i="150"/>
  <c r="J185" i="150"/>
  <c r="L159" i="150"/>
  <c r="M164" i="150"/>
  <c r="O146" i="150"/>
  <c r="Q150" i="150"/>
  <c r="L169" i="150"/>
  <c r="M131" i="150"/>
  <c r="T143" i="150"/>
  <c r="P108" i="150"/>
  <c r="O118" i="150"/>
  <c r="K126" i="150"/>
  <c r="N114" i="150"/>
  <c r="Q127" i="150"/>
  <c r="T80" i="150"/>
  <c r="O93" i="150"/>
  <c r="P105" i="150"/>
  <c r="N95" i="150"/>
  <c r="N120" i="150"/>
  <c r="R153" i="150"/>
  <c r="I64" i="150"/>
  <c r="Q73" i="150"/>
  <c r="O144" i="150"/>
  <c r="R86" i="150"/>
  <c r="J91" i="150"/>
  <c r="L56" i="150"/>
  <c r="I100" i="150"/>
  <c r="O44" i="150"/>
  <c r="L44" i="150"/>
  <c r="O31" i="150"/>
  <c r="T51" i="150"/>
  <c r="Q46" i="150"/>
  <c r="P23" i="150"/>
  <c r="K27" i="150"/>
  <c r="J16" i="150"/>
  <c r="S157" i="150"/>
  <c r="S125" i="150"/>
  <c r="N118" i="150"/>
  <c r="P131" i="150"/>
  <c r="K85" i="150"/>
  <c r="R60" i="150"/>
  <c r="N72" i="150"/>
  <c r="H42" i="150"/>
  <c r="Q32" i="150"/>
  <c r="S178" i="150"/>
  <c r="M173" i="150"/>
  <c r="T169" i="150"/>
  <c r="Q147" i="150"/>
  <c r="T146" i="150"/>
  <c r="T117" i="150"/>
  <c r="L138" i="150"/>
  <c r="Q119" i="150"/>
  <c r="O89" i="150"/>
  <c r="N87" i="150"/>
  <c r="H98" i="150"/>
  <c r="P141" i="150"/>
  <c r="T68" i="150"/>
  <c r="K51" i="150"/>
  <c r="M49" i="150"/>
  <c r="L113" i="150"/>
  <c r="O77" i="150"/>
  <c r="N97" i="150"/>
  <c r="O50" i="150"/>
  <c r="O29" i="150"/>
  <c r="K182" i="150"/>
  <c r="M187" i="150"/>
  <c r="O168" i="150"/>
  <c r="P162" i="150"/>
  <c r="J175" i="150"/>
  <c r="K151" i="150"/>
  <c r="R158" i="150"/>
  <c r="M188" i="150"/>
  <c r="I136" i="150"/>
  <c r="N152" i="150"/>
  <c r="H112" i="150"/>
  <c r="K123" i="150"/>
  <c r="S130" i="150"/>
  <c r="R123" i="150"/>
  <c r="R137" i="150"/>
  <c r="L84" i="150"/>
  <c r="K98" i="150"/>
  <c r="L112" i="150"/>
  <c r="R104" i="150"/>
  <c r="K172" i="150"/>
  <c r="M177" i="150"/>
  <c r="N174" i="150"/>
  <c r="L155" i="150"/>
  <c r="T156" i="150"/>
  <c r="T179" i="150"/>
  <c r="J144" i="150"/>
  <c r="K154" i="150"/>
  <c r="I126" i="150"/>
  <c r="P136" i="150"/>
  <c r="P104" i="150"/>
  <c r="K113" i="150"/>
  <c r="S120" i="150"/>
  <c r="R103" i="150"/>
  <c r="I117" i="150"/>
  <c r="O160" i="150"/>
  <c r="K88" i="150"/>
  <c r="K99" i="150"/>
  <c r="R84" i="150"/>
  <c r="I102" i="150"/>
  <c r="I127" i="150"/>
  <c r="Q58" i="150"/>
  <c r="M68" i="150"/>
  <c r="N101" i="150"/>
  <c r="J131" i="150"/>
  <c r="J122" i="150"/>
  <c r="N105" i="150"/>
  <c r="K55" i="150"/>
  <c r="R38" i="150"/>
  <c r="L40" i="150"/>
  <c r="H50" i="150"/>
  <c r="H51" i="150"/>
  <c r="J37" i="150"/>
  <c r="S23" i="150"/>
  <c r="P22" i="150"/>
  <c r="R16" i="150"/>
  <c r="R139" i="150"/>
  <c r="K115" i="150"/>
  <c r="M100" i="150"/>
  <c r="P115" i="150"/>
  <c r="R136" i="150"/>
  <c r="I135" i="150"/>
  <c r="R59" i="150"/>
  <c r="N46" i="150"/>
  <c r="H25" i="150"/>
  <c r="O173" i="150"/>
  <c r="O186" i="150"/>
  <c r="R157" i="150"/>
  <c r="K152" i="150"/>
  <c r="Q132" i="150"/>
  <c r="T109" i="150"/>
  <c r="O127" i="150"/>
  <c r="P101" i="150"/>
  <c r="L170" i="150"/>
  <c r="S72" i="150"/>
  <c r="I76" i="150"/>
  <c r="K69" i="150"/>
  <c r="P64" i="150"/>
  <c r="O32" i="150"/>
  <c r="N32" i="150"/>
  <c r="O121" i="150"/>
  <c r="K56" i="150"/>
  <c r="H155" i="150"/>
  <c r="N50" i="150"/>
  <c r="L38" i="150"/>
  <c r="S176" i="150"/>
  <c r="I182" i="150"/>
  <c r="R183" i="150"/>
  <c r="P158" i="150"/>
  <c r="P163" i="150"/>
  <c r="T190" i="150"/>
  <c r="R149" i="150"/>
  <c r="N165" i="150"/>
  <c r="Q130" i="150"/>
  <c r="H143" i="150"/>
  <c r="H108" i="150"/>
  <c r="S117" i="150"/>
  <c r="O125" i="150"/>
  <c r="J113" i="150"/>
  <c r="M126" i="150"/>
  <c r="L80" i="150"/>
  <c r="S92" i="150"/>
  <c r="L104" i="150"/>
  <c r="J94" i="150"/>
  <c r="I172" i="150"/>
  <c r="L183" i="150"/>
  <c r="S165" i="150"/>
  <c r="O147" i="150"/>
  <c r="P132" i="150"/>
  <c r="S107" i="150"/>
  <c r="M98" i="150"/>
  <c r="T136" i="150"/>
  <c r="S93" i="150"/>
  <c r="M91" i="150"/>
  <c r="Q159" i="150"/>
  <c r="N132" i="150"/>
  <c r="J115" i="150"/>
  <c r="S49" i="150"/>
  <c r="P35" i="150"/>
  <c r="M43" i="150"/>
  <c r="Q28" i="150"/>
  <c r="S15" i="150"/>
  <c r="O104" i="150"/>
  <c r="S100" i="150"/>
  <c r="L91" i="150"/>
  <c r="Q38" i="150"/>
  <c r="K168" i="150"/>
  <c r="O158" i="150"/>
  <c r="I122" i="150"/>
  <c r="S116" i="150"/>
  <c r="H131" i="150"/>
  <c r="M65" i="150"/>
  <c r="N117" i="150"/>
  <c r="T24" i="150"/>
  <c r="I82" i="150"/>
  <c r="N42" i="150"/>
  <c r="O171" i="150"/>
  <c r="J173" i="150"/>
  <c r="N155" i="150"/>
  <c r="N143" i="150"/>
  <c r="M125" i="150"/>
  <c r="H104" i="150"/>
  <c r="K120" i="150"/>
  <c r="Q115" i="150"/>
  <c r="O87" i="150"/>
  <c r="N83" i="150"/>
  <c r="I90" i="150"/>
  <c r="L103" i="150"/>
  <c r="H149" i="150"/>
  <c r="M62" i="150"/>
  <c r="R125" i="150"/>
  <c r="R61" i="150"/>
  <c r="M101" i="150"/>
  <c r="N80" i="150"/>
  <c r="K49" i="150"/>
  <c r="Q51" i="150"/>
  <c r="H35" i="150"/>
  <c r="N31" i="150"/>
  <c r="I42" i="150"/>
  <c r="H48" i="150"/>
  <c r="I28" i="150"/>
  <c r="R20" i="150"/>
  <c r="M15" i="150"/>
  <c r="H185" i="150"/>
  <c r="J93" i="150"/>
  <c r="O51" i="150"/>
  <c r="Q50" i="150"/>
  <c r="J166" i="150"/>
  <c r="O33" i="150"/>
  <c r="S24" i="150"/>
  <c r="O167" i="150"/>
  <c r="Q172" i="150"/>
  <c r="I166" i="150"/>
  <c r="P184" i="150"/>
  <c r="H152" i="150"/>
  <c r="R166" i="150"/>
  <c r="N150" i="150"/>
  <c r="O162" i="150"/>
  <c r="M176" i="150"/>
  <c r="L109" i="150"/>
  <c r="O108" i="150"/>
  <c r="Q93" i="150"/>
  <c r="T122" i="150"/>
  <c r="T170" i="150"/>
  <c r="N86" i="150"/>
  <c r="L53" i="150"/>
  <c r="O181" i="150"/>
  <c r="Q186" i="150"/>
  <c r="S167" i="150"/>
  <c r="O190" i="150"/>
  <c r="L175" i="150"/>
  <c r="N157" i="150"/>
  <c r="Q141" i="150"/>
  <c r="P128" i="150"/>
  <c r="R185" i="150"/>
  <c r="I93" i="150"/>
  <c r="K185" i="150"/>
  <c r="L167" i="150"/>
  <c r="Q151" i="150"/>
  <c r="L190" i="150"/>
  <c r="P124" i="150"/>
  <c r="O153" i="150"/>
  <c r="Q87" i="150"/>
  <c r="T120" i="150"/>
  <c r="K83" i="150"/>
  <c r="R74" i="150"/>
  <c r="I107" i="150"/>
  <c r="J77" i="150"/>
  <c r="J108" i="150"/>
  <c r="P40" i="150"/>
  <c r="H45" i="150"/>
  <c r="R54" i="150"/>
  <c r="Q26" i="150"/>
  <c r="L146" i="150"/>
  <c r="K128" i="150"/>
  <c r="O79" i="150"/>
  <c r="Q133" i="150"/>
  <c r="H54" i="150"/>
  <c r="N181" i="150"/>
  <c r="N172" i="150"/>
  <c r="P178" i="150"/>
  <c r="R127" i="150"/>
  <c r="O100" i="150"/>
  <c r="Q109" i="150"/>
  <c r="R114" i="150"/>
  <c r="T23" i="150"/>
  <c r="T97" i="150"/>
  <c r="J46" i="150"/>
  <c r="R184" i="150"/>
  <c r="M159" i="150"/>
  <c r="L147" i="150"/>
  <c r="T174" i="150"/>
  <c r="Q114" i="150"/>
  <c r="N149" i="150"/>
  <c r="O109" i="150"/>
  <c r="S179" i="150"/>
  <c r="R161" i="150"/>
  <c r="M146" i="150"/>
  <c r="I161" i="150"/>
  <c r="P120" i="150"/>
  <c r="K144" i="150"/>
  <c r="M82" i="150"/>
  <c r="T112" i="150"/>
  <c r="P167" i="150"/>
  <c r="N69" i="150"/>
  <c r="T95" i="150"/>
  <c r="N66" i="150"/>
  <c r="J85" i="150"/>
  <c r="T35" i="150"/>
  <c r="N55" i="150"/>
  <c r="M44" i="150"/>
  <c r="P21" i="150"/>
  <c r="S139" i="150"/>
  <c r="O117" i="150"/>
  <c r="L132" i="150"/>
  <c r="P90" i="150"/>
  <c r="R40" i="150"/>
  <c r="R170" i="150"/>
  <c r="K153" i="150"/>
  <c r="P145" i="150"/>
  <c r="Q99" i="150"/>
  <c r="S89" i="150"/>
  <c r="L89" i="150"/>
  <c r="T75" i="150"/>
  <c r="T18" i="150"/>
  <c r="I70" i="150"/>
  <c r="L51" i="150"/>
  <c r="N179" i="150"/>
  <c r="Q187" i="150"/>
  <c r="R181" i="150"/>
  <c r="L158" i="150"/>
  <c r="M109" i="150"/>
  <c r="P139" i="150"/>
  <c r="K104" i="150"/>
  <c r="L96" i="150"/>
  <c r="L136" i="150"/>
  <c r="O65" i="150"/>
  <c r="R68" i="150"/>
  <c r="L79" i="150"/>
  <c r="P94" i="150"/>
  <c r="R90" i="150"/>
  <c r="J65" i="150"/>
  <c r="H73" i="150"/>
  <c r="R79" i="150"/>
  <c r="H56" i="150"/>
  <c r="L35" i="150"/>
  <c r="L36" i="150"/>
  <c r="J54" i="150"/>
  <c r="T38" i="150"/>
  <c r="I43" i="150"/>
  <c r="H27" i="150"/>
  <c r="H21" i="150"/>
  <c r="R18" i="150"/>
  <c r="L181" i="150"/>
  <c r="O70" i="150"/>
  <c r="R108" i="150"/>
  <c r="R29" i="150"/>
  <c r="P28" i="150"/>
  <c r="H139" i="150"/>
  <c r="M29" i="150"/>
  <c r="Q15" i="150"/>
  <c r="N175" i="150"/>
  <c r="O180" i="150"/>
  <c r="Q179" i="150"/>
  <c r="N162" i="150"/>
  <c r="T171" i="150"/>
  <c r="N161" i="150"/>
  <c r="H172" i="150"/>
  <c r="I132" i="150"/>
  <c r="J137" i="150"/>
  <c r="Q154" i="150"/>
  <c r="O137" i="150"/>
  <c r="H93" i="150"/>
  <c r="S66" i="150"/>
  <c r="S67" i="150"/>
  <c r="N36" i="150"/>
  <c r="O24" i="150"/>
  <c r="N189" i="150"/>
  <c r="Q170" i="150"/>
  <c r="R190" i="150"/>
  <c r="T151" i="150"/>
  <c r="Q120" i="150"/>
  <c r="O115" i="150"/>
  <c r="T128" i="150"/>
  <c r="K66" i="150"/>
  <c r="I63" i="150"/>
  <c r="L74" i="150"/>
  <c r="I47" i="150"/>
  <c r="Q34" i="150"/>
  <c r="R19" i="150"/>
  <c r="Q89" i="150"/>
  <c r="N128" i="150"/>
  <c r="O21" i="150"/>
  <c r="P148" i="150"/>
  <c r="O130" i="150"/>
  <c r="S56" i="150"/>
  <c r="H58" i="150"/>
  <c r="H85" i="150"/>
  <c r="T40" i="150"/>
  <c r="S189" i="150"/>
  <c r="H173" i="150"/>
  <c r="P187" i="150"/>
  <c r="K107" i="150"/>
  <c r="I105" i="150"/>
  <c r="O98" i="150"/>
  <c r="J119" i="150"/>
  <c r="L95" i="150"/>
  <c r="P86" i="150"/>
  <c r="N92" i="150"/>
  <c r="J116" i="150"/>
  <c r="H71" i="150"/>
  <c r="I92" i="150"/>
  <c r="M46" i="150"/>
  <c r="M42" i="150"/>
  <c r="L45" i="150"/>
  <c r="L29" i="150"/>
  <c r="O28" i="150"/>
  <c r="Q16" i="150"/>
  <c r="P82" i="150"/>
  <c r="S51" i="150"/>
  <c r="T54" i="150"/>
  <c r="J117" i="150"/>
  <c r="H36" i="150"/>
  <c r="K178" i="150"/>
  <c r="M167" i="150"/>
  <c r="I169" i="150"/>
  <c r="K165" i="150"/>
  <c r="M152" i="150"/>
  <c r="I155" i="150"/>
  <c r="Q110" i="150"/>
  <c r="L105" i="150"/>
  <c r="K116" i="150"/>
  <c r="H113" i="150"/>
  <c r="H88" i="150"/>
  <c r="I53" i="150"/>
  <c r="I15" i="150"/>
  <c r="M181" i="150"/>
  <c r="I164" i="150"/>
  <c r="T181" i="150"/>
  <c r="P150" i="150"/>
  <c r="K163" i="150"/>
  <c r="N137" i="150"/>
  <c r="Q145" i="150"/>
  <c r="M119" i="150"/>
  <c r="T131" i="150"/>
  <c r="J162" i="150"/>
  <c r="O106" i="150"/>
  <c r="K114" i="150"/>
  <c r="I97" i="150"/>
  <c r="Q103" i="150"/>
  <c r="L134" i="150"/>
  <c r="O81" i="150"/>
  <c r="O92" i="150"/>
  <c r="O75" i="150"/>
  <c r="Q88" i="150"/>
  <c r="H102" i="150"/>
  <c r="J146" i="150"/>
  <c r="Q61" i="150"/>
  <c r="J123" i="150"/>
  <c r="J59" i="150"/>
  <c r="M93" i="150"/>
  <c r="J79" i="150"/>
  <c r="O48" i="150"/>
  <c r="I51" i="150"/>
  <c r="N34" i="150"/>
  <c r="K30" i="150"/>
  <c r="Q40" i="150"/>
  <c r="J44" i="150"/>
  <c r="N27" i="150"/>
  <c r="J20" i="150"/>
  <c r="T15" i="150"/>
  <c r="Q35" i="150"/>
  <c r="S88" i="150"/>
  <c r="P57" i="150"/>
  <c r="N45" i="150"/>
  <c r="O175" i="150"/>
  <c r="Q180" i="150"/>
  <c r="J181" i="150"/>
  <c r="T157" i="150"/>
  <c r="H161" i="150"/>
  <c r="H184" i="150"/>
  <c r="I148" i="150"/>
  <c r="L162" i="150"/>
  <c r="M129" i="150"/>
  <c r="L141" i="150"/>
  <c r="L107" i="150"/>
  <c r="O116" i="150"/>
  <c r="K124" i="150"/>
  <c r="N110" i="150"/>
  <c r="Q123" i="150"/>
  <c r="H79" i="150"/>
  <c r="O91" i="150"/>
  <c r="O102" i="150"/>
  <c r="N91" i="150"/>
  <c r="N112" i="150"/>
  <c r="T141" i="150"/>
  <c r="I62" i="150"/>
  <c r="Q71" i="150"/>
  <c r="H62" i="150"/>
  <c r="S73" i="150"/>
  <c r="L71" i="150"/>
  <c r="R130" i="150"/>
  <c r="J75" i="150"/>
  <c r="O42" i="150"/>
  <c r="T42" i="150"/>
  <c r="Q29" i="150"/>
  <c r="I37" i="150"/>
  <c r="S42" i="150"/>
  <c r="L22" i="150"/>
  <c r="K25" i="150"/>
  <c r="S17" i="150"/>
  <c r="M95" i="150"/>
  <c r="J97" i="150"/>
  <c r="H34" i="150"/>
  <c r="K40" i="150"/>
  <c r="H163" i="150"/>
  <c r="H41" i="150"/>
  <c r="S28" i="150"/>
  <c r="S126" i="150"/>
  <c r="H97" i="150"/>
  <c r="N111" i="150"/>
  <c r="Q63" i="150"/>
  <c r="J92" i="150"/>
  <c r="Q36" i="150"/>
  <c r="O185" i="150"/>
  <c r="Q190" i="150"/>
  <c r="S171" i="150"/>
  <c r="L165" i="150"/>
  <c r="P185" i="150"/>
  <c r="O154" i="150"/>
  <c r="O166" i="150"/>
  <c r="I140" i="150"/>
  <c r="P140" i="150"/>
  <c r="K162" i="150"/>
  <c r="P114" i="150"/>
  <c r="O126" i="150"/>
  <c r="K134" i="150"/>
  <c r="N130" i="150"/>
  <c r="Q148" i="150"/>
  <c r="T86" i="150"/>
  <c r="N185" i="150"/>
  <c r="T147" i="150"/>
  <c r="M115" i="150"/>
  <c r="K110" i="150"/>
  <c r="S82" i="150"/>
  <c r="S60" i="150"/>
  <c r="Q57" i="150"/>
  <c r="N56" i="150"/>
  <c r="R41" i="150"/>
  <c r="P50" i="150"/>
  <c r="M19" i="150"/>
  <c r="H141" i="150"/>
  <c r="I66" i="150"/>
  <c r="M18" i="150"/>
  <c r="J140" i="150"/>
  <c r="S119" i="150"/>
  <c r="N104" i="150"/>
  <c r="T66" i="150"/>
  <c r="H105" i="150"/>
  <c r="Q23" i="150"/>
  <c r="O184" i="150"/>
  <c r="J164" i="150"/>
  <c r="I120" i="150"/>
  <c r="M172" i="150"/>
  <c r="L100" i="150"/>
  <c r="K93" i="150"/>
  <c r="Q100" i="150"/>
  <c r="L87" i="150"/>
  <c r="M78" i="150"/>
  <c r="K71" i="150"/>
  <c r="R83" i="150"/>
  <c r="H63" i="150"/>
  <c r="O54" i="150"/>
  <c r="J41" i="150"/>
  <c r="M32" i="150"/>
  <c r="T50" i="150"/>
  <c r="S29" i="150"/>
  <c r="I24" i="150"/>
  <c r="M17" i="150"/>
  <c r="Q59" i="150"/>
  <c r="I33" i="150"/>
  <c r="R30" i="150"/>
  <c r="T175" i="150"/>
  <c r="S36" i="150"/>
  <c r="S172" i="150"/>
  <c r="S185" i="150"/>
  <c r="T163" i="150"/>
  <c r="Q157" i="150"/>
  <c r="I147" i="150"/>
  <c r="L148" i="150"/>
  <c r="M105" i="150"/>
  <c r="Q165" i="150"/>
  <c r="O105" i="150"/>
  <c r="O83" i="150"/>
  <c r="M58" i="150"/>
  <c r="K50" i="150"/>
  <c r="S186" i="150"/>
  <c r="I176" i="150"/>
  <c r="Q158" i="150"/>
  <c r="T173" i="150"/>
  <c r="P146" i="150"/>
  <c r="S155" i="150"/>
  <c r="P171" i="150"/>
  <c r="M140" i="150"/>
  <c r="I114" i="150"/>
  <c r="T127" i="150"/>
  <c r="Q146" i="150"/>
  <c r="T167" i="150"/>
  <c r="S108" i="150"/>
  <c r="Q91" i="150"/>
  <c r="P99" i="150"/>
  <c r="L126" i="150"/>
  <c r="S150" i="150"/>
  <c r="K87" i="150"/>
  <c r="K70" i="150"/>
  <c r="R78" i="150"/>
  <c r="H94" i="150"/>
  <c r="I123" i="150"/>
  <c r="M56" i="150"/>
  <c r="M89" i="150"/>
  <c r="N109" i="150"/>
  <c r="T142" i="150"/>
  <c r="T71" i="150"/>
  <c r="T43" i="150"/>
  <c r="Q45" i="150"/>
  <c r="P51" i="150"/>
  <c r="P46" i="150"/>
  <c r="T32" i="150"/>
  <c r="N30" i="150"/>
  <c r="K22" i="150"/>
  <c r="T19" i="150"/>
  <c r="O15" i="150"/>
  <c r="R46" i="150"/>
  <c r="R96" i="150"/>
  <c r="H70" i="150"/>
  <c r="H52" i="150"/>
  <c r="K170" i="150"/>
  <c r="M175" i="150"/>
  <c r="N170" i="150"/>
  <c r="P188" i="150"/>
  <c r="H154" i="150"/>
  <c r="J171" i="150"/>
  <c r="J142" i="150"/>
  <c r="R151" i="150"/>
  <c r="I124" i="150"/>
  <c r="L135" i="150"/>
  <c r="H181" i="150"/>
  <c r="K111" i="150"/>
  <c r="S118" i="150"/>
  <c r="Q101" i="150"/>
  <c r="I113" i="150"/>
  <c r="N148" i="150"/>
  <c r="K86" i="150"/>
  <c r="K97" i="150"/>
  <c r="R80" i="150"/>
  <c r="I98" i="150"/>
  <c r="I119" i="150"/>
  <c r="Q56" i="150"/>
  <c r="M66" i="150"/>
  <c r="O60" i="150"/>
  <c r="N108" i="150"/>
  <c r="N93" i="150"/>
  <c r="N96" i="150"/>
  <c r="K53" i="150"/>
  <c r="Q55" i="150"/>
  <c r="O38" i="150"/>
  <c r="N43" i="150"/>
  <c r="L48" i="150"/>
  <c r="T33" i="150"/>
  <c r="T28" i="150"/>
  <c r="R27" i="150"/>
  <c r="T17" i="150"/>
  <c r="Q76" i="150"/>
  <c r="N113" i="150"/>
  <c r="K46" i="150"/>
  <c r="K34" i="150"/>
  <c r="K62" i="150"/>
  <c r="M36" i="150"/>
  <c r="R23" i="150"/>
  <c r="S110" i="150"/>
  <c r="H89" i="150"/>
  <c r="K72" i="150"/>
  <c r="J180" i="150"/>
  <c r="T182" i="150"/>
  <c r="I110" i="150"/>
  <c r="S104" i="150"/>
  <c r="O159" i="150"/>
  <c r="Q80" i="150"/>
  <c r="R132" i="150"/>
  <c r="R81" i="150"/>
  <c r="T36" i="150"/>
  <c r="O30" i="150"/>
  <c r="P15" i="150"/>
  <c r="I121" i="150"/>
  <c r="O68" i="150"/>
  <c r="M16" i="150"/>
  <c r="Q163" i="150"/>
  <c r="K106" i="150"/>
  <c r="M83" i="150"/>
  <c r="M48" i="150"/>
  <c r="T130" i="150"/>
  <c r="K24" i="150"/>
  <c r="Q164" i="150"/>
  <c r="O156" i="150"/>
  <c r="R174" i="150"/>
  <c r="T166" i="150"/>
  <c r="Q104" i="150"/>
  <c r="N154" i="150"/>
  <c r="S141" i="150"/>
  <c r="M104" i="150"/>
  <c r="J96" i="150"/>
  <c r="L73" i="150"/>
  <c r="H53" i="150"/>
  <c r="S33" i="150"/>
  <c r="H130" i="150"/>
  <c r="L102" i="150"/>
  <c r="H69" i="150"/>
  <c r="R186" i="150"/>
  <c r="I144" i="150"/>
  <c r="P93" i="150"/>
  <c r="R70" i="150"/>
  <c r="S50" i="150"/>
  <c r="N59" i="150"/>
  <c r="S27" i="150"/>
  <c r="H190" i="150"/>
  <c r="I151" i="150"/>
  <c r="H132" i="150"/>
  <c r="S114" i="150"/>
  <c r="P135" i="150"/>
  <c r="O82" i="150"/>
  <c r="J74" i="150"/>
  <c r="Q68" i="150"/>
  <c r="Q67" i="150"/>
  <c r="R75" i="150"/>
  <c r="H57" i="150"/>
  <c r="J103" i="150"/>
  <c r="H40" i="150"/>
  <c r="S48" i="150"/>
  <c r="T45" i="150"/>
  <c r="N53" i="150"/>
  <c r="J28" i="150"/>
  <c r="H22" i="150"/>
  <c r="N171" i="150"/>
  <c r="R93" i="150"/>
  <c r="R43" i="150"/>
  <c r="O25" i="150"/>
  <c r="R102" i="150"/>
  <c r="M24" i="150"/>
  <c r="R180" i="150"/>
  <c r="S169" i="150"/>
  <c r="T155" i="150"/>
  <c r="P183" i="150"/>
  <c r="R144" i="150"/>
  <c r="I137" i="150"/>
  <c r="S144" i="150"/>
  <c r="S129" i="150"/>
  <c r="R115" i="150"/>
  <c r="J134" i="150"/>
  <c r="R94" i="150"/>
  <c r="P54" i="150"/>
  <c r="S170" i="150"/>
  <c r="S183" i="150"/>
  <c r="Q175" i="150"/>
  <c r="N160" i="150"/>
  <c r="L164" i="150"/>
  <c r="T186" i="150"/>
  <c r="H147" i="150"/>
  <c r="J153" i="150"/>
  <c r="M103" i="150"/>
  <c r="T119" i="150"/>
  <c r="K133" i="150"/>
  <c r="O142" i="150"/>
  <c r="R148" i="150"/>
  <c r="I81" i="150"/>
  <c r="P91" i="150"/>
  <c r="L110" i="150"/>
  <c r="H127" i="150"/>
  <c r="J148" i="150"/>
  <c r="O59" i="150"/>
  <c r="J68" i="150"/>
  <c r="Q78" i="150"/>
  <c r="L93" i="150"/>
  <c r="N89" i="150"/>
  <c r="R63" i="150"/>
  <c r="T72" i="150"/>
  <c r="T78" i="150"/>
  <c r="S140" i="150"/>
  <c r="R34" i="150"/>
  <c r="R35" i="150"/>
  <c r="R52" i="150"/>
  <c r="R37" i="150"/>
  <c r="Q41" i="150"/>
  <c r="T26" i="150"/>
  <c r="N26" i="150"/>
  <c r="L19" i="150"/>
  <c r="S163" i="150"/>
  <c r="S20" i="150"/>
  <c r="M75" i="150"/>
  <c r="J45" i="150"/>
  <c r="M27" i="150"/>
  <c r="N183" i="150"/>
  <c r="O188" i="150"/>
  <c r="I158" i="150"/>
  <c r="P172" i="150"/>
  <c r="H146" i="150"/>
  <c r="J155" i="150"/>
  <c r="N168" i="150"/>
  <c r="Q139" i="150"/>
  <c r="M113" i="150"/>
  <c r="L127" i="150"/>
  <c r="O145" i="150"/>
  <c r="K166" i="150"/>
  <c r="K108" i="150"/>
  <c r="I91" i="150"/>
  <c r="H99" i="150"/>
  <c r="H125" i="150"/>
  <c r="I146" i="150"/>
  <c r="O86" i="150"/>
  <c r="O69" i="150"/>
  <c r="J78" i="150"/>
  <c r="T93" i="150"/>
  <c r="Q117" i="150"/>
  <c r="J179" i="150"/>
  <c r="I88" i="150"/>
  <c r="R99" i="150"/>
  <c r="N133" i="150"/>
  <c r="P70" i="150"/>
  <c r="L43" i="150"/>
  <c r="I45" i="150"/>
  <c r="L50" i="150"/>
  <c r="K39" i="150"/>
  <c r="I32" i="150"/>
  <c r="K29" i="150"/>
  <c r="Q21" i="150"/>
  <c r="Q18" i="150"/>
  <c r="N15" i="150"/>
  <c r="Q75" i="150"/>
  <c r="H59" i="150"/>
  <c r="R48" i="150"/>
  <c r="N23" i="150"/>
  <c r="O164" i="150"/>
  <c r="N33" i="150"/>
  <c r="J19" i="150"/>
  <c r="N126" i="150"/>
  <c r="H121" i="150"/>
  <c r="J70" i="150"/>
  <c r="H78" i="150"/>
  <c r="N37" i="150"/>
  <c r="J22" i="150"/>
  <c r="O169" i="150"/>
  <c r="Q174" i="150"/>
  <c r="J169" i="150"/>
  <c r="L187" i="150"/>
  <c r="T153" i="150"/>
  <c r="P170" i="150"/>
  <c r="N141" i="150"/>
  <c r="T150" i="150"/>
  <c r="M123" i="150"/>
  <c r="P134" i="150"/>
  <c r="L178" i="150"/>
  <c r="O110" i="150"/>
  <c r="K118" i="150"/>
  <c r="I101" i="150"/>
  <c r="Q111" i="150"/>
  <c r="H140" i="150"/>
  <c r="O85" i="150"/>
  <c r="O96" i="150"/>
  <c r="N79" i="150"/>
  <c r="Q96" i="150"/>
  <c r="Q113" i="150"/>
  <c r="I56" i="150"/>
  <c r="Q65" i="150"/>
  <c r="N76" i="150"/>
  <c r="Q102" i="150"/>
  <c r="M165" i="150"/>
  <c r="R164" i="150"/>
  <c r="P129" i="150"/>
  <c r="I96" i="150"/>
  <c r="L33" i="150"/>
  <c r="H122" i="150"/>
  <c r="O76" i="150"/>
  <c r="H175" i="150"/>
  <c r="H180" i="150"/>
  <c r="J57" i="150"/>
  <c r="H182" i="150"/>
  <c r="H136" i="150"/>
  <c r="M92" i="150"/>
  <c r="K76" i="150"/>
  <c r="Q121" i="150"/>
  <c r="J130" i="150"/>
  <c r="H65" i="150"/>
  <c r="T57" i="150"/>
  <c r="P43" i="150"/>
  <c r="J32" i="150"/>
  <c r="O22" i="150"/>
  <c r="H15" i="150"/>
  <c r="N121" i="150"/>
  <c r="H26" i="150"/>
  <c r="N47" i="150"/>
  <c r="Q188" i="150"/>
  <c r="T159" i="150"/>
  <c r="K147" i="150"/>
  <c r="R145" i="150"/>
  <c r="L117" i="150"/>
  <c r="H101" i="150"/>
  <c r="N78" i="150"/>
  <c r="L25" i="150"/>
  <c r="O178" i="150"/>
  <c r="T189" i="150"/>
  <c r="O150" i="150"/>
  <c r="J156" i="150"/>
  <c r="I130" i="150"/>
  <c r="T115" i="150"/>
  <c r="S111" i="150"/>
  <c r="N122" i="150"/>
  <c r="P95" i="150"/>
  <c r="K92" i="150"/>
  <c r="J126" i="150"/>
  <c r="M99" i="150"/>
  <c r="I68" i="150"/>
  <c r="N123" i="150"/>
  <c r="K75" i="150"/>
  <c r="T70" i="150"/>
  <c r="S53" i="150"/>
  <c r="K48" i="150"/>
  <c r="Q48" i="150"/>
  <c r="K44" i="150"/>
  <c r="T27" i="150"/>
  <c r="I16" i="150"/>
  <c r="L180" i="150"/>
  <c r="K45" i="150"/>
  <c r="K186" i="150"/>
  <c r="K183" i="150"/>
  <c r="T161" i="150"/>
  <c r="O163" i="150"/>
  <c r="P190" i="150"/>
  <c r="O141" i="150"/>
  <c r="L123" i="150"/>
  <c r="S121" i="150"/>
  <c r="J141" i="150"/>
  <c r="H103" i="150"/>
  <c r="K102" i="150"/>
  <c r="K81" i="150"/>
  <c r="J135" i="150"/>
  <c r="I78" i="150"/>
  <c r="I61" i="150"/>
  <c r="R101" i="150"/>
  <c r="R95" i="150"/>
  <c r="K63" i="150"/>
  <c r="J35" i="150"/>
  <c r="H29" i="150"/>
  <c r="R32" i="150"/>
  <c r="R24" i="150"/>
  <c r="H17" i="150"/>
  <c r="S59" i="150"/>
  <c r="T48" i="150"/>
  <c r="O17" i="150"/>
  <c r="T55" i="150"/>
  <c r="H145" i="150"/>
  <c r="L166" i="150"/>
  <c r="O78" i="150"/>
  <c r="J36" i="150"/>
  <c r="L15" i="150"/>
  <c r="M185" i="150"/>
  <c r="Q162" i="150"/>
  <c r="N164" i="150"/>
  <c r="K149" i="150"/>
  <c r="H189" i="150"/>
  <c r="T178" i="150"/>
  <c r="M147" i="150"/>
  <c r="O157" i="150"/>
  <c r="K148" i="150"/>
  <c r="R119" i="150"/>
  <c r="T102" i="150"/>
  <c r="T116" i="150"/>
  <c r="P125" i="150"/>
  <c r="N119" i="150"/>
  <c r="R129" i="150"/>
  <c r="M136" i="150"/>
  <c r="S142" i="150"/>
  <c r="R169" i="150"/>
  <c r="R71" i="150"/>
  <c r="L70" i="150"/>
  <c r="L76" i="150"/>
  <c r="N84" i="150"/>
  <c r="Q33" i="150"/>
  <c r="P34" i="150"/>
  <c r="J50" i="150"/>
  <c r="O35" i="150"/>
  <c r="P39" i="150"/>
  <c r="P25" i="150"/>
  <c r="I27" i="150"/>
  <c r="K19" i="150"/>
  <c r="O179" i="150"/>
  <c r="I160" i="150"/>
  <c r="L152" i="150"/>
  <c r="O88" i="150"/>
  <c r="N64" i="150"/>
  <c r="L49" i="150"/>
  <c r="H114" i="150"/>
  <c r="H67" i="150"/>
  <c r="M111" i="150"/>
  <c r="J63" i="150"/>
  <c r="R77" i="150"/>
  <c r="H174" i="150"/>
  <c r="H128" i="150"/>
  <c r="I87" i="150"/>
  <c r="S70" i="150"/>
  <c r="I74" i="150"/>
  <c r="S75" i="150"/>
  <c r="J83" i="150"/>
  <c r="S69" i="150"/>
  <c r="R39" i="150"/>
  <c r="K33" i="150"/>
  <c r="S22" i="150"/>
  <c r="I79" i="150"/>
  <c r="H60" i="150"/>
  <c r="N22" i="150"/>
  <c r="O39" i="150"/>
  <c r="M183" i="150"/>
  <c r="P176" i="150"/>
  <c r="N180" i="150"/>
  <c r="K137" i="150"/>
  <c r="K141" i="150"/>
  <c r="H81" i="150"/>
  <c r="P75" i="150"/>
  <c r="I20" i="150"/>
  <c r="K173" i="150"/>
  <c r="R165" i="150"/>
  <c r="R189" i="150"/>
  <c r="M141" i="150"/>
  <c r="Q124" i="150"/>
  <c r="T111" i="150"/>
  <c r="H151" i="150"/>
  <c r="R111" i="150"/>
  <c r="P87" i="150"/>
  <c r="S86" i="150"/>
  <c r="O103" i="150"/>
  <c r="N73" i="150"/>
  <c r="Q62" i="150"/>
  <c r="O74" i="150"/>
  <c r="R117" i="150"/>
  <c r="T62" i="150"/>
  <c r="N39" i="150"/>
  <c r="H43" i="150"/>
  <c r="P48" i="150"/>
  <c r="I35" i="150"/>
  <c r="M23" i="150"/>
  <c r="Q94" i="150"/>
  <c r="K135" i="150"/>
  <c r="O55" i="150"/>
  <c r="S180" i="150"/>
  <c r="S177" i="150"/>
  <c r="P180" i="150"/>
  <c r="M155" i="150"/>
  <c r="Q155" i="150"/>
  <c r="Q134" i="150"/>
  <c r="L119" i="150"/>
  <c r="S105" i="150"/>
  <c r="R131" i="150"/>
  <c r="H95" i="150"/>
  <c r="S96" i="150"/>
  <c r="S145" i="150"/>
  <c r="M87" i="150"/>
  <c r="Q72" i="150"/>
  <c r="R116" i="150"/>
  <c r="L67" i="150"/>
  <c r="P77" i="150"/>
  <c r="S47" i="150"/>
  <c r="S52" i="150"/>
  <c r="M47" i="150"/>
  <c r="M53" i="150"/>
  <c r="J25" i="150"/>
  <c r="K15" i="150"/>
  <c r="M81" i="150"/>
  <c r="S39" i="150"/>
  <c r="T185" i="150"/>
  <c r="J30" i="150"/>
  <c r="S158" i="150"/>
  <c r="I189" i="150"/>
  <c r="N140" i="150"/>
  <c r="S76" i="150"/>
  <c r="R118" i="150"/>
  <c r="M51" i="150"/>
  <c r="H106" i="150"/>
  <c r="K32" i="150"/>
  <c r="H171" i="150"/>
  <c r="I80" i="150"/>
  <c r="P67" i="150"/>
  <c r="N166" i="150"/>
  <c r="H124" i="150"/>
  <c r="J154" i="150"/>
  <c r="M153" i="150"/>
  <c r="M63" i="150"/>
  <c r="K65" i="150"/>
  <c r="J106" i="150"/>
  <c r="H44" i="150"/>
  <c r="T52" i="150"/>
  <c r="O34" i="150"/>
  <c r="I26" i="150"/>
  <c r="K101" i="150"/>
  <c r="M54" i="150"/>
  <c r="H18" i="150"/>
  <c r="Q25" i="150"/>
  <c r="I178" i="150"/>
  <c r="P168" i="150"/>
  <c r="N151" i="150"/>
  <c r="Q126" i="150"/>
  <c r="K119" i="150"/>
  <c r="H129" i="150"/>
  <c r="N100" i="150"/>
  <c r="K176" i="150"/>
  <c r="N182" i="150"/>
  <c r="I187" i="150"/>
  <c r="L172" i="150"/>
  <c r="Q185" i="150"/>
  <c r="Q108" i="150"/>
  <c r="T107" i="150"/>
  <c r="O135" i="150"/>
  <c r="M102" i="150"/>
  <c r="P83" i="150"/>
  <c r="H135" i="150"/>
  <c r="R92" i="150"/>
  <c r="R62" i="150"/>
  <c r="M57" i="150"/>
  <c r="S63" i="150"/>
  <c r="N82" i="150"/>
  <c r="N142" i="150"/>
  <c r="R53" i="150"/>
  <c r="J39" i="150"/>
  <c r="S30" i="150"/>
  <c r="L34" i="150"/>
  <c r="S25" i="150"/>
  <c r="M130" i="150"/>
  <c r="I83" i="150"/>
  <c r="L54" i="150"/>
  <c r="R188" i="150"/>
  <c r="O172" i="150"/>
  <c r="J165" i="150"/>
  <c r="S149" i="150"/>
  <c r="K146" i="150"/>
  <c r="Q118" i="150"/>
  <c r="L115" i="150"/>
  <c r="R150" i="150"/>
  <c r="J121" i="150"/>
  <c r="H91" i="150"/>
  <c r="S80" i="150"/>
  <c r="R120" i="150"/>
  <c r="R72" i="150"/>
  <c r="M67" i="150"/>
  <c r="J88" i="150"/>
  <c r="R57" i="150"/>
  <c r="P69" i="150"/>
  <c r="S38" i="150"/>
  <c r="O47" i="150"/>
  <c r="I36" i="150"/>
  <c r="R42" i="150"/>
  <c r="L27" i="150"/>
  <c r="Q153" i="150"/>
  <c r="L63" i="150"/>
  <c r="S44" i="150"/>
  <c r="J80" i="150"/>
  <c r="L31" i="150"/>
  <c r="J105" i="150"/>
  <c r="M178" i="150"/>
  <c r="O134" i="150"/>
  <c r="O71" i="150"/>
  <c r="J89" i="150"/>
  <c r="S40" i="150"/>
  <c r="J139" i="150"/>
  <c r="N24" i="150"/>
  <c r="H142" i="150"/>
  <c r="N58" i="150"/>
  <c r="R65" i="150"/>
  <c r="L151" i="150"/>
  <c r="I163" i="150"/>
  <c r="P127" i="150"/>
  <c r="R143" i="150"/>
  <c r="I58" i="150"/>
  <c r="Q90" i="150"/>
  <c r="L160" i="150"/>
  <c r="N54" i="150"/>
  <c r="I44" i="150"/>
  <c r="N29" i="150"/>
  <c r="O26" i="150"/>
  <c r="O57" i="150"/>
  <c r="L37" i="150"/>
  <c r="H16" i="150"/>
  <c r="P18" i="150"/>
  <c r="K175" i="150"/>
  <c r="J157" i="150"/>
  <c r="N139" i="150"/>
  <c r="I116" i="150"/>
  <c r="S113" i="150"/>
  <c r="O94" i="150"/>
  <c r="P74" i="150"/>
  <c r="J184" i="150"/>
  <c r="R171" i="150"/>
  <c r="P174" i="150"/>
  <c r="M150" i="150"/>
  <c r="S164" i="150"/>
  <c r="T164" i="150"/>
  <c r="T103" i="150"/>
  <c r="K130" i="150"/>
  <c r="M86" i="150"/>
  <c r="P79" i="150"/>
  <c r="H119" i="150"/>
  <c r="J82" i="150"/>
  <c r="N57" i="150"/>
  <c r="L101" i="150"/>
  <c r="P68" i="150"/>
  <c r="T64" i="150"/>
  <c r="R97" i="150"/>
  <c r="N48" i="150"/>
  <c r="Q42" i="150"/>
  <c r="J40" i="150"/>
  <c r="S21" i="150"/>
  <c r="N21" i="150"/>
  <c r="H90" i="150"/>
  <c r="N103" i="150"/>
  <c r="Q37" i="150"/>
  <c r="J178" i="150"/>
  <c r="K167" i="150"/>
  <c r="R159" i="150"/>
  <c r="M162" i="150"/>
  <c r="Q140" i="150"/>
  <c r="I108" i="150"/>
  <c r="L111" i="150"/>
  <c r="R141" i="150"/>
  <c r="M96" i="150"/>
  <c r="H87" i="150"/>
  <c r="T134" i="150"/>
  <c r="J102" i="150"/>
  <c r="N67" i="150"/>
  <c r="N144" i="150"/>
  <c r="K73" i="150"/>
  <c r="J81" i="150"/>
  <c r="P61" i="150"/>
  <c r="J34" i="150"/>
  <c r="M33" i="150"/>
  <c r="L47" i="150"/>
  <c r="R33" i="150"/>
  <c r="Q22" i="150"/>
  <c r="M160" i="150"/>
  <c r="J124" i="150"/>
  <c r="H30" i="150"/>
  <c r="T67" i="150"/>
  <c r="S31" i="150"/>
  <c r="M88" i="150"/>
  <c r="K157" i="150"/>
  <c r="T61" i="150"/>
  <c r="Q44" i="150"/>
  <c r="S174" i="150"/>
  <c r="S187" i="150"/>
  <c r="I173" i="150"/>
  <c r="K160" i="150"/>
  <c r="M154" i="150"/>
  <c r="M145" i="150"/>
  <c r="Q128" i="150"/>
  <c r="P126" i="150"/>
  <c r="S131" i="150"/>
  <c r="O123" i="150"/>
  <c r="M90" i="150"/>
  <c r="T90" i="150"/>
  <c r="K96" i="150"/>
  <c r="S101" i="150"/>
  <c r="K74" i="150"/>
  <c r="N77" i="150"/>
  <c r="P84" i="150"/>
  <c r="T91" i="150"/>
  <c r="S71" i="150"/>
  <c r="T65" i="150"/>
  <c r="T69" i="150"/>
  <c r="J128" i="150"/>
  <c r="R69" i="150"/>
  <c r="S41" i="150"/>
  <c r="L42" i="150"/>
  <c r="I29" i="150"/>
  <c r="H55" i="150"/>
  <c r="O41" i="150"/>
  <c r="J21" i="150"/>
  <c r="P24" i="150"/>
  <c r="O16" i="150"/>
  <c r="N187" i="150"/>
  <c r="K187" i="150"/>
  <c r="Q156" i="150"/>
  <c r="H170" i="150"/>
  <c r="L185" i="150"/>
  <c r="M148" i="150"/>
  <c r="Q144" i="150"/>
  <c r="N147" i="150"/>
  <c r="H118" i="150"/>
  <c r="O133" i="150"/>
  <c r="Q131" i="150"/>
  <c r="O95" i="150"/>
  <c r="S78" i="150"/>
  <c r="L83" i="150"/>
  <c r="R134" i="150"/>
  <c r="I49" i="150"/>
  <c r="N25" i="150"/>
  <c r="K181" i="150"/>
  <c r="J163" i="150"/>
  <c r="P186" i="150"/>
  <c r="H138" i="150"/>
  <c r="T113" i="150"/>
  <c r="S132" i="150"/>
  <c r="I109" i="150"/>
  <c r="K84" i="150"/>
  <c r="K78" i="150"/>
  <c r="H82" i="150"/>
  <c r="R98" i="150"/>
  <c r="J104" i="150"/>
  <c r="R45" i="150"/>
  <c r="P32" i="150"/>
  <c r="K132" i="150"/>
  <c r="J86" i="150"/>
  <c r="L137" i="150"/>
  <c r="S55" i="150"/>
  <c r="I48" i="150"/>
  <c r="R138" i="150"/>
  <c r="P96" i="150"/>
  <c r="P27" i="150"/>
  <c r="S175" i="150"/>
  <c r="P47" i="150"/>
  <c r="J138" i="150"/>
  <c r="P119" i="150"/>
  <c r="M124" i="150"/>
  <c r="N102" i="150"/>
  <c r="T30" i="150"/>
  <c r="H20" i="150"/>
  <c r="I39" i="150"/>
  <c r="S188" i="150"/>
  <c r="H177" i="150"/>
  <c r="O155" i="150"/>
  <c r="R121" i="150"/>
  <c r="R178" i="150"/>
  <c r="S162" i="150"/>
  <c r="Q152" i="150"/>
  <c r="S138" i="150"/>
  <c r="L154" i="150"/>
  <c r="H111" i="150"/>
  <c r="P143" i="150"/>
  <c r="K67" i="150"/>
  <c r="T63" i="150"/>
  <c r="I41" i="150"/>
  <c r="O27" i="150"/>
  <c r="T60" i="150"/>
  <c r="N35" i="150"/>
  <c r="M163" i="150"/>
  <c r="Q149" i="150"/>
  <c r="J187" i="150"/>
  <c r="S134" i="150"/>
  <c r="H83" i="150"/>
  <c r="S74" i="150"/>
  <c r="H100" i="150"/>
  <c r="P71" i="150"/>
  <c r="J53" i="150"/>
  <c r="P29" i="150"/>
  <c r="N19" i="150"/>
  <c r="H68" i="150"/>
  <c r="S45" i="150"/>
  <c r="I129" i="150"/>
  <c r="M59" i="150"/>
  <c r="I34" i="150"/>
  <c r="J188" i="150"/>
  <c r="N190" i="150"/>
  <c r="J159" i="150"/>
  <c r="I149" i="150"/>
  <c r="M144" i="150"/>
  <c r="O140" i="150"/>
  <c r="K121" i="150"/>
  <c r="M168" i="150"/>
  <c r="T98" i="150"/>
  <c r="S90" i="150"/>
  <c r="O80" i="150"/>
  <c r="J111" i="150"/>
  <c r="M77" i="150"/>
  <c r="I71" i="150"/>
  <c r="J61" i="150"/>
  <c r="N85" i="150"/>
  <c r="L69" i="150"/>
  <c r="N52" i="150"/>
  <c r="T37" i="150"/>
  <c r="O36" i="150"/>
  <c r="H32" i="150"/>
  <c r="I25" i="150"/>
  <c r="O20" i="150"/>
  <c r="K174" i="150"/>
  <c r="Q168" i="150"/>
  <c r="M182" i="150"/>
  <c r="N158" i="150"/>
  <c r="S153" i="150"/>
  <c r="R140" i="150"/>
  <c r="Q143" i="150"/>
  <c r="H134" i="150"/>
  <c r="R147" i="150"/>
  <c r="M110" i="150"/>
  <c r="L144" i="150"/>
  <c r="R105" i="150"/>
  <c r="M70" i="150"/>
  <c r="T77" i="150"/>
  <c r="H38" i="150"/>
  <c r="I168" i="150"/>
  <c r="T183" i="150"/>
  <c r="H183" i="150"/>
  <c r="I106" i="150"/>
  <c r="K125" i="150"/>
  <c r="M94" i="150"/>
  <c r="L106" i="150"/>
  <c r="J98" i="150"/>
  <c r="Q70" i="150"/>
  <c r="Q98" i="150"/>
  <c r="T58" i="150"/>
  <c r="J29" i="150"/>
  <c r="J17" i="150"/>
  <c r="T106" i="150"/>
  <c r="H80" i="150"/>
  <c r="R55" i="150"/>
  <c r="T21" i="150"/>
  <c r="P177" i="150"/>
  <c r="P88" i="150"/>
  <c r="O23" i="150"/>
  <c r="R187" i="150"/>
  <c r="T53" i="150"/>
  <c r="N153" i="150"/>
  <c r="K82" i="150"/>
  <c r="P102" i="150"/>
  <c r="S159" i="150"/>
  <c r="T47" i="150"/>
  <c r="N18" i="150"/>
  <c r="P30" i="150"/>
  <c r="O183" i="150"/>
  <c r="H148" i="150"/>
  <c r="L133" i="150"/>
  <c r="N75" i="150"/>
  <c r="N173" i="150"/>
  <c r="P154" i="150"/>
  <c r="T184" i="150"/>
  <c r="S127" i="150"/>
  <c r="Q135" i="150"/>
  <c r="K103" i="150"/>
  <c r="M120" i="150"/>
  <c r="N74" i="150"/>
  <c r="H144" i="150"/>
  <c r="P31" i="150"/>
  <c r="T22" i="150"/>
  <c r="J51" i="150"/>
  <c r="Q27" i="150"/>
  <c r="I185" i="150"/>
  <c r="T180" i="150"/>
  <c r="N163" i="150"/>
  <c r="O129" i="150"/>
  <c r="H133" i="150"/>
  <c r="K64" i="150"/>
  <c r="H92" i="150"/>
  <c r="P63" i="150"/>
  <c r="R47" i="150"/>
  <c r="Q39" i="150"/>
  <c r="L20" i="150"/>
  <c r="J67" i="150"/>
  <c r="O40" i="150"/>
  <c r="Q107" i="150"/>
  <c r="H96" i="150"/>
  <c r="Q52" i="150"/>
  <c r="R182" i="150"/>
  <c r="R179" i="150"/>
  <c r="T172" i="150"/>
  <c r="I179" i="150"/>
  <c r="I139" i="150"/>
  <c r="P130" i="150"/>
  <c r="S115" i="150"/>
  <c r="L140" i="150"/>
  <c r="T94" i="150"/>
  <c r="K80" i="150"/>
  <c r="K138" i="150"/>
  <c r="I86" i="150"/>
  <c r="I72" i="150"/>
  <c r="M60" i="150"/>
  <c r="J99" i="150"/>
  <c r="R73" i="150"/>
  <c r="L61" i="150"/>
  <c r="J47" i="150"/>
  <c r="S32" i="150"/>
  <c r="I46" i="150"/>
  <c r="I52" i="150"/>
  <c r="J26" i="150"/>
  <c r="H19" i="150"/>
  <c r="S168" i="150"/>
  <c r="S181" i="150"/>
  <c r="Q171" i="150"/>
  <c r="N184" i="150"/>
  <c r="O148" i="150"/>
  <c r="T187" i="150"/>
  <c r="M138" i="150"/>
  <c r="H126" i="150"/>
  <c r="S122" i="150"/>
  <c r="L98" i="150"/>
  <c r="L124" i="150"/>
  <c r="R76" i="150"/>
  <c r="N107" i="150"/>
  <c r="O46" i="150"/>
  <c r="J27" i="150"/>
  <c r="O170" i="150"/>
  <c r="P152" i="150"/>
  <c r="M151" i="150"/>
  <c r="M156" i="150"/>
  <c r="O114" i="150"/>
  <c r="Q83" i="150"/>
  <c r="S94" i="150"/>
  <c r="O67" i="150"/>
  <c r="I60" i="150"/>
  <c r="J69" i="150"/>
  <c r="N88" i="150"/>
  <c r="I54" i="150"/>
  <c r="K158" i="150"/>
  <c r="S83" i="150"/>
  <c r="K57" i="150"/>
  <c r="Q47" i="150"/>
  <c r="J23" i="150"/>
  <c r="R160" i="150"/>
  <c r="P80" i="150"/>
  <c r="O19" i="150"/>
  <c r="Q166" i="150"/>
  <c r="R22" i="150"/>
  <c r="R146" i="150"/>
  <c r="P153" i="150"/>
  <c r="I73" i="150"/>
  <c r="H72" i="150"/>
  <c r="I50" i="150"/>
  <c r="Q19" i="150"/>
  <c r="T34" i="150"/>
  <c r="J186" i="150"/>
  <c r="K159" i="150"/>
  <c r="L129" i="150"/>
  <c r="H157" i="150"/>
  <c r="J168" i="150"/>
  <c r="H176" i="150"/>
  <c r="L142" i="150"/>
  <c r="O122" i="150"/>
  <c r="I125" i="150"/>
  <c r="S97" i="150"/>
  <c r="H86" i="150"/>
  <c r="J120" i="150"/>
  <c r="S65" i="150"/>
  <c r="L30" i="150"/>
  <c r="M21" i="150"/>
  <c r="R25" i="150"/>
  <c r="L23" i="150"/>
  <c r="M174" i="150"/>
  <c r="J167" i="150"/>
  <c r="O149" i="150"/>
  <c r="O113" i="150"/>
  <c r="H117" i="150"/>
  <c r="S58" i="150"/>
  <c r="H84" i="150"/>
  <c r="J136" i="150"/>
  <c r="M50" i="150"/>
  <c r="R50" i="150"/>
  <c r="I18" i="150"/>
  <c r="P37" i="150"/>
  <c r="I38" i="150"/>
  <c r="P137" i="150"/>
  <c r="M97" i="150"/>
  <c r="Q31" i="150"/>
  <c r="N177" i="150"/>
  <c r="M157" i="150"/>
  <c r="T149" i="150"/>
  <c r="S154" i="150"/>
  <c r="K150" i="150"/>
  <c r="P122" i="150"/>
  <c r="K105" i="150"/>
  <c r="J109" i="150"/>
  <c r="T82" i="150"/>
  <c r="J145" i="150"/>
  <c r="R100" i="150"/>
  <c r="J72" i="150"/>
  <c r="Q66" i="150"/>
  <c r="J114" i="150"/>
  <c r="O72" i="150"/>
  <c r="R126" i="150"/>
  <c r="R124" i="150"/>
  <c r="I55" i="150"/>
  <c r="H49" i="150"/>
  <c r="H46" i="150"/>
  <c r="H33" i="150"/>
  <c r="I21" i="150"/>
  <c r="L18" i="150"/>
  <c r="J182" i="150"/>
  <c r="O176" i="150"/>
  <c r="P164" i="150"/>
  <c r="H167" i="150"/>
  <c r="L182" i="150"/>
  <c r="M166" i="150"/>
  <c r="N176" i="150"/>
  <c r="H110" i="150"/>
  <c r="K112" i="150"/>
  <c r="L90" i="150"/>
  <c r="L108" i="150"/>
  <c r="J66" i="150"/>
  <c r="P56" i="150"/>
  <c r="R51" i="150"/>
  <c r="M26" i="150"/>
  <c r="J177" i="150"/>
  <c r="M184" i="150"/>
  <c r="Q138" i="150"/>
  <c r="T138" i="150"/>
  <c r="S103" i="150"/>
  <c r="K140" i="150"/>
  <c r="O143" i="150"/>
  <c r="J127" i="150"/>
  <c r="M132" i="150"/>
  <c r="R85" i="150"/>
  <c r="T59" i="150"/>
  <c r="P45" i="150"/>
  <c r="L121" i="150"/>
  <c r="O61" i="150"/>
  <c r="R67" i="150"/>
  <c r="T44" i="150"/>
  <c r="J18" i="150"/>
  <c r="P149" i="150"/>
  <c r="Q125" i="150"/>
  <c r="P20" i="150"/>
  <c r="I156" i="150"/>
  <c r="L168" i="150"/>
  <c r="I141" i="150"/>
  <c r="S87" i="150"/>
  <c r="I57" i="150"/>
  <c r="H64" i="150"/>
  <c r="T49" i="150"/>
  <c r="I17" i="150"/>
  <c r="R31" i="150"/>
  <c r="J170" i="150"/>
  <c r="O152" i="150"/>
  <c r="L125" i="150"/>
  <c r="T81" i="150"/>
  <c r="K189" i="150"/>
  <c r="S156" i="150"/>
  <c r="M135" i="150"/>
  <c r="K117" i="150"/>
  <c r="M114" i="150"/>
  <c r="S81" i="150"/>
  <c r="M73" i="150"/>
  <c r="P72" i="150"/>
  <c r="I84" i="150"/>
  <c r="R44" i="150"/>
  <c r="M25" i="150"/>
  <c r="K16" i="150"/>
  <c r="N16" i="150"/>
  <c r="T165" i="150"/>
  <c r="R155" i="150"/>
  <c r="L131" i="150"/>
  <c r="L173" i="150"/>
  <c r="H109" i="150"/>
  <c r="P147" i="150"/>
  <c r="I77" i="150"/>
  <c r="M85" i="150"/>
  <c r="T39" i="150"/>
  <c r="M40" i="150"/>
  <c r="P19" i="150"/>
  <c r="K41" i="150"/>
  <c r="P38" i="150"/>
  <c r="K94" i="150"/>
  <c r="N90" i="150"/>
  <c r="L24" i="150"/>
  <c r="J172" i="150"/>
  <c r="Q183" i="150"/>
  <c r="H187" i="150"/>
  <c r="J147" i="150"/>
  <c r="I134" i="150"/>
  <c r="P118" i="150"/>
  <c r="Q161" i="150"/>
  <c r="Q95" i="150"/>
  <c r="T188" i="150"/>
  <c r="P133" i="150"/>
  <c r="J90" i="150"/>
  <c r="R66" i="150"/>
  <c r="M61" i="150"/>
  <c r="R82" i="150"/>
  <c r="S152" i="150"/>
  <c r="N94" i="150"/>
  <c r="S61" i="150"/>
  <c r="Q49" i="150"/>
  <c r="I40" i="150"/>
  <c r="M34" i="150"/>
  <c r="N41" i="150"/>
  <c r="J24" i="150"/>
  <c r="T16" i="150"/>
  <c r="R176" i="150"/>
  <c r="K171" i="150"/>
  <c r="P160" i="150"/>
  <c r="N159" i="150"/>
  <c r="Q169" i="150"/>
  <c r="J152" i="150"/>
  <c r="M133" i="150"/>
  <c r="R173" i="150"/>
  <c r="P165" i="150"/>
  <c r="L82" i="150"/>
  <c r="O90" i="150"/>
  <c r="P175" i="150"/>
  <c r="N70" i="150"/>
  <c r="P41" i="150"/>
  <c r="K18" i="150"/>
  <c r="M161" i="150"/>
  <c r="J160" i="150"/>
  <c r="R156" i="150"/>
  <c r="T129" i="150"/>
  <c r="T145" i="150"/>
  <c r="P97" i="150"/>
  <c r="H123" i="150"/>
  <c r="I94" i="150"/>
  <c r="L97" i="150"/>
  <c r="O64" i="150"/>
  <c r="N60" i="150"/>
  <c r="K37" i="150"/>
  <c r="I99" i="150"/>
  <c r="Q92" i="150"/>
  <c r="O56" i="150"/>
  <c r="L46" i="150"/>
  <c r="N17" i="150"/>
  <c r="M106" i="150"/>
  <c r="K90" i="150"/>
  <c r="N20" i="150"/>
  <c r="M79" i="150"/>
  <c r="J49" i="150"/>
  <c r="L99" i="150"/>
  <c r="N186" i="150"/>
  <c r="N188" i="150"/>
  <c r="M186" i="150"/>
  <c r="J150" i="150"/>
  <c r="J151" i="150"/>
  <c r="L85" i="150"/>
  <c r="K43" i="150"/>
  <c r="T20" i="150"/>
  <c r="R172" i="150"/>
  <c r="P182" i="150"/>
  <c r="Q85" i="150"/>
  <c r="J62" i="150"/>
  <c r="P78" i="150"/>
  <c r="L26" i="150"/>
  <c r="J48" i="150"/>
  <c r="T114" i="150"/>
  <c r="K20" i="150"/>
  <c r="L161" i="150"/>
  <c r="I167" i="150"/>
  <c r="P110" i="150"/>
  <c r="I85" i="150"/>
  <c r="P117" i="150"/>
  <c r="N61" i="150"/>
  <c r="K61" i="150"/>
  <c r="L68" i="150"/>
  <c r="N44" i="150"/>
  <c r="H47" i="150"/>
  <c r="P26" i="150"/>
  <c r="I190" i="150"/>
  <c r="P156" i="150"/>
  <c r="S160" i="150"/>
  <c r="I128" i="150"/>
  <c r="J129" i="150"/>
  <c r="S79" i="150"/>
  <c r="H61" i="150"/>
  <c r="R17" i="150"/>
  <c r="S147" i="150"/>
  <c r="T121" i="150"/>
  <c r="P89" i="150"/>
  <c r="J76" i="150"/>
  <c r="J132" i="150"/>
  <c r="L28" i="150"/>
  <c r="R64" i="150"/>
  <c r="L32" i="150"/>
  <c r="T100" i="150"/>
  <c r="R88" i="150"/>
  <c r="J190" i="150"/>
  <c r="N63" i="150"/>
  <c r="S43" i="150"/>
  <c r="J107" i="150"/>
  <c r="R175" i="150"/>
  <c r="I154" i="150"/>
  <c r="H166" i="150"/>
  <c r="K142" i="150"/>
  <c r="L118" i="150"/>
  <c r="Q77" i="150"/>
  <c r="O37" i="150"/>
  <c r="I19" i="150"/>
  <c r="N167" i="150"/>
  <c r="I145" i="150"/>
  <c r="M80" i="150"/>
  <c r="R56" i="150"/>
  <c r="P62" i="150"/>
  <c r="K21" i="150"/>
  <c r="M28" i="150"/>
  <c r="K89" i="150"/>
  <c r="O18" i="150"/>
  <c r="L157" i="150"/>
  <c r="R154" i="150"/>
  <c r="P106" i="150"/>
  <c r="Q79" i="150"/>
  <c r="P109" i="150"/>
  <c r="J56" i="150"/>
  <c r="L59" i="150"/>
  <c r="L60" i="150"/>
  <c r="L39" i="150"/>
  <c r="N38" i="150"/>
  <c r="I22" i="150"/>
  <c r="Q184" i="150"/>
  <c r="H186" i="150"/>
  <c r="L189" i="150"/>
  <c r="M117" i="150"/>
  <c r="R107" i="150"/>
  <c r="N99" i="150"/>
  <c r="J71" i="150"/>
  <c r="J15" i="150"/>
  <c r="T168" i="150"/>
  <c r="T105" i="150"/>
  <c r="P81" i="150"/>
  <c r="N65" i="150"/>
  <c r="T76" i="150"/>
  <c r="H28" i="150"/>
  <c r="Q105" i="150"/>
  <c r="K42" i="150"/>
  <c r="T96" i="150"/>
  <c r="O73" i="150"/>
  <c r="Q176" i="150"/>
  <c r="J58" i="150"/>
  <c r="J38" i="150"/>
  <c r="H77" i="150"/>
  <c r="Q160" i="150"/>
  <c r="S137" i="150"/>
  <c r="H162" i="150"/>
  <c r="T135" i="150"/>
  <c r="S102" i="150"/>
  <c r="M72" i="150"/>
  <c r="N40" i="150"/>
  <c r="P17" i="150"/>
  <c r="I186" i="150"/>
  <c r="Q181" i="150"/>
  <c r="O151" i="150"/>
  <c r="T101" i="150"/>
  <c r="R106" i="150"/>
  <c r="S26" i="150"/>
  <c r="H24" i="150"/>
  <c r="M128" i="150"/>
  <c r="S190" i="150"/>
  <c r="L179" i="150"/>
  <c r="P179" i="150"/>
  <c r="P144" i="150"/>
  <c r="I133" i="150"/>
  <c r="K91" i="150"/>
  <c r="P100" i="150"/>
  <c r="R109" i="150"/>
  <c r="J95" i="150"/>
  <c r="K52" i="150"/>
  <c r="M31" i="150"/>
  <c r="K23" i="150"/>
  <c r="M179" i="150"/>
  <c r="H178" i="150"/>
  <c r="K164" i="150"/>
  <c r="Q106" i="150"/>
  <c r="I95" i="150"/>
  <c r="K68" i="150"/>
  <c r="H75" i="150"/>
  <c r="J176" i="150"/>
  <c r="I153" i="150"/>
  <c r="K155" i="150"/>
  <c r="N138" i="150"/>
  <c r="S166" i="150"/>
  <c r="N68" i="150"/>
  <c r="N28" i="150"/>
  <c r="Q64" i="150"/>
  <c r="M35" i="150"/>
  <c r="T92" i="150"/>
  <c r="S62" i="150"/>
  <c r="M171" i="150"/>
  <c r="K145" i="150"/>
  <c r="K54" i="150"/>
  <c r="H66" i="150"/>
  <c r="M190" i="150"/>
  <c r="L139" i="150"/>
  <c r="H158" i="150"/>
  <c r="T123" i="150"/>
  <c r="O97" i="150"/>
  <c r="I67" i="150"/>
  <c r="O53" i="150"/>
  <c r="L17" i="150"/>
  <c r="I170" i="150"/>
  <c r="R152" i="150"/>
  <c r="M134" i="150"/>
  <c r="T85" i="150"/>
  <c r="N131" i="150"/>
  <c r="R26" i="150"/>
  <c r="S19" i="150"/>
  <c r="T89" i="150"/>
  <c r="K180" i="150"/>
  <c r="L171" i="150"/>
  <c r="P159" i="150"/>
  <c r="H137" i="150"/>
  <c r="M122" i="150"/>
  <c r="S85" i="150"/>
  <c r="P92" i="150"/>
  <c r="Q82" i="150"/>
  <c r="L77" i="150"/>
  <c r="S46" i="150"/>
  <c r="N49" i="150"/>
  <c r="S18" i="150"/>
  <c r="I174" i="150"/>
  <c r="R163" i="150"/>
  <c r="H153" i="150"/>
  <c r="S146" i="150"/>
  <c r="M84" i="150"/>
  <c r="T139" i="150"/>
  <c r="R89" i="150"/>
  <c r="Q178" i="150"/>
  <c r="N145" i="150"/>
  <c r="S135" i="150"/>
  <c r="L122" i="150"/>
  <c r="I111" i="150"/>
  <c r="T74" i="150"/>
  <c r="Q20" i="150"/>
  <c r="M108" i="150"/>
  <c r="K28" i="150"/>
  <c r="L65" i="150"/>
  <c r="O112" i="150"/>
  <c r="M45" i="150"/>
  <c r="K161" i="150"/>
  <c r="Q177" i="150"/>
  <c r="S64" i="150"/>
  <c r="P49" i="150"/>
  <c r="L186" i="150"/>
  <c r="T126" i="150"/>
  <c r="M41" i="150"/>
  <c r="T25" i="150"/>
  <c r="I180" i="150"/>
  <c r="I118" i="150"/>
  <c r="T132" i="150"/>
  <c r="M116" i="150"/>
  <c r="O52" i="150"/>
  <c r="I31" i="150"/>
  <c r="J189" i="150"/>
  <c r="M139" i="150"/>
  <c r="K139" i="150"/>
  <c r="K36" i="150"/>
  <c r="I143" i="150"/>
  <c r="H107" i="150"/>
  <c r="T41" i="150"/>
  <c r="P59" i="150"/>
  <c r="L57" i="150"/>
  <c r="T152" i="150"/>
  <c r="P36" i="150"/>
  <c r="M143" i="150"/>
  <c r="K156" i="150"/>
  <c r="L150" i="150"/>
  <c r="J52" i="150"/>
  <c r="Q173" i="150"/>
  <c r="T118" i="150"/>
  <c r="N51" i="150"/>
  <c r="K17" i="150"/>
  <c r="M169" i="150"/>
  <c r="Q112" i="150"/>
  <c r="T124" i="150"/>
  <c r="T99" i="150"/>
  <c r="K47" i="150"/>
  <c r="T29" i="150"/>
  <c r="N178" i="150"/>
  <c r="T176" i="150"/>
  <c r="P123" i="150"/>
  <c r="M55" i="150"/>
  <c r="P169" i="150"/>
  <c r="K95" i="150"/>
  <c r="J43" i="150"/>
  <c r="R110" i="150"/>
  <c r="P44" i="150"/>
  <c r="I103" i="150"/>
  <c r="M22" i="150"/>
  <c r="I138" i="150"/>
  <c r="T148" i="150"/>
  <c r="N136" i="150"/>
  <c r="J33" i="150"/>
  <c r="H150" i="150"/>
  <c r="T110" i="150"/>
  <c r="H39" i="150"/>
  <c r="M121" i="150"/>
  <c r="O182" i="150"/>
  <c r="M107" i="150"/>
  <c r="T108" i="150"/>
  <c r="T83" i="150"/>
  <c r="P42" i="150"/>
  <c r="R21" i="150"/>
  <c r="R167" i="150"/>
  <c r="I157" i="150"/>
  <c r="P107" i="150"/>
  <c r="T46" i="150"/>
  <c r="M127" i="150"/>
  <c r="O84" i="150"/>
  <c r="O45" i="150"/>
  <c r="J112" i="150"/>
  <c r="M52" i="150"/>
  <c r="Q97" i="150"/>
  <c r="H23" i="150"/>
  <c r="M142" i="150"/>
  <c r="R142" i="150"/>
  <c r="R113" i="150"/>
  <c r="Q54" i="150"/>
  <c r="I175" i="150"/>
  <c r="S91" i="150"/>
  <c r="H31" i="150"/>
  <c r="O124" i="150"/>
  <c r="K177" i="150"/>
  <c r="L184" i="150"/>
  <c r="O101" i="150"/>
  <c r="M76" i="150"/>
  <c r="K38" i="150"/>
  <c r="K26" i="150"/>
  <c r="I162" i="150"/>
  <c r="I150" i="150"/>
  <c r="S84" i="150"/>
  <c r="M38" i="150"/>
  <c r="Q116" i="150"/>
  <c r="N135" i="150"/>
  <c r="P55" i="150"/>
  <c r="P58" i="150"/>
  <c r="P85" i="150"/>
  <c r="R87" i="150"/>
  <c r="S124" i="150"/>
  <c r="M74" i="150"/>
  <c r="O62" i="150"/>
  <c r="P73" i="150"/>
  <c r="T140" i="150"/>
  <c r="N98" i="150"/>
  <c r="P16" i="150"/>
  <c r="S143" i="150"/>
  <c r="I181" i="150"/>
  <c r="L81" i="150"/>
  <c r="H168" i="150"/>
  <c r="H37" i="150"/>
  <c r="O119" i="150"/>
  <c r="N115" i="150"/>
  <c r="N116" i="150"/>
  <c r="J87" i="150"/>
  <c r="S128" i="150"/>
  <c r="L78" i="150"/>
  <c r="R15" i="150"/>
  <c r="K131" i="150"/>
  <c r="H164" i="150"/>
  <c r="Q69" i="150"/>
  <c r="L130" i="150"/>
  <c r="Q53" i="150"/>
  <c r="Q189" i="150"/>
  <c r="N125" i="150"/>
  <c r="J73" i="150"/>
  <c r="L41" i="150"/>
  <c r="S112" i="150"/>
  <c r="L62" i="150"/>
  <c r="K190" i="150"/>
  <c r="O120" i="150"/>
  <c r="H156" i="150"/>
  <c r="I59" i="150"/>
  <c r="H115" i="150"/>
  <c r="R36" i="150"/>
  <c r="J133" i="150"/>
  <c r="R133" i="150"/>
  <c r="N62" i="150"/>
  <c r="M39" i="150"/>
  <c r="O107" i="150"/>
  <c r="R122" i="150"/>
  <c r="S184" i="150"/>
  <c r="S109" i="150"/>
  <c r="T177" i="150"/>
  <c r="O58" i="150"/>
  <c r="N129" i="150"/>
  <c r="T56" i="150"/>
  <c r="L177" i="150"/>
  <c r="S68" i="150"/>
  <c r="L153" i="150"/>
  <c r="K122" i="150"/>
  <c r="H74" i="150"/>
  <c r="T73" i="150"/>
  <c r="J118" i="150"/>
  <c r="O63" i="150"/>
  <c r="L149" i="150"/>
  <c r="O111" i="150"/>
  <c r="S77" i="150"/>
  <c r="J100" i="150"/>
  <c r="I115" i="150"/>
  <c r="K58" i="150"/>
  <c r="P173" i="150"/>
  <c r="P138" i="150"/>
  <c r="N124" i="150"/>
  <c r="J101" i="150"/>
  <c r="N146" i="150"/>
  <c r="K143" i="150"/>
  <c r="S161" i="150"/>
  <c r="N106" i="150"/>
  <c r="M149" i="150"/>
  <c r="L174" i="150"/>
  <c r="M112" i="150"/>
  <c r="S35" i="150"/>
  <c r="R162" i="150"/>
  <c r="M71" i="150"/>
  <c r="Q30" i="150"/>
  <c r="I183" i="150"/>
  <c r="Q60" i="150"/>
  <c r="J31" i="150"/>
  <c r="P161" i="150"/>
  <c r="P98" i="150"/>
  <c r="T158" i="150"/>
  <c r="M118" i="150"/>
  <c r="T137" i="150"/>
  <c r="H165" i="150"/>
  <c r="O132" i="150"/>
  <c r="O99" i="150"/>
  <c r="K127" i="150"/>
  <c r="P142" i="150"/>
  <c r="S37" i="150"/>
  <c r="M30" i="150"/>
  <c r="J42" i="150"/>
  <c r="K31" i="150"/>
  <c r="N177" i="133"/>
  <c r="P176" i="133"/>
  <c r="L171" i="133"/>
  <c r="H154" i="133"/>
  <c r="H166" i="133"/>
  <c r="M162" i="133"/>
  <c r="I130" i="133"/>
  <c r="M138" i="133"/>
  <c r="N141" i="133"/>
  <c r="I108" i="133"/>
  <c r="O131" i="133"/>
  <c r="Q148" i="133"/>
  <c r="Q125" i="133"/>
  <c r="R75" i="133"/>
  <c r="O137" i="133"/>
  <c r="T82" i="133"/>
  <c r="I125" i="133"/>
  <c r="J138" i="133"/>
  <c r="L59" i="133"/>
  <c r="I105" i="133"/>
  <c r="T69" i="133"/>
  <c r="I95" i="133"/>
  <c r="I67" i="133"/>
  <c r="T113" i="133"/>
  <c r="I131" i="133"/>
  <c r="P113" i="133"/>
  <c r="M133" i="133"/>
  <c r="Q36" i="133"/>
  <c r="N31" i="133"/>
  <c r="H44" i="133"/>
  <c r="Q43" i="133"/>
  <c r="K35" i="133"/>
  <c r="N32" i="133"/>
  <c r="S26" i="133"/>
  <c r="L19" i="133"/>
  <c r="P177" i="133"/>
  <c r="O98" i="133"/>
  <c r="H62" i="133"/>
  <c r="N41" i="133"/>
  <c r="M168" i="133"/>
  <c r="K125" i="133"/>
  <c r="L128" i="133"/>
  <c r="O83" i="133"/>
  <c r="I60" i="133"/>
  <c r="L46" i="133"/>
  <c r="O179" i="133"/>
  <c r="I180" i="133"/>
  <c r="P169" i="133"/>
  <c r="H185" i="133"/>
  <c r="T141" i="133"/>
  <c r="R147" i="133"/>
  <c r="T167" i="133"/>
  <c r="M113" i="133"/>
  <c r="S121" i="133"/>
  <c r="M144" i="133"/>
  <c r="M91" i="133"/>
  <c r="O110" i="133"/>
  <c r="R124" i="133"/>
  <c r="N102" i="133"/>
  <c r="I169" i="133"/>
  <c r="J107" i="133"/>
  <c r="L70" i="133"/>
  <c r="Q101" i="133"/>
  <c r="K92" i="133"/>
  <c r="S71" i="133"/>
  <c r="T110" i="133"/>
  <c r="P63" i="133"/>
  <c r="S69" i="133"/>
  <c r="K76" i="133"/>
  <c r="H70" i="133"/>
  <c r="J123" i="133"/>
  <c r="P127" i="133"/>
  <c r="L114" i="133"/>
  <c r="I48" i="133"/>
  <c r="K38" i="133"/>
  <c r="O34" i="133"/>
  <c r="I33" i="133"/>
  <c r="K48" i="133"/>
  <c r="I28" i="133"/>
  <c r="Q24" i="133"/>
  <c r="M16" i="133"/>
  <c r="J141" i="133"/>
  <c r="K109" i="133"/>
  <c r="Q170" i="133"/>
  <c r="J100" i="133"/>
  <c r="L99" i="133"/>
  <c r="P47" i="133"/>
  <c r="R107" i="133"/>
  <c r="K68" i="133"/>
  <c r="S54" i="133"/>
  <c r="O173" i="133"/>
  <c r="I174" i="133"/>
  <c r="O163" i="133"/>
  <c r="N180" i="133"/>
  <c r="L137" i="133"/>
  <c r="R141" i="133"/>
  <c r="T156" i="133"/>
  <c r="N172" i="133"/>
  <c r="N174" i="133"/>
  <c r="Q131" i="133"/>
  <c r="J167" i="133"/>
  <c r="O104" i="133"/>
  <c r="K118" i="133"/>
  <c r="J96" i="133"/>
  <c r="N147" i="133"/>
  <c r="N100" i="133"/>
  <c r="P65" i="133"/>
  <c r="Q93" i="133"/>
  <c r="K81" i="133"/>
  <c r="S63" i="133"/>
  <c r="K100" i="133"/>
  <c r="I154" i="133"/>
  <c r="Q132" i="133"/>
  <c r="T58" i="133"/>
  <c r="K56" i="133"/>
  <c r="R70" i="133"/>
  <c r="I84" i="133"/>
  <c r="R56" i="133"/>
  <c r="J42" i="133"/>
  <c r="T51" i="133"/>
  <c r="L32" i="133"/>
  <c r="H47" i="133"/>
  <c r="H38" i="133"/>
  <c r="K22" i="133"/>
  <c r="R25" i="133"/>
  <c r="R16" i="133"/>
  <c r="M157" i="133"/>
  <c r="M135" i="133"/>
  <c r="T106" i="133"/>
  <c r="H99" i="133"/>
  <c r="R122" i="133"/>
  <c r="Q42" i="133"/>
  <c r="L20" i="133"/>
  <c r="K159" i="133"/>
  <c r="I100" i="133"/>
  <c r="R67" i="133"/>
  <c r="H120" i="133"/>
  <c r="S102" i="133"/>
  <c r="I39" i="133"/>
  <c r="T22" i="133"/>
  <c r="J190" i="133"/>
  <c r="H186" i="133"/>
  <c r="K156" i="133"/>
  <c r="R167" i="133"/>
  <c r="T131" i="133"/>
  <c r="N134" i="133"/>
  <c r="Q146" i="133"/>
  <c r="T157" i="133"/>
  <c r="S157" i="133"/>
  <c r="M122" i="133"/>
  <c r="M153" i="133"/>
  <c r="I187" i="133"/>
  <c r="K169" i="133"/>
  <c r="N88" i="133"/>
  <c r="T178" i="133"/>
  <c r="S92" i="133"/>
  <c r="H162" i="133"/>
  <c r="K88" i="133"/>
  <c r="M72" i="133"/>
  <c r="K57" i="133"/>
  <c r="H86" i="133"/>
  <c r="J117" i="133"/>
  <c r="N101" i="133"/>
  <c r="O115" i="133"/>
  <c r="N57" i="133"/>
  <c r="S100" i="133"/>
  <c r="M57" i="133"/>
  <c r="R48" i="133"/>
  <c r="N35" i="133"/>
  <c r="H46" i="133"/>
  <c r="S43" i="133"/>
  <c r="I53" i="133"/>
  <c r="J36" i="133"/>
  <c r="L27" i="133"/>
  <c r="O20" i="133"/>
  <c r="Q15" i="133"/>
  <c r="S95" i="133"/>
  <c r="Q72" i="133"/>
  <c r="Q23" i="133"/>
  <c r="J165" i="133"/>
  <c r="Q97" i="133"/>
  <c r="H57" i="133"/>
  <c r="O19" i="133"/>
  <c r="R178" i="133"/>
  <c r="T177" i="133"/>
  <c r="I173" i="133"/>
  <c r="H155" i="133"/>
  <c r="M167" i="133"/>
  <c r="J164" i="133"/>
  <c r="M131" i="133"/>
  <c r="K140" i="133"/>
  <c r="K143" i="133"/>
  <c r="M109" i="133"/>
  <c r="S133" i="133"/>
  <c r="S152" i="133"/>
  <c r="S128" i="133"/>
  <c r="J77" i="133"/>
  <c r="O139" i="133"/>
  <c r="P83" i="133"/>
  <c r="K128" i="133"/>
  <c r="K152" i="133"/>
  <c r="H60" i="133"/>
  <c r="P109" i="133"/>
  <c r="Q71" i="133"/>
  <c r="K97" i="133"/>
  <c r="J70" i="133"/>
  <c r="S118" i="133"/>
  <c r="H61" i="133"/>
  <c r="R118" i="133"/>
  <c r="O62" i="133"/>
  <c r="S37" i="133"/>
  <c r="P32" i="133"/>
  <c r="H29" i="133"/>
  <c r="T48" i="133"/>
  <c r="S39" i="133"/>
  <c r="O40" i="133"/>
  <c r="J28" i="133"/>
  <c r="R18" i="133"/>
  <c r="K178" i="133"/>
  <c r="L183" i="133"/>
  <c r="P152" i="133"/>
  <c r="K131" i="133"/>
  <c r="J121" i="133"/>
  <c r="H110" i="133"/>
  <c r="T75" i="133"/>
  <c r="R29" i="133"/>
  <c r="K28" i="133"/>
  <c r="H144" i="133"/>
  <c r="O149" i="133"/>
  <c r="R156" i="133"/>
  <c r="T72" i="133"/>
  <c r="N73" i="133"/>
  <c r="O105" i="133"/>
  <c r="M33" i="133"/>
  <c r="S180" i="133"/>
  <c r="M181" i="133"/>
  <c r="N171" i="133"/>
  <c r="P187" i="133"/>
  <c r="P142" i="133"/>
  <c r="J149" i="133"/>
  <c r="L170" i="133"/>
  <c r="Q114" i="133"/>
  <c r="K123" i="133"/>
  <c r="O147" i="133"/>
  <c r="Q92" i="133"/>
  <c r="S111" i="133"/>
  <c r="N126" i="133"/>
  <c r="R103" i="133"/>
  <c r="H179" i="133"/>
  <c r="H109" i="133"/>
  <c r="H71" i="133"/>
  <c r="O103" i="133"/>
  <c r="M94" i="133"/>
  <c r="I74" i="133"/>
  <c r="P112" i="133"/>
  <c r="M65" i="133"/>
  <c r="O71" i="133"/>
  <c r="M79" i="133"/>
  <c r="I73" i="133"/>
  <c r="H131" i="133"/>
  <c r="H139" i="133"/>
  <c r="L121" i="133"/>
  <c r="M49" i="133"/>
  <c r="P40" i="133"/>
  <c r="S35" i="133"/>
  <c r="T35" i="133"/>
  <c r="S50" i="133"/>
  <c r="J21" i="133"/>
  <c r="T27" i="133"/>
  <c r="Q17" i="133"/>
  <c r="S190" i="133"/>
  <c r="J172" i="133"/>
  <c r="O190" i="133"/>
  <c r="Q164" i="133"/>
  <c r="H150" i="133"/>
  <c r="P160" i="133"/>
  <c r="M155" i="133"/>
  <c r="Q124" i="133"/>
  <c r="S132" i="133"/>
  <c r="S185" i="133"/>
  <c r="Q102" i="133"/>
  <c r="S124" i="133"/>
  <c r="R140" i="133"/>
  <c r="K116" i="133"/>
  <c r="N70" i="133"/>
  <c r="R123" i="133"/>
  <c r="T78" i="133"/>
  <c r="S115" i="133"/>
  <c r="K114" i="133"/>
  <c r="L100" i="133"/>
  <c r="L94" i="133"/>
  <c r="Q63" i="133"/>
  <c r="I85" i="133"/>
  <c r="Q56" i="133"/>
  <c r="O94" i="133"/>
  <c r="H97" i="133"/>
  <c r="N94" i="133"/>
  <c r="O99" i="133"/>
  <c r="P31" i="133"/>
  <c r="K53" i="133"/>
  <c r="Q53" i="133"/>
  <c r="L42" i="133"/>
  <c r="P38" i="133"/>
  <c r="P25" i="133"/>
  <c r="L25" i="133"/>
  <c r="L18" i="133"/>
  <c r="S169" i="133"/>
  <c r="M132" i="133"/>
  <c r="P130" i="133"/>
  <c r="L55" i="133"/>
  <c r="H132" i="133"/>
  <c r="N159" i="133"/>
  <c r="R146" i="133"/>
  <c r="I87" i="133"/>
  <c r="Q60" i="133"/>
  <c r="M42" i="133"/>
  <c r="K174" i="133"/>
  <c r="Q174" i="133"/>
  <c r="K164" i="133"/>
  <c r="H181" i="133"/>
  <c r="T137" i="133"/>
  <c r="N142" i="133"/>
  <c r="I157" i="133"/>
  <c r="H173" i="133"/>
  <c r="P175" i="133"/>
  <c r="N132" i="133"/>
  <c r="Q168" i="133"/>
  <c r="K105" i="133"/>
  <c r="T118" i="133"/>
  <c r="S96" i="133"/>
  <c r="L148" i="133"/>
  <c r="H101" i="133"/>
  <c r="L66" i="133"/>
  <c r="P94" i="133"/>
  <c r="H82" i="133"/>
  <c r="K64" i="133"/>
  <c r="P101" i="133"/>
  <c r="I57" i="133"/>
  <c r="K137" i="133"/>
  <c r="H59" i="133"/>
  <c r="O57" i="133"/>
  <c r="T73" i="133"/>
  <c r="H96" i="133"/>
  <c r="L62" i="133"/>
  <c r="R42" i="133"/>
  <c r="H52" i="133"/>
  <c r="N34" i="133"/>
  <c r="L48" i="133"/>
  <c r="J39" i="133"/>
  <c r="S22" i="133"/>
  <c r="N26" i="133"/>
  <c r="N17" i="133"/>
  <c r="N178" i="133"/>
  <c r="O145" i="133"/>
  <c r="T99" i="133"/>
  <c r="K106" i="133"/>
  <c r="M34" i="133"/>
  <c r="Q21" i="133"/>
  <c r="T124" i="133"/>
  <c r="O80" i="133"/>
  <c r="J47" i="133"/>
  <c r="K168" i="133"/>
  <c r="T187" i="133"/>
  <c r="K158" i="133"/>
  <c r="R170" i="133"/>
  <c r="L133" i="133"/>
  <c r="N136" i="133"/>
  <c r="Q149" i="133"/>
  <c r="K161" i="133"/>
  <c r="O162" i="133"/>
  <c r="O125" i="133"/>
  <c r="R159" i="133"/>
  <c r="K99" i="133"/>
  <c r="L176" i="133"/>
  <c r="L91" i="133"/>
  <c r="S138" i="133"/>
  <c r="H94" i="133"/>
  <c r="P172" i="133"/>
  <c r="S89" i="133"/>
  <c r="N75" i="133"/>
  <c r="K59" i="133"/>
  <c r="Q89" i="133"/>
  <c r="Q127" i="133"/>
  <c r="P107" i="133"/>
  <c r="N124" i="133"/>
  <c r="L63" i="133"/>
  <c r="O119" i="133"/>
  <c r="R64" i="133"/>
  <c r="R50" i="133"/>
  <c r="J37" i="133"/>
  <c r="T47" i="133"/>
  <c r="R51" i="133"/>
  <c r="I38" i="133"/>
  <c r="N46" i="133"/>
  <c r="R22" i="133"/>
  <c r="S20" i="133"/>
  <c r="H16" i="133"/>
  <c r="H157" i="133"/>
  <c r="I172" i="133"/>
  <c r="J79" i="133"/>
  <c r="T57" i="133"/>
  <c r="L79" i="133"/>
  <c r="L39" i="133"/>
  <c r="J15" i="133"/>
  <c r="I147" i="133"/>
  <c r="K165" i="133"/>
  <c r="I149" i="133"/>
  <c r="N67" i="133"/>
  <c r="M87" i="133"/>
  <c r="R40" i="133"/>
  <c r="I26" i="133"/>
  <c r="R184" i="133"/>
  <c r="H182" i="133"/>
  <c r="I185" i="133"/>
  <c r="L161" i="133"/>
  <c r="H177" i="133"/>
  <c r="R175" i="133"/>
  <c r="I139" i="133"/>
  <c r="K148" i="133"/>
  <c r="I150" i="133"/>
  <c r="P115" i="133"/>
  <c r="O142" i="133"/>
  <c r="L163" i="133"/>
  <c r="Q145" i="133"/>
  <c r="J83" i="133"/>
  <c r="I148" i="133"/>
  <c r="L88" i="133"/>
  <c r="K141" i="133"/>
  <c r="S82" i="133"/>
  <c r="J66" i="133"/>
  <c r="M136" i="133"/>
  <c r="M78" i="133"/>
  <c r="Q107" i="133"/>
  <c r="N87" i="133"/>
  <c r="I82" i="133"/>
  <c r="Q99" i="133"/>
  <c r="N59" i="133"/>
  <c r="I109" i="133"/>
  <c r="O43" i="133"/>
  <c r="T30" i="133"/>
  <c r="M41" i="133"/>
  <c r="M46" i="133"/>
  <c r="R38" i="133"/>
  <c r="N37" i="133"/>
  <c r="T23" i="133"/>
  <c r="O18" i="133"/>
  <c r="H15" i="133"/>
  <c r="J189" i="133"/>
  <c r="R110" i="133"/>
  <c r="N22" i="133"/>
  <c r="I171" i="133"/>
  <c r="L61" i="133"/>
  <c r="N116" i="133"/>
  <c r="L15" i="133"/>
  <c r="N173" i="133"/>
  <c r="T173" i="133"/>
  <c r="I166" i="133"/>
  <c r="L151" i="133"/>
  <c r="T161" i="133"/>
  <c r="N157" i="133"/>
  <c r="I126" i="133"/>
  <c r="R133" i="133"/>
  <c r="T190" i="133"/>
  <c r="I104" i="133"/>
  <c r="P126" i="133"/>
  <c r="M142" i="133"/>
  <c r="O118" i="133"/>
  <c r="R71" i="133"/>
  <c r="T126" i="133"/>
  <c r="P79" i="133"/>
  <c r="H117" i="133"/>
  <c r="P118" i="133"/>
  <c r="H56" i="133"/>
  <c r="M96" i="133"/>
  <c r="N65" i="133"/>
  <c r="Q87" i="133"/>
  <c r="M59" i="133"/>
  <c r="T96" i="133"/>
  <c r="R105" i="133"/>
  <c r="R96" i="133"/>
  <c r="M110" i="133"/>
  <c r="R32" i="133"/>
  <c r="O54" i="133"/>
  <c r="P37" i="133"/>
  <c r="T44" i="133"/>
  <c r="T40" i="133"/>
  <c r="T26" i="133"/>
  <c r="N23" i="133"/>
  <c r="M18" i="133"/>
  <c r="J186" i="133"/>
  <c r="L175" i="133"/>
  <c r="P144" i="133"/>
  <c r="H161" i="133"/>
  <c r="M90" i="133"/>
  <c r="H68" i="133"/>
  <c r="K60" i="133"/>
  <c r="I32" i="133"/>
  <c r="H21" i="133"/>
  <c r="P179" i="133"/>
  <c r="K187" i="133"/>
  <c r="J122" i="133"/>
  <c r="L131" i="133"/>
  <c r="N56" i="133"/>
  <c r="I76" i="133"/>
  <c r="T39" i="133"/>
  <c r="O175" i="133"/>
  <c r="I176" i="133"/>
  <c r="O165" i="133"/>
  <c r="Q185" i="133"/>
  <c r="P138" i="133"/>
  <c r="R143" i="133"/>
  <c r="S159" i="133"/>
  <c r="J179" i="133"/>
  <c r="O180" i="133"/>
  <c r="T134" i="133"/>
  <c r="I175" i="133"/>
  <c r="O106" i="133"/>
  <c r="S119" i="133"/>
  <c r="R97" i="133"/>
  <c r="K150" i="133"/>
  <c r="L102" i="133"/>
  <c r="H67" i="133"/>
  <c r="O96" i="133"/>
  <c r="P84" i="133"/>
  <c r="I66" i="133"/>
  <c r="R104" i="133"/>
  <c r="I59" i="133"/>
  <c r="I165" i="133"/>
  <c r="N63" i="133"/>
  <c r="J60" i="133"/>
  <c r="P80" i="133"/>
  <c r="N104" i="133"/>
  <c r="K71" i="133"/>
  <c r="J44" i="133"/>
  <c r="L53" i="133"/>
  <c r="L36" i="133"/>
  <c r="T50" i="133"/>
  <c r="P41" i="133"/>
  <c r="K24" i="133"/>
  <c r="N21" i="133"/>
  <c r="S16" i="133"/>
  <c r="O185" i="133"/>
  <c r="I186" i="133"/>
  <c r="S179" i="133"/>
  <c r="M159" i="133"/>
  <c r="H146" i="133"/>
  <c r="R153" i="133"/>
  <c r="P189" i="133"/>
  <c r="M119" i="133"/>
  <c r="S127" i="133"/>
  <c r="T164" i="133"/>
  <c r="M97" i="133"/>
  <c r="L118" i="133"/>
  <c r="N131" i="133"/>
  <c r="J109" i="133"/>
  <c r="J65" i="133"/>
  <c r="H115" i="133"/>
  <c r="T74" i="133"/>
  <c r="M108" i="133"/>
  <c r="Q103" i="133"/>
  <c r="I81" i="133"/>
  <c r="L136" i="133"/>
  <c r="J59" i="133"/>
  <c r="S77" i="133"/>
  <c r="O92" i="133"/>
  <c r="O86" i="133"/>
  <c r="Q64" i="133"/>
  <c r="N85" i="133"/>
  <c r="M62" i="133"/>
  <c r="I54" i="133"/>
  <c r="S47" i="133"/>
  <c r="J43" i="133"/>
  <c r="N30" i="133"/>
  <c r="O38" i="133"/>
  <c r="T24" i="133"/>
  <c r="R27" i="133"/>
  <c r="Q18" i="133"/>
  <c r="O160" i="133"/>
  <c r="R73" i="133"/>
  <c r="P57" i="133"/>
  <c r="Q31" i="133"/>
  <c r="J151" i="133"/>
  <c r="N151" i="133"/>
  <c r="J106" i="133"/>
  <c r="Q76" i="133"/>
  <c r="Q58" i="133"/>
  <c r="P28" i="133"/>
  <c r="S168" i="133"/>
  <c r="H188" i="133"/>
  <c r="S158" i="133"/>
  <c r="P171" i="133"/>
  <c r="T133" i="133"/>
  <c r="J137" i="133"/>
  <c r="L150" i="133"/>
  <c r="R162" i="133"/>
  <c r="H164" i="133"/>
  <c r="H126" i="133"/>
  <c r="N160" i="133"/>
  <c r="S99" i="133"/>
  <c r="L182" i="133"/>
  <c r="L92" i="133"/>
  <c r="Q140" i="133"/>
  <c r="R94" i="133"/>
  <c r="J175" i="133"/>
  <c r="J90" i="133"/>
  <c r="H76" i="133"/>
  <c r="S59" i="133"/>
  <c r="R90" i="133"/>
  <c r="T128" i="133"/>
  <c r="M112" i="133"/>
  <c r="L126" i="133"/>
  <c r="S65" i="133"/>
  <c r="I123" i="133"/>
  <c r="T67" i="133"/>
  <c r="N51" i="133"/>
  <c r="R37" i="133"/>
  <c r="H48" i="133"/>
  <c r="J53" i="133"/>
  <c r="K39" i="133"/>
  <c r="R30" i="133"/>
  <c r="J24" i="133"/>
  <c r="L21" i="133"/>
  <c r="P16" i="133"/>
  <c r="N190" i="133"/>
  <c r="S147" i="133"/>
  <c r="H121" i="133"/>
  <c r="J88" i="133"/>
  <c r="S34" i="133"/>
  <c r="I21" i="133"/>
  <c r="R128" i="133"/>
  <c r="J29" i="133"/>
  <c r="P24" i="133"/>
  <c r="R186" i="133"/>
  <c r="T183" i="133"/>
  <c r="I189" i="133"/>
  <c r="T163" i="133"/>
  <c r="T182" i="133"/>
  <c r="S181" i="133"/>
  <c r="K142" i="133"/>
  <c r="R152" i="133"/>
  <c r="Q152" i="133"/>
  <c r="N118" i="133"/>
  <c r="M147" i="133"/>
  <c r="I167" i="133"/>
  <c r="O148" i="133"/>
  <c r="J85" i="133"/>
  <c r="O152" i="133"/>
  <c r="K90" i="133"/>
  <c r="I146" i="133"/>
  <c r="S84" i="133"/>
  <c r="R68" i="133"/>
  <c r="J157" i="133"/>
  <c r="T81" i="133"/>
  <c r="S110" i="133"/>
  <c r="O90" i="133"/>
  <c r="K73" i="133"/>
  <c r="R125" i="133"/>
  <c r="O67" i="133"/>
  <c r="P125" i="133"/>
  <c r="N45" i="133"/>
  <c r="Q32" i="133"/>
  <c r="M43" i="133"/>
  <c r="Q55" i="133"/>
  <c r="N42" i="133"/>
  <c r="H49" i="133"/>
  <c r="Q22" i="133"/>
  <c r="N20" i="133"/>
  <c r="R15" i="133"/>
  <c r="P136" i="133"/>
  <c r="R177" i="133"/>
  <c r="O146" i="133"/>
  <c r="O58" i="133"/>
  <c r="K104" i="133"/>
  <c r="O55" i="133"/>
  <c r="S182" i="133"/>
  <c r="M127" i="133"/>
  <c r="T127" i="133"/>
  <c r="T104" i="133"/>
  <c r="Q68" i="133"/>
  <c r="N122" i="133"/>
  <c r="O50" i="133"/>
  <c r="J19" i="133"/>
  <c r="N179" i="133"/>
  <c r="H178" i="133"/>
  <c r="M174" i="133"/>
  <c r="Q155" i="133"/>
  <c r="J168" i="133"/>
  <c r="N165" i="133"/>
  <c r="L132" i="133"/>
  <c r="O141" i="133"/>
  <c r="O144" i="133"/>
  <c r="I110" i="133"/>
  <c r="Q134" i="133"/>
  <c r="K153" i="133"/>
  <c r="H129" i="133"/>
  <c r="R77" i="133"/>
  <c r="O140" i="133"/>
  <c r="L84" i="133"/>
  <c r="R129" i="133"/>
  <c r="K157" i="133"/>
  <c r="P60" i="133"/>
  <c r="L111" i="133"/>
  <c r="J72" i="133"/>
  <c r="M98" i="133"/>
  <c r="R72" i="133"/>
  <c r="K120" i="133"/>
  <c r="P62" i="133"/>
  <c r="J120" i="133"/>
  <c r="K65" i="133"/>
  <c r="N38" i="133"/>
  <c r="J33" i="133"/>
  <c r="R33" i="133"/>
  <c r="L50" i="133"/>
  <c r="I41" i="133"/>
  <c r="R45" i="133"/>
  <c r="R28" i="133"/>
  <c r="I20" i="133"/>
  <c r="S172" i="133"/>
  <c r="H85" i="133"/>
  <c r="J126" i="133"/>
  <c r="Q20" i="133"/>
  <c r="N99" i="133"/>
  <c r="S62" i="133"/>
  <c r="N49" i="133"/>
  <c r="S186" i="133"/>
  <c r="M187" i="133"/>
  <c r="O182" i="133"/>
  <c r="Q160" i="133"/>
  <c r="L147" i="133"/>
  <c r="N155" i="133"/>
  <c r="I151" i="133"/>
  <c r="Q120" i="133"/>
  <c r="K129" i="133"/>
  <c r="P166" i="133"/>
  <c r="Q98" i="133"/>
  <c r="T119" i="133"/>
  <c r="Q133" i="133"/>
  <c r="H111" i="133"/>
  <c r="N66" i="133"/>
  <c r="H116" i="133"/>
  <c r="P75" i="133"/>
  <c r="K110" i="133"/>
  <c r="S106" i="133"/>
  <c r="Q83" i="133"/>
  <c r="I163" i="133"/>
  <c r="N60" i="133"/>
  <c r="O79" i="133"/>
  <c r="S94" i="133"/>
  <c r="I88" i="133"/>
  <c r="M71" i="133"/>
  <c r="K87" i="133"/>
  <c r="J68" i="133"/>
  <c r="M55" i="133"/>
  <c r="K49" i="133"/>
  <c r="Q45" i="133"/>
  <c r="T31" i="133"/>
  <c r="K43" i="133"/>
  <c r="S21" i="133"/>
  <c r="P22" i="133"/>
  <c r="H20" i="133"/>
  <c r="R180" i="133"/>
  <c r="O186" i="133"/>
  <c r="P132" i="133"/>
  <c r="J154" i="133"/>
  <c r="J63" i="133"/>
  <c r="K69" i="133"/>
  <c r="K91" i="133"/>
  <c r="K51" i="133"/>
  <c r="T28" i="133"/>
  <c r="P157" i="133"/>
  <c r="T150" i="133"/>
  <c r="T120" i="133"/>
  <c r="R92" i="133"/>
  <c r="R99" i="133"/>
  <c r="O114" i="133"/>
  <c r="Q35" i="133"/>
  <c r="K170" i="133"/>
  <c r="L189" i="133"/>
  <c r="K160" i="133"/>
  <c r="R173" i="133"/>
  <c r="P134" i="133"/>
  <c r="N138" i="133"/>
  <c r="I152" i="133"/>
  <c r="S165" i="133"/>
  <c r="K167" i="133"/>
  <c r="L127" i="133"/>
  <c r="L162" i="133"/>
  <c r="K101" i="133"/>
  <c r="M114" i="133"/>
  <c r="T93" i="133"/>
  <c r="Q142" i="133"/>
  <c r="Q95" i="133"/>
  <c r="Q181" i="133"/>
  <c r="I91" i="133"/>
  <c r="L77" i="133"/>
  <c r="K61" i="133"/>
  <c r="J94" i="133"/>
  <c r="R130" i="133"/>
  <c r="S122" i="133"/>
  <c r="O132" i="133"/>
  <c r="M69" i="133"/>
  <c r="K58" i="133"/>
  <c r="P74" i="133"/>
  <c r="R52" i="133"/>
  <c r="H39" i="133"/>
  <c r="L49" i="133"/>
  <c r="R55" i="133"/>
  <c r="Q41" i="133"/>
  <c r="K32" i="133"/>
  <c r="Q26" i="133"/>
  <c r="N24" i="133"/>
  <c r="T17" i="133"/>
  <c r="K180" i="133"/>
  <c r="Q180" i="133"/>
  <c r="O170" i="133"/>
  <c r="L186" i="133"/>
  <c r="H142" i="133"/>
  <c r="N148" i="133"/>
  <c r="L168" i="133"/>
  <c r="I114" i="133"/>
  <c r="O122" i="133"/>
  <c r="J146" i="133"/>
  <c r="I92" i="133"/>
  <c r="K111" i="133"/>
  <c r="J125" i="133"/>
  <c r="H103" i="133"/>
  <c r="H171" i="133"/>
  <c r="N108" i="133"/>
  <c r="T70" i="133"/>
  <c r="K102" i="133"/>
  <c r="L93" i="133"/>
  <c r="O73" i="133"/>
  <c r="J111" i="133"/>
  <c r="I64" i="133"/>
  <c r="K70" i="133"/>
  <c r="S78" i="133"/>
  <c r="P72" i="133"/>
  <c r="J127" i="133"/>
  <c r="N129" i="133"/>
  <c r="S117" i="133"/>
  <c r="Q48" i="133"/>
  <c r="N39" i="133"/>
  <c r="H35" i="133"/>
  <c r="P34" i="133"/>
  <c r="O49" i="133"/>
  <c r="Q28" i="133"/>
  <c r="P26" i="133"/>
  <c r="I17" i="133"/>
  <c r="K134" i="133"/>
  <c r="L119" i="133"/>
  <c r="N91" i="133"/>
  <c r="T46" i="133"/>
  <c r="R166" i="133"/>
  <c r="O116" i="133"/>
  <c r="N78" i="133"/>
  <c r="S98" i="133"/>
  <c r="R54" i="133"/>
  <c r="H24" i="133"/>
  <c r="N187" i="133"/>
  <c r="H184" i="133"/>
  <c r="M190" i="133"/>
  <c r="N164" i="133"/>
  <c r="K183" i="133"/>
  <c r="N182" i="133"/>
  <c r="O143" i="133"/>
  <c r="O153" i="133"/>
  <c r="N153" i="133"/>
  <c r="N119" i="133"/>
  <c r="R148" i="133"/>
  <c r="O168" i="133"/>
  <c r="P149" i="133"/>
  <c r="R85" i="133"/>
  <c r="J156" i="133"/>
  <c r="T90" i="133"/>
  <c r="M151" i="133"/>
  <c r="O85" i="133"/>
  <c r="L69" i="133"/>
  <c r="L160" i="133"/>
  <c r="Q82" i="133"/>
  <c r="I111" i="133"/>
  <c r="P91" i="133"/>
  <c r="O91" i="133"/>
  <c r="J131" i="133"/>
  <c r="Q70" i="133"/>
  <c r="L129" i="133"/>
  <c r="J46" i="133"/>
  <c r="K33" i="133"/>
  <c r="I44" i="133"/>
  <c r="Q30" i="133"/>
  <c r="R43" i="133"/>
  <c r="P51" i="133"/>
  <c r="M23" i="133"/>
  <c r="H18" i="133"/>
  <c r="K15" i="133"/>
  <c r="S125" i="133"/>
  <c r="R100" i="133"/>
  <c r="J74" i="133"/>
  <c r="P102" i="133"/>
  <c r="L51" i="133"/>
  <c r="K20" i="133"/>
  <c r="I70" i="133"/>
  <c r="K34" i="133"/>
  <c r="O26" i="133"/>
  <c r="N181" i="133"/>
  <c r="T179" i="133"/>
  <c r="M178" i="133"/>
  <c r="R157" i="133"/>
  <c r="P170" i="133"/>
  <c r="I168" i="133"/>
  <c r="O135" i="133"/>
  <c r="M143" i="133"/>
  <c r="L146" i="133"/>
  <c r="I112" i="133"/>
  <c r="Q137" i="133"/>
  <c r="O158" i="133"/>
  <c r="M134" i="133"/>
  <c r="R79" i="133"/>
  <c r="N143" i="133"/>
  <c r="P85" i="133"/>
  <c r="T136" i="133"/>
  <c r="J181" i="133"/>
  <c r="T62" i="133"/>
  <c r="H114" i="133"/>
  <c r="R74" i="133"/>
  <c r="O101" i="133"/>
  <c r="M76" i="133"/>
  <c r="K126" i="133"/>
  <c r="N71" i="133"/>
  <c r="L134" i="133"/>
  <c r="I78" i="133"/>
  <c r="K40" i="133"/>
  <c r="M35" i="133"/>
  <c r="L38" i="133"/>
  <c r="P55" i="133"/>
  <c r="P30" i="133"/>
  <c r="S48" i="133"/>
  <c r="J23" i="133"/>
  <c r="J20" i="133"/>
  <c r="Q178" i="133"/>
  <c r="H158" i="133"/>
  <c r="M111" i="133"/>
  <c r="J112" i="133"/>
  <c r="J108" i="133"/>
  <c r="R121" i="133"/>
  <c r="J41" i="133"/>
  <c r="L190" i="133"/>
  <c r="I170" i="133"/>
  <c r="K103" i="133"/>
  <c r="K89" i="133"/>
  <c r="J152" i="133"/>
  <c r="K79" i="133"/>
  <c r="I42" i="133"/>
  <c r="T16" i="133"/>
  <c r="J174" i="133"/>
  <c r="H174" i="133"/>
  <c r="Q166" i="133"/>
  <c r="T151" i="133"/>
  <c r="N162" i="133"/>
  <c r="R158" i="133"/>
  <c r="Q126" i="133"/>
  <c r="I134" i="133"/>
  <c r="S137" i="133"/>
  <c r="Q104" i="133"/>
  <c r="I127" i="133"/>
  <c r="S143" i="133"/>
  <c r="P119" i="133"/>
  <c r="N72" i="133"/>
  <c r="N128" i="133"/>
  <c r="L80" i="133"/>
  <c r="H118" i="133"/>
  <c r="H119" i="133"/>
  <c r="P56" i="133"/>
  <c r="N97" i="133"/>
  <c r="H66" i="133"/>
  <c r="O88" i="133"/>
  <c r="L60" i="133"/>
  <c r="T97" i="133"/>
  <c r="P110" i="133"/>
  <c r="S97" i="133"/>
  <c r="T111" i="133"/>
  <c r="L33" i="133"/>
  <c r="K55" i="133"/>
  <c r="S38" i="133"/>
  <c r="K46" i="133"/>
  <c r="O47" i="133"/>
  <c r="H27" i="133"/>
  <c r="R24" i="133"/>
  <c r="H19" i="133"/>
  <c r="N146" i="133"/>
  <c r="N120" i="133"/>
  <c r="H78" i="133"/>
  <c r="R190" i="133"/>
  <c r="N62" i="133"/>
  <c r="L97" i="133"/>
  <c r="O31" i="133"/>
  <c r="O181" i="133"/>
  <c r="I182" i="133"/>
  <c r="O172" i="133"/>
  <c r="T188" i="133"/>
  <c r="L143" i="133"/>
  <c r="R149" i="133"/>
  <c r="Q172" i="133"/>
  <c r="M115" i="133"/>
  <c r="S123" i="133"/>
  <c r="K149" i="133"/>
  <c r="M93" i="133"/>
  <c r="O112" i="133"/>
  <c r="H127" i="133"/>
  <c r="L104" i="133"/>
  <c r="Q189" i="133"/>
  <c r="R109" i="133"/>
  <c r="P71" i="133"/>
  <c r="H104" i="133"/>
  <c r="N95" i="133"/>
  <c r="S74" i="133"/>
  <c r="J113" i="133"/>
  <c r="Q66" i="133"/>
  <c r="I72" i="133"/>
  <c r="S85" i="133"/>
  <c r="Q75" i="133"/>
  <c r="Q177" i="133"/>
  <c r="R58" i="133"/>
  <c r="S135" i="133"/>
  <c r="I50" i="133"/>
  <c r="T41" i="133"/>
  <c r="M36" i="133"/>
  <c r="N36" i="133"/>
  <c r="K52" i="133"/>
  <c r="R21" i="133"/>
  <c r="P21" i="133"/>
  <c r="N16" i="133"/>
  <c r="N175" i="133"/>
  <c r="Q167" i="133"/>
  <c r="R151" i="133"/>
  <c r="I106" i="133"/>
  <c r="P131" i="133"/>
  <c r="T101" i="133"/>
  <c r="R119" i="133"/>
  <c r="Q37" i="133"/>
  <c r="R19" i="133"/>
  <c r="J135" i="133"/>
  <c r="M141" i="133"/>
  <c r="J95" i="133"/>
  <c r="R160" i="133"/>
  <c r="Q59" i="133"/>
  <c r="K44" i="133"/>
  <c r="I23" i="133"/>
  <c r="R188" i="133"/>
  <c r="L185" i="133"/>
  <c r="S154" i="133"/>
  <c r="R165" i="133"/>
  <c r="J185" i="133"/>
  <c r="L184" i="133"/>
  <c r="S144" i="133"/>
  <c r="P155" i="133"/>
  <c r="L155" i="133"/>
  <c r="I121" i="133"/>
  <c r="Q150" i="133"/>
  <c r="T170" i="133"/>
  <c r="K155" i="133"/>
  <c r="J87" i="133"/>
  <c r="T162" i="133"/>
  <c r="S91" i="133"/>
  <c r="I156" i="133"/>
  <c r="S86" i="133"/>
  <c r="I71" i="133"/>
  <c r="M180" i="133"/>
  <c r="M84" i="133"/>
  <c r="R115" i="133"/>
  <c r="S93" i="133"/>
  <c r="O107" i="133"/>
  <c r="H156" i="133"/>
  <c r="S76" i="133"/>
  <c r="H168" i="133"/>
  <c r="N47" i="133"/>
  <c r="L34" i="133"/>
  <c r="L45" i="133"/>
  <c r="K41" i="133"/>
  <c r="M50" i="133"/>
  <c r="I34" i="133"/>
  <c r="T25" i="133"/>
  <c r="K19" i="133"/>
  <c r="M15" i="133"/>
  <c r="I153" i="133"/>
  <c r="R136" i="133"/>
  <c r="J99" i="133"/>
  <c r="S130" i="133"/>
  <c r="M68" i="133"/>
  <c r="L41" i="133"/>
  <c r="N19" i="133"/>
  <c r="I178" i="133"/>
  <c r="M175" i="133"/>
  <c r="O184" i="133"/>
  <c r="J143" i="133"/>
  <c r="T174" i="133"/>
  <c r="J133" i="133"/>
  <c r="S105" i="133"/>
  <c r="I97" i="133"/>
  <c r="R101" i="133"/>
  <c r="P95" i="133"/>
  <c r="O65" i="133"/>
  <c r="M58" i="133"/>
  <c r="O61" i="133"/>
  <c r="N77" i="133"/>
  <c r="I68" i="133"/>
  <c r="P52" i="133"/>
  <c r="P49" i="133"/>
  <c r="O23" i="133"/>
  <c r="K16" i="133"/>
  <c r="H69" i="133"/>
  <c r="N52" i="133"/>
  <c r="Q94" i="133"/>
  <c r="R66" i="133"/>
  <c r="K18" i="133"/>
  <c r="H180" i="133"/>
  <c r="L158" i="133"/>
  <c r="R169" i="133"/>
  <c r="Q144" i="133"/>
  <c r="R112" i="133"/>
  <c r="J159" i="133"/>
  <c r="N80" i="133"/>
  <c r="L86" i="133"/>
  <c r="N188" i="133"/>
  <c r="S116" i="133"/>
  <c r="T102" i="133"/>
  <c r="H128" i="133"/>
  <c r="S148" i="133"/>
  <c r="S40" i="133"/>
  <c r="T38" i="133"/>
  <c r="K31" i="133"/>
  <c r="L28" i="133"/>
  <c r="S188" i="133"/>
  <c r="N68" i="133"/>
  <c r="M61" i="133"/>
  <c r="O16" i="133"/>
  <c r="P50" i="133"/>
  <c r="J176" i="133"/>
  <c r="M169" i="133"/>
  <c r="L164" i="133"/>
  <c r="Q128" i="133"/>
  <c r="J140" i="133"/>
  <c r="Q129" i="133"/>
  <c r="P122" i="133"/>
  <c r="P133" i="133"/>
  <c r="H122" i="133"/>
  <c r="H58" i="133"/>
  <c r="P68" i="133"/>
  <c r="H64" i="133"/>
  <c r="L123" i="133"/>
  <c r="H125" i="133"/>
  <c r="K30" i="133"/>
  <c r="S29" i="133"/>
  <c r="S28" i="133"/>
  <c r="T20" i="133"/>
  <c r="K179" i="133"/>
  <c r="T89" i="133"/>
  <c r="N121" i="133"/>
  <c r="H152" i="133"/>
  <c r="J144" i="133"/>
  <c r="K72" i="133"/>
  <c r="R31" i="133"/>
  <c r="I188" i="133"/>
  <c r="M161" i="133"/>
  <c r="N156" i="133"/>
  <c r="M121" i="133"/>
  <c r="T168" i="133"/>
  <c r="M120" i="133"/>
  <c r="R111" i="133"/>
  <c r="I117" i="133"/>
  <c r="O111" i="133"/>
  <c r="L85" i="133"/>
  <c r="J61" i="133"/>
  <c r="T95" i="133"/>
  <c r="O74" i="133"/>
  <c r="L71" i="133"/>
  <c r="S49" i="133"/>
  <c r="O32" i="133"/>
  <c r="M22" i="133"/>
  <c r="J18" i="133"/>
  <c r="S88" i="133"/>
  <c r="M176" i="133"/>
  <c r="Q61" i="133"/>
  <c r="K176" i="133"/>
  <c r="K166" i="133"/>
  <c r="L139" i="133"/>
  <c r="J160" i="133"/>
  <c r="R181" i="133"/>
  <c r="P185" i="133"/>
  <c r="L120" i="133"/>
  <c r="P151" i="133"/>
  <c r="P67" i="133"/>
  <c r="M85" i="133"/>
  <c r="H105" i="133"/>
  <c r="M56" i="133"/>
  <c r="N61" i="133"/>
  <c r="T105" i="133"/>
  <c r="R44" i="133"/>
  <c r="M29" i="133"/>
  <c r="T42" i="133"/>
  <c r="H22" i="133"/>
  <c r="M189" i="133"/>
  <c r="L167" i="133"/>
  <c r="R93" i="133"/>
  <c r="J110" i="133"/>
  <c r="H17" i="133"/>
  <c r="Q110" i="133"/>
  <c r="T79" i="133"/>
  <c r="I46" i="133"/>
  <c r="N183" i="133"/>
  <c r="M182" i="133"/>
  <c r="P173" i="133"/>
  <c r="M137" i="133"/>
  <c r="T148" i="133"/>
  <c r="S140" i="133"/>
  <c r="Q143" i="133"/>
  <c r="K146" i="133"/>
  <c r="K139" i="133"/>
  <c r="M64" i="133"/>
  <c r="I77" i="133"/>
  <c r="T85" i="133"/>
  <c r="O82" i="133"/>
  <c r="K98" i="133"/>
  <c r="Q29" i="133"/>
  <c r="O37" i="133"/>
  <c r="K54" i="133"/>
  <c r="Q19" i="133"/>
  <c r="P140" i="133"/>
  <c r="T142" i="133"/>
  <c r="L142" i="133"/>
  <c r="H74" i="133"/>
  <c r="H90" i="133"/>
  <c r="J31" i="133"/>
  <c r="J180" i="133"/>
  <c r="P174" i="133"/>
  <c r="N167" i="133"/>
  <c r="J177" i="133"/>
  <c r="R83" i="133"/>
  <c r="S112" i="133"/>
  <c r="T100" i="133"/>
  <c r="J49" i="133"/>
  <c r="P15" i="133"/>
  <c r="P188" i="133"/>
  <c r="L172" i="133"/>
  <c r="R137" i="133"/>
  <c r="M164" i="133"/>
  <c r="S126" i="133"/>
  <c r="O100" i="133"/>
  <c r="K93" i="133"/>
  <c r="H95" i="133"/>
  <c r="S90" i="133"/>
  <c r="O60" i="133"/>
  <c r="O129" i="133"/>
  <c r="J128" i="133"/>
  <c r="H133" i="133"/>
  <c r="J52" i="133"/>
  <c r="P48" i="133"/>
  <c r="M40" i="133"/>
  <c r="M25" i="133"/>
  <c r="L17" i="133"/>
  <c r="H93" i="133"/>
  <c r="S27" i="133"/>
  <c r="Q157" i="133"/>
  <c r="P89" i="133"/>
  <c r="M17" i="133"/>
  <c r="H176" i="133"/>
  <c r="T153" i="133"/>
  <c r="S161" i="133"/>
  <c r="I137" i="133"/>
  <c r="M107" i="133"/>
  <c r="K147" i="133"/>
  <c r="J75" i="133"/>
  <c r="L82" i="133"/>
  <c r="N135" i="133"/>
  <c r="N103" i="133"/>
  <c r="T92" i="133"/>
  <c r="S108" i="133"/>
  <c r="P108" i="133"/>
  <c r="I36" i="133"/>
  <c r="T43" i="133"/>
  <c r="R34" i="133"/>
  <c r="K26" i="133"/>
  <c r="I177" i="133"/>
  <c r="O151" i="133"/>
  <c r="L58" i="133"/>
  <c r="K175" i="133"/>
  <c r="M48" i="133"/>
  <c r="I190" i="133"/>
  <c r="M163" i="133"/>
  <c r="T158" i="133"/>
  <c r="M123" i="133"/>
  <c r="R179" i="133"/>
  <c r="O123" i="133"/>
  <c r="J114" i="133"/>
  <c r="R120" i="133"/>
  <c r="R113" i="133"/>
  <c r="R89" i="133"/>
  <c r="R62" i="133"/>
  <c r="K112" i="133"/>
  <c r="M82" i="133"/>
  <c r="M81" i="133"/>
  <c r="S51" i="133"/>
  <c r="J35" i="133"/>
  <c r="M24" i="133"/>
  <c r="S18" i="133"/>
  <c r="S155" i="133"/>
  <c r="H65" i="133"/>
  <c r="J50" i="133"/>
  <c r="H136" i="133"/>
  <c r="K117" i="133"/>
  <c r="Q79" i="133"/>
  <c r="P53" i="133"/>
  <c r="Q182" i="133"/>
  <c r="H189" i="133"/>
  <c r="N150" i="133"/>
  <c r="I116" i="133"/>
  <c r="S150" i="133"/>
  <c r="O113" i="133"/>
  <c r="P105" i="133"/>
  <c r="L110" i="133"/>
  <c r="S104" i="133"/>
  <c r="M75" i="133"/>
  <c r="K67" i="133"/>
  <c r="P86" i="133"/>
  <c r="T56" i="133"/>
  <c r="S146" i="133"/>
  <c r="H42" i="133"/>
  <c r="M39" i="133"/>
  <c r="L22" i="133"/>
  <c r="J17" i="133"/>
  <c r="I63" i="133"/>
  <c r="S134" i="133"/>
  <c r="S81" i="133"/>
  <c r="S170" i="133"/>
  <c r="S160" i="133"/>
  <c r="L135" i="133"/>
  <c r="T152" i="133"/>
  <c r="N169" i="133"/>
  <c r="N163" i="133"/>
  <c r="L115" i="133"/>
  <c r="P143" i="133"/>
  <c r="O188" i="133"/>
  <c r="P78" i="133"/>
  <c r="K95" i="133"/>
  <c r="P124" i="133"/>
  <c r="O72" i="133"/>
  <c r="Q77" i="133"/>
  <c r="P39" i="133"/>
  <c r="K29" i="133"/>
  <c r="Q33" i="133"/>
  <c r="I25" i="133"/>
  <c r="I184" i="133"/>
  <c r="P164" i="133"/>
  <c r="H73" i="133"/>
  <c r="Q78" i="133"/>
  <c r="K172" i="133"/>
  <c r="M89" i="133"/>
  <c r="T87" i="133"/>
  <c r="S55" i="133"/>
  <c r="J178" i="133"/>
  <c r="M172" i="133"/>
  <c r="T166" i="133"/>
  <c r="Q130" i="133"/>
  <c r="R142" i="133"/>
  <c r="K132" i="133"/>
  <c r="N127" i="133"/>
  <c r="R138" i="133"/>
  <c r="R126" i="133"/>
  <c r="T59" i="133"/>
  <c r="M70" i="133"/>
  <c r="Q69" i="133"/>
  <c r="S177" i="133"/>
  <c r="T155" i="133"/>
  <c r="H32" i="133"/>
  <c r="H45" i="133"/>
  <c r="L37" i="133"/>
  <c r="P20" i="133"/>
  <c r="R163" i="133"/>
  <c r="Q100" i="133"/>
  <c r="H77" i="133"/>
  <c r="S149" i="133"/>
  <c r="T60" i="133"/>
  <c r="K36" i="133"/>
  <c r="R174" i="133"/>
  <c r="K185" i="133"/>
  <c r="L188" i="133"/>
  <c r="I122" i="133"/>
  <c r="L156" i="133"/>
  <c r="S87" i="133"/>
  <c r="M102" i="133"/>
  <c r="O44" i="133"/>
  <c r="P184" i="133"/>
  <c r="H165" i="133"/>
  <c r="J183" i="133"/>
  <c r="M154" i="133"/>
  <c r="P120" i="133"/>
  <c r="L169" i="133"/>
  <c r="N86" i="133"/>
  <c r="J91" i="133"/>
  <c r="K86" i="133"/>
  <c r="P163" i="133"/>
  <c r="N112" i="133"/>
  <c r="L101" i="133"/>
  <c r="S73" i="133"/>
  <c r="R46" i="133"/>
  <c r="Q44" i="133"/>
  <c r="I49" i="133"/>
  <c r="I24" i="133"/>
  <c r="S15" i="133"/>
  <c r="K62" i="133"/>
  <c r="T15" i="133"/>
  <c r="N114" i="133"/>
  <c r="M88" i="133"/>
  <c r="K190" i="133"/>
  <c r="K189" i="133"/>
  <c r="T149" i="133"/>
  <c r="N154" i="133"/>
  <c r="J132" i="133"/>
  <c r="I102" i="133"/>
  <c r="M139" i="133"/>
  <c r="R69" i="133"/>
  <c r="L78" i="133"/>
  <c r="L113" i="133"/>
  <c r="I86" i="133"/>
  <c r="J84" i="133"/>
  <c r="O93" i="133"/>
  <c r="N93" i="133"/>
  <c r="H31" i="133"/>
  <c r="M52" i="133"/>
  <c r="M37" i="133"/>
  <c r="I22" i="133"/>
  <c r="P148" i="133"/>
  <c r="N105" i="133"/>
  <c r="O64" i="133"/>
  <c r="P141" i="133"/>
  <c r="Q47" i="133"/>
  <c r="Q184" i="133"/>
  <c r="I158" i="133"/>
  <c r="N152" i="133"/>
  <c r="I118" i="133"/>
  <c r="I155" i="133"/>
  <c r="M116" i="133"/>
  <c r="N107" i="133"/>
  <c r="S113" i="133"/>
  <c r="I107" i="133"/>
  <c r="O78" i="133"/>
  <c r="R57" i="133"/>
  <c r="L89" i="133"/>
  <c r="P59" i="133"/>
  <c r="O176" i="133"/>
  <c r="S45" i="133"/>
  <c r="R53" i="133"/>
  <c r="P23" i="133"/>
  <c r="K17" i="133"/>
  <c r="I128" i="133"/>
  <c r="T112" i="133"/>
  <c r="I52" i="133"/>
  <c r="H163" i="133"/>
  <c r="L112" i="133"/>
  <c r="S61" i="133"/>
  <c r="O30" i="133"/>
  <c r="M177" i="133"/>
  <c r="J187" i="133"/>
  <c r="J145" i="133"/>
  <c r="H183" i="133"/>
  <c r="S139" i="133"/>
  <c r="S107" i="133"/>
  <c r="T98" i="133"/>
  <c r="J104" i="133"/>
  <c r="P98" i="133"/>
  <c r="M67" i="133"/>
  <c r="I61" i="133"/>
  <c r="O69" i="133"/>
  <c r="H98" i="133"/>
  <c r="M77" i="133"/>
  <c r="H54" i="133"/>
  <c r="L52" i="133"/>
  <c r="N25" i="133"/>
  <c r="L16" i="133"/>
  <c r="J80" i="133"/>
  <c r="Q123" i="133"/>
  <c r="R102" i="133"/>
  <c r="N189" i="133"/>
  <c r="O155" i="133"/>
  <c r="H187" i="133"/>
  <c r="M145" i="133"/>
  <c r="O156" i="133"/>
  <c r="H151" i="133"/>
  <c r="R164" i="133"/>
  <c r="T172" i="133"/>
  <c r="H159" i="133"/>
  <c r="T71" i="133"/>
  <c r="K85" i="133"/>
  <c r="H100" i="133"/>
  <c r="J56" i="133"/>
  <c r="I56" i="133"/>
  <c r="T34" i="133"/>
  <c r="O42" i="133"/>
  <c r="P35" i="133"/>
  <c r="S19" i="133"/>
  <c r="M173" i="133"/>
  <c r="Q141" i="133"/>
  <c r="O133" i="133"/>
  <c r="O121" i="133"/>
  <c r="I162" i="133"/>
  <c r="Q135" i="133"/>
  <c r="S57" i="133"/>
  <c r="P46" i="133"/>
  <c r="R172" i="133"/>
  <c r="M165" i="133"/>
  <c r="J161" i="133"/>
  <c r="M125" i="133"/>
  <c r="M188" i="133"/>
  <c r="L125" i="133"/>
  <c r="N117" i="133"/>
  <c r="N125" i="133"/>
  <c r="T116" i="133"/>
  <c r="K108" i="133"/>
  <c r="J64" i="133"/>
  <c r="I58" i="133"/>
  <c r="P99" i="133"/>
  <c r="Q105" i="133"/>
  <c r="S53" i="133"/>
  <c r="P43" i="133"/>
  <c r="L26" i="133"/>
  <c r="T18" i="133"/>
  <c r="R135" i="133"/>
  <c r="S103" i="133"/>
  <c r="I143" i="133"/>
  <c r="P82" i="133"/>
  <c r="R161" i="133"/>
  <c r="H23" i="133"/>
  <c r="Q188" i="133"/>
  <c r="O174" i="133"/>
  <c r="T176" i="133"/>
  <c r="O130" i="133"/>
  <c r="J118" i="133"/>
  <c r="K136" i="133"/>
  <c r="R114" i="133"/>
  <c r="P33" i="133"/>
  <c r="P180" i="133"/>
  <c r="P159" i="133"/>
  <c r="N170" i="133"/>
  <c r="I145" i="133"/>
  <c r="H113" i="133"/>
  <c r="M160" i="133"/>
  <c r="J81" i="133"/>
  <c r="T86" i="133"/>
  <c r="S80" i="133"/>
  <c r="Q117" i="133"/>
  <c r="J103" i="133"/>
  <c r="R134" i="133"/>
  <c r="M158" i="133"/>
  <c r="O41" i="133"/>
  <c r="O39" i="133"/>
  <c r="T32" i="133"/>
  <c r="S23" i="133"/>
  <c r="O183" i="133"/>
  <c r="K80" i="133"/>
  <c r="O177" i="133"/>
  <c r="R189" i="133"/>
  <c r="S120" i="133"/>
  <c r="S184" i="133"/>
  <c r="O178" i="133"/>
  <c r="T145" i="133"/>
  <c r="T186" i="133"/>
  <c r="K127" i="133"/>
  <c r="Q96" i="133"/>
  <c r="T130" i="133"/>
  <c r="N64" i="133"/>
  <c r="L74" i="133"/>
  <c r="J102" i="133"/>
  <c r="H135" i="133"/>
  <c r="O76" i="133"/>
  <c r="Q85" i="133"/>
  <c r="Q84" i="133"/>
  <c r="M53" i="133"/>
  <c r="R41" i="133"/>
  <c r="I35" i="133"/>
  <c r="K23" i="133"/>
  <c r="L180" i="133"/>
  <c r="H81" i="133"/>
  <c r="L83" i="133"/>
  <c r="Q73" i="133"/>
  <c r="P45" i="133"/>
  <c r="M179" i="133"/>
  <c r="T184" i="133"/>
  <c r="J147" i="133"/>
  <c r="Q112" i="133"/>
  <c r="H143" i="133"/>
  <c r="S109" i="133"/>
  <c r="J101" i="133"/>
  <c r="R106" i="133"/>
  <c r="M100" i="133"/>
  <c r="O70" i="133"/>
  <c r="Q62" i="133"/>
  <c r="S75" i="133"/>
  <c r="Q119" i="133"/>
  <c r="Q111" i="133"/>
  <c r="T55" i="133"/>
  <c r="H55" i="133"/>
  <c r="N27" i="133"/>
  <c r="P17" i="133"/>
  <c r="S171" i="133"/>
  <c r="K84" i="133"/>
  <c r="P29" i="133"/>
  <c r="R145" i="133"/>
  <c r="N89" i="133"/>
  <c r="H108" i="133"/>
  <c r="T37" i="133"/>
  <c r="H190" i="133"/>
  <c r="H175" i="133"/>
  <c r="R139" i="133"/>
  <c r="Q169" i="133"/>
  <c r="I129" i="133"/>
  <c r="O102" i="133"/>
  <c r="T94" i="133"/>
  <c r="P97" i="133"/>
  <c r="H92" i="133"/>
  <c r="J62" i="133"/>
  <c r="R132" i="133"/>
  <c r="H153" i="133"/>
  <c r="R60" i="133"/>
  <c r="J54" i="133"/>
  <c r="H50" i="133"/>
  <c r="M44" i="133"/>
  <c r="H28" i="133"/>
  <c r="Q16" i="133"/>
  <c r="P90" i="133"/>
  <c r="K144" i="133"/>
  <c r="L90" i="133"/>
  <c r="J184" i="133"/>
  <c r="Q183" i="133"/>
  <c r="N176" i="133"/>
  <c r="Q138" i="133"/>
  <c r="N149" i="133"/>
  <c r="I141" i="133"/>
  <c r="T144" i="133"/>
  <c r="H147" i="133"/>
  <c r="L140" i="133"/>
  <c r="Q65" i="133"/>
  <c r="T77" i="133"/>
  <c r="Q86" i="133"/>
  <c r="J97" i="133"/>
  <c r="M104" i="133"/>
  <c r="L30" i="133"/>
  <c r="I45" i="133"/>
  <c r="S32" i="133"/>
  <c r="M20" i="133"/>
  <c r="L187" i="133"/>
  <c r="M117" i="133"/>
  <c r="J89" i="133"/>
  <c r="N55" i="133"/>
  <c r="P156" i="133"/>
  <c r="O108" i="133"/>
  <c r="P117" i="133"/>
  <c r="H30" i="133"/>
  <c r="Q186" i="133"/>
  <c r="I160" i="133"/>
  <c r="O154" i="133"/>
  <c r="I120" i="133"/>
  <c r="T165" i="133"/>
  <c r="K119" i="133"/>
  <c r="N110" i="133"/>
  <c r="T115" i="133"/>
  <c r="Q109" i="133"/>
  <c r="R82" i="133"/>
  <c r="R59" i="133"/>
  <c r="P93" i="133"/>
  <c r="S67" i="133"/>
  <c r="I65" i="133"/>
  <c r="O48" i="133"/>
  <c r="I31" i="133"/>
  <c r="K21" i="133"/>
  <c r="T19" i="133"/>
  <c r="M148" i="133"/>
  <c r="O136" i="133"/>
  <c r="P106" i="133"/>
  <c r="O89" i="133"/>
  <c r="Q39" i="133"/>
  <c r="K25" i="133"/>
  <c r="M183" i="133"/>
  <c r="H167" i="133"/>
  <c r="P162" i="133"/>
  <c r="L138" i="133"/>
  <c r="T84" i="133"/>
  <c r="M73" i="133"/>
  <c r="R155" i="133"/>
  <c r="L44" i="133"/>
  <c r="S164" i="133"/>
  <c r="N158" i="133"/>
  <c r="T169" i="133"/>
  <c r="M149" i="133"/>
  <c r="S83" i="133"/>
  <c r="P153" i="133"/>
  <c r="L98" i="133"/>
  <c r="R35" i="133"/>
  <c r="J27" i="133"/>
  <c r="Q80" i="133"/>
  <c r="R185" i="133"/>
  <c r="J182" i="133"/>
  <c r="K171" i="133"/>
  <c r="P147" i="133"/>
  <c r="I135" i="133"/>
  <c r="N137" i="133"/>
  <c r="L75" i="133"/>
  <c r="I75" i="133"/>
  <c r="O36" i="133"/>
  <c r="O51" i="133"/>
  <c r="P139" i="133"/>
  <c r="Q49" i="133"/>
  <c r="R17" i="133"/>
  <c r="L153" i="133"/>
  <c r="Q136" i="133"/>
  <c r="T146" i="133"/>
  <c r="P81" i="133"/>
  <c r="H102" i="133"/>
  <c r="L107" i="133"/>
  <c r="O35" i="133"/>
  <c r="N33" i="133"/>
  <c r="L179" i="133"/>
  <c r="L67" i="133"/>
  <c r="I142" i="133"/>
  <c r="O77" i="133"/>
  <c r="S183" i="133"/>
  <c r="Q151" i="133"/>
  <c r="M99" i="133"/>
  <c r="J67" i="133"/>
  <c r="L108" i="133"/>
  <c r="I80" i="133"/>
  <c r="H88" i="133"/>
  <c r="I47" i="133"/>
  <c r="L23" i="133"/>
  <c r="Q46" i="133"/>
  <c r="I37" i="133"/>
  <c r="N186" i="133"/>
  <c r="T180" i="133"/>
  <c r="K107" i="133"/>
  <c r="P103" i="133"/>
  <c r="S66" i="133"/>
  <c r="O66" i="133"/>
  <c r="K74" i="133"/>
  <c r="H51" i="133"/>
  <c r="O17" i="133"/>
  <c r="I90" i="133"/>
  <c r="M32" i="133"/>
  <c r="J73" i="133"/>
  <c r="T21" i="133"/>
  <c r="H160" i="133"/>
  <c r="M146" i="133"/>
  <c r="N161" i="133"/>
  <c r="H87" i="133"/>
  <c r="M118" i="133"/>
  <c r="Q171" i="133"/>
  <c r="K42" i="133"/>
  <c r="O33" i="133"/>
  <c r="N15" i="133"/>
  <c r="T117" i="133"/>
  <c r="H106" i="133"/>
  <c r="O22" i="133"/>
  <c r="K162" i="133"/>
  <c r="M105" i="133"/>
  <c r="L73" i="133"/>
  <c r="P27" i="133"/>
  <c r="O159" i="133"/>
  <c r="K151" i="133"/>
  <c r="Q161" i="133"/>
  <c r="S141" i="133"/>
  <c r="R76" i="133"/>
  <c r="Q115" i="133"/>
  <c r="H72" i="133"/>
  <c r="N54" i="133"/>
  <c r="R23" i="133"/>
  <c r="T103" i="133"/>
  <c r="R98" i="133"/>
  <c r="R176" i="133"/>
  <c r="P165" i="133"/>
  <c r="T140" i="133"/>
  <c r="L124" i="133"/>
  <c r="P123" i="133"/>
  <c r="I69" i="133"/>
  <c r="O127" i="133"/>
  <c r="S30" i="133"/>
  <c r="N29" i="133"/>
  <c r="K124" i="133"/>
  <c r="N50" i="133"/>
  <c r="O189" i="133"/>
  <c r="L149" i="133"/>
  <c r="S131" i="133"/>
  <c r="P137" i="133"/>
  <c r="P77" i="133"/>
  <c r="O84" i="133"/>
  <c r="N92" i="133"/>
  <c r="M30" i="133"/>
  <c r="R36" i="133"/>
  <c r="S175" i="133"/>
  <c r="T125" i="133"/>
  <c r="R171" i="133"/>
  <c r="J124" i="133"/>
  <c r="K173" i="133"/>
  <c r="S173" i="133"/>
  <c r="I94" i="133"/>
  <c r="R61" i="133"/>
  <c r="N96" i="133"/>
  <c r="S72" i="133"/>
  <c r="K66" i="133"/>
  <c r="H37" i="133"/>
  <c r="Q25" i="133"/>
  <c r="L47" i="133"/>
  <c r="H53" i="133"/>
  <c r="L174" i="133"/>
  <c r="P167" i="133"/>
  <c r="S101" i="133"/>
  <c r="P96" i="133"/>
  <c r="T61" i="133"/>
  <c r="H137" i="133"/>
  <c r="N53" i="133"/>
  <c r="I43" i="133"/>
  <c r="I16" i="133"/>
  <c r="M128" i="133"/>
  <c r="Q34" i="133"/>
  <c r="N145" i="133"/>
  <c r="Q27" i="133"/>
  <c r="Q154" i="133"/>
  <c r="Q139" i="133"/>
  <c r="O150" i="133"/>
  <c r="H83" i="133"/>
  <c r="N106" i="133"/>
  <c r="K115" i="133"/>
  <c r="K37" i="133"/>
  <c r="S36" i="133"/>
  <c r="O167" i="133"/>
  <c r="I113" i="133"/>
  <c r="M124" i="133"/>
  <c r="J16" i="133"/>
  <c r="S156" i="133"/>
  <c r="Q121" i="133"/>
  <c r="L56" i="133"/>
  <c r="O28" i="133"/>
  <c r="K154" i="133"/>
  <c r="I144" i="133"/>
  <c r="H149" i="133"/>
  <c r="I159" i="133"/>
  <c r="P70" i="133"/>
  <c r="P92" i="133"/>
  <c r="N133" i="133"/>
  <c r="L31" i="133"/>
  <c r="P18" i="133"/>
  <c r="S70" i="133"/>
  <c r="T68" i="133"/>
  <c r="Q190" i="133"/>
  <c r="L159" i="133"/>
  <c r="P181" i="133"/>
  <c r="J115" i="133"/>
  <c r="S114" i="133"/>
  <c r="H63" i="133"/>
  <c r="H84" i="133"/>
  <c r="O52" i="133"/>
  <c r="H25" i="133"/>
  <c r="M95" i="133"/>
  <c r="T54" i="133"/>
  <c r="K184" i="133"/>
  <c r="L145" i="133"/>
  <c r="O126" i="133"/>
  <c r="J130" i="133"/>
  <c r="P73" i="133"/>
  <c r="T132" i="133"/>
  <c r="R84" i="133"/>
  <c r="Q52" i="133"/>
  <c r="S31" i="133"/>
  <c r="S162" i="133"/>
  <c r="S64" i="133"/>
  <c r="H145" i="133"/>
  <c r="Q81" i="133"/>
  <c r="S166" i="133"/>
  <c r="P161" i="133"/>
  <c r="Q88" i="133"/>
  <c r="J155" i="133"/>
  <c r="J86" i="133"/>
  <c r="Q57" i="133"/>
  <c r="L109" i="133"/>
  <c r="I30" i="133"/>
  <c r="S25" i="133"/>
  <c r="M54" i="133"/>
  <c r="J51" i="133"/>
  <c r="L166" i="133"/>
  <c r="Q156" i="133"/>
  <c r="T171" i="133"/>
  <c r="J92" i="133"/>
  <c r="O56" i="133"/>
  <c r="T108" i="133"/>
  <c r="J48" i="133"/>
  <c r="Q51" i="133"/>
  <c r="I15" i="133"/>
  <c r="J166" i="133"/>
  <c r="R47" i="133"/>
  <c r="H130" i="133"/>
  <c r="M19" i="133"/>
  <c r="P150" i="133"/>
  <c r="I133" i="133"/>
  <c r="H141" i="133"/>
  <c r="H79" i="133"/>
  <c r="L95" i="133"/>
  <c r="R95" i="133"/>
  <c r="J32" i="133"/>
  <c r="R39" i="133"/>
  <c r="Q187" i="133"/>
  <c r="N84" i="133"/>
  <c r="M66" i="133"/>
  <c r="K188" i="133"/>
  <c r="M186" i="133"/>
  <c r="P135" i="133"/>
  <c r="I101" i="133"/>
  <c r="M26" i="133"/>
  <c r="I181" i="133"/>
  <c r="S136" i="133"/>
  <c r="N139" i="133"/>
  <c r="K145" i="133"/>
  <c r="T63" i="133"/>
  <c r="H80" i="133"/>
  <c r="K83" i="133"/>
  <c r="T36" i="133"/>
  <c r="I19" i="133"/>
  <c r="S44" i="133"/>
  <c r="I119" i="133"/>
  <c r="M185" i="133"/>
  <c r="J153" i="133"/>
  <c r="S163" i="133"/>
  <c r="R108" i="133"/>
  <c r="T107" i="133"/>
  <c r="N58" i="133"/>
  <c r="S60" i="133"/>
  <c r="O46" i="133"/>
  <c r="L24" i="133"/>
  <c r="P145" i="133"/>
  <c r="J55" i="133"/>
  <c r="S178" i="133"/>
  <c r="L141" i="133"/>
  <c r="K121" i="133"/>
  <c r="N123" i="133"/>
  <c r="P69" i="133"/>
  <c r="O109" i="133"/>
  <c r="N69" i="133"/>
  <c r="M47" i="133"/>
  <c r="S46" i="133"/>
  <c r="N168" i="133"/>
  <c r="O63" i="133"/>
  <c r="T129" i="133"/>
  <c r="M74" i="133"/>
  <c r="O161" i="133"/>
  <c r="S153" i="133"/>
  <c r="O164" i="133"/>
  <c r="R144" i="133"/>
  <c r="I79" i="133"/>
  <c r="M126" i="133"/>
  <c r="R80" i="133"/>
  <c r="L29" i="133"/>
  <c r="I27" i="133"/>
  <c r="T52" i="133"/>
  <c r="J26" i="133"/>
  <c r="T160" i="133"/>
  <c r="Q147" i="133"/>
  <c r="J162" i="133"/>
  <c r="P87" i="133"/>
  <c r="K135" i="133"/>
  <c r="J58" i="133"/>
  <c r="S42" i="133"/>
  <c r="H34" i="133"/>
  <c r="O15" i="133"/>
  <c r="T122" i="133"/>
  <c r="J30" i="133"/>
  <c r="I93" i="133"/>
  <c r="K186" i="133"/>
  <c r="P146" i="133"/>
  <c r="O128" i="133"/>
  <c r="I132" i="133"/>
  <c r="H75" i="133"/>
  <c r="P154" i="133"/>
  <c r="L87" i="133"/>
  <c r="Q54" i="133"/>
  <c r="S41" i="133"/>
  <c r="J163" i="133"/>
  <c r="T159" i="133"/>
  <c r="Q67" i="133"/>
  <c r="N185" i="133"/>
  <c r="Q175" i="133"/>
  <c r="N130" i="133"/>
  <c r="I103" i="133"/>
  <c r="P19" i="133"/>
  <c r="S174" i="133"/>
  <c r="I179" i="133"/>
  <c r="T66" i="133"/>
  <c r="S58" i="133"/>
  <c r="L40" i="133"/>
  <c r="K163" i="133"/>
  <c r="Q179" i="133"/>
  <c r="J188" i="133"/>
  <c r="L154" i="133"/>
  <c r="L152" i="133"/>
  <c r="J136" i="133"/>
  <c r="T29" i="133"/>
  <c r="Q116" i="133"/>
  <c r="I164" i="133"/>
  <c r="H124" i="133"/>
  <c r="J93" i="133"/>
  <c r="I83" i="133"/>
  <c r="R20" i="133"/>
  <c r="P64" i="133"/>
  <c r="R183" i="133"/>
  <c r="R63" i="133"/>
  <c r="K75" i="133"/>
  <c r="N40" i="133"/>
  <c r="L157" i="133"/>
  <c r="H112" i="133"/>
  <c r="H172" i="133"/>
  <c r="T138" i="133"/>
  <c r="P76" i="133"/>
  <c r="I29" i="133"/>
  <c r="P158" i="133"/>
  <c r="K50" i="133"/>
  <c r="Q118" i="133"/>
  <c r="T114" i="133"/>
  <c r="N90" i="133"/>
  <c r="O29" i="133"/>
  <c r="J57" i="133"/>
  <c r="P168" i="133"/>
  <c r="Q90" i="133"/>
  <c r="H91" i="133"/>
  <c r="T123" i="133"/>
  <c r="O21" i="133"/>
  <c r="K27" i="133"/>
  <c r="O171" i="133"/>
  <c r="H170" i="133"/>
  <c r="L64" i="133"/>
  <c r="O75" i="133"/>
  <c r="J34" i="133"/>
  <c r="I99" i="133"/>
  <c r="J173" i="133"/>
  <c r="N82" i="133"/>
  <c r="L106" i="133"/>
  <c r="Q40" i="133"/>
  <c r="J169" i="133"/>
  <c r="R187" i="133"/>
  <c r="K181" i="133"/>
  <c r="I98" i="133"/>
  <c r="J105" i="133"/>
  <c r="M86" i="133"/>
  <c r="M28" i="133"/>
  <c r="H134" i="133"/>
  <c r="O138" i="133"/>
  <c r="S33" i="133"/>
  <c r="M51" i="133"/>
  <c r="I138" i="133"/>
  <c r="S79" i="133"/>
  <c r="Q38" i="133"/>
  <c r="R78" i="133"/>
  <c r="M166" i="133"/>
  <c r="N111" i="133"/>
  <c r="P42" i="133"/>
  <c r="Q173" i="133"/>
  <c r="K182" i="133"/>
  <c r="N184" i="133"/>
  <c r="O166" i="133"/>
  <c r="Q50" i="133"/>
  <c r="K122" i="133"/>
  <c r="T181" i="133"/>
  <c r="J98" i="133"/>
  <c r="R131" i="133"/>
  <c r="T45" i="133"/>
  <c r="P88" i="133"/>
  <c r="R168" i="133"/>
  <c r="M156" i="133"/>
  <c r="R65" i="133"/>
  <c r="M171" i="133"/>
  <c r="O27" i="133"/>
  <c r="R88" i="133"/>
  <c r="P182" i="133"/>
  <c r="T109" i="133"/>
  <c r="M184" i="133"/>
  <c r="L103" i="133"/>
  <c r="M31" i="133"/>
  <c r="P54" i="133"/>
  <c r="K130" i="133"/>
  <c r="N79" i="133"/>
  <c r="H41" i="133"/>
  <c r="L65" i="133"/>
  <c r="Q106" i="133"/>
  <c r="P100" i="133"/>
  <c r="I51" i="133"/>
  <c r="O45" i="133"/>
  <c r="S176" i="133"/>
  <c r="O134" i="133"/>
  <c r="R116" i="133"/>
  <c r="M45" i="133"/>
  <c r="P129" i="133"/>
  <c r="N144" i="133"/>
  <c r="K94" i="133"/>
  <c r="P116" i="133"/>
  <c r="S24" i="133"/>
  <c r="I62" i="133"/>
  <c r="T65" i="133"/>
  <c r="M150" i="133"/>
  <c r="O81" i="133"/>
  <c r="I115" i="133"/>
  <c r="J22" i="133"/>
  <c r="T154" i="133"/>
  <c r="P178" i="133"/>
  <c r="L57" i="133"/>
  <c r="Q165" i="133"/>
  <c r="T91" i="133"/>
  <c r="S52" i="133"/>
  <c r="J38" i="133"/>
  <c r="L117" i="133"/>
  <c r="P66" i="133"/>
  <c r="N18" i="133"/>
  <c r="H89" i="133"/>
  <c r="M101" i="133"/>
  <c r="Q91" i="133"/>
  <c r="H33" i="133"/>
  <c r="J45" i="133"/>
  <c r="T147" i="133"/>
  <c r="R127" i="133"/>
  <c r="M106" i="133"/>
  <c r="J40" i="133"/>
  <c r="P111" i="133"/>
  <c r="J139" i="133"/>
  <c r="R87" i="133"/>
  <c r="J82" i="133"/>
  <c r="M27" i="133"/>
  <c r="N109" i="133"/>
  <c r="J116" i="133"/>
  <c r="Q113" i="133"/>
  <c r="I140" i="133"/>
  <c r="O95" i="133"/>
  <c r="Q122" i="133"/>
  <c r="P36" i="133"/>
  <c r="H148" i="133"/>
  <c r="T33" i="133"/>
  <c r="H138" i="133"/>
  <c r="L178" i="133"/>
  <c r="M38" i="133"/>
  <c r="J158" i="133"/>
  <c r="I124" i="133"/>
  <c r="P58" i="133"/>
  <c r="L35" i="133"/>
  <c r="N98" i="133"/>
  <c r="Q153" i="133"/>
  <c r="H123" i="133"/>
  <c r="T83" i="133"/>
  <c r="N115" i="133"/>
  <c r="O187" i="133"/>
  <c r="O124" i="133"/>
  <c r="L68" i="133"/>
  <c r="L43" i="133"/>
  <c r="M130" i="133"/>
  <c r="T185" i="133"/>
  <c r="P114" i="133"/>
  <c r="M60" i="133"/>
  <c r="T49" i="133"/>
  <c r="P183" i="133"/>
  <c r="P61" i="133"/>
  <c r="Q163" i="133"/>
  <c r="J71" i="133"/>
  <c r="K78" i="133"/>
  <c r="O24" i="133"/>
  <c r="M80" i="133"/>
  <c r="P186" i="133"/>
  <c r="L105" i="133"/>
  <c r="J148" i="133"/>
  <c r="J150" i="133"/>
  <c r="L144" i="133"/>
  <c r="I18" i="133"/>
  <c r="I96" i="133"/>
  <c r="O25" i="133"/>
  <c r="T143" i="133"/>
  <c r="L96" i="133"/>
  <c r="T80" i="133"/>
  <c r="O97" i="133"/>
  <c r="H26" i="133"/>
  <c r="L181" i="133"/>
  <c r="R117" i="133"/>
  <c r="Q159" i="133"/>
  <c r="H140" i="133"/>
  <c r="J119" i="133"/>
  <c r="S151" i="133"/>
  <c r="J134" i="133"/>
  <c r="S17" i="133"/>
  <c r="N74" i="133"/>
  <c r="N28" i="133"/>
  <c r="T139" i="133"/>
  <c r="I89" i="133"/>
  <c r="L165" i="133"/>
  <c r="R91" i="133"/>
  <c r="J25" i="133"/>
  <c r="L177" i="133"/>
  <c r="P104" i="133"/>
  <c r="O120" i="133"/>
  <c r="H169" i="133"/>
  <c r="N113" i="133"/>
  <c r="O117" i="133"/>
  <c r="L122" i="133"/>
  <c r="K77" i="133"/>
  <c r="J69" i="133"/>
  <c r="M21" i="133"/>
  <c r="T135" i="133"/>
  <c r="J76" i="133"/>
  <c r="Q176" i="133"/>
  <c r="O87" i="133"/>
  <c r="O157" i="133"/>
  <c r="L173" i="133"/>
  <c r="K96" i="133"/>
  <c r="S145" i="133"/>
  <c r="N140" i="133"/>
  <c r="R182" i="133"/>
  <c r="N43" i="133"/>
  <c r="M129" i="133"/>
  <c r="S56" i="133"/>
  <c r="I161" i="133"/>
  <c r="M92" i="133"/>
  <c r="T88" i="133"/>
  <c r="L72" i="133"/>
  <c r="S142" i="133"/>
  <c r="T121" i="133"/>
  <c r="T53" i="133"/>
  <c r="K133" i="133"/>
  <c r="N76" i="133"/>
  <c r="N44" i="133"/>
  <c r="P190" i="133"/>
  <c r="R150" i="133"/>
  <c r="K63" i="133"/>
  <c r="S167" i="133"/>
  <c r="S129" i="133"/>
  <c r="T189" i="133"/>
  <c r="Q162" i="133"/>
  <c r="R86" i="133"/>
  <c r="T64" i="133"/>
  <c r="M140" i="133"/>
  <c r="K113" i="133"/>
  <c r="N166" i="133"/>
  <c r="K82" i="133"/>
  <c r="J171" i="133"/>
  <c r="J170" i="133"/>
  <c r="N83" i="133"/>
  <c r="L130" i="133"/>
  <c r="M83" i="133"/>
  <c r="P121" i="133"/>
  <c r="S189" i="133"/>
  <c r="Q74" i="133"/>
  <c r="I40" i="133"/>
  <c r="H36" i="133"/>
  <c r="J78" i="133"/>
  <c r="R154" i="133"/>
  <c r="M63" i="133"/>
  <c r="S68" i="133"/>
  <c r="N81" i="133"/>
  <c r="O68" i="133"/>
  <c r="L116" i="133"/>
  <c r="K138" i="133"/>
  <c r="M152" i="133"/>
  <c r="K47" i="133"/>
  <c r="P44" i="133"/>
  <c r="J129" i="133"/>
  <c r="L76" i="133"/>
  <c r="I55" i="133"/>
  <c r="O169" i="133"/>
  <c r="I136" i="133"/>
  <c r="K177" i="133"/>
  <c r="J142" i="133"/>
  <c r="H43" i="133"/>
  <c r="I183" i="133"/>
  <c r="R81" i="133"/>
  <c r="N48" i="133"/>
  <c r="H107" i="133"/>
  <c r="P128" i="133"/>
  <c r="H40" i="133"/>
  <c r="M170" i="133"/>
  <c r="O59" i="133"/>
  <c r="R26" i="133"/>
  <c r="L54" i="133"/>
  <c r="R49" i="133"/>
  <c r="O53" i="133"/>
  <c r="Q158" i="133"/>
  <c r="L81" i="133"/>
  <c r="T175" i="133"/>
  <c r="Q108" i="133"/>
  <c r="T76" i="133"/>
  <c r="S187" i="133"/>
  <c r="M103" i="133"/>
  <c r="K45" i="133"/>
  <c r="F22" i="133"/>
  <c r="G22" i="133" s="1"/>
  <c r="X179" i="133"/>
  <c r="AH190" i="133"/>
  <c r="AG172" i="133"/>
  <c r="Z181" i="133"/>
  <c r="AD167" i="133"/>
  <c r="W172" i="133"/>
  <c r="V190" i="133"/>
  <c r="W165" i="133"/>
  <c r="AH120" i="133"/>
  <c r="AF137" i="133"/>
  <c r="X146" i="133"/>
  <c r="AF121" i="133"/>
  <c r="Z88" i="133"/>
  <c r="AJ111" i="133"/>
  <c r="AA126" i="133"/>
  <c r="W109" i="133"/>
  <c r="AA71" i="133"/>
  <c r="Z117" i="133"/>
  <c r="AC70" i="133"/>
  <c r="AJ100" i="133"/>
  <c r="Z107" i="133"/>
  <c r="Y56" i="133"/>
  <c r="AC126" i="133"/>
  <c r="AI118" i="133"/>
  <c r="AI59" i="133"/>
  <c r="AI92" i="133"/>
  <c r="AA82" i="133"/>
  <c r="Z109" i="133"/>
  <c r="AI58" i="133"/>
  <c r="AC167" i="133"/>
  <c r="AG78" i="133"/>
  <c r="AI103" i="133"/>
  <c r="AA32" i="133"/>
  <c r="AA33" i="133"/>
  <c r="X39" i="133"/>
  <c r="AD54" i="133"/>
  <c r="W44" i="133"/>
  <c r="AE50" i="133"/>
  <c r="AI26" i="133"/>
  <c r="AD21" i="133"/>
  <c r="V18" i="133"/>
  <c r="X185" i="133"/>
  <c r="AG180" i="133"/>
  <c r="AE170" i="133"/>
  <c r="AI135" i="133"/>
  <c r="AH122" i="133"/>
  <c r="AE137" i="133"/>
  <c r="AC144" i="133"/>
  <c r="AB159" i="133"/>
  <c r="X170" i="133"/>
  <c r="Z103" i="133"/>
  <c r="V90" i="133"/>
  <c r="X93" i="133"/>
  <c r="AD60" i="133"/>
  <c r="Y90" i="133"/>
  <c r="W41" i="133"/>
  <c r="AE32" i="133"/>
  <c r="W18" i="133"/>
  <c r="W173" i="133"/>
  <c r="AC151" i="133"/>
  <c r="AI165" i="133"/>
  <c r="AE178" i="133"/>
  <c r="AG88" i="133"/>
  <c r="Y97" i="133"/>
  <c r="X129" i="133"/>
  <c r="AG57" i="133"/>
  <c r="AA90" i="133"/>
  <c r="AD48" i="133"/>
  <c r="Y25" i="133"/>
  <c r="AB184" i="133"/>
  <c r="AB158" i="133"/>
  <c r="AE142" i="133"/>
  <c r="AJ138" i="133"/>
  <c r="V89" i="133"/>
  <c r="AI104" i="133"/>
  <c r="AG123" i="133"/>
  <c r="AJ98" i="133"/>
  <c r="Z62" i="133"/>
  <c r="AC87" i="133"/>
  <c r="AB30" i="133"/>
  <c r="AG43" i="133"/>
  <c r="Y19" i="133"/>
  <c r="AG144" i="133"/>
  <c r="AH143" i="133"/>
  <c r="X132" i="133"/>
  <c r="AH73" i="133"/>
  <c r="Z45" i="133"/>
  <c r="AD18" i="133"/>
  <c r="AJ170" i="133"/>
  <c r="Z182" i="133"/>
  <c r="AF174" i="133"/>
  <c r="X168" i="133"/>
  <c r="AA154" i="133"/>
  <c r="AA157" i="133"/>
  <c r="AD169" i="133"/>
  <c r="AF147" i="133"/>
  <c r="Z112" i="133"/>
  <c r="AF126" i="133"/>
  <c r="AB169" i="133"/>
  <c r="AD111" i="133"/>
  <c r="AE147" i="133"/>
  <c r="AB103" i="133"/>
  <c r="AF114" i="133"/>
  <c r="AC96" i="133"/>
  <c r="AE62" i="133"/>
  <c r="AI102" i="133"/>
  <c r="W157" i="133"/>
  <c r="AC89" i="133"/>
  <c r="X90" i="133"/>
  <c r="V77" i="133"/>
  <c r="V104" i="133"/>
  <c r="AB96" i="133"/>
  <c r="V58" i="133"/>
  <c r="X78" i="133"/>
  <c r="AB59" i="133"/>
  <c r="AH129" i="133"/>
  <c r="AC69" i="133"/>
  <c r="V79" i="133"/>
  <c r="AH95" i="133"/>
  <c r="AI56" i="133"/>
  <c r="AH50" i="133"/>
  <c r="AB51" i="133"/>
  <c r="AD52" i="133"/>
  <c r="AG51" i="133"/>
  <c r="AJ52" i="133"/>
  <c r="AH43" i="133"/>
  <c r="AI22" i="133"/>
  <c r="AC23" i="133"/>
  <c r="AI17" i="133"/>
  <c r="AD130" i="133"/>
  <c r="AC77" i="133"/>
  <c r="V30" i="133"/>
  <c r="AA23" i="133"/>
  <c r="AC135" i="133"/>
  <c r="X160" i="133"/>
  <c r="AJ185" i="133"/>
  <c r="AE143" i="133"/>
  <c r="AB77" i="133"/>
  <c r="AH52" i="133"/>
  <c r="W22" i="133"/>
  <c r="AB177" i="133"/>
  <c r="AI159" i="133"/>
  <c r="AJ177" i="133"/>
  <c r="V97" i="133"/>
  <c r="V92" i="133"/>
  <c r="AB86" i="133"/>
  <c r="AE60" i="133"/>
  <c r="AC112" i="133"/>
  <c r="AC50" i="133"/>
  <c r="AA184" i="133"/>
  <c r="AB187" i="133"/>
  <c r="AI146" i="133"/>
  <c r="AJ126" i="133"/>
  <c r="AE108" i="133"/>
  <c r="AJ118" i="133"/>
  <c r="W56" i="133"/>
  <c r="AJ61" i="133"/>
  <c r="AB90" i="133"/>
  <c r="AI60" i="133"/>
  <c r="V54" i="133"/>
  <c r="AD20" i="133"/>
  <c r="AI190" i="133"/>
  <c r="AD177" i="133"/>
  <c r="AI168" i="133"/>
  <c r="AD163" i="133"/>
  <c r="Y148" i="133"/>
  <c r="AE152" i="133"/>
  <c r="AB163" i="133"/>
  <c r="AD141" i="133"/>
  <c r="AC168" i="133"/>
  <c r="X122" i="133"/>
  <c r="AE155" i="133"/>
  <c r="V107" i="133"/>
  <c r="AH136" i="133"/>
  <c r="AF98" i="133"/>
  <c r="AD162" i="133"/>
  <c r="W90" i="133"/>
  <c r="AI163" i="133"/>
  <c r="AJ96" i="133"/>
  <c r="Y135" i="133"/>
  <c r="AB84" i="133"/>
  <c r="AE83" i="133"/>
  <c r="Z70" i="133"/>
  <c r="Y93" i="133"/>
  <c r="AF88" i="133"/>
  <c r="AC159" i="133"/>
  <c r="AB71" i="133"/>
  <c r="AC81" i="133"/>
  <c r="Y98" i="133"/>
  <c r="AB142" i="133"/>
  <c r="X164" i="133"/>
  <c r="X76" i="133"/>
  <c r="AE51" i="133"/>
  <c r="Z46" i="133"/>
  <c r="AF46" i="133"/>
  <c r="AA43" i="133"/>
  <c r="AG38" i="133"/>
  <c r="AF34" i="133"/>
  <c r="Y33" i="133"/>
  <c r="AJ25" i="133"/>
  <c r="AH27" i="133"/>
  <c r="V16" i="133"/>
  <c r="AE173" i="133"/>
  <c r="X155" i="133"/>
  <c r="W190" i="133"/>
  <c r="Z187" i="133"/>
  <c r="V140" i="133"/>
  <c r="AG118" i="133"/>
  <c r="AJ105" i="133"/>
  <c r="X89" i="133"/>
  <c r="AC78" i="133"/>
  <c r="W112" i="133"/>
  <c r="AD63" i="133"/>
  <c r="X70" i="133"/>
  <c r="AB72" i="133"/>
  <c r="V45" i="133"/>
  <c r="W34" i="133"/>
  <c r="AE21" i="133"/>
  <c r="V176" i="133"/>
  <c r="AA150" i="133"/>
  <c r="AD101" i="133"/>
  <c r="AA105" i="133"/>
  <c r="AJ108" i="133"/>
  <c r="X186" i="133"/>
  <c r="AJ66" i="133"/>
  <c r="Z86" i="133"/>
  <c r="Z34" i="133"/>
  <c r="Z26" i="133"/>
  <c r="AB176" i="133"/>
  <c r="AH175" i="133"/>
  <c r="AJ165" i="133"/>
  <c r="X120" i="133"/>
  <c r="AF116" i="133"/>
  <c r="W76" i="133"/>
  <c r="AB82" i="133"/>
  <c r="W92" i="133"/>
  <c r="AE102" i="133"/>
  <c r="Y88" i="133"/>
  <c r="Z40" i="133"/>
  <c r="X40" i="133"/>
  <c r="AD17" i="133"/>
  <c r="AF165" i="133"/>
  <c r="Z151" i="133"/>
  <c r="AG171" i="133"/>
  <c r="AA121" i="133"/>
  <c r="AA118" i="133"/>
  <c r="AA38" i="133"/>
  <c r="AF27" i="133"/>
  <c r="AF177" i="133"/>
  <c r="V189" i="133"/>
  <c r="X188" i="133"/>
  <c r="AD178" i="133"/>
  <c r="AC165" i="133"/>
  <c r="AE169" i="133"/>
  <c r="AE186" i="133"/>
  <c r="V162" i="133"/>
  <c r="V119" i="133"/>
  <c r="AH135" i="133"/>
  <c r="AG143" i="133"/>
  <c r="X119" i="133"/>
  <c r="X182" i="133"/>
  <c r="X110" i="133"/>
  <c r="AC124" i="133"/>
  <c r="Y107" i="133"/>
  <c r="AI69" i="133"/>
  <c r="AG112" i="133"/>
  <c r="AC68" i="133"/>
  <c r="AB98" i="133"/>
  <c r="Y104" i="133"/>
  <c r="X91" i="133"/>
  <c r="AD122" i="133"/>
  <c r="AC114" i="133"/>
  <c r="W58" i="133"/>
  <c r="AF89" i="133"/>
  <c r="V78" i="133"/>
  <c r="W97" i="133"/>
  <c r="Y177" i="133"/>
  <c r="AG128" i="133"/>
  <c r="V70" i="133"/>
  <c r="AA92" i="133"/>
  <c r="AD30" i="133"/>
  <c r="AE31" i="133"/>
  <c r="Z37" i="133"/>
  <c r="AH51" i="133"/>
  <c r="AI36" i="133"/>
  <c r="AJ43" i="133"/>
  <c r="W25" i="133"/>
  <c r="W24" i="133"/>
  <c r="AA20" i="133"/>
  <c r="AF136" i="133"/>
  <c r="W83" i="133"/>
  <c r="AE167" i="133"/>
  <c r="AH49" i="133"/>
  <c r="AD27" i="133"/>
  <c r="W185" i="133"/>
  <c r="V184" i="133"/>
  <c r="AA139" i="133"/>
  <c r="V145" i="133"/>
  <c r="AJ153" i="133"/>
  <c r="AE76" i="133"/>
  <c r="AJ82" i="133"/>
  <c r="AD100" i="133"/>
  <c r="AD171" i="133"/>
  <c r="Z81" i="133"/>
  <c r="AG36" i="133"/>
  <c r="AJ31" i="133"/>
  <c r="AF18" i="133"/>
  <c r="AC127" i="133"/>
  <c r="Z93" i="133"/>
  <c r="AE56" i="133"/>
  <c r="AD73" i="133"/>
  <c r="AE49" i="133"/>
  <c r="AG49" i="133"/>
  <c r="X18" i="133"/>
  <c r="Y184" i="133"/>
  <c r="AC139" i="133"/>
  <c r="V117" i="133"/>
  <c r="AH108" i="133"/>
  <c r="W126" i="133"/>
  <c r="W110" i="133"/>
  <c r="AC101" i="133"/>
  <c r="AE61" i="133"/>
  <c r="AC119" i="133"/>
  <c r="W93" i="133"/>
  <c r="AE110" i="133"/>
  <c r="AC85" i="133"/>
  <c r="AI82" i="133"/>
  <c r="AG29" i="133"/>
  <c r="AI31" i="133"/>
  <c r="AH22" i="133"/>
  <c r="X175" i="133"/>
  <c r="AH186" i="133"/>
  <c r="AJ183" i="133"/>
  <c r="Z173" i="133"/>
  <c r="Y161" i="133"/>
  <c r="AG164" i="133"/>
  <c r="V178" i="133"/>
  <c r="AI155" i="133"/>
  <c r="AH116" i="133"/>
  <c r="AD131" i="133"/>
  <c r="AF140" i="133"/>
  <c r="AI116" i="133"/>
  <c r="AC171" i="133"/>
  <c r="AJ107" i="133"/>
  <c r="AI120" i="133"/>
  <c r="AE103" i="133"/>
  <c r="AA67" i="133"/>
  <c r="AE109" i="133"/>
  <c r="Y65" i="133"/>
  <c r="AI95" i="133"/>
  <c r="AA99" i="133"/>
  <c r="Z85" i="133"/>
  <c r="AB115" i="133"/>
  <c r="AG106" i="133"/>
  <c r="X73" i="133"/>
  <c r="V85" i="133"/>
  <c r="Z71" i="133"/>
  <c r="AA183" i="133"/>
  <c r="AI94" i="133"/>
  <c r="AF96" i="133"/>
  <c r="V59" i="133"/>
  <c r="AB78" i="133"/>
  <c r="V55" i="133"/>
  <c r="Y29" i="133"/>
  <c r="Y42" i="133"/>
  <c r="AE42" i="133"/>
  <c r="AG47" i="133"/>
  <c r="X38" i="133"/>
  <c r="AB22" i="133"/>
  <c r="AG26" i="133"/>
  <c r="AD19" i="133"/>
  <c r="X177" i="133"/>
  <c r="AJ187" i="133"/>
  <c r="W158" i="133"/>
  <c r="AH173" i="133"/>
  <c r="AH114" i="133"/>
  <c r="AA152" i="133"/>
  <c r="AJ128" i="133"/>
  <c r="Z121" i="133"/>
  <c r="W129" i="133"/>
  <c r="AJ93" i="133"/>
  <c r="AF74" i="133"/>
  <c r="X80" i="133"/>
  <c r="W95" i="133"/>
  <c r="AH111" i="133"/>
  <c r="AJ53" i="133"/>
  <c r="AF45" i="133"/>
  <c r="AJ17" i="133"/>
  <c r="Z184" i="133"/>
  <c r="AG140" i="133"/>
  <c r="X150" i="133"/>
  <c r="Y128" i="133"/>
  <c r="AE68" i="133"/>
  <c r="AH133" i="133"/>
  <c r="V86" i="133"/>
  <c r="AG116" i="133"/>
  <c r="AG126" i="133"/>
  <c r="W33" i="133"/>
  <c r="AB24" i="133"/>
  <c r="AB172" i="133"/>
  <c r="AG169" i="133"/>
  <c r="AJ171" i="133"/>
  <c r="X124" i="133"/>
  <c r="X152" i="133"/>
  <c r="W84" i="133"/>
  <c r="V102" i="133"/>
  <c r="V128" i="133"/>
  <c r="AE164" i="133"/>
  <c r="Y106" i="133"/>
  <c r="AG54" i="133"/>
  <c r="X51" i="133"/>
  <c r="Y17" i="133"/>
  <c r="AA165" i="133"/>
  <c r="AJ119" i="133"/>
  <c r="W116" i="133"/>
  <c r="AJ56" i="133"/>
  <c r="AC42" i="133"/>
  <c r="X16" i="133"/>
  <c r="AJ166" i="133"/>
  <c r="Z178" i="133"/>
  <c r="Z169" i="133"/>
  <c r="Z164" i="133"/>
  <c r="AG148" i="133"/>
  <c r="AA153" i="133"/>
  <c r="V164" i="133"/>
  <c r="V142" i="133"/>
  <c r="AD170" i="133"/>
  <c r="AF122" i="133"/>
  <c r="AA156" i="133"/>
  <c r="AD107" i="133"/>
  <c r="AA138" i="133"/>
  <c r="AB99" i="133"/>
  <c r="AE165" i="133"/>
  <c r="AF90" i="133"/>
  <c r="AB165" i="133"/>
  <c r="Z97" i="133"/>
  <c r="AJ143" i="133"/>
  <c r="AJ84" i="133"/>
  <c r="AD84" i="133"/>
  <c r="AJ70" i="133"/>
  <c r="Y94" i="133"/>
  <c r="AH89" i="133"/>
  <c r="AE162" i="133"/>
  <c r="AF72" i="133"/>
  <c r="Z82" i="133"/>
  <c r="AE99" i="133"/>
  <c r="AC150" i="133"/>
  <c r="W57" i="133"/>
  <c r="X79" i="133"/>
  <c r="AA52" i="133"/>
  <c r="AH46" i="133"/>
  <c r="AB47" i="133"/>
  <c r="AE44" i="133"/>
  <c r="AI39" i="133"/>
  <c r="Y35" i="133"/>
  <c r="AB46" i="133"/>
  <c r="AF26" i="133"/>
  <c r="AC28" i="133"/>
  <c r="AD16" i="133"/>
  <c r="X153" i="133"/>
  <c r="AB183" i="133"/>
  <c r="V35" i="133"/>
  <c r="AC20" i="133"/>
  <c r="Y155" i="133"/>
  <c r="AC123" i="133"/>
  <c r="AA111" i="133"/>
  <c r="AJ90" i="133"/>
  <c r="AE107" i="133"/>
  <c r="AB53" i="133"/>
  <c r="AB16" i="133"/>
  <c r="AB162" i="133"/>
  <c r="AE146" i="133"/>
  <c r="AB144" i="133"/>
  <c r="AI142" i="133"/>
  <c r="W72" i="133"/>
  <c r="AI124" i="133"/>
  <c r="Y145" i="133"/>
  <c r="X109" i="133"/>
  <c r="W52" i="133"/>
  <c r="V187" i="133"/>
  <c r="W150" i="133"/>
  <c r="AJ139" i="133"/>
  <c r="AC98" i="133"/>
  <c r="Y92" i="133"/>
  <c r="AE97" i="133"/>
  <c r="AA169" i="133"/>
  <c r="AB64" i="133"/>
  <c r="AI108" i="133"/>
  <c r="AD59" i="133"/>
  <c r="V33" i="133"/>
  <c r="Y15" i="133"/>
  <c r="AI186" i="133"/>
  <c r="AD173" i="133"/>
  <c r="AB164" i="133"/>
  <c r="AD159" i="133"/>
  <c r="AG142" i="133"/>
  <c r="AE148" i="133"/>
  <c r="AJ157" i="133"/>
  <c r="AD136" i="133"/>
  <c r="W160" i="133"/>
  <c r="W188" i="133"/>
  <c r="W145" i="133"/>
  <c r="V103" i="133"/>
  <c r="V130" i="133"/>
  <c r="AE174" i="133"/>
  <c r="X142" i="133"/>
  <c r="W86" i="133"/>
  <c r="AH181" i="133"/>
  <c r="AD90" i="133"/>
  <c r="Y127" i="133"/>
  <c r="AB80" i="133"/>
  <c r="W77" i="133"/>
  <c r="X64" i="133"/>
  <c r="X75" i="133"/>
  <c r="AH81" i="133"/>
  <c r="AB137" i="133"/>
  <c r="AJ62" i="133"/>
  <c r="AF70" i="133"/>
  <c r="Y74" i="133"/>
  <c r="AF78" i="133"/>
  <c r="AI121" i="133"/>
  <c r="AC58" i="133"/>
  <c r="AE47" i="133"/>
  <c r="AA42" i="133"/>
  <c r="AE39" i="133"/>
  <c r="AH35" i="133"/>
  <c r="AA51" i="133"/>
  <c r="X55" i="133"/>
  <c r="AF38" i="133"/>
  <c r="AH25" i="133"/>
  <c r="X19" i="133"/>
  <c r="AF17" i="133"/>
  <c r="AH184" i="133"/>
  <c r="Z177" i="133"/>
  <c r="W168" i="133"/>
  <c r="AH161" i="133"/>
  <c r="AB125" i="133"/>
  <c r="Z110" i="133"/>
  <c r="AJ97" i="133"/>
  <c r="AA81" i="133"/>
  <c r="AG67" i="133"/>
  <c r="V82" i="133"/>
  <c r="X131" i="133"/>
  <c r="AJ110" i="133"/>
  <c r="AE65" i="133"/>
  <c r="AA37" i="133"/>
  <c r="W46" i="133"/>
  <c r="W26" i="133"/>
  <c r="Z158" i="133"/>
  <c r="Z122" i="133"/>
  <c r="AD89" i="133"/>
  <c r="AE84" i="133"/>
  <c r="AA93" i="133"/>
  <c r="AE121" i="133"/>
  <c r="X144" i="133"/>
  <c r="AA50" i="133"/>
  <c r="AD33" i="133"/>
  <c r="Y28" i="133"/>
  <c r="AI188" i="133"/>
  <c r="AD157" i="133"/>
  <c r="AG155" i="133"/>
  <c r="W163" i="133"/>
  <c r="AF100" i="133"/>
  <c r="W64" i="133"/>
  <c r="AB110" i="133"/>
  <c r="AG72" i="133"/>
  <c r="V68" i="133"/>
  <c r="AF84" i="133"/>
  <c r="Z55" i="133"/>
  <c r="Y30" i="133"/>
  <c r="AF183" i="133"/>
  <c r="AD182" i="133"/>
  <c r="Y157" i="133"/>
  <c r="AH127" i="133"/>
  <c r="AA136" i="133"/>
  <c r="AB93" i="133"/>
  <c r="AG34" i="133"/>
  <c r="X28" i="133"/>
  <c r="AF173" i="133"/>
  <c r="V185" i="133"/>
  <c r="X180" i="133"/>
  <c r="V171" i="133"/>
  <c r="AG158" i="133"/>
  <c r="Y162" i="133"/>
  <c r="X174" i="133"/>
  <c r="AI152" i="133"/>
  <c r="V115" i="133"/>
  <c r="AJ129" i="133"/>
  <c r="X138" i="133"/>
  <c r="Z115" i="133"/>
  <c r="Z155" i="133"/>
  <c r="X106" i="133"/>
  <c r="AD118" i="133"/>
  <c r="W101" i="133"/>
  <c r="AI65" i="133"/>
  <c r="W107" i="133"/>
  <c r="Y63" i="133"/>
  <c r="AA94" i="133"/>
  <c r="AE96" i="133"/>
  <c r="AG82" i="133"/>
  <c r="Y110" i="133"/>
  <c r="Y102" i="133"/>
  <c r="AJ65" i="133"/>
  <c r="AD82" i="133"/>
  <c r="AE67" i="133"/>
  <c r="AJ152" i="133"/>
  <c r="AB88" i="133"/>
  <c r="Z91" i="133"/>
  <c r="AH138" i="133"/>
  <c r="X66" i="133"/>
  <c r="AD53" i="133"/>
  <c r="X54" i="133"/>
  <c r="W39" i="133"/>
  <c r="AA35" i="133"/>
  <c r="AE37" i="133"/>
  <c r="X34" i="133"/>
  <c r="AG28" i="133"/>
  <c r="V23" i="133"/>
  <c r="AH18" i="133"/>
  <c r="V112" i="133"/>
  <c r="W71" i="133"/>
  <c r="Z69" i="133"/>
  <c r="AE33" i="133"/>
  <c r="X25" i="133"/>
  <c r="W177" i="133"/>
  <c r="Z166" i="133"/>
  <c r="AD166" i="133"/>
  <c r="AF128" i="133"/>
  <c r="V122" i="133"/>
  <c r="AE64" i="133"/>
  <c r="AF125" i="133"/>
  <c r="AC79" i="133"/>
  <c r="Y109" i="133"/>
  <c r="AH65" i="133"/>
  <c r="AJ30" i="133"/>
  <c r="AB52" i="133"/>
  <c r="W19" i="133"/>
  <c r="W80" i="133"/>
  <c r="AD68" i="133"/>
  <c r="X123" i="133"/>
  <c r="AD57" i="133"/>
  <c r="AJ37" i="133"/>
  <c r="AF55" i="133"/>
  <c r="AJ18" i="133"/>
  <c r="AC173" i="133"/>
  <c r="AI173" i="133"/>
  <c r="Y163" i="133"/>
  <c r="AH92" i="133"/>
  <c r="W104" i="133"/>
  <c r="AE104" i="133"/>
  <c r="AB91" i="133"/>
  <c r="X86" i="133"/>
  <c r="AI98" i="133"/>
  <c r="AB79" i="133"/>
  <c r="AB104" i="133"/>
  <c r="AF62" i="133"/>
  <c r="W49" i="133"/>
  <c r="X52" i="133"/>
  <c r="AC48" i="133"/>
  <c r="AJ27" i="133"/>
  <c r="X171" i="133"/>
  <c r="AH182" i="133"/>
  <c r="AJ175" i="133"/>
  <c r="AG168" i="133"/>
  <c r="AA155" i="133"/>
  <c r="AE158" i="133"/>
  <c r="AA170" i="133"/>
  <c r="Z148" i="133"/>
  <c r="AH112" i="133"/>
  <c r="AB127" i="133"/>
  <c r="AG170" i="133"/>
  <c r="AB112" i="133"/>
  <c r="X149" i="133"/>
  <c r="AJ103" i="133"/>
  <c r="W115" i="133"/>
  <c r="AB97" i="133"/>
  <c r="AA63" i="133"/>
  <c r="AA103" i="133"/>
  <c r="AD160" i="133"/>
  <c r="AC90" i="133"/>
  <c r="Y91" i="133"/>
  <c r="Z78" i="133"/>
  <c r="AC105" i="133"/>
  <c r="AC97" i="133"/>
  <c r="Z59" i="133"/>
  <c r="AH78" i="133"/>
  <c r="AC60" i="133"/>
  <c r="AJ131" i="133"/>
  <c r="AD72" i="133"/>
  <c r="AH83" i="133"/>
  <c r="V100" i="133"/>
  <c r="AA58" i="133"/>
  <c r="V51" i="133"/>
  <c r="AJ51" i="133"/>
  <c r="AH53" i="133"/>
  <c r="AC54" i="133"/>
  <c r="X53" i="133"/>
  <c r="Y45" i="133"/>
  <c r="W23" i="133"/>
  <c r="Y24" i="133"/>
  <c r="AC15" i="133"/>
  <c r="X169" i="133"/>
  <c r="AJ167" i="133"/>
  <c r="AG146" i="133"/>
  <c r="X162" i="133"/>
  <c r="Y166" i="133"/>
  <c r="AJ135" i="133"/>
  <c r="AF117" i="133"/>
  <c r="AE106" i="133"/>
  <c r="AC106" i="133"/>
  <c r="X83" i="133"/>
  <c r="AD61" i="133"/>
  <c r="AA68" i="133"/>
  <c r="AH56" i="133"/>
  <c r="AI68" i="133"/>
  <c r="AJ45" i="133"/>
  <c r="AF42" i="133"/>
  <c r="AA15" i="133"/>
  <c r="Z176" i="133"/>
  <c r="AB167" i="133"/>
  <c r="AF124" i="133"/>
  <c r="Y113" i="133"/>
  <c r="AF168" i="133"/>
  <c r="AC102" i="133"/>
  <c r="AH67" i="133"/>
  <c r="AB81" i="133"/>
  <c r="AB42" i="133"/>
  <c r="Z49" i="133"/>
  <c r="AD28" i="133"/>
  <c r="AI184" i="133"/>
  <c r="AD161" i="133"/>
  <c r="AH151" i="133"/>
  <c r="AC155" i="133"/>
  <c r="AF127" i="133"/>
  <c r="W68" i="133"/>
  <c r="V154" i="133"/>
  <c r="X99" i="133"/>
  <c r="AC140" i="133"/>
  <c r="W63" i="133"/>
  <c r="Z44" i="133"/>
  <c r="AE30" i="133"/>
  <c r="Y16" i="133"/>
  <c r="W146" i="133"/>
  <c r="AC154" i="133"/>
  <c r="X104" i="133"/>
  <c r="W53" i="133"/>
  <c r="AI51" i="133"/>
  <c r="V17" i="133"/>
  <c r="W187" i="133"/>
  <c r="Z174" i="133"/>
  <c r="AJ164" i="133"/>
  <c r="Z160" i="133"/>
  <c r="AC143" i="133"/>
  <c r="AA149" i="133"/>
  <c r="AD158" i="133"/>
  <c r="X137" i="133"/>
  <c r="AB161" i="133"/>
  <c r="AJ189" i="133"/>
  <c r="AC146" i="133"/>
  <c r="AD103" i="133"/>
  <c r="AG130" i="133"/>
  <c r="W176" i="133"/>
  <c r="W151" i="133"/>
  <c r="AE86" i="133"/>
  <c r="W137" i="133"/>
  <c r="AC91" i="133"/>
  <c r="AD128" i="133"/>
  <c r="AJ80" i="133"/>
  <c r="AH77" i="133"/>
  <c r="AH64" i="133"/>
  <c r="AF77" i="133"/>
  <c r="AF82" i="133"/>
  <c r="Y139" i="133"/>
  <c r="X65" i="133"/>
  <c r="X71" i="133"/>
  <c r="AG76" i="133"/>
  <c r="AE85" i="133"/>
  <c r="AI127" i="133"/>
  <c r="AF59" i="133"/>
  <c r="AA48" i="133"/>
  <c r="AI42" i="133"/>
  <c r="AG40" i="133"/>
  <c r="AB36" i="133"/>
  <c r="W54" i="133"/>
  <c r="AC32" i="133"/>
  <c r="AJ41" i="133"/>
  <c r="X22" i="133"/>
  <c r="AF19" i="133"/>
  <c r="Z15" i="133"/>
  <c r="AJ133" i="133"/>
  <c r="Y82" i="133"/>
  <c r="AG50" i="133"/>
  <c r="AC17" i="133"/>
  <c r="AA135" i="133"/>
  <c r="AD97" i="133"/>
  <c r="AC72" i="133"/>
  <c r="AC111" i="133"/>
  <c r="X74" i="133"/>
  <c r="X36" i="133"/>
  <c r="AB180" i="133"/>
  <c r="AH183" i="133"/>
  <c r="AD180" i="133"/>
  <c r="X128" i="133"/>
  <c r="AC121" i="133"/>
  <c r="Y153" i="133"/>
  <c r="V87" i="133"/>
  <c r="AI93" i="133"/>
  <c r="Z66" i="133"/>
  <c r="AD24" i="133"/>
  <c r="AC189" i="133"/>
  <c r="W134" i="133"/>
  <c r="AH104" i="133"/>
  <c r="AG81" i="133"/>
  <c r="AE79" i="133"/>
  <c r="AG173" i="133"/>
  <c r="W122" i="133"/>
  <c r="AC158" i="133"/>
  <c r="AD102" i="133"/>
  <c r="W45" i="133"/>
  <c r="AF29" i="133"/>
  <c r="AB190" i="133"/>
  <c r="AI182" i="133"/>
  <c r="AC187" i="133"/>
  <c r="AB160" i="133"/>
  <c r="Y189" i="133"/>
  <c r="AC137" i="133"/>
  <c r="AE144" i="133"/>
  <c r="AH153" i="133"/>
  <c r="AF131" i="133"/>
  <c r="AG151" i="133"/>
  <c r="AG167" i="133"/>
  <c r="AJ136" i="133"/>
  <c r="V99" i="133"/>
  <c r="AD124" i="133"/>
  <c r="W149" i="133"/>
  <c r="AF132" i="133"/>
  <c r="W82" i="133"/>
  <c r="AE157" i="133"/>
  <c r="Y85" i="133"/>
  <c r="Z119" i="133"/>
  <c r="AF143" i="133"/>
  <c r="AE71" i="133"/>
  <c r="AJ57" i="133"/>
  <c r="AI156" i="133"/>
  <c r="AH75" i="133"/>
  <c r="Y119" i="133"/>
  <c r="AI171" i="133"/>
  <c r="AH61" i="133"/>
  <c r="AH63" i="133"/>
  <c r="AB150" i="133"/>
  <c r="AC99" i="133"/>
  <c r="AG96" i="133"/>
  <c r="AF43" i="133"/>
  <c r="V38" i="133"/>
  <c r="Y52" i="133"/>
  <c r="AB29" i="133"/>
  <c r="Y55" i="133"/>
  <c r="X47" i="133"/>
  <c r="Y27" i="133"/>
  <c r="AB26" i="133"/>
  <c r="W20" i="133"/>
  <c r="AI16" i="133"/>
  <c r="AH176" i="133"/>
  <c r="AH166" i="133"/>
  <c r="AH155" i="133"/>
  <c r="AH145" i="133"/>
  <c r="AE182" i="133"/>
  <c r="Z102" i="133"/>
  <c r="Z147" i="133"/>
  <c r="AA73" i="133"/>
  <c r="AG149" i="133"/>
  <c r="AH69" i="133"/>
  <c r="AI101" i="133"/>
  <c r="W65" i="133"/>
  <c r="V144" i="133"/>
  <c r="W31" i="133"/>
  <c r="AH55" i="133"/>
  <c r="AI27" i="133"/>
  <c r="AC157" i="133"/>
  <c r="AA181" i="133"/>
  <c r="V143" i="133"/>
  <c r="AE72" i="133"/>
  <c r="Z163" i="133"/>
  <c r="AJ92" i="133"/>
  <c r="AD70" i="133"/>
  <c r="V34" i="133"/>
  <c r="AJ35" i="133"/>
  <c r="AE22" i="133"/>
  <c r="AI176" i="133"/>
  <c r="Y179" i="133"/>
  <c r="AF158" i="133"/>
  <c r="AJ141" i="133"/>
  <c r="Z144" i="133"/>
  <c r="X136" i="133"/>
  <c r="Z80" i="133"/>
  <c r="AA62" i="133"/>
  <c r="Z60" i="133"/>
  <c r="AE45" i="133"/>
  <c r="AG33" i="133"/>
  <c r="AE27" i="133"/>
  <c r="AF175" i="133"/>
  <c r="V161" i="133"/>
  <c r="AB138" i="133"/>
  <c r="AA113" i="133"/>
  <c r="AG109" i="133"/>
  <c r="Y71" i="133"/>
  <c r="Y49" i="133"/>
  <c r="AJ20" i="133"/>
  <c r="AF169" i="133"/>
  <c r="V181" i="133"/>
  <c r="Z172" i="133"/>
  <c r="Y167" i="133"/>
  <c r="AG152" i="133"/>
  <c r="X156" i="133"/>
  <c r="V168" i="133"/>
  <c r="AB146" i="133"/>
  <c r="AG185" i="133"/>
  <c r="AJ125" i="133"/>
  <c r="W162" i="133"/>
  <c r="AH110" i="133"/>
  <c r="AJ145" i="133"/>
  <c r="X102" i="133"/>
  <c r="AG113" i="133"/>
  <c r="AD94" i="133"/>
  <c r="AI61" i="133"/>
  <c r="AE101" i="133"/>
  <c r="W153" i="133"/>
  <c r="AF87" i="133"/>
  <c r="W89" i="133"/>
  <c r="AJ75" i="133"/>
  <c r="AB102" i="133"/>
  <c r="X94" i="133"/>
  <c r="V56" i="133"/>
  <c r="AJ76" i="133"/>
  <c r="V57" i="133"/>
  <c r="AI111" i="133"/>
  <c r="Z63" i="133"/>
  <c r="AH74" i="133"/>
  <c r="AF92" i="133"/>
  <c r="W55" i="133"/>
  <c r="AD49" i="133"/>
  <c r="X50" i="133"/>
  <c r="V50" i="133"/>
  <c r="Z41" i="133"/>
  <c r="AB50" i="133"/>
  <c r="AH38" i="133"/>
  <c r="AC27" i="133"/>
  <c r="V28" i="133"/>
  <c r="AE16" i="133"/>
  <c r="AA166" i="133"/>
  <c r="AF63" i="133"/>
  <c r="AJ64" i="133"/>
  <c r="AD36" i="133"/>
  <c r="Z22" i="133"/>
  <c r="Z188" i="133"/>
  <c r="Y185" i="133"/>
  <c r="W156" i="133"/>
  <c r="AH177" i="133"/>
  <c r="AB109" i="133"/>
  <c r="AJ149" i="133"/>
  <c r="AJ87" i="133"/>
  <c r="AA57" i="133"/>
  <c r="AA60" i="133"/>
  <c r="AJ71" i="133"/>
  <c r="AC55" i="133"/>
  <c r="AB41" i="133"/>
  <c r="AG17" i="133"/>
  <c r="AI166" i="133"/>
  <c r="AD79" i="133"/>
  <c r="AG86" i="133"/>
  <c r="AD85" i="133"/>
  <c r="Z48" i="133"/>
  <c r="Y34" i="133"/>
  <c r="AG15" i="133"/>
  <c r="Y170" i="133"/>
  <c r="Y154" i="133"/>
  <c r="Z138" i="133"/>
  <c r="AD151" i="133"/>
  <c r="AF91" i="133"/>
  <c r="Y87" i="133"/>
  <c r="AF81" i="133"/>
  <c r="X72" i="133"/>
  <c r="Z84" i="133"/>
  <c r="V67" i="133"/>
  <c r="AC67" i="133"/>
  <c r="AF105" i="133"/>
  <c r="X41" i="133"/>
  <c r="AC43" i="133"/>
  <c r="AB54" i="133"/>
  <c r="AG18" i="133"/>
  <c r="X167" i="133"/>
  <c r="AH178" i="133"/>
  <c r="AI169" i="133"/>
  <c r="AH164" i="133"/>
  <c r="AC149" i="133"/>
  <c r="AI153" i="133"/>
  <c r="AF164" i="133"/>
  <c r="AH142" i="133"/>
  <c r="Z175" i="133"/>
  <c r="AB123" i="133"/>
  <c r="AB157" i="133"/>
  <c r="Z108" i="133"/>
  <c r="AG139" i="133"/>
  <c r="AJ99" i="133"/>
  <c r="W167" i="133"/>
  <c r="W91" i="133"/>
  <c r="Y172" i="133"/>
  <c r="AI97" i="133"/>
  <c r="AJ144" i="133"/>
  <c r="X85" i="133"/>
  <c r="AB85" i="133"/>
  <c r="AD71" i="133"/>
  <c r="AD96" i="133"/>
  <c r="AI90" i="133"/>
  <c r="AG165" i="133"/>
  <c r="AJ73" i="133"/>
  <c r="V84" i="133"/>
  <c r="W103" i="133"/>
  <c r="AC161" i="133"/>
  <c r="W61" i="133"/>
  <c r="AH84" i="133"/>
  <c r="AI52" i="133"/>
  <c r="V47" i="133"/>
  <c r="AJ47" i="133"/>
  <c r="AH45" i="133"/>
  <c r="AF47" i="133"/>
  <c r="Y41" i="133"/>
  <c r="X49" i="133"/>
  <c r="AB27" i="133"/>
  <c r="V21" i="133"/>
  <c r="Z17" i="133"/>
  <c r="AE185" i="133"/>
  <c r="X159" i="133"/>
  <c r="Y136" i="133"/>
  <c r="AD152" i="133"/>
  <c r="AF145" i="133"/>
  <c r="V124" i="133"/>
  <c r="AJ109" i="133"/>
  <c r="AE93" i="133"/>
  <c r="AJ95" i="133"/>
  <c r="AE126" i="133"/>
  <c r="W130" i="133"/>
  <c r="AI57" i="133"/>
  <c r="Y59" i="133"/>
  <c r="AE91" i="133"/>
  <c r="AF36" i="133"/>
  <c r="AA55" i="133"/>
  <c r="AJ184" i="133"/>
  <c r="AG174" i="133"/>
  <c r="AA147" i="133"/>
  <c r="AD156" i="133"/>
  <c r="AE184" i="133"/>
  <c r="AG120" i="133"/>
  <c r="W81" i="133"/>
  <c r="AB63" i="133"/>
  <c r="W119" i="133"/>
  <c r="AI29" i="133"/>
  <c r="X42" i="133"/>
  <c r="AA25" i="133"/>
  <c r="AI172" i="133"/>
  <c r="V169" i="133"/>
  <c r="AE168" i="133"/>
  <c r="Y173" i="133"/>
  <c r="AI112" i="133"/>
  <c r="AJ181" i="133"/>
  <c r="X101" i="133"/>
  <c r="W67" i="133"/>
  <c r="X59" i="133"/>
  <c r="AE53" i="133"/>
  <c r="Z47" i="133"/>
  <c r="W50" i="133"/>
  <c r="V175" i="133"/>
  <c r="AI179" i="133"/>
  <c r="X158" i="133"/>
  <c r="AF142" i="133"/>
  <c r="AE35" i="133"/>
  <c r="AE29" i="133"/>
  <c r="AJ190" i="133"/>
  <c r="W183" i="133"/>
  <c r="Y188" i="133"/>
  <c r="AJ160" i="133"/>
  <c r="AC190" i="133"/>
  <c r="Y138" i="133"/>
  <c r="AA145" i="133"/>
  <c r="X154" i="133"/>
  <c r="V132" i="133"/>
  <c r="AF152" i="133"/>
  <c r="Y168" i="133"/>
  <c r="Y137" i="133"/>
  <c r="AD99" i="133"/>
  <c r="X125" i="133"/>
  <c r="AH150" i="133"/>
  <c r="Y133" i="133"/>
  <c r="AE82" i="133"/>
  <c r="AF160" i="133"/>
  <c r="AG85" i="133"/>
  <c r="AE120" i="133"/>
  <c r="AD145" i="133"/>
  <c r="Y72" i="133"/>
  <c r="X58" i="133"/>
  <c r="AJ159" i="133"/>
  <c r="AA76" i="133"/>
  <c r="AA120" i="133"/>
  <c r="AI183" i="133"/>
  <c r="Y62" i="133"/>
  <c r="AA64" i="133"/>
  <c r="Z161" i="133"/>
  <c r="AI100" i="133"/>
  <c r="Z101" i="133"/>
  <c r="AB44" i="133"/>
  <c r="AD38" i="133"/>
  <c r="AG52" i="133"/>
  <c r="X30" i="133"/>
  <c r="AC29" i="133"/>
  <c r="AB48" i="133"/>
  <c r="AG27" i="133"/>
  <c r="AJ26" i="133"/>
  <c r="AE20" i="133"/>
  <c r="W17" i="133"/>
  <c r="AE95" i="133"/>
  <c r="AG59" i="133"/>
  <c r="AG35" i="133"/>
  <c r="AJ180" i="133"/>
  <c r="V152" i="133"/>
  <c r="AG133" i="133"/>
  <c r="AJ115" i="133"/>
  <c r="Z73" i="133"/>
  <c r="AH58" i="133"/>
  <c r="V32" i="133"/>
  <c r="AB168" i="133"/>
  <c r="AD165" i="133"/>
  <c r="AA160" i="133"/>
  <c r="AC176" i="133"/>
  <c r="AF108" i="133"/>
  <c r="AA119" i="133"/>
  <c r="AC57" i="133"/>
  <c r="Z68" i="133"/>
  <c r="AH60" i="133"/>
  <c r="AD25" i="133"/>
  <c r="X184" i="133"/>
  <c r="W155" i="133"/>
  <c r="AB141" i="133"/>
  <c r="AE163" i="133"/>
  <c r="Z67" i="133"/>
  <c r="W127" i="133"/>
  <c r="AH101" i="133"/>
  <c r="AI136" i="133"/>
  <c r="AG131" i="133"/>
  <c r="AI32" i="133"/>
  <c r="AB39" i="133"/>
  <c r="AB186" i="133"/>
  <c r="AI178" i="133"/>
  <c r="Y182" i="133"/>
  <c r="AB156" i="133"/>
  <c r="AF188" i="133"/>
  <c r="Y132" i="133"/>
  <c r="AE140" i="133"/>
  <c r="AH149" i="133"/>
  <c r="AD127" i="133"/>
  <c r="AJ146" i="133"/>
  <c r="AE159" i="133"/>
  <c r="AE131" i="133"/>
  <c r="V95" i="133"/>
  <c r="AE118" i="133"/>
  <c r="V138" i="133"/>
  <c r="W123" i="133"/>
  <c r="W78" i="133"/>
  <c r="AI131" i="133"/>
  <c r="AG79" i="133"/>
  <c r="AG110" i="133"/>
  <c r="AC128" i="133"/>
  <c r="AC65" i="133"/>
  <c r="AB149" i="133"/>
  <c r="AD137" i="133"/>
  <c r="Y70" i="133"/>
  <c r="W108" i="133"/>
  <c r="AJ116" i="133"/>
  <c r="AG97" i="133"/>
  <c r="AA80" i="133"/>
  <c r="AF93" i="133"/>
  <c r="AJ161" i="133"/>
  <c r="V76" i="133"/>
  <c r="AH39" i="133"/>
  <c r="AJ33" i="133"/>
  <c r="AG46" i="133"/>
  <c r="AH30" i="133"/>
  <c r="AD44" i="133"/>
  <c r="Y38" i="133"/>
  <c r="AD22" i="133"/>
  <c r="AE23" i="133"/>
  <c r="Z19" i="133"/>
  <c r="AE15" i="133"/>
  <c r="Y186" i="133"/>
  <c r="AH158" i="133"/>
  <c r="AI147" i="133"/>
  <c r="AH134" i="133"/>
  <c r="AI157" i="133"/>
  <c r="Z94" i="133"/>
  <c r="AI123" i="133"/>
  <c r="AA65" i="133"/>
  <c r="AC125" i="133"/>
  <c r="AG58" i="133"/>
  <c r="AD74" i="133"/>
  <c r="AD67" i="133"/>
  <c r="AG91" i="133"/>
  <c r="Y37" i="133"/>
  <c r="AJ48" i="133"/>
  <c r="X20" i="133"/>
  <c r="Y175" i="133"/>
  <c r="AD139" i="133"/>
  <c r="W117" i="133"/>
  <c r="AG157" i="133"/>
  <c r="AC94" i="133"/>
  <c r="AC61" i="133"/>
  <c r="V62" i="133"/>
  <c r="AI40" i="133"/>
  <c r="AH47" i="133"/>
  <c r="AJ19" i="133"/>
  <c r="AD179" i="133"/>
  <c r="AG150" i="133"/>
  <c r="V139" i="133"/>
  <c r="AE149" i="133"/>
  <c r="W128" i="133"/>
  <c r="AI110" i="133"/>
  <c r="AD62" i="133"/>
  <c r="AC103" i="133"/>
  <c r="AG93" i="133"/>
  <c r="AC33" i="133"/>
  <c r="AA31" i="133"/>
  <c r="AA27" i="133"/>
  <c r="AF167" i="133"/>
  <c r="AI161" i="133"/>
  <c r="V125" i="133"/>
  <c r="AH96" i="133"/>
  <c r="AE98" i="133"/>
  <c r="AA130" i="133"/>
  <c r="AD39" i="133"/>
  <c r="V19" i="133"/>
  <c r="AA190" i="133"/>
  <c r="V177" i="133"/>
  <c r="Z168" i="133"/>
  <c r="V163" i="133"/>
  <c r="AC147" i="133"/>
  <c r="W152" i="133"/>
  <c r="AI162" i="133"/>
  <c r="AJ140" i="133"/>
  <c r="AI167" i="133"/>
  <c r="AJ121" i="133"/>
  <c r="V153" i="133"/>
  <c r="AH106" i="133"/>
  <c r="AF135" i="133"/>
  <c r="X98" i="133"/>
  <c r="AI160" i="133"/>
  <c r="AG89" i="133"/>
  <c r="AA162" i="133"/>
  <c r="AA96" i="133"/>
  <c r="AB134" i="133"/>
  <c r="AF83" i="133"/>
  <c r="AH82" i="133"/>
  <c r="AF69" i="133"/>
  <c r="X92" i="133"/>
  <c r="AE87" i="133"/>
  <c r="AC156" i="133"/>
  <c r="AH70" i="133"/>
  <c r="AF80" i="133"/>
  <c r="V83" i="133"/>
  <c r="AD135" i="133"/>
  <c r="AH152" i="133"/>
  <c r="AJ74" i="133"/>
  <c r="W51" i="133"/>
  <c r="AD45" i="133"/>
  <c r="X46" i="133"/>
  <c r="W42" i="133"/>
  <c r="AD37" i="133"/>
  <c r="AE52" i="133"/>
  <c r="AD29" i="133"/>
  <c r="Y22" i="133"/>
  <c r="V26" i="133"/>
  <c r="AI15" i="133"/>
  <c r="AF56" i="133"/>
  <c r="AD112" i="133"/>
  <c r="AJ42" i="133"/>
  <c r="AH34" i="133"/>
  <c r="AA19" i="133"/>
  <c r="Z180" i="133"/>
  <c r="AG163" i="133"/>
  <c r="Y160" i="133"/>
  <c r="AC142" i="133"/>
  <c r="V155" i="133"/>
  <c r="AI105" i="133"/>
  <c r="AE63" i="133"/>
  <c r="V126" i="133"/>
  <c r="AI84" i="133"/>
  <c r="Y66" i="133"/>
  <c r="AH40" i="133"/>
  <c r="AI53" i="133"/>
  <c r="AE138" i="133"/>
  <c r="W99" i="133"/>
  <c r="AI187" i="133"/>
  <c r="AD58" i="133"/>
  <c r="W87" i="133"/>
  <c r="AB34" i="133"/>
  <c r="AA30" i="133"/>
  <c r="AF187" i="133"/>
  <c r="AF157" i="133"/>
  <c r="W138" i="133"/>
  <c r="AJ127" i="133"/>
  <c r="AJ120" i="133"/>
  <c r="AI79" i="133"/>
  <c r="AC76" i="133"/>
  <c r="AF149" i="133"/>
  <c r="AJ59" i="133"/>
  <c r="V72" i="133"/>
  <c r="Z134" i="133"/>
  <c r="V71" i="133"/>
  <c r="X111" i="133"/>
  <c r="AB37" i="133"/>
  <c r="AD43" i="133"/>
  <c r="AG41" i="133"/>
  <c r="AH20" i="133"/>
  <c r="AE179" i="133"/>
  <c r="X157" i="133"/>
  <c r="AC133" i="133"/>
  <c r="AD150" i="133"/>
  <c r="V148" i="133"/>
  <c r="X133" i="133"/>
  <c r="Y120" i="133"/>
  <c r="AI125" i="133"/>
  <c r="AI134" i="133"/>
  <c r="AF112" i="133"/>
  <c r="AG66" i="133"/>
  <c r="AE141" i="133"/>
  <c r="Y111" i="133"/>
  <c r="AH68" i="133"/>
  <c r="W106" i="133"/>
  <c r="AG84" i="133"/>
  <c r="W35" i="133"/>
  <c r="X32" i="133"/>
  <c r="AC40" i="133"/>
  <c r="V25" i="133"/>
  <c r="AH16" i="133"/>
  <c r="AH162" i="133"/>
  <c r="Z140" i="133"/>
  <c r="Z98" i="133"/>
  <c r="AE175" i="133"/>
  <c r="Z189" i="133"/>
  <c r="AI185" i="133"/>
  <c r="Z179" i="133"/>
  <c r="X143" i="133"/>
  <c r="X127" i="133"/>
  <c r="AG115" i="133"/>
  <c r="AB116" i="133"/>
  <c r="AE125" i="133"/>
  <c r="AB106" i="133"/>
  <c r="V61" i="133"/>
  <c r="Y126" i="133"/>
  <c r="AB100" i="133"/>
  <c r="AB148" i="133"/>
  <c r="AD78" i="133"/>
  <c r="AE59" i="133"/>
  <c r="AC30" i="133"/>
  <c r="AA45" i="133"/>
  <c r="W32" i="133"/>
  <c r="X26" i="133"/>
  <c r="V15" i="133"/>
  <c r="AC186" i="133"/>
  <c r="AH130" i="133"/>
  <c r="Z90" i="133"/>
  <c r="AA61" i="133"/>
  <c r="Y64" i="133"/>
  <c r="Z76" i="133"/>
  <c r="V49" i="133"/>
  <c r="Z25" i="133"/>
  <c r="AG181" i="133"/>
  <c r="AD105" i="133"/>
  <c r="W124" i="133"/>
  <c r="AH174" i="133"/>
  <c r="AH160" i="133"/>
  <c r="AI149" i="133"/>
  <c r="AH137" i="133"/>
  <c r="AB119" i="133"/>
  <c r="Z104" i="133"/>
  <c r="X178" i="133"/>
  <c r="AA87" i="133"/>
  <c r="AC92" i="133"/>
  <c r="X81" i="133"/>
  <c r="AB65" i="133"/>
  <c r="AC83" i="133"/>
  <c r="AB66" i="133"/>
  <c r="Z77" i="133"/>
  <c r="AG129" i="133"/>
  <c r="AI48" i="133"/>
  <c r="AG42" i="133"/>
  <c r="Z30" i="133"/>
  <c r="AB43" i="133"/>
  <c r="AB20" i="133"/>
  <c r="AE177" i="133"/>
  <c r="AG177" i="133"/>
  <c r="X135" i="133"/>
  <c r="AJ101" i="133"/>
  <c r="AE183" i="133"/>
  <c r="X161" i="133"/>
  <c r="AG138" i="133"/>
  <c r="AG154" i="133"/>
  <c r="AD153" i="133"/>
  <c r="AD138" i="133"/>
  <c r="AH125" i="133"/>
  <c r="AG135" i="133"/>
  <c r="AH163" i="133"/>
  <c r="W121" i="133"/>
  <c r="AI72" i="133"/>
  <c r="AC169" i="133"/>
  <c r="Y121" i="133"/>
  <c r="AJ63" i="133"/>
  <c r="Y61" i="133"/>
  <c r="AC107" i="133"/>
  <c r="Y39" i="133"/>
  <c r="AI30" i="133"/>
  <c r="AF49" i="133"/>
  <c r="X27" i="133"/>
  <c r="AE17" i="133"/>
  <c r="AF170" i="133"/>
  <c r="X151" i="133"/>
  <c r="AG188" i="133"/>
  <c r="AI145" i="133"/>
  <c r="Z170" i="133"/>
  <c r="AB151" i="133"/>
  <c r="AC86" i="133"/>
  <c r="AF58" i="133"/>
  <c r="AD56" i="133"/>
  <c r="AA104" i="133"/>
  <c r="AC53" i="133"/>
  <c r="AB28" i="133"/>
  <c r="AH188" i="133"/>
  <c r="AB121" i="133"/>
  <c r="AA85" i="133"/>
  <c r="AJ88" i="133"/>
  <c r="AC88" i="133"/>
  <c r="AI41" i="133"/>
  <c r="AJ172" i="133"/>
  <c r="X145" i="133"/>
  <c r="AI99" i="133"/>
  <c r="AB114" i="133"/>
  <c r="AI44" i="133"/>
  <c r="X24" i="133"/>
  <c r="Z156" i="133"/>
  <c r="AA140" i="133"/>
  <c r="Z127" i="133"/>
  <c r="AA173" i="133"/>
  <c r="AF41" i="133"/>
  <c r="AF23" i="133"/>
  <c r="AH159" i="133"/>
  <c r="AE127" i="133"/>
  <c r="V24" i="133"/>
  <c r="W179" i="133"/>
  <c r="AJ156" i="133"/>
  <c r="AG132" i="133"/>
  <c r="V150" i="133"/>
  <c r="AD147" i="133"/>
  <c r="AA132" i="133"/>
  <c r="AF119" i="133"/>
  <c r="AB124" i="133"/>
  <c r="AB132" i="133"/>
  <c r="Z111" i="133"/>
  <c r="V66" i="133"/>
  <c r="Z139" i="133"/>
  <c r="AF109" i="133"/>
  <c r="AC75" i="133"/>
  <c r="AG95" i="133"/>
  <c r="W79" i="133"/>
  <c r="AC34" i="133"/>
  <c r="AC31" i="133"/>
  <c r="AA39" i="133"/>
  <c r="AI24" i="133"/>
  <c r="Z16" i="133"/>
  <c r="AE115" i="133"/>
  <c r="Y180" i="133"/>
  <c r="AB105" i="133"/>
  <c r="AB179" i="133"/>
  <c r="AH41" i="133"/>
  <c r="AG183" i="133"/>
  <c r="AB147" i="133"/>
  <c r="AB94" i="133"/>
  <c r="X84" i="133"/>
  <c r="AD23" i="133"/>
  <c r="Z143" i="133"/>
  <c r="AF113" i="133"/>
  <c r="AB108" i="133"/>
  <c r="AH79" i="133"/>
  <c r="AG39" i="133"/>
  <c r="AB182" i="133"/>
  <c r="AG176" i="133"/>
  <c r="AC172" i="133"/>
  <c r="AE136" i="133"/>
  <c r="AD123" i="133"/>
  <c r="AF151" i="133"/>
  <c r="V91" i="133"/>
  <c r="Z131" i="133"/>
  <c r="W74" i="133"/>
  <c r="AC74" i="133"/>
  <c r="AC115" i="133"/>
  <c r="AD132" i="133"/>
  <c r="V64" i="133"/>
  <c r="X97" i="133"/>
  <c r="AH66" i="133"/>
  <c r="W100" i="133"/>
  <c r="AF35" i="133"/>
  <c r="Z42" i="133"/>
  <c r="AF30" i="133"/>
  <c r="AI21" i="133"/>
  <c r="AC19" i="133"/>
  <c r="AC175" i="133"/>
  <c r="AI139" i="133"/>
  <c r="W143" i="133"/>
  <c r="X113" i="133"/>
  <c r="AC109" i="133"/>
  <c r="AB62" i="133"/>
  <c r="V73" i="133"/>
  <c r="AF53" i="133"/>
  <c r="AA143" i="133"/>
  <c r="AB101" i="133"/>
  <c r="W69" i="133"/>
  <c r="AB69" i="133"/>
  <c r="AI45" i="133"/>
  <c r="AG184" i="133"/>
  <c r="AD129" i="133"/>
  <c r="V186" i="133"/>
  <c r="AH72" i="133"/>
  <c r="AA107" i="133"/>
  <c r="AF40" i="133"/>
  <c r="AA180" i="133"/>
  <c r="AD176" i="133"/>
  <c r="AI83" i="133"/>
  <c r="AF33" i="133"/>
  <c r="AA186" i="133"/>
  <c r="AF163" i="133"/>
  <c r="Y142" i="133"/>
  <c r="Z157" i="133"/>
  <c r="AG159" i="133"/>
  <c r="AH144" i="133"/>
  <c r="AC129" i="133"/>
  <c r="V141" i="133"/>
  <c r="AB175" i="133"/>
  <c r="AI126" i="133"/>
  <c r="AD76" i="133"/>
  <c r="AJ67" i="133"/>
  <c r="AA134" i="133"/>
  <c r="X68" i="133"/>
  <c r="AD75" i="133"/>
  <c r="Y57" i="133"/>
  <c r="AE41" i="133"/>
  <c r="AA34" i="133"/>
  <c r="AJ54" i="133"/>
  <c r="AE24" i="133"/>
  <c r="X17" i="133"/>
  <c r="Z89" i="133"/>
  <c r="AA47" i="133"/>
  <c r="AC185" i="133"/>
  <c r="AF139" i="133"/>
  <c r="AI128" i="133"/>
  <c r="AB73" i="133"/>
  <c r="AA101" i="133"/>
  <c r="AE40" i="133"/>
  <c r="AD155" i="133"/>
  <c r="AI119" i="133"/>
  <c r="AF79" i="133"/>
  <c r="AC24" i="133"/>
  <c r="AD174" i="133"/>
  <c r="AF162" i="133"/>
  <c r="AI71" i="133"/>
  <c r="AF123" i="133"/>
  <c r="W60" i="133"/>
  <c r="AA106" i="133"/>
  <c r="AD55" i="133"/>
  <c r="V39" i="133"/>
  <c r="AC183" i="133"/>
  <c r="AI141" i="133"/>
  <c r="AA161" i="133"/>
  <c r="X141" i="133"/>
  <c r="Y81" i="133"/>
  <c r="AH169" i="133"/>
  <c r="V120" i="133"/>
  <c r="AJ69" i="133"/>
  <c r="Y48" i="133"/>
  <c r="AH23" i="133"/>
  <c r="AH180" i="133"/>
  <c r="AH165" i="133"/>
  <c r="AA77" i="133"/>
  <c r="Z75" i="133"/>
  <c r="AA148" i="133"/>
  <c r="AD50" i="133"/>
  <c r="W189" i="133"/>
  <c r="Z126" i="133"/>
  <c r="AA95" i="133"/>
  <c r="AH80" i="133"/>
  <c r="Z32" i="133"/>
  <c r="AB18" i="133"/>
  <c r="AG134" i="133"/>
  <c r="AH117" i="133"/>
  <c r="Y105" i="133"/>
  <c r="AC113" i="133"/>
  <c r="AA29" i="133"/>
  <c r="AA28" i="133"/>
  <c r="AC166" i="133"/>
  <c r="AA179" i="133"/>
  <c r="AJ22" i="133"/>
  <c r="W175" i="133"/>
  <c r="V188" i="133"/>
  <c r="Y181" i="133"/>
  <c r="AG175" i="133"/>
  <c r="AD142" i="133"/>
  <c r="AD126" i="133"/>
  <c r="X115" i="133"/>
  <c r="AA115" i="133"/>
  <c r="Y124" i="133"/>
  <c r="AH105" i="133"/>
  <c r="AG60" i="133"/>
  <c r="Y125" i="133"/>
  <c r="AG98" i="133"/>
  <c r="AF144" i="133"/>
  <c r="AI74" i="133"/>
  <c r="AB58" i="133"/>
  <c r="AH29" i="133"/>
  <c r="X44" i="133"/>
  <c r="AB31" i="133"/>
  <c r="AB25" i="133"/>
  <c r="X181" i="133"/>
  <c r="W133" i="133"/>
  <c r="AJ158" i="133"/>
  <c r="Y123" i="133"/>
  <c r="AJ104" i="133"/>
  <c r="AC35" i="133"/>
  <c r="AC162" i="133"/>
  <c r="Z159" i="133"/>
  <c r="Y77" i="133"/>
  <c r="V65" i="133"/>
  <c r="AB19" i="133"/>
  <c r="V121" i="133"/>
  <c r="Y96" i="133"/>
  <c r="AI91" i="133"/>
  <c r="AJ58" i="133"/>
  <c r="AI33" i="133"/>
  <c r="AB178" i="133"/>
  <c r="AB189" i="133"/>
  <c r="W166" i="133"/>
  <c r="AA187" i="133"/>
  <c r="AD119" i="133"/>
  <c r="AA144" i="133"/>
  <c r="Y187" i="133"/>
  <c r="W125" i="133"/>
  <c r="W70" i="133"/>
  <c r="Y69" i="133"/>
  <c r="AE105" i="133"/>
  <c r="AE124" i="133"/>
  <c r="AE58" i="133"/>
  <c r="AG80" i="133"/>
  <c r="AA56" i="133"/>
  <c r="W73" i="133"/>
  <c r="Y31" i="133"/>
  <c r="AH37" i="133"/>
  <c r="AF37" i="133"/>
  <c r="AE25" i="133"/>
  <c r="AI20" i="133"/>
  <c r="AJ179" i="133"/>
  <c r="AH185" i="133"/>
  <c r="W161" i="133"/>
  <c r="X140" i="133"/>
  <c r="AH97" i="133"/>
  <c r="W186" i="133"/>
  <c r="AI130" i="133"/>
  <c r="AJ32" i="133"/>
  <c r="AF184" i="133"/>
  <c r="AG145" i="133"/>
  <c r="AI88" i="133"/>
  <c r="W88" i="133"/>
  <c r="AA53" i="133"/>
  <c r="Y174" i="133"/>
  <c r="AD117" i="133"/>
  <c r="AC118" i="133"/>
  <c r="AG141" i="133"/>
  <c r="AD65" i="133"/>
  <c r="AD40" i="133"/>
  <c r="AA172" i="133"/>
  <c r="AH148" i="133"/>
  <c r="AI75" i="133"/>
  <c r="AG55" i="133"/>
  <c r="AA182" i="133"/>
  <c r="AF159" i="133"/>
  <c r="AG136" i="133"/>
  <c r="Z153" i="133"/>
  <c r="V151" i="133"/>
  <c r="V136" i="133"/>
  <c r="Z123" i="133"/>
  <c r="V131" i="133"/>
  <c r="AI154" i="133"/>
  <c r="Y118" i="133"/>
  <c r="AA70" i="133"/>
  <c r="AE151" i="133"/>
  <c r="AF118" i="133"/>
  <c r="AB60" i="133"/>
  <c r="AA142" i="133"/>
  <c r="AF94" i="133"/>
  <c r="AI37" i="133"/>
  <c r="AA36" i="133"/>
  <c r="AJ46" i="133"/>
  <c r="AF25" i="133"/>
  <c r="AA16" i="133"/>
  <c r="AF71" i="133"/>
  <c r="AE54" i="133"/>
  <c r="AF186" i="133"/>
  <c r="Z130" i="133"/>
  <c r="AH157" i="133"/>
  <c r="X56" i="133"/>
  <c r="Z87" i="133"/>
  <c r="W29" i="133"/>
  <c r="AJ134" i="133"/>
  <c r="AG179" i="133"/>
  <c r="AI62" i="133"/>
  <c r="X21" i="133"/>
  <c r="V165" i="133"/>
  <c r="Y141" i="133"/>
  <c r="AI175" i="133"/>
  <c r="AG100" i="133"/>
  <c r="V60" i="133"/>
  <c r="Z56" i="133"/>
  <c r="AD51" i="133"/>
  <c r="AJ28" i="133"/>
  <c r="Y178" i="133"/>
  <c r="AI137" i="133"/>
  <c r="AB153" i="133"/>
  <c r="AI132" i="133"/>
  <c r="AG75" i="133"/>
  <c r="AG137" i="133"/>
  <c r="Y103" i="133"/>
  <c r="AH107" i="133"/>
  <c r="V43" i="133"/>
  <c r="Y23" i="133"/>
  <c r="AH172" i="133"/>
  <c r="Y149" i="133"/>
  <c r="AA69" i="133"/>
  <c r="AI109" i="133"/>
  <c r="AG61" i="133"/>
  <c r="AJ39" i="133"/>
  <c r="W181" i="133"/>
  <c r="Z183" i="133"/>
  <c r="AG77" i="133"/>
  <c r="AH59" i="133"/>
  <c r="AB49" i="133"/>
  <c r="AB17" i="133"/>
  <c r="AC174" i="133"/>
  <c r="V109" i="133"/>
  <c r="AC82" i="133"/>
  <c r="V80" i="133"/>
  <c r="AA44" i="133"/>
  <c r="AF24" i="133"/>
  <c r="V133" i="133"/>
  <c r="AB117" i="133"/>
  <c r="AH26" i="133"/>
  <c r="Z190" i="133"/>
  <c r="V180" i="133"/>
  <c r="Z171" i="133"/>
  <c r="AI164" i="133"/>
  <c r="V137" i="133"/>
  <c r="AB120" i="133"/>
  <c r="AB111" i="133"/>
  <c r="AC108" i="133"/>
  <c r="X116" i="133"/>
  <c r="Y100" i="133"/>
  <c r="AE123" i="133"/>
  <c r="AJ117" i="133"/>
  <c r="AH91" i="133"/>
  <c r="AC104" i="133"/>
  <c r="Z150" i="133"/>
  <c r="Y101" i="133"/>
  <c r="AG32" i="133"/>
  <c r="Z53" i="133"/>
  <c r="AA49" i="133"/>
  <c r="Z27" i="133"/>
  <c r="AA158" i="133"/>
  <c r="AD92" i="133"/>
  <c r="Z162" i="133"/>
  <c r="AE111" i="133"/>
  <c r="AD69" i="133"/>
  <c r="AB21" i="133"/>
  <c r="AC145" i="133"/>
  <c r="AB128" i="133"/>
  <c r="AJ147" i="133"/>
  <c r="AG105" i="133"/>
  <c r="AF16" i="133"/>
  <c r="AD154" i="133"/>
  <c r="AF85" i="133"/>
  <c r="Y78" i="133"/>
  <c r="W59" i="133"/>
  <c r="X48" i="133"/>
  <c r="AB174" i="133"/>
  <c r="AB181" i="133"/>
  <c r="AA159" i="133"/>
  <c r="AF176" i="133"/>
  <c r="AD115" i="133"/>
  <c r="AI138" i="133"/>
  <c r="V156" i="133"/>
  <c r="AE119" i="133"/>
  <c r="W66" i="133"/>
  <c r="AG63" i="133"/>
  <c r="AF97" i="133"/>
  <c r="AF111" i="133"/>
  <c r="AF67" i="133"/>
  <c r="Y68" i="133"/>
  <c r="AE90" i="133"/>
  <c r="AD146" i="133"/>
  <c r="Z54" i="133"/>
  <c r="Y40" i="133"/>
  <c r="AD42" i="133"/>
  <c r="Z21" i="133"/>
  <c r="Y20" i="133"/>
  <c r="AH171" i="133"/>
  <c r="Z167" i="133"/>
  <c r="AB143" i="133"/>
  <c r="X112" i="133"/>
  <c r="X87" i="133"/>
  <c r="Z133" i="133"/>
  <c r="AI54" i="133"/>
  <c r="AE34" i="133"/>
  <c r="AE161" i="133"/>
  <c r="AE116" i="133"/>
  <c r="AB68" i="133"/>
  <c r="AB89" i="133"/>
  <c r="V31" i="133"/>
  <c r="AH170" i="133"/>
  <c r="Z149" i="133"/>
  <c r="Y99" i="133"/>
  <c r="AI89" i="133"/>
  <c r="AE112" i="133"/>
  <c r="AF44" i="133"/>
  <c r="V179" i="133"/>
  <c r="AC132" i="133"/>
  <c r="AI67" i="133"/>
  <c r="AG23" i="133"/>
  <c r="AA178" i="133"/>
  <c r="AF155" i="133"/>
  <c r="AC131" i="133"/>
  <c r="X190" i="133"/>
  <c r="Z146" i="133"/>
  <c r="AJ130" i="133"/>
  <c r="V118" i="133"/>
  <c r="AI122" i="133"/>
  <c r="AB130" i="133"/>
  <c r="V110" i="133"/>
  <c r="AI64" i="133"/>
  <c r="AA133" i="133"/>
  <c r="AD106" i="133"/>
  <c r="X69" i="133"/>
  <c r="AA91" i="133"/>
  <c r="AA72" i="133"/>
  <c r="AB33" i="133"/>
  <c r="W30" i="133"/>
  <c r="V37" i="133"/>
  <c r="AA22" i="133"/>
  <c r="W15" i="133"/>
  <c r="X82" i="133"/>
  <c r="Z33" i="133"/>
  <c r="AF178" i="133"/>
  <c r="Z118" i="133"/>
  <c r="AG119" i="133"/>
  <c r="AD108" i="133"/>
  <c r="AA112" i="133"/>
  <c r="AE36" i="133"/>
  <c r="AE176" i="133"/>
  <c r="AH109" i="133"/>
  <c r="AF138" i="133"/>
  <c r="V27" i="133"/>
  <c r="AC178" i="133"/>
  <c r="X148" i="133"/>
  <c r="Y165" i="133"/>
  <c r="Y86" i="133"/>
  <c r="Y143" i="133"/>
  <c r="AH62" i="133"/>
  <c r="AE43" i="133"/>
  <c r="W27" i="133"/>
  <c r="AE187" i="133"/>
  <c r="Y144" i="133"/>
  <c r="AG162" i="133"/>
  <c r="AA131" i="133"/>
  <c r="W139" i="133"/>
  <c r="AA78" i="133"/>
  <c r="W141" i="133"/>
  <c r="AB87" i="133"/>
  <c r="W43" i="133"/>
  <c r="AC36" i="133"/>
  <c r="AH15" i="133"/>
  <c r="AI170" i="133"/>
  <c r="AE117" i="133"/>
  <c r="AH103" i="133"/>
  <c r="AI117" i="133"/>
  <c r="AD34" i="133"/>
  <c r="AJ176" i="133"/>
  <c r="AD184" i="133"/>
  <c r="X139" i="133"/>
  <c r="Z99" i="133"/>
  <c r="W111" i="133"/>
  <c r="Z31" i="133"/>
  <c r="AB166" i="133"/>
  <c r="AD164" i="133"/>
  <c r="Z137" i="133"/>
  <c r="AA128" i="133"/>
  <c r="AC136" i="133"/>
  <c r="AD46" i="133"/>
  <c r="AA168" i="133"/>
  <c r="AH88" i="133"/>
  <c r="AC37" i="133"/>
  <c r="AJ174" i="133"/>
  <c r="AF182" i="133"/>
  <c r="AE160" i="133"/>
  <c r="AA177" i="133"/>
  <c r="Z116" i="133"/>
  <c r="AB139" i="133"/>
  <c r="V170" i="133"/>
  <c r="W120" i="133"/>
  <c r="AE66" i="133"/>
  <c r="AC64" i="133"/>
  <c r="V98" i="133"/>
  <c r="AD114" i="133"/>
  <c r="AJ68" i="133"/>
  <c r="AG70" i="133"/>
  <c r="AG92" i="133"/>
  <c r="AB155" i="133"/>
  <c r="AH54" i="133"/>
  <c r="AC41" i="133"/>
  <c r="V44" i="133"/>
  <c r="AH21" i="133"/>
  <c r="AA18" i="133"/>
  <c r="AE81" i="133"/>
  <c r="Y26" i="133"/>
  <c r="AC164" i="133"/>
  <c r="Y80" i="133"/>
  <c r="AA54" i="133"/>
  <c r="AC179" i="133"/>
  <c r="AD121" i="133"/>
  <c r="AA110" i="133"/>
  <c r="W85" i="133"/>
  <c r="Z35" i="133"/>
  <c r="Y150" i="133"/>
  <c r="AI63" i="133"/>
  <c r="AJ173" i="133"/>
  <c r="AG104" i="133"/>
  <c r="X63" i="133"/>
  <c r="AJ23" i="133"/>
  <c r="AD181" i="133"/>
  <c r="AH167" i="133"/>
  <c r="AG156" i="133"/>
  <c r="V147" i="133"/>
  <c r="X126" i="133"/>
  <c r="V111" i="133"/>
  <c r="AF102" i="133"/>
  <c r="AC95" i="133"/>
  <c r="W102" i="133"/>
  <c r="AD88" i="133"/>
  <c r="AB76" i="133"/>
  <c r="Y95" i="133"/>
  <c r="AD77" i="133"/>
  <c r="AD116" i="133"/>
  <c r="AJ77" i="133"/>
  <c r="AE55" i="133"/>
  <c r="AF50" i="133"/>
  <c r="AC46" i="133"/>
  <c r="V40" i="133"/>
  <c r="AG22" i="133"/>
  <c r="AE181" i="133"/>
  <c r="AC141" i="133"/>
  <c r="AJ150" i="133"/>
  <c r="AH113" i="133"/>
  <c r="AE88" i="133"/>
  <c r="AE100" i="133"/>
  <c r="AJ142" i="133"/>
  <c r="X29" i="133"/>
  <c r="AA167" i="133"/>
  <c r="X118" i="133"/>
  <c r="AD148" i="133"/>
  <c r="AD64" i="133"/>
  <c r="AG37" i="133"/>
  <c r="AB188" i="133"/>
  <c r="AE134" i="133"/>
  <c r="AJ132" i="133"/>
  <c r="AI96" i="133"/>
  <c r="AC56" i="133"/>
  <c r="AC49" i="133"/>
  <c r="AB15" i="133"/>
  <c r="W171" i="133"/>
  <c r="AG153" i="133"/>
  <c r="Y54" i="133"/>
  <c r="AF181" i="133"/>
  <c r="Y176" i="133"/>
  <c r="AB171" i="133"/>
  <c r="W136" i="133"/>
  <c r="V123" i="133"/>
  <c r="AI150" i="133"/>
  <c r="AH90" i="133"/>
  <c r="AE130" i="133"/>
  <c r="AI73" i="133"/>
  <c r="AG73" i="133"/>
  <c r="AE114" i="133"/>
  <c r="Y131" i="133"/>
  <c r="AC63" i="133"/>
  <c r="W96" i="133"/>
  <c r="Z64" i="133"/>
  <c r="AH93" i="133"/>
  <c r="X35" i="133"/>
  <c r="AD41" i="133"/>
  <c r="V29" i="133"/>
  <c r="AA21" i="133"/>
  <c r="Z18" i="133"/>
  <c r="AJ79" i="133"/>
  <c r="AC45" i="133"/>
  <c r="AJ168" i="133"/>
  <c r="AA151" i="133"/>
  <c r="AD93" i="133"/>
  <c r="AG102" i="133"/>
  <c r="AH99" i="133"/>
  <c r="AH48" i="133"/>
  <c r="AF21" i="133"/>
  <c r="AH132" i="133"/>
  <c r="AD80" i="133"/>
  <c r="AF32" i="133"/>
  <c r="V183" i="133"/>
  <c r="V129" i="133"/>
  <c r="AF115" i="133"/>
  <c r="AF107" i="133"/>
  <c r="AD143" i="133"/>
  <c r="AF150" i="133"/>
  <c r="V106" i="133"/>
  <c r="AI43" i="133"/>
  <c r="X165" i="133"/>
  <c r="AH147" i="133"/>
  <c r="AI129" i="133"/>
  <c r="AF73" i="133"/>
  <c r="X37" i="133"/>
  <c r="Z185" i="133"/>
  <c r="AG83" i="133"/>
  <c r="AF86" i="133"/>
  <c r="Y171" i="133"/>
  <c r="AD168" i="133"/>
  <c r="AH44" i="133"/>
  <c r="AE150" i="133"/>
  <c r="AF166" i="133"/>
  <c r="Y36" i="133"/>
  <c r="V113" i="133"/>
  <c r="AF22" i="133"/>
  <c r="X172" i="133"/>
  <c r="AF154" i="133"/>
  <c r="Y116" i="133"/>
  <c r="AA102" i="133"/>
  <c r="Z95" i="133"/>
  <c r="Z105" i="133"/>
  <c r="AA164" i="133"/>
  <c r="AB75" i="133"/>
  <c r="AA41" i="133"/>
  <c r="AC25" i="133"/>
  <c r="AI50" i="133"/>
  <c r="AE80" i="133"/>
  <c r="AI28" i="133"/>
  <c r="AJ113" i="133"/>
  <c r="V114" i="133"/>
  <c r="AJ123" i="133"/>
  <c r="AD66" i="133"/>
  <c r="AF39" i="133"/>
  <c r="AB173" i="133"/>
  <c r="AH168" i="133"/>
  <c r="V167" i="133"/>
  <c r="W114" i="133"/>
  <c r="W154" i="133"/>
  <c r="AG103" i="133"/>
  <c r="Z58" i="133"/>
  <c r="AG94" i="133"/>
  <c r="Z51" i="133"/>
  <c r="AG21" i="133"/>
  <c r="X163" i="133"/>
  <c r="Y130" i="133"/>
  <c r="Z136" i="133"/>
  <c r="AE38" i="133"/>
  <c r="Y169" i="133"/>
  <c r="AD120" i="133"/>
  <c r="X33" i="133"/>
  <c r="AB133" i="133"/>
  <c r="Z145" i="133"/>
  <c r="Y43" i="133"/>
  <c r="AF172" i="133"/>
  <c r="AA24" i="133"/>
  <c r="AD186" i="133"/>
  <c r="AA171" i="133"/>
  <c r="AG124" i="133"/>
  <c r="W113" i="133"/>
  <c r="AD104" i="133"/>
  <c r="AA123" i="133"/>
  <c r="X134" i="133"/>
  <c r="Z142" i="133"/>
  <c r="AI34" i="133"/>
  <c r="W21" i="133"/>
  <c r="AC117" i="133"/>
  <c r="AJ162" i="133"/>
  <c r="AE92" i="133"/>
  <c r="AB140" i="133"/>
  <c r="V182" i="133"/>
  <c r="AG108" i="133"/>
  <c r="AJ155" i="133"/>
  <c r="AB135" i="133"/>
  <c r="AJ112" i="133"/>
  <c r="X31" i="133"/>
  <c r="AI143" i="133"/>
  <c r="AJ106" i="133"/>
  <c r="AH57" i="133"/>
  <c r="AH24" i="133"/>
  <c r="Y112" i="133"/>
  <c r="Z43" i="133"/>
  <c r="AJ148" i="133"/>
  <c r="W159" i="133"/>
  <c r="AJ60" i="133"/>
  <c r="AJ91" i="133"/>
  <c r="X15" i="133"/>
  <c r="AB23" i="133"/>
  <c r="W164" i="133"/>
  <c r="AA108" i="133"/>
  <c r="AE94" i="133"/>
  <c r="AE154" i="133"/>
  <c r="AD188" i="133"/>
  <c r="AB131" i="133"/>
  <c r="AB170" i="133"/>
  <c r="W62" i="133"/>
  <c r="AA66" i="133"/>
  <c r="AF51" i="133"/>
  <c r="AC100" i="133"/>
  <c r="AH28" i="133"/>
  <c r="AB154" i="133"/>
  <c r="AG178" i="133"/>
  <c r="AA174" i="133"/>
  <c r="X114" i="133"/>
  <c r="X96" i="133"/>
  <c r="AI55" i="133"/>
  <c r="AJ21" i="133"/>
  <c r="X147" i="133"/>
  <c r="AI78" i="133"/>
  <c r="AC73" i="133"/>
  <c r="AH156" i="133"/>
  <c r="Z100" i="133"/>
  <c r="AG147" i="133"/>
  <c r="AI66" i="133"/>
  <c r="AH31" i="133"/>
  <c r="AG161" i="133"/>
  <c r="Y73" i="133"/>
  <c r="W135" i="133"/>
  <c r="AJ154" i="133"/>
  <c r="Y58" i="133"/>
  <c r="Y53" i="133"/>
  <c r="AD144" i="133"/>
  <c r="V74" i="133"/>
  <c r="AI47" i="133"/>
  <c r="AI133" i="133"/>
  <c r="AJ186" i="133"/>
  <c r="AH189" i="133"/>
  <c r="Z128" i="133"/>
  <c r="AD95" i="133"/>
  <c r="AE78" i="133"/>
  <c r="AE129" i="133"/>
  <c r="AI70" i="133"/>
  <c r="AB56" i="133"/>
  <c r="AB40" i="133"/>
  <c r="AG45" i="133"/>
  <c r="AH19" i="133"/>
  <c r="AC52" i="133"/>
  <c r="AJ86" i="133"/>
  <c r="AI180" i="133"/>
  <c r="Z154" i="133"/>
  <c r="Z52" i="133"/>
  <c r="X100" i="133"/>
  <c r="AJ85" i="133"/>
  <c r="AJ50" i="133"/>
  <c r="AH187" i="133"/>
  <c r="W174" i="133"/>
  <c r="Z125" i="133"/>
  <c r="Y114" i="133"/>
  <c r="X105" i="133"/>
  <c r="AA124" i="133"/>
  <c r="AD140" i="133"/>
  <c r="X57" i="133"/>
  <c r="V36" i="133"/>
  <c r="AG24" i="133"/>
  <c r="W182" i="133"/>
  <c r="AF180" i="133"/>
  <c r="V81" i="133"/>
  <c r="V41" i="133"/>
  <c r="AF120" i="133"/>
  <c r="W147" i="133"/>
  <c r="AG19" i="133"/>
  <c r="AJ122" i="133"/>
  <c r="V75" i="133"/>
  <c r="X23" i="133"/>
  <c r="AE172" i="133"/>
  <c r="AC16" i="133"/>
  <c r="V159" i="133"/>
  <c r="Z135" i="133"/>
  <c r="AH102" i="133"/>
  <c r="AI85" i="133"/>
  <c r="V174" i="133"/>
  <c r="AI80" i="133"/>
  <c r="AE73" i="133"/>
  <c r="W47" i="133"/>
  <c r="AI49" i="133"/>
  <c r="AF20" i="133"/>
  <c r="V53" i="133"/>
  <c r="Y146" i="133"/>
  <c r="V88" i="133"/>
  <c r="V63" i="133"/>
  <c r="AC66" i="133"/>
  <c r="Y44" i="133"/>
  <c r="Z165" i="133"/>
  <c r="AG65" i="133"/>
  <c r="Z83" i="133"/>
  <c r="AG44" i="133"/>
  <c r="AH121" i="133"/>
  <c r="X117" i="133"/>
  <c r="Z129" i="133"/>
  <c r="X67" i="133"/>
  <c r="AJ178" i="133"/>
  <c r="AG189" i="133"/>
  <c r="AG31" i="133"/>
  <c r="AG25" i="133"/>
  <c r="Y156" i="133"/>
  <c r="AE171" i="133"/>
  <c r="AG101" i="133"/>
  <c r="V158" i="133"/>
  <c r="Y152" i="133"/>
  <c r="AH33" i="133"/>
  <c r="V93" i="133"/>
  <c r="Y183" i="133"/>
  <c r="AI77" i="133"/>
  <c r="Z39" i="133"/>
  <c r="AC160" i="133"/>
  <c r="AB32" i="133"/>
  <c r="AE46" i="133"/>
  <c r="AB152" i="133"/>
  <c r="AI25" i="133"/>
  <c r="V42" i="133"/>
  <c r="V101" i="133"/>
  <c r="AH139" i="133"/>
  <c r="AF130" i="133"/>
  <c r="AA84" i="133"/>
  <c r="AB55" i="133"/>
  <c r="AJ169" i="133"/>
  <c r="Y108" i="133"/>
  <c r="Y76" i="133"/>
  <c r="V146" i="133"/>
  <c r="Z57" i="133"/>
  <c r="AA17" i="133"/>
  <c r="Y129" i="133"/>
  <c r="AA88" i="133"/>
  <c r="AH140" i="133"/>
  <c r="AG68" i="133"/>
  <c r="AB129" i="133"/>
  <c r="Y51" i="133"/>
  <c r="Y122" i="133"/>
  <c r="AE26" i="133"/>
  <c r="AE190" i="133"/>
  <c r="Z96" i="133"/>
  <c r="AC130" i="133"/>
  <c r="AF57" i="133"/>
  <c r="Y47" i="133"/>
  <c r="AI151" i="133"/>
  <c r="AC184" i="133"/>
  <c r="Y89" i="133"/>
  <c r="W170" i="133"/>
  <c r="AF60" i="133"/>
  <c r="X45" i="133"/>
  <c r="AD125" i="133"/>
  <c r="AI86" i="133"/>
  <c r="V48" i="133"/>
  <c r="Y117" i="133"/>
  <c r="AJ182" i="133"/>
  <c r="AA175" i="133"/>
  <c r="Z124" i="133"/>
  <c r="AD91" i="133"/>
  <c r="AE74" i="133"/>
  <c r="AA116" i="133"/>
  <c r="AG64" i="133"/>
  <c r="AB67" i="133"/>
  <c r="Z36" i="133"/>
  <c r="W37" i="133"/>
  <c r="AG20" i="133"/>
  <c r="W36" i="133"/>
  <c r="AG111" i="133"/>
  <c r="AD187" i="133"/>
  <c r="AE122" i="133"/>
  <c r="AF48" i="133"/>
  <c r="AE153" i="133"/>
  <c r="AB74" i="133"/>
  <c r="AE48" i="133"/>
  <c r="AH179" i="133"/>
  <c r="AA163" i="133"/>
  <c r="AH119" i="133"/>
  <c r="AI107" i="133"/>
  <c r="AF99" i="133"/>
  <c r="Y115" i="133"/>
  <c r="X103" i="133"/>
  <c r="AF95" i="133"/>
  <c r="V52" i="133"/>
  <c r="AD26" i="133"/>
  <c r="Y164" i="133"/>
  <c r="AF134" i="133"/>
  <c r="V69" i="133"/>
  <c r="AJ38" i="133"/>
  <c r="AF148" i="133"/>
  <c r="AD87" i="133"/>
  <c r="AJ15" i="133"/>
  <c r="V105" i="133"/>
  <c r="AI140" i="133"/>
  <c r="AC21" i="133"/>
  <c r="AB126" i="133"/>
  <c r="AF189" i="133"/>
  <c r="AG187" i="133"/>
  <c r="W131" i="133"/>
  <c r="AH98" i="133"/>
  <c r="AI81" i="133"/>
  <c r="AH141" i="133"/>
  <c r="W75" i="133"/>
  <c r="X62" i="133"/>
  <c r="X43" i="133"/>
  <c r="AG53" i="133"/>
  <c r="AI19" i="133"/>
  <c r="AH32" i="133"/>
  <c r="AA189" i="133"/>
  <c r="Y67" i="133"/>
  <c r="AA46" i="133"/>
  <c r="AI114" i="133"/>
  <c r="AJ55" i="133"/>
  <c r="AC180" i="133"/>
  <c r="AH146" i="133"/>
  <c r="V96" i="133"/>
  <c r="V46" i="133"/>
  <c r="AI177" i="133"/>
  <c r="AB70" i="133"/>
  <c r="AI46" i="133"/>
  <c r="AC44" i="133"/>
  <c r="AH100" i="133"/>
  <c r="Z120" i="133"/>
  <c r="AA59" i="133"/>
  <c r="AI38" i="133"/>
  <c r="AD175" i="133"/>
  <c r="AI87" i="133"/>
  <c r="AF153" i="133"/>
  <c r="AJ94" i="133"/>
  <c r="Z72" i="133"/>
  <c r="AG121" i="133"/>
  <c r="AI144" i="133"/>
  <c r="Z20" i="133"/>
  <c r="V127" i="133"/>
  <c r="AE69" i="133"/>
  <c r="AJ49" i="133"/>
  <c r="W38" i="133"/>
  <c r="AB122" i="133"/>
  <c r="AJ81" i="133"/>
  <c r="AJ114" i="133"/>
  <c r="AI76" i="133"/>
  <c r="V108" i="133"/>
  <c r="Z186" i="133"/>
  <c r="AB107" i="133"/>
  <c r="Y84" i="133"/>
  <c r="AJ36" i="133"/>
  <c r="V94" i="133"/>
  <c r="AF179" i="133"/>
  <c r="AC153" i="133"/>
  <c r="AJ89" i="133"/>
  <c r="Z50" i="133"/>
  <c r="AF156" i="133"/>
  <c r="X95" i="133"/>
  <c r="AA146" i="133"/>
  <c r="X88" i="133"/>
  <c r="Z152" i="133"/>
  <c r="W178" i="133"/>
  <c r="AC59" i="133"/>
  <c r="AD35" i="133"/>
  <c r="AE156" i="133"/>
  <c r="AE28" i="133"/>
  <c r="AJ83" i="133"/>
  <c r="X183" i="133"/>
  <c r="AH124" i="133"/>
  <c r="AA75" i="133"/>
  <c r="Z65" i="133"/>
  <c r="AH36" i="133"/>
  <c r="AI18" i="133"/>
  <c r="AA129" i="133"/>
  <c r="Y151" i="133"/>
  <c r="Y21" i="133"/>
  <c r="AI189" i="133"/>
  <c r="AG117" i="133"/>
  <c r="AB185" i="133"/>
  <c r="V116" i="133"/>
  <c r="X61" i="133"/>
  <c r="V157" i="133"/>
  <c r="AJ29" i="133"/>
  <c r="AF190" i="133"/>
  <c r="AC188" i="133"/>
  <c r="AE145" i="133"/>
  <c r="AG125" i="133"/>
  <c r="AG69" i="133"/>
  <c r="AA125" i="133"/>
  <c r="AD81" i="133"/>
  <c r="AE75" i="133"/>
  <c r="AC38" i="133"/>
  <c r="AA26" i="133"/>
  <c r="AF64" i="133"/>
  <c r="AD134" i="133"/>
  <c r="AA89" i="133"/>
  <c r="AE133" i="133"/>
  <c r="AC120" i="133"/>
  <c r="AC182" i="133"/>
  <c r="AF66" i="133"/>
  <c r="AJ102" i="133"/>
  <c r="AD185" i="133"/>
  <c r="AC163" i="133"/>
  <c r="X130" i="133"/>
  <c r="AF106" i="133"/>
  <c r="AG107" i="133"/>
  <c r="AD83" i="133"/>
  <c r="AB83" i="133"/>
  <c r="AC93" i="133"/>
  <c r="AF54" i="133"/>
  <c r="AB35" i="133"/>
  <c r="AE189" i="133"/>
  <c r="W184" i="133"/>
  <c r="AA100" i="133"/>
  <c r="AF76" i="133"/>
  <c r="AG190" i="133"/>
  <c r="Y83" i="133"/>
  <c r="Y50" i="133"/>
  <c r="AH154" i="133"/>
  <c r="AH131" i="133"/>
  <c r="AF52" i="133"/>
  <c r="W142" i="133"/>
  <c r="AD47" i="133"/>
  <c r="AC181" i="133"/>
  <c r="W140" i="133"/>
  <c r="Y158" i="133"/>
  <c r="AJ137" i="133"/>
  <c r="Y79" i="133"/>
  <c r="Y147" i="133"/>
  <c r="AB113" i="133"/>
  <c r="AF146" i="133"/>
  <c r="Y46" i="133"/>
  <c r="V22" i="133"/>
  <c r="AC148" i="133"/>
  <c r="AJ188" i="133"/>
  <c r="AD109" i="133"/>
  <c r="AA109" i="133"/>
  <c r="AF28" i="133"/>
  <c r="Z113" i="133"/>
  <c r="AA176" i="133"/>
  <c r="AF133" i="133"/>
  <c r="AH87" i="133"/>
  <c r="AA117" i="133"/>
  <c r="Z92" i="133"/>
  <c r="Z38" i="133"/>
  <c r="V172" i="133"/>
  <c r="AD113" i="133"/>
  <c r="AD32" i="133"/>
  <c r="AG166" i="133"/>
  <c r="AE70" i="133"/>
  <c r="AE57" i="133"/>
  <c r="AC18" i="133"/>
  <c r="AG74" i="133"/>
  <c r="AC39" i="133"/>
  <c r="W28" i="133"/>
  <c r="AI115" i="133"/>
  <c r="AF103" i="133"/>
  <c r="W40" i="133"/>
  <c r="AG122" i="133"/>
  <c r="AF141" i="133"/>
  <c r="AG16" i="133"/>
  <c r="AA98" i="133"/>
  <c r="AF185" i="133"/>
  <c r="AH94" i="133"/>
  <c r="AG127" i="133"/>
  <c r="X77" i="133"/>
  <c r="AE18" i="133"/>
  <c r="Z132" i="133"/>
  <c r="AB92" i="133"/>
  <c r="Z74" i="133"/>
  <c r="V135" i="133"/>
  <c r="AE188" i="133"/>
  <c r="AC122" i="133"/>
  <c r="AJ44" i="133"/>
  <c r="AJ24" i="133"/>
  <c r="AF104" i="133"/>
  <c r="AG182" i="133"/>
  <c r="AC80" i="133"/>
  <c r="AC47" i="133"/>
  <c r="AG62" i="133"/>
  <c r="AG56" i="133"/>
  <c r="Z141" i="133"/>
  <c r="AA97" i="133"/>
  <c r="X189" i="133"/>
  <c r="AE19" i="133"/>
  <c r="AG87" i="133"/>
  <c r="V173" i="133"/>
  <c r="AE89" i="133"/>
  <c r="AB38" i="133"/>
  <c r="AJ151" i="133"/>
  <c r="AF171" i="133"/>
  <c r="AH17" i="133"/>
  <c r="AH115" i="133"/>
  <c r="AB145" i="133"/>
  <c r="Z29" i="133"/>
  <c r="Y134" i="133"/>
  <c r="AB61" i="133"/>
  <c r="AA127" i="133"/>
  <c r="AJ163" i="133"/>
  <c r="AE113" i="133"/>
  <c r="X121" i="133"/>
  <c r="AI158" i="133"/>
  <c r="AD183" i="133"/>
  <c r="AF61" i="133"/>
  <c r="AF161" i="133"/>
  <c r="AG30" i="133"/>
  <c r="AJ124" i="133"/>
  <c r="W16" i="133"/>
  <c r="AC71" i="133"/>
  <c r="W132" i="133"/>
  <c r="W169" i="133"/>
  <c r="W48" i="133"/>
  <c r="AE166" i="133"/>
  <c r="W98" i="133"/>
  <c r="AD86" i="133"/>
  <c r="X187" i="133"/>
  <c r="AJ40" i="133"/>
  <c r="AI23" i="133"/>
  <c r="AC134" i="133"/>
  <c r="AC177" i="133"/>
  <c r="Y75" i="133"/>
  <c r="AH42" i="133"/>
  <c r="AC110" i="133"/>
  <c r="AJ78" i="133"/>
  <c r="AB136" i="133"/>
  <c r="AG90" i="133"/>
  <c r="X173" i="133"/>
  <c r="AJ16" i="133"/>
  <c r="AG71" i="133"/>
  <c r="AG186" i="133"/>
  <c r="AC84" i="133"/>
  <c r="AC51" i="133"/>
  <c r="AF129" i="133"/>
  <c r="AA188" i="133"/>
  <c r="AD15" i="133"/>
  <c r="AA83" i="133"/>
  <c r="Z106" i="133"/>
  <c r="X176" i="133"/>
  <c r="AB118" i="133"/>
  <c r="X60" i="133"/>
  <c r="AI174" i="133"/>
  <c r="AH123" i="133"/>
  <c r="AG160" i="133"/>
  <c r="AA185" i="133"/>
  <c r="AH86" i="133"/>
  <c r="AF68" i="133"/>
  <c r="AD98" i="133"/>
  <c r="AI113" i="133"/>
  <c r="X166" i="133"/>
  <c r="AI106" i="133"/>
  <c r="AE77" i="133"/>
  <c r="AE139" i="133"/>
  <c r="AE180" i="133"/>
  <c r="Y140" i="133"/>
  <c r="Z61" i="133"/>
  <c r="Y190" i="133"/>
  <c r="AB95" i="133"/>
  <c r="AI148" i="133"/>
  <c r="AE132" i="133"/>
  <c r="Y18" i="133"/>
  <c r="AA114" i="133"/>
  <c r="Z79" i="133"/>
  <c r="AA141" i="133"/>
  <c r="V166" i="133"/>
  <c r="Z23" i="133"/>
  <c r="AI181" i="133"/>
  <c r="AJ72" i="133"/>
  <c r="AG114" i="133"/>
  <c r="AH71" i="133"/>
  <c r="AH126" i="133"/>
  <c r="AE128" i="133"/>
  <c r="AA40" i="133"/>
  <c r="W148" i="133"/>
  <c r="AC62" i="133"/>
  <c r="AI35" i="133"/>
  <c r="W94" i="133"/>
  <c r="X108" i="133"/>
  <c r="V160" i="133"/>
  <c r="AJ34" i="133"/>
  <c r="Z28" i="133"/>
  <c r="AA79" i="133"/>
  <c r="AC152" i="133"/>
  <c r="AD189" i="133"/>
  <c r="AB45" i="133"/>
  <c r="Z24" i="133"/>
  <c r="AC116" i="133"/>
  <c r="Z114" i="133"/>
  <c r="AH76" i="133"/>
  <c r="AH128" i="133"/>
  <c r="V20" i="133"/>
  <c r="AE135" i="133"/>
  <c r="AF65" i="133"/>
  <c r="AA137" i="133"/>
  <c r="AD133" i="133"/>
  <c r="AC22" i="133"/>
  <c r="AD149" i="133"/>
  <c r="AH85" i="133"/>
  <c r="AF110" i="133"/>
  <c r="AC138" i="133"/>
  <c r="AH118" i="133"/>
  <c r="AG99" i="133"/>
  <c r="AF31" i="133"/>
  <c r="W144" i="133"/>
  <c r="AB57" i="133"/>
  <c r="AC26" i="133"/>
  <c r="AF75" i="133"/>
  <c r="W180" i="133"/>
  <c r="AD190" i="133"/>
  <c r="X107" i="133"/>
  <c r="Y32" i="133"/>
  <c r="Y159" i="133"/>
  <c r="W105" i="133"/>
  <c r="V149" i="133"/>
  <c r="AG48" i="133"/>
  <c r="V134" i="133"/>
  <c r="Y60" i="133"/>
  <c r="W118" i="133"/>
  <c r="AD172" i="133"/>
  <c r="AA74" i="133"/>
  <c r="AA122" i="133"/>
  <c r="AD31" i="133"/>
  <c r="AF101" i="133"/>
  <c r="AC170" i="133"/>
  <c r="AD110" i="133"/>
  <c r="AA86" i="133"/>
  <c r="AF15" i="133"/>
  <c r="BJ17" i="104"/>
  <c r="BJ12" i="104"/>
  <c r="BJ8" i="125"/>
  <c r="G18" i="149"/>
  <c r="F22" i="149"/>
  <c r="G22" i="149" s="1"/>
  <c r="BJ20" i="124"/>
  <c r="J21" i="122"/>
  <c r="F17" i="122"/>
  <c r="Q12" i="122"/>
  <c r="P20" i="122"/>
  <c r="L16" i="122"/>
  <c r="H12" i="122"/>
  <c r="G20" i="122"/>
  <c r="R15" i="122"/>
  <c r="Q23" i="122"/>
  <c r="M19" i="122"/>
  <c r="I15" i="122"/>
  <c r="H23" i="122"/>
  <c r="S18" i="122"/>
  <c r="O14" i="122"/>
  <c r="N22" i="122"/>
  <c r="J18" i="122"/>
  <c r="F14" i="122"/>
  <c r="L21" i="122"/>
  <c r="H17" i="122"/>
  <c r="S12" i="122"/>
  <c r="J20" i="122"/>
  <c r="F16" i="122"/>
  <c r="Q20" i="122"/>
  <c r="M16" i="122"/>
  <c r="I12" i="122"/>
  <c r="H20" i="122"/>
  <c r="S15" i="122"/>
  <c r="R23" i="122"/>
  <c r="N19" i="122"/>
  <c r="J15" i="122"/>
  <c r="I23" i="122"/>
  <c r="E19" i="122"/>
  <c r="P14" i="122"/>
  <c r="O22" i="122"/>
  <c r="K18" i="122"/>
  <c r="G14" i="122"/>
  <c r="F22" i="122"/>
  <c r="Q17" i="122"/>
  <c r="M13" i="122"/>
  <c r="S20" i="122"/>
  <c r="O16" i="122"/>
  <c r="K12" i="122"/>
  <c r="Q19" i="122"/>
  <c r="M15" i="122"/>
  <c r="I20" i="122"/>
  <c r="E16" i="122"/>
  <c r="S23" i="122"/>
  <c r="O19" i="122"/>
  <c r="K15" i="122"/>
  <c r="J23" i="122"/>
  <c r="F19" i="122"/>
  <c r="Q14" i="122"/>
  <c r="P22" i="122"/>
  <c r="L18" i="122"/>
  <c r="H14" i="122"/>
  <c r="G22" i="122"/>
  <c r="R17" i="122"/>
  <c r="N13" i="122"/>
  <c r="M21" i="122"/>
  <c r="I17" i="122"/>
  <c r="E13" i="122"/>
  <c r="K20" i="122"/>
  <c r="G16" i="122"/>
  <c r="M23" i="122"/>
  <c r="I19" i="122"/>
  <c r="E15" i="122"/>
  <c r="R21" i="122"/>
  <c r="N17" i="122"/>
  <c r="J13" i="122"/>
  <c r="I21" i="122"/>
  <c r="E17" i="122"/>
  <c r="P12" i="122"/>
  <c r="O20" i="122"/>
  <c r="K16" i="122"/>
  <c r="G12" i="122"/>
  <c r="F20" i="122"/>
  <c r="Q15" i="122"/>
  <c r="P23" i="122"/>
  <c r="L19" i="122"/>
  <c r="H15" i="122"/>
  <c r="G23" i="122"/>
  <c r="R18" i="122"/>
  <c r="N14" i="122"/>
  <c r="E22" i="122"/>
  <c r="P17" i="122"/>
  <c r="L13" i="122"/>
  <c r="R20" i="122"/>
  <c r="N16" i="122"/>
  <c r="J12" i="122"/>
  <c r="L15" i="122"/>
  <c r="G19" i="122"/>
  <c r="Q22" i="122"/>
  <c r="I14" i="122"/>
  <c r="S17" i="122"/>
  <c r="N21" i="122"/>
  <c r="F13" i="122"/>
  <c r="P16" i="122"/>
  <c r="R19" i="122"/>
  <c r="E23" i="122"/>
  <c r="L14" i="122"/>
  <c r="M17" i="122"/>
  <c r="I18" i="122"/>
  <c r="K23" i="122"/>
  <c r="N15" i="122"/>
  <c r="L23" i="122"/>
  <c r="S14" i="122"/>
  <c r="N18" i="122"/>
  <c r="I22" i="122"/>
  <c r="P13" i="122"/>
  <c r="K17" i="122"/>
  <c r="F21" i="122"/>
  <c r="M12" i="122"/>
  <c r="H16" i="122"/>
  <c r="J19" i="122"/>
  <c r="L22" i="122"/>
  <c r="S13" i="122"/>
  <c r="R13" i="122"/>
  <c r="O12" i="122"/>
  <c r="E20" i="122"/>
  <c r="G15" i="122"/>
  <c r="R12" i="122"/>
  <c r="R14" i="122"/>
  <c r="O13" i="122"/>
  <c r="E21" i="122"/>
  <c r="P18" i="122"/>
  <c r="S22" i="122"/>
  <c r="K14" i="122"/>
  <c r="F18" i="122"/>
  <c r="P21" i="122"/>
  <c r="H13" i="122"/>
  <c r="R16" i="122"/>
  <c r="M20" i="122"/>
  <c r="E12" i="122"/>
  <c r="O15" i="122"/>
  <c r="Q18" i="122"/>
  <c r="S21" i="122"/>
  <c r="K13" i="122"/>
  <c r="K22" i="122"/>
  <c r="H21" i="122"/>
  <c r="J16" i="122"/>
  <c r="O23" i="122"/>
  <c r="K21" i="122"/>
  <c r="P19" i="122"/>
  <c r="M18" i="122"/>
  <c r="J17" i="122"/>
  <c r="L12" i="122"/>
  <c r="G18" i="122"/>
  <c r="Q21" i="122"/>
  <c r="I13" i="122"/>
  <c r="S16" i="122"/>
  <c r="N20" i="122"/>
  <c r="F12" i="122"/>
  <c r="P15" i="122"/>
  <c r="K19" i="122"/>
  <c r="M22" i="122"/>
  <c r="E14" i="122"/>
  <c r="G17" i="122"/>
  <c r="H22" i="122"/>
  <c r="E18" i="122"/>
  <c r="L20" i="122"/>
  <c r="R22" i="122"/>
  <c r="F15" i="122"/>
  <c r="J22" i="122"/>
  <c r="Q16" i="122"/>
  <c r="L17" i="122"/>
  <c r="S19" i="122"/>
  <c r="G13" i="122"/>
  <c r="Q13" i="122"/>
  <c r="H19" i="122"/>
  <c r="O21" i="122"/>
  <c r="N23" i="122"/>
  <c r="M14" i="122"/>
  <c r="H18" i="122"/>
  <c r="O17" i="122"/>
  <c r="O18" i="122"/>
  <c r="G21" i="122"/>
  <c r="F23" i="122"/>
  <c r="N12" i="122"/>
  <c r="J14" i="122"/>
  <c r="I16" i="122"/>
  <c r="F7" i="122"/>
  <c r="I39" i="122"/>
  <c r="E35" i="122"/>
  <c r="P30" i="122"/>
  <c r="L26" i="122"/>
  <c r="G38" i="122"/>
  <c r="R33" i="122"/>
  <c r="N29" i="122"/>
  <c r="I41" i="122"/>
  <c r="E37" i="122"/>
  <c r="P32" i="122"/>
  <c r="L28" i="122"/>
  <c r="G40" i="122"/>
  <c r="R35" i="122"/>
  <c r="N31" i="122"/>
  <c r="J27" i="122"/>
  <c r="E39" i="122"/>
  <c r="P34" i="122"/>
  <c r="L30" i="122"/>
  <c r="H26" i="122"/>
  <c r="R37" i="122"/>
  <c r="N33" i="122"/>
  <c r="J29" i="122"/>
  <c r="E41" i="122"/>
  <c r="P36" i="122"/>
  <c r="L32" i="122"/>
  <c r="H28" i="122"/>
  <c r="R39" i="122"/>
  <c r="N35" i="122"/>
  <c r="J31" i="122"/>
  <c r="F27" i="122"/>
  <c r="P38" i="122"/>
  <c r="L34" i="122"/>
  <c r="H30" i="122"/>
  <c r="R41" i="122"/>
  <c r="N37" i="122"/>
  <c r="J33" i="122"/>
  <c r="F29" i="122"/>
  <c r="P40" i="122"/>
  <c r="L36" i="122"/>
  <c r="H32" i="122"/>
  <c r="S27" i="122"/>
  <c r="N39" i="122"/>
  <c r="J35" i="122"/>
  <c r="F31" i="122"/>
  <c r="Q26" i="122"/>
  <c r="L38" i="122"/>
  <c r="H34" i="122"/>
  <c r="S29" i="122"/>
  <c r="N41" i="122"/>
  <c r="J37" i="122"/>
  <c r="F33" i="122"/>
  <c r="Q28" i="122"/>
  <c r="L40" i="122"/>
  <c r="H36" i="122"/>
  <c r="S31" i="122"/>
  <c r="O27" i="122"/>
  <c r="J39" i="122"/>
  <c r="F35" i="122"/>
  <c r="Q30" i="122"/>
  <c r="M26" i="122"/>
  <c r="H38" i="122"/>
  <c r="S33" i="122"/>
  <c r="O29" i="122"/>
  <c r="J41" i="122"/>
  <c r="F37" i="122"/>
  <c r="Q32" i="122"/>
  <c r="M28" i="122"/>
  <c r="H40" i="122"/>
  <c r="S35" i="122"/>
  <c r="O31" i="122"/>
  <c r="K27" i="122"/>
  <c r="F39" i="122"/>
  <c r="Q34" i="122"/>
  <c r="M30" i="122"/>
  <c r="I26" i="122"/>
  <c r="S37" i="122"/>
  <c r="O33" i="122"/>
  <c r="K29" i="122"/>
  <c r="F41" i="122"/>
  <c r="Q36" i="122"/>
  <c r="M32" i="122"/>
  <c r="I28" i="122"/>
  <c r="S39" i="122"/>
  <c r="O35" i="122"/>
  <c r="K31" i="122"/>
  <c r="G27" i="122"/>
  <c r="Q38" i="122"/>
  <c r="M34" i="122"/>
  <c r="I30" i="122"/>
  <c r="E26" i="122"/>
  <c r="Q39" i="122"/>
  <c r="M35" i="122"/>
  <c r="I31" i="122"/>
  <c r="E27" i="122"/>
  <c r="O38" i="122"/>
  <c r="K34" i="122"/>
  <c r="G30" i="122"/>
  <c r="Q41" i="122"/>
  <c r="M37" i="122"/>
  <c r="I33" i="122"/>
  <c r="E29" i="122"/>
  <c r="O40" i="122"/>
  <c r="K36" i="122"/>
  <c r="G32" i="122"/>
  <c r="R27" i="122"/>
  <c r="M39" i="122"/>
  <c r="I35" i="122"/>
  <c r="E31" i="122"/>
  <c r="P26" i="122"/>
  <c r="K38" i="122"/>
  <c r="G34" i="122"/>
  <c r="R29" i="122"/>
  <c r="M41" i="122"/>
  <c r="I37" i="122"/>
  <c r="E33" i="122"/>
  <c r="P28" i="122"/>
  <c r="K40" i="122"/>
  <c r="G36" i="122"/>
  <c r="R31" i="122"/>
  <c r="N27" i="122"/>
  <c r="S41" i="122"/>
  <c r="K33" i="122"/>
  <c r="Q40" i="122"/>
  <c r="I32" i="122"/>
  <c r="O39" i="122"/>
  <c r="G31" i="122"/>
  <c r="M38" i="122"/>
  <c r="E30" i="122"/>
  <c r="K37" i="122"/>
  <c r="R28" i="122"/>
  <c r="I36" i="122"/>
  <c r="P27" i="122"/>
  <c r="G35" i="122"/>
  <c r="N26" i="122"/>
  <c r="E34" i="122"/>
  <c r="H39" i="122"/>
  <c r="Q35" i="122"/>
  <c r="I34" i="122"/>
  <c r="K41" i="122"/>
  <c r="R32" i="122"/>
  <c r="I40" i="122"/>
  <c r="P31" i="122"/>
  <c r="G39" i="122"/>
  <c r="N30" i="122"/>
  <c r="E38" i="122"/>
  <c r="L29" i="122"/>
  <c r="R36" i="122"/>
  <c r="J28" i="122"/>
  <c r="P35" i="122"/>
  <c r="H27" i="122"/>
  <c r="N34" i="122"/>
  <c r="F26" i="122"/>
  <c r="L33" i="122"/>
  <c r="Q31" i="122"/>
  <c r="F38" i="122"/>
  <c r="S36" i="122"/>
  <c r="I27" i="122"/>
  <c r="G26" i="122"/>
  <c r="K32" i="122"/>
  <c r="G29" i="122"/>
  <c r="K35" i="122"/>
  <c r="G33" i="122"/>
  <c r="E32" i="122"/>
  <c r="R30" i="122"/>
  <c r="P29" i="122"/>
  <c r="R40" i="122"/>
  <c r="J32" i="122"/>
  <c r="P39" i="122"/>
  <c r="H31" i="122"/>
  <c r="N38" i="122"/>
  <c r="F30" i="122"/>
  <c r="L37" i="122"/>
  <c r="S28" i="122"/>
  <c r="J36" i="122"/>
  <c r="Q27" i="122"/>
  <c r="H35" i="122"/>
  <c r="O26" i="122"/>
  <c r="F34" i="122"/>
  <c r="L41" i="122"/>
  <c r="S32" i="122"/>
  <c r="J40" i="122"/>
  <c r="O30" i="122"/>
  <c r="M29" i="122"/>
  <c r="K28" i="122"/>
  <c r="O34" i="122"/>
  <c r="M33" i="122"/>
  <c r="O37" i="122"/>
  <c r="E28" i="122"/>
  <c r="R26" i="122"/>
  <c r="O41" i="122"/>
  <c r="M40" i="122"/>
  <c r="K39" i="122"/>
  <c r="I38" i="122"/>
  <c r="F36" i="122"/>
  <c r="M27" i="122"/>
  <c r="S34" i="122"/>
  <c r="K26" i="122"/>
  <c r="Q33" i="122"/>
  <c r="H41" i="122"/>
  <c r="O32" i="122"/>
  <c r="F40" i="122"/>
  <c r="M31" i="122"/>
  <c r="S38" i="122"/>
  <c r="K30" i="122"/>
  <c r="Q37" i="122"/>
  <c r="I29" i="122"/>
  <c r="O36" i="122"/>
  <c r="G28" i="122"/>
  <c r="S40" i="122"/>
  <c r="M36" i="122"/>
  <c r="E36" i="122"/>
  <c r="P33" i="122"/>
  <c r="L31" i="122"/>
  <c r="H29" i="122"/>
  <c r="R34" i="122"/>
  <c r="N36" i="122"/>
  <c r="N28" i="122"/>
  <c r="P37" i="122"/>
  <c r="L39" i="122"/>
  <c r="H37" i="122"/>
  <c r="L35" i="122"/>
  <c r="H33" i="122"/>
  <c r="S30" i="122"/>
  <c r="O28" i="122"/>
  <c r="G37" i="122"/>
  <c r="J30" i="122"/>
  <c r="Q29" i="122"/>
  <c r="E40" i="122"/>
  <c r="F28" i="122"/>
  <c r="L27" i="122"/>
  <c r="G41" i="122"/>
  <c r="R38" i="122"/>
  <c r="N32" i="122"/>
  <c r="F32" i="122"/>
  <c r="S26" i="122"/>
  <c r="N40" i="122"/>
  <c r="J38" i="122"/>
  <c r="J34" i="122"/>
  <c r="J26" i="122"/>
  <c r="P41" i="122"/>
  <c r="BJ16" i="104"/>
  <c r="BJ12" i="123"/>
  <c r="BJ19" i="124"/>
  <c r="F22" i="150"/>
  <c r="G22" i="150" s="1"/>
  <c r="BJ15" i="123"/>
  <c r="L22" i="140"/>
  <c r="I18" i="140"/>
  <c r="E14" i="140"/>
  <c r="J21" i="140"/>
  <c r="G17" i="140"/>
  <c r="R12" i="140"/>
  <c r="P20" i="140"/>
  <c r="M16" i="140"/>
  <c r="I12" i="140"/>
  <c r="G20" i="140"/>
  <c r="S15" i="140"/>
  <c r="Q23" i="140"/>
  <c r="N19" i="140"/>
  <c r="J15" i="140"/>
  <c r="H23" i="140"/>
  <c r="E19" i="140"/>
  <c r="P14" i="140"/>
  <c r="N22" i="140"/>
  <c r="R17" i="140"/>
  <c r="N13" i="140"/>
  <c r="L21" i="140"/>
  <c r="I17" i="140"/>
  <c r="E13" i="140"/>
  <c r="K12" i="140"/>
  <c r="S14" i="140"/>
  <c r="E18" i="140"/>
  <c r="E12" i="140"/>
  <c r="I19" i="140"/>
  <c r="Q13" i="140"/>
  <c r="P15" i="140"/>
  <c r="S21" i="140"/>
  <c r="P17" i="140"/>
  <c r="L13" i="140"/>
  <c r="Q20" i="140"/>
  <c r="N16" i="140"/>
  <c r="J12" i="140"/>
  <c r="H20" i="140"/>
  <c r="E16" i="140"/>
  <c r="R23" i="140"/>
  <c r="O19" i="140"/>
  <c r="K15" i="140"/>
  <c r="I23" i="140"/>
  <c r="F19" i="140"/>
  <c r="Q14" i="140"/>
  <c r="O22" i="140"/>
  <c r="L18" i="140"/>
  <c r="H14" i="140"/>
  <c r="F22" i="140"/>
  <c r="J17" i="140"/>
  <c r="F13" i="140"/>
  <c r="S20" i="140"/>
  <c r="P16" i="140"/>
  <c r="L12" i="140"/>
  <c r="M15" i="140"/>
  <c r="J14" i="140"/>
  <c r="K17" i="140"/>
  <c r="I16" i="140"/>
  <c r="L23" i="140"/>
  <c r="O18" i="140"/>
  <c r="F18" i="140"/>
  <c r="H13" i="140"/>
  <c r="N12" i="140"/>
  <c r="K19" i="140"/>
  <c r="K21" i="140"/>
  <c r="H17" i="140"/>
  <c r="S12" i="140"/>
  <c r="I20" i="140"/>
  <c r="F16" i="140"/>
  <c r="S23" i="140"/>
  <c r="P19" i="140"/>
  <c r="L15" i="140"/>
  <c r="J23" i="140"/>
  <c r="G19" i="140"/>
  <c r="R14" i="140"/>
  <c r="P22" i="140"/>
  <c r="M18" i="140"/>
  <c r="I14" i="140"/>
  <c r="G22" i="140"/>
  <c r="S17" i="140"/>
  <c r="O13" i="140"/>
  <c r="M21" i="140"/>
  <c r="Q16" i="140"/>
  <c r="M12" i="140"/>
  <c r="K20" i="140"/>
  <c r="H16" i="140"/>
  <c r="O16" i="140"/>
  <c r="K23" i="140"/>
  <c r="N18" i="140"/>
  <c r="P13" i="140"/>
  <c r="E21" i="140"/>
  <c r="O15" i="140"/>
  <c r="J20" i="140"/>
  <c r="E15" i="140"/>
  <c r="K14" i="140"/>
  <c r="O21" i="140"/>
  <c r="F21" i="140"/>
  <c r="L20" i="140"/>
  <c r="E23" i="140"/>
  <c r="Q18" i="140"/>
  <c r="M14" i="140"/>
  <c r="R21" i="140"/>
  <c r="O17" i="140"/>
  <c r="K13" i="140"/>
  <c r="I21" i="140"/>
  <c r="F17" i="140"/>
  <c r="Q12" i="140"/>
  <c r="O20" i="140"/>
  <c r="L16" i="140"/>
  <c r="H12" i="140"/>
  <c r="F20" i="140"/>
  <c r="R15" i="140"/>
  <c r="P23" i="140"/>
  <c r="M19" i="140"/>
  <c r="I15" i="140"/>
  <c r="G23" i="140"/>
  <c r="K18" i="140"/>
  <c r="G14" i="140"/>
  <c r="E22" i="140"/>
  <c r="Q17" i="140"/>
  <c r="M13" i="140"/>
  <c r="R20" i="140"/>
  <c r="Q19" i="140"/>
  <c r="H19" i="140"/>
  <c r="Q22" i="140"/>
  <c r="H22" i="140"/>
  <c r="N21" i="140"/>
  <c r="G13" i="140"/>
  <c r="S19" i="140"/>
  <c r="G16" i="140"/>
  <c r="R22" i="140"/>
  <c r="I22" i="140"/>
  <c r="L17" i="140"/>
  <c r="R16" i="140"/>
  <c r="N23" i="140"/>
  <c r="G15" i="140"/>
  <c r="N15" i="140"/>
  <c r="J22" i="140"/>
  <c r="M17" i="140"/>
  <c r="O12" i="140"/>
  <c r="L19" i="140"/>
  <c r="N14" i="140"/>
  <c r="P18" i="140"/>
  <c r="G21" i="140"/>
  <c r="J16" i="140"/>
  <c r="F23" i="140"/>
  <c r="J13" i="140"/>
  <c r="S16" i="140"/>
  <c r="R18" i="140"/>
  <c r="J19" i="140"/>
  <c r="K16" i="140"/>
  <c r="F15" i="140"/>
  <c r="Q21" i="140"/>
  <c r="E17" i="140"/>
  <c r="G12" i="140"/>
  <c r="S18" i="140"/>
  <c r="F14" i="140"/>
  <c r="R13" i="140"/>
  <c r="M23" i="140"/>
  <c r="M22" i="140"/>
  <c r="P21" i="140"/>
  <c r="S13" i="140"/>
  <c r="S22" i="140"/>
  <c r="G18" i="140"/>
  <c r="I13" i="140"/>
  <c r="M20" i="140"/>
  <c r="H15" i="140"/>
  <c r="N20" i="140"/>
  <c r="R19" i="140"/>
  <c r="J18" i="140"/>
  <c r="K22" i="140"/>
  <c r="N17" i="140"/>
  <c r="P12" i="140"/>
  <c r="E20" i="140"/>
  <c r="O14" i="140"/>
  <c r="H18" i="140"/>
  <c r="Q15" i="140"/>
  <c r="L14" i="140"/>
  <c r="F12" i="140"/>
  <c r="H21" i="140"/>
  <c r="O23" i="140"/>
  <c r="BJ16" i="125"/>
  <c r="BJ11" i="123"/>
  <c r="BO11" i="159"/>
  <c r="T11" i="159"/>
  <c r="AJ11" i="159"/>
  <c r="AY11" i="159"/>
  <c r="F7" i="143"/>
  <c r="BJ15" i="125"/>
  <c r="AY15" i="159"/>
  <c r="AJ15" i="159"/>
  <c r="BO15" i="159"/>
  <c r="T15" i="159"/>
  <c r="AQ10" i="123"/>
  <c r="BE10" i="123"/>
  <c r="AC10" i="123"/>
  <c r="BJ18" i="125"/>
  <c r="T14" i="168"/>
  <c r="AJ14" i="168"/>
  <c r="BO14" i="168"/>
  <c r="AY14" i="168"/>
  <c r="K40" i="154"/>
  <c r="AA19" i="179"/>
  <c r="BF19" i="179"/>
  <c r="BR19" i="179"/>
  <c r="AM19" i="179"/>
  <c r="AA19" i="178"/>
  <c r="AM19" i="178"/>
  <c r="BR19" i="178"/>
  <c r="BF19" i="178"/>
  <c r="BJ9" i="125"/>
  <c r="AY18" i="168"/>
  <c r="AJ18" i="168"/>
  <c r="BO18" i="168"/>
  <c r="T18" i="168"/>
  <c r="AY19" i="168"/>
  <c r="AJ19" i="168"/>
  <c r="BO19" i="168"/>
  <c r="T19" i="168"/>
  <c r="F7" i="140"/>
  <c r="AK15" i="167"/>
  <c r="T15" i="167"/>
  <c r="AZ15" i="167"/>
  <c r="BP15" i="167"/>
  <c r="AA18" i="181"/>
  <c r="AM18" i="181"/>
  <c r="BR18" i="181"/>
  <c r="BF18" i="181"/>
  <c r="BU17" i="194"/>
  <c r="BB17" i="194"/>
  <c r="CG17" i="194"/>
  <c r="AP17" i="194"/>
  <c r="AK7" i="167"/>
  <c r="T7" i="167"/>
  <c r="AZ7" i="167"/>
  <c r="BP7" i="167"/>
  <c r="AA12" i="178"/>
  <c r="AM12" i="178"/>
  <c r="BR12" i="178"/>
  <c r="BF12" i="178"/>
  <c r="BR10" i="179"/>
  <c r="BF10" i="179"/>
  <c r="AM10" i="179"/>
  <c r="AA10" i="179"/>
  <c r="AC11" i="104"/>
  <c r="BE11" i="104"/>
  <c r="AQ11" i="104"/>
  <c r="BR18" i="178"/>
  <c r="AA18" i="178"/>
  <c r="BF18" i="178"/>
  <c r="AM18" i="178"/>
  <c r="C41" i="195"/>
  <c r="J7" i="195"/>
  <c r="H7" i="195"/>
  <c r="H41" i="195" s="1"/>
  <c r="F7" i="195"/>
  <c r="D41" i="195"/>
  <c r="AQ17" i="104"/>
  <c r="BE17" i="104"/>
  <c r="AC17" i="104"/>
  <c r="AH184" i="149"/>
  <c r="X177" i="149"/>
  <c r="X159" i="149"/>
  <c r="AD184" i="149"/>
  <c r="AE157" i="149"/>
  <c r="AC181" i="149"/>
  <c r="AE164" i="149"/>
  <c r="AH119" i="149"/>
  <c r="AD149" i="149"/>
  <c r="AH107" i="149"/>
  <c r="AJ131" i="149"/>
  <c r="AG156" i="149"/>
  <c r="AA111" i="149"/>
  <c r="Z110" i="149"/>
  <c r="AH73" i="149"/>
  <c r="V134" i="149"/>
  <c r="AF118" i="149"/>
  <c r="AI80" i="149"/>
  <c r="Y143" i="149"/>
  <c r="AB133" i="149"/>
  <c r="AH122" i="149"/>
  <c r="AB63" i="149"/>
  <c r="AJ60" i="149"/>
  <c r="AB101" i="149"/>
  <c r="W161" i="149"/>
  <c r="AG68" i="149"/>
  <c r="W82" i="149"/>
  <c r="Y106" i="149"/>
  <c r="Y69" i="149"/>
  <c r="AE74" i="149"/>
  <c r="V69" i="149"/>
  <c r="AF45" i="149"/>
  <c r="AA43" i="149"/>
  <c r="V49" i="149"/>
  <c r="Z40" i="149"/>
  <c r="AA188" i="149"/>
  <c r="AH180" i="149"/>
  <c r="X173" i="149"/>
  <c r="X155" i="149"/>
  <c r="AE178" i="149"/>
  <c r="W153" i="149"/>
  <c r="Z183" i="149"/>
  <c r="AD156" i="149"/>
  <c r="AH115" i="149"/>
  <c r="AA143" i="149"/>
  <c r="AH103" i="149"/>
  <c r="W127" i="149"/>
  <c r="AF148" i="149"/>
  <c r="AA107" i="149"/>
  <c r="AA104" i="149"/>
  <c r="AH69" i="149"/>
  <c r="AC126" i="149"/>
  <c r="AH110" i="149"/>
  <c r="AI76" i="149"/>
  <c r="AI135" i="149"/>
  <c r="AJ121" i="149"/>
  <c r="Y109" i="149"/>
  <c r="AJ57" i="149"/>
  <c r="AH154" i="149"/>
  <c r="X94" i="149"/>
  <c r="X126" i="149"/>
  <c r="X63" i="149"/>
  <c r="Z165" i="149"/>
  <c r="W92" i="149"/>
  <c r="AH58" i="149"/>
  <c r="Y62" i="149"/>
  <c r="W149" i="149"/>
  <c r="AC40" i="149"/>
  <c r="Y30" i="149"/>
  <c r="V45" i="149"/>
  <c r="AD35" i="149"/>
  <c r="AA184" i="149"/>
  <c r="AH176" i="149"/>
  <c r="X169" i="149"/>
  <c r="X151" i="149"/>
  <c r="X170" i="149"/>
  <c r="Z149" i="149"/>
  <c r="AG171" i="149"/>
  <c r="AH148" i="149"/>
  <c r="AG180" i="149"/>
  <c r="AB137" i="149"/>
  <c r="AH99" i="149"/>
  <c r="AG122" i="149"/>
  <c r="AJ142" i="149"/>
  <c r="AH161" i="149"/>
  <c r="AH97" i="149"/>
  <c r="AH65" i="149"/>
  <c r="V119" i="149"/>
  <c r="AG104" i="149"/>
  <c r="AI72" i="149"/>
  <c r="AC115" i="149"/>
  <c r="X110" i="149"/>
  <c r="AA100" i="149"/>
  <c r="V99" i="149"/>
  <c r="V128" i="149"/>
  <c r="AJ87" i="149"/>
  <c r="AB107" i="149"/>
  <c r="AF57" i="149"/>
  <c r="Z116" i="149"/>
  <c r="W80" i="149"/>
  <c r="Y127" i="149"/>
  <c r="AC114" i="149"/>
  <c r="V153" i="149"/>
  <c r="AG35" i="149"/>
  <c r="AE51" i="149"/>
  <c r="W41" i="149"/>
  <c r="AA180" i="149"/>
  <c r="AH172" i="149"/>
  <c r="X188" i="149"/>
  <c r="X147" i="149"/>
  <c r="Y164" i="149"/>
  <c r="AD143" i="149"/>
  <c r="AE162" i="149"/>
  <c r="AC142" i="149"/>
  <c r="AB171" i="149"/>
  <c r="V132" i="149"/>
  <c r="Z173" i="149"/>
  <c r="AI118" i="149"/>
  <c r="W138" i="149"/>
  <c r="W150" i="149"/>
  <c r="AH93" i="149"/>
  <c r="AH61" i="149"/>
  <c r="Y173" i="149"/>
  <c r="AI100" i="149"/>
  <c r="AI68" i="149"/>
  <c r="X106" i="149"/>
  <c r="AI102" i="149"/>
  <c r="AD93" i="149"/>
  <c r="AJ91" i="149"/>
  <c r="V113" i="149"/>
  <c r="AG81" i="149"/>
  <c r="AF99" i="149"/>
  <c r="AJ109" i="149"/>
  <c r="AD97" i="149"/>
  <c r="AF69" i="149"/>
  <c r="AB95" i="149"/>
  <c r="AJ96" i="149"/>
  <c r="X72" i="149"/>
  <c r="AH31" i="149"/>
  <c r="W47" i="149"/>
  <c r="AA37" i="149"/>
  <c r="AA176" i="149"/>
  <c r="Y182" i="149"/>
  <c r="AG158" i="149"/>
  <c r="AF156" i="149"/>
  <c r="AA163" i="149"/>
  <c r="AD158" i="149"/>
  <c r="W132" i="149"/>
  <c r="AH89" i="149"/>
  <c r="AA152" i="149"/>
  <c r="AI64" i="149"/>
  <c r="AH164" i="149"/>
  <c r="AC85" i="149"/>
  <c r="X76" i="149"/>
  <c r="AB92" i="149"/>
  <c r="AA57" i="149"/>
  <c r="Y80" i="149"/>
  <c r="AE45" i="149"/>
  <c r="AH32" i="149"/>
  <c r="AE48" i="149"/>
  <c r="V42" i="149"/>
  <c r="W52" i="149"/>
  <c r="X23" i="149"/>
  <c r="AA23" i="149"/>
  <c r="W17" i="149"/>
  <c r="AC165" i="149"/>
  <c r="AD151" i="149"/>
  <c r="W143" i="149"/>
  <c r="AE69" i="149"/>
  <c r="AF75" i="149"/>
  <c r="AB131" i="149"/>
  <c r="Y95" i="149"/>
  <c r="AF29" i="149"/>
  <c r="AI18" i="149"/>
  <c r="X182" i="149"/>
  <c r="Z164" i="149"/>
  <c r="AF115" i="149"/>
  <c r="W93" i="149"/>
  <c r="AC58" i="149"/>
  <c r="AI104" i="149"/>
  <c r="Z88" i="149"/>
  <c r="AD52" i="149"/>
  <c r="V15" i="149"/>
  <c r="Z184" i="149"/>
  <c r="AJ176" i="149"/>
  <c r="AJ158" i="149"/>
  <c r="AG183" i="149"/>
  <c r="AE156" i="149"/>
  <c r="Y179" i="149"/>
  <c r="AD163" i="149"/>
  <c r="Z119" i="149"/>
  <c r="AE148" i="149"/>
  <c r="Z107" i="149"/>
  <c r="Y131" i="149"/>
  <c r="AD155" i="149"/>
  <c r="AE110" i="149"/>
  <c r="AC109" i="149"/>
  <c r="Z73" i="149"/>
  <c r="AG133" i="149"/>
  <c r="AC117" i="149"/>
  <c r="AA80" i="149"/>
  <c r="W142" i="149"/>
  <c r="AE132" i="149"/>
  <c r="AE121" i="149"/>
  <c r="AH62" i="149"/>
  <c r="AF59" i="149"/>
  <c r="X100" i="149"/>
  <c r="AE158" i="149"/>
  <c r="W68" i="149"/>
  <c r="AG181" i="149"/>
  <c r="AG101" i="149"/>
  <c r="AF68" i="149"/>
  <c r="W72" i="149"/>
  <c r="AA59" i="149"/>
  <c r="X45" i="149"/>
  <c r="W42" i="149"/>
  <c r="AH48" i="149"/>
  <c r="AF39" i="149"/>
  <c r="AG33" i="149"/>
  <c r="AE33" i="149"/>
  <c r="AJ28" i="149"/>
  <c r="AI22" i="149"/>
  <c r="AJ18" i="149"/>
  <c r="AI15" i="149"/>
  <c r="AB170" i="149"/>
  <c r="V186" i="149"/>
  <c r="AD160" i="149"/>
  <c r="AD70" i="149"/>
  <c r="AG94" i="149"/>
  <c r="AF95" i="149"/>
  <c r="AB60" i="149"/>
  <c r="Z53" i="149"/>
  <c r="Z35" i="149"/>
  <c r="AF173" i="149"/>
  <c r="AB143" i="149"/>
  <c r="AG132" i="149"/>
  <c r="W105" i="149"/>
  <c r="X70" i="149"/>
  <c r="AC70" i="149"/>
  <c r="AG61" i="149"/>
  <c r="AB35" i="149"/>
  <c r="AJ19" i="149"/>
  <c r="AD187" i="149"/>
  <c r="AB180" i="149"/>
  <c r="AB162" i="149"/>
  <c r="AC190" i="149"/>
  <c r="Z161" i="149"/>
  <c r="W190" i="149"/>
  <c r="AG173" i="149"/>
  <c r="AD122" i="149"/>
  <c r="AC155" i="149"/>
  <c r="AD110" i="149"/>
  <c r="AE136" i="149"/>
  <c r="V164" i="149"/>
  <c r="X114" i="149"/>
  <c r="AH116" i="149"/>
  <c r="AD76" i="149"/>
  <c r="Z141" i="149"/>
  <c r="X124" i="149"/>
  <c r="AE83" i="149"/>
  <c r="AC152" i="149"/>
  <c r="Z147" i="149"/>
  <c r="AA137" i="149"/>
  <c r="AG67" i="149"/>
  <c r="X65" i="149"/>
  <c r="X108" i="149"/>
  <c r="V57" i="149"/>
  <c r="AF73" i="149"/>
  <c r="AI85" i="149"/>
  <c r="AG125" i="149"/>
  <c r="AC78" i="149"/>
  <c r="AI83" i="149"/>
  <c r="AG113" i="149"/>
  <c r="AJ48" i="149"/>
  <c r="AH49" i="149"/>
  <c r="Z52" i="149"/>
  <c r="V43" i="149"/>
  <c r="AD39" i="149"/>
  <c r="V37" i="149"/>
  <c r="AF40" i="149"/>
  <c r="Z26" i="149"/>
  <c r="AB20" i="149"/>
  <c r="AE16" i="149"/>
  <c r="AB182" i="149"/>
  <c r="Y184" i="149"/>
  <c r="AH181" i="149"/>
  <c r="AD74" i="149"/>
  <c r="X89" i="149"/>
  <c r="Y104" i="149"/>
  <c r="AG72" i="149"/>
  <c r="Z34" i="149"/>
  <c r="AF30" i="149"/>
  <c r="AI188" i="149"/>
  <c r="AF163" i="149"/>
  <c r="W137" i="149"/>
  <c r="AI126" i="149"/>
  <c r="Y101" i="149"/>
  <c r="AG75" i="149"/>
  <c r="AH82" i="149"/>
  <c r="W96" i="149"/>
  <c r="AF42" i="149"/>
  <c r="X17" i="149"/>
  <c r="AI166" i="149"/>
  <c r="AF183" i="149"/>
  <c r="AF165" i="149"/>
  <c r="W172" i="149"/>
  <c r="AC166" i="149"/>
  <c r="Z130" i="149"/>
  <c r="AI185" i="149"/>
  <c r="V126" i="149"/>
  <c r="AB165" i="149"/>
  <c r="W114" i="149"/>
  <c r="AA141" i="149"/>
  <c r="Z179" i="149"/>
  <c r="AE117" i="149"/>
  <c r="Z122" i="149"/>
  <c r="V80" i="149"/>
  <c r="V150" i="149"/>
  <c r="AH131" i="149"/>
  <c r="W87" i="149"/>
  <c r="AJ179" i="149"/>
  <c r="W162" i="149"/>
  <c r="AG124" i="149"/>
  <c r="Y73" i="149"/>
  <c r="AG70" i="149"/>
  <c r="AB126" i="149"/>
  <c r="AF62" i="149"/>
  <c r="AE78" i="149"/>
  <c r="Z64" i="149"/>
  <c r="AH56" i="149"/>
  <c r="AA89" i="149"/>
  <c r="AB94" i="149"/>
  <c r="AB88" i="149"/>
  <c r="AB52" i="149"/>
  <c r="AH55" i="149"/>
  <c r="AD55" i="149"/>
  <c r="AC47" i="149"/>
  <c r="AA47" i="149"/>
  <c r="AD40" i="149"/>
  <c r="AA49" i="149"/>
  <c r="AH21" i="149"/>
  <c r="AC21" i="149"/>
  <c r="Z16" i="149"/>
  <c r="V170" i="149"/>
  <c r="Z156" i="149"/>
  <c r="Y113" i="149"/>
  <c r="X101" i="149"/>
  <c r="AJ151" i="149"/>
  <c r="Z29" i="149"/>
  <c r="Y28" i="149"/>
  <c r="AF181" i="149"/>
  <c r="AB185" i="149"/>
  <c r="AC132" i="149"/>
  <c r="Z157" i="149"/>
  <c r="AE103" i="149"/>
  <c r="Y71" i="149"/>
  <c r="X96" i="149"/>
  <c r="AD53" i="149"/>
  <c r="X25" i="149"/>
  <c r="AA178" i="149"/>
  <c r="AH170" i="149"/>
  <c r="AG184" i="149"/>
  <c r="X145" i="149"/>
  <c r="AC161" i="149"/>
  <c r="AD141" i="149"/>
  <c r="AD159" i="149"/>
  <c r="AE138" i="149"/>
  <c r="AC167" i="149"/>
  <c r="W129" i="149"/>
  <c r="AF164" i="149"/>
  <c r="AJ116" i="149"/>
  <c r="W135" i="149"/>
  <c r="V145" i="149"/>
  <c r="AH91" i="149"/>
  <c r="AH59" i="149"/>
  <c r="X162" i="149"/>
  <c r="AJ98" i="149"/>
  <c r="AI66" i="149"/>
  <c r="V103" i="149"/>
  <c r="AG99" i="149"/>
  <c r="AF89" i="149"/>
  <c r="W88" i="149"/>
  <c r="AF107" i="149"/>
  <c r="Y79" i="149"/>
  <c r="Z96" i="149"/>
  <c r="AE99" i="149"/>
  <c r="AF90" i="149"/>
  <c r="AC63" i="149"/>
  <c r="X85" i="149"/>
  <c r="AG90" i="149"/>
  <c r="Y115" i="149"/>
  <c r="AJ29" i="149"/>
  <c r="AB55" i="149"/>
  <c r="W35" i="149"/>
  <c r="AJ45" i="149"/>
  <c r="AC54" i="149"/>
  <c r="AA29" i="149"/>
  <c r="AI21" i="149"/>
  <c r="Y24" i="149"/>
  <c r="AC18" i="149"/>
  <c r="AD185" i="149"/>
  <c r="AF172" i="149"/>
  <c r="AD100" i="149"/>
  <c r="X88" i="149"/>
  <c r="Z50" i="149"/>
  <c r="AI149" i="149"/>
  <c r="Y119" i="149"/>
  <c r="AC145" i="149"/>
  <c r="Y41" i="149"/>
  <c r="AE181" i="149"/>
  <c r="Z174" i="149"/>
  <c r="AJ166" i="149"/>
  <c r="AJ148" i="149"/>
  <c r="Y166" i="149"/>
  <c r="AA146" i="149"/>
  <c r="AC164" i="149"/>
  <c r="W145" i="149"/>
  <c r="X174" i="149"/>
  <c r="AJ133" i="149"/>
  <c r="AH185" i="149"/>
  <c r="Y120" i="149"/>
  <c r="AJ139" i="149"/>
  <c r="AI156" i="149"/>
  <c r="Z95" i="149"/>
  <c r="Z63" i="149"/>
  <c r="AC182" i="149"/>
  <c r="Y102" i="149"/>
  <c r="AA70" i="149"/>
  <c r="AB110" i="149"/>
  <c r="X105" i="149"/>
  <c r="AI95" i="149"/>
  <c r="Y94" i="149"/>
  <c r="X119" i="149"/>
  <c r="X84" i="149"/>
  <c r="AE102" i="149"/>
  <c r="AI116" i="149"/>
  <c r="AF100" i="149"/>
  <c r="AA73" i="149"/>
  <c r="AD103" i="149"/>
  <c r="AH100" i="149"/>
  <c r="AG58" i="149"/>
  <c r="V33" i="149"/>
  <c r="AI48" i="149"/>
  <c r="AD38" i="149"/>
  <c r="AF54" i="149"/>
  <c r="Z38" i="149"/>
  <c r="AI32" i="149"/>
  <c r="AB26" i="149"/>
  <c r="AJ27" i="149"/>
  <c r="AH19" i="149"/>
  <c r="AB152" i="149"/>
  <c r="AD94" i="149"/>
  <c r="AF111" i="149"/>
  <c r="X30" i="149"/>
  <c r="AA172" i="149"/>
  <c r="AF174" i="149"/>
  <c r="AI181" i="149"/>
  <c r="AH152" i="149"/>
  <c r="AE184" i="149"/>
  <c r="X150" i="149"/>
  <c r="Z126" i="149"/>
  <c r="AH85" i="149"/>
  <c r="AB142" i="149"/>
  <c r="AI60" i="149"/>
  <c r="Z144" i="149"/>
  <c r="AA79" i="149"/>
  <c r="AF70" i="149"/>
  <c r="Z80" i="149"/>
  <c r="AI115" i="149"/>
  <c r="AI69" i="149"/>
  <c r="W38" i="149"/>
  <c r="AG54" i="149"/>
  <c r="AB41" i="149"/>
  <c r="Y38" i="149"/>
  <c r="X42" i="149"/>
  <c r="V27" i="149"/>
  <c r="V21" i="149"/>
  <c r="AI17" i="149"/>
  <c r="Y150" i="149"/>
  <c r="AJ127" i="149"/>
  <c r="AH112" i="149"/>
  <c r="AA145" i="149"/>
  <c r="W174" i="149"/>
  <c r="Z86" i="149"/>
  <c r="AJ50" i="149"/>
  <c r="Z45" i="149"/>
  <c r="AH15" i="149"/>
  <c r="AI171" i="149"/>
  <c r="AE150" i="149"/>
  <c r="AG142" i="149"/>
  <c r="W73" i="149"/>
  <c r="AI73" i="149"/>
  <c r="AG85" i="149"/>
  <c r="AA36" i="149"/>
  <c r="AD42" i="149"/>
  <c r="AE187" i="149"/>
  <c r="Z180" i="149"/>
  <c r="AJ172" i="149"/>
  <c r="AJ154" i="149"/>
  <c r="AH177" i="149"/>
  <c r="AG152" i="149"/>
  <c r="AE182" i="149"/>
  <c r="AI155" i="149"/>
  <c r="Z115" i="149"/>
  <c r="AI142" i="149"/>
  <c r="Z103" i="149"/>
  <c r="AE126" i="149"/>
  <c r="AI147" i="149"/>
  <c r="AG189" i="149"/>
  <c r="AB103" i="149"/>
  <c r="Z69" i="149"/>
  <c r="AC125" i="149"/>
  <c r="X109" i="149"/>
  <c r="AA76" i="149"/>
  <c r="AF134" i="149"/>
  <c r="AA119" i="149"/>
  <c r="AC108" i="149"/>
  <c r="Y57" i="149"/>
  <c r="AG150" i="149"/>
  <c r="AA93" i="149"/>
  <c r="AE123" i="149"/>
  <c r="AE62" i="149"/>
  <c r="AB155" i="149"/>
  <c r="AA91" i="149"/>
  <c r="Z56" i="149"/>
  <c r="AF61" i="149"/>
  <c r="V85" i="149"/>
  <c r="AI39" i="149"/>
  <c r="AE55" i="149"/>
  <c r="AI44" i="149"/>
  <c r="V35" i="149"/>
  <c r="AD50" i="149"/>
  <c r="AA50" i="149"/>
  <c r="V24" i="149"/>
  <c r="Y26" i="149"/>
  <c r="Y20" i="149"/>
  <c r="AF15" i="149"/>
  <c r="AG168" i="149"/>
  <c r="AF178" i="149"/>
  <c r="Z145" i="149"/>
  <c r="W158" i="149"/>
  <c r="AB104" i="149"/>
  <c r="AJ71" i="149"/>
  <c r="Y85" i="149"/>
  <c r="AA48" i="149"/>
  <c r="X29" i="149"/>
  <c r="AF147" i="149"/>
  <c r="V116" i="149"/>
  <c r="AI111" i="149"/>
  <c r="W81" i="149"/>
  <c r="W86" i="149"/>
  <c r="Z181" i="149"/>
  <c r="AB50" i="149"/>
  <c r="AC36" i="149"/>
  <c r="AE17" i="149"/>
  <c r="AD183" i="149"/>
  <c r="AB176" i="149"/>
  <c r="AB158" i="149"/>
  <c r="AG182" i="149"/>
  <c r="V156" i="149"/>
  <c r="AD178" i="149"/>
  <c r="AC162" i="149"/>
  <c r="AD118" i="149"/>
  <c r="AH147" i="149"/>
  <c r="AD106" i="149"/>
  <c r="AF130" i="149"/>
  <c r="AE154" i="149"/>
  <c r="W110" i="149"/>
  <c r="AF108" i="149"/>
  <c r="AD72" i="149"/>
  <c r="AB132" i="149"/>
  <c r="AB116" i="149"/>
  <c r="AE79" i="149"/>
  <c r="Y141" i="149"/>
  <c r="AF131" i="149"/>
  <c r="AE120" i="149"/>
  <c r="X62" i="149"/>
  <c r="AB58" i="149"/>
  <c r="AI99" i="149"/>
  <c r="AA154" i="149"/>
  <c r="AC67" i="149"/>
  <c r="X160" i="149"/>
  <c r="AB100" i="149"/>
  <c r="X66" i="149"/>
  <c r="AC71" i="149"/>
  <c r="Y56" i="149"/>
  <c r="AC44" i="149"/>
  <c r="AI41" i="149"/>
  <c r="Z48" i="149"/>
  <c r="X39" i="149"/>
  <c r="Y33" i="149"/>
  <c r="W33" i="149"/>
  <c r="AB28" i="149"/>
  <c r="AA22" i="149"/>
  <c r="AB18" i="149"/>
  <c r="Y17" i="149"/>
  <c r="AJ183" i="149"/>
  <c r="AH153" i="149"/>
  <c r="AF139" i="149"/>
  <c r="AI169" i="149"/>
  <c r="AJ112" i="149"/>
  <c r="AB77" i="149"/>
  <c r="Z72" i="149"/>
  <c r="AI52" i="149"/>
  <c r="AB45" i="149"/>
  <c r="AI168" i="149"/>
  <c r="AE190" i="149"/>
  <c r="V120" i="149"/>
  <c r="AI107" i="149"/>
  <c r="W85" i="149"/>
  <c r="AF92" i="149"/>
  <c r="AG118" i="149"/>
  <c r="AB54" i="149"/>
  <c r="AC52" i="149"/>
  <c r="AJ16" i="149"/>
  <c r="V187" i="149"/>
  <c r="AF179" i="149"/>
  <c r="AF161" i="149"/>
  <c r="AC189" i="149"/>
  <c r="AF160" i="149"/>
  <c r="AB189" i="149"/>
  <c r="AG172" i="149"/>
  <c r="V122" i="149"/>
  <c r="AD154" i="149"/>
  <c r="V110" i="149"/>
  <c r="AB135" i="149"/>
  <c r="AE163" i="149"/>
  <c r="AI113" i="149"/>
  <c r="AG115" i="149"/>
  <c r="V76" i="149"/>
  <c r="V140" i="149"/>
  <c r="V123" i="149"/>
  <c r="W83" i="149"/>
  <c r="V151" i="149"/>
  <c r="W139" i="149"/>
  <c r="AA134" i="149"/>
  <c r="V67" i="149"/>
  <c r="AE64" i="149"/>
  <c r="AD107" i="149"/>
  <c r="AC56" i="149"/>
  <c r="AB72" i="149"/>
  <c r="AA67" i="149"/>
  <c r="AF120" i="149"/>
  <c r="AJ77" i="149"/>
  <c r="AA81" i="149"/>
  <c r="X102" i="149"/>
  <c r="AB48" i="149"/>
  <c r="AD48" i="149"/>
  <c r="AD51" i="149"/>
  <c r="AH42" i="149"/>
  <c r="AA38" i="149"/>
  <c r="AJ36" i="149"/>
  <c r="V39" i="149"/>
  <c r="AD25" i="149"/>
  <c r="AF19" i="149"/>
  <c r="W16" i="149"/>
  <c r="Z139" i="149"/>
  <c r="AC112" i="149"/>
  <c r="Z76" i="149"/>
  <c r="W76" i="149"/>
  <c r="AC57" i="149"/>
  <c r="AG32" i="149"/>
  <c r="Y22" i="149"/>
  <c r="AI189" i="149"/>
  <c r="Y153" i="149"/>
  <c r="AA110" i="149"/>
  <c r="AJ119" i="149"/>
  <c r="AF125" i="149"/>
  <c r="AG110" i="149"/>
  <c r="AI105" i="149"/>
  <c r="AI37" i="149"/>
  <c r="AD27" i="149"/>
  <c r="AA174" i="149"/>
  <c r="AH166" i="149"/>
  <c r="W178" i="149"/>
  <c r="AC185" i="149"/>
  <c r="Y188" i="149"/>
  <c r="AD137" i="149"/>
  <c r="AG154" i="149"/>
  <c r="AG134" i="149"/>
  <c r="Y159" i="149"/>
  <c r="AI124" i="149"/>
  <c r="Y154" i="149"/>
  <c r="AE111" i="149"/>
  <c r="X129" i="149"/>
  <c r="X137" i="149"/>
  <c r="AH87" i="149"/>
  <c r="AC180" i="149"/>
  <c r="X146" i="149"/>
  <c r="AI94" i="149"/>
  <c r="AI62" i="149"/>
  <c r="AE96" i="149"/>
  <c r="AB151" i="149"/>
  <c r="AG83" i="149"/>
  <c r="AB82" i="149"/>
  <c r="AC178" i="149"/>
  <c r="V73" i="149"/>
  <c r="AB89" i="149"/>
  <c r="AC86" i="149"/>
  <c r="V77" i="149"/>
  <c r="V158" i="149"/>
  <c r="AC65" i="149"/>
  <c r="W74" i="149"/>
  <c r="AJ108" i="149"/>
  <c r="AJ42" i="149"/>
  <c r="Y40" i="149"/>
  <c r="AC30" i="149"/>
  <c r="AI30" i="149"/>
  <c r="Y49" i="149"/>
  <c r="AB49" i="149"/>
  <c r="AD21" i="149"/>
  <c r="AB23" i="149"/>
  <c r="Y19" i="149"/>
  <c r="AD173" i="149"/>
  <c r="AJ173" i="149"/>
  <c r="AI110" i="149"/>
  <c r="AJ132" i="149"/>
  <c r="W50" i="149"/>
  <c r="AH183" i="149"/>
  <c r="AG138" i="149"/>
  <c r="AF64" i="149"/>
  <c r="V32" i="149"/>
  <c r="AE177" i="149"/>
  <c r="Z170" i="149"/>
  <c r="V184" i="149"/>
  <c r="AJ144" i="149"/>
  <c r="AG160" i="149"/>
  <c r="V141" i="149"/>
  <c r="Z158" i="149"/>
  <c r="V138" i="149"/>
  <c r="AF166" i="149"/>
  <c r="AD128" i="149"/>
  <c r="AF162" i="149"/>
  <c r="AA116" i="149"/>
  <c r="AD134" i="149"/>
  <c r="AF144" i="149"/>
  <c r="Z91" i="149"/>
  <c r="Z59" i="149"/>
  <c r="V161" i="149"/>
  <c r="AA98" i="149"/>
  <c r="AA66" i="149"/>
  <c r="Z102" i="149"/>
  <c r="AJ189" i="149"/>
  <c r="AJ88" i="149"/>
  <c r="AA87" i="149"/>
  <c r="Z104" i="149"/>
  <c r="AF78" i="149"/>
  <c r="AD95" i="149"/>
  <c r="AF98" i="149"/>
  <c r="AJ89" i="149"/>
  <c r="AJ62" i="149"/>
  <c r="AE84" i="149"/>
  <c r="AB86" i="149"/>
  <c r="AC103" i="149"/>
  <c r="AB29" i="149"/>
  <c r="AJ51" i="149"/>
  <c r="AC34" i="149"/>
  <c r="W39" i="149"/>
  <c r="AG53" i="149"/>
  <c r="AB30" i="149"/>
  <c r="AA21" i="149"/>
  <c r="AC23" i="149"/>
  <c r="Z20" i="149"/>
  <c r="AH163" i="149"/>
  <c r="W128" i="149"/>
  <c r="AC111" i="149"/>
  <c r="AE23" i="149"/>
  <c r="AA168" i="149"/>
  <c r="AJ167" i="149"/>
  <c r="AC171" i="149"/>
  <c r="AA148" i="149"/>
  <c r="AE172" i="149"/>
  <c r="AH143" i="149"/>
  <c r="AC120" i="149"/>
  <c r="AH81" i="149"/>
  <c r="AI134" i="149"/>
  <c r="AI56" i="149"/>
  <c r="AJ135" i="149"/>
  <c r="X73" i="149"/>
  <c r="AC64" i="149"/>
  <c r="AJ69" i="149"/>
  <c r="AF94" i="149"/>
  <c r="AD115" i="149"/>
  <c r="AC31" i="149"/>
  <c r="AC49" i="149"/>
  <c r="AH34" i="149"/>
  <c r="X34" i="149"/>
  <c r="V29" i="149"/>
  <c r="W23" i="149"/>
  <c r="W19" i="149"/>
  <c r="V16" i="149"/>
  <c r="AH128" i="149"/>
  <c r="AD104" i="149"/>
  <c r="AD82" i="149"/>
  <c r="AD101" i="149"/>
  <c r="AI141" i="149"/>
  <c r="AG96" i="149"/>
  <c r="W53" i="149"/>
  <c r="AB39" i="149"/>
  <c r="AI184" i="149"/>
  <c r="V172" i="149"/>
  <c r="AF132" i="149"/>
  <c r="X111" i="149"/>
  <c r="W57" i="149"/>
  <c r="AF129" i="149"/>
  <c r="AJ95" i="149"/>
  <c r="AE32" i="149"/>
  <c r="AE38" i="149"/>
  <c r="AE183" i="149"/>
  <c r="Z176" i="149"/>
  <c r="AJ168" i="149"/>
  <c r="AJ150" i="149"/>
  <c r="AA169" i="149"/>
  <c r="AI148" i="149"/>
  <c r="Z169" i="149"/>
  <c r="W148" i="149"/>
  <c r="AA179" i="149"/>
  <c r="AJ136" i="149"/>
  <c r="Z99" i="149"/>
  <c r="X122" i="149"/>
  <c r="Y142" i="149"/>
  <c r="AE160" i="149"/>
  <c r="Z97" i="149"/>
  <c r="Z65" i="149"/>
  <c r="AH118" i="149"/>
  <c r="X104" i="149"/>
  <c r="AA72" i="149"/>
  <c r="AJ114" i="149"/>
  <c r="AG109" i="149"/>
  <c r="W99" i="149"/>
  <c r="AI98" i="149"/>
  <c r="AG126" i="149"/>
  <c r="Y87" i="149"/>
  <c r="AF106" i="149"/>
  <c r="AB56" i="149"/>
  <c r="AA114" i="149"/>
  <c r="AC79" i="149"/>
  <c r="AH124" i="149"/>
  <c r="V111" i="149"/>
  <c r="X127" i="149"/>
  <c r="Y35" i="149"/>
  <c r="W51" i="149"/>
  <c r="AI40" i="149"/>
  <c r="W31" i="149"/>
  <c r="AE42" i="149"/>
  <c r="AH36" i="149"/>
  <c r="AA28" i="149"/>
  <c r="AF21" i="149"/>
  <c r="AI19" i="149"/>
  <c r="X15" i="149"/>
  <c r="AB160" i="149"/>
  <c r="AE144" i="149"/>
  <c r="AI119" i="149"/>
  <c r="AC177" i="149"/>
  <c r="AI159" i="149"/>
  <c r="AB111" i="149"/>
  <c r="AF170" i="149"/>
  <c r="W37" i="149"/>
  <c r="AJ21" i="149"/>
  <c r="AA185" i="149"/>
  <c r="AJ185" i="149"/>
  <c r="AF126" i="149"/>
  <c r="W65" i="149"/>
  <c r="Y68" i="149"/>
  <c r="V61" i="149"/>
  <c r="AB32" i="149"/>
  <c r="AG38" i="149"/>
  <c r="W187" i="149"/>
  <c r="AD179" i="149"/>
  <c r="AB172" i="149"/>
  <c r="AB154" i="149"/>
  <c r="W176" i="149"/>
  <c r="X152" i="149"/>
  <c r="X180" i="149"/>
  <c r="Z154" i="149"/>
  <c r="AD114" i="149"/>
  <c r="X142" i="149"/>
  <c r="AD102" i="149"/>
  <c r="AE125" i="149"/>
  <c r="W147" i="149"/>
  <c r="AG186" i="149"/>
  <c r="AB102" i="149"/>
  <c r="AD68" i="149"/>
  <c r="AB124" i="149"/>
  <c r="Z108" i="149"/>
  <c r="AE75" i="149"/>
  <c r="W125" i="149"/>
  <c r="AB118" i="149"/>
  <c r="AJ107" i="149"/>
  <c r="AF56" i="149"/>
  <c r="AD148" i="149"/>
  <c r="AE92" i="149"/>
  <c r="W122" i="149"/>
  <c r="AA61" i="149"/>
  <c r="AC151" i="149"/>
  <c r="AE90" i="149"/>
  <c r="V163" i="149"/>
  <c r="X59" i="149"/>
  <c r="Z78" i="149"/>
  <c r="AA39" i="149"/>
  <c r="W55" i="149"/>
  <c r="AA44" i="149"/>
  <c r="AJ34" i="149"/>
  <c r="Z49" i="149"/>
  <c r="W45" i="149"/>
  <c r="AH23" i="149"/>
  <c r="AC25" i="149"/>
  <c r="AC19" i="149"/>
  <c r="AD17" i="149"/>
  <c r="AB156" i="149"/>
  <c r="AC150" i="149"/>
  <c r="AB115" i="149"/>
  <c r="AJ120" i="149"/>
  <c r="AI138" i="149"/>
  <c r="Y138" i="149"/>
  <c r="AA102" i="149"/>
  <c r="Z54" i="149"/>
  <c r="AG25" i="149"/>
  <c r="V189" i="149"/>
  <c r="AF168" i="149"/>
  <c r="AD176" i="149"/>
  <c r="W134" i="149"/>
  <c r="W69" i="149"/>
  <c r="AC61" i="149"/>
  <c r="AJ137" i="149"/>
  <c r="AA46" i="149"/>
  <c r="AF34" i="149"/>
  <c r="AI190" i="149"/>
  <c r="V183" i="149"/>
  <c r="AF175" i="149"/>
  <c r="AF157" i="149"/>
  <c r="V182" i="149"/>
  <c r="AE155" i="149"/>
  <c r="AG190" i="149"/>
  <c r="AD161" i="149"/>
  <c r="V118" i="149"/>
  <c r="V147" i="149"/>
  <c r="V106" i="149"/>
  <c r="V130" i="149"/>
  <c r="AE153" i="149"/>
  <c r="AI109" i="149"/>
  <c r="AG107" i="149"/>
  <c r="V72" i="149"/>
  <c r="W131" i="149"/>
  <c r="AA115" i="149"/>
  <c r="W79" i="149"/>
  <c r="AA140" i="149"/>
  <c r="AE130" i="149"/>
  <c r="AB119" i="149"/>
  <c r="AD61" i="149"/>
  <c r="AI57" i="149"/>
  <c r="AH98" i="149"/>
  <c r="AA150" i="149"/>
  <c r="AJ66" i="149"/>
  <c r="AJ155" i="149"/>
  <c r="Y99" i="149"/>
  <c r="AD65" i="149"/>
  <c r="AJ70" i="149"/>
  <c r="W130" i="149"/>
  <c r="AG43" i="149"/>
  <c r="W40" i="149"/>
  <c r="AD47" i="149"/>
  <c r="AC38" i="149"/>
  <c r="W32" i="149"/>
  <c r="AC32" i="149"/>
  <c r="AG27" i="149"/>
  <c r="AG21" i="149"/>
  <c r="AH20" i="149"/>
  <c r="AC16" i="149"/>
  <c r="W108" i="149"/>
  <c r="AE93" i="149"/>
  <c r="AE101" i="149"/>
  <c r="AG97" i="149"/>
  <c r="Y124" i="149"/>
  <c r="AF44" i="149"/>
  <c r="AA20" i="149"/>
  <c r="V168" i="149"/>
  <c r="AE149" i="149"/>
  <c r="AG149" i="149"/>
  <c r="AE127" i="149"/>
  <c r="AB87" i="149"/>
  <c r="X87" i="149"/>
  <c r="AC116" i="149"/>
  <c r="AH44" i="149"/>
  <c r="AH27" i="149"/>
  <c r="AA170" i="149"/>
  <c r="X187" i="149"/>
  <c r="AD170" i="149"/>
  <c r="V178" i="149"/>
  <c r="AF176" i="149"/>
  <c r="AD133" i="149"/>
  <c r="AI150" i="149"/>
  <c r="AJ130" i="149"/>
  <c r="W186" i="149"/>
  <c r="AC119" i="149"/>
  <c r="AG146" i="149"/>
  <c r="AE107" i="149"/>
  <c r="AA124" i="149"/>
  <c r="AE129" i="149"/>
  <c r="AH83" i="149"/>
  <c r="AA160" i="149"/>
  <c r="X138" i="149"/>
  <c r="AI90" i="149"/>
  <c r="AI58" i="149"/>
  <c r="AB90" i="149"/>
  <c r="AE140" i="149"/>
  <c r="X78" i="149"/>
  <c r="AJ76" i="149"/>
  <c r="V148" i="149"/>
  <c r="AD67" i="149"/>
  <c r="AC83" i="149"/>
  <c r="X74" i="149"/>
  <c r="AF66" i="149"/>
  <c r="AC102" i="149"/>
  <c r="Y117" i="149"/>
  <c r="AE60" i="149"/>
  <c r="AF55" i="149"/>
  <c r="AJ43" i="149"/>
  <c r="Z55" i="149"/>
  <c r="Y52" i="149"/>
  <c r="AE52" i="149"/>
  <c r="V44" i="149"/>
  <c r="AE36" i="149"/>
  <c r="W25" i="149"/>
  <c r="Z25" i="149"/>
  <c r="AA15" i="149"/>
  <c r="AB186" i="149"/>
  <c r="AB145" i="149"/>
  <c r="W116" i="149"/>
  <c r="AC172" i="149"/>
  <c r="Y29" i="149"/>
  <c r="AG177" i="149"/>
  <c r="AI162" i="149"/>
  <c r="W98" i="149"/>
  <c r="AI49" i="149"/>
  <c r="AE173" i="149"/>
  <c r="AJ190" i="149"/>
  <c r="Z177" i="149"/>
  <c r="AF184" i="149"/>
  <c r="AG187" i="149"/>
  <c r="V137" i="149"/>
  <c r="X154" i="149"/>
  <c r="X134" i="149"/>
  <c r="Y190" i="149"/>
  <c r="Z124" i="149"/>
  <c r="Z153" i="149"/>
  <c r="W111" i="149"/>
  <c r="AE128" i="149"/>
  <c r="AI136" i="149"/>
  <c r="Z87" i="149"/>
  <c r="AJ175" i="149"/>
  <c r="AI145" i="149"/>
  <c r="AA94" i="149"/>
  <c r="AA62" i="149"/>
  <c r="AA95" i="149"/>
  <c r="AG147" i="149"/>
  <c r="V83" i="149"/>
  <c r="AI81" i="149"/>
  <c r="AB173" i="149"/>
  <c r="AC72" i="149"/>
  <c r="AF88" i="149"/>
  <c r="AJ85" i="149"/>
  <c r="AC76" i="149"/>
  <c r="AE133" i="149"/>
  <c r="AB62" i="149"/>
  <c r="AC73" i="149"/>
  <c r="AF58" i="149"/>
  <c r="X41" i="149"/>
  <c r="AE39" i="149"/>
  <c r="AH29" i="149"/>
  <c r="AA30" i="149"/>
  <c r="AC48" i="149"/>
  <c r="X46" i="149"/>
  <c r="AH28" i="149"/>
  <c r="AF22" i="149"/>
  <c r="V18" i="149"/>
  <c r="AD174" i="149"/>
  <c r="AE85" i="149"/>
  <c r="W117" i="149"/>
  <c r="AE18" i="149"/>
  <c r="AH188" i="149"/>
  <c r="X163" i="149"/>
  <c r="AD162" i="149"/>
  <c r="AE176" i="149"/>
  <c r="AD157" i="149"/>
  <c r="AI137" i="149"/>
  <c r="W115" i="149"/>
  <c r="AH77" i="149"/>
  <c r="AA126" i="149"/>
  <c r="AJ157" i="149"/>
  <c r="AF143" i="149"/>
  <c r="AB66" i="149"/>
  <c r="Z58" i="149"/>
  <c r="AD57" i="149"/>
  <c r="AD81" i="149"/>
  <c r="AJ64" i="149"/>
  <c r="AH51" i="149"/>
  <c r="Z44" i="149"/>
  <c r="Z51" i="149"/>
  <c r="AC29" i="149"/>
  <c r="AD24" i="149"/>
  <c r="AG26" i="149"/>
  <c r="AG20" i="149"/>
  <c r="AI16" i="149"/>
  <c r="AG157" i="149"/>
  <c r="Z152" i="149"/>
  <c r="AD62" i="149"/>
  <c r="Z135" i="149"/>
  <c r="AC89" i="149"/>
  <c r="AC130" i="149"/>
  <c r="AH45" i="149"/>
  <c r="AA32" i="149"/>
  <c r="V177" i="149"/>
  <c r="AC144" i="149"/>
  <c r="AE116" i="149"/>
  <c r="V82" i="149"/>
  <c r="Y107" i="149"/>
  <c r="AF102" i="149"/>
  <c r="AC95" i="149"/>
  <c r="AA52" i="149"/>
  <c r="AB43" i="149"/>
  <c r="AE179" i="149"/>
  <c r="Z172" i="149"/>
  <c r="AA187" i="149"/>
  <c r="AJ146" i="149"/>
  <c r="AC163" i="149"/>
  <c r="V143" i="149"/>
  <c r="AA161" i="149"/>
  <c r="AC141" i="149"/>
  <c r="AE170" i="149"/>
  <c r="AC131" i="149"/>
  <c r="AB169" i="149"/>
  <c r="Z118" i="149"/>
  <c r="AC137" i="149"/>
  <c r="AC149" i="149"/>
  <c r="Z93" i="149"/>
  <c r="Z61" i="149"/>
  <c r="AI165" i="149"/>
  <c r="Z100" i="149"/>
  <c r="AA68" i="149"/>
  <c r="AB105" i="149"/>
  <c r="W102" i="149"/>
  <c r="AG92" i="149"/>
  <c r="Z90" i="149"/>
  <c r="AB112" i="149"/>
  <c r="V81" i="149"/>
  <c r="AG98" i="149"/>
  <c r="AE106" i="149"/>
  <c r="AH96" i="149"/>
  <c r="X67" i="149"/>
  <c r="AE94" i="149"/>
  <c r="V93" i="149"/>
  <c r="AG77" i="149"/>
  <c r="Z31" i="149"/>
  <c r="AI46" i="149"/>
  <c r="AG36" i="149"/>
  <c r="X48" i="149"/>
  <c r="Y34" i="149"/>
  <c r="AD30" i="149"/>
  <c r="AG23" i="149"/>
  <c r="AJ25" i="149"/>
  <c r="AC20" i="149"/>
  <c r="W185" i="149"/>
  <c r="Y177" i="149"/>
  <c r="AJ129" i="149"/>
  <c r="AF150" i="149"/>
  <c r="AI128" i="149"/>
  <c r="V95" i="149"/>
  <c r="Y82" i="149"/>
  <c r="AA65" i="149"/>
  <c r="V38" i="149"/>
  <c r="AB24" i="149"/>
  <c r="AD182" i="149"/>
  <c r="Z127" i="149"/>
  <c r="V90" i="149"/>
  <c r="V144" i="149"/>
  <c r="AJ138" i="149"/>
  <c r="Y70" i="149"/>
  <c r="AE44" i="149"/>
  <c r="X54" i="149"/>
  <c r="W183" i="149"/>
  <c r="AD175" i="149"/>
  <c r="AB168" i="149"/>
  <c r="AB150" i="149"/>
  <c r="AD168" i="149"/>
  <c r="Z148" i="149"/>
  <c r="AD166" i="149"/>
  <c r="AD147" i="149"/>
  <c r="Y178" i="149"/>
  <c r="Y136" i="149"/>
  <c r="AD98" i="149"/>
  <c r="AG121" i="149"/>
  <c r="AG141" i="149"/>
  <c r="AG159" i="149"/>
  <c r="AD96" i="149"/>
  <c r="AD64" i="149"/>
  <c r="AG117" i="149"/>
  <c r="AG103" i="149"/>
  <c r="AE71" i="149"/>
  <c r="AC113" i="149"/>
  <c r="AB108" i="149"/>
  <c r="X98" i="149"/>
  <c r="AA97" i="149"/>
  <c r="AE122" i="149"/>
  <c r="AF86" i="149"/>
  <c r="AC105" i="149"/>
  <c r="Y170" i="149"/>
  <c r="AD109" i="149"/>
  <c r="AJ78" i="149"/>
  <c r="AF117" i="149"/>
  <c r="AF109" i="149"/>
  <c r="Y110" i="149"/>
  <c r="AE34" i="149"/>
  <c r="AI50" i="149"/>
  <c r="AA40" i="149"/>
  <c r="AJ30" i="149"/>
  <c r="AE40" i="149"/>
  <c r="AF35" i="149"/>
  <c r="AF27" i="149"/>
  <c r="X21" i="149"/>
  <c r="AF18" i="149"/>
  <c r="W15" i="149"/>
  <c r="AI183" i="149"/>
  <c r="AD124" i="149"/>
  <c r="AE159" i="149"/>
  <c r="AC136" i="149"/>
  <c r="AJ102" i="149"/>
  <c r="AI87" i="149"/>
  <c r="AF77" i="149"/>
  <c r="AJ33" i="149"/>
  <c r="Z28" i="149"/>
  <c r="V185" i="149"/>
  <c r="AC159" i="149"/>
  <c r="AF138" i="149"/>
  <c r="V98" i="149"/>
  <c r="V159" i="149"/>
  <c r="AI161" i="149"/>
  <c r="AE82" i="149"/>
  <c r="AD32" i="149"/>
  <c r="AG44" i="149"/>
  <c r="AI186" i="149"/>
  <c r="V179" i="149"/>
  <c r="AF171" i="149"/>
  <c r="AF153" i="149"/>
  <c r="Z175" i="149"/>
  <c r="AH151" i="149"/>
  <c r="AI179" i="149"/>
  <c r="AC153" i="149"/>
  <c r="V114" i="149"/>
  <c r="AF141" i="149"/>
  <c r="V102" i="149"/>
  <c r="V125" i="149"/>
  <c r="AC146" i="149"/>
  <c r="AC183" i="149"/>
  <c r="AC101" i="149"/>
  <c r="V68" i="149"/>
  <c r="Y123" i="149"/>
  <c r="AC107" i="149"/>
  <c r="W75" i="149"/>
  <c r="AE124" i="149"/>
  <c r="X115" i="149"/>
  <c r="AG105" i="149"/>
  <c r="Y108" i="149"/>
  <c r="AE143" i="149"/>
  <c r="AI91" i="149"/>
  <c r="V121" i="149"/>
  <c r="AG60" i="149"/>
  <c r="AB147" i="149"/>
  <c r="AG89" i="149"/>
  <c r="AJ153" i="149"/>
  <c r="AE58" i="149"/>
  <c r="AB65" i="149"/>
  <c r="AF38" i="149"/>
  <c r="AI54" i="149"/>
  <c r="AE43" i="149"/>
  <c r="AB34" i="149"/>
  <c r="V48" i="149"/>
  <c r="AB42" i="149"/>
  <c r="Z23" i="149"/>
  <c r="AH24" i="149"/>
  <c r="AH18" i="149"/>
  <c r="AH16" i="149"/>
  <c r="AC135" i="149"/>
  <c r="AE73" i="149"/>
  <c r="X81" i="149"/>
  <c r="Y72" i="149"/>
  <c r="AJ46" i="149"/>
  <c r="AE37" i="149"/>
  <c r="AJ17" i="149"/>
  <c r="AF151" i="149"/>
  <c r="AA129" i="149"/>
  <c r="AC121" i="149"/>
  <c r="W97" i="149"/>
  <c r="Y100" i="149"/>
  <c r="Y58" i="149"/>
  <c r="X56" i="149"/>
  <c r="AG37" i="149"/>
  <c r="AA18" i="149"/>
  <c r="AH190" i="149"/>
  <c r="X183" i="149"/>
  <c r="X165" i="149"/>
  <c r="Z171" i="149"/>
  <c r="AE165" i="149"/>
  <c r="AD129" i="149"/>
  <c r="AC184" i="149"/>
  <c r="AH125" i="149"/>
  <c r="AB163" i="149"/>
  <c r="AH113" i="149"/>
  <c r="AI140" i="149"/>
  <c r="Y175" i="149"/>
  <c r="V117" i="149"/>
  <c r="Y121" i="149"/>
  <c r="AH79" i="149"/>
  <c r="AB149" i="149"/>
  <c r="AD130" i="149"/>
  <c r="AI86" i="149"/>
  <c r="V176" i="149"/>
  <c r="AI160" i="149"/>
  <c r="AI123" i="149"/>
  <c r="AF72" i="149"/>
  <c r="W70" i="149"/>
  <c r="AC122" i="149"/>
  <c r="AB61" i="149"/>
  <c r="AA77" i="149"/>
  <c r="AG63" i="149"/>
  <c r="Y165" i="149"/>
  <c r="AC88" i="149"/>
  <c r="AF93" i="149"/>
  <c r="AG74" i="149"/>
  <c r="AF51" i="149"/>
  <c r="V54" i="149"/>
  <c r="V55" i="149"/>
  <c r="AG46" i="149"/>
  <c r="W46" i="149"/>
  <c r="V40" i="149"/>
  <c r="AE46" i="149"/>
  <c r="Z21" i="149"/>
  <c r="W26" i="149"/>
  <c r="AE15" i="149"/>
  <c r="AB174" i="149"/>
  <c r="AH132" i="149"/>
  <c r="AA105" i="149"/>
  <c r="AB83" i="149"/>
  <c r="AA24" i="149"/>
  <c r="Y133" i="149"/>
  <c r="V94" i="149"/>
  <c r="AD59" i="149"/>
  <c r="AA53" i="149"/>
  <c r="AE169" i="149"/>
  <c r="AJ186" i="149"/>
  <c r="AG169" i="149"/>
  <c r="AJ177" i="149"/>
  <c r="Y174" i="149"/>
  <c r="V133" i="149"/>
  <c r="Z150" i="149"/>
  <c r="AA130" i="149"/>
  <c r="X184" i="149"/>
  <c r="AC118" i="149"/>
  <c r="V146" i="149"/>
  <c r="W107" i="149"/>
  <c r="AB123" i="149"/>
  <c r="X128" i="149"/>
  <c r="Z83" i="149"/>
  <c r="W159" i="149"/>
  <c r="AH137" i="149"/>
  <c r="AA90" i="149"/>
  <c r="AA58" i="149"/>
  <c r="AI89" i="149"/>
  <c r="AC139" i="149"/>
  <c r="AD77" i="149"/>
  <c r="Y76" i="149"/>
  <c r="AI146" i="149"/>
  <c r="Z66" i="149"/>
  <c r="AJ82" i="149"/>
  <c r="AD73" i="149"/>
  <c r="X64" i="149"/>
  <c r="W101" i="149"/>
  <c r="AD113" i="149"/>
  <c r="W58" i="149"/>
  <c r="X55" i="149"/>
  <c r="AJ35" i="149"/>
  <c r="AA41" i="149"/>
  <c r="AC51" i="149"/>
  <c r="AA51" i="149"/>
  <c r="AH43" i="149"/>
  <c r="V31" i="149"/>
  <c r="AJ24" i="149"/>
  <c r="AE24" i="149"/>
  <c r="AG17" i="149"/>
  <c r="AH133" i="149"/>
  <c r="X133" i="149"/>
  <c r="AI63" i="149"/>
  <c r="AH189" i="149"/>
  <c r="AF136" i="149"/>
  <c r="AE113" i="149"/>
  <c r="AH57" i="149"/>
  <c r="X99" i="149"/>
  <c r="X91" i="149"/>
  <c r="Y83" i="149"/>
  <c r="AI157" i="149"/>
  <c r="AE31" i="149"/>
  <c r="AB37" i="149"/>
  <c r="Z22" i="149"/>
  <c r="Y15" i="149"/>
  <c r="Y128" i="149"/>
  <c r="W170" i="149"/>
  <c r="AJ61" i="149"/>
  <c r="AF33" i="149"/>
  <c r="Z128" i="149"/>
  <c r="V66" i="149"/>
  <c r="AH76" i="149"/>
  <c r="AD49" i="149"/>
  <c r="AE175" i="149"/>
  <c r="AB181" i="149"/>
  <c r="Y158" i="149"/>
  <c r="W156" i="149"/>
  <c r="Z162" i="149"/>
  <c r="Y157" i="149"/>
  <c r="AE131" i="149"/>
  <c r="Z89" i="149"/>
  <c r="AG151" i="149"/>
  <c r="AA64" i="149"/>
  <c r="AH159" i="149"/>
  <c r="AJ84" i="149"/>
  <c r="AD75" i="149"/>
  <c r="AD91" i="149"/>
  <c r="AG56" i="149"/>
  <c r="AF79" i="149"/>
  <c r="AJ44" i="149"/>
  <c r="Z32" i="149"/>
  <c r="Y51" i="149"/>
  <c r="AA27" i="149"/>
  <c r="AE20" i="149"/>
  <c r="Y180" i="149"/>
  <c r="AB122" i="149"/>
  <c r="AH70" i="149"/>
  <c r="AJ72" i="149"/>
  <c r="AB27" i="149"/>
  <c r="V100" i="149"/>
  <c r="AG100" i="149"/>
  <c r="X82" i="149"/>
  <c r="AB21" i="149"/>
  <c r="AD171" i="149"/>
  <c r="AB146" i="149"/>
  <c r="AH142" i="149"/>
  <c r="AD140" i="149"/>
  <c r="Y130" i="149"/>
  <c r="AJ117" i="149"/>
  <c r="Y147" i="149"/>
  <c r="AD60" i="149"/>
  <c r="AJ99" i="149"/>
  <c r="AE104" i="149"/>
  <c r="Y91" i="149"/>
  <c r="AJ111" i="149"/>
  <c r="AJ97" i="149"/>
  <c r="X92" i="149"/>
  <c r="Y89" i="149"/>
  <c r="AH104" i="149"/>
  <c r="AB44" i="149"/>
  <c r="AB47" i="149"/>
  <c r="V30" i="149"/>
  <c r="AB25" i="149"/>
  <c r="W181" i="149"/>
  <c r="AA173" i="149"/>
  <c r="AI101" i="149"/>
  <c r="AJ58" i="149"/>
  <c r="V41" i="149"/>
  <c r="V173" i="149"/>
  <c r="V108" i="149"/>
  <c r="W94" i="149"/>
  <c r="AG71" i="149"/>
  <c r="Y25" i="149"/>
  <c r="V175" i="149"/>
  <c r="AF149" i="149"/>
  <c r="AJ147" i="149"/>
  <c r="Z146" i="149"/>
  <c r="AF135" i="149"/>
  <c r="X121" i="149"/>
  <c r="AA158" i="149"/>
  <c r="V64" i="149"/>
  <c r="X103" i="149"/>
  <c r="X112" i="149"/>
  <c r="AB97" i="149"/>
  <c r="AD121" i="149"/>
  <c r="W104" i="149"/>
  <c r="AB106" i="149"/>
  <c r="AJ113" i="149"/>
  <c r="AJ67" i="149"/>
  <c r="AE49" i="149"/>
  <c r="AG29" i="149"/>
  <c r="AD34" i="149"/>
  <c r="AE28" i="149"/>
  <c r="W173" i="149"/>
  <c r="X164" i="149"/>
  <c r="AJ75" i="149"/>
  <c r="Z43" i="149"/>
  <c r="Y176" i="149"/>
  <c r="AB153" i="149"/>
  <c r="AE80" i="149"/>
  <c r="AC84" i="149"/>
  <c r="Z17" i="149"/>
  <c r="X179" i="149"/>
  <c r="AF188" i="149"/>
  <c r="Y187" i="149"/>
  <c r="AH121" i="149"/>
  <c r="AH109" i="149"/>
  <c r="V162" i="149"/>
  <c r="AE114" i="149"/>
  <c r="AG139" i="149"/>
  <c r="AI82" i="149"/>
  <c r="Z137" i="149"/>
  <c r="AC66" i="149"/>
  <c r="AJ106" i="149"/>
  <c r="AI71" i="149"/>
  <c r="Y116" i="149"/>
  <c r="AG80" i="149"/>
  <c r="AF47" i="149"/>
  <c r="V51" i="149"/>
  <c r="X37" i="149"/>
  <c r="AI38" i="149"/>
  <c r="X19" i="149"/>
  <c r="AC176" i="149"/>
  <c r="AD58" i="149"/>
  <c r="X20" i="149"/>
  <c r="V62" i="149"/>
  <c r="AH22" i="149"/>
  <c r="AJ182" i="149"/>
  <c r="AC170" i="149"/>
  <c r="V129" i="149"/>
  <c r="Z125" i="149"/>
  <c r="Z113" i="149"/>
  <c r="Y171" i="149"/>
  <c r="X120" i="149"/>
  <c r="AG148" i="149"/>
  <c r="AA86" i="149"/>
  <c r="W157" i="149"/>
  <c r="AB71" i="149"/>
  <c r="AA121" i="149"/>
  <c r="AG76" i="149"/>
  <c r="AA155" i="149"/>
  <c r="AH92" i="149"/>
  <c r="X51" i="149"/>
  <c r="AH54" i="149"/>
  <c r="AI45" i="149"/>
  <c r="AA45" i="149"/>
  <c r="AA25" i="149"/>
  <c r="Z189" i="149"/>
  <c r="AI59" i="149"/>
  <c r="AA181" i="149"/>
  <c r="AI132" i="149"/>
  <c r="AE109" i="149"/>
  <c r="AI164" i="149"/>
  <c r="AC93" i="149"/>
  <c r="AF158" i="149"/>
  <c r="AH72" i="149"/>
  <c r="AD142" i="149"/>
  <c r="AF50" i="149"/>
  <c r="Y31" i="149"/>
  <c r="X26" i="149"/>
  <c r="W177" i="149"/>
  <c r="AI106" i="149"/>
  <c r="AJ126" i="149"/>
  <c r="Y88" i="149"/>
  <c r="AG22" i="149"/>
  <c r="V157" i="149"/>
  <c r="AA144" i="149"/>
  <c r="AF127" i="149"/>
  <c r="AB33" i="149"/>
  <c r="AE171" i="149"/>
  <c r="AI173" i="149"/>
  <c r="W180" i="149"/>
  <c r="Y152" i="149"/>
  <c r="AB183" i="149"/>
  <c r="Y149" i="149"/>
  <c r="AJ125" i="149"/>
  <c r="Z85" i="149"/>
  <c r="X141" i="149"/>
  <c r="AA60" i="149"/>
  <c r="Z143" i="149"/>
  <c r="AG78" i="149"/>
  <c r="AB69" i="149"/>
  <c r="AG79" i="149"/>
  <c r="AF110" i="149"/>
  <c r="AG66" i="149"/>
  <c r="AJ37" i="149"/>
  <c r="Y54" i="149"/>
  <c r="AG45" i="149"/>
  <c r="AI26" i="149"/>
  <c r="X16" i="149"/>
  <c r="Y160" i="149"/>
  <c r="V154" i="149"/>
  <c r="AB93" i="149"/>
  <c r="Y59" i="149"/>
  <c r="AF24" i="149"/>
  <c r="AB138" i="149"/>
  <c r="AF122" i="149"/>
  <c r="AA162" i="149"/>
  <c r="AE27" i="149"/>
  <c r="AD167" i="149"/>
  <c r="Z187" i="149"/>
  <c r="AH138" i="149"/>
  <c r="AG135" i="149"/>
  <c r="AI125" i="149"/>
  <c r="AI112" i="149"/>
  <c r="AH139" i="149"/>
  <c r="AD56" i="149"/>
  <c r="AE95" i="149"/>
  <c r="AI97" i="149"/>
  <c r="AD85" i="149"/>
  <c r="AF67" i="149"/>
  <c r="AJ90" i="149"/>
  <c r="X80" i="149"/>
  <c r="AA75" i="149"/>
  <c r="AH80" i="149"/>
  <c r="AC43" i="149"/>
  <c r="X32" i="149"/>
  <c r="AB51" i="149"/>
  <c r="AE26" i="149"/>
  <c r="AD189" i="149"/>
  <c r="AF182" i="149"/>
  <c r="AE81" i="149"/>
  <c r="AF60" i="149"/>
  <c r="AB38" i="149"/>
  <c r="AF189" i="149"/>
  <c r="AD144" i="149"/>
  <c r="AB134" i="149"/>
  <c r="AJ80" i="149"/>
  <c r="AF23" i="149"/>
  <c r="V171" i="149"/>
  <c r="AF145" i="149"/>
  <c r="Z142" i="149"/>
  <c r="AE139" i="149"/>
  <c r="AG129" i="149"/>
  <c r="AA117" i="149"/>
  <c r="AF146" i="149"/>
  <c r="V60" i="149"/>
  <c r="AA99" i="149"/>
  <c r="AI103" i="149"/>
  <c r="AC90" i="149"/>
  <c r="V109" i="149"/>
  <c r="V97" i="149"/>
  <c r="AB91" i="149"/>
  <c r="AF87" i="149"/>
  <c r="V136" i="149"/>
  <c r="V34" i="149"/>
  <c r="AF46" i="149"/>
  <c r="AI29" i="149"/>
  <c r="AG24" i="149"/>
  <c r="AJ149" i="149"/>
  <c r="AG108" i="149"/>
  <c r="X83" i="149"/>
  <c r="Z39" i="149"/>
  <c r="AB179" i="149"/>
  <c r="AJ118" i="149"/>
  <c r="X168" i="149"/>
  <c r="AB46" i="149"/>
  <c r="AA190" i="149"/>
  <c r="X175" i="149"/>
  <c r="AJ181" i="149"/>
  <c r="AC188" i="149"/>
  <c r="AH117" i="149"/>
  <c r="AH105" i="149"/>
  <c r="AE152" i="149"/>
  <c r="Z106" i="149"/>
  <c r="AG130" i="149"/>
  <c r="AI78" i="149"/>
  <c r="AI129" i="149"/>
  <c r="Z60" i="149"/>
  <c r="Y97" i="149"/>
  <c r="Y66" i="149"/>
  <c r="Y98" i="149"/>
  <c r="AB68" i="149"/>
  <c r="Y43" i="149"/>
  <c r="V47" i="149"/>
  <c r="AH30" i="149"/>
  <c r="Y27" i="149"/>
  <c r="AD19" i="149"/>
  <c r="AB164" i="149"/>
  <c r="AG120" i="149"/>
  <c r="AI176" i="149"/>
  <c r="AH155" i="149"/>
  <c r="AB17" i="149"/>
  <c r="AJ178" i="149"/>
  <c r="AI187" i="149"/>
  <c r="AF186" i="149"/>
  <c r="Z121" i="149"/>
  <c r="Z109" i="149"/>
  <c r="AE161" i="149"/>
  <c r="AF113" i="149"/>
  <c r="AA138" i="149"/>
  <c r="AA82" i="149"/>
  <c r="X136" i="149"/>
  <c r="AJ65" i="149"/>
  <c r="AD105" i="149"/>
  <c r="X71" i="149"/>
  <c r="Y114" i="149"/>
  <c r="Y78" i="149"/>
  <c r="X47" i="149"/>
  <c r="AH50" i="149"/>
  <c r="AD36" i="149"/>
  <c r="AF37" i="149"/>
  <c r="AI20" i="149"/>
  <c r="AD112" i="149"/>
  <c r="AI143" i="149"/>
  <c r="AB175" i="149"/>
  <c r="AB128" i="149"/>
  <c r="V190" i="149"/>
  <c r="AH156" i="149"/>
  <c r="AC187" i="149"/>
  <c r="AE135" i="149"/>
  <c r="AC60" i="149"/>
  <c r="AF53" i="149"/>
  <c r="AI34" i="149"/>
  <c r="AB53" i="149"/>
  <c r="V28" i="149"/>
  <c r="AF190" i="149"/>
  <c r="X144" i="149"/>
  <c r="AC82" i="149"/>
  <c r="AC98" i="149"/>
  <c r="X28" i="149"/>
  <c r="AA157" i="149"/>
  <c r="AG175" i="149"/>
  <c r="AF81" i="149"/>
  <c r="X36" i="149"/>
  <c r="AE167" i="149"/>
  <c r="Y167" i="149"/>
  <c r="Y169" i="149"/>
  <c r="X190" i="149"/>
  <c r="AA167" i="149"/>
  <c r="X143" i="149"/>
  <c r="AD119" i="149"/>
  <c r="Z81" i="149"/>
  <c r="AC133" i="149"/>
  <c r="AA56" i="149"/>
  <c r="W126" i="149"/>
  <c r="AE72" i="149"/>
  <c r="AJ63" i="149"/>
  <c r="AB67" i="149"/>
  <c r="AJ93" i="149"/>
  <c r="V101" i="149"/>
  <c r="Z30" i="149"/>
  <c r="AG48" i="149"/>
  <c r="AH41" i="149"/>
  <c r="AJ22" i="149"/>
  <c r="AA16" i="149"/>
  <c r="AI158" i="149"/>
  <c r="W119" i="149"/>
  <c r="AJ68" i="149"/>
  <c r="AJ54" i="149"/>
  <c r="Z19" i="149"/>
  <c r="AB114" i="149"/>
  <c r="Y145" i="149"/>
  <c r="AG64" i="149"/>
  <c r="AE21" i="149"/>
  <c r="AB188" i="149"/>
  <c r="AG179" i="149"/>
  <c r="AH134" i="149"/>
  <c r="AI131" i="149"/>
  <c r="AB121" i="149"/>
  <c r="AI108" i="149"/>
  <c r="X131" i="149"/>
  <c r="AH162" i="149"/>
  <c r="AE91" i="149"/>
  <c r="Y92" i="149"/>
  <c r="AB79" i="149"/>
  <c r="W152" i="149"/>
  <c r="AG84" i="149"/>
  <c r="AG69" i="149"/>
  <c r="AF121" i="149"/>
  <c r="X139" i="149"/>
  <c r="Z33" i="149"/>
  <c r="W54" i="149"/>
  <c r="AG40" i="149"/>
  <c r="V26" i="149"/>
  <c r="AD177" i="149"/>
  <c r="Z133" i="149"/>
  <c r="AE57" i="149"/>
  <c r="AB99" i="149"/>
  <c r="V36" i="149"/>
  <c r="AF177" i="149"/>
  <c r="W123" i="149"/>
  <c r="AG137" i="149"/>
  <c r="X75" i="149"/>
  <c r="AF26" i="149"/>
  <c r="V167" i="149"/>
  <c r="AC186" i="149"/>
  <c r="Z138" i="149"/>
  <c r="X135" i="149"/>
  <c r="Y125" i="149"/>
  <c r="AA112" i="149"/>
  <c r="AC138" i="149"/>
  <c r="V56" i="149"/>
  <c r="W95" i="149"/>
  <c r="X97" i="149"/>
  <c r="Z84" i="149"/>
  <c r="Y60" i="149"/>
  <c r="X90" i="149"/>
  <c r="AD79" i="149"/>
  <c r="X69" i="149"/>
  <c r="Z62" i="149"/>
  <c r="AG42" i="149"/>
  <c r="AD31" i="149"/>
  <c r="X50" i="149"/>
  <c r="X24" i="149"/>
  <c r="AJ123" i="149"/>
  <c r="AD123" i="149"/>
  <c r="Y96" i="149"/>
  <c r="X44" i="149"/>
  <c r="W163" i="149"/>
  <c r="V86" i="149"/>
  <c r="Z112" i="149"/>
  <c r="AH39" i="149"/>
  <c r="AA186" i="149"/>
  <c r="X171" i="149"/>
  <c r="AC174" i="149"/>
  <c r="AB177" i="149"/>
  <c r="AJ187" i="149"/>
  <c r="AH101" i="149"/>
  <c r="AE145" i="149"/>
  <c r="AC100" i="149"/>
  <c r="Y122" i="149"/>
  <c r="AI74" i="149"/>
  <c r="AH114" i="149"/>
  <c r="AE105" i="149"/>
  <c r="V91" i="149"/>
  <c r="W60" i="149"/>
  <c r="Y86" i="149"/>
  <c r="W56" i="149"/>
  <c r="X38" i="149"/>
  <c r="W43" i="149"/>
  <c r="AH47" i="149"/>
  <c r="AD22" i="149"/>
  <c r="Z18" i="149"/>
  <c r="AB148" i="149"/>
  <c r="AE65" i="149"/>
  <c r="AF159" i="149"/>
  <c r="W89" i="149"/>
  <c r="AE189" i="149"/>
  <c r="AJ174" i="149"/>
  <c r="Y181" i="149"/>
  <c r="AH187" i="149"/>
  <c r="Z117" i="149"/>
  <c r="Z105" i="149"/>
  <c r="AE151" i="149"/>
  <c r="AJ105" i="149"/>
  <c r="AB129" i="149"/>
  <c r="AA78" i="149"/>
  <c r="AG128" i="149"/>
  <c r="AG59" i="149"/>
  <c r="AB96" i="149"/>
  <c r="AF65" i="149"/>
  <c r="AC97" i="149"/>
  <c r="AI67" i="149"/>
  <c r="AC42" i="149"/>
  <c r="AH46" i="149"/>
  <c r="W29" i="149"/>
  <c r="AC26" i="149"/>
  <c r="V19" i="149"/>
  <c r="AF123" i="149"/>
  <c r="V52" i="149"/>
  <c r="AI167" i="149"/>
  <c r="AH123" i="149"/>
  <c r="X166" i="149"/>
  <c r="AJ143" i="149"/>
  <c r="V152" i="149"/>
  <c r="AD111" i="149"/>
  <c r="AE134" i="149"/>
  <c r="AF49" i="149"/>
  <c r="AA55" i="149"/>
  <c r="Y42" i="149"/>
  <c r="Z27" i="149"/>
  <c r="AB144" i="149"/>
  <c r="W112" i="149"/>
  <c r="V59" i="149"/>
  <c r="AB81" i="149"/>
  <c r="AC28" i="149"/>
  <c r="V124" i="149"/>
  <c r="AF119" i="149"/>
  <c r="X93" i="149"/>
  <c r="AI55" i="149"/>
  <c r="Z188" i="149"/>
  <c r="AJ162" i="149"/>
  <c r="AJ161" i="149"/>
  <c r="AH175" i="149"/>
  <c r="AC156" i="149"/>
  <c r="Y137" i="149"/>
  <c r="AG114" i="149"/>
  <c r="Z77" i="149"/>
  <c r="X125" i="149"/>
  <c r="X156" i="149"/>
  <c r="AF140" i="149"/>
  <c r="AI65" i="149"/>
  <c r="AG57" i="149"/>
  <c r="AC99" i="149"/>
  <c r="V79" i="149"/>
  <c r="W133" i="149"/>
  <c r="V50" i="149"/>
  <c r="AD43" i="149"/>
  <c r="AD37" i="149"/>
  <c r="AH26" i="149"/>
  <c r="AA17" i="149"/>
  <c r="AH140" i="149"/>
  <c r="AD90" i="149"/>
  <c r="W164" i="149"/>
  <c r="AI36" i="149"/>
  <c r="AG16" i="149"/>
  <c r="AH157" i="149"/>
  <c r="AF101" i="149"/>
  <c r="W66" i="149"/>
  <c r="AJ23" i="149"/>
  <c r="AB184" i="149"/>
  <c r="AH173" i="149"/>
  <c r="AH130" i="149"/>
  <c r="AD126" i="149"/>
  <c r="AF114" i="149"/>
  <c r="Y186" i="149"/>
  <c r="AC123" i="149"/>
  <c r="AI152" i="149"/>
  <c r="AE87" i="149"/>
  <c r="AJ165" i="149"/>
  <c r="AJ73" i="149"/>
  <c r="Z129" i="149"/>
  <c r="X79" i="149"/>
  <c r="AB57" i="149"/>
  <c r="X95" i="149"/>
  <c r="AJ52" i="149"/>
  <c r="AD29" i="149"/>
  <c r="AI47" i="149"/>
  <c r="AE50" i="149"/>
  <c r="W22" i="149"/>
  <c r="AB190" i="149"/>
  <c r="AD117" i="149"/>
  <c r="AE119" i="149"/>
  <c r="AD63" i="149"/>
  <c r="Y53" i="149"/>
  <c r="Y183" i="149"/>
  <c r="AB167" i="149"/>
  <c r="Z94" i="149"/>
  <c r="AB70" i="149"/>
  <c r="AE19" i="149"/>
  <c r="AF187" i="149"/>
  <c r="AG178" i="149"/>
  <c r="Z134" i="149"/>
  <c r="Z131" i="149"/>
  <c r="AB120" i="149"/>
  <c r="AA108" i="149"/>
  <c r="AI130" i="149"/>
  <c r="AG161" i="149"/>
  <c r="W91" i="149"/>
  <c r="AF91" i="149"/>
  <c r="AH78" i="149"/>
  <c r="AD150" i="149"/>
  <c r="W84" i="149"/>
  <c r="Y67" i="149"/>
  <c r="AG119" i="149"/>
  <c r="AH64" i="149"/>
  <c r="AF32" i="149"/>
  <c r="AI53" i="149"/>
  <c r="Y37" i="149"/>
  <c r="AH25" i="149"/>
  <c r="AF133" i="149"/>
  <c r="AH146" i="149"/>
  <c r="AH108" i="149"/>
  <c r="AF25" i="149"/>
  <c r="Z140" i="149"/>
  <c r="V70" i="149"/>
  <c r="AG88" i="149"/>
  <c r="AE47" i="149"/>
  <c r="AA182" i="149"/>
  <c r="X167" i="149"/>
  <c r="AG166" i="149"/>
  <c r="V165" i="149"/>
  <c r="AA175" i="149"/>
  <c r="AB187" i="149"/>
  <c r="AC140" i="149"/>
  <c r="AH95" i="149"/>
  <c r="AE188" i="149"/>
  <c r="AI70" i="149"/>
  <c r="AH106" i="149"/>
  <c r="AG95" i="149"/>
  <c r="AH84" i="149"/>
  <c r="X123" i="149"/>
  <c r="AI75" i="149"/>
  <c r="V105" i="149"/>
  <c r="AD33" i="149"/>
  <c r="Y39" i="149"/>
  <c r="AH38" i="149"/>
  <c r="AJ26" i="149"/>
  <c r="V20" i="149"/>
  <c r="AC169" i="149"/>
  <c r="AI154" i="149"/>
  <c r="AG164" i="149"/>
  <c r="AD136" i="149"/>
  <c r="AE185" i="149"/>
  <c r="AJ170" i="149"/>
  <c r="AC173" i="149"/>
  <c r="AG176" i="149"/>
  <c r="AE186" i="149"/>
  <c r="Z101" i="149"/>
  <c r="AI144" i="149"/>
  <c r="AD99" i="149"/>
  <c r="W121" i="149"/>
  <c r="AA74" i="149"/>
  <c r="X113" i="149"/>
  <c r="AG102" i="149"/>
  <c r="Y90" i="149"/>
  <c r="AC59" i="149"/>
  <c r="AF85" i="149"/>
  <c r="V166" i="149"/>
  <c r="AC37" i="149"/>
  <c r="AI42" i="149"/>
  <c r="AD46" i="149"/>
  <c r="V22" i="149"/>
  <c r="AF20" i="149"/>
  <c r="AA127" i="149"/>
  <c r="AH40" i="149"/>
  <c r="AH168" i="149"/>
  <c r="AH126" i="149"/>
  <c r="AI96" i="149"/>
  <c r="AC92" i="149"/>
  <c r="AJ47" i="149"/>
  <c r="AI28" i="149"/>
  <c r="AJ169" i="149"/>
  <c r="X60" i="149"/>
  <c r="AF185" i="149"/>
  <c r="AI153" i="149"/>
  <c r="W21" i="149"/>
  <c r="W188" i="149"/>
  <c r="W136" i="149"/>
  <c r="W113" i="149"/>
  <c r="Z57" i="149"/>
  <c r="AB98" i="149"/>
  <c r="AB74" i="149"/>
  <c r="AF82" i="149"/>
  <c r="AG93" i="149"/>
  <c r="AH33" i="149"/>
  <c r="AI27" i="149"/>
  <c r="Y185" i="149"/>
  <c r="AB64" i="149"/>
  <c r="X158" i="149"/>
  <c r="AJ94" i="149"/>
  <c r="W179" i="149"/>
  <c r="AG162" i="149"/>
  <c r="AH169" i="149"/>
  <c r="AA136" i="149"/>
  <c r="AD164" i="149"/>
  <c r="AA101" i="149"/>
  <c r="AC80" i="149"/>
  <c r="AE66" i="149"/>
  <c r="AE30" i="149"/>
  <c r="AG55" i="149"/>
  <c r="AG19" i="149"/>
  <c r="AA133" i="149"/>
  <c r="AA83" i="149"/>
  <c r="AG153" i="149"/>
  <c r="Z82" i="149"/>
  <c r="AI182" i="149"/>
  <c r="AG167" i="149"/>
  <c r="X176" i="149"/>
  <c r="W141" i="149"/>
  <c r="AG116" i="149"/>
  <c r="V107" i="149"/>
  <c r="AB85" i="149"/>
  <c r="AB76" i="149"/>
  <c r="W34" i="149"/>
  <c r="AC39" i="149"/>
  <c r="AD20" i="149"/>
  <c r="X118" i="149"/>
  <c r="AF17" i="149"/>
  <c r="W77" i="149"/>
  <c r="W44" i="149"/>
  <c r="X161" i="149"/>
  <c r="AJ171" i="149"/>
  <c r="AJ134" i="149"/>
  <c r="AH75" i="149"/>
  <c r="AE147" i="149"/>
  <c r="AA63" i="149"/>
  <c r="X61" i="149"/>
  <c r="AC94" i="149"/>
  <c r="Z42" i="149"/>
  <c r="V25" i="149"/>
  <c r="AI163" i="149"/>
  <c r="AD172" i="149"/>
  <c r="Z190" i="149"/>
  <c r="AA164" i="149"/>
  <c r="AB161" i="149"/>
  <c r="AF116" i="149"/>
  <c r="Y129" i="149"/>
  <c r="AG174" i="149"/>
  <c r="AH60" i="149"/>
  <c r="AG87" i="149"/>
  <c r="AH53" i="149"/>
  <c r="AJ39" i="149"/>
  <c r="AC17" i="149"/>
  <c r="X189" i="149"/>
  <c r="AJ122" i="149"/>
  <c r="AI92" i="149"/>
  <c r="AE86" i="149"/>
  <c r="AC35" i="149"/>
  <c r="AC24" i="149"/>
  <c r="AF137" i="149"/>
  <c r="AH94" i="149"/>
  <c r="AF169" i="149"/>
  <c r="AE166" i="149"/>
  <c r="AC27" i="149"/>
  <c r="AD180" i="149"/>
  <c r="Y132" i="149"/>
  <c r="W109" i="149"/>
  <c r="AJ163" i="149"/>
  <c r="AJ92" i="149"/>
  <c r="AC154" i="149"/>
  <c r="Z70" i="149"/>
  <c r="AD71" i="149"/>
  <c r="AE54" i="149"/>
  <c r="AD26" i="149"/>
  <c r="Z159" i="149"/>
  <c r="V71" i="149"/>
  <c r="Z136" i="149"/>
  <c r="V65" i="149"/>
  <c r="W175" i="149"/>
  <c r="AC157" i="149"/>
  <c r="Y161" i="149"/>
  <c r="AB130" i="149"/>
  <c r="V149" i="149"/>
  <c r="AA156" i="149"/>
  <c r="Z74" i="149"/>
  <c r="AI175" i="149"/>
  <c r="AF43" i="149"/>
  <c r="AC50" i="149"/>
  <c r="AA19" i="149"/>
  <c r="V174" i="149"/>
  <c r="AJ83" i="149"/>
  <c r="Z132" i="149"/>
  <c r="Z167" i="149"/>
  <c r="AI178" i="149"/>
  <c r="Y162" i="149"/>
  <c r="AC168" i="149"/>
  <c r="AH135" i="149"/>
  <c r="Z163" i="149"/>
  <c r="AE100" i="149"/>
  <c r="AJ79" i="149"/>
  <c r="W64" i="149"/>
  <c r="W30" i="149"/>
  <c r="Y55" i="149"/>
  <c r="AD18" i="149"/>
  <c r="W120" i="149"/>
  <c r="AI180" i="149"/>
  <c r="W61" i="149"/>
  <c r="Y47" i="149"/>
  <c r="X157" i="149"/>
  <c r="AC160" i="149"/>
  <c r="AC129" i="149"/>
  <c r="AH71" i="149"/>
  <c r="AA139" i="149"/>
  <c r="X57" i="149"/>
  <c r="AA118" i="149"/>
  <c r="AF74" i="149"/>
  <c r="AH37" i="149"/>
  <c r="Y21" i="149"/>
  <c r="AC158" i="149"/>
  <c r="W144" i="149"/>
  <c r="Z186" i="149"/>
  <c r="AB159" i="149"/>
  <c r="AD152" i="149"/>
  <c r="AE112" i="149"/>
  <c r="AI121" i="149"/>
  <c r="AA128" i="149"/>
  <c r="AI177" i="149"/>
  <c r="AH74" i="149"/>
  <c r="V46" i="149"/>
  <c r="AH35" i="149"/>
  <c r="AB15" i="149"/>
  <c r="X185" i="149"/>
  <c r="AE115" i="149"/>
  <c r="AI88" i="149"/>
  <c r="AB80" i="149"/>
  <c r="AB31" i="149"/>
  <c r="AD28" i="149"/>
  <c r="AD120" i="149"/>
  <c r="AE70" i="149"/>
  <c r="AC175" i="149"/>
  <c r="AF112" i="149"/>
  <c r="AI23" i="149"/>
  <c r="AE174" i="149"/>
  <c r="AB127" i="149"/>
  <c r="AD188" i="149"/>
  <c r="AA153" i="149"/>
  <c r="Y168" i="149"/>
  <c r="AA132" i="149"/>
  <c r="AJ59" i="149"/>
  <c r="X53" i="149"/>
  <c r="W48" i="149"/>
  <c r="AE22" i="149"/>
  <c r="Y139" i="149"/>
  <c r="AI120" i="149"/>
  <c r="Y172" i="149"/>
  <c r="W100" i="149"/>
  <c r="W171" i="149"/>
  <c r="AC179" i="149"/>
  <c r="W182" i="149"/>
  <c r="AA125" i="149"/>
  <c r="AG140" i="149"/>
  <c r="AA142" i="149"/>
  <c r="AH68" i="149"/>
  <c r="X107" i="149"/>
  <c r="Z36" i="149"/>
  <c r="Y45" i="149"/>
  <c r="AC15" i="149"/>
  <c r="AI127" i="149"/>
  <c r="AJ145" i="149"/>
  <c r="Y163" i="149"/>
  <c r="Y93" i="149"/>
  <c r="AI174" i="149"/>
  <c r="AD190" i="149"/>
  <c r="Z160" i="149"/>
  <c r="AH129" i="149"/>
  <c r="AC148" i="149"/>
  <c r="Y155" i="149"/>
  <c r="AG73" i="149"/>
  <c r="AG163" i="149"/>
  <c r="X43" i="149"/>
  <c r="AG49" i="149"/>
  <c r="X18" i="149"/>
  <c r="AD83" i="149"/>
  <c r="V181" i="149"/>
  <c r="X116" i="149"/>
  <c r="AG31" i="149"/>
  <c r="X153" i="149"/>
  <c r="AF152" i="149"/>
  <c r="AF124" i="149"/>
  <c r="AH67" i="149"/>
  <c r="AG123" i="149"/>
  <c r="AJ141" i="149"/>
  <c r="AG131" i="149"/>
  <c r="AB117" i="149"/>
  <c r="AI33" i="149"/>
  <c r="Z24" i="149"/>
  <c r="AD116" i="149"/>
  <c r="V112" i="149"/>
  <c r="Z182" i="149"/>
  <c r="AF154" i="149"/>
  <c r="AD145" i="149"/>
  <c r="AE108" i="149"/>
  <c r="AB113" i="149"/>
  <c r="X117" i="149"/>
  <c r="AH141" i="149"/>
  <c r="AC62" i="149"/>
  <c r="AG34" i="149"/>
  <c r="AA31" i="149"/>
  <c r="AB16" i="149"/>
  <c r="X181" i="149"/>
  <c r="AH111" i="149"/>
  <c r="AI84" i="149"/>
  <c r="AJ74" i="149"/>
  <c r="V53" i="149"/>
  <c r="W27" i="149"/>
  <c r="AA165" i="149"/>
  <c r="AI114" i="149"/>
  <c r="AF155" i="149"/>
  <c r="AJ81" i="149"/>
  <c r="Y18" i="149"/>
  <c r="AA166" i="149"/>
  <c r="Z123" i="149"/>
  <c r="AH165" i="149"/>
  <c r="AF142" i="149"/>
  <c r="X148" i="149"/>
  <c r="AJ110" i="149"/>
  <c r="AC128" i="149"/>
  <c r="X49" i="149"/>
  <c r="X40" i="149"/>
  <c r="AJ20" i="149"/>
  <c r="AD108" i="149"/>
  <c r="AJ140" i="149"/>
  <c r="AA149" i="149"/>
  <c r="AA69" i="149"/>
  <c r="W167" i="149"/>
  <c r="AE168" i="149"/>
  <c r="W166" i="149"/>
  <c r="AE118" i="149"/>
  <c r="X132" i="149"/>
  <c r="AB125" i="149"/>
  <c r="Y63" i="149"/>
  <c r="W90" i="149"/>
  <c r="AE29" i="149"/>
  <c r="Z41" i="149"/>
  <c r="V17" i="149"/>
  <c r="AD86" i="149"/>
  <c r="AG41" i="149"/>
  <c r="AD165" i="149"/>
  <c r="AC75" i="149"/>
  <c r="AI170" i="149"/>
  <c r="AA177" i="149"/>
  <c r="V188" i="149"/>
  <c r="AJ124" i="149"/>
  <c r="AB139" i="149"/>
  <c r="AE141" i="149"/>
  <c r="X68" i="149"/>
  <c r="AF103" i="149"/>
  <c r="X35" i="149"/>
  <c r="AD44" i="149"/>
  <c r="AD16" i="149"/>
  <c r="AG65" i="149"/>
  <c r="V169" i="149"/>
  <c r="AE88" i="149"/>
  <c r="AJ31" i="149"/>
  <c r="X149" i="149"/>
  <c r="AH145" i="149"/>
  <c r="AH120" i="149"/>
  <c r="AH63" i="149"/>
  <c r="AG111" i="149"/>
  <c r="AA120" i="149"/>
  <c r="AJ101" i="149"/>
  <c r="AI61" i="149"/>
  <c r="AJ55" i="149"/>
  <c r="W28" i="149"/>
  <c r="AH144" i="149"/>
  <c r="AA151" i="149"/>
  <c r="Z178" i="149"/>
  <c r="AH150" i="149"/>
  <c r="AI139" i="149"/>
  <c r="X178" i="149"/>
  <c r="W106" i="149"/>
  <c r="Y103" i="149"/>
  <c r="Y112" i="149"/>
  <c r="AB136" i="149"/>
  <c r="AE53" i="149"/>
  <c r="AB40" i="149"/>
  <c r="AD15" i="149"/>
  <c r="AD139" i="149"/>
  <c r="AH86" i="149"/>
  <c r="AI43" i="149"/>
  <c r="AG136" i="149"/>
  <c r="V180" i="149"/>
  <c r="Z168" i="149"/>
  <c r="Y126" i="149"/>
  <c r="AA96" i="149"/>
  <c r="AG91" i="149"/>
  <c r="Y44" i="149"/>
  <c r="W169" i="149"/>
  <c r="AC45" i="149"/>
  <c r="W36" i="149"/>
  <c r="AH160" i="149"/>
  <c r="AD92" i="149"/>
  <c r="AD89" i="149"/>
  <c r="Z92" i="149"/>
  <c r="Y23" i="149"/>
  <c r="Y65" i="149"/>
  <c r="V78" i="149"/>
  <c r="AF167" i="149"/>
  <c r="AA189" i="149"/>
  <c r="W71" i="149"/>
  <c r="AG144" i="149"/>
  <c r="AG39" i="149"/>
  <c r="AE98" i="149"/>
  <c r="W184" i="149"/>
  <c r="AH186" i="149"/>
  <c r="AD153" i="149"/>
  <c r="AI122" i="149"/>
  <c r="AH171" i="149"/>
  <c r="Z47" i="149"/>
  <c r="AJ15" i="149"/>
  <c r="Y111" i="149"/>
  <c r="AA183" i="149"/>
  <c r="Z79" i="149"/>
  <c r="AC69" i="149"/>
  <c r="AF71" i="149"/>
  <c r="AG28" i="149"/>
  <c r="AD135" i="149"/>
  <c r="Y81" i="149"/>
  <c r="AI35" i="149"/>
  <c r="Y144" i="149"/>
  <c r="AG127" i="149"/>
  <c r="AJ188" i="149"/>
  <c r="AA122" i="149"/>
  <c r="AA92" i="149"/>
  <c r="AA85" i="149"/>
  <c r="AA34" i="149"/>
  <c r="AD181" i="149"/>
  <c r="AJ53" i="149"/>
  <c r="AE41" i="149"/>
  <c r="AG155" i="149"/>
  <c r="AD88" i="149"/>
  <c r="Y84" i="149"/>
  <c r="X77" i="149"/>
  <c r="AI25" i="149"/>
  <c r="AG86" i="149"/>
  <c r="AH167" i="149"/>
  <c r="AG185" i="149"/>
  <c r="W165" i="149"/>
  <c r="W67" i="149"/>
  <c r="AJ100" i="149"/>
  <c r="AE35" i="149"/>
  <c r="AD78" i="149"/>
  <c r="AH158" i="149"/>
  <c r="AH182" i="149"/>
  <c r="Y146" i="149"/>
  <c r="Z114" i="149"/>
  <c r="W146" i="149"/>
  <c r="AA35" i="149"/>
  <c r="Z15" i="149"/>
  <c r="AB73" i="149"/>
  <c r="AG170" i="149"/>
  <c r="Z75" i="149"/>
  <c r="AG62" i="149"/>
  <c r="AD87" i="149"/>
  <c r="AI24" i="149"/>
  <c r="AD131" i="149"/>
  <c r="V75" i="149"/>
  <c r="AG51" i="149"/>
  <c r="AF105" i="149"/>
  <c r="AA106" i="149"/>
  <c r="AJ184" i="149"/>
  <c r="V115" i="149"/>
  <c r="AA88" i="149"/>
  <c r="AI79" i="149"/>
  <c r="AG30" i="149"/>
  <c r="AD169" i="149"/>
  <c r="AD54" i="149"/>
  <c r="Y50" i="149"/>
  <c r="AI151" i="149"/>
  <c r="AD84" i="149"/>
  <c r="W78" i="149"/>
  <c r="Y64" i="149"/>
  <c r="AA26" i="149"/>
  <c r="W62" i="149"/>
  <c r="AA135" i="149"/>
  <c r="AH179" i="149"/>
  <c r="Z155" i="149"/>
  <c r="W63" i="149"/>
  <c r="V87" i="149"/>
  <c r="X31" i="149"/>
  <c r="AD66" i="149"/>
  <c r="AA123" i="149"/>
  <c r="AH178" i="149"/>
  <c r="AB140" i="149"/>
  <c r="AG106" i="149"/>
  <c r="AJ115" i="149"/>
  <c r="AA54" i="149"/>
  <c r="Y16" i="149"/>
  <c r="AB59" i="149"/>
  <c r="AA159" i="149"/>
  <c r="Z71" i="149"/>
  <c r="AE56" i="149"/>
  <c r="AC68" i="149"/>
  <c r="AF28" i="149"/>
  <c r="AD127" i="149"/>
  <c r="AD69" i="149"/>
  <c r="AC46" i="149"/>
  <c r="AE89" i="149"/>
  <c r="AC143" i="149"/>
  <c r="AJ180" i="149"/>
  <c r="Z111" i="149"/>
  <c r="AA84" i="149"/>
  <c r="Y74" i="149"/>
  <c r="AH52" i="149"/>
  <c r="AB178" i="149"/>
  <c r="AG47" i="149"/>
  <c r="AF52" i="149"/>
  <c r="Y189" i="149"/>
  <c r="AD80" i="149"/>
  <c r="AA71" i="149"/>
  <c r="AI93" i="149"/>
  <c r="AB22" i="149"/>
  <c r="W103" i="149"/>
  <c r="AG143" i="149"/>
  <c r="AA171" i="149"/>
  <c r="AC147" i="149"/>
  <c r="W59" i="149"/>
  <c r="AF76" i="149"/>
  <c r="AG52" i="149"/>
  <c r="AE146" i="149"/>
  <c r="AJ159" i="149"/>
  <c r="AH174" i="149"/>
  <c r="AC134" i="149"/>
  <c r="AH102" i="149"/>
  <c r="AJ103" i="149"/>
  <c r="W49" i="149"/>
  <c r="W189" i="149"/>
  <c r="AG82" i="149"/>
  <c r="W151" i="149"/>
  <c r="Z67" i="149"/>
  <c r="Y140" i="149"/>
  <c r="V89" i="149"/>
  <c r="AD23" i="149"/>
  <c r="AB78" i="149"/>
  <c r="AJ49" i="149"/>
  <c r="V139" i="149"/>
  <c r="X86" i="149"/>
  <c r="X52" i="149"/>
  <c r="V74" i="149"/>
  <c r="W168" i="149"/>
  <c r="Y105" i="149"/>
  <c r="X186" i="149"/>
  <c r="AF48" i="149"/>
  <c r="V96" i="149"/>
  <c r="AC106" i="149"/>
  <c r="AJ40" i="149"/>
  <c r="V160" i="149"/>
  <c r="AA131" i="149"/>
  <c r="AB36" i="149"/>
  <c r="AJ164" i="149"/>
  <c r="Z166" i="149"/>
  <c r="Y46" i="149"/>
  <c r="AF104" i="149"/>
  <c r="AG50" i="149"/>
  <c r="V131" i="149"/>
  <c r="AC74" i="149"/>
  <c r="AI51" i="149"/>
  <c r="AH127" i="149"/>
  <c r="Y148" i="149"/>
  <c r="Y77" i="149"/>
  <c r="W154" i="149"/>
  <c r="AC55" i="149"/>
  <c r="V88" i="149"/>
  <c r="AE76" i="149"/>
  <c r="AJ38" i="149"/>
  <c r="Y151" i="149"/>
  <c r="AC104" i="149"/>
  <c r="AF41" i="149"/>
  <c r="AJ156" i="149"/>
  <c r="AD138" i="149"/>
  <c r="Z37" i="149"/>
  <c r="W118" i="149"/>
  <c r="AF16" i="149"/>
  <c r="Y75" i="149"/>
  <c r="AI117" i="149"/>
  <c r="AB84" i="149"/>
  <c r="AE137" i="149"/>
  <c r="AB166" i="149"/>
  <c r="AG188" i="149"/>
  <c r="Y48" i="149"/>
  <c r="AH17" i="149"/>
  <c r="Z151" i="149"/>
  <c r="AC77" i="149"/>
  <c r="AE25" i="149"/>
  <c r="AC127" i="149"/>
  <c r="AB157" i="149"/>
  <c r="AC110" i="149"/>
  <c r="AJ32" i="149"/>
  <c r="W124" i="149"/>
  <c r="AF128" i="149"/>
  <c r="AJ104" i="149"/>
  <c r="AG145" i="149"/>
  <c r="AC87" i="149"/>
  <c r="Z68" i="149"/>
  <c r="AE61" i="149"/>
  <c r="AE67" i="149"/>
  <c r="Z185" i="149"/>
  <c r="W160" i="149"/>
  <c r="AF63" i="149"/>
  <c r="AB109" i="149"/>
  <c r="AB75" i="149"/>
  <c r="AJ160" i="149"/>
  <c r="AJ56" i="149"/>
  <c r="AJ86" i="149"/>
  <c r="AF97" i="149"/>
  <c r="AI77" i="149"/>
  <c r="V58" i="149"/>
  <c r="AE63" i="149"/>
  <c r="AH136" i="149"/>
  <c r="W155" i="149"/>
  <c r="X27" i="149"/>
  <c r="V155" i="149"/>
  <c r="V63" i="149"/>
  <c r="AJ152" i="149"/>
  <c r="AF84" i="149"/>
  <c r="W20" i="149"/>
  <c r="V135" i="149"/>
  <c r="V142" i="149"/>
  <c r="Y135" i="149"/>
  <c r="AE59" i="149"/>
  <c r="V23" i="149"/>
  <c r="V92" i="149"/>
  <c r="AC22" i="149"/>
  <c r="AA147" i="149"/>
  <c r="AH149" i="149"/>
  <c r="X140" i="149"/>
  <c r="AD41" i="149"/>
  <c r="AD125" i="149"/>
  <c r="X130" i="149"/>
  <c r="AF80" i="149"/>
  <c r="AE77" i="149"/>
  <c r="AE142" i="149"/>
  <c r="AC53" i="149"/>
  <c r="AG165" i="149"/>
  <c r="AC91" i="149"/>
  <c r="Z98" i="149"/>
  <c r="AF96" i="149"/>
  <c r="AE68" i="149"/>
  <c r="Y61" i="149"/>
  <c r="W18" i="149"/>
  <c r="AA103" i="149"/>
  <c r="AH90" i="149"/>
  <c r="V84" i="149"/>
  <c r="AA113" i="149"/>
  <c r="Y134" i="149"/>
  <c r="AG18" i="149"/>
  <c r="AC41" i="149"/>
  <c r="AH66" i="149"/>
  <c r="AC96" i="149"/>
  <c r="AA109" i="149"/>
  <c r="AJ128" i="149"/>
  <c r="Z46" i="149"/>
  <c r="AJ41" i="149"/>
  <c r="Y36" i="149"/>
  <c r="AH88" i="149"/>
  <c r="AF180" i="149"/>
  <c r="AD146" i="149"/>
  <c r="AI133" i="149"/>
  <c r="AC124" i="149"/>
  <c r="Y156" i="149"/>
  <c r="Y32" i="149"/>
  <c r="X58" i="149"/>
  <c r="AC81" i="149"/>
  <c r="V104" i="149"/>
  <c r="AE97" i="149"/>
  <c r="AF83" i="149"/>
  <c r="Z120" i="149"/>
  <c r="X172" i="149"/>
  <c r="AF31" i="149"/>
  <c r="AD186" i="149"/>
  <c r="X22" i="149"/>
  <c r="AA33" i="149"/>
  <c r="AB141" i="149"/>
  <c r="AF36" i="149"/>
  <c r="AE180" i="149"/>
  <c r="X33" i="149"/>
  <c r="AG15" i="149"/>
  <c r="Y118" i="149"/>
  <c r="AD132" i="149"/>
  <c r="AD45" i="149"/>
  <c r="AG112" i="149"/>
  <c r="AA42" i="149"/>
  <c r="AI172" i="149"/>
  <c r="W24" i="149"/>
  <c r="AI31" i="149"/>
  <c r="AC33" i="149"/>
  <c r="V127" i="149"/>
  <c r="W140" i="149"/>
  <c r="AB19" i="149"/>
  <c r="CG10" i="194"/>
  <c r="BB10" i="194"/>
  <c r="AP10" i="194"/>
  <c r="BU10" i="194"/>
  <c r="T20" i="159"/>
  <c r="AJ20" i="159"/>
  <c r="AY20" i="159"/>
  <c r="BO20" i="159"/>
  <c r="AC12" i="104"/>
  <c r="AQ12" i="104"/>
  <c r="BE12" i="104"/>
  <c r="BE8" i="125"/>
  <c r="AC8" i="125"/>
  <c r="AQ8" i="125"/>
  <c r="BF11" i="180"/>
  <c r="BR11" i="180"/>
  <c r="AA11" i="180"/>
  <c r="AM11" i="180"/>
  <c r="BR10" i="180"/>
  <c r="AA10" i="180"/>
  <c r="BF10" i="180"/>
  <c r="AM10" i="180"/>
  <c r="BR21" i="178"/>
  <c r="BF21" i="178"/>
  <c r="AM21" i="178"/>
  <c r="AA21" i="178"/>
  <c r="AQ12" i="194"/>
  <c r="BV12" i="194"/>
  <c r="F7" i="142"/>
  <c r="BB7" i="194"/>
  <c r="CG7" i="194"/>
  <c r="AP7" i="194"/>
  <c r="BU7" i="194"/>
  <c r="BO11" i="168"/>
  <c r="AY11" i="168"/>
  <c r="T11" i="168"/>
  <c r="AJ11" i="168"/>
  <c r="AK6" i="167"/>
  <c r="BP6" i="167"/>
  <c r="T6" i="167"/>
  <c r="AZ6" i="167"/>
  <c r="AA17" i="181"/>
  <c r="AM17" i="181"/>
  <c r="BR17" i="181"/>
  <c r="BF17" i="181"/>
  <c r="AQ18" i="104"/>
  <c r="BE18" i="104"/>
  <c r="AC18" i="104"/>
  <c r="BF16" i="178"/>
  <c r="AM16" i="178"/>
  <c r="AA16" i="178"/>
  <c r="BR16" i="178"/>
  <c r="AC11" i="125"/>
  <c r="BE11" i="125"/>
  <c r="AQ11" i="125"/>
  <c r="BJ14" i="123"/>
  <c r="F23" i="142"/>
  <c r="Q18" i="142"/>
  <c r="M14" i="142"/>
  <c r="S21" i="142"/>
  <c r="O17" i="142"/>
  <c r="K13" i="142"/>
  <c r="Q20" i="142"/>
  <c r="M16" i="142"/>
  <c r="I12" i="142"/>
  <c r="H20" i="142"/>
  <c r="S15" i="142"/>
  <c r="R23" i="142"/>
  <c r="N19" i="142"/>
  <c r="J15" i="142"/>
  <c r="I23" i="142"/>
  <c r="E19" i="142"/>
  <c r="P14" i="142"/>
  <c r="O22" i="142"/>
  <c r="K18" i="142"/>
  <c r="G14" i="142"/>
  <c r="F22" i="142"/>
  <c r="Q17" i="142"/>
  <c r="M13" i="142"/>
  <c r="M22" i="142"/>
  <c r="I18" i="142"/>
  <c r="E14" i="142"/>
  <c r="K21" i="142"/>
  <c r="G17" i="142"/>
  <c r="R12" i="142"/>
  <c r="I20" i="142"/>
  <c r="E16" i="142"/>
  <c r="S23" i="142"/>
  <c r="O19" i="142"/>
  <c r="K15" i="142"/>
  <c r="J23" i="142"/>
  <c r="F19" i="142"/>
  <c r="Q14" i="142"/>
  <c r="P22" i="142"/>
  <c r="L18" i="142"/>
  <c r="H14" i="142"/>
  <c r="G22" i="142"/>
  <c r="R17" i="142"/>
  <c r="N13" i="142"/>
  <c r="M21" i="142"/>
  <c r="I17" i="142"/>
  <c r="E13" i="142"/>
  <c r="E22" i="142"/>
  <c r="P17" i="142"/>
  <c r="L13" i="142"/>
  <c r="R20" i="142"/>
  <c r="N16" i="142"/>
  <c r="J12" i="142"/>
  <c r="P19" i="142"/>
  <c r="L15" i="142"/>
  <c r="K23" i="142"/>
  <c r="G19" i="142"/>
  <c r="R14" i="142"/>
  <c r="Q22" i="142"/>
  <c r="M18" i="142"/>
  <c r="I14" i="142"/>
  <c r="H22" i="142"/>
  <c r="S17" i="142"/>
  <c r="O13" i="142"/>
  <c r="N21" i="142"/>
  <c r="J17" i="142"/>
  <c r="F13" i="142"/>
  <c r="E21" i="142"/>
  <c r="P16" i="142"/>
  <c r="L12" i="142"/>
  <c r="N23" i="142"/>
  <c r="J19" i="142"/>
  <c r="F15" i="142"/>
  <c r="L22" i="142"/>
  <c r="H18" i="142"/>
  <c r="S13" i="142"/>
  <c r="J21" i="142"/>
  <c r="F17" i="142"/>
  <c r="Q12" i="142"/>
  <c r="P20" i="142"/>
  <c r="L16" i="142"/>
  <c r="H12" i="142"/>
  <c r="G20" i="142"/>
  <c r="R15" i="142"/>
  <c r="Q23" i="142"/>
  <c r="M19" i="142"/>
  <c r="I15" i="142"/>
  <c r="H23" i="142"/>
  <c r="S18" i="142"/>
  <c r="O14" i="142"/>
  <c r="N22" i="142"/>
  <c r="J18" i="142"/>
  <c r="F14" i="142"/>
  <c r="H17" i="142"/>
  <c r="J20" i="142"/>
  <c r="L23" i="142"/>
  <c r="S14" i="142"/>
  <c r="N18" i="142"/>
  <c r="I22" i="142"/>
  <c r="P13" i="142"/>
  <c r="K17" i="142"/>
  <c r="F21" i="142"/>
  <c r="M12" i="142"/>
  <c r="H16" i="142"/>
  <c r="E17" i="142"/>
  <c r="F16" i="142"/>
  <c r="O21" i="142"/>
  <c r="O16" i="142"/>
  <c r="Q19" i="142"/>
  <c r="S22" i="142"/>
  <c r="K14" i="142"/>
  <c r="F18" i="142"/>
  <c r="P21" i="142"/>
  <c r="H13" i="142"/>
  <c r="R16" i="142"/>
  <c r="M20" i="142"/>
  <c r="E12" i="142"/>
  <c r="O15" i="142"/>
  <c r="L19" i="142"/>
  <c r="S12" i="142"/>
  <c r="H19" i="142"/>
  <c r="J14" i="142"/>
  <c r="G13" i="142"/>
  <c r="Q16" i="142"/>
  <c r="G16" i="142"/>
  <c r="I19" i="142"/>
  <c r="K22" i="142"/>
  <c r="R13" i="142"/>
  <c r="M17" i="142"/>
  <c r="H21" i="142"/>
  <c r="O12" i="142"/>
  <c r="J16" i="142"/>
  <c r="E20" i="142"/>
  <c r="O23" i="142"/>
  <c r="G15" i="142"/>
  <c r="N15" i="142"/>
  <c r="P18" i="142"/>
  <c r="R21" i="142"/>
  <c r="O20" i="142"/>
  <c r="G12" i="142"/>
  <c r="Q15" i="142"/>
  <c r="N14" i="142"/>
  <c r="L21" i="142"/>
  <c r="E18" i="142"/>
  <c r="R19" i="142"/>
  <c r="E23" i="142"/>
  <c r="L14" i="142"/>
  <c r="N17" i="142"/>
  <c r="I21" i="142"/>
  <c r="P12" i="142"/>
  <c r="K16" i="142"/>
  <c r="F20" i="142"/>
  <c r="P23" i="142"/>
  <c r="H15" i="142"/>
  <c r="R18" i="142"/>
  <c r="J13" i="142"/>
  <c r="G23" i="142"/>
  <c r="R22" i="142"/>
  <c r="L20" i="142"/>
  <c r="S20" i="142"/>
  <c r="J22" i="142"/>
  <c r="N12" i="142"/>
  <c r="L17" i="142"/>
  <c r="S16" i="142"/>
  <c r="O18" i="142"/>
  <c r="K20" i="142"/>
  <c r="Q21" i="142"/>
  <c r="F12" i="142"/>
  <c r="M15" i="142"/>
  <c r="S19" i="142"/>
  <c r="E15" i="142"/>
  <c r="N20" i="142"/>
  <c r="K12" i="142"/>
  <c r="Q13" i="142"/>
  <c r="I16" i="142"/>
  <c r="M23" i="142"/>
  <c r="I13" i="142"/>
  <c r="P15" i="142"/>
  <c r="K19" i="142"/>
  <c r="G21" i="142"/>
  <c r="G18" i="142"/>
  <c r="CG16" i="194"/>
  <c r="AP16" i="194"/>
  <c r="BB16" i="194"/>
  <c r="BU16" i="194"/>
  <c r="AY16" i="159"/>
  <c r="BO16" i="159"/>
  <c r="T16" i="159"/>
  <c r="AJ16" i="159"/>
  <c r="AK21" i="167"/>
  <c r="BP21" i="167"/>
  <c r="T21" i="167"/>
  <c r="AZ21" i="167"/>
  <c r="T21" i="159"/>
  <c r="BO21" i="159"/>
  <c r="AJ21" i="159"/>
  <c r="AY21" i="159"/>
  <c r="AY8" i="169"/>
  <c r="BO8" i="169"/>
  <c r="AJ8" i="169"/>
  <c r="T8" i="169"/>
  <c r="BE20" i="124"/>
  <c r="AC20" i="124"/>
  <c r="AQ20" i="124"/>
  <c r="AA16" i="180"/>
  <c r="AM16" i="180"/>
  <c r="BR16" i="180"/>
  <c r="BF16" i="180"/>
  <c r="AA9" i="181"/>
  <c r="AM9" i="181"/>
  <c r="BR9" i="181"/>
  <c r="BF9" i="181"/>
  <c r="BR8" i="181"/>
  <c r="AA8" i="181"/>
  <c r="AM8" i="181"/>
  <c r="BF8" i="181"/>
  <c r="BF17" i="178"/>
  <c r="AA17" i="178"/>
  <c r="AM17" i="178"/>
  <c r="BR17" i="178"/>
  <c r="AQ9" i="123"/>
  <c r="AC9" i="123"/>
  <c r="BE9" i="123"/>
  <c r="AC9" i="124"/>
  <c r="AQ9" i="124"/>
  <c r="BE9" i="124"/>
  <c r="AQ6" i="125"/>
  <c r="BE6" i="125"/>
  <c r="AC6" i="125"/>
  <c r="BR23" i="179"/>
  <c r="BF23" i="179"/>
  <c r="AM23" i="179"/>
  <c r="AA23" i="179"/>
  <c r="BJ7" i="124"/>
  <c r="CG24" i="194"/>
  <c r="AP24" i="194"/>
  <c r="BU24" i="194"/>
  <c r="BB24" i="194"/>
  <c r="CG15" i="194"/>
  <c r="BB15" i="194"/>
  <c r="BU15" i="194"/>
  <c r="AP15" i="194"/>
  <c r="AP18" i="194"/>
  <c r="BU18" i="194"/>
  <c r="BB18" i="194"/>
  <c r="CG18" i="194"/>
  <c r="AY9" i="159"/>
  <c r="BO9" i="159"/>
  <c r="T9" i="159"/>
  <c r="AJ9" i="159"/>
  <c r="AY8" i="159"/>
  <c r="BO8" i="159"/>
  <c r="T8" i="159"/>
  <c r="AJ8" i="159"/>
  <c r="AJ12" i="169"/>
  <c r="T12" i="169"/>
  <c r="BO12" i="169"/>
  <c r="AY12" i="169"/>
  <c r="AK20" i="167"/>
  <c r="BP20" i="167"/>
  <c r="T20" i="167"/>
  <c r="AZ20" i="167"/>
  <c r="BP12" i="167"/>
  <c r="AK12" i="167"/>
  <c r="AZ12" i="167"/>
  <c r="T12" i="167"/>
  <c r="BO13" i="159"/>
  <c r="T13" i="159"/>
  <c r="AY13" i="159"/>
  <c r="AJ13" i="159"/>
  <c r="BO15" i="169"/>
  <c r="AY15" i="169"/>
  <c r="T15" i="169"/>
  <c r="AJ15" i="169"/>
  <c r="AY17" i="168"/>
  <c r="AJ17" i="168"/>
  <c r="BO17" i="168"/>
  <c r="T17" i="168"/>
  <c r="AQ16" i="124"/>
  <c r="AC16" i="124"/>
  <c r="BE16" i="124"/>
  <c r="AA8" i="180"/>
  <c r="BR8" i="180"/>
  <c r="BF8" i="180"/>
  <c r="AM8" i="180"/>
  <c r="AQ10" i="125"/>
  <c r="AC10" i="125"/>
  <c r="BE10" i="125"/>
  <c r="AA23" i="180"/>
  <c r="BR23" i="180"/>
  <c r="BF23" i="180"/>
  <c r="AM23" i="180"/>
  <c r="BE15" i="124"/>
  <c r="AC15" i="124"/>
  <c r="AQ15" i="124"/>
  <c r="AA22" i="180"/>
  <c r="BF22" i="180"/>
  <c r="AM22" i="180"/>
  <c r="BR22" i="180"/>
  <c r="AC21" i="125"/>
  <c r="BE21" i="125"/>
  <c r="AQ21" i="125"/>
  <c r="BR23" i="181"/>
  <c r="AA23" i="181"/>
  <c r="BF23" i="181"/>
  <c r="AM23" i="181"/>
  <c r="BR9" i="178"/>
  <c r="AA9" i="178"/>
  <c r="AM9" i="178"/>
  <c r="BF9" i="178"/>
  <c r="BF14" i="181"/>
  <c r="AM14" i="181"/>
  <c r="AA14" i="181"/>
  <c r="BR14" i="181"/>
  <c r="BE16" i="104"/>
  <c r="AQ16" i="104"/>
  <c r="AC16" i="104"/>
  <c r="BF23" i="178"/>
  <c r="AM23" i="178"/>
  <c r="AA23" i="178"/>
  <c r="BR23" i="178"/>
  <c r="AC15" i="104"/>
  <c r="BE15" i="104"/>
  <c r="AQ15" i="104"/>
  <c r="BR22" i="178"/>
  <c r="BF22" i="178"/>
  <c r="AM22" i="178"/>
  <c r="AA22" i="178"/>
  <c r="BE12" i="123"/>
  <c r="AC12" i="123"/>
  <c r="AQ12" i="123"/>
  <c r="AA15" i="179"/>
  <c r="BF15" i="179"/>
  <c r="AM15" i="179"/>
  <c r="BR15" i="179"/>
  <c r="T6" i="168"/>
  <c r="BO6" i="168"/>
  <c r="AY6" i="168"/>
  <c r="AJ6" i="168"/>
  <c r="BO12" i="159"/>
  <c r="T12" i="159"/>
  <c r="AJ12" i="159"/>
  <c r="AY12" i="159"/>
  <c r="AA10" i="181"/>
  <c r="BR10" i="181"/>
  <c r="BF10" i="181"/>
  <c r="AM10" i="181"/>
  <c r="AA11" i="178"/>
  <c r="AM11" i="178"/>
  <c r="BR11" i="178"/>
  <c r="BF11" i="178"/>
  <c r="BE9" i="104"/>
  <c r="AC9" i="104"/>
  <c r="AQ9" i="104"/>
  <c r="BF17" i="179"/>
  <c r="AM17" i="179"/>
  <c r="AA17" i="179"/>
  <c r="BR17" i="179"/>
  <c r="BR16" i="179"/>
  <c r="BF16" i="179"/>
  <c r="AA16" i="179"/>
  <c r="AM16" i="179"/>
  <c r="AA11" i="181"/>
  <c r="AM11" i="181"/>
  <c r="BR11" i="181"/>
  <c r="BF11" i="181"/>
  <c r="AP25" i="194"/>
  <c r="CG25" i="194"/>
  <c r="BU25" i="194"/>
  <c r="BB25" i="194"/>
  <c r="AP20" i="194"/>
  <c r="BU20" i="194"/>
  <c r="CG20" i="194"/>
  <c r="BB20" i="194"/>
  <c r="AJ17" i="159"/>
  <c r="AY17" i="159"/>
  <c r="T17" i="159"/>
  <c r="BO17" i="159"/>
  <c r="AJ20" i="169"/>
  <c r="AY20" i="169"/>
  <c r="T20" i="169"/>
  <c r="BO20" i="169"/>
  <c r="AK13" i="167"/>
  <c r="BP13" i="167"/>
  <c r="T13" i="167"/>
  <c r="AZ13" i="167"/>
  <c r="AJ6" i="159"/>
  <c r="T6" i="159"/>
  <c r="AY6" i="159"/>
  <c r="BO6" i="159"/>
  <c r="AC14" i="125"/>
  <c r="BE14" i="125"/>
  <c r="AQ14" i="125"/>
  <c r="AQ19" i="124"/>
  <c r="BE19" i="124"/>
  <c r="AC19" i="124"/>
  <c r="AQ10" i="104"/>
  <c r="BE10" i="104"/>
  <c r="AC10" i="104"/>
  <c r="BR22" i="181"/>
  <c r="BF22" i="181"/>
  <c r="AM22" i="181"/>
  <c r="AA22" i="181"/>
  <c r="BR8" i="178"/>
  <c r="BF8" i="178"/>
  <c r="AM8" i="178"/>
  <c r="AA8" i="178"/>
  <c r="BF9" i="179"/>
  <c r="BR9" i="179"/>
  <c r="AM9" i="179"/>
  <c r="AA9" i="179"/>
  <c r="BR8" i="179"/>
  <c r="AA8" i="179"/>
  <c r="BF8" i="179"/>
  <c r="AM8" i="179"/>
  <c r="BJ21" i="104"/>
  <c r="AP23" i="194"/>
  <c r="BU23" i="194"/>
  <c r="CG23" i="194"/>
  <c r="BB23" i="194"/>
  <c r="CG14" i="194"/>
  <c r="AP14" i="194"/>
  <c r="BU14" i="194"/>
  <c r="BB14" i="194"/>
  <c r="AY19" i="169"/>
  <c r="BO19" i="169"/>
  <c r="AJ19" i="169"/>
  <c r="T19" i="169"/>
  <c r="AJ21" i="168"/>
  <c r="AY21" i="168"/>
  <c r="BO21" i="168"/>
  <c r="T21" i="168"/>
  <c r="AK19" i="167"/>
  <c r="T19" i="167"/>
  <c r="AZ19" i="167"/>
  <c r="BP19" i="167"/>
  <c r="AK11" i="167"/>
  <c r="T11" i="167"/>
  <c r="AZ11" i="167"/>
  <c r="BP11" i="167"/>
  <c r="T14" i="169"/>
  <c r="AJ14" i="169"/>
  <c r="AY14" i="169"/>
  <c r="BO14" i="169"/>
  <c r="BO7" i="169"/>
  <c r="T7" i="169"/>
  <c r="AY7" i="169"/>
  <c r="AJ7" i="169"/>
  <c r="AY9" i="168"/>
  <c r="T9" i="168"/>
  <c r="BO9" i="168"/>
  <c r="AJ9" i="168"/>
  <c r="I40" i="154"/>
  <c r="BE12" i="124"/>
  <c r="AC12" i="124"/>
  <c r="AQ12" i="124"/>
  <c r="AA22" i="179"/>
  <c r="AM22" i="179"/>
  <c r="BR22" i="179"/>
  <c r="BF22" i="179"/>
  <c r="BE15" i="123"/>
  <c r="AC15" i="123"/>
  <c r="AQ15" i="123"/>
  <c r="AA15" i="180"/>
  <c r="AM15" i="180"/>
  <c r="BR15" i="180"/>
  <c r="BF15" i="180"/>
  <c r="AC11" i="124"/>
  <c r="AQ11" i="124"/>
  <c r="BE11" i="124"/>
  <c r="BR14" i="180"/>
  <c r="AA14" i="180"/>
  <c r="BF14" i="180"/>
  <c r="AM14" i="180"/>
  <c r="AQ17" i="125"/>
  <c r="BE17" i="125"/>
  <c r="AC17" i="125"/>
  <c r="BF15" i="181"/>
  <c r="AM15" i="181"/>
  <c r="AA15" i="181"/>
  <c r="BR15" i="181"/>
  <c r="AC18" i="124"/>
  <c r="AQ18" i="124"/>
  <c r="BE18" i="124"/>
  <c r="BR6" i="181"/>
  <c r="BF6" i="181"/>
  <c r="AA6" i="181"/>
  <c r="AM6" i="181"/>
  <c r="BE8" i="104"/>
  <c r="AC8" i="104"/>
  <c r="AQ8" i="104"/>
  <c r="BR15" i="178"/>
  <c r="BF15" i="178"/>
  <c r="AM15" i="178"/>
  <c r="AA15" i="178"/>
  <c r="AQ7" i="104"/>
  <c r="BE7" i="104"/>
  <c r="AC7" i="104"/>
  <c r="BR14" i="178"/>
  <c r="AA14" i="178"/>
  <c r="AM14" i="178"/>
  <c r="BF14" i="178"/>
  <c r="BE8" i="123"/>
  <c r="AQ8" i="123"/>
  <c r="AC8" i="123"/>
  <c r="BR17" i="180"/>
  <c r="BF17" i="180"/>
  <c r="AM17" i="180"/>
  <c r="AA17" i="180"/>
  <c r="BE17" i="124"/>
  <c r="AC17" i="124"/>
  <c r="AQ17" i="124"/>
  <c r="BR19" i="181"/>
  <c r="BF19" i="181"/>
  <c r="AM19" i="181"/>
  <c r="AA19" i="181"/>
  <c r="M20" i="143"/>
  <c r="I16" i="143"/>
  <c r="E12" i="143"/>
  <c r="S19" i="143"/>
  <c r="O15" i="143"/>
  <c r="F23" i="143"/>
  <c r="Q18" i="143"/>
  <c r="M14" i="143"/>
  <c r="S21" i="143"/>
  <c r="O17" i="143"/>
  <c r="K13" i="143"/>
  <c r="Q20" i="143"/>
  <c r="M16" i="143"/>
  <c r="I12" i="143"/>
  <c r="H20" i="143"/>
  <c r="S15" i="143"/>
  <c r="R23" i="143"/>
  <c r="N19" i="143"/>
  <c r="J15" i="143"/>
  <c r="I23" i="143"/>
  <c r="E19" i="143"/>
  <c r="P14" i="143"/>
  <c r="S18" i="143"/>
  <c r="F14" i="143"/>
  <c r="S12" i="143"/>
  <c r="H19" i="143"/>
  <c r="J14" i="143"/>
  <c r="K17" i="143"/>
  <c r="O22" i="143"/>
  <c r="F22" i="143"/>
  <c r="M13" i="143"/>
  <c r="Q19" i="143"/>
  <c r="O18" i="143"/>
  <c r="F18" i="143"/>
  <c r="L17" i="143"/>
  <c r="N12" i="143"/>
  <c r="E20" i="143"/>
  <c r="P15" i="143"/>
  <c r="O23" i="143"/>
  <c r="K19" i="143"/>
  <c r="G15" i="143"/>
  <c r="M22" i="143"/>
  <c r="I18" i="143"/>
  <c r="E14" i="143"/>
  <c r="K21" i="143"/>
  <c r="G17" i="143"/>
  <c r="R12" i="143"/>
  <c r="I20" i="143"/>
  <c r="E16" i="143"/>
  <c r="S23" i="143"/>
  <c r="O19" i="143"/>
  <c r="K15" i="143"/>
  <c r="J23" i="143"/>
  <c r="F19" i="143"/>
  <c r="Q14" i="143"/>
  <c r="P22" i="143"/>
  <c r="L18" i="143"/>
  <c r="H14" i="143"/>
  <c r="J18" i="143"/>
  <c r="J20" i="143"/>
  <c r="N18" i="143"/>
  <c r="P13" i="143"/>
  <c r="G14" i="143"/>
  <c r="S20" i="143"/>
  <c r="M15" i="143"/>
  <c r="K14" i="143"/>
  <c r="P21" i="143"/>
  <c r="G21" i="143"/>
  <c r="P23" i="143"/>
  <c r="L19" i="143"/>
  <c r="H15" i="143"/>
  <c r="G23" i="143"/>
  <c r="R18" i="143"/>
  <c r="N14" i="143"/>
  <c r="E22" i="143"/>
  <c r="P17" i="143"/>
  <c r="L13" i="143"/>
  <c r="R20" i="143"/>
  <c r="N16" i="143"/>
  <c r="J12" i="143"/>
  <c r="P19" i="143"/>
  <c r="L15" i="143"/>
  <c r="K23" i="143"/>
  <c r="G19" i="143"/>
  <c r="R14" i="143"/>
  <c r="Q22" i="143"/>
  <c r="M18" i="143"/>
  <c r="I14" i="143"/>
  <c r="H22" i="143"/>
  <c r="S17" i="143"/>
  <c r="O13" i="143"/>
  <c r="H23" i="143"/>
  <c r="N22" i="143"/>
  <c r="H17" i="143"/>
  <c r="L23" i="143"/>
  <c r="R22" i="143"/>
  <c r="E18" i="143"/>
  <c r="G13" i="143"/>
  <c r="O16" i="143"/>
  <c r="F21" i="143"/>
  <c r="Q16" i="143"/>
  <c r="M12" i="143"/>
  <c r="L20" i="143"/>
  <c r="H16" i="143"/>
  <c r="N23" i="143"/>
  <c r="J19" i="143"/>
  <c r="F15" i="143"/>
  <c r="L22" i="143"/>
  <c r="H18" i="143"/>
  <c r="S13" i="143"/>
  <c r="J21" i="143"/>
  <c r="F17" i="143"/>
  <c r="Q12" i="143"/>
  <c r="P20" i="143"/>
  <c r="L16" i="143"/>
  <c r="H12" i="143"/>
  <c r="G20" i="143"/>
  <c r="R15" i="143"/>
  <c r="Q23" i="143"/>
  <c r="M19" i="143"/>
  <c r="I15" i="143"/>
  <c r="O14" i="143"/>
  <c r="L21" i="143"/>
  <c r="F16" i="143"/>
  <c r="S14" i="143"/>
  <c r="I22" i="143"/>
  <c r="O21" i="143"/>
  <c r="K18" i="143"/>
  <c r="Q17" i="143"/>
  <c r="K12" i="143"/>
  <c r="S22" i="143"/>
  <c r="J22" i="143"/>
  <c r="Q13" i="143"/>
  <c r="H13" i="143"/>
  <c r="R16" i="143"/>
  <c r="M21" i="143"/>
  <c r="G16" i="143"/>
  <c r="K22" i="143"/>
  <c r="M17" i="143"/>
  <c r="O12" i="143"/>
  <c r="E13" i="143"/>
  <c r="R13" i="143"/>
  <c r="H21" i="143"/>
  <c r="J16" i="143"/>
  <c r="L12" i="143"/>
  <c r="N13" i="143"/>
  <c r="Q21" i="143"/>
  <c r="L14" i="143"/>
  <c r="E21" i="143"/>
  <c r="N15" i="143"/>
  <c r="R21" i="143"/>
  <c r="E17" i="143"/>
  <c r="G12" i="143"/>
  <c r="R17" i="143"/>
  <c r="O20" i="143"/>
  <c r="E15" i="143"/>
  <c r="F13" i="143"/>
  <c r="K16" i="143"/>
  <c r="G22" i="143"/>
  <c r="I17" i="143"/>
  <c r="M23" i="143"/>
  <c r="G18" i="143"/>
  <c r="I13" i="143"/>
  <c r="N20" i="143"/>
  <c r="I19" i="143"/>
  <c r="J17" i="143"/>
  <c r="J13" i="143"/>
  <c r="F12" i="143"/>
  <c r="R19" i="143"/>
  <c r="N21" i="143"/>
  <c r="P16" i="143"/>
  <c r="E23" i="143"/>
  <c r="N17" i="143"/>
  <c r="P12" i="143"/>
  <c r="F20" i="143"/>
  <c r="P18" i="143"/>
  <c r="Q15" i="143"/>
  <c r="K20" i="143"/>
  <c r="S16" i="143"/>
  <c r="I21" i="143"/>
  <c r="AP26" i="194"/>
  <c r="CG26" i="194"/>
  <c r="BU26" i="194"/>
  <c r="BB26" i="194"/>
  <c r="AY10" i="168"/>
  <c r="BO10" i="168"/>
  <c r="T10" i="168"/>
  <c r="AJ10" i="168"/>
  <c r="AK14" i="167"/>
  <c r="BP14" i="167"/>
  <c r="T14" i="167"/>
  <c r="AZ14" i="167"/>
  <c r="J40" i="154"/>
  <c r="BF16" i="181"/>
  <c r="AA16" i="181"/>
  <c r="BR16" i="181"/>
  <c r="AM16" i="181"/>
  <c r="BR11" i="179"/>
  <c r="AA11" i="179"/>
  <c r="BF11" i="179"/>
  <c r="AM11" i="179"/>
  <c r="BE13" i="124"/>
  <c r="AQ13" i="124"/>
  <c r="AC13" i="124"/>
  <c r="BJ6" i="123"/>
  <c r="AP22" i="194"/>
  <c r="CG22" i="194"/>
  <c r="BU22" i="194"/>
  <c r="BB22" i="194"/>
  <c r="BU8" i="194"/>
  <c r="CG8" i="194"/>
  <c r="AP8" i="194"/>
  <c r="BB8" i="194"/>
  <c r="AJ13" i="168"/>
  <c r="T13" i="168"/>
  <c r="AY13" i="168"/>
  <c r="BO13" i="168"/>
  <c r="AJ14" i="159"/>
  <c r="T14" i="159"/>
  <c r="AY14" i="159"/>
  <c r="BO14" i="159"/>
  <c r="AK10" i="167"/>
  <c r="BP10" i="167"/>
  <c r="T10" i="167"/>
  <c r="AZ10" i="167"/>
  <c r="AY18" i="159"/>
  <c r="T18" i="159"/>
  <c r="BO18" i="159"/>
  <c r="AJ18" i="159"/>
  <c r="BE8" i="124"/>
  <c r="AC8" i="124"/>
  <c r="AQ8" i="124"/>
  <c r="AA14" i="179"/>
  <c r="BR14" i="179"/>
  <c r="AM14" i="179"/>
  <c r="BF14" i="179"/>
  <c r="AC7" i="124"/>
  <c r="AQ7" i="124"/>
  <c r="BE7" i="124"/>
  <c r="AQ13" i="125"/>
  <c r="BE13" i="125"/>
  <c r="AC13" i="125"/>
  <c r="BR7" i="181"/>
  <c r="AA7" i="181"/>
  <c r="BF7" i="181"/>
  <c r="AM7" i="181"/>
  <c r="AC20" i="125"/>
  <c r="AQ20" i="125"/>
  <c r="BE20" i="125"/>
  <c r="BR20" i="181"/>
  <c r="BF20" i="181"/>
  <c r="AM20" i="181"/>
  <c r="AA20" i="181"/>
  <c r="AQ22" i="104"/>
  <c r="AC22" i="104"/>
  <c r="BE22" i="104"/>
  <c r="BJ13" i="104"/>
  <c r="AP21" i="194"/>
  <c r="BU21" i="194"/>
  <c r="BB21" i="194"/>
  <c r="CG21" i="194"/>
  <c r="CG12" i="194"/>
  <c r="AP12" i="194"/>
  <c r="BU12" i="194"/>
  <c r="BB12" i="194"/>
  <c r="CG6" i="194"/>
  <c r="BB6" i="194"/>
  <c r="BU6" i="194"/>
  <c r="AP6" i="194"/>
  <c r="AY17" i="169"/>
  <c r="AJ17" i="169"/>
  <c r="BO17" i="169"/>
  <c r="T17" i="169"/>
  <c r="AY18" i="169"/>
  <c r="BO18" i="169"/>
  <c r="AJ18" i="169"/>
  <c r="T18" i="169"/>
  <c r="AY20" i="168"/>
  <c r="BO20" i="168"/>
  <c r="T20" i="168"/>
  <c r="AJ20" i="168"/>
  <c r="T21" i="169"/>
  <c r="AJ21" i="169"/>
  <c r="AY21" i="169"/>
  <c r="BO21" i="169"/>
  <c r="AK17" i="167"/>
  <c r="T17" i="167"/>
  <c r="BP17" i="167"/>
  <c r="AZ17" i="167"/>
  <c r="AK9" i="167"/>
  <c r="T9" i="167"/>
  <c r="BP9" i="167"/>
  <c r="AZ9" i="167"/>
  <c r="T15" i="168"/>
  <c r="AJ15" i="168"/>
  <c r="BO15" i="168"/>
  <c r="AY15" i="168"/>
  <c r="BO8" i="168"/>
  <c r="T8" i="168"/>
  <c r="AJ8" i="168"/>
  <c r="AY8" i="168"/>
  <c r="AY10" i="159"/>
  <c r="BO10" i="159"/>
  <c r="AJ10" i="159"/>
  <c r="T10" i="159"/>
  <c r="F40" i="154"/>
  <c r="AQ21" i="104"/>
  <c r="AC21" i="104"/>
  <c r="BE21" i="104"/>
  <c r="AM6" i="179"/>
  <c r="AA6" i="179"/>
  <c r="BF6" i="179"/>
  <c r="BR6" i="179"/>
  <c r="AC7" i="123"/>
  <c r="AQ7" i="123"/>
  <c r="BE7" i="123"/>
  <c r="AM21" i="179"/>
  <c r="AA21" i="179"/>
  <c r="BF21" i="179"/>
  <c r="BR21" i="179"/>
  <c r="AQ6" i="123"/>
  <c r="BE6" i="123"/>
  <c r="AC6" i="123"/>
  <c r="BR20" i="179"/>
  <c r="AA20" i="179"/>
  <c r="BF20" i="179"/>
  <c r="AM20" i="179"/>
  <c r="AC9" i="125"/>
  <c r="BE9" i="125"/>
  <c r="AQ9" i="125"/>
  <c r="BR21" i="180"/>
  <c r="BF21" i="180"/>
  <c r="AM21" i="180"/>
  <c r="AA21" i="180"/>
  <c r="AQ10" i="124"/>
  <c r="BE10" i="124"/>
  <c r="AC10" i="124"/>
  <c r="BR12" i="180"/>
  <c r="BF12" i="180"/>
  <c r="AA12" i="180"/>
  <c r="AM12" i="180"/>
  <c r="BE16" i="125"/>
  <c r="AQ16" i="125"/>
  <c r="AC16" i="125"/>
  <c r="BR13" i="181"/>
  <c r="BF13" i="181"/>
  <c r="AM13" i="181"/>
  <c r="AA13" i="181"/>
  <c r="BE7" i="125"/>
  <c r="AC7" i="125"/>
  <c r="AQ7" i="125"/>
  <c r="AA12" i="181"/>
  <c r="BR12" i="181"/>
  <c r="BF12" i="181"/>
  <c r="AM12" i="181"/>
  <c r="BE14" i="104"/>
  <c r="AC14" i="104"/>
  <c r="AQ14" i="104"/>
  <c r="BR13" i="178"/>
  <c r="BF13" i="178"/>
  <c r="AM13" i="178"/>
  <c r="AA13" i="178"/>
  <c r="AC15" i="125"/>
  <c r="AQ15" i="125"/>
  <c r="BE15" i="125"/>
  <c r="CG9" i="194"/>
  <c r="BB9" i="194"/>
  <c r="AP9" i="194"/>
  <c r="BU9" i="194"/>
  <c r="BO7" i="159"/>
  <c r="AJ7" i="159"/>
  <c r="AY7" i="159"/>
  <c r="T7" i="159"/>
  <c r="AJ16" i="169"/>
  <c r="AY16" i="169"/>
  <c r="BO16" i="169"/>
  <c r="T16" i="169"/>
  <c r="BE18" i="125"/>
  <c r="AC18" i="125"/>
  <c r="AQ18" i="125"/>
  <c r="BF10" i="178"/>
  <c r="AA10" i="178"/>
  <c r="BR10" i="178"/>
  <c r="AM10" i="178"/>
  <c r="BE13" i="123"/>
  <c r="AC13" i="123"/>
  <c r="AQ13" i="123"/>
  <c r="CG13" i="194"/>
  <c r="BB13" i="194"/>
  <c r="AP13" i="194"/>
  <c r="BU13" i="194"/>
  <c r="AY11" i="169"/>
  <c r="AJ11" i="169"/>
  <c r="BO11" i="169"/>
  <c r="T11" i="169"/>
  <c r="BP18" i="167"/>
  <c r="AK18" i="167"/>
  <c r="T18" i="167"/>
  <c r="AZ18" i="167"/>
  <c r="T6" i="169"/>
  <c r="BO6" i="169"/>
  <c r="AJ6" i="169"/>
  <c r="AY6" i="169"/>
  <c r="BO16" i="168"/>
  <c r="AY16" i="168"/>
  <c r="T16" i="168"/>
  <c r="AJ16" i="168"/>
  <c r="H40" i="154"/>
  <c r="BE11" i="123"/>
  <c r="AC11" i="123"/>
  <c r="AQ11" i="123"/>
  <c r="AA7" i="180"/>
  <c r="BR7" i="180"/>
  <c r="BF7" i="180"/>
  <c r="AM7" i="180"/>
  <c r="BR6" i="180"/>
  <c r="BF6" i="180"/>
  <c r="AM6" i="180"/>
  <c r="AA6" i="180"/>
  <c r="AC14" i="124"/>
  <c r="AQ14" i="124"/>
  <c r="BE14" i="124"/>
  <c r="BF20" i="180"/>
  <c r="AM20" i="180"/>
  <c r="AA20" i="180"/>
  <c r="BR20" i="180"/>
  <c r="BF21" i="181"/>
  <c r="AM21" i="181"/>
  <c r="AA21" i="181"/>
  <c r="BR21" i="181"/>
  <c r="BF7" i="178"/>
  <c r="AM7" i="178"/>
  <c r="AA7" i="178"/>
  <c r="BR7" i="178"/>
  <c r="BR6" i="178"/>
  <c r="BF6" i="178"/>
  <c r="AA6" i="178"/>
  <c r="AM6" i="178"/>
  <c r="AA7" i="179"/>
  <c r="AM7" i="179"/>
  <c r="BR7" i="179"/>
  <c r="BF7" i="179"/>
  <c r="AP19" i="194"/>
  <c r="CG19" i="194"/>
  <c r="BU19" i="194"/>
  <c r="BB19" i="194"/>
  <c r="BB11" i="194"/>
  <c r="CG11" i="194"/>
  <c r="AP11" i="194"/>
  <c r="BU11" i="194"/>
  <c r="AY9" i="169"/>
  <c r="BO9" i="169"/>
  <c r="AJ9" i="169"/>
  <c r="T9" i="169"/>
  <c r="AY10" i="169"/>
  <c r="AJ10" i="169"/>
  <c r="BO10" i="169"/>
  <c r="T10" i="169"/>
  <c r="AJ12" i="168"/>
  <c r="AY12" i="168"/>
  <c r="BO12" i="168"/>
  <c r="T12" i="168"/>
  <c r="BO13" i="169"/>
  <c r="T13" i="169"/>
  <c r="AJ13" i="169"/>
  <c r="AY13" i="169"/>
  <c r="AK16" i="167"/>
  <c r="BP16" i="167"/>
  <c r="T16" i="167"/>
  <c r="AZ16" i="167"/>
  <c r="AK8" i="167"/>
  <c r="BP8" i="167"/>
  <c r="T8" i="167"/>
  <c r="AZ8" i="167"/>
  <c r="T7" i="168"/>
  <c r="BO7" i="168"/>
  <c r="AJ7" i="168"/>
  <c r="AY7" i="168"/>
  <c r="BO19" i="159"/>
  <c r="AY19" i="159"/>
  <c r="T19" i="159"/>
  <c r="AJ19" i="159"/>
  <c r="G40" i="154"/>
  <c r="AQ13" i="104"/>
  <c r="BE13" i="104"/>
  <c r="AC13" i="104"/>
  <c r="AA20" i="178"/>
  <c r="AM20" i="178"/>
  <c r="BR20" i="178"/>
  <c r="BF20" i="178"/>
  <c r="BE20" i="104"/>
  <c r="AQ20" i="104"/>
  <c r="AC20" i="104"/>
  <c r="AA13" i="179"/>
  <c r="BR13" i="179"/>
  <c r="AM13" i="179"/>
  <c r="BF13" i="179"/>
  <c r="AQ19" i="104"/>
  <c r="BE19" i="104"/>
  <c r="AC19" i="104"/>
  <c r="BF12" i="179"/>
  <c r="AM12" i="179"/>
  <c r="AA12" i="179"/>
  <c r="BR12" i="179"/>
  <c r="AQ14" i="123"/>
  <c r="BE14" i="123"/>
  <c r="AC14" i="123"/>
  <c r="BR13" i="180"/>
  <c r="AA13" i="180"/>
  <c r="BF13" i="180"/>
  <c r="AM13" i="180"/>
  <c r="AQ6" i="124"/>
  <c r="BE6" i="124"/>
  <c r="AC6" i="124"/>
  <c r="BF18" i="179"/>
  <c r="AM18" i="179"/>
  <c r="AA18" i="179"/>
  <c r="BR18" i="179"/>
  <c r="AQ12" i="125"/>
  <c r="BE12" i="125"/>
  <c r="AC12" i="125"/>
  <c r="BF19" i="180"/>
  <c r="AM19" i="180"/>
  <c r="AA19" i="180"/>
  <c r="BR19" i="180"/>
  <c r="AQ21" i="124"/>
  <c r="AC21" i="124"/>
  <c r="BE21" i="124"/>
  <c r="BR18" i="180"/>
  <c r="AA18" i="180"/>
  <c r="BF18" i="180"/>
  <c r="AM18" i="180"/>
  <c r="BE19" i="125"/>
  <c r="AC19" i="125"/>
  <c r="AQ19" i="125"/>
  <c r="BE6" i="104"/>
  <c r="AC6" i="104"/>
  <c r="AQ6" i="104"/>
  <c r="AA9" i="180"/>
  <c r="BR9" i="180"/>
  <c r="BF9" i="180"/>
  <c r="AM9" i="180"/>
  <c r="C7" i="200"/>
  <c r="B2" i="198"/>
  <c r="H39" i="118"/>
  <c r="H28" i="118"/>
  <c r="BG14" i="104"/>
  <c r="BG15" i="124"/>
  <c r="AD9" i="104"/>
  <c r="AD18" i="124"/>
  <c r="BG21" i="124"/>
  <c r="BG16" i="124"/>
  <c r="H56" i="156"/>
  <c r="BG11" i="124"/>
  <c r="BG18" i="104"/>
  <c r="F56" i="155"/>
  <c r="G56" i="156"/>
  <c r="G56" i="155"/>
  <c r="G21" i="155" s="1"/>
  <c r="AD14" i="123"/>
  <c r="H15" i="148" a="1"/>
  <c r="AD6" i="124"/>
  <c r="E8" i="184"/>
  <c r="BG8" i="124"/>
  <c r="AD6" i="123"/>
  <c r="BG13" i="123"/>
  <c r="BW20" i="178"/>
  <c r="AD15" i="124"/>
  <c r="S7" i="124"/>
  <c r="AD15" i="123"/>
  <c r="I56" i="154"/>
  <c r="F18" i="133"/>
  <c r="B21" i="198"/>
  <c r="BW23" i="180"/>
  <c r="S9" i="104"/>
  <c r="H18" i="170" a="1"/>
  <c r="C15" i="194"/>
  <c r="S11" i="104"/>
  <c r="R8" i="125"/>
  <c r="R16" i="104"/>
  <c r="BX14" i="168"/>
  <c r="I56" i="156"/>
  <c r="I18" i="156" s="1"/>
  <c r="AD11" i="125"/>
  <c r="BG8" i="104"/>
  <c r="BG11" i="104"/>
  <c r="I21" i="156"/>
  <c r="BZ9" i="159"/>
  <c r="BY20" i="178"/>
  <c r="S12" i="104"/>
  <c r="Q14" i="123"/>
  <c r="E26" i="184"/>
  <c r="C17" i="194"/>
  <c r="BG12" i="125"/>
  <c r="H56" i="155"/>
  <c r="BG13" i="124"/>
  <c r="BZ15" i="159"/>
  <c r="CA15" i="159" s="1"/>
  <c r="S18" i="174" a="1"/>
  <c r="BX10" i="168"/>
  <c r="AD8" i="104"/>
  <c r="BG15" i="104"/>
  <c r="BG10" i="104"/>
  <c r="BG22" i="104"/>
  <c r="AD17" i="125"/>
  <c r="BG10" i="125"/>
  <c r="R15" i="125"/>
  <c r="C9" i="194"/>
  <c r="BG14" i="124"/>
  <c r="BX19" i="168"/>
  <c r="BX6" i="169"/>
  <c r="BW8" i="179"/>
  <c r="S8" i="125"/>
  <c r="F56" i="156"/>
  <c r="F21" i="156" s="1"/>
  <c r="BW6" i="181"/>
  <c r="BY6" i="181" s="1"/>
  <c r="BW9" i="181"/>
  <c r="O11" i="55"/>
  <c r="BW16" i="181"/>
  <c r="AD20" i="124"/>
  <c r="J56" i="156"/>
  <c r="BW15" i="178"/>
  <c r="BG11" i="125"/>
  <c r="BW13" i="180"/>
  <c r="BY18" i="167"/>
  <c r="CA18" i="167" s="1"/>
  <c r="AD18" i="125"/>
  <c r="D20" i="184"/>
  <c r="C7" i="194"/>
  <c r="BG8" i="123"/>
  <c r="BW12" i="181"/>
  <c r="BY10" i="167"/>
  <c r="BW16" i="180"/>
  <c r="BZ7" i="159"/>
  <c r="BZ16" i="159"/>
  <c r="C8" i="194"/>
  <c r="BG7" i="125"/>
  <c r="BW16" i="178"/>
  <c r="S7" i="104"/>
  <c r="H18" i="174" a="1"/>
  <c r="BX14" i="169"/>
  <c r="BZ14" i="169" s="1"/>
  <c r="Q7" i="124"/>
  <c r="S18" i="171" a="1"/>
  <c r="H18" i="163" a="1"/>
  <c r="T7" i="124"/>
  <c r="BW19" i="181"/>
  <c r="BW14" i="178"/>
  <c r="AD13" i="104"/>
  <c r="AD6" i="104"/>
  <c r="S6" i="104" s="1"/>
  <c r="E26" i="140" a="1"/>
  <c r="P8" i="184"/>
  <c r="S13" i="124"/>
  <c r="BW19" i="180"/>
  <c r="BW15" i="181"/>
  <c r="BW19" i="178"/>
  <c r="E11" i="184"/>
  <c r="T9" i="125"/>
  <c r="F4" i="142"/>
  <c r="BY9" i="167"/>
  <c r="BW17" i="178"/>
  <c r="B13" i="137" a="1"/>
  <c r="BX20" i="169"/>
  <c r="U15" i="125"/>
  <c r="BX16" i="168"/>
  <c r="F56" i="154"/>
  <c r="BG20" i="125"/>
  <c r="C16" i="194"/>
  <c r="BW16" i="179"/>
  <c r="F21" i="155"/>
  <c r="BY15" i="167"/>
  <c r="G18" i="155"/>
  <c r="S15" i="124"/>
  <c r="BG7" i="104"/>
  <c r="H15" i="149" a="1"/>
  <c r="AD14" i="124"/>
  <c r="BX12" i="169"/>
  <c r="Q11" i="123"/>
  <c r="B11" i="198"/>
  <c r="T16" i="104"/>
  <c r="J56" i="155"/>
  <c r="BX11" i="169"/>
  <c r="V6" i="123"/>
  <c r="BX9" i="181"/>
  <c r="S6" i="125"/>
  <c r="H21" i="156"/>
  <c r="S17" i="125"/>
  <c r="V18" i="125"/>
  <c r="BX21" i="168"/>
  <c r="Q13" i="104"/>
  <c r="BY14" i="168"/>
  <c r="E17" i="184"/>
  <c r="BW21" i="181"/>
  <c r="BW11" i="181"/>
  <c r="BG10" i="123"/>
  <c r="D14" i="184"/>
  <c r="E14" i="184" s="1"/>
  <c r="BW22" i="180"/>
  <c r="BX22" i="180" s="1"/>
  <c r="BZ12" i="169"/>
  <c r="V12" i="104"/>
  <c r="BW12" i="179"/>
  <c r="K21" i="156"/>
  <c r="B7" i="198"/>
  <c r="BY6" i="167"/>
  <c r="CA6" i="167" s="1"/>
  <c r="V7" i="124"/>
  <c r="BX17" i="169"/>
  <c r="B13" i="136" a="1"/>
  <c r="R14" i="123"/>
  <c r="BY12" i="179"/>
  <c r="U17" i="104"/>
  <c r="U16" i="104"/>
  <c r="S18" i="124"/>
  <c r="B20" i="198"/>
  <c r="R15" i="123"/>
  <c r="K18" i="156"/>
  <c r="T17" i="104"/>
  <c r="BX13" i="169"/>
  <c r="E26" i="143" a="1"/>
  <c r="BX16" i="180"/>
  <c r="S12" i="125"/>
  <c r="BX18" i="169"/>
  <c r="BG9" i="104"/>
  <c r="B19" i="198"/>
  <c r="BW22" i="178"/>
  <c r="R7" i="124"/>
  <c r="G21" i="156"/>
  <c r="BZ18" i="167"/>
  <c r="CA9" i="167"/>
  <c r="BZ11" i="169"/>
  <c r="S11" i="125"/>
  <c r="BX9" i="169"/>
  <c r="BG17" i="124"/>
  <c r="AD9" i="123"/>
  <c r="AD16" i="124"/>
  <c r="BG14" i="125"/>
  <c r="BZ18" i="169"/>
  <c r="E32" i="184"/>
  <c r="BZ11" i="159"/>
  <c r="BY14" i="167"/>
  <c r="BY19" i="181"/>
  <c r="BY22" i="178"/>
  <c r="C9" i="190"/>
  <c r="Q9" i="125"/>
  <c r="K56" i="155"/>
  <c r="BX7" i="168"/>
  <c r="BX20" i="168"/>
  <c r="CB9" i="159"/>
  <c r="J21" i="155"/>
  <c r="H56" i="154"/>
  <c r="BY15" i="178"/>
  <c r="BX21" i="181"/>
  <c r="BG9" i="124"/>
  <c r="E26" i="142" a="1"/>
  <c r="S16" i="104"/>
  <c r="BX6" i="168"/>
  <c r="B22" i="198"/>
  <c r="BW7" i="179"/>
  <c r="R11" i="123"/>
  <c r="P26" i="184"/>
  <c r="V9" i="125"/>
  <c r="AD8" i="124"/>
  <c r="S8" i="124" s="1"/>
  <c r="U12" i="104"/>
  <c r="AD10" i="124"/>
  <c r="AD18" i="104"/>
  <c r="AD12" i="124"/>
  <c r="BW7" i="178"/>
  <c r="BY7" i="178" s="1"/>
  <c r="BX15" i="168"/>
  <c r="BY17" i="167"/>
  <c r="Q15" i="125"/>
  <c r="S13" i="104"/>
  <c r="B12" i="198"/>
  <c r="BX13" i="180"/>
  <c r="S15" i="123"/>
  <c r="F56" i="157"/>
  <c r="D29" i="184"/>
  <c r="BY19" i="180"/>
  <c r="J18" i="155"/>
  <c r="H56" i="157"/>
  <c r="BW7" i="181"/>
  <c r="V15" i="123"/>
  <c r="V20" i="124"/>
  <c r="U20" i="124"/>
  <c r="BX8" i="168"/>
  <c r="U6" i="123"/>
  <c r="AD21" i="124"/>
  <c r="BY16" i="181"/>
  <c r="D8" i="195"/>
  <c r="BG12" i="124"/>
  <c r="R17" i="104"/>
  <c r="V8" i="125"/>
  <c r="BW15" i="180"/>
  <c r="V16" i="104"/>
  <c r="Q18" i="125"/>
  <c r="B14" i="198"/>
  <c r="BZ22" i="180"/>
  <c r="BX8" i="169"/>
  <c r="U11" i="123"/>
  <c r="BX11" i="168"/>
  <c r="Q20" i="124"/>
  <c r="H18" i="157"/>
  <c r="C5" i="190"/>
  <c r="AD21" i="125"/>
  <c r="S21" i="125" s="1"/>
  <c r="S8" i="123"/>
  <c r="S9" i="125"/>
  <c r="BW13" i="179"/>
  <c r="BX13" i="179" s="1"/>
  <c r="V11" i="123"/>
  <c r="BW18" i="179"/>
  <c r="BZ18" i="179" s="1"/>
  <c r="V17" i="104"/>
  <c r="BZ20" i="178"/>
  <c r="B9" i="198"/>
  <c r="BZ13" i="159"/>
  <c r="S14" i="123"/>
  <c r="BW13" i="178"/>
  <c r="BZ18" i="159"/>
  <c r="BW10" i="178"/>
  <c r="BX10" i="178" s="1"/>
  <c r="CA17" i="167"/>
  <c r="AD10" i="125"/>
  <c r="BY16" i="180"/>
  <c r="R13" i="104"/>
  <c r="BW7" i="180"/>
  <c r="BX7" i="180" s="1"/>
  <c r="BZ19" i="168"/>
  <c r="BX18" i="179"/>
  <c r="BG21" i="125"/>
  <c r="BW19" i="179"/>
  <c r="S18" i="104"/>
  <c r="J56" i="157"/>
  <c r="R9" i="125"/>
  <c r="R18" i="125"/>
  <c r="S8" i="104"/>
  <c r="BY12" i="167"/>
  <c r="CA10" i="167"/>
  <c r="C19" i="194"/>
  <c r="BZ15" i="181"/>
  <c r="BW18" i="178"/>
  <c r="BZ18" i="178" s="1"/>
  <c r="R20" i="124"/>
  <c r="BX18" i="178"/>
  <c r="K56" i="154"/>
  <c r="BZ17" i="159"/>
  <c r="T15" i="123"/>
  <c r="BY21" i="167"/>
  <c r="AD14" i="104"/>
  <c r="BZ10" i="178"/>
  <c r="BY19" i="167"/>
  <c r="BY18" i="178"/>
  <c r="AD7" i="123"/>
  <c r="BW10" i="181"/>
  <c r="BX10" i="181" s="1"/>
  <c r="G18" i="156"/>
  <c r="P11" i="55"/>
  <c r="BW22" i="179"/>
  <c r="S19" i="104"/>
  <c r="T15" i="125"/>
  <c r="V14" i="123"/>
  <c r="BZ16" i="180"/>
  <c r="Q16" i="104"/>
  <c r="CA7" i="159"/>
  <c r="B16" i="198"/>
  <c r="S8" i="184"/>
  <c r="BZ7" i="179"/>
  <c r="BW8" i="180"/>
  <c r="BW12" i="178"/>
  <c r="BX12" i="178" s="1"/>
  <c r="BY16" i="167"/>
  <c r="CA16" i="167" s="1"/>
  <c r="T12" i="104"/>
  <c r="B10" i="198"/>
  <c r="BY13" i="180"/>
  <c r="BZ17" i="178"/>
  <c r="BG19" i="104"/>
  <c r="BY12" i="181"/>
  <c r="AD14" i="125"/>
  <c r="AD10" i="104"/>
  <c r="S18" i="163" a="1"/>
  <c r="BX6" i="181"/>
  <c r="BZ6" i="169"/>
  <c r="BY18" i="179"/>
  <c r="BY10" i="168"/>
  <c r="H18" i="156"/>
  <c r="BW11" i="179"/>
  <c r="BX11" i="179" s="1"/>
  <c r="BW9" i="179"/>
  <c r="BW9" i="178"/>
  <c r="BX17" i="178"/>
  <c r="U8" i="125"/>
  <c r="BG17" i="125"/>
  <c r="BW10" i="179"/>
  <c r="S10" i="124"/>
  <c r="K18" i="155"/>
  <c r="S12" i="124"/>
  <c r="BY10" i="181"/>
  <c r="BY10" i="178"/>
  <c r="C4" i="190"/>
  <c r="BZ19" i="167"/>
  <c r="AD16" i="125"/>
  <c r="BZ10" i="159"/>
  <c r="CB10" i="159" s="1"/>
  <c r="BW20" i="180"/>
  <c r="BY20" i="180" s="1"/>
  <c r="G56" i="154"/>
  <c r="G21" i="154" s="1"/>
  <c r="BZ19" i="159"/>
  <c r="BY20" i="167"/>
  <c r="CA20" i="167" s="1"/>
  <c r="AD20" i="104"/>
  <c r="T6" i="123"/>
  <c r="BZ16" i="178"/>
  <c r="BW8" i="178"/>
  <c r="B8" i="198"/>
  <c r="T14" i="123"/>
  <c r="BW9" i="180"/>
  <c r="BX9" i="180" s="1"/>
  <c r="CB7" i="159"/>
  <c r="BX21" i="169"/>
  <c r="S6" i="123"/>
  <c r="BW17" i="181"/>
  <c r="BX17" i="181" s="1"/>
  <c r="BY22" i="180"/>
  <c r="BY16" i="179"/>
  <c r="BY18" i="169"/>
  <c r="BG7" i="123"/>
  <c r="Q6" i="123"/>
  <c r="F18" i="155"/>
  <c r="AD11" i="124"/>
  <c r="P11" i="184"/>
  <c r="C18" i="194"/>
  <c r="BX7" i="169"/>
  <c r="BY7" i="169" s="1"/>
  <c r="S20" i="104"/>
  <c r="AD19" i="124"/>
  <c r="BY8" i="167"/>
  <c r="BZ14" i="159"/>
  <c r="Q15" i="123"/>
  <c r="V19" i="124"/>
  <c r="BZ6" i="168"/>
  <c r="BY11" i="181"/>
  <c r="BX10" i="169"/>
  <c r="BZ10" i="169" s="1"/>
  <c r="CA11" i="159"/>
  <c r="AD9" i="124"/>
  <c r="U9" i="125"/>
  <c r="BW6" i="178"/>
  <c r="E8" i="139"/>
  <c r="BY21" i="181"/>
  <c r="BZ9" i="178"/>
  <c r="BZ11" i="181"/>
  <c r="BZ9" i="180"/>
  <c r="S21" i="124"/>
  <c r="Q19" i="124"/>
  <c r="CA19" i="167"/>
  <c r="AD13" i="125"/>
  <c r="S13" i="125" s="1"/>
  <c r="BX19" i="169"/>
  <c r="Q8" i="125"/>
  <c r="BZ20" i="159"/>
  <c r="T16" i="125"/>
  <c r="BX23" i="180"/>
  <c r="U7" i="124"/>
  <c r="BY13" i="179"/>
  <c r="I56" i="155"/>
  <c r="C14" i="194"/>
  <c r="BW6" i="179"/>
  <c r="BG13" i="125"/>
  <c r="BX16" i="181"/>
  <c r="U14" i="123"/>
  <c r="CQ12" i="194"/>
  <c r="C20" i="194"/>
  <c r="BW17" i="180"/>
  <c r="BZ7" i="181"/>
  <c r="BY17" i="178"/>
  <c r="BW21" i="178"/>
  <c r="R6" i="123"/>
  <c r="V13" i="104"/>
  <c r="BZ15" i="167"/>
  <c r="S22" i="104"/>
  <c r="BG6" i="124"/>
  <c r="BZ16" i="179"/>
  <c r="BZ22" i="178"/>
  <c r="BX7" i="179"/>
  <c r="AD12" i="123"/>
  <c r="BZ9" i="181"/>
  <c r="BW6" i="180"/>
  <c r="BX6" i="180" s="1"/>
  <c r="BX8" i="179"/>
  <c r="BX21" i="178"/>
  <c r="BX15" i="178"/>
  <c r="BW23" i="181"/>
  <c r="B13" i="198"/>
  <c r="BZ17" i="167"/>
  <c r="BZ6" i="181"/>
  <c r="BZ8" i="168"/>
  <c r="BW10" i="180"/>
  <c r="U12" i="123"/>
  <c r="T20" i="124"/>
  <c r="BZ12" i="159"/>
  <c r="BZ20" i="180"/>
  <c r="BY12" i="178"/>
  <c r="BY17" i="181"/>
  <c r="S10" i="104"/>
  <c r="BZ11" i="179"/>
  <c r="S9" i="124"/>
  <c r="AD7" i="125"/>
  <c r="BG6" i="125"/>
  <c r="AD15" i="104"/>
  <c r="S18" i="170" a="1"/>
  <c r="BW11" i="178"/>
  <c r="T8" i="125"/>
  <c r="BZ12" i="179"/>
  <c r="K56" i="157"/>
  <c r="BZ7" i="178"/>
  <c r="BW12" i="180"/>
  <c r="T8" i="184"/>
  <c r="BG10" i="124"/>
  <c r="U16" i="125"/>
  <c r="BZ15" i="168"/>
  <c r="BW14" i="179"/>
  <c r="BX14" i="179" s="1"/>
  <c r="E20" i="184"/>
  <c r="BY12" i="180"/>
  <c r="AD17" i="124"/>
  <c r="BG18" i="124"/>
  <c r="BZ14" i="178"/>
  <c r="BW15" i="179"/>
  <c r="BY15" i="179" s="1"/>
  <c r="BZ8" i="159"/>
  <c r="CB8" i="159" s="1"/>
  <c r="Q17" i="104"/>
  <c r="CA13" i="159"/>
  <c r="T11" i="123"/>
  <c r="S17" i="104"/>
  <c r="S7" i="125"/>
  <c r="S20" i="124"/>
  <c r="C6" i="194"/>
  <c r="BW8" i="181"/>
  <c r="BZ15" i="178"/>
  <c r="Q12" i="104"/>
  <c r="BX15" i="179"/>
  <c r="BX15" i="181"/>
  <c r="BX12" i="179"/>
  <c r="BZ17" i="181"/>
  <c r="BY11" i="179"/>
  <c r="BY10" i="169"/>
  <c r="BY17" i="180"/>
  <c r="BY9" i="181"/>
  <c r="J56" i="154"/>
  <c r="BZ7" i="169"/>
  <c r="BG9" i="123"/>
  <c r="BX9" i="168"/>
  <c r="BY9" i="168" s="1"/>
  <c r="BG6" i="104"/>
  <c r="BW21" i="179"/>
  <c r="BY21" i="179" s="1"/>
  <c r="BW17" i="179"/>
  <c r="BY11" i="167"/>
  <c r="BZ21" i="159"/>
  <c r="CB21" i="159" s="1"/>
  <c r="BZ16" i="181"/>
  <c r="Q16" i="125"/>
  <c r="BY12" i="169"/>
  <c r="BY6" i="168"/>
  <c r="S14" i="125"/>
  <c r="CV12" i="194"/>
  <c r="BX23" i="181"/>
  <c r="CB14" i="159"/>
  <c r="BX7" i="178"/>
  <c r="BX16" i="169"/>
  <c r="BX11" i="181"/>
  <c r="BZ7" i="180"/>
  <c r="I56" i="157"/>
  <c r="BG19" i="125"/>
  <c r="BW13" i="181"/>
  <c r="BW20" i="181"/>
  <c r="BZ21" i="179"/>
  <c r="BY13" i="167"/>
  <c r="B18" i="198"/>
  <c r="S6" i="124"/>
  <c r="V15" i="125"/>
  <c r="BY13" i="169"/>
  <c r="BZ14" i="167"/>
  <c r="B15" i="198"/>
  <c r="BZ20" i="169"/>
  <c r="J21" i="157"/>
  <c r="V12" i="123"/>
  <c r="BZ20" i="168"/>
  <c r="B17" i="198"/>
  <c r="C13" i="194"/>
  <c r="CA16" i="159"/>
  <c r="BZ19" i="181"/>
  <c r="BZ9" i="167"/>
  <c r="BG20" i="104"/>
  <c r="BY20" i="181"/>
  <c r="S9" i="123"/>
  <c r="BX17" i="168"/>
  <c r="BW14" i="180"/>
  <c r="BY14" i="180" s="1"/>
  <c r="BY14" i="178"/>
  <c r="BW23" i="178"/>
  <c r="BY17" i="168"/>
  <c r="BW18" i="180"/>
  <c r="BZ18" i="180" s="1"/>
  <c r="BX6" i="179"/>
  <c r="BY9" i="179"/>
  <c r="BX10" i="179"/>
  <c r="E5" i="184"/>
  <c r="BZ23" i="180"/>
  <c r="C11" i="194"/>
  <c r="BY15" i="181"/>
  <c r="S18" i="125"/>
  <c r="S19" i="125"/>
  <c r="BZ15" i="179"/>
  <c r="BW11" i="180"/>
  <c r="S16" i="124"/>
  <c r="S15" i="125"/>
  <c r="BX18" i="168"/>
  <c r="BZ12" i="178"/>
  <c r="S11" i="124"/>
  <c r="BX14" i="180"/>
  <c r="S14" i="124"/>
  <c r="E23" i="184"/>
  <c r="P23" i="184" s="1"/>
  <c r="G18" i="157"/>
  <c r="BX13" i="168"/>
  <c r="BY13" i="168" s="1"/>
  <c r="H21" i="155"/>
  <c r="F18" i="156"/>
  <c r="BX14" i="178"/>
  <c r="BX12" i="181"/>
  <c r="BW23" i="179"/>
  <c r="S11" i="123"/>
  <c r="C10" i="194"/>
  <c r="BY17" i="169"/>
  <c r="BX15" i="169"/>
  <c r="BY7" i="167"/>
  <c r="BZ7" i="167" s="1"/>
  <c r="G21" i="157"/>
  <c r="CA21" i="167"/>
  <c r="S12" i="123"/>
  <c r="BZ14" i="179"/>
  <c r="BZ14" i="180"/>
  <c r="BY18" i="180"/>
  <c r="H18" i="171" a="1"/>
  <c r="AD10" i="123"/>
  <c r="BW14" i="181"/>
  <c r="CA10" i="159"/>
  <c r="AD21" i="104"/>
  <c r="C9" i="186"/>
  <c r="BW22" i="181"/>
  <c r="BZ6" i="159"/>
  <c r="CA6" i="159" s="1"/>
  <c r="F21" i="157"/>
  <c r="R12" i="104"/>
  <c r="BW21" i="180"/>
  <c r="BZ21" i="180" s="1"/>
  <c r="S7" i="123"/>
  <c r="BW20" i="179"/>
  <c r="BX19" i="180"/>
  <c r="BZ15" i="180"/>
  <c r="S14" i="104"/>
  <c r="BY14" i="179"/>
  <c r="BZ6" i="180"/>
  <c r="BX18" i="180"/>
  <c r="BX12" i="168"/>
  <c r="BZ12" i="168" s="1"/>
  <c r="S20" i="125"/>
  <c r="BX14" i="181"/>
  <c r="BY14" i="169"/>
  <c r="S10" i="125"/>
  <c r="BY7" i="179"/>
  <c r="BW18" i="181"/>
  <c r="BX22" i="178"/>
  <c r="AD13" i="123"/>
  <c r="S13" i="123" s="1"/>
  <c r="BY21" i="180"/>
  <c r="T18" i="125"/>
  <c r="U18" i="125"/>
  <c r="T13" i="104"/>
  <c r="U13" i="104"/>
  <c r="BZ19" i="178"/>
  <c r="BX13" i="178"/>
  <c r="BY19" i="179"/>
  <c r="BZ19" i="179"/>
  <c r="BX22" i="179"/>
  <c r="BZ8" i="180"/>
  <c r="BY8" i="180"/>
  <c r="BZ9" i="179"/>
  <c r="BX9" i="179"/>
  <c r="V16" i="125"/>
  <c r="S16" i="125"/>
  <c r="R16" i="125"/>
  <c r="CA19" i="159"/>
  <c r="CB19" i="159"/>
  <c r="BY8" i="178"/>
  <c r="BX8" i="178"/>
  <c r="T11" i="184"/>
  <c r="U19" i="124"/>
  <c r="S19" i="124"/>
  <c r="T19" i="124"/>
  <c r="BZ6" i="178"/>
  <c r="BX6" i="178"/>
  <c r="BY6" i="178"/>
  <c r="I21" i="155"/>
  <c r="BY6" i="179"/>
  <c r="BZ6" i="179"/>
  <c r="BZ17" i="180"/>
  <c r="T12" i="123"/>
  <c r="R12" i="123"/>
  <c r="Q12" i="123"/>
  <c r="BZ23" i="181"/>
  <c r="CA12" i="159"/>
  <c r="CB12" i="159"/>
  <c r="S15" i="104"/>
  <c r="BX11" i="178"/>
  <c r="BY11" i="178"/>
  <c r="BY8" i="181"/>
  <c r="BZ8" i="181"/>
  <c r="BX8" i="181"/>
  <c r="BX17" i="179"/>
  <c r="BZ16" i="169"/>
  <c r="BY16" i="169"/>
  <c r="I18" i="157"/>
  <c r="BX13" i="181"/>
  <c r="BZ13" i="181"/>
  <c r="BY23" i="178"/>
  <c r="BZ23" i="178"/>
  <c r="BX11" i="180"/>
  <c r="BZ11" i="180"/>
  <c r="BY11" i="180"/>
  <c r="S23" i="184"/>
  <c r="BX23" i="179"/>
  <c r="BZ23" i="179"/>
  <c r="BY23" i="179"/>
  <c r="BZ14" i="181"/>
  <c r="S21" i="104"/>
  <c r="V21" i="104"/>
  <c r="T21" i="104"/>
  <c r="Q21" i="104"/>
  <c r="U21" i="104"/>
  <c r="R21" i="104"/>
  <c r="C4" i="186"/>
  <c r="C6" i="186"/>
  <c r="C5" i="186"/>
  <c r="BY22" i="181"/>
  <c r="BZ22" i="181"/>
  <c r="BX22" i="181"/>
  <c r="BX20" i="179"/>
  <c r="BZ20" i="179"/>
  <c r="BZ18" i="181"/>
  <c r="BJ15" i="104" l="1"/>
  <c r="N135" i="148"/>
  <c r="P81" i="148"/>
  <c r="K59" i="148"/>
  <c r="M45" i="148"/>
  <c r="S166" i="148"/>
  <c r="P92" i="148"/>
  <c r="T70" i="148"/>
  <c r="N188" i="148"/>
  <c r="O134" i="148"/>
  <c r="T67" i="148"/>
  <c r="O62" i="148"/>
  <c r="N20" i="148"/>
  <c r="K168" i="148"/>
  <c r="I151" i="148"/>
  <c r="S98" i="148"/>
  <c r="K67" i="148"/>
  <c r="H28" i="148"/>
  <c r="K37" i="148"/>
  <c r="P151" i="148"/>
  <c r="H132" i="148"/>
  <c r="H124" i="148"/>
  <c r="H47" i="148"/>
  <c r="R149" i="148"/>
  <c r="R46" i="148"/>
  <c r="S189" i="148"/>
  <c r="H105" i="148"/>
  <c r="I183" i="148"/>
  <c r="M136" i="148"/>
  <c r="O82" i="148"/>
  <c r="T107" i="148"/>
  <c r="Q39" i="148"/>
  <c r="T170" i="148"/>
  <c r="T98" i="148"/>
  <c r="K76" i="148"/>
  <c r="N148" i="148"/>
  <c r="L145" i="148"/>
  <c r="N77" i="148"/>
  <c r="L55" i="148"/>
  <c r="I85" i="148"/>
  <c r="T166" i="148"/>
  <c r="O151" i="148"/>
  <c r="R78" i="148"/>
  <c r="M92" i="148"/>
  <c r="P19" i="148"/>
  <c r="O15" i="148"/>
  <c r="H154" i="148"/>
  <c r="H133" i="148"/>
  <c r="O120" i="148"/>
  <c r="M55" i="148"/>
  <c r="H141" i="148"/>
  <c r="R20" i="148"/>
  <c r="J183" i="148"/>
  <c r="H116" i="148"/>
  <c r="L164" i="148"/>
  <c r="Q143" i="148"/>
  <c r="O73" i="148"/>
  <c r="H75" i="148"/>
  <c r="T19" i="148"/>
  <c r="M175" i="148"/>
  <c r="K95" i="148"/>
  <c r="S60" i="148"/>
  <c r="R152" i="148"/>
  <c r="Q100" i="148"/>
  <c r="Q70" i="148"/>
  <c r="J47" i="148"/>
  <c r="I76" i="148"/>
  <c r="L179" i="148"/>
  <c r="L102" i="148"/>
  <c r="R131" i="148"/>
  <c r="O50" i="148"/>
  <c r="P128" i="148"/>
  <c r="I175" i="148"/>
  <c r="M128" i="148"/>
  <c r="O74" i="148"/>
  <c r="K74" i="148"/>
  <c r="S28" i="148"/>
  <c r="Q96" i="148"/>
  <c r="R188" i="148"/>
  <c r="J116" i="148"/>
  <c r="P130" i="148"/>
  <c r="N154" i="148"/>
  <c r="O188" i="148"/>
  <c r="R86" i="148"/>
  <c r="N34" i="148"/>
  <c r="N185" i="148"/>
  <c r="H178" i="148"/>
  <c r="R100" i="148"/>
  <c r="R51" i="148"/>
  <c r="P146" i="148"/>
  <c r="H89" i="148"/>
  <c r="N120" i="148"/>
  <c r="Q32" i="148"/>
  <c r="J113" i="148"/>
  <c r="J169" i="148"/>
  <c r="H111" i="148"/>
  <c r="J82" i="148"/>
  <c r="T32" i="148"/>
  <c r="L82" i="148"/>
  <c r="H168" i="148"/>
  <c r="S132" i="148"/>
  <c r="M78" i="148"/>
  <c r="L85" i="148"/>
  <c r="H24" i="148"/>
  <c r="N103" i="148"/>
  <c r="K188" i="148"/>
  <c r="I117" i="148"/>
  <c r="P135" i="148"/>
  <c r="P179" i="148"/>
  <c r="R73" i="148"/>
  <c r="N172" i="148"/>
  <c r="O107" i="148"/>
  <c r="O113" i="148"/>
  <c r="N98" i="148"/>
  <c r="O189" i="148"/>
  <c r="N138" i="148"/>
  <c r="J28" i="148"/>
  <c r="S157" i="148"/>
  <c r="O98" i="148"/>
  <c r="H190" i="148"/>
  <c r="H175" i="148"/>
  <c r="L89" i="148"/>
  <c r="L49" i="148"/>
  <c r="K176" i="148"/>
  <c r="S46" i="148"/>
  <c r="Q190" i="148"/>
  <c r="L108" i="148"/>
  <c r="T81" i="148"/>
  <c r="N40" i="148"/>
  <c r="H130" i="148"/>
  <c r="H174" i="148"/>
  <c r="H60" i="148"/>
  <c r="H16" i="148"/>
  <c r="T80" i="148"/>
  <c r="S167" i="148"/>
  <c r="T57" i="148"/>
  <c r="J68" i="148"/>
  <c r="L90" i="148"/>
  <c r="N36" i="148"/>
  <c r="O183" i="148"/>
  <c r="H125" i="148"/>
  <c r="L21" i="148"/>
  <c r="R172" i="148"/>
  <c r="K97" i="148"/>
  <c r="M117" i="148"/>
  <c r="T28" i="148"/>
  <c r="S48" i="148"/>
  <c r="O156" i="148"/>
  <c r="T92" i="148"/>
  <c r="S95" i="148"/>
  <c r="N39" i="148"/>
  <c r="Q151" i="148"/>
  <c r="R50" i="148"/>
  <c r="Q89" i="148"/>
  <c r="P33" i="148"/>
  <c r="P100" i="148"/>
  <c r="T167" i="148"/>
  <c r="N80" i="148"/>
  <c r="I19" i="148"/>
  <c r="Q107" i="148"/>
  <c r="K93" i="148"/>
  <c r="P45" i="148"/>
  <c r="T152" i="148"/>
  <c r="H55" i="148"/>
  <c r="Q35" i="148"/>
  <c r="N116" i="148"/>
  <c r="N56" i="148"/>
  <c r="J41" i="148"/>
  <c r="M188" i="148"/>
  <c r="Q142" i="148"/>
  <c r="S87" i="148"/>
  <c r="J150" i="148"/>
  <c r="K31" i="148"/>
  <c r="S181" i="148"/>
  <c r="T102" i="148"/>
  <c r="O95" i="148"/>
  <c r="R153" i="148"/>
  <c r="Q182" i="148"/>
  <c r="J84" i="148"/>
  <c r="M33" i="148"/>
  <c r="Q94" i="148"/>
  <c r="Q172" i="148"/>
  <c r="J175" i="148"/>
  <c r="K86" i="148"/>
  <c r="N69" i="148"/>
  <c r="K18" i="148"/>
  <c r="H20" i="148"/>
  <c r="M162" i="148"/>
  <c r="M143" i="148"/>
  <c r="H56" i="148"/>
  <c r="P31" i="148"/>
  <c r="H181" i="148"/>
  <c r="N21" i="148"/>
  <c r="N145" i="148"/>
  <c r="O124" i="148"/>
  <c r="M187" i="148"/>
  <c r="Q146" i="148"/>
  <c r="R93" i="148"/>
  <c r="K62" i="148"/>
  <c r="R24" i="148"/>
  <c r="L170" i="148"/>
  <c r="T111" i="148"/>
  <c r="K100" i="148"/>
  <c r="O160" i="148"/>
  <c r="H95" i="148"/>
  <c r="M104" i="148"/>
  <c r="H42" i="148"/>
  <c r="I70" i="148"/>
  <c r="I165" i="148"/>
  <c r="H96" i="148"/>
  <c r="I105" i="148"/>
  <c r="P41" i="148"/>
  <c r="R176" i="148"/>
  <c r="S27" i="148"/>
  <c r="N127" i="148"/>
  <c r="P75" i="148"/>
  <c r="K64" i="148"/>
  <c r="J49" i="148"/>
  <c r="S114" i="148"/>
  <c r="P38" i="148"/>
  <c r="O147" i="148"/>
  <c r="H122" i="148"/>
  <c r="N160" i="148"/>
  <c r="T93" i="148"/>
  <c r="O96" i="148"/>
  <c r="J39" i="148"/>
  <c r="R190" i="148"/>
  <c r="R112" i="148"/>
  <c r="J109" i="148"/>
  <c r="K30" i="148"/>
  <c r="T157" i="148"/>
  <c r="J96" i="148"/>
  <c r="N64" i="148"/>
  <c r="N31" i="148"/>
  <c r="I95" i="148"/>
  <c r="R185" i="148"/>
  <c r="P118" i="148"/>
  <c r="J93" i="148"/>
  <c r="H38" i="148"/>
  <c r="I107" i="148"/>
  <c r="O176" i="148"/>
  <c r="K138" i="148"/>
  <c r="Q83" i="148"/>
  <c r="T109" i="148"/>
  <c r="I24" i="148"/>
  <c r="Q81" i="148"/>
  <c r="I169" i="148"/>
  <c r="M122" i="148"/>
  <c r="R154" i="148"/>
  <c r="R173" i="148"/>
  <c r="P99" i="148"/>
  <c r="L123" i="148"/>
  <c r="K47" i="148"/>
  <c r="K190" i="148"/>
  <c r="Q113" i="148"/>
  <c r="H117" i="148"/>
  <c r="N175" i="148"/>
  <c r="K161" i="148"/>
  <c r="O101" i="148"/>
  <c r="I69" i="148"/>
  <c r="I30" i="148"/>
  <c r="J43" i="148"/>
  <c r="O143" i="148"/>
  <c r="L113" i="148"/>
  <c r="K84" i="148"/>
  <c r="N49" i="148"/>
  <c r="H72" i="148"/>
  <c r="T185" i="148"/>
  <c r="J131" i="148"/>
  <c r="H66" i="148"/>
  <c r="O57" i="148"/>
  <c r="O18" i="148"/>
  <c r="M72" i="148"/>
  <c r="L163" i="148"/>
  <c r="S126" i="148"/>
  <c r="H188" i="148"/>
  <c r="M120" i="148"/>
  <c r="N60" i="148"/>
  <c r="N180" i="148"/>
  <c r="J71" i="148"/>
  <c r="P120" i="148"/>
  <c r="Q42" i="148"/>
  <c r="J179" i="148"/>
  <c r="P62" i="148"/>
  <c r="S17" i="148"/>
  <c r="Q165" i="148"/>
  <c r="O69" i="148"/>
  <c r="S163" i="148"/>
  <c r="O148" i="148"/>
  <c r="T85" i="148"/>
  <c r="L35" i="148"/>
  <c r="T173" i="148"/>
  <c r="J188" i="148"/>
  <c r="N115" i="148"/>
  <c r="L128" i="148"/>
  <c r="J105" i="148"/>
  <c r="M54" i="148"/>
  <c r="S89" i="148"/>
  <c r="K155" i="148"/>
  <c r="R90" i="148"/>
  <c r="O179" i="148"/>
  <c r="Q99" i="148"/>
  <c r="L141" i="148"/>
  <c r="H140" i="148"/>
  <c r="I49" i="148"/>
  <c r="N94" i="148"/>
  <c r="I29" i="148"/>
  <c r="Q170" i="148"/>
  <c r="O165" i="148"/>
  <c r="Q17" i="148"/>
  <c r="I186" i="148"/>
  <c r="J106" i="148"/>
  <c r="O55" i="148"/>
  <c r="K16" i="148"/>
  <c r="T31" i="148"/>
  <c r="I155" i="148"/>
  <c r="Q102" i="148"/>
  <c r="P73" i="148"/>
  <c r="J51" i="148"/>
  <c r="I158" i="148"/>
  <c r="S180" i="148"/>
  <c r="K119" i="148"/>
  <c r="H23" i="148"/>
  <c r="P134" i="148"/>
  <c r="M151" i="148"/>
  <c r="Q176" i="148"/>
  <c r="T155" i="148"/>
  <c r="K109" i="148"/>
  <c r="I59" i="148"/>
  <c r="J30" i="148"/>
  <c r="P87" i="148"/>
  <c r="Q52" i="148"/>
  <c r="P50" i="148"/>
  <c r="J166" i="148"/>
  <c r="L74" i="148"/>
  <c r="O23" i="148"/>
  <c r="K170" i="148"/>
  <c r="O155" i="148"/>
  <c r="K101" i="148"/>
  <c r="R70" i="148"/>
  <c r="I27" i="148"/>
  <c r="J142" i="148"/>
  <c r="M119" i="148"/>
  <c r="S59" i="148"/>
  <c r="K171" i="148"/>
  <c r="H99" i="148"/>
  <c r="P117" i="148"/>
  <c r="O46" i="148"/>
  <c r="R84" i="148"/>
  <c r="Q178" i="148"/>
  <c r="H100" i="148"/>
  <c r="N122" i="148"/>
  <c r="K46" i="148"/>
  <c r="Q15" i="148"/>
  <c r="P28" i="148"/>
  <c r="R132" i="148"/>
  <c r="P79" i="148"/>
  <c r="Q105" i="148"/>
  <c r="K40" i="148"/>
  <c r="S130" i="148"/>
  <c r="O32" i="148"/>
  <c r="I153" i="148"/>
  <c r="O132" i="148"/>
  <c r="O168" i="148"/>
  <c r="H157" i="148"/>
  <c r="L81" i="148"/>
  <c r="L129" i="148"/>
  <c r="J18" i="148"/>
  <c r="K144" i="148"/>
  <c r="O104" i="148"/>
  <c r="I72" i="148"/>
  <c r="S159" i="148"/>
  <c r="I106" i="148"/>
  <c r="J77" i="148"/>
  <c r="L29" i="148"/>
  <c r="K137" i="148"/>
  <c r="I150" i="148"/>
  <c r="L106" i="148"/>
  <c r="N159" i="148"/>
  <c r="S55" i="148"/>
  <c r="O109" i="148"/>
  <c r="M180" i="148"/>
  <c r="Q133" i="148"/>
  <c r="S79" i="148"/>
  <c r="R94" i="148"/>
  <c r="Q30" i="148"/>
  <c r="T122" i="148"/>
  <c r="L18" i="148"/>
  <c r="N121" i="148"/>
  <c r="I146" i="148"/>
  <c r="P184" i="148"/>
  <c r="P103" i="148"/>
  <c r="T139" i="148"/>
  <c r="O52" i="148"/>
  <c r="I171" i="148"/>
  <c r="I119" i="148"/>
  <c r="M127" i="148"/>
  <c r="R180" i="148"/>
  <c r="S183" i="148"/>
  <c r="P111" i="148"/>
  <c r="N78" i="148"/>
  <c r="S37" i="148"/>
  <c r="R45" i="148"/>
  <c r="T148" i="148"/>
  <c r="L124" i="148"/>
  <c r="R107" i="148"/>
  <c r="Q45" i="148"/>
  <c r="T130" i="148"/>
  <c r="L162" i="148"/>
  <c r="Q138" i="148"/>
  <c r="H70" i="148"/>
  <c r="N68" i="148"/>
  <c r="O20" i="148"/>
  <c r="S100" i="148"/>
  <c r="N167" i="148"/>
  <c r="K132" i="148"/>
  <c r="Q77" i="148"/>
  <c r="T172" i="148"/>
  <c r="P113" i="148"/>
  <c r="N86" i="148"/>
  <c r="I35" i="148"/>
  <c r="P164" i="148"/>
  <c r="O123" i="148"/>
  <c r="K98" i="148"/>
  <c r="K180" i="148"/>
  <c r="I109" i="148"/>
  <c r="T118" i="148"/>
  <c r="Q103" i="148"/>
  <c r="T22" i="148"/>
  <c r="J190" i="148"/>
  <c r="N117" i="148"/>
  <c r="M133" i="148"/>
  <c r="S125" i="148"/>
  <c r="R29" i="148"/>
  <c r="O157" i="148"/>
  <c r="R151" i="148"/>
  <c r="S156" i="148"/>
  <c r="R81" i="148"/>
  <c r="Q31" i="148"/>
  <c r="Q183" i="148"/>
  <c r="L110" i="148"/>
  <c r="M177" i="148"/>
  <c r="Q122" i="148"/>
  <c r="T61" i="148"/>
  <c r="S127" i="148"/>
  <c r="P141" i="148"/>
  <c r="S145" i="148"/>
  <c r="P54" i="148"/>
  <c r="I90" i="148"/>
  <c r="N29" i="148"/>
  <c r="Q158" i="148"/>
  <c r="J99" i="148"/>
  <c r="M137" i="148"/>
  <c r="Q117" i="148"/>
  <c r="K56" i="148"/>
  <c r="R98" i="148"/>
  <c r="P172" i="148"/>
  <c r="I68" i="148"/>
  <c r="J42" i="148"/>
  <c r="I137" i="148"/>
  <c r="M168" i="148"/>
  <c r="Q121" i="148"/>
  <c r="I148" i="148"/>
  <c r="J62" i="148"/>
  <c r="I23" i="148"/>
  <c r="L87" i="148"/>
  <c r="M158" i="148"/>
  <c r="K65" i="148"/>
  <c r="I166" i="148"/>
  <c r="O93" i="148"/>
  <c r="K108" i="148"/>
  <c r="J72" i="148"/>
  <c r="K184" i="148"/>
  <c r="T126" i="148"/>
  <c r="N22" i="148"/>
  <c r="O152" i="148"/>
  <c r="Q86" i="148"/>
  <c r="S175" i="148"/>
  <c r="K166" i="148"/>
  <c r="H69" i="148"/>
  <c r="L45" i="148"/>
  <c r="L188" i="148"/>
  <c r="H37" i="148"/>
  <c r="I163" i="148"/>
  <c r="O99" i="148"/>
  <c r="S67" i="148"/>
  <c r="I32" i="148"/>
  <c r="K90" i="148"/>
  <c r="P167" i="148"/>
  <c r="L133" i="148"/>
  <c r="H17" i="148"/>
  <c r="T76" i="148"/>
  <c r="P156" i="148"/>
  <c r="N134" i="148"/>
  <c r="I124" i="148"/>
  <c r="I157" i="148"/>
  <c r="P55" i="148"/>
  <c r="K178" i="148"/>
  <c r="T115" i="148"/>
  <c r="J21" i="148"/>
  <c r="M190" i="148"/>
  <c r="T89" i="148"/>
  <c r="K82" i="148"/>
  <c r="K20" i="148"/>
  <c r="I172" i="148"/>
  <c r="R156" i="148"/>
  <c r="H58" i="148"/>
  <c r="I36" i="148"/>
  <c r="J167" i="148"/>
  <c r="N140" i="148"/>
  <c r="L63" i="148"/>
  <c r="M171" i="148"/>
  <c r="S134" i="148"/>
  <c r="M80" i="148"/>
  <c r="M94" i="148"/>
  <c r="K27" i="148"/>
  <c r="M186" i="148"/>
  <c r="Q139" i="148"/>
  <c r="S85" i="148"/>
  <c r="I134" i="148"/>
  <c r="Q48" i="148"/>
  <c r="J152" i="148"/>
  <c r="Q154" i="148"/>
  <c r="O110" i="148"/>
  <c r="P57" i="148"/>
  <c r="M35" i="148"/>
  <c r="Q180" i="148"/>
  <c r="N89" i="148"/>
  <c r="N163" i="148"/>
  <c r="L95" i="148"/>
  <c r="K102" i="148"/>
  <c r="J130" i="148"/>
  <c r="P77" i="148"/>
  <c r="N79" i="148"/>
  <c r="N54" i="148"/>
  <c r="O158" i="148"/>
  <c r="S173" i="148"/>
  <c r="T66" i="148"/>
  <c r="R181" i="148"/>
  <c r="H126" i="148"/>
  <c r="T63" i="148"/>
  <c r="J135" i="148"/>
  <c r="H19" i="148"/>
  <c r="H184" i="148"/>
  <c r="I144" i="148"/>
  <c r="R89" i="148"/>
  <c r="R59" i="148"/>
  <c r="R22" i="148"/>
  <c r="L39" i="148"/>
  <c r="J146" i="148"/>
  <c r="L125" i="148"/>
  <c r="J104" i="148"/>
  <c r="M42" i="148"/>
  <c r="O164" i="148"/>
  <c r="O31" i="148"/>
  <c r="H177" i="148"/>
  <c r="H101" i="148"/>
  <c r="T179" i="148"/>
  <c r="S140" i="148"/>
  <c r="M86" i="148"/>
  <c r="T136" i="148"/>
  <c r="L27" i="148"/>
  <c r="R158" i="148"/>
  <c r="M105" i="148"/>
  <c r="M66" i="148"/>
  <c r="O154" i="148"/>
  <c r="H91" i="148"/>
  <c r="J89" i="148"/>
  <c r="P37" i="148"/>
  <c r="Q64" i="148"/>
  <c r="R157" i="148"/>
  <c r="H92" i="148"/>
  <c r="K91" i="148"/>
  <c r="L37" i="148"/>
  <c r="S155" i="148"/>
  <c r="J17" i="148"/>
  <c r="J122" i="148"/>
  <c r="L147" i="148"/>
  <c r="T72" i="148"/>
  <c r="H39" i="148"/>
  <c r="M146" i="148"/>
  <c r="L36" i="148"/>
  <c r="K142" i="148"/>
  <c r="P110" i="148"/>
  <c r="K189" i="148"/>
  <c r="L135" i="148"/>
  <c r="H68" i="148"/>
  <c r="N63" i="148"/>
  <c r="H18" i="148"/>
  <c r="N155" i="148"/>
  <c r="T88" i="148"/>
  <c r="T37" i="148"/>
  <c r="R145" i="148"/>
  <c r="M95" i="148"/>
  <c r="M65" i="148"/>
  <c r="N37" i="148"/>
  <c r="S58" i="148"/>
  <c r="N168" i="148"/>
  <c r="L98" i="148"/>
  <c r="H115" i="148"/>
  <c r="K45" i="148"/>
  <c r="H102" i="148"/>
  <c r="Q169" i="148"/>
  <c r="I123" i="148"/>
  <c r="N166" i="148"/>
  <c r="R64" i="148"/>
  <c r="M24" i="148"/>
  <c r="P140" i="148"/>
  <c r="N183" i="148"/>
  <c r="R110" i="148"/>
  <c r="L117" i="148"/>
  <c r="S161" i="148"/>
  <c r="S106" i="148"/>
  <c r="S184" i="148"/>
  <c r="J107" i="148"/>
  <c r="Q149" i="148"/>
  <c r="R60" i="148"/>
  <c r="H30" i="148"/>
  <c r="R103" i="148"/>
  <c r="J35" i="148"/>
  <c r="L178" i="148"/>
  <c r="H62" i="148"/>
  <c r="K17" i="148"/>
  <c r="L159" i="148"/>
  <c r="I132" i="148"/>
  <c r="R66" i="148"/>
  <c r="I17" i="148"/>
  <c r="O42" i="148"/>
  <c r="K163" i="148"/>
  <c r="P108" i="148"/>
  <c r="R79" i="148"/>
  <c r="J31" i="148"/>
  <c r="O125" i="148"/>
  <c r="K186" i="148"/>
  <c r="I130" i="148"/>
  <c r="K22" i="148"/>
  <c r="S143" i="148"/>
  <c r="Q156" i="148"/>
  <c r="H59" i="148"/>
  <c r="K88" i="148"/>
  <c r="R117" i="148"/>
  <c r="L73" i="148"/>
  <c r="I47" i="148"/>
  <c r="Q93" i="148"/>
  <c r="T39" i="148"/>
  <c r="J59" i="148"/>
  <c r="Q92" i="148"/>
  <c r="J88" i="148"/>
  <c r="Q28" i="148"/>
  <c r="M61" i="148"/>
  <c r="T184" i="148"/>
  <c r="L138" i="148"/>
  <c r="Q72" i="148"/>
  <c r="P52" i="148"/>
  <c r="J155" i="148"/>
  <c r="Q27" i="148"/>
  <c r="P169" i="148"/>
  <c r="Q33" i="148"/>
  <c r="S152" i="148"/>
  <c r="M182" i="148"/>
  <c r="S81" i="148"/>
  <c r="M36" i="148"/>
  <c r="H144" i="148"/>
  <c r="H109" i="148"/>
  <c r="T133" i="148"/>
  <c r="O108" i="148"/>
  <c r="K58" i="148"/>
  <c r="I71" i="148"/>
  <c r="S110" i="148"/>
  <c r="R62" i="148"/>
  <c r="M49" i="148"/>
  <c r="H182" i="148"/>
  <c r="K129" i="148"/>
  <c r="K15" i="148"/>
  <c r="T135" i="148"/>
  <c r="S144" i="148"/>
  <c r="H86" i="148"/>
  <c r="K66" i="148"/>
  <c r="S133" i="148"/>
  <c r="P47" i="148"/>
  <c r="O167" i="148"/>
  <c r="I97" i="148"/>
  <c r="M27" i="148"/>
  <c r="Q179" i="148"/>
  <c r="K79" i="148"/>
  <c r="P107" i="148"/>
  <c r="J33" i="148"/>
  <c r="M124" i="148"/>
  <c r="J186" i="148"/>
  <c r="H123" i="148"/>
  <c r="M50" i="148"/>
  <c r="T154" i="148"/>
  <c r="L126" i="148"/>
  <c r="I74" i="148"/>
  <c r="O150" i="148"/>
  <c r="O89" i="148"/>
  <c r="L83" i="148"/>
  <c r="O137" i="148"/>
  <c r="M150" i="148"/>
  <c r="Q136" i="148"/>
  <c r="P187" i="148"/>
  <c r="S121" i="148"/>
  <c r="K124" i="148"/>
  <c r="I67" i="148"/>
  <c r="Q175" i="148"/>
  <c r="K75" i="148"/>
  <c r="O33" i="148"/>
  <c r="T178" i="148"/>
  <c r="O130" i="148"/>
  <c r="O184" i="148"/>
  <c r="J151" i="148"/>
  <c r="S80" i="148"/>
  <c r="P138" i="148"/>
  <c r="M31" i="148"/>
  <c r="H134" i="148"/>
  <c r="Q166" i="148"/>
  <c r="P127" i="148"/>
  <c r="T16" i="148"/>
  <c r="O133" i="148"/>
  <c r="I86" i="148"/>
  <c r="I53" i="148"/>
  <c r="I110" i="148"/>
  <c r="L32" i="148"/>
  <c r="J45" i="148"/>
  <c r="H93" i="148"/>
  <c r="K106" i="148"/>
  <c r="H110" i="148"/>
  <c r="O100" i="148"/>
  <c r="M118" i="148"/>
  <c r="R33" i="148"/>
  <c r="P40" i="148"/>
  <c r="P131" i="148"/>
  <c r="S33" i="148"/>
  <c r="I184" i="148"/>
  <c r="L65" i="148"/>
  <c r="Q19" i="148"/>
  <c r="I120" i="148"/>
  <c r="N139" i="148"/>
  <c r="P154" i="148"/>
  <c r="K153" i="148"/>
  <c r="I108" i="148"/>
  <c r="N128" i="148"/>
  <c r="J154" i="148"/>
  <c r="L33" i="148"/>
  <c r="O187" i="148"/>
  <c r="J133" i="148"/>
  <c r="K26" i="148"/>
  <c r="M147" i="148"/>
  <c r="I190" i="148"/>
  <c r="T153" i="148"/>
  <c r="S178" i="148"/>
  <c r="R21" i="148"/>
  <c r="M77" i="148"/>
  <c r="I159" i="148"/>
  <c r="I40" i="148"/>
  <c r="M76" i="148"/>
  <c r="H169" i="148"/>
  <c r="L114" i="148"/>
  <c r="M145" i="148"/>
  <c r="S65" i="148"/>
  <c r="M16" i="148"/>
  <c r="M52" i="148"/>
  <c r="T105" i="148"/>
  <c r="O53" i="148"/>
  <c r="R128" i="148"/>
  <c r="L48" i="148"/>
  <c r="K127" i="148"/>
  <c r="Q49" i="148"/>
  <c r="L160" i="148"/>
  <c r="H152" i="148"/>
  <c r="P129" i="148"/>
  <c r="J163" i="148"/>
  <c r="N76" i="148"/>
  <c r="K83" i="148"/>
  <c r="M138" i="148"/>
  <c r="M154" i="148"/>
  <c r="M30" i="148"/>
  <c r="K120" i="148"/>
  <c r="S176" i="148"/>
  <c r="K181" i="148"/>
  <c r="R113" i="148"/>
  <c r="M87" i="148"/>
  <c r="I28" i="148"/>
  <c r="J66" i="148"/>
  <c r="Q147" i="148"/>
  <c r="K160" i="148"/>
  <c r="M157" i="148"/>
  <c r="P59" i="148"/>
  <c r="Q181" i="148"/>
  <c r="P185" i="148"/>
  <c r="R118" i="148"/>
  <c r="L151" i="148"/>
  <c r="T41" i="148"/>
  <c r="T144" i="148"/>
  <c r="J32" i="148"/>
  <c r="T171" i="148"/>
  <c r="N85" i="148"/>
  <c r="Q20" i="148"/>
  <c r="N182" i="148"/>
  <c r="M88" i="148"/>
  <c r="Q128" i="148"/>
  <c r="H45" i="148"/>
  <c r="K134" i="148"/>
  <c r="S190" i="148"/>
  <c r="M141" i="148"/>
  <c r="K21" i="148"/>
  <c r="J128" i="148"/>
  <c r="K69" i="148"/>
  <c r="O58" i="148"/>
  <c r="T95" i="148"/>
  <c r="H41" i="148"/>
  <c r="L112" i="148"/>
  <c r="T137" i="148"/>
  <c r="R124" i="148"/>
  <c r="J80" i="148"/>
  <c r="J153" i="148"/>
  <c r="T58" i="148"/>
  <c r="L119" i="148"/>
  <c r="M79" i="148"/>
  <c r="L177" i="148"/>
  <c r="M84" i="148"/>
  <c r="L25" i="148"/>
  <c r="L184" i="148"/>
  <c r="O92" i="148"/>
  <c r="Q152" i="148"/>
  <c r="M164" i="148"/>
  <c r="M172" i="148"/>
  <c r="S71" i="148"/>
  <c r="T26" i="148"/>
  <c r="T90" i="148"/>
  <c r="R171" i="148"/>
  <c r="H67" i="148"/>
  <c r="T62" i="148"/>
  <c r="T132" i="148"/>
  <c r="M58" i="148"/>
  <c r="L42" i="148"/>
  <c r="J111" i="148"/>
  <c r="J48" i="148"/>
  <c r="P17" i="148"/>
  <c r="M103" i="148"/>
  <c r="P142" i="148"/>
  <c r="T158" i="148"/>
  <c r="H63" i="148"/>
  <c r="N124" i="148"/>
  <c r="L52" i="148"/>
  <c r="H34" i="148"/>
  <c r="I98" i="148"/>
  <c r="T24" i="148"/>
  <c r="N150" i="148"/>
  <c r="H80" i="148"/>
  <c r="T183" i="148"/>
  <c r="P91" i="148"/>
  <c r="S165" i="148"/>
  <c r="K87" i="148"/>
  <c r="P152" i="148"/>
  <c r="N93" i="148"/>
  <c r="J69" i="148"/>
  <c r="K116" i="148"/>
  <c r="M51" i="148"/>
  <c r="P162" i="148"/>
  <c r="H149" i="148"/>
  <c r="O28" i="148"/>
  <c r="Q109" i="148"/>
  <c r="H153" i="148"/>
  <c r="H107" i="148"/>
  <c r="M165" i="148"/>
  <c r="O17" i="148"/>
  <c r="J83" i="148"/>
  <c r="O180" i="148"/>
  <c r="T50" i="148"/>
  <c r="L75" i="148"/>
  <c r="O174" i="148"/>
  <c r="Q130" i="148"/>
  <c r="T68" i="148"/>
  <c r="P48" i="148"/>
  <c r="H183" i="148"/>
  <c r="R18" i="148"/>
  <c r="O146" i="148"/>
  <c r="H53" i="148"/>
  <c r="H145" i="148"/>
  <c r="I177" i="148"/>
  <c r="O76" i="148"/>
  <c r="Q38" i="148"/>
  <c r="R138" i="148"/>
  <c r="M64" i="148"/>
  <c r="S78" i="148"/>
  <c r="T103" i="148"/>
  <c r="S50" i="148"/>
  <c r="Q88" i="148"/>
  <c r="M169" i="148"/>
  <c r="R102" i="148"/>
  <c r="I39" i="148"/>
  <c r="M91" i="148"/>
  <c r="L185" i="148"/>
  <c r="O115" i="148"/>
  <c r="S105" i="148"/>
  <c r="R111" i="148"/>
  <c r="L28" i="148"/>
  <c r="K63" i="148"/>
  <c r="M125" i="148"/>
  <c r="L127" i="148"/>
  <c r="T101" i="148"/>
  <c r="K48" i="148"/>
  <c r="N123" i="148"/>
  <c r="S29" i="148"/>
  <c r="L116" i="148"/>
  <c r="J52" i="148"/>
  <c r="K152" i="148"/>
  <c r="P125" i="148"/>
  <c r="M107" i="148"/>
  <c r="T150" i="148"/>
  <c r="N66" i="148"/>
  <c r="T143" i="148"/>
  <c r="I133" i="148"/>
  <c r="I152" i="148"/>
  <c r="P183" i="148"/>
  <c r="M176" i="148"/>
  <c r="Q140" i="148"/>
  <c r="N113" i="148"/>
  <c r="R96" i="148"/>
  <c r="Q43" i="148"/>
  <c r="T134" i="148"/>
  <c r="L30" i="148"/>
  <c r="L166" i="148"/>
  <c r="J76" i="148"/>
  <c r="M18" i="148"/>
  <c r="R175" i="148"/>
  <c r="I83" i="148"/>
  <c r="R129" i="148"/>
  <c r="I51" i="148"/>
  <c r="K125" i="148"/>
  <c r="L161" i="148"/>
  <c r="L140" i="148"/>
  <c r="O21" i="148"/>
  <c r="I129" i="148"/>
  <c r="R75" i="148"/>
  <c r="R39" i="148"/>
  <c r="P101" i="148"/>
  <c r="S49" i="148"/>
  <c r="K29" i="148"/>
  <c r="L155" i="148"/>
  <c r="N119" i="148"/>
  <c r="N57" i="148"/>
  <c r="R179" i="148"/>
  <c r="P168" i="148"/>
  <c r="S111" i="148"/>
  <c r="Q61" i="148"/>
  <c r="S169" i="148"/>
  <c r="I79" i="148"/>
  <c r="K25" i="148"/>
  <c r="M166" i="148"/>
  <c r="M81" i="148"/>
  <c r="R162" i="148"/>
  <c r="K157" i="148"/>
  <c r="M96" i="148"/>
  <c r="J38" i="148"/>
  <c r="T182" i="148"/>
  <c r="N24" i="148"/>
  <c r="I57" i="148"/>
  <c r="P93" i="148"/>
  <c r="L43" i="148"/>
  <c r="H73" i="148"/>
  <c r="O72" i="148"/>
  <c r="M129" i="148"/>
  <c r="J160" i="148"/>
  <c r="M40" i="148"/>
  <c r="T87" i="148"/>
  <c r="I42" i="148"/>
  <c r="I34" i="148"/>
  <c r="N87" i="148"/>
  <c r="M112" i="148"/>
  <c r="L78" i="148"/>
  <c r="Q62" i="148"/>
  <c r="M110" i="148"/>
  <c r="M116" i="148"/>
  <c r="O67" i="148"/>
  <c r="Q66" i="148"/>
  <c r="R57" i="148"/>
  <c r="M83" i="148"/>
  <c r="K123" i="148"/>
  <c r="O116" i="148"/>
  <c r="P174" i="148"/>
  <c r="Q162" i="148"/>
  <c r="H65" i="148"/>
  <c r="J173" i="148"/>
  <c r="M48" i="148"/>
  <c r="M149" i="148"/>
  <c r="I91" i="148"/>
  <c r="N59" i="148"/>
  <c r="R35" i="148"/>
  <c r="O161" i="148"/>
  <c r="I162" i="148"/>
  <c r="P148" i="148"/>
  <c r="M17" i="148"/>
  <c r="T151" i="148"/>
  <c r="T149" i="148"/>
  <c r="P114" i="148"/>
  <c r="H74" i="148"/>
  <c r="O141" i="148"/>
  <c r="P51" i="148"/>
  <c r="S172" i="148"/>
  <c r="O105" i="148"/>
  <c r="K24" i="148"/>
  <c r="I185" i="148"/>
  <c r="O84" i="148"/>
  <c r="S56" i="148"/>
  <c r="I20" i="148"/>
  <c r="K53" i="148"/>
  <c r="T168" i="148"/>
  <c r="P150" i="148"/>
  <c r="H189" i="148"/>
  <c r="L54" i="148"/>
  <c r="J136" i="148"/>
  <c r="I54" i="148"/>
  <c r="T55" i="148"/>
  <c r="Q29" i="148"/>
  <c r="Q54" i="148"/>
  <c r="N75" i="148"/>
  <c r="O127" i="148"/>
  <c r="P68" i="148"/>
  <c r="K113" i="148"/>
  <c r="I136" i="148"/>
  <c r="N158" i="148"/>
  <c r="R72" i="148"/>
  <c r="J60" i="148"/>
  <c r="Q71" i="148"/>
  <c r="O86" i="148"/>
  <c r="N58" i="148"/>
  <c r="M99" i="148"/>
  <c r="T159" i="148"/>
  <c r="P24" i="148"/>
  <c r="H114" i="148"/>
  <c r="S19" i="148"/>
  <c r="S149" i="148"/>
  <c r="T119" i="148"/>
  <c r="P143" i="148"/>
  <c r="H129" i="148"/>
  <c r="M140" i="148"/>
  <c r="H77" i="148"/>
  <c r="N144" i="148"/>
  <c r="P132" i="148"/>
  <c r="S123" i="148"/>
  <c r="J159" i="148"/>
  <c r="R41" i="148"/>
  <c r="P181" i="148"/>
  <c r="Q87" i="148"/>
  <c r="H21" i="148"/>
  <c r="R163" i="148"/>
  <c r="I187" i="148"/>
  <c r="J124" i="148"/>
  <c r="I37" i="148"/>
  <c r="K43" i="148"/>
  <c r="J95" i="148"/>
  <c r="T190" i="148"/>
  <c r="S96" i="148"/>
  <c r="R55" i="148"/>
  <c r="K115" i="148"/>
  <c r="K36" i="148"/>
  <c r="T17" i="148"/>
  <c r="I78" i="148"/>
  <c r="T75" i="148"/>
  <c r="H98" i="148"/>
  <c r="L154" i="148"/>
  <c r="R169" i="148"/>
  <c r="P145" i="148"/>
  <c r="L131" i="148"/>
  <c r="R178" i="148"/>
  <c r="H87" i="148"/>
  <c r="M153" i="148"/>
  <c r="J187" i="148"/>
  <c r="K165" i="148"/>
  <c r="S88" i="148"/>
  <c r="Q129" i="148"/>
  <c r="I125" i="148"/>
  <c r="L26" i="148"/>
  <c r="L58" i="148"/>
  <c r="Q185" i="148"/>
  <c r="Q57" i="148"/>
  <c r="P165" i="148"/>
  <c r="N157" i="148"/>
  <c r="N15" i="148"/>
  <c r="K33" i="148"/>
  <c r="Q59" i="148"/>
  <c r="M134" i="148"/>
  <c r="N32" i="148"/>
  <c r="I89" i="148"/>
  <c r="J102" i="148"/>
  <c r="T69" i="148"/>
  <c r="P84" i="148"/>
  <c r="T94" i="148"/>
  <c r="S129" i="148"/>
  <c r="L16" i="148"/>
  <c r="K121" i="148"/>
  <c r="K148" i="148"/>
  <c r="O44" i="148"/>
  <c r="L130" i="148"/>
  <c r="Q118" i="148"/>
  <c r="S153" i="148"/>
  <c r="L181" i="148"/>
  <c r="I33" i="148"/>
  <c r="P180" i="148"/>
  <c r="H48" i="148"/>
  <c r="N83" i="148"/>
  <c r="H36" i="148"/>
  <c r="O182" i="148"/>
  <c r="J170" i="148"/>
  <c r="R166" i="148"/>
  <c r="J101" i="148"/>
  <c r="O106" i="148"/>
  <c r="I65" i="148"/>
  <c r="O83" i="148"/>
  <c r="I115" i="148"/>
  <c r="Q187" i="148"/>
  <c r="I113" i="148"/>
  <c r="P89" i="148"/>
  <c r="P76" i="148"/>
  <c r="R182" i="148"/>
  <c r="N70" i="148"/>
  <c r="P112" i="148"/>
  <c r="K51" i="148"/>
  <c r="L88" i="148"/>
  <c r="T114" i="148"/>
  <c r="M139" i="148"/>
  <c r="H52" i="148"/>
  <c r="I111" i="148"/>
  <c r="M67" i="148"/>
  <c r="H22" i="148"/>
  <c r="R164" i="148"/>
  <c r="K42" i="148"/>
  <c r="Q76" i="148"/>
  <c r="L137" i="148"/>
  <c r="R189" i="148"/>
  <c r="I52" i="148"/>
  <c r="O140" i="148"/>
  <c r="R161" i="148"/>
  <c r="I142" i="148"/>
  <c r="T46" i="148"/>
  <c r="T27" i="148"/>
  <c r="P106" i="148"/>
  <c r="T79" i="148"/>
  <c r="J158" i="148"/>
  <c r="J114" i="148"/>
  <c r="M161" i="148"/>
  <c r="K52" i="148"/>
  <c r="O24" i="148"/>
  <c r="N72" i="148"/>
  <c r="O190" i="148"/>
  <c r="T18" i="148"/>
  <c r="R136" i="148"/>
  <c r="O49" i="148"/>
  <c r="L22" i="148"/>
  <c r="K41" i="148"/>
  <c r="R134" i="148"/>
  <c r="H160" i="148"/>
  <c r="O88" i="148"/>
  <c r="N43" i="148"/>
  <c r="L146" i="148"/>
  <c r="H106" i="148"/>
  <c r="P98" i="148"/>
  <c r="L46" i="148"/>
  <c r="J176" i="148"/>
  <c r="N169" i="148"/>
  <c r="L97" i="148"/>
  <c r="O117" i="148"/>
  <c r="H187" i="148"/>
  <c r="J147" i="148"/>
  <c r="Q82" i="148"/>
  <c r="L68" i="148"/>
  <c r="R123" i="148"/>
  <c r="N46" i="148"/>
  <c r="H150" i="148"/>
  <c r="I135" i="148"/>
  <c r="J94" i="148"/>
  <c r="H180" i="148"/>
  <c r="T181" i="148"/>
  <c r="L64" i="148"/>
  <c r="O138" i="148"/>
  <c r="R15" i="148"/>
  <c r="M82" i="148"/>
  <c r="L183" i="148"/>
  <c r="H76" i="148"/>
  <c r="S109" i="148"/>
  <c r="P88" i="148"/>
  <c r="P21" i="148"/>
  <c r="O39" i="148"/>
  <c r="Q24" i="148"/>
  <c r="K177" i="148"/>
  <c r="Q34" i="148"/>
  <c r="L173" i="148"/>
  <c r="K34" i="148"/>
  <c r="N26" i="148"/>
  <c r="Q168" i="148"/>
  <c r="O66" i="148"/>
  <c r="R31" i="148"/>
  <c r="O78" i="148"/>
  <c r="R183" i="148"/>
  <c r="R142" i="148"/>
  <c r="M41" i="148"/>
  <c r="N23" i="148"/>
  <c r="M60" i="148"/>
  <c r="O48" i="148"/>
  <c r="J87" i="148"/>
  <c r="M178" i="148"/>
  <c r="Q56" i="148"/>
  <c r="N61" i="148"/>
  <c r="H135" i="148"/>
  <c r="J137" i="148"/>
  <c r="J58" i="148"/>
  <c r="Q95" i="148"/>
  <c r="N38" i="148"/>
  <c r="T36" i="148"/>
  <c r="J127" i="148"/>
  <c r="K141" i="148"/>
  <c r="I63" i="148"/>
  <c r="H35" i="148"/>
  <c r="S170" i="148"/>
  <c r="L153" i="148"/>
  <c r="M89" i="148"/>
  <c r="T45" i="148"/>
  <c r="K139" i="148"/>
  <c r="M19" i="148"/>
  <c r="N178" i="148"/>
  <c r="R82" i="148"/>
  <c r="L132" i="148"/>
  <c r="O139" i="148"/>
  <c r="Q112" i="148"/>
  <c r="K68" i="148"/>
  <c r="P56" i="148"/>
  <c r="L176" i="148"/>
  <c r="O45" i="148"/>
  <c r="R126" i="148"/>
  <c r="T97" i="148"/>
  <c r="I178" i="148"/>
  <c r="L165" i="148"/>
  <c r="O75" i="148"/>
  <c r="I126" i="148"/>
  <c r="S160" i="148"/>
  <c r="N104" i="148"/>
  <c r="P43" i="148"/>
  <c r="Q177" i="148"/>
  <c r="S39" i="148"/>
  <c r="I118" i="148"/>
  <c r="T59" i="148"/>
  <c r="T162" i="148"/>
  <c r="J70" i="148"/>
  <c r="T91" i="148"/>
  <c r="N171" i="148"/>
  <c r="H97" i="148"/>
  <c r="I81" i="148"/>
  <c r="K151" i="148"/>
  <c r="S118" i="148"/>
  <c r="J25" i="148"/>
  <c r="P66" i="148"/>
  <c r="N189" i="148"/>
  <c r="P122" i="148"/>
  <c r="M185" i="148"/>
  <c r="P95" i="148"/>
  <c r="J161" i="148"/>
  <c r="L94" i="148"/>
  <c r="S137" i="148"/>
  <c r="K60" i="148"/>
  <c r="P166" i="148"/>
  <c r="N30" i="148"/>
  <c r="S97" i="148"/>
  <c r="N174" i="148"/>
  <c r="P58" i="148"/>
  <c r="I61" i="148"/>
  <c r="N81" i="148"/>
  <c r="P176" i="148"/>
  <c r="J92" i="148"/>
  <c r="N82" i="148"/>
  <c r="Q135" i="148"/>
  <c r="H119" i="148"/>
  <c r="N90" i="148"/>
  <c r="M57" i="148"/>
  <c r="P23" i="148"/>
  <c r="S120" i="148"/>
  <c r="S72" i="148"/>
  <c r="H159" i="148"/>
  <c r="R140" i="148"/>
  <c r="R26" i="148"/>
  <c r="O77" i="148"/>
  <c r="S82" i="148"/>
  <c r="N164" i="148"/>
  <c r="S24" i="148"/>
  <c r="P83" i="148"/>
  <c r="P147" i="148"/>
  <c r="Q84" i="148"/>
  <c r="S44" i="148"/>
  <c r="M53" i="148"/>
  <c r="J123" i="148"/>
  <c r="J63" i="148"/>
  <c r="H94" i="148"/>
  <c r="K78" i="148"/>
  <c r="J140" i="148"/>
  <c r="H164" i="148"/>
  <c r="R127" i="148"/>
  <c r="R53" i="148"/>
  <c r="P124" i="148"/>
  <c r="H176" i="148"/>
  <c r="P102" i="148"/>
  <c r="L50" i="148"/>
  <c r="N181" i="148"/>
  <c r="R174" i="148"/>
  <c r="L101" i="148"/>
  <c r="R150" i="148"/>
  <c r="M22" i="148"/>
  <c r="P177" i="148"/>
  <c r="S101" i="148"/>
  <c r="K99" i="148"/>
  <c r="N130" i="148"/>
  <c r="I38" i="148"/>
  <c r="H172" i="148"/>
  <c r="I156" i="148"/>
  <c r="J108" i="148"/>
  <c r="I94" i="148"/>
  <c r="R143" i="148"/>
  <c r="O87" i="148"/>
  <c r="S63" i="148"/>
  <c r="R54" i="148"/>
  <c r="M167" i="148"/>
  <c r="H162" i="148"/>
  <c r="M121" i="148"/>
  <c r="T106" i="148"/>
  <c r="P78" i="148"/>
  <c r="Q97" i="148"/>
  <c r="O111" i="148"/>
  <c r="M25" i="148"/>
  <c r="H40" i="148"/>
  <c r="T174" i="148"/>
  <c r="N88" i="148"/>
  <c r="J156" i="148"/>
  <c r="M28" i="148"/>
  <c r="I188" i="148"/>
  <c r="M46" i="148"/>
  <c r="R71" i="148"/>
  <c r="R38" i="148"/>
  <c r="R187" i="148"/>
  <c r="K133" i="148"/>
  <c r="H148" i="148"/>
  <c r="M85" i="148"/>
  <c r="O43" i="148"/>
  <c r="K135" i="148"/>
  <c r="O126" i="148"/>
  <c r="J54" i="148"/>
  <c r="T23" i="148"/>
  <c r="O144" i="148"/>
  <c r="K114" i="148"/>
  <c r="L120" i="148"/>
  <c r="S179" i="148"/>
  <c r="J132" i="148"/>
  <c r="Q173" i="148"/>
  <c r="P27" i="148"/>
  <c r="H170" i="148"/>
  <c r="T169" i="148"/>
  <c r="M39" i="148"/>
  <c r="J174" i="148"/>
  <c r="I31" i="148"/>
  <c r="Q90" i="148"/>
  <c r="J75" i="148"/>
  <c r="H161" i="148"/>
  <c r="S174" i="148"/>
  <c r="R74" i="148"/>
  <c r="Q159" i="148"/>
  <c r="H142" i="148"/>
  <c r="P61" i="148"/>
  <c r="O153" i="148"/>
  <c r="L103" i="148"/>
  <c r="N91" i="148"/>
  <c r="T49" i="148"/>
  <c r="J36" i="148"/>
  <c r="K147" i="148"/>
  <c r="I25" i="148"/>
  <c r="R159" i="148"/>
  <c r="S186" i="148"/>
  <c r="N73" i="148"/>
  <c r="S115" i="148"/>
  <c r="N136" i="148"/>
  <c r="R25" i="148"/>
  <c r="Q132" i="148"/>
  <c r="I139" i="148"/>
  <c r="M47" i="148"/>
  <c r="O142" i="148"/>
  <c r="I138" i="148"/>
  <c r="H163" i="148"/>
  <c r="R177" i="148"/>
  <c r="J37" i="148"/>
  <c r="L76" i="148"/>
  <c r="K54" i="148"/>
  <c r="K150" i="148"/>
  <c r="M174" i="148"/>
  <c r="N143" i="148"/>
  <c r="J44" i="148"/>
  <c r="M59" i="148"/>
  <c r="H71" i="148"/>
  <c r="R122" i="148"/>
  <c r="J40" i="148"/>
  <c r="S117" i="148"/>
  <c r="R130" i="148"/>
  <c r="L109" i="148"/>
  <c r="O91" i="148"/>
  <c r="O118" i="148"/>
  <c r="I128" i="148"/>
  <c r="L57" i="148"/>
  <c r="P82" i="148"/>
  <c r="J165" i="148"/>
  <c r="P44" i="148"/>
  <c r="H156" i="148"/>
  <c r="H64" i="148"/>
  <c r="T188" i="148"/>
  <c r="M70" i="148"/>
  <c r="R99" i="148"/>
  <c r="R115" i="148"/>
  <c r="O163" i="148"/>
  <c r="T43" i="148"/>
  <c r="L171" i="148"/>
  <c r="H113" i="148"/>
  <c r="S62" i="148"/>
  <c r="T35" i="148"/>
  <c r="R65" i="148"/>
  <c r="J110" i="148"/>
  <c r="S43" i="148"/>
  <c r="R106" i="148"/>
  <c r="R137" i="148"/>
  <c r="J78" i="148"/>
  <c r="S16" i="148"/>
  <c r="K50" i="148"/>
  <c r="N177" i="148"/>
  <c r="Q184" i="148"/>
  <c r="T112" i="148"/>
  <c r="H121" i="148"/>
  <c r="T177" i="148"/>
  <c r="S168" i="148"/>
  <c r="P163" i="148"/>
  <c r="M73" i="148"/>
  <c r="H104" i="148"/>
  <c r="P16" i="148"/>
  <c r="O136" i="148"/>
  <c r="S31" i="148"/>
  <c r="H61" i="148"/>
  <c r="Q26" i="148"/>
  <c r="J172" i="148"/>
  <c r="I92" i="148"/>
  <c r="S54" i="148"/>
  <c r="J103" i="148"/>
  <c r="N99" i="148"/>
  <c r="L105" i="148"/>
  <c r="Q157" i="148"/>
  <c r="R37" i="148"/>
  <c r="K23" i="148"/>
  <c r="H57" i="148"/>
  <c r="P60" i="148"/>
  <c r="T138" i="148"/>
  <c r="I48" i="148"/>
  <c r="P182" i="148"/>
  <c r="R160" i="148"/>
  <c r="H81" i="148"/>
  <c r="S122" i="148"/>
  <c r="N149" i="148"/>
  <c r="Q153" i="148"/>
  <c r="P72" i="148"/>
  <c r="O30" i="148"/>
  <c r="T78" i="148"/>
  <c r="I26" i="148"/>
  <c r="N162" i="148"/>
  <c r="I112" i="148"/>
  <c r="T77" i="148"/>
  <c r="S113" i="148"/>
  <c r="S116" i="148"/>
  <c r="O25" i="148"/>
  <c r="R56" i="148"/>
  <c r="S18" i="148"/>
  <c r="R101" i="148"/>
  <c r="I121" i="148"/>
  <c r="S94" i="148"/>
  <c r="S75" i="148"/>
  <c r="O38" i="148"/>
  <c r="Q58" i="148"/>
  <c r="N170" i="148"/>
  <c r="L150" i="148"/>
  <c r="H33" i="148"/>
  <c r="R155" i="148"/>
  <c r="I88" i="148"/>
  <c r="T147" i="148"/>
  <c r="J145" i="148"/>
  <c r="L142" i="148"/>
  <c r="S42" i="148"/>
  <c r="Q189" i="148"/>
  <c r="I174" i="148"/>
  <c r="L149" i="148"/>
  <c r="L70" i="148"/>
  <c r="Q36" i="148"/>
  <c r="M184" i="148"/>
  <c r="L60" i="148"/>
  <c r="Q91" i="148"/>
  <c r="L66" i="148"/>
  <c r="Q114" i="148"/>
  <c r="L148" i="148"/>
  <c r="J86" i="148"/>
  <c r="S102" i="148"/>
  <c r="R97" i="148"/>
  <c r="J168" i="148"/>
  <c r="H79" i="148"/>
  <c r="N176" i="148"/>
  <c r="I161" i="148"/>
  <c r="S84" i="148"/>
  <c r="P157" i="148"/>
  <c r="L122" i="148"/>
  <c r="S99" i="148"/>
  <c r="I173" i="148"/>
  <c r="P30" i="148"/>
  <c r="K117" i="148"/>
  <c r="H137" i="148"/>
  <c r="S69" i="148"/>
  <c r="H147" i="148"/>
  <c r="O56" i="148"/>
  <c r="I102" i="148"/>
  <c r="K104" i="148"/>
  <c r="N48" i="148"/>
  <c r="R47" i="148"/>
  <c r="T53" i="148"/>
  <c r="Q108" i="148"/>
  <c r="S146" i="148"/>
  <c r="N100" i="148"/>
  <c r="I164" i="148"/>
  <c r="L86" i="148"/>
  <c r="T176" i="148"/>
  <c r="L136" i="148"/>
  <c r="K149" i="148"/>
  <c r="S171" i="148"/>
  <c r="T30" i="148"/>
  <c r="L80" i="148"/>
  <c r="I143" i="148"/>
  <c r="L121" i="148"/>
  <c r="S23" i="148"/>
  <c r="S148" i="148"/>
  <c r="N45" i="148"/>
  <c r="L59" i="148"/>
  <c r="K72" i="148"/>
  <c r="R146" i="148"/>
  <c r="N50" i="148"/>
  <c r="P105" i="148"/>
  <c r="H166" i="148"/>
  <c r="S73" i="148"/>
  <c r="M98" i="148"/>
  <c r="Q144" i="148"/>
  <c r="S135" i="148"/>
  <c r="M123" i="148"/>
  <c r="Q74" i="148"/>
  <c r="J157" i="148"/>
  <c r="M37" i="148"/>
  <c r="R165" i="148"/>
  <c r="O135" i="148"/>
  <c r="T180" i="148"/>
  <c r="P189" i="148"/>
  <c r="L47" i="148"/>
  <c r="Q160" i="148"/>
  <c r="K146" i="148"/>
  <c r="N110" i="148"/>
  <c r="T38" i="148"/>
  <c r="I167" i="148"/>
  <c r="T84" i="148"/>
  <c r="I99" i="148"/>
  <c r="P123" i="148"/>
  <c r="O121" i="148"/>
  <c r="L118" i="148"/>
  <c r="H108" i="148"/>
  <c r="N33" i="148"/>
  <c r="S162" i="148"/>
  <c r="P171" i="148"/>
  <c r="T116" i="148"/>
  <c r="T124" i="148"/>
  <c r="K111" i="148"/>
  <c r="S86" i="148"/>
  <c r="H186" i="148"/>
  <c r="O128" i="148"/>
  <c r="P175" i="148"/>
  <c r="K185" i="148"/>
  <c r="N92" i="148"/>
  <c r="N114" i="148"/>
  <c r="H167" i="148"/>
  <c r="I84" i="148"/>
  <c r="L24" i="148"/>
  <c r="O175" i="148"/>
  <c r="R85" i="148"/>
  <c r="Q79" i="148"/>
  <c r="L72" i="148"/>
  <c r="O173" i="148"/>
  <c r="O51" i="148"/>
  <c r="J138" i="148"/>
  <c r="L17" i="148"/>
  <c r="R109" i="148"/>
  <c r="S34" i="148"/>
  <c r="J81" i="148"/>
  <c r="P153" i="148"/>
  <c r="I62" i="148"/>
  <c r="N17" i="148"/>
  <c r="J149" i="148"/>
  <c r="I116" i="148"/>
  <c r="I16" i="148"/>
  <c r="J55" i="148"/>
  <c r="T74" i="148"/>
  <c r="Q111" i="148"/>
  <c r="O29" i="148"/>
  <c r="L157" i="148"/>
  <c r="S61" i="148"/>
  <c r="T33" i="148"/>
  <c r="T51" i="148"/>
  <c r="M181" i="148"/>
  <c r="S32" i="148"/>
  <c r="S25" i="148"/>
  <c r="O64" i="148"/>
  <c r="S151" i="148"/>
  <c r="T164" i="148"/>
  <c r="M148" i="148"/>
  <c r="L44" i="148"/>
  <c r="O26" i="148"/>
  <c r="S30" i="148"/>
  <c r="N129" i="148"/>
  <c r="T187" i="148"/>
  <c r="I21" i="148"/>
  <c r="M21" i="148"/>
  <c r="J129" i="148"/>
  <c r="H90" i="148"/>
  <c r="P94" i="148"/>
  <c r="I41" i="148"/>
  <c r="R170" i="148"/>
  <c r="Q150" i="148"/>
  <c r="N153" i="148"/>
  <c r="K112" i="148"/>
  <c r="M179" i="148"/>
  <c r="L158" i="148"/>
  <c r="R68" i="148"/>
  <c r="Q124" i="148"/>
  <c r="T141" i="148"/>
  <c r="Q22" i="148"/>
  <c r="Q75" i="148"/>
  <c r="T52" i="148"/>
  <c r="R119" i="148"/>
  <c r="Q41" i="148"/>
  <c r="T60" i="148"/>
  <c r="S68" i="148"/>
  <c r="Q63" i="148"/>
  <c r="P74" i="148"/>
  <c r="M23" i="148"/>
  <c r="M115" i="148"/>
  <c r="O59" i="148"/>
  <c r="S76" i="148"/>
  <c r="J98" i="148"/>
  <c r="N84" i="148"/>
  <c r="T104" i="148"/>
  <c r="R77" i="148"/>
  <c r="S57" i="148"/>
  <c r="L62" i="148"/>
  <c r="L100" i="148"/>
  <c r="J120" i="148"/>
  <c r="O71" i="148"/>
  <c r="P160" i="148"/>
  <c r="N74" i="148"/>
  <c r="Q163" i="148"/>
  <c r="T145" i="148"/>
  <c r="T186" i="148"/>
  <c r="Q53" i="148"/>
  <c r="S147" i="148"/>
  <c r="I45" i="148"/>
  <c r="J141" i="148"/>
  <c r="J177" i="148"/>
  <c r="O169" i="148"/>
  <c r="S177" i="148"/>
  <c r="R108" i="148"/>
  <c r="K80" i="148"/>
  <c r="N132" i="148"/>
  <c r="I96" i="148"/>
  <c r="K140" i="148"/>
  <c r="R76" i="148"/>
  <c r="L107" i="148"/>
  <c r="L53" i="148"/>
  <c r="N179" i="148"/>
  <c r="J119" i="148"/>
  <c r="K175" i="148"/>
  <c r="M74" i="148"/>
  <c r="M155" i="148"/>
  <c r="O172" i="148"/>
  <c r="P149" i="148"/>
  <c r="J118" i="148"/>
  <c r="J27" i="148"/>
  <c r="K183" i="148"/>
  <c r="P161" i="148"/>
  <c r="H31" i="148"/>
  <c r="I145" i="148"/>
  <c r="I18" i="148"/>
  <c r="K61" i="148"/>
  <c r="R69" i="148"/>
  <c r="N161" i="148"/>
  <c r="O65" i="148"/>
  <c r="H29" i="148"/>
  <c r="P42" i="148"/>
  <c r="K105" i="148"/>
  <c r="R63" i="148"/>
  <c r="P22" i="148"/>
  <c r="H88" i="148"/>
  <c r="Q131" i="148"/>
  <c r="K126" i="148"/>
  <c r="N62" i="148"/>
  <c r="P29" i="148"/>
  <c r="O40" i="148"/>
  <c r="M97" i="148"/>
  <c r="I140" i="148"/>
  <c r="K179" i="148"/>
  <c r="S51" i="148"/>
  <c r="R49" i="148"/>
  <c r="H32" i="148"/>
  <c r="P15" i="148"/>
  <c r="T86" i="148"/>
  <c r="T110" i="148"/>
  <c r="H85" i="148"/>
  <c r="T163" i="148"/>
  <c r="R91" i="148"/>
  <c r="T82" i="148"/>
  <c r="L189" i="148"/>
  <c r="H128" i="148"/>
  <c r="K122" i="148"/>
  <c r="Q67" i="148"/>
  <c r="N95" i="148"/>
  <c r="M102" i="148"/>
  <c r="T42" i="148"/>
  <c r="M93" i="148"/>
  <c r="H44" i="148"/>
  <c r="I101" i="148"/>
  <c r="P63" i="148"/>
  <c r="R42" i="148"/>
  <c r="I58" i="148"/>
  <c r="S26" i="148"/>
  <c r="M68" i="148"/>
  <c r="M189" i="148"/>
  <c r="S150" i="148"/>
  <c r="J79" i="148"/>
  <c r="H50" i="148"/>
  <c r="Q137" i="148"/>
  <c r="J148" i="148"/>
  <c r="P25" i="148"/>
  <c r="S53" i="148"/>
  <c r="K39" i="148"/>
  <c r="J74" i="148"/>
  <c r="L182" i="148"/>
  <c r="T40" i="148"/>
  <c r="N55" i="148"/>
  <c r="M152" i="148"/>
  <c r="L69" i="148"/>
  <c r="Q80" i="148"/>
  <c r="M101" i="148"/>
  <c r="L67" i="148"/>
  <c r="T71" i="148"/>
  <c r="O19" i="148"/>
  <c r="S91" i="148"/>
  <c r="I44" i="148"/>
  <c r="P155" i="148"/>
  <c r="K70" i="148"/>
  <c r="S164" i="148"/>
  <c r="T99" i="148"/>
  <c r="N186" i="148"/>
  <c r="R133" i="148"/>
  <c r="R95" i="148"/>
  <c r="K164" i="148"/>
  <c r="N156" i="148"/>
  <c r="P170" i="148"/>
  <c r="L51" i="148"/>
  <c r="J64" i="148"/>
  <c r="I46" i="148"/>
  <c r="N97" i="148"/>
  <c r="P119" i="148"/>
  <c r="K32" i="148"/>
  <c r="L169" i="148"/>
  <c r="S21" i="148"/>
  <c r="L41" i="148"/>
  <c r="P36" i="148"/>
  <c r="R141" i="148"/>
  <c r="Q37" i="148"/>
  <c r="K94" i="148"/>
  <c r="T121" i="148"/>
  <c r="K174" i="148"/>
  <c r="L92" i="148"/>
  <c r="T15" i="148"/>
  <c r="R105" i="148"/>
  <c r="S139" i="148"/>
  <c r="N147" i="148"/>
  <c r="L19" i="148"/>
  <c r="O37" i="148"/>
  <c r="H171" i="148"/>
  <c r="H158" i="148"/>
  <c r="N96" i="148"/>
  <c r="P34" i="148"/>
  <c r="T146" i="148"/>
  <c r="T156" i="148"/>
  <c r="H82" i="148"/>
  <c r="S103" i="148"/>
  <c r="P136" i="148"/>
  <c r="O47" i="148"/>
  <c r="Q98" i="148"/>
  <c r="K49" i="148"/>
  <c r="L115" i="148"/>
  <c r="P67" i="148"/>
  <c r="J53" i="148"/>
  <c r="N112" i="148"/>
  <c r="Q23" i="148"/>
  <c r="O102" i="148"/>
  <c r="O61" i="148"/>
  <c r="P190" i="148"/>
  <c r="H84" i="148"/>
  <c r="O16" i="148"/>
  <c r="I103" i="148"/>
  <c r="K162" i="148"/>
  <c r="S92" i="148"/>
  <c r="J16" i="148"/>
  <c r="N151" i="148"/>
  <c r="T108" i="148"/>
  <c r="T127" i="148"/>
  <c r="N137" i="148"/>
  <c r="O35" i="148"/>
  <c r="S93" i="148"/>
  <c r="L71" i="148"/>
  <c r="S45" i="148"/>
  <c r="J182" i="148"/>
  <c r="K167" i="148"/>
  <c r="H179" i="148"/>
  <c r="S66" i="148"/>
  <c r="L96" i="148"/>
  <c r="P173" i="148"/>
  <c r="J91" i="148"/>
  <c r="H165" i="148"/>
  <c r="O79" i="148"/>
  <c r="J24" i="148"/>
  <c r="S47" i="148"/>
  <c r="S108" i="148"/>
  <c r="R19" i="148"/>
  <c r="N133" i="148"/>
  <c r="K85" i="148"/>
  <c r="M75" i="148"/>
  <c r="O122" i="148"/>
  <c r="Q18" i="148"/>
  <c r="L190" i="148"/>
  <c r="Q127" i="148"/>
  <c r="P159" i="148"/>
  <c r="Q21" i="148"/>
  <c r="Q46" i="148"/>
  <c r="N18" i="148"/>
  <c r="N53" i="148"/>
  <c r="O81" i="148"/>
  <c r="H25" i="148"/>
  <c r="N109" i="148"/>
  <c r="L20" i="148"/>
  <c r="L56" i="148"/>
  <c r="L23" i="148"/>
  <c r="P71" i="148"/>
  <c r="R30" i="148"/>
  <c r="P49" i="148"/>
  <c r="Q116" i="148"/>
  <c r="J134" i="148"/>
  <c r="Q164" i="148"/>
  <c r="R167" i="148"/>
  <c r="I122" i="148"/>
  <c r="Q78" i="148"/>
  <c r="P96" i="148"/>
  <c r="M111" i="148"/>
  <c r="K187" i="148"/>
  <c r="I154" i="148"/>
  <c r="J144" i="148"/>
  <c r="K156" i="148"/>
  <c r="Q16" i="148"/>
  <c r="R67" i="148"/>
  <c r="I104" i="148"/>
  <c r="O54" i="148"/>
  <c r="S131" i="148"/>
  <c r="H112" i="148"/>
  <c r="K44" i="148"/>
  <c r="P133" i="148"/>
  <c r="M38" i="148"/>
  <c r="R88" i="148"/>
  <c r="S70" i="148"/>
  <c r="M15" i="148"/>
  <c r="M63" i="148"/>
  <c r="M20" i="148"/>
  <c r="R83" i="148"/>
  <c r="M43" i="148"/>
  <c r="L180" i="148"/>
  <c r="S41" i="148"/>
  <c r="J171" i="148"/>
  <c r="P35" i="148"/>
  <c r="L144" i="148"/>
  <c r="O103" i="148"/>
  <c r="T161" i="148"/>
  <c r="L174" i="148"/>
  <c r="S83" i="148"/>
  <c r="O112" i="148"/>
  <c r="H83" i="148"/>
  <c r="I149" i="148"/>
  <c r="I160" i="148"/>
  <c r="N52" i="148"/>
  <c r="T160" i="148"/>
  <c r="R27" i="148"/>
  <c r="P65" i="148"/>
  <c r="Q85" i="148"/>
  <c r="K19" i="148"/>
  <c r="Q106" i="148"/>
  <c r="P186" i="148"/>
  <c r="J112" i="148"/>
  <c r="M29" i="148"/>
  <c r="R168" i="148"/>
  <c r="T175" i="148"/>
  <c r="H49" i="148"/>
  <c r="O85" i="148"/>
  <c r="O41" i="148"/>
  <c r="I147" i="148"/>
  <c r="J117" i="148"/>
  <c r="O129" i="148"/>
  <c r="N106" i="148"/>
  <c r="K55" i="148"/>
  <c r="J121" i="148"/>
  <c r="K173" i="148"/>
  <c r="P139" i="148"/>
  <c r="S90" i="148"/>
  <c r="L172" i="148"/>
  <c r="P144" i="148"/>
  <c r="Q186" i="148"/>
  <c r="R116" i="148"/>
  <c r="J139" i="148"/>
  <c r="I60" i="148"/>
  <c r="I56" i="148"/>
  <c r="K154" i="148"/>
  <c r="J29" i="148"/>
  <c r="N16" i="148"/>
  <c r="R52" i="148"/>
  <c r="P64" i="148"/>
  <c r="P32" i="148"/>
  <c r="O114" i="148"/>
  <c r="P158" i="148"/>
  <c r="R34" i="148"/>
  <c r="Q110" i="148"/>
  <c r="M130" i="148"/>
  <c r="M106" i="148"/>
  <c r="O63" i="148"/>
  <c r="N118" i="148"/>
  <c r="N165" i="148"/>
  <c r="M32" i="148"/>
  <c r="J180" i="148"/>
  <c r="Q104" i="148"/>
  <c r="L31" i="148"/>
  <c r="J46" i="148"/>
  <c r="L15" i="148"/>
  <c r="S119" i="148"/>
  <c r="M69" i="148"/>
  <c r="O177" i="148"/>
  <c r="J189" i="148"/>
  <c r="R121" i="148"/>
  <c r="R80" i="148"/>
  <c r="J56" i="148"/>
  <c r="K158" i="148"/>
  <c r="R144" i="148"/>
  <c r="M62" i="148"/>
  <c r="R23" i="148"/>
  <c r="T21" i="148"/>
  <c r="K131" i="148"/>
  <c r="R120" i="148"/>
  <c r="N27" i="148"/>
  <c r="N125" i="148"/>
  <c r="M144" i="148"/>
  <c r="S154" i="148"/>
  <c r="J90" i="148"/>
  <c r="N190" i="148"/>
  <c r="M126" i="148"/>
  <c r="I179" i="148"/>
  <c r="M26" i="148"/>
  <c r="O90" i="148"/>
  <c r="T100" i="148"/>
  <c r="H120" i="148"/>
  <c r="I66" i="148"/>
  <c r="L152" i="148"/>
  <c r="R135" i="148"/>
  <c r="R43" i="148"/>
  <c r="J100" i="148"/>
  <c r="I189" i="148"/>
  <c r="O166" i="148"/>
  <c r="K35" i="148"/>
  <c r="K110" i="148"/>
  <c r="S74" i="148"/>
  <c r="L38" i="148"/>
  <c r="O36" i="148"/>
  <c r="P109" i="148"/>
  <c r="O80" i="148"/>
  <c r="I131" i="148"/>
  <c r="S138" i="148"/>
  <c r="T65" i="148"/>
  <c r="M170" i="148"/>
  <c r="J164" i="148"/>
  <c r="O27" i="148"/>
  <c r="K38" i="148"/>
  <c r="T54" i="148"/>
  <c r="K103" i="148"/>
  <c r="K182" i="148"/>
  <c r="P85" i="148"/>
  <c r="L84" i="148"/>
  <c r="T120" i="148"/>
  <c r="Q44" i="148"/>
  <c r="K128" i="148"/>
  <c r="P53" i="148"/>
  <c r="Q148" i="148"/>
  <c r="S40" i="148"/>
  <c r="H15" i="148"/>
  <c r="I64" i="148"/>
  <c r="O162" i="148"/>
  <c r="P126" i="148"/>
  <c r="O149" i="148"/>
  <c r="O70" i="148"/>
  <c r="S158" i="148"/>
  <c r="M142" i="148"/>
  <c r="H46" i="148"/>
  <c r="N101" i="148"/>
  <c r="I127" i="148"/>
  <c r="N146" i="148"/>
  <c r="Q40" i="148"/>
  <c r="P69" i="148"/>
  <c r="P18" i="148"/>
  <c r="Q167" i="148"/>
  <c r="J20" i="148"/>
  <c r="K136" i="148"/>
  <c r="H139" i="148"/>
  <c r="O97" i="148"/>
  <c r="H155" i="148"/>
  <c r="R148" i="148"/>
  <c r="O145" i="148"/>
  <c r="N152" i="148"/>
  <c r="M100" i="148"/>
  <c r="J65" i="148"/>
  <c r="Q161" i="148"/>
  <c r="J185" i="148"/>
  <c r="N44" i="148"/>
  <c r="P188" i="148"/>
  <c r="L167" i="148"/>
  <c r="P137" i="148"/>
  <c r="Q65" i="148"/>
  <c r="I50" i="148"/>
  <c r="Q73" i="148"/>
  <c r="O171" i="148"/>
  <c r="Q101" i="148"/>
  <c r="H173" i="148"/>
  <c r="N102" i="148"/>
  <c r="N35" i="148"/>
  <c r="J126" i="148"/>
  <c r="O159" i="148"/>
  <c r="K96" i="148"/>
  <c r="T165" i="148"/>
  <c r="P115" i="148"/>
  <c r="S107" i="148"/>
  <c r="N173" i="148"/>
  <c r="Q155" i="148"/>
  <c r="K73" i="148"/>
  <c r="J181" i="148"/>
  <c r="L99" i="148"/>
  <c r="P116" i="148"/>
  <c r="J97" i="148"/>
  <c r="T29" i="148"/>
  <c r="S185" i="148"/>
  <c r="J125" i="148"/>
  <c r="H43" i="148"/>
  <c r="I43" i="148"/>
  <c r="K77" i="148"/>
  <c r="P70" i="148"/>
  <c r="Q125" i="148"/>
  <c r="Q123" i="148"/>
  <c r="J73" i="148"/>
  <c r="J178" i="148"/>
  <c r="P104" i="148"/>
  <c r="L175" i="148"/>
  <c r="M34" i="148"/>
  <c r="R147" i="148"/>
  <c r="O68" i="148"/>
  <c r="L77" i="148"/>
  <c r="T44" i="148"/>
  <c r="N51" i="148"/>
  <c r="T73" i="148"/>
  <c r="N184" i="148"/>
  <c r="R28" i="148"/>
  <c r="M183" i="148"/>
  <c r="J50" i="148"/>
  <c r="O22" i="148"/>
  <c r="S141" i="148"/>
  <c r="L93" i="148"/>
  <c r="M109" i="148"/>
  <c r="K130" i="148"/>
  <c r="K89" i="148"/>
  <c r="S36" i="148"/>
  <c r="L156" i="148"/>
  <c r="Q126" i="148"/>
  <c r="T125" i="148"/>
  <c r="M71" i="148"/>
  <c r="R87" i="148"/>
  <c r="Q55" i="148"/>
  <c r="P20" i="148"/>
  <c r="N67" i="148"/>
  <c r="Q171" i="148"/>
  <c r="T117" i="148"/>
  <c r="L139" i="148"/>
  <c r="L143" i="148"/>
  <c r="S128" i="148"/>
  <c r="I114" i="148"/>
  <c r="N28" i="148"/>
  <c r="J19" i="148"/>
  <c r="M108" i="148"/>
  <c r="L104" i="148"/>
  <c r="N19" i="148"/>
  <c r="L61" i="148"/>
  <c r="K143" i="148"/>
  <c r="N126" i="148"/>
  <c r="H127" i="148"/>
  <c r="K159" i="148"/>
  <c r="I82" i="148"/>
  <c r="R186" i="148"/>
  <c r="I73" i="148"/>
  <c r="H138" i="148"/>
  <c r="J15" i="148"/>
  <c r="K28" i="148"/>
  <c r="T47" i="148"/>
  <c r="L34" i="148"/>
  <c r="L40" i="148"/>
  <c r="L186" i="148"/>
  <c r="T129" i="148"/>
  <c r="J162" i="148"/>
  <c r="S124" i="148"/>
  <c r="T56" i="148"/>
  <c r="P80" i="148"/>
  <c r="H118" i="148"/>
  <c r="H78" i="148"/>
  <c r="O181" i="148"/>
  <c r="J34" i="148"/>
  <c r="J26" i="148"/>
  <c r="N71" i="148"/>
  <c r="T83" i="148"/>
  <c r="K71" i="148"/>
  <c r="I15" i="148"/>
  <c r="Q119" i="148"/>
  <c r="J57" i="148"/>
  <c r="O185" i="148"/>
  <c r="T123" i="148"/>
  <c r="I100" i="148"/>
  <c r="S142" i="148"/>
  <c r="I93" i="148"/>
  <c r="O131" i="148"/>
  <c r="M131" i="148"/>
  <c r="R16" i="148"/>
  <c r="Q115" i="148"/>
  <c r="J67" i="148"/>
  <c r="T142" i="148"/>
  <c r="N105" i="148"/>
  <c r="J22" i="148"/>
  <c r="I180" i="148"/>
  <c r="S104" i="148"/>
  <c r="T128" i="148"/>
  <c r="P97" i="148"/>
  <c r="N47" i="148"/>
  <c r="T96" i="148"/>
  <c r="S38" i="148"/>
  <c r="Q69" i="148"/>
  <c r="P178" i="148"/>
  <c r="R40" i="148"/>
  <c r="N141" i="148"/>
  <c r="H51" i="148"/>
  <c r="N142" i="148"/>
  <c r="K169" i="148"/>
  <c r="S182" i="148"/>
  <c r="R114" i="148"/>
  <c r="N65" i="148"/>
  <c r="M173" i="148"/>
  <c r="H26" i="148"/>
  <c r="R139" i="148"/>
  <c r="H27" i="148"/>
  <c r="O94" i="148"/>
  <c r="S136" i="148"/>
  <c r="J184" i="148"/>
  <c r="M135" i="148"/>
  <c r="O119" i="148"/>
  <c r="L187" i="148"/>
  <c r="K57" i="148"/>
  <c r="Q47" i="148"/>
  <c r="T131" i="148"/>
  <c r="R125" i="148"/>
  <c r="I170" i="148"/>
  <c r="Q60" i="148"/>
  <c r="K118" i="148"/>
  <c r="O34" i="148"/>
  <c r="I80" i="148"/>
  <c r="I75" i="148"/>
  <c r="N187" i="148"/>
  <c r="M114" i="148"/>
  <c r="R36" i="148"/>
  <c r="L134" i="148"/>
  <c r="H131" i="148"/>
  <c r="H136" i="148"/>
  <c r="I77" i="148"/>
  <c r="H151" i="148"/>
  <c r="P39" i="148"/>
  <c r="K145" i="148"/>
  <c r="R32" i="148"/>
  <c r="H103" i="148"/>
  <c r="Q50" i="148"/>
  <c r="Q141" i="148"/>
  <c r="K92" i="148"/>
  <c r="T189" i="148"/>
  <c r="S77" i="148"/>
  <c r="R44" i="148"/>
  <c r="N131" i="148"/>
  <c r="L168" i="148"/>
  <c r="R104" i="148"/>
  <c r="T20" i="148"/>
  <c r="T25" i="148"/>
  <c r="P90" i="148"/>
  <c r="N111" i="148"/>
  <c r="T48" i="148"/>
  <c r="Q120" i="148"/>
  <c r="M132" i="148"/>
  <c r="N42" i="148"/>
  <c r="S187" i="148"/>
  <c r="H143" i="148"/>
  <c r="O186" i="148"/>
  <c r="P121" i="148"/>
  <c r="N108" i="148"/>
  <c r="S112" i="148"/>
  <c r="L111" i="148"/>
  <c r="S188" i="148"/>
  <c r="Q25" i="148"/>
  <c r="I55" i="148"/>
  <c r="P46" i="148"/>
  <c r="T34" i="148"/>
  <c r="K107" i="148"/>
  <c r="Q188" i="148"/>
  <c r="O170" i="148"/>
  <c r="I22" i="148"/>
  <c r="Q145" i="148"/>
  <c r="S22" i="148"/>
  <c r="K172" i="148"/>
  <c r="H54" i="148"/>
  <c r="H146" i="148"/>
  <c r="R61" i="148"/>
  <c r="I181" i="148"/>
  <c r="J143" i="148"/>
  <c r="M160" i="148"/>
  <c r="L79" i="148"/>
  <c r="I168" i="148"/>
  <c r="M56" i="148"/>
  <c r="J23" i="148"/>
  <c r="S35" i="148"/>
  <c r="L91" i="148"/>
  <c r="M90" i="148"/>
  <c r="M163" i="148"/>
  <c r="Q134" i="148"/>
  <c r="I87" i="148"/>
  <c r="O60" i="148"/>
  <c r="R184" i="148"/>
  <c r="M159" i="148"/>
  <c r="R17" i="148"/>
  <c r="I141" i="148"/>
  <c r="T64" i="148"/>
  <c r="Q68" i="148"/>
  <c r="R48" i="148"/>
  <c r="N107" i="148"/>
  <c r="Q174" i="148"/>
  <c r="T140" i="148"/>
  <c r="H185" i="148"/>
  <c r="J61" i="148"/>
  <c r="Q51" i="148"/>
  <c r="N25" i="148"/>
  <c r="R92" i="148"/>
  <c r="J85" i="148"/>
  <c r="S15" i="148"/>
  <c r="J115" i="148"/>
  <c r="R58" i="148"/>
  <c r="N41" i="148"/>
  <c r="S52" i="148"/>
  <c r="S64" i="148"/>
  <c r="S20" i="148"/>
  <c r="M44" i="148"/>
  <c r="P26" i="148"/>
  <c r="T113" i="148"/>
  <c r="M113" i="148"/>
  <c r="I182" i="148"/>
  <c r="M156" i="148"/>
  <c r="K81" i="148"/>
  <c r="O178" i="148"/>
  <c r="P86" i="148"/>
  <c r="I176" i="148"/>
  <c r="G22" i="155"/>
  <c r="BJ18" i="104"/>
  <c r="BJ11" i="124"/>
  <c r="BJ16" i="124"/>
  <c r="BJ21" i="124"/>
  <c r="BJ15" i="124"/>
  <c r="BJ14" i="104"/>
  <c r="BJ8" i="123"/>
  <c r="F35" i="142"/>
  <c r="J33" i="142"/>
  <c r="Q30" i="142"/>
  <c r="F29" i="142"/>
  <c r="H36" i="142"/>
  <c r="L34" i="142"/>
  <c r="S31" i="142"/>
  <c r="P40" i="142"/>
  <c r="L38" i="142"/>
  <c r="O35" i="142"/>
  <c r="S33" i="142"/>
  <c r="O31" i="142"/>
  <c r="K29" i="142"/>
  <c r="N26" i="142"/>
  <c r="Q40" i="142"/>
  <c r="M38" i="142"/>
  <c r="I36" i="142"/>
  <c r="N35" i="142"/>
  <c r="R33" i="142"/>
  <c r="N31" i="142"/>
  <c r="J29" i="142"/>
  <c r="G39" i="142"/>
  <c r="R31" i="142"/>
  <c r="L41" i="142"/>
  <c r="L37" i="142"/>
  <c r="G30" i="142"/>
  <c r="N32" i="142"/>
  <c r="O30" i="142"/>
  <c r="G26" i="142"/>
  <c r="I37" i="142"/>
  <c r="I33" i="142"/>
  <c r="K36" i="142"/>
  <c r="H33" i="142"/>
  <c r="L35" i="142"/>
  <c r="S38" i="142"/>
  <c r="O32" i="142"/>
  <c r="O27" i="142"/>
  <c r="L36" i="142"/>
  <c r="H34" i="142"/>
  <c r="K31" i="142"/>
  <c r="O29" i="142"/>
  <c r="K27" i="142"/>
  <c r="F41" i="142"/>
  <c r="I38" i="142"/>
  <c r="M36" i="142"/>
  <c r="I34" i="142"/>
  <c r="E32" i="142"/>
  <c r="J31" i="142"/>
  <c r="N29" i="142"/>
  <c r="J27" i="142"/>
  <c r="N34" i="142"/>
  <c r="N30" i="142"/>
  <c r="E29" i="142"/>
  <c r="S32" i="142"/>
  <c r="S28" i="142"/>
  <c r="I35" i="142"/>
  <c r="E40" i="142"/>
  <c r="F38" i="142"/>
  <c r="E33" i="142"/>
  <c r="P28" i="142"/>
  <c r="O40" i="142"/>
  <c r="P37" i="142"/>
  <c r="O36" i="142"/>
  <c r="S34" i="142"/>
  <c r="Q37" i="142"/>
  <c r="J39" i="142"/>
  <c r="H32" i="142"/>
  <c r="S29" i="142"/>
  <c r="G27" i="142"/>
  <c r="J41" i="142"/>
  <c r="F39" i="142"/>
  <c r="Q36" i="142"/>
  <c r="E34" i="142"/>
  <c r="I32" i="142"/>
  <c r="E30" i="142"/>
  <c r="P27" i="142"/>
  <c r="F27" i="142"/>
  <c r="I41" i="142"/>
  <c r="E39" i="142"/>
  <c r="F26" i="142"/>
  <c r="E38" i="142"/>
  <c r="G34" i="142"/>
  <c r="R40" i="142"/>
  <c r="J36" i="142"/>
  <c r="R38" i="142"/>
  <c r="M33" i="142"/>
  <c r="M29" i="142"/>
  <c r="Q39" i="142"/>
  <c r="G36" i="142"/>
  <c r="G32" i="142"/>
  <c r="G41" i="142"/>
  <c r="K30" i="142"/>
  <c r="J38" i="142"/>
  <c r="F36" i="142"/>
  <c r="M26" i="142"/>
  <c r="S27" i="142"/>
  <c r="N41" i="142"/>
  <c r="Q38" i="142"/>
  <c r="F37" i="142"/>
  <c r="Q34" i="142"/>
  <c r="M32" i="142"/>
  <c r="P29" i="142"/>
  <c r="E28" i="142"/>
  <c r="O41" i="142"/>
  <c r="E41" i="142"/>
  <c r="I39" i="142"/>
  <c r="E37" i="142"/>
  <c r="P34" i="142"/>
  <c r="L33" i="142"/>
  <c r="L29" i="142"/>
  <c r="J30" i="142"/>
  <c r="J32" i="142"/>
  <c r="Q27" i="142"/>
  <c r="H29" i="142"/>
  <c r="S40" i="142"/>
  <c r="S36" i="142"/>
  <c r="O38" i="142"/>
  <c r="N27" i="142"/>
  <c r="M39" i="142"/>
  <c r="O28" i="142"/>
  <c r="G28" i="142"/>
  <c r="N36" i="142"/>
  <c r="Q33" i="142"/>
  <c r="P38" i="142"/>
  <c r="N39" i="142"/>
  <c r="J37" i="142"/>
  <c r="M34" i="142"/>
  <c r="Q32" i="142"/>
  <c r="M30" i="142"/>
  <c r="I28" i="142"/>
  <c r="S41" i="142"/>
  <c r="O39" i="142"/>
  <c r="K37" i="142"/>
  <c r="P36" i="142"/>
  <c r="E35" i="142"/>
  <c r="P32" i="142"/>
  <c r="L30" i="142"/>
  <c r="K41" i="142"/>
  <c r="R36" i="142"/>
  <c r="N28" i="142"/>
  <c r="P39" i="142"/>
  <c r="H35" i="142"/>
  <c r="G37" i="142"/>
  <c r="K32" i="142"/>
  <c r="K28" i="142"/>
  <c r="M37" i="142"/>
  <c r="M35" i="142"/>
  <c r="E31" i="142"/>
  <c r="S26" i="142"/>
  <c r="K26" i="142"/>
  <c r="J34" i="142"/>
  <c r="M31" i="142"/>
  <c r="H30" i="142"/>
  <c r="J35" i="142"/>
  <c r="F33" i="142"/>
  <c r="I30" i="142"/>
  <c r="M28" i="142"/>
  <c r="I26" i="142"/>
  <c r="K39" i="142"/>
  <c r="O37" i="142"/>
  <c r="K35" i="142"/>
  <c r="G33" i="142"/>
  <c r="L32" i="142"/>
  <c r="P30" i="142"/>
  <c r="L28" i="142"/>
  <c r="H26" i="142"/>
  <c r="R32" i="142"/>
  <c r="J28" i="142"/>
  <c r="J26" i="142"/>
  <c r="H31" i="142"/>
  <c r="O26" i="142"/>
  <c r="E36" i="142"/>
  <c r="J40" i="142"/>
  <c r="Q35" i="142"/>
  <c r="R27" i="142"/>
  <c r="E27" i="142"/>
  <c r="K38" i="142"/>
  <c r="N40" i="142"/>
  <c r="F40" i="142"/>
  <c r="F32" i="142"/>
  <c r="H41" i="142"/>
  <c r="L40" i="142"/>
  <c r="N37" i="142"/>
  <c r="Q26" i="142"/>
  <c r="S39" i="142"/>
  <c r="H38" i="142"/>
  <c r="S35" i="142"/>
  <c r="O33" i="142"/>
  <c r="R30" i="142"/>
  <c r="G29" i="142"/>
  <c r="R26" i="142"/>
  <c r="M40" i="142"/>
  <c r="R39" i="142"/>
  <c r="G38" i="142"/>
  <c r="R35" i="142"/>
  <c r="N33" i="142"/>
  <c r="P31" i="142"/>
  <c r="H27" i="142"/>
  <c r="F34" i="142"/>
  <c r="F30" i="142"/>
  <c r="I31" i="142"/>
  <c r="P33" i="142"/>
  <c r="H39" i="142"/>
  <c r="O34" i="142"/>
  <c r="L27" i="142"/>
  <c r="Q41" i="142"/>
  <c r="M41" i="142"/>
  <c r="M27" i="142"/>
  <c r="I29" i="142"/>
  <c r="L39" i="142"/>
  <c r="S30" i="142"/>
  <c r="H40" i="142"/>
  <c r="G40" i="142"/>
  <c r="Q31" i="142"/>
  <c r="H37" i="142"/>
  <c r="S37" i="142"/>
  <c r="R37" i="142"/>
  <c r="I27" i="142"/>
  <c r="K40" i="142"/>
  <c r="G35" i="142"/>
  <c r="I40" i="142"/>
  <c r="P26" i="142"/>
  <c r="K33" i="142"/>
  <c r="P35" i="142"/>
  <c r="K34" i="142"/>
  <c r="H28" i="142"/>
  <c r="R41" i="142"/>
  <c r="G31" i="142"/>
  <c r="L31" i="142"/>
  <c r="R29" i="142"/>
  <c r="F31" i="142"/>
  <c r="R28" i="142"/>
  <c r="N38" i="142"/>
  <c r="P41" i="142"/>
  <c r="F28" i="142"/>
  <c r="E26" i="142"/>
  <c r="L26" i="142"/>
  <c r="R34" i="142"/>
  <c r="Q29" i="142"/>
  <c r="Q28" i="142"/>
  <c r="BJ10" i="125"/>
  <c r="I22" i="156"/>
  <c r="BJ13" i="123"/>
  <c r="AQ7" i="194"/>
  <c r="BV7" i="194"/>
  <c r="L34" i="140"/>
  <c r="J41" i="140"/>
  <c r="K34" i="140"/>
  <c r="N29" i="140"/>
  <c r="J27" i="140"/>
  <c r="S40" i="140"/>
  <c r="P27" i="140"/>
  <c r="G28" i="140"/>
  <c r="K36" i="140"/>
  <c r="G34" i="140"/>
  <c r="S31" i="140"/>
  <c r="S35" i="140"/>
  <c r="F26" i="140"/>
  <c r="M28" i="140"/>
  <c r="I26" i="140"/>
  <c r="R39" i="140"/>
  <c r="R26" i="140"/>
  <c r="N32" i="140"/>
  <c r="J34" i="140"/>
  <c r="G32" i="140"/>
  <c r="R29" i="140"/>
  <c r="H34" i="140"/>
  <c r="S37" i="140"/>
  <c r="I36" i="140"/>
  <c r="M40" i="140"/>
  <c r="P35" i="140"/>
  <c r="K35" i="140"/>
  <c r="Q31" i="140"/>
  <c r="O32" i="140"/>
  <c r="K26" i="140"/>
  <c r="P29" i="140"/>
  <c r="F37" i="140"/>
  <c r="O37" i="140"/>
  <c r="H41" i="140"/>
  <c r="S38" i="140"/>
  <c r="O36" i="140"/>
  <c r="S32" i="140"/>
  <c r="E36" i="140"/>
  <c r="H32" i="140"/>
  <c r="S29" i="140"/>
  <c r="O27" i="140"/>
  <c r="F39" i="140"/>
  <c r="N36" i="140"/>
  <c r="G40" i="140"/>
  <c r="R37" i="140"/>
  <c r="N35" i="140"/>
  <c r="E30" i="140"/>
  <c r="H27" i="140"/>
  <c r="G30" i="140"/>
  <c r="R27" i="140"/>
  <c r="L41" i="140"/>
  <c r="J37" i="140"/>
  <c r="Q36" i="140"/>
  <c r="G35" i="140"/>
  <c r="I38" i="140"/>
  <c r="N34" i="140"/>
  <c r="I34" i="140"/>
  <c r="I27" i="140"/>
  <c r="M31" i="140"/>
  <c r="R38" i="140"/>
  <c r="I39" i="140"/>
  <c r="R41" i="140"/>
  <c r="R32" i="140"/>
  <c r="O28" i="140"/>
  <c r="S36" i="140"/>
  <c r="O34" i="140"/>
  <c r="L32" i="140"/>
  <c r="H40" i="140"/>
  <c r="H30" i="140"/>
  <c r="S27" i="140"/>
  <c r="M41" i="140"/>
  <c r="P40" i="140"/>
  <c r="N30" i="140"/>
  <c r="N27" i="140"/>
  <c r="R35" i="140"/>
  <c r="O33" i="140"/>
  <c r="K31" i="140"/>
  <c r="G33" i="140"/>
  <c r="J40" i="140"/>
  <c r="P41" i="140"/>
  <c r="L39" i="140"/>
  <c r="H37" i="140"/>
  <c r="L40" i="140"/>
  <c r="O35" i="140"/>
  <c r="E34" i="140"/>
  <c r="M27" i="140"/>
  <c r="M33" i="140"/>
  <c r="H33" i="140"/>
  <c r="F28" i="140"/>
  <c r="K30" i="140"/>
  <c r="E35" i="140"/>
  <c r="N37" i="140"/>
  <c r="Q39" i="140"/>
  <c r="M36" i="140"/>
  <c r="P32" i="140"/>
  <c r="L30" i="140"/>
  <c r="H28" i="140"/>
  <c r="Q34" i="140"/>
  <c r="Q41" i="140"/>
  <c r="M39" i="140"/>
  <c r="I37" i="140"/>
  <c r="L38" i="140"/>
  <c r="P33" i="140"/>
  <c r="L35" i="140"/>
  <c r="O31" i="140"/>
  <c r="K29" i="140"/>
  <c r="G27" i="140"/>
  <c r="H36" i="140"/>
  <c r="J31" i="140"/>
  <c r="L37" i="140"/>
  <c r="H35" i="140"/>
  <c r="E33" i="140"/>
  <c r="E32" i="140"/>
  <c r="Q38" i="140"/>
  <c r="H31" i="140"/>
  <c r="E40" i="140"/>
  <c r="F30" i="140"/>
  <c r="F32" i="140"/>
  <c r="R40" i="140"/>
  <c r="I29" i="140"/>
  <c r="I30" i="140"/>
  <c r="K33" i="140"/>
  <c r="M35" i="140"/>
  <c r="P30" i="140"/>
  <c r="L28" i="140"/>
  <c r="H26" i="140"/>
  <c r="F36" i="140"/>
  <c r="L29" i="140"/>
  <c r="M37" i="140"/>
  <c r="I35" i="140"/>
  <c r="F33" i="140"/>
  <c r="R28" i="140"/>
  <c r="F41" i="140"/>
  <c r="O29" i="140"/>
  <c r="K27" i="140"/>
  <c r="E41" i="140"/>
  <c r="F27" i="140"/>
  <c r="F35" i="140"/>
  <c r="H39" i="140"/>
  <c r="I33" i="140"/>
  <c r="E31" i="140"/>
  <c r="P28" i="140"/>
  <c r="J39" i="140"/>
  <c r="K32" i="140"/>
  <c r="Q27" i="140"/>
  <c r="R31" i="140"/>
  <c r="O30" i="140"/>
  <c r="S30" i="140"/>
  <c r="P37" i="140"/>
  <c r="O26" i="140"/>
  <c r="E26" i="140"/>
  <c r="H38" i="140"/>
  <c r="Q30" i="140"/>
  <c r="L26" i="140"/>
  <c r="F40" i="140"/>
  <c r="Q37" i="140"/>
  <c r="L36" i="140"/>
  <c r="S39" i="140"/>
  <c r="J33" i="140"/>
  <c r="F31" i="140"/>
  <c r="Q28" i="140"/>
  <c r="R30" i="140"/>
  <c r="J28" i="140"/>
  <c r="I41" i="140"/>
  <c r="E39" i="140"/>
  <c r="P36" i="140"/>
  <c r="G29" i="140"/>
  <c r="Q40" i="140"/>
  <c r="I31" i="140"/>
  <c r="E29" i="140"/>
  <c r="P26" i="140"/>
  <c r="S34" i="140"/>
  <c r="N26" i="140"/>
  <c r="O39" i="140"/>
  <c r="M29" i="140"/>
  <c r="G39" i="140"/>
  <c r="S26" i="140"/>
  <c r="Q29" i="140"/>
  <c r="P39" i="140"/>
  <c r="K28" i="140"/>
  <c r="P38" i="140"/>
  <c r="H29" i="140"/>
  <c r="O38" i="140"/>
  <c r="R33" i="140"/>
  <c r="N31" i="140"/>
  <c r="J29" i="140"/>
  <c r="N41" i="140"/>
  <c r="G37" i="140"/>
  <c r="O40" i="140"/>
  <c r="K38" i="140"/>
  <c r="G36" i="140"/>
  <c r="N28" i="140"/>
  <c r="M34" i="140"/>
  <c r="Q32" i="140"/>
  <c r="M30" i="140"/>
  <c r="I28" i="140"/>
  <c r="N39" i="140"/>
  <c r="J26" i="140"/>
  <c r="N38" i="140"/>
  <c r="J36" i="140"/>
  <c r="F34" i="140"/>
  <c r="G31" i="140"/>
  <c r="L27" i="140"/>
  <c r="K37" i="140"/>
  <c r="K41" i="140"/>
  <c r="R36" i="140"/>
  <c r="I40" i="140"/>
  <c r="S28" i="140"/>
  <c r="Q33" i="140"/>
  <c r="K39" i="140"/>
  <c r="M26" i="140"/>
  <c r="K40" i="140"/>
  <c r="E27" i="140"/>
  <c r="G41" i="140"/>
  <c r="G38" i="140"/>
  <c r="F38" i="140"/>
  <c r="S41" i="140"/>
  <c r="N40" i="140"/>
  <c r="J32" i="140"/>
  <c r="I32" i="140"/>
  <c r="Q35" i="140"/>
  <c r="L31" i="140"/>
  <c r="J38" i="140"/>
  <c r="R34" i="140"/>
  <c r="N33" i="140"/>
  <c r="E37" i="140"/>
  <c r="E28" i="140"/>
  <c r="O41" i="140"/>
  <c r="F29" i="140"/>
  <c r="G26" i="140"/>
  <c r="J35" i="140"/>
  <c r="P34" i="140"/>
  <c r="S33" i="140"/>
  <c r="J30" i="140"/>
  <c r="M32" i="140"/>
  <c r="M38" i="140"/>
  <c r="L33" i="140"/>
  <c r="Q26" i="140"/>
  <c r="P31" i="140"/>
  <c r="E38" i="140"/>
  <c r="BJ11" i="104"/>
  <c r="BJ9" i="123"/>
  <c r="BJ9" i="124"/>
  <c r="BJ22" i="104"/>
  <c r="BJ8" i="104"/>
  <c r="BJ8" i="124"/>
  <c r="BJ10" i="123"/>
  <c r="O181" i="149"/>
  <c r="K126" i="149"/>
  <c r="L153" i="149"/>
  <c r="T79" i="149"/>
  <c r="P24" i="149"/>
  <c r="S183" i="149"/>
  <c r="J101" i="149"/>
  <c r="N140" i="149"/>
  <c r="O38" i="149"/>
  <c r="S178" i="149"/>
  <c r="S123" i="149"/>
  <c r="T178" i="149"/>
  <c r="J148" i="149"/>
  <c r="H145" i="149"/>
  <c r="M53" i="149"/>
  <c r="R185" i="149"/>
  <c r="O91" i="149"/>
  <c r="N157" i="149"/>
  <c r="K133" i="149"/>
  <c r="R167" i="149"/>
  <c r="K122" i="149"/>
  <c r="K153" i="149"/>
  <c r="O53" i="149"/>
  <c r="R16" i="149"/>
  <c r="T152" i="149"/>
  <c r="J125" i="149"/>
  <c r="T73" i="149"/>
  <c r="H48" i="149"/>
  <c r="J159" i="149"/>
  <c r="K45" i="149"/>
  <c r="H163" i="149"/>
  <c r="R62" i="149"/>
  <c r="H60" i="149"/>
  <c r="Q38" i="149"/>
  <c r="M104" i="149"/>
  <c r="J190" i="149"/>
  <c r="I120" i="149"/>
  <c r="H100" i="149"/>
  <c r="H149" i="149"/>
  <c r="T160" i="149"/>
  <c r="T94" i="149"/>
  <c r="L34" i="149"/>
  <c r="J186" i="149"/>
  <c r="K117" i="149"/>
  <c r="O95" i="149"/>
  <c r="S93" i="149"/>
  <c r="O41" i="149"/>
  <c r="Q83" i="149"/>
  <c r="K180" i="149"/>
  <c r="L124" i="149"/>
  <c r="M149" i="149"/>
  <c r="R73" i="149"/>
  <c r="J27" i="149"/>
  <c r="R66" i="149"/>
  <c r="K164" i="149"/>
  <c r="N146" i="149"/>
  <c r="K75" i="149"/>
  <c r="J135" i="149"/>
  <c r="O122" i="149"/>
  <c r="M75" i="149"/>
  <c r="I43" i="149"/>
  <c r="K160" i="149"/>
  <c r="R140" i="149"/>
  <c r="L70" i="149"/>
  <c r="L121" i="149"/>
  <c r="R27" i="149"/>
  <c r="S72" i="149"/>
  <c r="H166" i="149"/>
  <c r="H120" i="149"/>
  <c r="K145" i="149"/>
  <c r="K52" i="149"/>
  <c r="Q16" i="149"/>
  <c r="H78" i="149"/>
  <c r="M153" i="149"/>
  <c r="M84" i="149"/>
  <c r="O96" i="149"/>
  <c r="I110" i="149"/>
  <c r="H38" i="149"/>
  <c r="H134" i="149"/>
  <c r="Q94" i="149"/>
  <c r="Q165" i="149"/>
  <c r="K111" i="149"/>
  <c r="O155" i="149"/>
  <c r="S134" i="149"/>
  <c r="T64" i="149"/>
  <c r="M95" i="149"/>
  <c r="M26" i="149"/>
  <c r="M127" i="149"/>
  <c r="I59" i="149"/>
  <c r="Q64" i="149"/>
  <c r="S42" i="149"/>
  <c r="N152" i="149"/>
  <c r="O88" i="149"/>
  <c r="L145" i="149"/>
  <c r="K115" i="149"/>
  <c r="N66" i="149"/>
  <c r="M43" i="149"/>
  <c r="M141" i="149"/>
  <c r="J51" i="149"/>
  <c r="N182" i="149"/>
  <c r="J78" i="149"/>
  <c r="I144" i="149"/>
  <c r="Q75" i="149"/>
  <c r="L84" i="149"/>
  <c r="Q51" i="149"/>
  <c r="P50" i="149"/>
  <c r="L162" i="149"/>
  <c r="J74" i="149"/>
  <c r="K63" i="149"/>
  <c r="H33" i="149"/>
  <c r="N122" i="149"/>
  <c r="J180" i="149"/>
  <c r="I111" i="149"/>
  <c r="H88" i="149"/>
  <c r="T77" i="149"/>
  <c r="R32" i="149"/>
  <c r="O109" i="149"/>
  <c r="M171" i="149"/>
  <c r="T142" i="149"/>
  <c r="I153" i="149"/>
  <c r="I125" i="149"/>
  <c r="R90" i="149"/>
  <c r="S108" i="149"/>
  <c r="T41" i="149"/>
  <c r="M167" i="149"/>
  <c r="P138" i="149"/>
  <c r="I133" i="149"/>
  <c r="H140" i="149"/>
  <c r="K21" i="149"/>
  <c r="N61" i="149"/>
  <c r="K154" i="149"/>
  <c r="P133" i="149"/>
  <c r="P63" i="149"/>
  <c r="H90" i="149"/>
  <c r="I25" i="149"/>
  <c r="Q74" i="149"/>
  <c r="I187" i="149"/>
  <c r="L152" i="149"/>
  <c r="I184" i="149"/>
  <c r="J162" i="149"/>
  <c r="L111" i="149"/>
  <c r="Q98" i="149"/>
  <c r="N50" i="149"/>
  <c r="M180" i="149"/>
  <c r="P142" i="149"/>
  <c r="K62" i="149"/>
  <c r="T82" i="149"/>
  <c r="S16" i="149"/>
  <c r="M109" i="149"/>
  <c r="Q142" i="149"/>
  <c r="M74" i="149"/>
  <c r="H83" i="149"/>
  <c r="M48" i="149"/>
  <c r="Q170" i="149"/>
  <c r="T60" i="149"/>
  <c r="S167" i="149"/>
  <c r="T137" i="149"/>
  <c r="P180" i="149"/>
  <c r="L91" i="149"/>
  <c r="H21" i="149"/>
  <c r="M80" i="149"/>
  <c r="T31" i="149"/>
  <c r="S73" i="149"/>
  <c r="N174" i="149"/>
  <c r="M132" i="149"/>
  <c r="S56" i="149"/>
  <c r="P73" i="149"/>
  <c r="O17" i="149"/>
  <c r="M159" i="149"/>
  <c r="K136" i="149"/>
  <c r="P80" i="149"/>
  <c r="H52" i="149"/>
  <c r="I117" i="149"/>
  <c r="P54" i="149"/>
  <c r="L178" i="149"/>
  <c r="J68" i="149"/>
  <c r="H143" i="149"/>
  <c r="M46" i="149"/>
  <c r="S119" i="149"/>
  <c r="P15" i="149"/>
  <c r="O125" i="149"/>
  <c r="J107" i="149"/>
  <c r="M156" i="149"/>
  <c r="R118" i="149"/>
  <c r="P103" i="149"/>
  <c r="H39" i="149"/>
  <c r="K17" i="149"/>
  <c r="H121" i="149"/>
  <c r="P101" i="149"/>
  <c r="O123" i="149"/>
  <c r="L32" i="149"/>
  <c r="T99" i="149"/>
  <c r="O185" i="149"/>
  <c r="N131" i="149"/>
  <c r="T181" i="149"/>
  <c r="S97" i="149"/>
  <c r="P23" i="149"/>
  <c r="R82" i="149"/>
  <c r="L171" i="149"/>
  <c r="Q154" i="149"/>
  <c r="M81" i="149"/>
  <c r="I141" i="149"/>
  <c r="H132" i="149"/>
  <c r="N88" i="149"/>
  <c r="P47" i="149"/>
  <c r="O165" i="149"/>
  <c r="R148" i="149"/>
  <c r="H77" i="149"/>
  <c r="H58" i="149"/>
  <c r="O26" i="149"/>
  <c r="H95" i="149"/>
  <c r="T172" i="149"/>
  <c r="N129" i="149"/>
  <c r="R187" i="149"/>
  <c r="R97" i="149"/>
  <c r="T17" i="149"/>
  <c r="S98" i="149"/>
  <c r="J160" i="149"/>
  <c r="Q89" i="149"/>
  <c r="I189" i="149"/>
  <c r="J108" i="149"/>
  <c r="K98" i="149"/>
  <c r="L98" i="149"/>
  <c r="I26" i="149"/>
  <c r="L155" i="149"/>
  <c r="Q85" i="149"/>
  <c r="H98" i="149"/>
  <c r="K37" i="149"/>
  <c r="L182" i="149"/>
  <c r="J137" i="149"/>
  <c r="N154" i="149"/>
  <c r="P116" i="149"/>
  <c r="H101" i="149"/>
  <c r="R37" i="149"/>
  <c r="H189" i="149"/>
  <c r="O37" i="149"/>
  <c r="T140" i="149"/>
  <c r="O107" i="149"/>
  <c r="M184" i="149"/>
  <c r="S143" i="149"/>
  <c r="I176" i="149"/>
  <c r="O101" i="149"/>
  <c r="R33" i="149"/>
  <c r="T43" i="149"/>
  <c r="P148" i="149"/>
  <c r="I81" i="149"/>
  <c r="H91" i="149"/>
  <c r="N32" i="149"/>
  <c r="I52" i="149"/>
  <c r="K189" i="149"/>
  <c r="N79" i="149"/>
  <c r="I76" i="149"/>
  <c r="S43" i="149"/>
  <c r="H142" i="149"/>
  <c r="N185" i="149"/>
  <c r="T116" i="149"/>
  <c r="K94" i="149"/>
  <c r="H89" i="149"/>
  <c r="K40" i="149"/>
  <c r="M138" i="149"/>
  <c r="Q176" i="149"/>
  <c r="J150" i="149"/>
  <c r="K185" i="149"/>
  <c r="Q129" i="149"/>
  <c r="J96" i="149"/>
  <c r="R138" i="149"/>
  <c r="O52" i="149"/>
  <c r="Q172" i="149"/>
  <c r="P144" i="149"/>
  <c r="I158" i="149"/>
  <c r="H65" i="149"/>
  <c r="L26" i="149"/>
  <c r="N77" i="149"/>
  <c r="O159" i="149"/>
  <c r="O139" i="149"/>
  <c r="S69" i="149"/>
  <c r="L119" i="149"/>
  <c r="N26" i="149"/>
  <c r="N94" i="149"/>
  <c r="T167" i="149"/>
  <c r="H170" i="149"/>
  <c r="M189" i="149"/>
  <c r="P176" i="149"/>
  <c r="T124" i="149"/>
  <c r="I118" i="149"/>
  <c r="J34" i="149"/>
  <c r="T188" i="149"/>
  <c r="R155" i="149"/>
  <c r="N68" i="149"/>
  <c r="I74" i="149"/>
  <c r="H19" i="149"/>
  <c r="L140" i="149"/>
  <c r="H147" i="149"/>
  <c r="Q79" i="149"/>
  <c r="P89" i="149"/>
  <c r="L31" i="149"/>
  <c r="M181" i="149"/>
  <c r="N106" i="149"/>
  <c r="O176" i="149"/>
  <c r="T147" i="149"/>
  <c r="Q185" i="149"/>
  <c r="K119" i="149"/>
  <c r="K91" i="149"/>
  <c r="H84" i="149"/>
  <c r="J18" i="149"/>
  <c r="H169" i="149"/>
  <c r="P139" i="149"/>
  <c r="J131" i="149"/>
  <c r="Q48" i="149"/>
  <c r="T175" i="149"/>
  <c r="O45" i="149"/>
  <c r="R128" i="149"/>
  <c r="R94" i="149"/>
  <c r="S132" i="149"/>
  <c r="O50" i="149"/>
  <c r="Q156" i="149"/>
  <c r="J55" i="149"/>
  <c r="Q162" i="149"/>
  <c r="J62" i="149"/>
  <c r="N160" i="149"/>
  <c r="J81" i="149"/>
  <c r="N175" i="149"/>
  <c r="R156" i="149"/>
  <c r="K30" i="149"/>
  <c r="O169" i="149"/>
  <c r="T162" i="149"/>
  <c r="R130" i="149"/>
  <c r="J115" i="149"/>
  <c r="J44" i="149"/>
  <c r="R23" i="149"/>
  <c r="O127" i="149"/>
  <c r="T109" i="149"/>
  <c r="O62" i="149"/>
  <c r="M37" i="149"/>
  <c r="R116" i="149"/>
  <c r="S190" i="149"/>
  <c r="N137" i="149"/>
  <c r="N132" i="149"/>
  <c r="P122" i="149"/>
  <c r="R28" i="149"/>
  <c r="R98" i="149"/>
  <c r="H178" i="149"/>
  <c r="I163" i="149"/>
  <c r="K88" i="149"/>
  <c r="Q148" i="149"/>
  <c r="N163" i="149"/>
  <c r="T105" i="149"/>
  <c r="P51" i="149"/>
  <c r="I173" i="149"/>
  <c r="P156" i="149"/>
  <c r="K83" i="149"/>
  <c r="N70" i="149"/>
  <c r="I24" i="149"/>
  <c r="O68" i="149"/>
  <c r="P179" i="149"/>
  <c r="L141" i="149"/>
  <c r="R61" i="149"/>
  <c r="Q76" i="149"/>
  <c r="J16" i="149"/>
  <c r="L184" i="149"/>
  <c r="Q167" i="149"/>
  <c r="I95" i="149"/>
  <c r="S170" i="149"/>
  <c r="N113" i="149"/>
  <c r="L107" i="149"/>
  <c r="T115" i="149"/>
  <c r="S22" i="149"/>
  <c r="R162" i="149"/>
  <c r="I91" i="149"/>
  <c r="Q106" i="149"/>
  <c r="R48" i="149"/>
  <c r="S152" i="149"/>
  <c r="R87" i="149"/>
  <c r="P161" i="149"/>
  <c r="Q127" i="149"/>
  <c r="P113" i="149"/>
  <c r="R42" i="149"/>
  <c r="K158" i="149"/>
  <c r="R36" i="149"/>
  <c r="T144" i="149"/>
  <c r="K114" i="149"/>
  <c r="L159" i="149"/>
  <c r="P106" i="149"/>
  <c r="L101" i="149"/>
  <c r="H43" i="149"/>
  <c r="M15" i="149"/>
  <c r="S141" i="149"/>
  <c r="K109" i="149"/>
  <c r="O61" i="149"/>
  <c r="T38" i="149"/>
  <c r="J144" i="149"/>
  <c r="P45" i="149"/>
  <c r="M146" i="149"/>
  <c r="S155" i="149"/>
  <c r="L103" i="149"/>
  <c r="T50" i="149"/>
  <c r="R129" i="149"/>
  <c r="N179" i="149"/>
  <c r="M110" i="149"/>
  <c r="K183" i="149"/>
  <c r="S128" i="149"/>
  <c r="H63" i="149"/>
  <c r="S154" i="149"/>
  <c r="I64" i="149"/>
  <c r="Q25" i="149"/>
  <c r="H162" i="149"/>
  <c r="L137" i="149"/>
  <c r="O102" i="149"/>
  <c r="Q177" i="149"/>
  <c r="K34" i="149"/>
  <c r="I178" i="149"/>
  <c r="J152" i="149"/>
  <c r="M101" i="149"/>
  <c r="M77" i="149"/>
  <c r="R38" i="149"/>
  <c r="N93" i="149"/>
  <c r="S164" i="149"/>
  <c r="K147" i="149"/>
  <c r="O76" i="149"/>
  <c r="O57" i="149"/>
  <c r="S25" i="149"/>
  <c r="T114" i="149"/>
  <c r="P174" i="149"/>
  <c r="J111" i="149"/>
  <c r="R170" i="149"/>
  <c r="Q101" i="149"/>
  <c r="R142" i="149"/>
  <c r="I150" i="149"/>
  <c r="K49" i="149"/>
  <c r="Q169" i="149"/>
  <c r="T176" i="149"/>
  <c r="J75" i="149"/>
  <c r="R57" i="149"/>
  <c r="L18" i="149"/>
  <c r="I62" i="149"/>
  <c r="M154" i="149"/>
  <c r="I85" i="149"/>
  <c r="K97" i="149"/>
  <c r="I36" i="149"/>
  <c r="Q186" i="149"/>
  <c r="S74" i="149"/>
  <c r="R189" i="149"/>
  <c r="M172" i="149"/>
  <c r="S144" i="149"/>
  <c r="H123" i="149"/>
  <c r="I100" i="149"/>
  <c r="K66" i="149"/>
  <c r="J20" i="149"/>
  <c r="K179" i="149"/>
  <c r="M151" i="149"/>
  <c r="T148" i="149"/>
  <c r="I54" i="149"/>
  <c r="H186" i="149"/>
  <c r="I106" i="149"/>
  <c r="N135" i="149"/>
  <c r="P100" i="149"/>
  <c r="O182" i="149"/>
  <c r="J33" i="149"/>
  <c r="O152" i="149"/>
  <c r="Q35" i="149"/>
  <c r="R175" i="149"/>
  <c r="N67" i="149"/>
  <c r="M133" i="149"/>
  <c r="I65" i="149"/>
  <c r="M71" i="149"/>
  <c r="N53" i="149"/>
  <c r="R43" i="149"/>
  <c r="T164" i="149"/>
  <c r="N63" i="149"/>
  <c r="S84" i="149"/>
  <c r="L39" i="149"/>
  <c r="I161" i="149"/>
  <c r="N169" i="149"/>
  <c r="M100" i="149"/>
  <c r="S140" i="149"/>
  <c r="J143" i="149"/>
  <c r="S47" i="149"/>
  <c r="I73" i="149"/>
  <c r="S184" i="149"/>
  <c r="K130" i="149"/>
  <c r="P169" i="149"/>
  <c r="J173" i="149"/>
  <c r="T85" i="149"/>
  <c r="Q147" i="149"/>
  <c r="L90" i="149"/>
  <c r="S173" i="149"/>
  <c r="H187" i="149"/>
  <c r="J176" i="149"/>
  <c r="I107" i="149"/>
  <c r="K159" i="149"/>
  <c r="P68" i="149"/>
  <c r="N31" i="149"/>
  <c r="M176" i="149"/>
  <c r="N112" i="149"/>
  <c r="P82" i="149"/>
  <c r="M99" i="149"/>
  <c r="O18" i="149"/>
  <c r="H75" i="149"/>
  <c r="N161" i="149"/>
  <c r="M90" i="149"/>
  <c r="L105" i="149"/>
  <c r="N47" i="149"/>
  <c r="J168" i="149"/>
  <c r="L56" i="149"/>
  <c r="O188" i="149"/>
  <c r="Q57" i="149"/>
  <c r="K150" i="149"/>
  <c r="T128" i="149"/>
  <c r="Q58" i="149"/>
  <c r="R81" i="149"/>
  <c r="L21" i="149"/>
  <c r="N180" i="149"/>
  <c r="N178" i="149"/>
  <c r="O58" i="149"/>
  <c r="K38" i="149"/>
  <c r="I136" i="149"/>
  <c r="T63" i="149"/>
  <c r="J141" i="149"/>
  <c r="L108" i="149"/>
  <c r="K60" i="149"/>
  <c r="L38" i="149"/>
  <c r="P187" i="149"/>
  <c r="P53" i="149"/>
  <c r="I160" i="149"/>
  <c r="R72" i="149"/>
  <c r="Q138" i="149"/>
  <c r="M70" i="149"/>
  <c r="I78" i="149"/>
  <c r="I38" i="149"/>
  <c r="T35" i="149"/>
  <c r="T179" i="149"/>
  <c r="R68" i="149"/>
  <c r="Q86" i="149"/>
  <c r="Q47" i="149"/>
  <c r="S181" i="149"/>
  <c r="R174" i="149"/>
  <c r="Q105" i="149"/>
  <c r="L151" i="149"/>
  <c r="O65" i="149"/>
  <c r="H29" i="149"/>
  <c r="M94" i="149"/>
  <c r="K190" i="149"/>
  <c r="T136" i="149"/>
  <c r="L131" i="149"/>
  <c r="Q119" i="149"/>
  <c r="N85" i="149"/>
  <c r="I90" i="149"/>
  <c r="R30" i="149"/>
  <c r="K186" i="149"/>
  <c r="R132" i="149"/>
  <c r="S187" i="149"/>
  <c r="O98" i="149"/>
  <c r="L24" i="149"/>
  <c r="M128" i="149"/>
  <c r="S148" i="149"/>
  <c r="P127" i="149"/>
  <c r="T56" i="149"/>
  <c r="P78" i="149"/>
  <c r="K23" i="149"/>
  <c r="T134" i="149"/>
  <c r="P178" i="149"/>
  <c r="Q139" i="149"/>
  <c r="N60" i="149"/>
  <c r="P137" i="149"/>
  <c r="P52" i="149"/>
  <c r="M106" i="149"/>
  <c r="H66" i="149"/>
  <c r="I166" i="149"/>
  <c r="J112" i="149"/>
  <c r="S179" i="149"/>
  <c r="T67" i="149"/>
  <c r="H130" i="149"/>
  <c r="K69" i="149"/>
  <c r="T122" i="149"/>
  <c r="R67" i="149"/>
  <c r="I157" i="149"/>
  <c r="R180" i="149"/>
  <c r="S116" i="149"/>
  <c r="J39" i="149"/>
  <c r="S114" i="149"/>
  <c r="J15" i="149"/>
  <c r="Q146" i="149"/>
  <c r="H139" i="149"/>
  <c r="K46" i="149"/>
  <c r="Q15" i="149"/>
  <c r="P107" i="149"/>
  <c r="T155" i="149"/>
  <c r="L130" i="149"/>
  <c r="O77" i="149"/>
  <c r="H50" i="149"/>
  <c r="O161" i="149"/>
  <c r="N59" i="149"/>
  <c r="K35" i="149"/>
  <c r="I140" i="149"/>
  <c r="Q71" i="149"/>
  <c r="M79" i="149"/>
  <c r="J43" i="149"/>
  <c r="M120" i="149"/>
  <c r="P132" i="149"/>
  <c r="H171" i="149"/>
  <c r="R119" i="149"/>
  <c r="J106" i="149"/>
  <c r="N95" i="149"/>
  <c r="S51" i="149"/>
  <c r="O24" i="149"/>
  <c r="H119" i="149"/>
  <c r="Q41" i="149"/>
  <c r="R168" i="149"/>
  <c r="S138" i="149"/>
  <c r="I92" i="149"/>
  <c r="J24" i="149"/>
  <c r="P120" i="149"/>
  <c r="S165" i="149"/>
  <c r="Q93" i="149"/>
  <c r="O114" i="149"/>
  <c r="I31" i="149"/>
  <c r="R176" i="149"/>
  <c r="S113" i="149"/>
  <c r="S60" i="149"/>
  <c r="K187" i="149"/>
  <c r="J120" i="149"/>
  <c r="O93" i="149"/>
  <c r="K93" i="149"/>
  <c r="M19" i="149"/>
  <c r="L57" i="149"/>
  <c r="S15" i="149"/>
  <c r="N117" i="149"/>
  <c r="Q44" i="149"/>
  <c r="I175" i="149"/>
  <c r="H114" i="149"/>
  <c r="O143" i="149"/>
  <c r="K165" i="149"/>
  <c r="S82" i="149"/>
  <c r="H106" i="149"/>
  <c r="S121" i="149"/>
  <c r="H73" i="149"/>
  <c r="K41" i="149"/>
  <c r="M78" i="149"/>
  <c r="S188" i="149"/>
  <c r="Q135" i="149"/>
  <c r="P129" i="149"/>
  <c r="H109" i="149"/>
  <c r="S26" i="149"/>
  <c r="L154" i="149"/>
  <c r="J105" i="149"/>
  <c r="I19" i="149"/>
  <c r="N130" i="149"/>
  <c r="K113" i="149"/>
  <c r="I66" i="149"/>
  <c r="K39" i="149"/>
  <c r="O142" i="149"/>
  <c r="T34" i="149"/>
  <c r="M112" i="149"/>
  <c r="O81" i="149"/>
  <c r="O156" i="149"/>
  <c r="O28" i="149"/>
  <c r="J179" i="149"/>
  <c r="M96" i="149"/>
  <c r="I48" i="149"/>
  <c r="K48" i="149"/>
  <c r="P154" i="149"/>
  <c r="H168" i="149"/>
  <c r="L33" i="149"/>
  <c r="S158" i="149"/>
  <c r="N139" i="149"/>
  <c r="S46" i="149"/>
  <c r="N58" i="149"/>
  <c r="I79" i="149"/>
  <c r="Q84" i="149"/>
  <c r="L46" i="149"/>
  <c r="J88" i="149"/>
  <c r="N176" i="149"/>
  <c r="R160" i="149"/>
  <c r="L86" i="149"/>
  <c r="J77" i="149"/>
  <c r="H26" i="149"/>
  <c r="P157" i="149"/>
  <c r="L66" i="149"/>
  <c r="Q190" i="149"/>
  <c r="I179" i="149"/>
  <c r="L126" i="149"/>
  <c r="S122" i="149"/>
  <c r="N39" i="149"/>
  <c r="J86" i="149"/>
  <c r="M50" i="149"/>
  <c r="I97" i="149"/>
  <c r="N34" i="149"/>
  <c r="H129" i="149"/>
  <c r="R135" i="149"/>
  <c r="L115" i="149"/>
  <c r="N133" i="149"/>
  <c r="L72" i="149"/>
  <c r="R153" i="149"/>
  <c r="Q99" i="149"/>
  <c r="O85" i="149"/>
  <c r="L55" i="149"/>
  <c r="L167" i="149"/>
  <c r="R188" i="149"/>
  <c r="J119" i="149"/>
  <c r="P98" i="149"/>
  <c r="L104" i="149"/>
  <c r="T29" i="149"/>
  <c r="M139" i="149"/>
  <c r="H64" i="149"/>
  <c r="P19" i="149"/>
  <c r="I121" i="149"/>
  <c r="R86" i="149"/>
  <c r="P95" i="149"/>
  <c r="Q33" i="149"/>
  <c r="N108" i="149"/>
  <c r="K92" i="149"/>
  <c r="I147" i="149"/>
  <c r="K68" i="149"/>
  <c r="Q188" i="149"/>
  <c r="M121" i="149"/>
  <c r="I33" i="149"/>
  <c r="H179" i="149"/>
  <c r="S89" i="149"/>
  <c r="T27" i="149"/>
  <c r="S189" i="149"/>
  <c r="P96" i="149"/>
  <c r="L122" i="149"/>
  <c r="Q19" i="149"/>
  <c r="K87" i="149"/>
  <c r="H174" i="149"/>
  <c r="T145" i="149"/>
  <c r="K137" i="149"/>
  <c r="M51" i="149"/>
  <c r="S176" i="149"/>
  <c r="J139" i="149"/>
  <c r="P39" i="149"/>
  <c r="T186" i="149"/>
  <c r="R102" i="149"/>
  <c r="H157" i="149"/>
  <c r="L40" i="149"/>
  <c r="K171" i="149"/>
  <c r="R95" i="149"/>
  <c r="N181" i="149"/>
  <c r="L89" i="149"/>
  <c r="L83" i="149"/>
  <c r="K176" i="149"/>
  <c r="M168" i="149"/>
  <c r="O124" i="149"/>
  <c r="O135" i="149"/>
  <c r="Q111" i="149"/>
  <c r="L150" i="149"/>
  <c r="J130" i="149"/>
  <c r="L186" i="149"/>
  <c r="L132" i="149"/>
  <c r="M107" i="149"/>
  <c r="Q130" i="149"/>
  <c r="M175" i="149"/>
  <c r="K99" i="149"/>
  <c r="M69" i="149"/>
  <c r="K28" i="149"/>
  <c r="R133" i="149"/>
  <c r="S41" i="149"/>
  <c r="M142" i="149"/>
  <c r="J104" i="149"/>
  <c r="N35" i="149"/>
  <c r="Q65" i="149"/>
  <c r="Q17" i="149"/>
  <c r="N74" i="149"/>
  <c r="M143" i="149"/>
  <c r="J79" i="149"/>
  <c r="L187" i="149"/>
  <c r="H86" i="149"/>
  <c r="H97" i="149"/>
  <c r="I56" i="149"/>
  <c r="N51" i="149"/>
  <c r="J72" i="149"/>
  <c r="I185" i="149"/>
  <c r="N71" i="149"/>
  <c r="K64" i="149"/>
  <c r="K182" i="149"/>
  <c r="L133" i="149"/>
  <c r="M185" i="149"/>
  <c r="T107" i="149"/>
  <c r="O89" i="149"/>
  <c r="J53" i="149"/>
  <c r="H117" i="149"/>
  <c r="K163" i="149"/>
  <c r="P60" i="149"/>
  <c r="R122" i="149"/>
  <c r="P40" i="149"/>
  <c r="L158" i="149"/>
  <c r="T37" i="149"/>
  <c r="M187" i="149"/>
  <c r="T62" i="149"/>
  <c r="K36" i="149"/>
  <c r="S91" i="149"/>
  <c r="S171" i="149"/>
  <c r="M73" i="149"/>
  <c r="S44" i="149"/>
  <c r="T163" i="149"/>
  <c r="K108" i="149"/>
  <c r="O180" i="149"/>
  <c r="O140" i="149"/>
  <c r="P83" i="149"/>
  <c r="K19" i="149"/>
  <c r="S124" i="149"/>
  <c r="K141" i="149"/>
  <c r="O39" i="149"/>
  <c r="S161" i="149"/>
  <c r="T97" i="149"/>
  <c r="M113" i="149"/>
  <c r="Q155" i="149"/>
  <c r="T69" i="149"/>
  <c r="M130" i="149"/>
  <c r="L117" i="149"/>
  <c r="I60" i="149"/>
  <c r="M54" i="149"/>
  <c r="M62" i="149"/>
  <c r="O183" i="149"/>
  <c r="N128" i="149"/>
  <c r="O162" i="149"/>
  <c r="T90" i="149"/>
  <c r="L22" i="149"/>
  <c r="S142" i="149"/>
  <c r="Q88" i="149"/>
  <c r="H16" i="149"/>
  <c r="Q122" i="149"/>
  <c r="R104" i="149"/>
  <c r="P87" i="149"/>
  <c r="P118" i="149"/>
  <c r="H138" i="149"/>
  <c r="K15" i="149"/>
  <c r="T54" i="149"/>
  <c r="S88" i="149"/>
  <c r="K138" i="149"/>
  <c r="R105" i="149"/>
  <c r="R110" i="149"/>
  <c r="P99" i="149"/>
  <c r="P62" i="149"/>
  <c r="Q109" i="149"/>
  <c r="H173" i="149"/>
  <c r="M56" i="149"/>
  <c r="P177" i="149"/>
  <c r="N18" i="149"/>
  <c r="J132" i="149"/>
  <c r="R18" i="149"/>
  <c r="R114" i="149"/>
  <c r="T131" i="149"/>
  <c r="L43" i="149"/>
  <c r="S103" i="149"/>
  <c r="T173" i="149"/>
  <c r="R147" i="149"/>
  <c r="I101" i="149"/>
  <c r="Q49" i="149"/>
  <c r="H158" i="149"/>
  <c r="T96" i="149"/>
  <c r="R35" i="149"/>
  <c r="H111" i="149"/>
  <c r="N52" i="149"/>
  <c r="T80" i="149"/>
  <c r="S149" i="149"/>
  <c r="L149" i="149"/>
  <c r="N100" i="149"/>
  <c r="K156" i="149"/>
  <c r="L134" i="149"/>
  <c r="T190" i="149"/>
  <c r="M66" i="149"/>
  <c r="H79" i="149"/>
  <c r="M27" i="149"/>
  <c r="N144" i="149"/>
  <c r="T117" i="149"/>
  <c r="K29" i="149"/>
  <c r="Q69" i="149"/>
  <c r="N19" i="149"/>
  <c r="O126" i="149"/>
  <c r="T51" i="149"/>
  <c r="Q136" i="149"/>
  <c r="T187" i="149"/>
  <c r="S153" i="149"/>
  <c r="T129" i="149"/>
  <c r="O146" i="149"/>
  <c r="R184" i="149"/>
  <c r="N78" i="149"/>
  <c r="H69" i="149"/>
  <c r="L93" i="149"/>
  <c r="L99" i="149"/>
  <c r="H150" i="149"/>
  <c r="H30" i="149"/>
  <c r="R103" i="149"/>
  <c r="L176" i="149"/>
  <c r="R76" i="149"/>
  <c r="K71" i="149"/>
  <c r="J182" i="149"/>
  <c r="T127" i="149"/>
  <c r="N23" i="149"/>
  <c r="H124" i="149"/>
  <c r="N96" i="149"/>
  <c r="T48" i="149"/>
  <c r="N76" i="149"/>
  <c r="Q153" i="149"/>
  <c r="O73" i="149"/>
  <c r="J128" i="149"/>
  <c r="O48" i="149"/>
  <c r="T166" i="149"/>
  <c r="L42" i="149"/>
  <c r="K148" i="149"/>
  <c r="P69" i="149"/>
  <c r="I41" i="149"/>
  <c r="T61" i="149"/>
  <c r="P188" i="149"/>
  <c r="I80" i="149"/>
  <c r="P34" i="149"/>
  <c r="O168" i="149"/>
  <c r="I126" i="149"/>
  <c r="H160" i="149"/>
  <c r="T153" i="149"/>
  <c r="R100" i="149"/>
  <c r="O15" i="149"/>
  <c r="O83" i="149"/>
  <c r="R149" i="149"/>
  <c r="O43" i="149"/>
  <c r="R58" i="149"/>
  <c r="H153" i="149"/>
  <c r="I28" i="149"/>
  <c r="O163" i="149"/>
  <c r="N116" i="149"/>
  <c r="K116" i="149"/>
  <c r="Q67" i="149"/>
  <c r="S101" i="149"/>
  <c r="K85" i="149"/>
  <c r="M29" i="149"/>
  <c r="L62" i="149"/>
  <c r="Q32" i="149"/>
  <c r="S102" i="149"/>
  <c r="S185" i="149"/>
  <c r="N105" i="149"/>
  <c r="L61" i="149"/>
  <c r="O187" i="149"/>
  <c r="K70" i="149"/>
  <c r="K172" i="149"/>
  <c r="P114" i="149"/>
  <c r="M119" i="149"/>
  <c r="K24" i="149"/>
  <c r="T156" i="149"/>
  <c r="R121" i="149"/>
  <c r="P48" i="149"/>
  <c r="I75" i="149"/>
  <c r="M28" i="149"/>
  <c r="J185" i="149"/>
  <c r="T55" i="149"/>
  <c r="I142" i="149"/>
  <c r="M85" i="149"/>
  <c r="R47" i="149"/>
  <c r="L64" i="149"/>
  <c r="P141" i="149"/>
  <c r="H72" i="149"/>
  <c r="H46" i="149"/>
  <c r="J169" i="149"/>
  <c r="O100" i="149"/>
  <c r="Q134" i="149"/>
  <c r="S126" i="149"/>
  <c r="L100" i="149"/>
  <c r="L164" i="149"/>
  <c r="R44" i="149"/>
  <c r="Q91" i="149"/>
  <c r="K27" i="149"/>
  <c r="I98" i="149"/>
  <c r="I99" i="149"/>
  <c r="P134" i="149"/>
  <c r="N141" i="149"/>
  <c r="N98" i="149"/>
  <c r="P170" i="149"/>
  <c r="S50" i="149"/>
  <c r="I44" i="149"/>
  <c r="R93" i="149"/>
  <c r="S174" i="149"/>
  <c r="M136" i="149"/>
  <c r="S110" i="149"/>
  <c r="J174" i="149"/>
  <c r="S75" i="149"/>
  <c r="N36" i="149"/>
  <c r="L68" i="149"/>
  <c r="M166" i="149"/>
  <c r="L177" i="149"/>
  <c r="J36" i="149"/>
  <c r="K175" i="149"/>
  <c r="S59" i="149"/>
  <c r="K146" i="149"/>
  <c r="S169" i="149"/>
  <c r="T93" i="149"/>
  <c r="O19" i="149"/>
  <c r="J175" i="149"/>
  <c r="Q157" i="149"/>
  <c r="T32" i="149"/>
  <c r="Q141" i="149"/>
  <c r="S177" i="149"/>
  <c r="Q104" i="149"/>
  <c r="R24" i="149"/>
  <c r="H128" i="149"/>
  <c r="S71" i="149"/>
  <c r="T19" i="149"/>
  <c r="M39" i="149"/>
  <c r="Q152" i="149"/>
  <c r="P185" i="149"/>
  <c r="M52" i="149"/>
  <c r="T141" i="149"/>
  <c r="I50" i="149"/>
  <c r="H175" i="149"/>
  <c r="L114" i="149"/>
  <c r="L44" i="149"/>
  <c r="I146" i="149"/>
  <c r="H34" i="149"/>
  <c r="H96" i="149"/>
  <c r="S107" i="149"/>
  <c r="P77" i="149"/>
  <c r="T103" i="149"/>
  <c r="O108" i="149"/>
  <c r="P189" i="149"/>
  <c r="M68" i="149"/>
  <c r="K80" i="149"/>
  <c r="N164" i="149"/>
  <c r="S162" i="149"/>
  <c r="M88" i="149"/>
  <c r="O67" i="149"/>
  <c r="T23" i="149"/>
  <c r="I102" i="149"/>
  <c r="O25" i="149"/>
  <c r="J155" i="149"/>
  <c r="N84" i="149"/>
  <c r="T53" i="149"/>
  <c r="R64" i="149"/>
  <c r="I37" i="149"/>
  <c r="T98" i="149"/>
  <c r="M183" i="149"/>
  <c r="P109" i="149"/>
  <c r="J49" i="149"/>
  <c r="L172" i="149"/>
  <c r="Q82" i="149"/>
  <c r="M23" i="149"/>
  <c r="I183" i="149"/>
  <c r="I88" i="149"/>
  <c r="S79" i="149"/>
  <c r="I18" i="149"/>
  <c r="O112" i="149"/>
  <c r="J165" i="149"/>
  <c r="I135" i="149"/>
  <c r="N119" i="149"/>
  <c r="I46" i="149"/>
  <c r="O171" i="149"/>
  <c r="O118" i="149"/>
  <c r="L30" i="149"/>
  <c r="S175" i="149"/>
  <c r="M98" i="149"/>
  <c r="P55" i="149"/>
  <c r="T18" i="149"/>
  <c r="Q118" i="149"/>
  <c r="K151" i="149"/>
  <c r="H161" i="149"/>
  <c r="M150" i="149"/>
  <c r="Q116" i="149"/>
  <c r="H167" i="149"/>
  <c r="K33" i="149"/>
  <c r="O153" i="149"/>
  <c r="P92" i="149"/>
  <c r="J30" i="149"/>
  <c r="S105" i="149"/>
  <c r="P123" i="149"/>
  <c r="K78" i="149"/>
  <c r="O46" i="149"/>
  <c r="P149" i="149"/>
  <c r="I68" i="149"/>
  <c r="H164" i="149"/>
  <c r="J92" i="149"/>
  <c r="J127" i="149"/>
  <c r="I15" i="149"/>
  <c r="O86" i="149"/>
  <c r="J126" i="149"/>
  <c r="Q24" i="149"/>
  <c r="M57" i="149"/>
  <c r="M125" i="149"/>
  <c r="N147" i="149"/>
  <c r="N189" i="149"/>
  <c r="P126" i="149"/>
  <c r="R91" i="149"/>
  <c r="J184" i="149"/>
  <c r="I170" i="149"/>
  <c r="Q166" i="149"/>
  <c r="S70" i="149"/>
  <c r="Q23" i="149"/>
  <c r="J114" i="149"/>
  <c r="N40" i="149"/>
  <c r="N136" i="149"/>
  <c r="K100" i="149"/>
  <c r="R54" i="149"/>
  <c r="P186" i="149"/>
  <c r="O23" i="149"/>
  <c r="S77" i="149"/>
  <c r="K144" i="149"/>
  <c r="T104" i="149"/>
  <c r="T102" i="149"/>
  <c r="O137" i="149"/>
  <c r="S131" i="149"/>
  <c r="K169" i="149"/>
  <c r="K81" i="149"/>
  <c r="M33" i="149"/>
  <c r="L163" i="149"/>
  <c r="Q53" i="149"/>
  <c r="L87" i="149"/>
  <c r="R139" i="149"/>
  <c r="R131" i="149"/>
  <c r="T46" i="149"/>
  <c r="N134" i="149"/>
  <c r="K102" i="149"/>
  <c r="I21" i="149"/>
  <c r="H32" i="149"/>
  <c r="M148" i="149"/>
  <c r="L128" i="149"/>
  <c r="J38" i="149"/>
  <c r="Q149" i="149"/>
  <c r="S90" i="149"/>
  <c r="P150" i="149"/>
  <c r="J134" i="149"/>
  <c r="L69" i="149"/>
  <c r="S163" i="149"/>
  <c r="M55" i="149"/>
  <c r="L102" i="149"/>
  <c r="J170" i="149"/>
  <c r="S83" i="149"/>
  <c r="M186" i="149"/>
  <c r="Q96" i="149"/>
  <c r="L165" i="149"/>
  <c r="R26" i="149"/>
  <c r="P61" i="149"/>
  <c r="J21" i="149"/>
  <c r="J94" i="149"/>
  <c r="Q120" i="149"/>
  <c r="H24" i="149"/>
  <c r="Q158" i="149"/>
  <c r="I35" i="149"/>
  <c r="O84" i="149"/>
  <c r="P70" i="149"/>
  <c r="H57" i="149"/>
  <c r="J164" i="149"/>
  <c r="R186" i="149"/>
  <c r="M32" i="149"/>
  <c r="R178" i="149"/>
  <c r="S78" i="149"/>
  <c r="K177" i="149"/>
  <c r="M158" i="149"/>
  <c r="L65" i="149"/>
  <c r="Q36" i="149"/>
  <c r="H99" i="149"/>
  <c r="M129" i="149"/>
  <c r="T92" i="149"/>
  <c r="K43" i="149"/>
  <c r="S48" i="149"/>
  <c r="P71" i="149"/>
  <c r="Q132" i="149"/>
  <c r="N80" i="149"/>
  <c r="R190" i="149"/>
  <c r="J73" i="149"/>
  <c r="L95" i="149"/>
  <c r="S106" i="149"/>
  <c r="L35" i="149"/>
  <c r="O117" i="149"/>
  <c r="N151" i="149"/>
  <c r="R60" i="149"/>
  <c r="M103" i="149"/>
  <c r="I190" i="149"/>
  <c r="H85" i="149"/>
  <c r="Q174" i="149"/>
  <c r="J109" i="149"/>
  <c r="L60" i="149"/>
  <c r="S45" i="149"/>
  <c r="N149" i="149"/>
  <c r="P65" i="149"/>
  <c r="O190" i="149"/>
  <c r="S180" i="149"/>
  <c r="H22" i="149"/>
  <c r="M97" i="149"/>
  <c r="T171" i="149"/>
  <c r="K58" i="149"/>
  <c r="S133" i="149"/>
  <c r="K124" i="149"/>
  <c r="R40" i="149"/>
  <c r="N103" i="149"/>
  <c r="I165" i="149"/>
  <c r="T113" i="149"/>
  <c r="M163" i="149"/>
  <c r="N170" i="149"/>
  <c r="M18" i="149"/>
  <c r="M38" i="149"/>
  <c r="J84" i="149"/>
  <c r="I22" i="149"/>
  <c r="J93" i="149"/>
  <c r="S137" i="149"/>
  <c r="P115" i="149"/>
  <c r="K50" i="149"/>
  <c r="R123" i="149"/>
  <c r="K162" i="149"/>
  <c r="T72" i="149"/>
  <c r="L23" i="149"/>
  <c r="R20" i="149"/>
  <c r="I49" i="149"/>
  <c r="K112" i="149"/>
  <c r="R111" i="149"/>
  <c r="P110" i="149"/>
  <c r="H126" i="149"/>
  <c r="Q131" i="149"/>
  <c r="J110" i="149"/>
  <c r="R101" i="149"/>
  <c r="I115" i="149"/>
  <c r="N177" i="149"/>
  <c r="P172" i="149"/>
  <c r="R29" i="149"/>
  <c r="P42" i="149"/>
  <c r="Q171" i="149"/>
  <c r="S86" i="149"/>
  <c r="J161" i="149"/>
  <c r="J138" i="149"/>
  <c r="R99" i="149"/>
  <c r="P124" i="149"/>
  <c r="J100" i="149"/>
  <c r="I105" i="149"/>
  <c r="H42" i="149"/>
  <c r="R146" i="149"/>
  <c r="O166" i="149"/>
  <c r="O21" i="149"/>
  <c r="R106" i="149"/>
  <c r="S109" i="149"/>
  <c r="Q18" i="149"/>
  <c r="P36" i="149"/>
  <c r="L74" i="149"/>
  <c r="J56" i="149"/>
  <c r="M114" i="149"/>
  <c r="P64" i="149"/>
  <c r="N171" i="149"/>
  <c r="R157" i="149"/>
  <c r="Q115" i="149"/>
  <c r="N82" i="149"/>
  <c r="I169" i="149"/>
  <c r="P21" i="149"/>
  <c r="T123" i="149"/>
  <c r="T118" i="149"/>
  <c r="O29" i="149"/>
  <c r="H152" i="149"/>
  <c r="S32" i="149"/>
  <c r="I182" i="149"/>
  <c r="Q56" i="149"/>
  <c r="J31" i="149"/>
  <c r="L71" i="149"/>
  <c r="Q160" i="149"/>
  <c r="K67" i="149"/>
  <c r="S35" i="149"/>
  <c r="T159" i="149"/>
  <c r="O78" i="149"/>
  <c r="H172" i="149"/>
  <c r="P128" i="149"/>
  <c r="T68" i="149"/>
  <c r="M36" i="149"/>
  <c r="L123" i="149"/>
  <c r="R39" i="149"/>
  <c r="J80" i="149"/>
  <c r="L125" i="149"/>
  <c r="N92" i="149"/>
  <c r="J63" i="149"/>
  <c r="S127" i="149"/>
  <c r="I45" i="149"/>
  <c r="K178" i="149"/>
  <c r="L139" i="149"/>
  <c r="S23" i="149"/>
  <c r="R75" i="149"/>
  <c r="S118" i="149"/>
  <c r="K103" i="149"/>
  <c r="I151" i="149"/>
  <c r="R107" i="149"/>
  <c r="M155" i="149"/>
  <c r="K181" i="149"/>
  <c r="P88" i="149"/>
  <c r="Q145" i="149"/>
  <c r="M47" i="149"/>
  <c r="N46" i="149"/>
  <c r="J149" i="149"/>
  <c r="H49" i="149"/>
  <c r="M65" i="149"/>
  <c r="I143" i="149"/>
  <c r="L63" i="149"/>
  <c r="T158" i="149"/>
  <c r="I181" i="149"/>
  <c r="K170" i="149"/>
  <c r="K22" i="149"/>
  <c r="S80" i="149"/>
  <c r="T161" i="149"/>
  <c r="I58" i="149"/>
  <c r="P108" i="149"/>
  <c r="O154" i="149"/>
  <c r="O31" i="149"/>
  <c r="R80" i="149"/>
  <c r="O150" i="149"/>
  <c r="M93" i="149"/>
  <c r="S147" i="149"/>
  <c r="J181" i="149"/>
  <c r="T16" i="149"/>
  <c r="I29" i="149"/>
  <c r="N73" i="149"/>
  <c r="S19" i="149"/>
  <c r="S136" i="149"/>
  <c r="S95" i="149"/>
  <c r="H103" i="149"/>
  <c r="T40" i="149"/>
  <c r="I164" i="149"/>
  <c r="O151" i="149"/>
  <c r="O60" i="149"/>
  <c r="N22" i="149"/>
  <c r="J19" i="149"/>
  <c r="N138" i="149"/>
  <c r="I57" i="149"/>
  <c r="S145" i="149"/>
  <c r="L59" i="149"/>
  <c r="N15" i="149"/>
  <c r="I51" i="149"/>
  <c r="H59" i="149"/>
  <c r="Q182" i="149"/>
  <c r="S115" i="149"/>
  <c r="Q140" i="149"/>
  <c r="M179" i="149"/>
  <c r="N148" i="149"/>
  <c r="Q92" i="149"/>
  <c r="P140" i="149"/>
  <c r="T76" i="149"/>
  <c r="P32" i="149"/>
  <c r="O116" i="149"/>
  <c r="P85" i="149"/>
  <c r="O160" i="149"/>
  <c r="T170" i="149"/>
  <c r="M42" i="149"/>
  <c r="O186" i="149"/>
  <c r="I82" i="149"/>
  <c r="J50" i="149"/>
  <c r="L169" i="149"/>
  <c r="K16" i="149"/>
  <c r="H56" i="149"/>
  <c r="I167" i="149"/>
  <c r="N33" i="149"/>
  <c r="P67" i="149"/>
  <c r="I104" i="149"/>
  <c r="O170" i="149"/>
  <c r="L109" i="149"/>
  <c r="M126" i="149"/>
  <c r="P91" i="149"/>
  <c r="I89" i="149"/>
  <c r="P18" i="149"/>
  <c r="K73" i="149"/>
  <c r="O94" i="149"/>
  <c r="Q181" i="149"/>
  <c r="I123" i="149"/>
  <c r="L37" i="149"/>
  <c r="S61" i="149"/>
  <c r="L144" i="149"/>
  <c r="J85" i="149"/>
  <c r="S150" i="149"/>
  <c r="K54" i="149"/>
  <c r="I177" i="149"/>
  <c r="S81" i="149"/>
  <c r="T133" i="149"/>
  <c r="S160" i="149"/>
  <c r="Q39" i="149"/>
  <c r="M64" i="149"/>
  <c r="P20" i="149"/>
  <c r="R120" i="149"/>
  <c r="T47" i="149"/>
  <c r="M131" i="149"/>
  <c r="P72" i="149"/>
  <c r="H25" i="149"/>
  <c r="N45" i="149"/>
  <c r="I109" i="149"/>
  <c r="J59" i="149"/>
  <c r="O36" i="149"/>
  <c r="Q128" i="149"/>
  <c r="J99" i="149"/>
  <c r="L183" i="149"/>
  <c r="J76" i="149"/>
  <c r="M160" i="149"/>
  <c r="O34" i="149"/>
  <c r="J122" i="149"/>
  <c r="L53" i="149"/>
  <c r="J83" i="149"/>
  <c r="J129" i="149"/>
  <c r="Q31" i="149"/>
  <c r="H37" i="149"/>
  <c r="R56" i="149"/>
  <c r="J28" i="149"/>
  <c r="L170" i="149"/>
  <c r="M162" i="149"/>
  <c r="L16" i="149"/>
  <c r="H74" i="149"/>
  <c r="R151" i="149"/>
  <c r="R63" i="149"/>
  <c r="H92" i="149"/>
  <c r="T112" i="149"/>
  <c r="K18" i="149"/>
  <c r="M111" i="149"/>
  <c r="O87" i="149"/>
  <c r="R169" i="149"/>
  <c r="P167" i="149"/>
  <c r="T30" i="149"/>
  <c r="I138" i="149"/>
  <c r="S100" i="149"/>
  <c r="P171" i="149"/>
  <c r="M30" i="149"/>
  <c r="H41" i="149"/>
  <c r="I149" i="149"/>
  <c r="O138" i="149"/>
  <c r="I134" i="149"/>
  <c r="L52" i="149"/>
  <c r="N114" i="149"/>
  <c r="T89" i="149"/>
  <c r="L146" i="149"/>
  <c r="L156" i="149"/>
  <c r="T33" i="149"/>
  <c r="R84" i="149"/>
  <c r="O178" i="149"/>
  <c r="Q95" i="149"/>
  <c r="R31" i="149"/>
  <c r="Q117" i="149"/>
  <c r="H108" i="149"/>
  <c r="Q22" i="149"/>
  <c r="P49" i="149"/>
  <c r="H137" i="149"/>
  <c r="I94" i="149"/>
  <c r="L36" i="149"/>
  <c r="J118" i="149"/>
  <c r="P43" i="149"/>
  <c r="I155" i="149"/>
  <c r="R173" i="149"/>
  <c r="Q70" i="149"/>
  <c r="P27" i="149"/>
  <c r="T169" i="149"/>
  <c r="P38" i="149"/>
  <c r="Q78" i="149"/>
  <c r="H151" i="149"/>
  <c r="P190" i="149"/>
  <c r="S18" i="149"/>
  <c r="H80" i="149"/>
  <c r="S17" i="149"/>
  <c r="H159" i="149"/>
  <c r="T108" i="149"/>
  <c r="T189" i="149"/>
  <c r="L49" i="149"/>
  <c r="I93" i="149"/>
  <c r="N30" i="149"/>
  <c r="O69" i="149"/>
  <c r="T75" i="149"/>
  <c r="R117" i="149"/>
  <c r="N29" i="149"/>
  <c r="R53" i="149"/>
  <c r="H154" i="149"/>
  <c r="H23" i="149"/>
  <c r="P164" i="149"/>
  <c r="H136" i="149"/>
  <c r="T15" i="149"/>
  <c r="I129" i="149"/>
  <c r="Q143" i="149"/>
  <c r="P135" i="149"/>
  <c r="I72" i="149"/>
  <c r="N69" i="149"/>
  <c r="R112" i="149"/>
  <c r="T180" i="149"/>
  <c r="M67" i="149"/>
  <c r="L110" i="149"/>
  <c r="L54" i="149"/>
  <c r="O167" i="149"/>
  <c r="N101" i="149"/>
  <c r="H28" i="149"/>
  <c r="R141" i="149"/>
  <c r="M108" i="149"/>
  <c r="R71" i="149"/>
  <c r="T110" i="149"/>
  <c r="M144" i="149"/>
  <c r="K167" i="149"/>
  <c r="O133" i="149"/>
  <c r="Q62" i="149"/>
  <c r="K132" i="149"/>
  <c r="J37" i="149"/>
  <c r="Q29" i="149"/>
  <c r="R109" i="149"/>
  <c r="T119" i="149"/>
  <c r="Q73" i="149"/>
  <c r="H156" i="149"/>
  <c r="H27" i="149"/>
  <c r="N75" i="149"/>
  <c r="J90" i="149"/>
  <c r="M59" i="149"/>
  <c r="H118" i="149"/>
  <c r="P30" i="149"/>
  <c r="N183" i="149"/>
  <c r="J66" i="149"/>
  <c r="M41" i="149"/>
  <c r="O174" i="149"/>
  <c r="I180" i="149"/>
  <c r="N81" i="149"/>
  <c r="N49" i="149"/>
  <c r="T125" i="149"/>
  <c r="M86" i="149"/>
  <c r="M83" i="149"/>
  <c r="T70" i="149"/>
  <c r="M87" i="149"/>
  <c r="T100" i="149"/>
  <c r="Q159" i="149"/>
  <c r="I63" i="149"/>
  <c r="L67" i="149"/>
  <c r="H144" i="149"/>
  <c r="O157" i="149"/>
  <c r="I83" i="149"/>
  <c r="J87" i="149"/>
  <c r="L28" i="149"/>
  <c r="M92" i="149"/>
  <c r="Q28" i="149"/>
  <c r="P147" i="149"/>
  <c r="R77" i="149"/>
  <c r="K120" i="149"/>
  <c r="L20" i="149"/>
  <c r="J145" i="149"/>
  <c r="P31" i="149"/>
  <c r="O44" i="149"/>
  <c r="S76" i="149"/>
  <c r="I122" i="149"/>
  <c r="O79" i="149"/>
  <c r="L92" i="149"/>
  <c r="J146" i="149"/>
  <c r="N121" i="149"/>
  <c r="N64" i="149"/>
  <c r="P130" i="149"/>
  <c r="J188" i="149"/>
  <c r="L97" i="149"/>
  <c r="L29" i="149"/>
  <c r="L45" i="149"/>
  <c r="H71" i="149"/>
  <c r="N102" i="149"/>
  <c r="M118" i="149"/>
  <c r="M122" i="149"/>
  <c r="K125" i="149"/>
  <c r="T177" i="149"/>
  <c r="P143" i="149"/>
  <c r="P94" i="149"/>
  <c r="L173" i="149"/>
  <c r="L25" i="149"/>
  <c r="S111" i="149"/>
  <c r="Q40" i="149"/>
  <c r="K96" i="149"/>
  <c r="O75" i="149"/>
  <c r="T106" i="149"/>
  <c r="P175" i="149"/>
  <c r="M20" i="149"/>
  <c r="J67" i="149"/>
  <c r="I17" i="149"/>
  <c r="H180" i="149"/>
  <c r="K90" i="149"/>
  <c r="T174" i="149"/>
  <c r="S53" i="149"/>
  <c r="M82" i="149"/>
  <c r="I34" i="149"/>
  <c r="O113" i="149"/>
  <c r="O63" i="149"/>
  <c r="H148" i="149"/>
  <c r="Q46" i="149"/>
  <c r="I30" i="149"/>
  <c r="L118" i="149"/>
  <c r="J26" i="149"/>
  <c r="J187" i="149"/>
  <c r="P168" i="149"/>
  <c r="N187" i="149"/>
  <c r="P146" i="149"/>
  <c r="O130" i="149"/>
  <c r="L85" i="149"/>
  <c r="S92" i="149"/>
  <c r="J46" i="149"/>
  <c r="O172" i="149"/>
  <c r="T65" i="149"/>
  <c r="Q103" i="149"/>
  <c r="T182" i="149"/>
  <c r="R70" i="149"/>
  <c r="S29" i="149"/>
  <c r="Q161" i="149"/>
  <c r="N48" i="149"/>
  <c r="R25" i="149"/>
  <c r="Q80" i="149"/>
  <c r="S40" i="149"/>
  <c r="K77" i="149"/>
  <c r="I152" i="149"/>
  <c r="L116" i="149"/>
  <c r="N111" i="149"/>
  <c r="I186" i="149"/>
  <c r="N54" i="149"/>
  <c r="R158" i="149"/>
  <c r="I87" i="149"/>
  <c r="N25" i="149"/>
  <c r="J154" i="149"/>
  <c r="H76" i="149"/>
  <c r="Q61" i="149"/>
  <c r="T154" i="149"/>
  <c r="N159" i="149"/>
  <c r="R17" i="149"/>
  <c r="O189" i="149"/>
  <c r="M152" i="149"/>
  <c r="O33" i="149"/>
  <c r="I132" i="149"/>
  <c r="I127" i="149"/>
  <c r="T143" i="149"/>
  <c r="J116" i="149"/>
  <c r="N166" i="149"/>
  <c r="J29" i="149"/>
  <c r="N99" i="149"/>
  <c r="O82" i="149"/>
  <c r="R183" i="149"/>
  <c r="H81" i="149"/>
  <c r="H61" i="149"/>
  <c r="J65" i="149"/>
  <c r="M134" i="149"/>
  <c r="S55" i="149"/>
  <c r="N123" i="149"/>
  <c r="O20" i="149"/>
  <c r="I131" i="149"/>
  <c r="I154" i="149"/>
  <c r="O177" i="149"/>
  <c r="R177" i="149"/>
  <c r="L75" i="149"/>
  <c r="S182" i="149"/>
  <c r="T26" i="149"/>
  <c r="O149" i="149"/>
  <c r="H135" i="149"/>
  <c r="R88" i="149"/>
  <c r="R143" i="149"/>
  <c r="O111" i="149"/>
  <c r="S63" i="149"/>
  <c r="H62" i="149"/>
  <c r="S66" i="149"/>
  <c r="J158" i="149"/>
  <c r="K86" i="149"/>
  <c r="K72" i="149"/>
  <c r="Q43" i="149"/>
  <c r="K76" i="149"/>
  <c r="T81" i="149"/>
  <c r="I114" i="149"/>
  <c r="P153" i="149"/>
  <c r="N125" i="149"/>
  <c r="Q26" i="149"/>
  <c r="R108" i="149"/>
  <c r="P117" i="149"/>
  <c r="L77" i="149"/>
  <c r="N37" i="149"/>
  <c r="I112" i="149"/>
  <c r="S62" i="149"/>
  <c r="P84" i="149"/>
  <c r="J156" i="149"/>
  <c r="N150" i="149"/>
  <c r="T138" i="149"/>
  <c r="P28" i="149"/>
  <c r="H45" i="149"/>
  <c r="K139" i="149"/>
  <c r="N142" i="149"/>
  <c r="L188" i="149"/>
  <c r="P74" i="149"/>
  <c r="O51" i="149"/>
  <c r="H131" i="149"/>
  <c r="H54" i="149"/>
  <c r="S94" i="149"/>
  <c r="N97" i="149"/>
  <c r="L138" i="149"/>
  <c r="K65" i="149"/>
  <c r="S112" i="149"/>
  <c r="N156" i="149"/>
  <c r="Q184" i="149"/>
  <c r="O56" i="149"/>
  <c r="L41" i="149"/>
  <c r="O92" i="149"/>
  <c r="T84" i="149"/>
  <c r="H182" i="149"/>
  <c r="I148" i="149"/>
  <c r="Q54" i="149"/>
  <c r="K31" i="149"/>
  <c r="K74" i="149"/>
  <c r="J171" i="149"/>
  <c r="P57" i="149"/>
  <c r="M49" i="149"/>
  <c r="P25" i="149"/>
  <c r="Q180" i="149"/>
  <c r="L157" i="149"/>
  <c r="S54" i="149"/>
  <c r="I16" i="149"/>
  <c r="J98" i="149"/>
  <c r="K95" i="149"/>
  <c r="R55" i="149"/>
  <c r="M34" i="149"/>
  <c r="P162" i="149"/>
  <c r="N41" i="149"/>
  <c r="Q133" i="149"/>
  <c r="L15" i="149"/>
  <c r="M116" i="149"/>
  <c r="O106" i="149"/>
  <c r="N38" i="149"/>
  <c r="K121" i="149"/>
  <c r="K106" i="149"/>
  <c r="L94" i="149"/>
  <c r="P37" i="149"/>
  <c r="S125" i="149"/>
  <c r="M58" i="149"/>
  <c r="R165" i="149"/>
  <c r="L179" i="149"/>
  <c r="T71" i="149"/>
  <c r="T87" i="149"/>
  <c r="T150" i="149"/>
  <c r="T146" i="149"/>
  <c r="K166" i="149"/>
  <c r="L81" i="149"/>
  <c r="P112" i="149"/>
  <c r="J157" i="149"/>
  <c r="J47" i="149"/>
  <c r="N21" i="149"/>
  <c r="L168" i="149"/>
  <c r="N83" i="149"/>
  <c r="J178" i="149"/>
  <c r="Q60" i="149"/>
  <c r="N17" i="149"/>
  <c r="P76" i="149"/>
  <c r="N86" i="149"/>
  <c r="N43" i="149"/>
  <c r="K143" i="149"/>
  <c r="P184" i="149"/>
  <c r="J167" i="149"/>
  <c r="J61" i="149"/>
  <c r="R124" i="149"/>
  <c r="H20" i="149"/>
  <c r="P16" i="149"/>
  <c r="J97" i="149"/>
  <c r="I40" i="149"/>
  <c r="K42" i="149"/>
  <c r="R69" i="149"/>
  <c r="R50" i="149"/>
  <c r="O129" i="149"/>
  <c r="P160" i="149"/>
  <c r="H15" i="149"/>
  <c r="O136" i="149"/>
  <c r="K59" i="149"/>
  <c r="N107" i="149"/>
  <c r="L112" i="149"/>
  <c r="L50" i="149"/>
  <c r="M178" i="149"/>
  <c r="S39" i="149"/>
  <c r="M31" i="149"/>
  <c r="O144" i="149"/>
  <c r="L129" i="149"/>
  <c r="M40" i="149"/>
  <c r="O32" i="149"/>
  <c r="R172" i="149"/>
  <c r="Q81" i="149"/>
  <c r="H93" i="149"/>
  <c r="K55" i="149"/>
  <c r="P136" i="149"/>
  <c r="N167" i="149"/>
  <c r="I71" i="149"/>
  <c r="R41" i="149"/>
  <c r="S28" i="149"/>
  <c r="H155" i="149"/>
  <c r="M135" i="149"/>
  <c r="M60" i="149"/>
  <c r="J35" i="149"/>
  <c r="R134" i="149"/>
  <c r="T121" i="149"/>
  <c r="I130" i="149"/>
  <c r="Q72" i="149"/>
  <c r="T52" i="149"/>
  <c r="M137" i="149"/>
  <c r="S30" i="149"/>
  <c r="M145" i="149"/>
  <c r="I171" i="149"/>
  <c r="P173" i="149"/>
  <c r="R15" i="149"/>
  <c r="Q121" i="149"/>
  <c r="N118" i="149"/>
  <c r="L190" i="149"/>
  <c r="J82" i="149"/>
  <c r="J40" i="149"/>
  <c r="K152" i="149"/>
  <c r="J52" i="149"/>
  <c r="S96" i="149"/>
  <c r="I20" i="149"/>
  <c r="N145" i="149"/>
  <c r="O40" i="149"/>
  <c r="N62" i="149"/>
  <c r="R163" i="149"/>
  <c r="K26" i="149"/>
  <c r="L136" i="149"/>
  <c r="O128" i="149"/>
  <c r="Q124" i="149"/>
  <c r="O90" i="149"/>
  <c r="P41" i="149"/>
  <c r="M124" i="149"/>
  <c r="T58" i="149"/>
  <c r="T91" i="149"/>
  <c r="P17" i="149"/>
  <c r="J22" i="149"/>
  <c r="T184" i="149"/>
  <c r="I124" i="149"/>
  <c r="O134" i="149"/>
  <c r="H177" i="149"/>
  <c r="H31" i="149"/>
  <c r="Q175" i="149"/>
  <c r="P35" i="149"/>
  <c r="S27" i="149"/>
  <c r="R159" i="149"/>
  <c r="L120" i="149"/>
  <c r="H113" i="149"/>
  <c r="L148" i="149"/>
  <c r="I27" i="149"/>
  <c r="T149" i="149"/>
  <c r="T59" i="149"/>
  <c r="L180" i="149"/>
  <c r="T130" i="149"/>
  <c r="R182" i="149"/>
  <c r="O35" i="149"/>
  <c r="L80" i="149"/>
  <c r="P183" i="149"/>
  <c r="K110" i="149"/>
  <c r="Q137" i="149"/>
  <c r="O164" i="149"/>
  <c r="N104" i="149"/>
  <c r="S68" i="149"/>
  <c r="O97" i="149"/>
  <c r="L19" i="149"/>
  <c r="L17" i="149"/>
  <c r="K142" i="149"/>
  <c r="R22" i="149"/>
  <c r="T21" i="149"/>
  <c r="I86" i="149"/>
  <c r="R96" i="149"/>
  <c r="P155" i="149"/>
  <c r="O179" i="149"/>
  <c r="R145" i="149"/>
  <c r="J124" i="149"/>
  <c r="N20" i="149"/>
  <c r="J147" i="149"/>
  <c r="K174" i="149"/>
  <c r="H184" i="149"/>
  <c r="S99" i="149"/>
  <c r="M16" i="149"/>
  <c r="K131" i="149"/>
  <c r="S168" i="149"/>
  <c r="L166" i="149"/>
  <c r="I53" i="149"/>
  <c r="N16" i="149"/>
  <c r="P121" i="149"/>
  <c r="H183" i="149"/>
  <c r="I156" i="149"/>
  <c r="J54" i="149"/>
  <c r="M76" i="149"/>
  <c r="L76" i="149"/>
  <c r="N186" i="149"/>
  <c r="P166" i="149"/>
  <c r="K47" i="149"/>
  <c r="S135" i="149"/>
  <c r="J189" i="149"/>
  <c r="N87" i="149"/>
  <c r="M45" i="149"/>
  <c r="K57" i="149"/>
  <c r="L82" i="149"/>
  <c r="M102" i="149"/>
  <c r="J23" i="149"/>
  <c r="T185" i="149"/>
  <c r="K134" i="149"/>
  <c r="R154" i="149"/>
  <c r="H44" i="149"/>
  <c r="I69" i="149"/>
  <c r="S120" i="149"/>
  <c r="M21" i="149"/>
  <c r="Q178" i="149"/>
  <c r="L174" i="149"/>
  <c r="M173" i="149"/>
  <c r="N57" i="149"/>
  <c r="R166" i="149"/>
  <c r="R65" i="149"/>
  <c r="L51" i="149"/>
  <c r="P102" i="149"/>
  <c r="M182" i="149"/>
  <c r="K155" i="149"/>
  <c r="I119" i="149"/>
  <c r="M117" i="149"/>
  <c r="M61" i="149"/>
  <c r="T139" i="149"/>
  <c r="J17" i="149"/>
  <c r="M165" i="149"/>
  <c r="T49" i="149"/>
  <c r="J177" i="149"/>
  <c r="Q123" i="149"/>
  <c r="Q52" i="149"/>
  <c r="O55" i="149"/>
  <c r="P119" i="149"/>
  <c r="J163" i="149"/>
  <c r="N27" i="149"/>
  <c r="T165" i="149"/>
  <c r="R79" i="149"/>
  <c r="H36" i="149"/>
  <c r="T157" i="149"/>
  <c r="M161" i="149"/>
  <c r="T20" i="149"/>
  <c r="R78" i="149"/>
  <c r="J71" i="149"/>
  <c r="Q108" i="149"/>
  <c r="R113" i="149"/>
  <c r="Q66" i="149"/>
  <c r="H18" i="149"/>
  <c r="P97" i="149"/>
  <c r="N115" i="149"/>
  <c r="L106" i="149"/>
  <c r="Q114" i="149"/>
  <c r="S166" i="149"/>
  <c r="J172" i="149"/>
  <c r="O148" i="149"/>
  <c r="K79" i="149"/>
  <c r="J58" i="149"/>
  <c r="M123" i="149"/>
  <c r="Q77" i="149"/>
  <c r="H35" i="149"/>
  <c r="H107" i="149"/>
  <c r="P104" i="149"/>
  <c r="H116" i="149"/>
  <c r="M72" i="149"/>
  <c r="I42" i="149"/>
  <c r="Q97" i="149"/>
  <c r="S87" i="149"/>
  <c r="K104" i="149"/>
  <c r="I67" i="149"/>
  <c r="O30" i="149"/>
  <c r="T78" i="149"/>
  <c r="T74" i="149"/>
  <c r="J95" i="149"/>
  <c r="K105" i="149"/>
  <c r="M24" i="149"/>
  <c r="O66" i="149"/>
  <c r="L160" i="149"/>
  <c r="P90" i="149"/>
  <c r="L147" i="149"/>
  <c r="R92" i="149"/>
  <c r="Q50" i="149"/>
  <c r="M63" i="149"/>
  <c r="L96" i="149"/>
  <c r="I113" i="149"/>
  <c r="K168" i="149"/>
  <c r="R49" i="149"/>
  <c r="J102" i="149"/>
  <c r="T151" i="149"/>
  <c r="J32" i="149"/>
  <c r="H112" i="149"/>
  <c r="K127" i="149"/>
  <c r="L181" i="149"/>
  <c r="L88" i="149"/>
  <c r="M157" i="149"/>
  <c r="S52" i="149"/>
  <c r="Q63" i="149"/>
  <c r="M169" i="149"/>
  <c r="K51" i="149"/>
  <c r="Q21" i="149"/>
  <c r="L58" i="149"/>
  <c r="L161" i="149"/>
  <c r="L27" i="149"/>
  <c r="K61" i="149"/>
  <c r="N162" i="149"/>
  <c r="J89" i="149"/>
  <c r="N90" i="149"/>
  <c r="P111" i="149"/>
  <c r="K32" i="149"/>
  <c r="R136" i="149"/>
  <c r="O145" i="149"/>
  <c r="I159" i="149"/>
  <c r="T25" i="149"/>
  <c r="J113" i="149"/>
  <c r="N89" i="149"/>
  <c r="R127" i="149"/>
  <c r="H53" i="149"/>
  <c r="P79" i="149"/>
  <c r="R74" i="149"/>
  <c r="K128" i="149"/>
  <c r="S117" i="149"/>
  <c r="S172" i="149"/>
  <c r="S24" i="149"/>
  <c r="Q113" i="149"/>
  <c r="L127" i="149"/>
  <c r="N188" i="149"/>
  <c r="P75" i="149"/>
  <c r="J42" i="149"/>
  <c r="N127" i="149"/>
  <c r="Q102" i="149"/>
  <c r="J57" i="149"/>
  <c r="H165" i="149"/>
  <c r="M25" i="149"/>
  <c r="H190" i="149"/>
  <c r="O59" i="149"/>
  <c r="P93" i="149"/>
  <c r="K157" i="149"/>
  <c r="I145" i="149"/>
  <c r="S58" i="149"/>
  <c r="T101" i="149"/>
  <c r="H55" i="149"/>
  <c r="M147" i="149"/>
  <c r="P145" i="149"/>
  <c r="J166" i="149"/>
  <c r="O110" i="149"/>
  <c r="H51" i="149"/>
  <c r="R59" i="149"/>
  <c r="H127" i="149"/>
  <c r="O184" i="149"/>
  <c r="P33" i="149"/>
  <c r="H47" i="149"/>
  <c r="K161" i="149"/>
  <c r="O74" i="149"/>
  <c r="H176" i="149"/>
  <c r="J41" i="149"/>
  <c r="S151" i="149"/>
  <c r="S129" i="149"/>
  <c r="S67" i="149"/>
  <c r="Q150" i="149"/>
  <c r="J48" i="149"/>
  <c r="I116" i="149"/>
  <c r="N184" i="149"/>
  <c r="M17" i="149"/>
  <c r="O121" i="149"/>
  <c r="H122" i="149"/>
  <c r="O173" i="149"/>
  <c r="R34" i="149"/>
  <c r="N120" i="149"/>
  <c r="P165" i="149"/>
  <c r="Q163" i="149"/>
  <c r="S130" i="149"/>
  <c r="M140" i="149"/>
  <c r="S146" i="149"/>
  <c r="R126" i="149"/>
  <c r="P86" i="149"/>
  <c r="R85" i="149"/>
  <c r="Q107" i="149"/>
  <c r="R51" i="149"/>
  <c r="J140" i="149"/>
  <c r="J117" i="149"/>
  <c r="H68" i="149"/>
  <c r="I168" i="149"/>
  <c r="H17" i="149"/>
  <c r="H133" i="149"/>
  <c r="L79" i="149"/>
  <c r="J136" i="149"/>
  <c r="N42" i="149"/>
  <c r="I61" i="149"/>
  <c r="L48" i="149"/>
  <c r="M89" i="149"/>
  <c r="N173" i="149"/>
  <c r="L47" i="149"/>
  <c r="M105" i="149"/>
  <c r="R150" i="149"/>
  <c r="L189" i="149"/>
  <c r="R144" i="149"/>
  <c r="H87" i="149"/>
  <c r="O103" i="149"/>
  <c r="P66" i="149"/>
  <c r="H185" i="149"/>
  <c r="H70" i="149"/>
  <c r="S65" i="149"/>
  <c r="T183" i="149"/>
  <c r="L73" i="149"/>
  <c r="P151" i="149"/>
  <c r="P181" i="149"/>
  <c r="Q87" i="149"/>
  <c r="P56" i="149"/>
  <c r="P159" i="149"/>
  <c r="O42" i="149"/>
  <c r="J25" i="149"/>
  <c r="K107" i="149"/>
  <c r="K82" i="149"/>
  <c r="H102" i="149"/>
  <c r="J64" i="149"/>
  <c r="L142" i="149"/>
  <c r="H104" i="149"/>
  <c r="T28" i="149"/>
  <c r="R83" i="149"/>
  <c r="M190" i="149"/>
  <c r="P131" i="149"/>
  <c r="I55" i="149"/>
  <c r="R45" i="149"/>
  <c r="R137" i="149"/>
  <c r="Q144" i="149"/>
  <c r="T86" i="149"/>
  <c r="Q187" i="149"/>
  <c r="O27" i="149"/>
  <c r="P125" i="149"/>
  <c r="L113" i="149"/>
  <c r="H125" i="149"/>
  <c r="M170" i="149"/>
  <c r="P26" i="149"/>
  <c r="M177" i="149"/>
  <c r="K89" i="149"/>
  <c r="H105" i="149"/>
  <c r="L135" i="149"/>
  <c r="Q20" i="149"/>
  <c r="I172" i="149"/>
  <c r="S49" i="149"/>
  <c r="I84" i="149"/>
  <c r="N124" i="149"/>
  <c r="J153" i="149"/>
  <c r="R46" i="149"/>
  <c r="N155" i="149"/>
  <c r="I70" i="149"/>
  <c r="P44" i="149"/>
  <c r="J69" i="149"/>
  <c r="P182" i="149"/>
  <c r="N190" i="149"/>
  <c r="J133" i="149"/>
  <c r="I47" i="149"/>
  <c r="S38" i="149"/>
  <c r="K84" i="149"/>
  <c r="S57" i="149"/>
  <c r="O115" i="149"/>
  <c r="I39" i="149"/>
  <c r="R164" i="149"/>
  <c r="O99" i="149"/>
  <c r="I137" i="149"/>
  <c r="S186" i="149"/>
  <c r="N56" i="149"/>
  <c r="S139" i="149"/>
  <c r="K188" i="149"/>
  <c r="M22" i="149"/>
  <c r="T126" i="149"/>
  <c r="N109" i="149"/>
  <c r="S36" i="149"/>
  <c r="T36" i="149"/>
  <c r="O16" i="149"/>
  <c r="O104" i="149"/>
  <c r="J142" i="149"/>
  <c r="R52" i="149"/>
  <c r="N110" i="149"/>
  <c r="O147" i="149"/>
  <c r="L175" i="149"/>
  <c r="J103" i="149"/>
  <c r="S85" i="149"/>
  <c r="O119" i="149"/>
  <c r="R19" i="149"/>
  <c r="K140" i="149"/>
  <c r="S37" i="149"/>
  <c r="K135" i="149"/>
  <c r="T45" i="149"/>
  <c r="Q34" i="149"/>
  <c r="K118" i="149"/>
  <c r="K56" i="149"/>
  <c r="H115" i="149"/>
  <c r="Q125" i="149"/>
  <c r="J91" i="149"/>
  <c r="S34" i="149"/>
  <c r="H94" i="149"/>
  <c r="M174" i="149"/>
  <c r="P152" i="149"/>
  <c r="P81" i="149"/>
  <c r="P22" i="149"/>
  <c r="M35" i="149"/>
  <c r="S104" i="149"/>
  <c r="T168" i="149"/>
  <c r="Q179" i="149"/>
  <c r="J183" i="149"/>
  <c r="Q68" i="149"/>
  <c r="J70" i="149"/>
  <c r="I103" i="149"/>
  <c r="P29" i="149"/>
  <c r="I128" i="149"/>
  <c r="I188" i="149"/>
  <c r="Q42" i="149"/>
  <c r="Q55" i="149"/>
  <c r="N165" i="149"/>
  <c r="H181" i="149"/>
  <c r="S159" i="149"/>
  <c r="Q37" i="149"/>
  <c r="N44" i="149"/>
  <c r="N65" i="149"/>
  <c r="R181" i="149"/>
  <c r="J151" i="149"/>
  <c r="N24" i="149"/>
  <c r="N55" i="149"/>
  <c r="J60" i="149"/>
  <c r="H141" i="149"/>
  <c r="L143" i="149"/>
  <c r="O22" i="149"/>
  <c r="J45" i="149"/>
  <c r="K173" i="149"/>
  <c r="O80" i="149"/>
  <c r="Q45" i="149"/>
  <c r="M164" i="149"/>
  <c r="K184" i="149"/>
  <c r="R179" i="149"/>
  <c r="I139" i="149"/>
  <c r="T88" i="149"/>
  <c r="Q112" i="149"/>
  <c r="P158" i="149"/>
  <c r="H146" i="149"/>
  <c r="N158" i="149"/>
  <c r="S31" i="149"/>
  <c r="J123" i="149"/>
  <c r="K20" i="149"/>
  <c r="S157" i="149"/>
  <c r="P105" i="149"/>
  <c r="O120" i="149"/>
  <c r="K44" i="149"/>
  <c r="T42" i="149"/>
  <c r="I23" i="149"/>
  <c r="R21" i="149"/>
  <c r="M91" i="149"/>
  <c r="M115" i="149"/>
  <c r="H110" i="149"/>
  <c r="I162" i="149"/>
  <c r="R171" i="149"/>
  <c r="S156" i="149"/>
  <c r="I77" i="149"/>
  <c r="I108" i="149"/>
  <c r="P58" i="149"/>
  <c r="T135" i="149"/>
  <c r="K123" i="149"/>
  <c r="N72" i="149"/>
  <c r="K149" i="149"/>
  <c r="T22" i="149"/>
  <c r="N91" i="149"/>
  <c r="Q27" i="149"/>
  <c r="K53" i="149"/>
  <c r="J121" i="149"/>
  <c r="T132" i="149"/>
  <c r="N153" i="149"/>
  <c r="N126" i="149"/>
  <c r="O47" i="149"/>
  <c r="O49" i="149"/>
  <c r="P46" i="149"/>
  <c r="Q151" i="149"/>
  <c r="K101" i="149"/>
  <c r="T39" i="149"/>
  <c r="Q59" i="149"/>
  <c r="H40" i="149"/>
  <c r="O64" i="149"/>
  <c r="N143" i="149"/>
  <c r="R161" i="149"/>
  <c r="T66" i="149"/>
  <c r="M44" i="149"/>
  <c r="R115" i="149"/>
  <c r="L78" i="149"/>
  <c r="Q189" i="149"/>
  <c r="N172" i="149"/>
  <c r="T120" i="149"/>
  <c r="S64" i="149"/>
  <c r="Q126" i="149"/>
  <c r="O158" i="149"/>
  <c r="H82" i="149"/>
  <c r="T24" i="149"/>
  <c r="P59" i="149"/>
  <c r="T57" i="149"/>
  <c r="N28" i="149"/>
  <c r="S33" i="149"/>
  <c r="I96" i="149"/>
  <c r="K25" i="149"/>
  <c r="R152" i="149"/>
  <c r="Q168" i="149"/>
  <c r="Q30" i="149"/>
  <c r="H188" i="149"/>
  <c r="O141" i="149"/>
  <c r="L185" i="149"/>
  <c r="O105" i="149"/>
  <c r="O175" i="149"/>
  <c r="S20" i="149"/>
  <c r="P163" i="149"/>
  <c r="O54" i="149"/>
  <c r="Q100" i="149"/>
  <c r="T111" i="149"/>
  <c r="Q164" i="149"/>
  <c r="O72" i="149"/>
  <c r="H67" i="149"/>
  <c r="Q110" i="149"/>
  <c r="O70" i="149"/>
  <c r="T44" i="149"/>
  <c r="T83" i="149"/>
  <c r="Q183" i="149"/>
  <c r="I174" i="149"/>
  <c r="O132" i="149"/>
  <c r="I32" i="149"/>
  <c r="S21" i="149"/>
  <c r="N168" i="149"/>
  <c r="Q173" i="149"/>
  <c r="K129" i="149"/>
  <c r="T95" i="149"/>
  <c r="R125" i="149"/>
  <c r="M188" i="149"/>
  <c r="Q90" i="149"/>
  <c r="R89" i="149"/>
  <c r="O131" i="149"/>
  <c r="O71" i="149"/>
  <c r="BJ10" i="104"/>
  <c r="I41" i="195"/>
  <c r="J41" i="195"/>
  <c r="BJ6" i="124"/>
  <c r="BJ14" i="125"/>
  <c r="AQ18" i="194"/>
  <c r="BV18" i="194"/>
  <c r="F22" i="155"/>
  <c r="G22" i="157"/>
  <c r="AQ20" i="194"/>
  <c r="BV20" i="194"/>
  <c r="BJ7" i="104"/>
  <c r="BJ20" i="104"/>
  <c r="BJ20" i="125"/>
  <c r="B89" i="137"/>
  <c r="B16" i="137"/>
  <c r="B76" i="137"/>
  <c r="B92" i="137"/>
  <c r="B30" i="137"/>
  <c r="B99" i="137"/>
  <c r="B79" i="137"/>
  <c r="B32" i="137"/>
  <c r="B94" i="137"/>
  <c r="B65" i="137"/>
  <c r="B47" i="137"/>
  <c r="B33" i="137"/>
  <c r="B46" i="137"/>
  <c r="B81" i="137"/>
  <c r="B58" i="137"/>
  <c r="B82" i="137"/>
  <c r="B25" i="137"/>
  <c r="B101" i="137"/>
  <c r="B59" i="137"/>
  <c r="B105" i="137"/>
  <c r="B102" i="137"/>
  <c r="B104" i="137"/>
  <c r="B51" i="137"/>
  <c r="B87" i="137"/>
  <c r="B112" i="137"/>
  <c r="B38" i="137"/>
  <c r="B98" i="137"/>
  <c r="B72" i="137"/>
  <c r="B44" i="137"/>
  <c r="B110" i="137"/>
  <c r="B74" i="137"/>
  <c r="B60" i="137"/>
  <c r="B78" i="137"/>
  <c r="B62" i="137"/>
  <c r="B93" i="137"/>
  <c r="B107" i="137"/>
  <c r="B43" i="137"/>
  <c r="B64" i="137"/>
  <c r="B13" i="137"/>
  <c r="B31" i="137"/>
  <c r="B14" i="137"/>
  <c r="B68" i="137"/>
  <c r="B50" i="137"/>
  <c r="B15" i="137"/>
  <c r="B91" i="137"/>
  <c r="B28" i="137"/>
  <c r="B24" i="137"/>
  <c r="B53" i="137"/>
  <c r="B41" i="137"/>
  <c r="B56" i="137"/>
  <c r="B71" i="137"/>
  <c r="B23" i="137"/>
  <c r="B88" i="137"/>
  <c r="B18" i="137"/>
  <c r="B39" i="137"/>
  <c r="B77" i="137"/>
  <c r="B103" i="137"/>
  <c r="B69" i="137"/>
  <c r="B54" i="137"/>
  <c r="B34" i="137"/>
  <c r="B90" i="137"/>
  <c r="B49" i="137"/>
  <c r="B26" i="137"/>
  <c r="B86" i="137"/>
  <c r="B84" i="137"/>
  <c r="B106" i="137"/>
  <c r="B63" i="137"/>
  <c r="B111" i="137"/>
  <c r="B22" i="137"/>
  <c r="B70" i="137"/>
  <c r="B61" i="137"/>
  <c r="B52" i="137"/>
  <c r="B109" i="137"/>
  <c r="B75" i="137"/>
  <c r="B95" i="137"/>
  <c r="B83" i="137"/>
  <c r="B108" i="137"/>
  <c r="B42" i="137"/>
  <c r="B55" i="137"/>
  <c r="B96" i="137"/>
  <c r="B80" i="137"/>
  <c r="B100" i="137"/>
  <c r="B85" i="137"/>
  <c r="B40" i="137"/>
  <c r="B21" i="137"/>
  <c r="B48" i="137"/>
  <c r="B29" i="137"/>
  <c r="B45" i="137"/>
  <c r="B73" i="137"/>
  <c r="B66" i="137"/>
  <c r="B20" i="137"/>
  <c r="B67" i="137"/>
  <c r="B27" i="137"/>
  <c r="B19" i="137"/>
  <c r="B36" i="137"/>
  <c r="B97" i="137"/>
  <c r="B17" i="137"/>
  <c r="B35" i="137"/>
  <c r="B37" i="137"/>
  <c r="B57" i="137"/>
  <c r="BJ13" i="124"/>
  <c r="BJ6" i="125"/>
  <c r="G18" i="133"/>
  <c r="BJ17" i="125"/>
  <c r="BJ18" i="124"/>
  <c r="BJ7" i="123"/>
  <c r="C42" i="195"/>
  <c r="J8" i="195"/>
  <c r="F8" i="195"/>
  <c r="D42" i="195"/>
  <c r="H8" i="195"/>
  <c r="BJ19" i="125"/>
  <c r="BJ19" i="104"/>
  <c r="BJ12" i="125"/>
  <c r="H22" i="155"/>
  <c r="BJ9" i="104"/>
  <c r="I22" i="155"/>
  <c r="BJ13" i="125"/>
  <c r="B89" i="136"/>
  <c r="B98" i="136"/>
  <c r="B80" i="136"/>
  <c r="B45" i="136"/>
  <c r="B57" i="136"/>
  <c r="B96" i="136"/>
  <c r="B100" i="136"/>
  <c r="B79" i="136"/>
  <c r="B74" i="136"/>
  <c r="B68" i="136"/>
  <c r="B107" i="136"/>
  <c r="B63" i="136"/>
  <c r="B40" i="136"/>
  <c r="B50" i="136"/>
  <c r="B42" i="136"/>
  <c r="B109" i="136"/>
  <c r="B71" i="136"/>
  <c r="B34" i="136"/>
  <c r="B61" i="136"/>
  <c r="B55" i="136"/>
  <c r="B59" i="136"/>
  <c r="B69" i="136"/>
  <c r="B52" i="136"/>
  <c r="B105" i="136"/>
  <c r="B47" i="136"/>
  <c r="B84" i="136"/>
  <c r="B85" i="136"/>
  <c r="B23" i="136"/>
  <c r="B35" i="136"/>
  <c r="B92" i="136"/>
  <c r="B14" i="136"/>
  <c r="B75" i="136"/>
  <c r="B32" i="136"/>
  <c r="B22" i="136"/>
  <c r="B27" i="136"/>
  <c r="B46" i="136"/>
  <c r="B112" i="136"/>
  <c r="B43" i="136"/>
  <c r="B66" i="136"/>
  <c r="B83" i="136"/>
  <c r="B91" i="136"/>
  <c r="B38" i="136"/>
  <c r="B65" i="136"/>
  <c r="B76" i="136"/>
  <c r="B54" i="136"/>
  <c r="B87" i="136"/>
  <c r="B33" i="136"/>
  <c r="B97" i="136"/>
  <c r="B19" i="136"/>
  <c r="B58" i="136"/>
  <c r="B20" i="136"/>
  <c r="B48" i="136"/>
  <c r="B31" i="136"/>
  <c r="B24" i="136"/>
  <c r="B17" i="136"/>
  <c r="B51" i="136"/>
  <c r="B16" i="136"/>
  <c r="B90" i="136"/>
  <c r="B67" i="136"/>
  <c r="B103" i="136"/>
  <c r="B82" i="136"/>
  <c r="B104" i="136"/>
  <c r="B37" i="136"/>
  <c r="B56" i="136"/>
  <c r="B62" i="136"/>
  <c r="B41" i="136"/>
  <c r="B94" i="136"/>
  <c r="B72" i="136"/>
  <c r="B70" i="136"/>
  <c r="B29" i="136"/>
  <c r="B18" i="136"/>
  <c r="B102" i="136"/>
  <c r="B49" i="136"/>
  <c r="B106" i="136"/>
  <c r="B77" i="136"/>
  <c r="B73" i="136"/>
  <c r="B36" i="136"/>
  <c r="B93" i="136"/>
  <c r="B39" i="136"/>
  <c r="B99" i="136"/>
  <c r="B13" i="136"/>
  <c r="B10" i="117" s="1"/>
  <c r="M9" i="54" s="1"/>
  <c r="O9" i="54" s="1"/>
  <c r="P9" i="54" s="1"/>
  <c r="B110" i="136"/>
  <c r="B86" i="136"/>
  <c r="B88" i="136"/>
  <c r="B95" i="136"/>
  <c r="B81" i="136"/>
  <c r="B78" i="136"/>
  <c r="B25" i="136"/>
  <c r="B53" i="136"/>
  <c r="B15" i="136"/>
  <c r="B21" i="136"/>
  <c r="B108" i="136"/>
  <c r="B30" i="136"/>
  <c r="B44" i="136"/>
  <c r="B28" i="136"/>
  <c r="B60" i="136"/>
  <c r="B101" i="136"/>
  <c r="B64" i="136"/>
  <c r="B111" i="136"/>
  <c r="B26" i="136"/>
  <c r="BJ6" i="104"/>
  <c r="BJ11" i="125"/>
  <c r="F22" i="156"/>
  <c r="BJ7" i="125"/>
  <c r="BV14" i="194"/>
  <c r="AQ14" i="194"/>
  <c r="BJ10" i="124"/>
  <c r="BV13" i="194"/>
  <c r="AQ13" i="194"/>
  <c r="BJ21" i="125"/>
  <c r="BV6" i="194"/>
  <c r="AQ6" i="194"/>
  <c r="AQ16" i="194"/>
  <c r="BV16" i="194"/>
  <c r="J22" i="157"/>
  <c r="J22" i="155"/>
  <c r="BV8" i="194"/>
  <c r="AQ8" i="194"/>
  <c r="BV10" i="194"/>
  <c r="AQ10" i="194"/>
  <c r="BV17" i="194"/>
  <c r="AQ17" i="194"/>
  <c r="AQ15" i="194"/>
  <c r="BV15" i="194"/>
  <c r="AQ9" i="194"/>
  <c r="BV9" i="194"/>
  <c r="BJ17" i="124"/>
  <c r="BJ12" i="124"/>
  <c r="AQ11" i="194"/>
  <c r="BV11" i="194"/>
  <c r="BJ14" i="124"/>
  <c r="AQ19" i="194"/>
  <c r="BV19" i="194"/>
  <c r="H42" i="195"/>
  <c r="G42" i="195"/>
  <c r="F22" i="157"/>
  <c r="S33" i="143"/>
  <c r="M33" i="143"/>
  <c r="F39" i="143"/>
  <c r="I36" i="143"/>
  <c r="R35" i="143"/>
  <c r="L35" i="143"/>
  <c r="K38" i="143"/>
  <c r="J41" i="143"/>
  <c r="L28" i="143"/>
  <c r="N32" i="143"/>
  <c r="M30" i="143"/>
  <c r="R38" i="143"/>
  <c r="M36" i="143"/>
  <c r="I34" i="143"/>
  <c r="J38" i="143"/>
  <c r="J32" i="143"/>
  <c r="L40" i="143"/>
  <c r="K26" i="143"/>
  <c r="F38" i="143"/>
  <c r="G28" i="143"/>
  <c r="I28" i="143"/>
  <c r="I30" i="143"/>
  <c r="P29" i="143"/>
  <c r="P34" i="143"/>
  <c r="J29" i="143"/>
  <c r="J28" i="143"/>
  <c r="O30" i="143"/>
  <c r="L30" i="143"/>
  <c r="P30" i="143"/>
  <c r="S28" i="143"/>
  <c r="O29" i="143"/>
  <c r="Q41" i="143"/>
  <c r="J27" i="143"/>
  <c r="E32" i="143"/>
  <c r="P36" i="143"/>
  <c r="S26" i="143"/>
  <c r="R29" i="143"/>
  <c r="F37" i="143"/>
  <c r="J35" i="143"/>
  <c r="E41" i="143"/>
  <c r="K27" i="143"/>
  <c r="K41" i="143"/>
  <c r="I32" i="143"/>
  <c r="M41" i="143"/>
  <c r="N35" i="143"/>
  <c r="F28" i="143"/>
  <c r="P28" i="143"/>
  <c r="R30" i="143"/>
  <c r="Q33" i="143"/>
  <c r="S37" i="143"/>
  <c r="I29" i="143"/>
  <c r="M27" i="143"/>
  <c r="G34" i="143"/>
  <c r="R37" i="143"/>
  <c r="R34" i="143"/>
  <c r="F30" i="143"/>
  <c r="I39" i="143"/>
  <c r="N33" i="143"/>
  <c r="O38" i="143"/>
  <c r="K31" i="143"/>
  <c r="E38" i="143"/>
  <c r="M37" i="143"/>
  <c r="O41" i="143"/>
  <c r="P27" i="143"/>
  <c r="K30" i="143"/>
  <c r="L33" i="143"/>
  <c r="S41" i="143"/>
  <c r="Q32" i="143"/>
  <c r="Q27" i="143"/>
  <c r="R39" i="143"/>
  <c r="Q35" i="143"/>
  <c r="G37" i="143"/>
  <c r="E28" i="143"/>
  <c r="J30" i="143"/>
  <c r="L39" i="143"/>
  <c r="I40" i="143"/>
  <c r="M31" i="143"/>
  <c r="F27" i="143"/>
  <c r="M29" i="143"/>
  <c r="O33" i="143"/>
  <c r="H37" i="143"/>
  <c r="H31" i="143"/>
  <c r="E26" i="143"/>
  <c r="L41" i="143"/>
  <c r="E39" i="143"/>
  <c r="O40" i="143"/>
  <c r="L38" i="143"/>
  <c r="G39" i="143"/>
  <c r="O28" i="143"/>
  <c r="Q39" i="143"/>
  <c r="H38" i="143"/>
  <c r="F29" i="143"/>
  <c r="F34" i="143"/>
  <c r="M40" i="143"/>
  <c r="O31" i="143"/>
  <c r="P39" i="143"/>
  <c r="E31" i="143"/>
  <c r="S40" i="143"/>
  <c r="P32" i="143"/>
  <c r="R36" i="143"/>
  <c r="K40" i="143"/>
  <c r="O35" i="143"/>
  <c r="Q40" i="143"/>
  <c r="S27" i="143"/>
  <c r="F32" i="143"/>
  <c r="R40" i="143"/>
  <c r="H33" i="143"/>
  <c r="H30" i="143"/>
  <c r="M26" i="143"/>
  <c r="L29" i="143"/>
  <c r="M32" i="143"/>
  <c r="S32" i="143"/>
  <c r="I35" i="143"/>
  <c r="H41" i="143"/>
  <c r="E33" i="143"/>
  <c r="H29" i="143"/>
  <c r="Q28" i="143"/>
  <c r="O32" i="143"/>
  <c r="Q37" i="143"/>
  <c r="K34" i="143"/>
  <c r="E29" i="143"/>
  <c r="Q30" i="143"/>
  <c r="N31" i="143"/>
  <c r="N26" i="143"/>
  <c r="P35" i="143"/>
  <c r="N28" i="143"/>
  <c r="G35" i="143"/>
  <c r="L27" i="143"/>
  <c r="R33" i="143"/>
  <c r="Q29" i="143"/>
  <c r="R26" i="143"/>
  <c r="S34" i="143"/>
  <c r="J37" i="143"/>
  <c r="R31" i="143"/>
  <c r="N27" i="143"/>
  <c r="K36" i="143"/>
  <c r="N36" i="143"/>
  <c r="P41" i="143"/>
  <c r="I41" i="143"/>
  <c r="L31" i="143"/>
  <c r="G32" i="143"/>
  <c r="N40" i="143"/>
  <c r="G36" i="143"/>
  <c r="N29" i="143"/>
  <c r="F41" i="143"/>
  <c r="S39" i="143"/>
  <c r="E30" i="143"/>
  <c r="I38" i="143"/>
  <c r="R27" i="143"/>
  <c r="G30" i="143"/>
  <c r="R28" i="143"/>
  <c r="E36" i="143"/>
  <c r="M39" i="143"/>
  <c r="E37" i="143"/>
  <c r="H27" i="143"/>
  <c r="P37" i="143"/>
  <c r="J36" i="143"/>
  <c r="H40" i="143"/>
  <c r="H26" i="143"/>
  <c r="Q36" i="143"/>
  <c r="Q38" i="143"/>
  <c r="M34" i="143"/>
  <c r="N38" i="143"/>
  <c r="N34" i="143"/>
  <c r="N41" i="143"/>
  <c r="O27" i="143"/>
  <c r="K37" i="143"/>
  <c r="J40" i="143"/>
  <c r="O37" i="143"/>
  <c r="L32" i="143"/>
  <c r="R41" i="143"/>
  <c r="G33" i="143"/>
  <c r="F36" i="143"/>
  <c r="K33" i="143"/>
  <c r="M38" i="143"/>
  <c r="K28" i="143"/>
  <c r="P40" i="143"/>
  <c r="S30" i="143"/>
  <c r="O34" i="143"/>
  <c r="Q26" i="143"/>
  <c r="S35" i="143"/>
  <c r="K32" i="143"/>
  <c r="J34" i="143"/>
  <c r="H39" i="143"/>
  <c r="F31" i="143"/>
  <c r="Q31" i="143"/>
  <c r="E40" i="143"/>
  <c r="S36" i="143"/>
  <c r="G38" i="143"/>
  <c r="O39" i="143"/>
  <c r="H34" i="143"/>
  <c r="K39" i="143"/>
  <c r="E34" i="143"/>
  <c r="G26" i="143"/>
  <c r="H35" i="143"/>
  <c r="L37" i="143"/>
  <c r="M35" i="143"/>
  <c r="I31" i="143"/>
  <c r="J33" i="143"/>
  <c r="G29" i="143"/>
  <c r="Q34" i="143"/>
  <c r="F35" i="143"/>
  <c r="N39" i="143"/>
  <c r="N30" i="143"/>
  <c r="J26" i="143"/>
  <c r="P38" i="143"/>
  <c r="G41" i="143"/>
  <c r="N37" i="143"/>
  <c r="G31" i="143"/>
  <c r="K35" i="143"/>
  <c r="O26" i="143"/>
  <c r="H36" i="143"/>
  <c r="I26" i="143"/>
  <c r="J31" i="143"/>
  <c r="I33" i="143"/>
  <c r="P33" i="143"/>
  <c r="R32" i="143"/>
  <c r="P31" i="143"/>
  <c r="K29" i="143"/>
  <c r="E27" i="143"/>
  <c r="L26" i="143"/>
  <c r="I27" i="143"/>
  <c r="M28" i="143"/>
  <c r="J39" i="143"/>
  <c r="S38" i="143"/>
  <c r="O36" i="143"/>
  <c r="I37" i="143"/>
  <c r="G40" i="143"/>
  <c r="G27" i="143"/>
  <c r="P26" i="143"/>
  <c r="L36" i="143"/>
  <c r="H28" i="143"/>
  <c r="S31" i="143"/>
  <c r="S29" i="143"/>
  <c r="F26" i="143"/>
  <c r="H32" i="143"/>
  <c r="L34" i="143"/>
  <c r="F40" i="143"/>
  <c r="E35" i="143"/>
  <c r="F33" i="143"/>
  <c r="T4" i="200"/>
  <c r="T38" i="200"/>
  <c r="U50" i="200"/>
  <c r="U16" i="200"/>
  <c r="T50" i="200"/>
  <c r="T16" i="200"/>
  <c r="U15" i="200"/>
  <c r="U49" i="200"/>
  <c r="T21" i="200"/>
  <c r="T55" i="200"/>
  <c r="E41" i="195"/>
  <c r="F41" i="195"/>
  <c r="T52" i="200"/>
  <c r="T18" i="200"/>
  <c r="U11" i="200"/>
  <c r="U45" i="200"/>
  <c r="T6" i="200"/>
  <c r="T40" i="200"/>
  <c r="T14" i="200"/>
  <c r="T48" i="200"/>
  <c r="T11" i="200"/>
  <c r="T45" i="200"/>
  <c r="T53" i="200"/>
  <c r="T19" i="200"/>
  <c r="T12" i="200"/>
  <c r="T46" i="200"/>
  <c r="T9" i="200"/>
  <c r="T43" i="200"/>
  <c r="G41" i="195"/>
  <c r="U9" i="200"/>
  <c r="U43" i="200"/>
  <c r="U5" i="200"/>
  <c r="U39" i="200"/>
  <c r="T5" i="200"/>
  <c r="T39" i="200"/>
  <c r="T20" i="200"/>
  <c r="T54" i="200"/>
  <c r="T7" i="200"/>
  <c r="T41" i="200"/>
  <c r="T15" i="200"/>
  <c r="T49" i="200"/>
  <c r="U40" i="200"/>
  <c r="U6" i="200"/>
  <c r="U4" i="200"/>
  <c r="U38" i="200"/>
  <c r="U10" i="200"/>
  <c r="U44" i="200"/>
  <c r="T17" i="200"/>
  <c r="T51" i="200"/>
  <c r="U21" i="200"/>
  <c r="U55" i="200"/>
  <c r="U51" i="200"/>
  <c r="U17" i="200"/>
  <c r="U13" i="200"/>
  <c r="U47" i="200"/>
  <c r="U14" i="200"/>
  <c r="U48" i="200"/>
  <c r="T44" i="200"/>
  <c r="T10" i="200"/>
  <c r="U41" i="200"/>
  <c r="U7" i="200"/>
  <c r="U53" i="200"/>
  <c r="U19" i="200"/>
  <c r="U52" i="200"/>
  <c r="U18" i="200"/>
  <c r="U54" i="200"/>
  <c r="U20" i="200"/>
  <c r="U42" i="200"/>
  <c r="U8" i="200"/>
  <c r="T13" i="200"/>
  <c r="T47" i="200"/>
  <c r="U12" i="200"/>
  <c r="U46" i="200"/>
  <c r="T8" i="200"/>
  <c r="T42" i="200"/>
  <c r="CE16" i="169"/>
  <c r="CG10" i="159"/>
  <c r="CE6" i="168"/>
  <c r="CE20" i="169"/>
  <c r="CG9" i="159"/>
  <c r="CE12" i="168"/>
  <c r="CE6" i="169"/>
  <c r="CE19" i="168"/>
  <c r="CE14" i="169"/>
  <c r="CE10" i="169"/>
  <c r="CF17" i="167"/>
  <c r="CE15" i="168"/>
  <c r="CF16" i="167"/>
  <c r="DA12" i="194"/>
  <c r="CG14" i="159"/>
  <c r="CF18" i="167"/>
  <c r="CG12" i="159"/>
  <c r="CE12" i="169"/>
  <c r="CG21" i="159"/>
  <c r="CE18" i="168"/>
  <c r="CG19" i="159"/>
  <c r="CG7" i="159"/>
  <c r="CE18" i="169"/>
  <c r="CF20" i="167"/>
  <c r="CF6" i="167"/>
  <c r="CF10" i="167"/>
  <c r="CF19" i="167"/>
  <c r="CG8" i="159"/>
  <c r="CE11" i="169"/>
  <c r="CE8" i="168"/>
  <c r="CF9" i="167"/>
  <c r="CE7" i="169"/>
  <c r="K22" i="156"/>
  <c r="M515" i="163"/>
  <c r="K504" i="163"/>
  <c r="I493" i="163"/>
  <c r="M483" i="163"/>
  <c r="K472" i="163"/>
  <c r="I461" i="163"/>
  <c r="M451" i="163"/>
  <c r="K440" i="163"/>
  <c r="I429" i="163"/>
  <c r="M419" i="163"/>
  <c r="K408" i="163"/>
  <c r="I397" i="163"/>
  <c r="F397" i="163" s="1"/>
  <c r="M387" i="163"/>
  <c r="K376" i="163"/>
  <c r="I365" i="163"/>
  <c r="N365" i="163" s="1"/>
  <c r="M355" i="163"/>
  <c r="K344" i="163"/>
  <c r="I333" i="163"/>
  <c r="M323" i="163"/>
  <c r="J508" i="163"/>
  <c r="H497" i="163"/>
  <c r="L487" i="163"/>
  <c r="J476" i="163"/>
  <c r="H465" i="163"/>
  <c r="L455" i="163"/>
  <c r="J444" i="163"/>
  <c r="H433" i="163"/>
  <c r="L423" i="163"/>
  <c r="J412" i="163"/>
  <c r="H401" i="163"/>
  <c r="L391" i="163"/>
  <c r="J380" i="163"/>
  <c r="H369" i="163"/>
  <c r="L359" i="163"/>
  <c r="J348" i="163"/>
  <c r="H337" i="163"/>
  <c r="M514" i="163"/>
  <c r="K503" i="163"/>
  <c r="I492" i="163"/>
  <c r="G492" i="163" s="1"/>
  <c r="M482" i="163"/>
  <c r="K471" i="163"/>
  <c r="I460" i="163"/>
  <c r="M450" i="163"/>
  <c r="K439" i="163"/>
  <c r="I428" i="163"/>
  <c r="M418" i="163"/>
  <c r="K407" i="163"/>
  <c r="I396" i="163"/>
  <c r="M386" i="163"/>
  <c r="K375" i="163"/>
  <c r="I364" i="163"/>
  <c r="M354" i="163"/>
  <c r="K343" i="163"/>
  <c r="I332" i="163"/>
  <c r="H512" i="163"/>
  <c r="L502" i="163"/>
  <c r="J491" i="163"/>
  <c r="H480" i="163"/>
  <c r="L470" i="163"/>
  <c r="J459" i="163"/>
  <c r="H448" i="163"/>
  <c r="L438" i="163"/>
  <c r="J427" i="163"/>
  <c r="H416" i="163"/>
  <c r="L406" i="163"/>
  <c r="J395" i="163"/>
  <c r="H384" i="163"/>
  <c r="L374" i="163"/>
  <c r="J363" i="163"/>
  <c r="H352" i="163"/>
  <c r="L342" i="163"/>
  <c r="J331" i="163"/>
  <c r="I511" i="163"/>
  <c r="M501" i="163"/>
  <c r="K490" i="163"/>
  <c r="I479" i="163"/>
  <c r="G479" i="163" s="1"/>
  <c r="M469" i="163"/>
  <c r="K458" i="163"/>
  <c r="I447" i="163"/>
  <c r="G447" i="163" s="1"/>
  <c r="M437" i="163"/>
  <c r="K426" i="163"/>
  <c r="I415" i="163"/>
  <c r="M405" i="163"/>
  <c r="K394" i="163"/>
  <c r="I383" i="163"/>
  <c r="G383" i="163" s="1"/>
  <c r="M373" i="163"/>
  <c r="K362" i="163"/>
  <c r="I351" i="163"/>
  <c r="M341" i="163"/>
  <c r="L517" i="163"/>
  <c r="J506" i="163"/>
  <c r="H495" i="163"/>
  <c r="L485" i="163"/>
  <c r="J474" i="163"/>
  <c r="H463" i="163"/>
  <c r="L453" i="163"/>
  <c r="J442" i="163"/>
  <c r="H431" i="163"/>
  <c r="L421" i="163"/>
  <c r="J410" i="163"/>
  <c r="H399" i="163"/>
  <c r="L389" i="163"/>
  <c r="J378" i="163"/>
  <c r="H367" i="163"/>
  <c r="L357" i="163"/>
  <c r="J346" i="163"/>
  <c r="H335" i="163"/>
  <c r="M516" i="163"/>
  <c r="K505" i="163"/>
  <c r="I494" i="163"/>
  <c r="M484" i="163"/>
  <c r="K473" i="163"/>
  <c r="I462" i="163"/>
  <c r="F462" i="163" s="1"/>
  <c r="M452" i="163"/>
  <c r="K441" i="163"/>
  <c r="I430" i="163"/>
  <c r="M420" i="163"/>
  <c r="K409" i="163"/>
  <c r="I398" i="163"/>
  <c r="G398" i="163" s="1"/>
  <c r="M388" i="163"/>
  <c r="K377" i="163"/>
  <c r="I366" i="163"/>
  <c r="M356" i="163"/>
  <c r="K345" i="163"/>
  <c r="I334" i="163"/>
  <c r="F334" i="163" s="1"/>
  <c r="M324" i="163"/>
  <c r="J517" i="163"/>
  <c r="H506" i="163"/>
  <c r="L496" i="163"/>
  <c r="J485" i="163"/>
  <c r="H474" i="163"/>
  <c r="L464" i="163"/>
  <c r="J453" i="163"/>
  <c r="H442" i="163"/>
  <c r="L432" i="163"/>
  <c r="J421" i="163"/>
  <c r="H410" i="163"/>
  <c r="L400" i="163"/>
  <c r="J389" i="163"/>
  <c r="H378" i="163"/>
  <c r="L368" i="163"/>
  <c r="J357" i="163"/>
  <c r="H346" i="163"/>
  <c r="L336" i="163"/>
  <c r="J325" i="163"/>
  <c r="H329" i="163"/>
  <c r="H313" i="163"/>
  <c r="L303" i="163"/>
  <c r="J292" i="163"/>
  <c r="H281" i="163"/>
  <c r="L271" i="163"/>
  <c r="J260" i="163"/>
  <c r="H249" i="163"/>
  <c r="L239" i="163"/>
  <c r="J228" i="163"/>
  <c r="H217" i="163"/>
  <c r="L207" i="163"/>
  <c r="J196" i="163"/>
  <c r="H185" i="163"/>
  <c r="L175" i="163"/>
  <c r="J164" i="163"/>
  <c r="H153" i="163"/>
  <c r="L143" i="163"/>
  <c r="J132" i="163"/>
  <c r="H121" i="163"/>
  <c r="L111" i="163"/>
  <c r="J100" i="163"/>
  <c r="H89" i="163"/>
  <c r="L79" i="163"/>
  <c r="J68" i="163"/>
  <c r="H57" i="163"/>
  <c r="L47" i="163"/>
  <c r="L36" i="163"/>
  <c r="J25" i="163"/>
  <c r="L315" i="163"/>
  <c r="I304" i="163"/>
  <c r="M294" i="163"/>
  <c r="K283" i="163"/>
  <c r="I272" i="163"/>
  <c r="M262" i="163"/>
  <c r="K251" i="163"/>
  <c r="I240" i="163"/>
  <c r="M230" i="163"/>
  <c r="K219" i="163"/>
  <c r="I208" i="163"/>
  <c r="M198" i="163"/>
  <c r="K187" i="163"/>
  <c r="I176" i="163"/>
  <c r="M166" i="163"/>
  <c r="K155" i="163"/>
  <c r="I144" i="163"/>
  <c r="N144" i="163" s="1"/>
  <c r="M134" i="163"/>
  <c r="K123" i="163"/>
  <c r="I112" i="163"/>
  <c r="M102" i="163"/>
  <c r="K91" i="163"/>
  <c r="I80" i="163"/>
  <c r="M70" i="163"/>
  <c r="K59" i="163"/>
  <c r="I48" i="163"/>
  <c r="I37" i="163"/>
  <c r="G37" i="163" s="1"/>
  <c r="I323" i="163"/>
  <c r="J311" i="163"/>
  <c r="H300" i="163"/>
  <c r="L290" i="163"/>
  <c r="J279" i="163"/>
  <c r="H268" i="163"/>
  <c r="L258" i="163"/>
  <c r="J247" i="163"/>
  <c r="H236" i="163"/>
  <c r="L226" i="163"/>
  <c r="J215" i="163"/>
  <c r="H204" i="163"/>
  <c r="L194" i="163"/>
  <c r="J183" i="163"/>
  <c r="H172" i="163"/>
  <c r="L162" i="163"/>
  <c r="J151" i="163"/>
  <c r="H140" i="163"/>
  <c r="L130" i="163"/>
  <c r="J119" i="163"/>
  <c r="H108" i="163"/>
  <c r="L98" i="163"/>
  <c r="J87" i="163"/>
  <c r="H76" i="163"/>
  <c r="L66" i="163"/>
  <c r="J55" i="163"/>
  <c r="H44" i="163"/>
  <c r="H33" i="163"/>
  <c r="I315" i="163"/>
  <c r="L305" i="163"/>
  <c r="J294" i="163"/>
  <c r="H283" i="163"/>
  <c r="L273" i="163"/>
  <c r="J262" i="163"/>
  <c r="H251" i="163"/>
  <c r="L241" i="163"/>
  <c r="J230" i="163"/>
  <c r="H219" i="163"/>
  <c r="L209" i="163"/>
  <c r="J198" i="163"/>
  <c r="H187" i="163"/>
  <c r="L177" i="163"/>
  <c r="J166" i="163"/>
  <c r="H155" i="163"/>
  <c r="L145" i="163"/>
  <c r="J134" i="163"/>
  <c r="H123" i="163"/>
  <c r="L113" i="163"/>
  <c r="J102" i="163"/>
  <c r="H91" i="163"/>
  <c r="L81" i="163"/>
  <c r="J70" i="163"/>
  <c r="H59" i="163"/>
  <c r="L49" i="163"/>
  <c r="L38" i="163"/>
  <c r="M326" i="163"/>
  <c r="M312" i="163"/>
  <c r="K301" i="163"/>
  <c r="I290" i="163"/>
  <c r="F290" i="163" s="1"/>
  <c r="M280" i="163"/>
  <c r="K269" i="163"/>
  <c r="I258" i="163"/>
  <c r="N258" i="163" s="1"/>
  <c r="M248" i="163"/>
  <c r="K237" i="163"/>
  <c r="I226" i="163"/>
  <c r="N226" i="163" s="1"/>
  <c r="M216" i="163"/>
  <c r="K205" i="163"/>
  <c r="I194" i="163"/>
  <c r="M184" i="163"/>
  <c r="K173" i="163"/>
  <c r="I162" i="163"/>
  <c r="M152" i="163"/>
  <c r="K141" i="163"/>
  <c r="I130" i="163"/>
  <c r="M120" i="163"/>
  <c r="K109" i="163"/>
  <c r="I98" i="163"/>
  <c r="M88" i="163"/>
  <c r="K77" i="163"/>
  <c r="I66" i="163"/>
  <c r="M56" i="163"/>
  <c r="K45" i="163"/>
  <c r="K34" i="163"/>
  <c r="J23" i="163"/>
  <c r="M317" i="163"/>
  <c r="H306" i="163"/>
  <c r="L296" i="163"/>
  <c r="J285" i="163"/>
  <c r="H274" i="163"/>
  <c r="L264" i="163"/>
  <c r="J253" i="163"/>
  <c r="H242" i="163"/>
  <c r="L232" i="163"/>
  <c r="J221" i="163"/>
  <c r="H210" i="163"/>
  <c r="L200" i="163"/>
  <c r="J189" i="163"/>
  <c r="H178" i="163"/>
  <c r="L168" i="163"/>
  <c r="J157" i="163"/>
  <c r="H146" i="163"/>
  <c r="L136" i="163"/>
  <c r="J125" i="163"/>
  <c r="H114" i="163"/>
  <c r="L104" i="163"/>
  <c r="J93" i="163"/>
  <c r="H82" i="163"/>
  <c r="L72" i="163"/>
  <c r="J61" i="163"/>
  <c r="H50" i="163"/>
  <c r="M40" i="163"/>
  <c r="J30" i="163"/>
  <c r="M329" i="163"/>
  <c r="I313" i="163"/>
  <c r="M303" i="163"/>
  <c r="K292" i="163"/>
  <c r="I281" i="163"/>
  <c r="M271" i="163"/>
  <c r="K260" i="163"/>
  <c r="I249" i="163"/>
  <c r="N249" i="163" s="1"/>
  <c r="M239" i="163"/>
  <c r="K228" i="163"/>
  <c r="I217" i="163"/>
  <c r="F217" i="163" s="1"/>
  <c r="M207" i="163"/>
  <c r="K196" i="163"/>
  <c r="I185" i="163"/>
  <c r="N185" i="163" s="1"/>
  <c r="M175" i="163"/>
  <c r="K164" i="163"/>
  <c r="I153" i="163"/>
  <c r="M143" i="163"/>
  <c r="K132" i="163"/>
  <c r="I121" i="163"/>
  <c r="M111" i="163"/>
  <c r="K100" i="163"/>
  <c r="I89" i="163"/>
  <c r="N89" i="163" s="1"/>
  <c r="M79" i="163"/>
  <c r="K68" i="163"/>
  <c r="I57" i="163"/>
  <c r="M47" i="163"/>
  <c r="M36" i="163"/>
  <c r="K25" i="163"/>
  <c r="K262" i="163"/>
  <c r="M173" i="163"/>
  <c r="I95" i="163"/>
  <c r="J24" i="163"/>
  <c r="M297" i="163"/>
  <c r="I219" i="163"/>
  <c r="K130" i="163"/>
  <c r="M41" i="163"/>
  <c r="I311" i="163"/>
  <c r="F311" i="163" s="1"/>
  <c r="K222" i="163"/>
  <c r="M133" i="163"/>
  <c r="I55" i="163"/>
  <c r="I307" i="163"/>
  <c r="K218" i="163"/>
  <c r="M129" i="163"/>
  <c r="I51" i="163"/>
  <c r="K330" i="163"/>
  <c r="M253" i="163"/>
  <c r="I175" i="163"/>
  <c r="K86" i="163"/>
  <c r="J28" i="163"/>
  <c r="I299" i="163"/>
  <c r="K210" i="163"/>
  <c r="M121" i="163"/>
  <c r="I43" i="163"/>
  <c r="G43" i="163" s="1"/>
  <c r="K327" i="163"/>
  <c r="K238" i="163"/>
  <c r="M149" i="163"/>
  <c r="I71" i="163"/>
  <c r="J20" i="163"/>
  <c r="K266" i="163"/>
  <c r="M177" i="163"/>
  <c r="I99" i="163"/>
  <c r="N99" i="163" s="1"/>
  <c r="K24" i="163"/>
  <c r="I513" i="163"/>
  <c r="M503" i="163"/>
  <c r="K492" i="163"/>
  <c r="I481" i="163"/>
  <c r="M471" i="163"/>
  <c r="K460" i="163"/>
  <c r="I449" i="163"/>
  <c r="N449" i="163" s="1"/>
  <c r="M439" i="163"/>
  <c r="K428" i="163"/>
  <c r="I417" i="163"/>
  <c r="N417" i="163" s="1"/>
  <c r="M407" i="163"/>
  <c r="K396" i="163"/>
  <c r="I385" i="163"/>
  <c r="M375" i="163"/>
  <c r="K364" i="163"/>
  <c r="I353" i="163"/>
  <c r="M343" i="163"/>
  <c r="K332" i="163"/>
  <c r="H517" i="163"/>
  <c r="L507" i="163"/>
  <c r="J496" i="163"/>
  <c r="H485" i="163"/>
  <c r="L475" i="163"/>
  <c r="J464" i="163"/>
  <c r="H453" i="163"/>
  <c r="L443" i="163"/>
  <c r="J432" i="163"/>
  <c r="H421" i="163"/>
  <c r="L411" i="163"/>
  <c r="J400" i="163"/>
  <c r="H389" i="163"/>
  <c r="L379" i="163"/>
  <c r="J368" i="163"/>
  <c r="H357" i="163"/>
  <c r="L347" i="163"/>
  <c r="J336" i="163"/>
  <c r="I512" i="163"/>
  <c r="M502" i="163"/>
  <c r="K491" i="163"/>
  <c r="I480" i="163"/>
  <c r="M470" i="163"/>
  <c r="K459" i="163"/>
  <c r="I448" i="163"/>
  <c r="F448" i="163" s="1"/>
  <c r="M438" i="163"/>
  <c r="K427" i="163"/>
  <c r="I416" i="163"/>
  <c r="M406" i="163"/>
  <c r="K395" i="163"/>
  <c r="I384" i="163"/>
  <c r="M374" i="163"/>
  <c r="K363" i="163"/>
  <c r="I352" i="163"/>
  <c r="N352" i="163" s="1"/>
  <c r="M342" i="163"/>
  <c r="K331" i="163"/>
  <c r="J511" i="163"/>
  <c r="H500" i="163"/>
  <c r="L490" i="163"/>
  <c r="J479" i="163"/>
  <c r="H468" i="163"/>
  <c r="L458" i="163"/>
  <c r="J447" i="163"/>
  <c r="H436" i="163"/>
  <c r="L426" i="163"/>
  <c r="J415" i="163"/>
  <c r="H404" i="163"/>
  <c r="L394" i="163"/>
  <c r="J383" i="163"/>
  <c r="H372" i="163"/>
  <c r="L362" i="163"/>
  <c r="J351" i="163"/>
  <c r="H340" i="163"/>
  <c r="L330" i="163"/>
  <c r="K510" i="163"/>
  <c r="I499" i="163"/>
  <c r="M489" i="163"/>
  <c r="K478" i="163"/>
  <c r="I467" i="163"/>
  <c r="M457" i="163"/>
  <c r="K446" i="163"/>
  <c r="I435" i="163"/>
  <c r="M425" i="163"/>
  <c r="K414" i="163"/>
  <c r="I403" i="163"/>
  <c r="M393" i="163"/>
  <c r="K382" i="163"/>
  <c r="I371" i="163"/>
  <c r="M361" i="163"/>
  <c r="K350" i="163"/>
  <c r="I339" i="163"/>
  <c r="H515" i="163"/>
  <c r="L505" i="163"/>
  <c r="J494" i="163"/>
  <c r="H483" i="163"/>
  <c r="L473" i="163"/>
  <c r="J462" i="163"/>
  <c r="H451" i="163"/>
  <c r="L441" i="163"/>
  <c r="J430" i="163"/>
  <c r="H419" i="163"/>
  <c r="L409" i="163"/>
  <c r="J398" i="163"/>
  <c r="H387" i="163"/>
  <c r="L377" i="163"/>
  <c r="J366" i="163"/>
  <c r="H355" i="163"/>
  <c r="L345" i="163"/>
  <c r="J334" i="163"/>
  <c r="I514" i="163"/>
  <c r="M504" i="163"/>
  <c r="K493" i="163"/>
  <c r="I482" i="163"/>
  <c r="N482" i="163" s="1"/>
  <c r="M472" i="163"/>
  <c r="K461" i="163"/>
  <c r="I450" i="163"/>
  <c r="F450" i="163" s="1"/>
  <c r="M440" i="163"/>
  <c r="K429" i="163"/>
  <c r="I418" i="163"/>
  <c r="M408" i="163"/>
  <c r="K397" i="163"/>
  <c r="I386" i="163"/>
  <c r="M376" i="163"/>
  <c r="K365" i="163"/>
  <c r="I354" i="163"/>
  <c r="M344" i="163"/>
  <c r="K333" i="163"/>
  <c r="I322" i="163"/>
  <c r="L516" i="163"/>
  <c r="J505" i="163"/>
  <c r="H494" i="163"/>
  <c r="L484" i="163"/>
  <c r="J473" i="163"/>
  <c r="H462" i="163"/>
  <c r="L452" i="163"/>
  <c r="J441" i="163"/>
  <c r="H430" i="163"/>
  <c r="L420" i="163"/>
  <c r="J409" i="163"/>
  <c r="H398" i="163"/>
  <c r="L388" i="163"/>
  <c r="J377" i="163"/>
  <c r="H366" i="163"/>
  <c r="L356" i="163"/>
  <c r="J345" i="163"/>
  <c r="H334" i="163"/>
  <c r="L324" i="163"/>
  <c r="J326" i="163"/>
  <c r="J312" i="163"/>
  <c r="H301" i="163"/>
  <c r="L291" i="163"/>
  <c r="J280" i="163"/>
  <c r="H269" i="163"/>
  <c r="L259" i="163"/>
  <c r="J248" i="163"/>
  <c r="H237" i="163"/>
  <c r="L227" i="163"/>
  <c r="J216" i="163"/>
  <c r="H205" i="163"/>
  <c r="L195" i="163"/>
  <c r="J184" i="163"/>
  <c r="H173" i="163"/>
  <c r="L163" i="163"/>
  <c r="J152" i="163"/>
  <c r="H141" i="163"/>
  <c r="L131" i="163"/>
  <c r="J120" i="163"/>
  <c r="H109" i="163"/>
  <c r="L99" i="163"/>
  <c r="J88" i="163"/>
  <c r="H77" i="163"/>
  <c r="L67" i="163"/>
  <c r="J56" i="163"/>
  <c r="H45" i="163"/>
  <c r="H34" i="163"/>
  <c r="L24" i="163"/>
  <c r="M314" i="163"/>
  <c r="K303" i="163"/>
  <c r="I292" i="163"/>
  <c r="M282" i="163"/>
  <c r="K271" i="163"/>
  <c r="I260" i="163"/>
  <c r="M250" i="163"/>
  <c r="K239" i="163"/>
  <c r="I228" i="163"/>
  <c r="F228" i="163" s="1"/>
  <c r="M218" i="163"/>
  <c r="K207" i="163"/>
  <c r="I196" i="163"/>
  <c r="M186" i="163"/>
  <c r="K175" i="163"/>
  <c r="I164" i="163"/>
  <c r="M154" i="163"/>
  <c r="K143" i="163"/>
  <c r="I132" i="163"/>
  <c r="M122" i="163"/>
  <c r="K111" i="163"/>
  <c r="I100" i="163"/>
  <c r="N100" i="163" s="1"/>
  <c r="M90" i="163"/>
  <c r="K79" i="163"/>
  <c r="I68" i="163"/>
  <c r="G68" i="163" s="1"/>
  <c r="M58" i="163"/>
  <c r="K47" i="163"/>
  <c r="K36" i="163"/>
  <c r="M322" i="163"/>
  <c r="L310" i="163"/>
  <c r="J299" i="163"/>
  <c r="H288" i="163"/>
  <c r="L278" i="163"/>
  <c r="J267" i="163"/>
  <c r="H256" i="163"/>
  <c r="L246" i="163"/>
  <c r="J235" i="163"/>
  <c r="H224" i="163"/>
  <c r="L214" i="163"/>
  <c r="J203" i="163"/>
  <c r="H192" i="163"/>
  <c r="L182" i="163"/>
  <c r="J171" i="163"/>
  <c r="H160" i="163"/>
  <c r="L150" i="163"/>
  <c r="J139" i="163"/>
  <c r="H128" i="163"/>
  <c r="L118" i="163"/>
  <c r="J107" i="163"/>
  <c r="H96" i="163"/>
  <c r="L86" i="163"/>
  <c r="J75" i="163"/>
  <c r="H64" i="163"/>
  <c r="L54" i="163"/>
  <c r="J43" i="163"/>
  <c r="J32" i="163"/>
  <c r="J314" i="163"/>
  <c r="H303" i="163"/>
  <c r="L293" i="163"/>
  <c r="J282" i="163"/>
  <c r="H271" i="163"/>
  <c r="L261" i="163"/>
  <c r="J250" i="163"/>
  <c r="H239" i="163"/>
  <c r="L229" i="163"/>
  <c r="J218" i="163"/>
  <c r="H207" i="163"/>
  <c r="L197" i="163"/>
  <c r="J186" i="163"/>
  <c r="H175" i="163"/>
  <c r="L165" i="163"/>
  <c r="J154" i="163"/>
  <c r="H143" i="163"/>
  <c r="L133" i="163"/>
  <c r="J122" i="163"/>
  <c r="H111" i="163"/>
  <c r="L101" i="163"/>
  <c r="J90" i="163"/>
  <c r="H79" i="163"/>
  <c r="L69" i="163"/>
  <c r="J58" i="163"/>
  <c r="H47" i="163"/>
  <c r="H36" i="163"/>
  <c r="J324" i="163"/>
  <c r="I310" i="163"/>
  <c r="M300" i="163"/>
  <c r="K289" i="163"/>
  <c r="I278" i="163"/>
  <c r="M268" i="163"/>
  <c r="K257" i="163"/>
  <c r="I246" i="163"/>
  <c r="M236" i="163"/>
  <c r="K225" i="163"/>
  <c r="I214" i="163"/>
  <c r="M204" i="163"/>
  <c r="K193" i="163"/>
  <c r="I182" i="163"/>
  <c r="M172" i="163"/>
  <c r="K161" i="163"/>
  <c r="I150" i="163"/>
  <c r="M140" i="163"/>
  <c r="K129" i="163"/>
  <c r="I118" i="163"/>
  <c r="F118" i="163" s="1"/>
  <c r="M108" i="163"/>
  <c r="K97" i="163"/>
  <c r="I86" i="163"/>
  <c r="N86" i="163" s="1"/>
  <c r="M76" i="163"/>
  <c r="K65" i="163"/>
  <c r="I54" i="163"/>
  <c r="M44" i="163"/>
  <c r="M33" i="163"/>
  <c r="L22" i="163"/>
  <c r="I316" i="163"/>
  <c r="J305" i="163"/>
  <c r="H294" i="163"/>
  <c r="L284" i="163"/>
  <c r="J273" i="163"/>
  <c r="H262" i="163"/>
  <c r="L252" i="163"/>
  <c r="J241" i="163"/>
  <c r="H230" i="163"/>
  <c r="L220" i="163"/>
  <c r="J209" i="163"/>
  <c r="H198" i="163"/>
  <c r="L188" i="163"/>
  <c r="J177" i="163"/>
  <c r="H166" i="163"/>
  <c r="L156" i="163"/>
  <c r="J145" i="163"/>
  <c r="H134" i="163"/>
  <c r="L124" i="163"/>
  <c r="J113" i="163"/>
  <c r="H102" i="163"/>
  <c r="L92" i="163"/>
  <c r="J81" i="163"/>
  <c r="H70" i="163"/>
  <c r="L60" i="163"/>
  <c r="J49" i="163"/>
  <c r="H39" i="163"/>
  <c r="L29" i="163"/>
  <c r="K326" i="163"/>
  <c r="K312" i="163"/>
  <c r="I301" i="163"/>
  <c r="N301" i="163" s="1"/>
  <c r="M291" i="163"/>
  <c r="K280" i="163"/>
  <c r="I269" i="163"/>
  <c r="G269" i="163" s="1"/>
  <c r="M259" i="163"/>
  <c r="K248" i="163"/>
  <c r="I237" i="163"/>
  <c r="M227" i="163"/>
  <c r="K216" i="163"/>
  <c r="I205" i="163"/>
  <c r="M195" i="163"/>
  <c r="K184" i="163"/>
  <c r="I173" i="163"/>
  <c r="M163" i="163"/>
  <c r="K152" i="163"/>
  <c r="I141" i="163"/>
  <c r="M131" i="163"/>
  <c r="K120" i="163"/>
  <c r="I109" i="163"/>
  <c r="M99" i="163"/>
  <c r="K88" i="163"/>
  <c r="I77" i="163"/>
  <c r="M67" i="163"/>
  <c r="K56" i="163"/>
  <c r="I45" i="163"/>
  <c r="N45" i="163" s="1"/>
  <c r="I34" i="163"/>
  <c r="M24" i="163"/>
  <c r="I255" i="163"/>
  <c r="G255" i="163" s="1"/>
  <c r="K166" i="163"/>
  <c r="M77" i="163"/>
  <c r="M23" i="163"/>
  <c r="K290" i="163"/>
  <c r="M201" i="163"/>
  <c r="I123" i="163"/>
  <c r="M34" i="163"/>
  <c r="M293" i="163"/>
  <c r="I215" i="163"/>
  <c r="K126" i="163"/>
  <c r="H24" i="163"/>
  <c r="M289" i="163"/>
  <c r="I211" i="163"/>
  <c r="G211" i="163" s="1"/>
  <c r="K122" i="163"/>
  <c r="I29" i="163"/>
  <c r="H323" i="163"/>
  <c r="K246" i="163"/>
  <c r="M157" i="163"/>
  <c r="I79" i="163"/>
  <c r="L27" i="163"/>
  <c r="M281" i="163"/>
  <c r="I203" i="163"/>
  <c r="K114" i="163"/>
  <c r="I36" i="163"/>
  <c r="N36" i="163" s="1"/>
  <c r="M309" i="163"/>
  <c r="I231" i="163"/>
  <c r="K142" i="163"/>
  <c r="M53" i="163"/>
  <c r="M19" i="163"/>
  <c r="I259" i="163"/>
  <c r="K170" i="163"/>
  <c r="M81" i="163"/>
  <c r="I20" i="163"/>
  <c r="K512" i="163"/>
  <c r="I501" i="163"/>
  <c r="M491" i="163"/>
  <c r="K480" i="163"/>
  <c r="I469" i="163"/>
  <c r="M459" i="163"/>
  <c r="K448" i="163"/>
  <c r="I437" i="163"/>
  <c r="M427" i="163"/>
  <c r="K416" i="163"/>
  <c r="I405" i="163"/>
  <c r="G405" i="163" s="1"/>
  <c r="M395" i="163"/>
  <c r="K384" i="163"/>
  <c r="I373" i="163"/>
  <c r="M363" i="163"/>
  <c r="K352" i="163"/>
  <c r="I341" i="163"/>
  <c r="M331" i="163"/>
  <c r="J516" i="163"/>
  <c r="H505" i="163"/>
  <c r="L495" i="163"/>
  <c r="J484" i="163"/>
  <c r="H473" i="163"/>
  <c r="L463" i="163"/>
  <c r="J452" i="163"/>
  <c r="H441" i="163"/>
  <c r="L431" i="163"/>
  <c r="J420" i="163"/>
  <c r="H409" i="163"/>
  <c r="L399" i="163"/>
  <c r="J388" i="163"/>
  <c r="H377" i="163"/>
  <c r="L367" i="163"/>
  <c r="J356" i="163"/>
  <c r="H345" i="163"/>
  <c r="L335" i="163"/>
  <c r="K511" i="163"/>
  <c r="I500" i="163"/>
  <c r="M490" i="163"/>
  <c r="K479" i="163"/>
  <c r="I468" i="163"/>
  <c r="M458" i="163"/>
  <c r="K447" i="163"/>
  <c r="I436" i="163"/>
  <c r="M426" i="163"/>
  <c r="K415" i="163"/>
  <c r="I404" i="163"/>
  <c r="M394" i="163"/>
  <c r="K383" i="163"/>
  <c r="I372" i="163"/>
  <c r="F372" i="163" s="1"/>
  <c r="M362" i="163"/>
  <c r="K351" i="163"/>
  <c r="I340" i="163"/>
  <c r="M330" i="163"/>
  <c r="L510" i="163"/>
  <c r="J499" i="163"/>
  <c r="H488" i="163"/>
  <c r="L478" i="163"/>
  <c r="J467" i="163"/>
  <c r="H456" i="163"/>
  <c r="L446" i="163"/>
  <c r="J435" i="163"/>
  <c r="H424" i="163"/>
  <c r="L414" i="163"/>
  <c r="J403" i="163"/>
  <c r="H392" i="163"/>
  <c r="L382" i="163"/>
  <c r="J371" i="163"/>
  <c r="H360" i="163"/>
  <c r="L350" i="163"/>
  <c r="J339" i="163"/>
  <c r="H328" i="163"/>
  <c r="M509" i="163"/>
  <c r="K498" i="163"/>
  <c r="I487" i="163"/>
  <c r="G487" i="163" s="1"/>
  <c r="M477" i="163"/>
  <c r="K466" i="163"/>
  <c r="I455" i="163"/>
  <c r="M445" i="163"/>
  <c r="K434" i="163"/>
  <c r="I423" i="163"/>
  <c r="M413" i="163"/>
  <c r="K402" i="163"/>
  <c r="I391" i="163"/>
  <c r="M381" i="163"/>
  <c r="K370" i="163"/>
  <c r="I359" i="163"/>
  <c r="F359" i="163" s="1"/>
  <c r="M349" i="163"/>
  <c r="K338" i="163"/>
  <c r="J514" i="163"/>
  <c r="H503" i="163"/>
  <c r="L493" i="163"/>
  <c r="J482" i="163"/>
  <c r="H471" i="163"/>
  <c r="L461" i="163"/>
  <c r="J450" i="163"/>
  <c r="H439" i="163"/>
  <c r="L429" i="163"/>
  <c r="J418" i="163"/>
  <c r="H407" i="163"/>
  <c r="L397" i="163"/>
  <c r="J386" i="163"/>
  <c r="H375" i="163"/>
  <c r="L365" i="163"/>
  <c r="J354" i="163"/>
  <c r="H343" i="163"/>
  <c r="L333" i="163"/>
  <c r="K513" i="163"/>
  <c r="I502" i="163"/>
  <c r="G502" i="163" s="1"/>
  <c r="M492" i="163"/>
  <c r="K481" i="163"/>
  <c r="I470" i="163"/>
  <c r="M460" i="163"/>
  <c r="K449" i="163"/>
  <c r="I438" i="163"/>
  <c r="M428" i="163"/>
  <c r="K417" i="163"/>
  <c r="I406" i="163"/>
  <c r="M396" i="163"/>
  <c r="K385" i="163"/>
  <c r="I374" i="163"/>
  <c r="M364" i="163"/>
  <c r="K353" i="163"/>
  <c r="I342" i="163"/>
  <c r="M332" i="163"/>
  <c r="K321" i="163"/>
  <c r="H514" i="163"/>
  <c r="L504" i="163"/>
  <c r="J493" i="163"/>
  <c r="H482" i="163"/>
  <c r="L472" i="163"/>
  <c r="J461" i="163"/>
  <c r="H450" i="163"/>
  <c r="L440" i="163"/>
  <c r="J429" i="163"/>
  <c r="H418" i="163"/>
  <c r="L408" i="163"/>
  <c r="J397" i="163"/>
  <c r="H386" i="163"/>
  <c r="L376" i="163"/>
  <c r="J365" i="163"/>
  <c r="H354" i="163"/>
  <c r="L344" i="163"/>
  <c r="J333" i="163"/>
  <c r="H322" i="163"/>
  <c r="K323" i="163"/>
  <c r="L311" i="163"/>
  <c r="J300" i="163"/>
  <c r="H289" i="163"/>
  <c r="L279" i="163"/>
  <c r="J268" i="163"/>
  <c r="H257" i="163"/>
  <c r="L247" i="163"/>
  <c r="J236" i="163"/>
  <c r="H225" i="163"/>
  <c r="L215" i="163"/>
  <c r="J204" i="163"/>
  <c r="H193" i="163"/>
  <c r="L183" i="163"/>
  <c r="J172" i="163"/>
  <c r="H161" i="163"/>
  <c r="L151" i="163"/>
  <c r="J140" i="163"/>
  <c r="H129" i="163"/>
  <c r="L119" i="163"/>
  <c r="J108" i="163"/>
  <c r="H97" i="163"/>
  <c r="L87" i="163"/>
  <c r="J76" i="163"/>
  <c r="H65" i="163"/>
  <c r="L55" i="163"/>
  <c r="J44" i="163"/>
  <c r="J33" i="163"/>
  <c r="M325" i="163"/>
  <c r="I312" i="163"/>
  <c r="F312" i="163" s="1"/>
  <c r="M302" i="163"/>
  <c r="K291" i="163"/>
  <c r="I280" i="163"/>
  <c r="M270" i="163"/>
  <c r="K259" i="163"/>
  <c r="I248" i="163"/>
  <c r="M238" i="163"/>
  <c r="K227" i="163"/>
  <c r="I216" i="163"/>
  <c r="M206" i="163"/>
  <c r="K195" i="163"/>
  <c r="I184" i="163"/>
  <c r="G184" i="163" s="1"/>
  <c r="M174" i="163"/>
  <c r="K163" i="163"/>
  <c r="I152" i="163"/>
  <c r="M142" i="163"/>
  <c r="K131" i="163"/>
  <c r="I120" i="163"/>
  <c r="M110" i="163"/>
  <c r="K99" i="163"/>
  <c r="I88" i="163"/>
  <c r="M78" i="163"/>
  <c r="K67" i="163"/>
  <c r="I56" i="163"/>
  <c r="M46" i="163"/>
  <c r="M35" i="163"/>
  <c r="I321" i="163"/>
  <c r="H308" i="163"/>
  <c r="L298" i="163"/>
  <c r="J287" i="163"/>
  <c r="H276" i="163"/>
  <c r="L266" i="163"/>
  <c r="J255" i="163"/>
  <c r="H244" i="163"/>
  <c r="L234" i="163"/>
  <c r="J223" i="163"/>
  <c r="H212" i="163"/>
  <c r="L202" i="163"/>
  <c r="J191" i="163"/>
  <c r="H180" i="163"/>
  <c r="L170" i="163"/>
  <c r="J159" i="163"/>
  <c r="H148" i="163"/>
  <c r="L138" i="163"/>
  <c r="J127" i="163"/>
  <c r="H116" i="163"/>
  <c r="L106" i="163"/>
  <c r="J95" i="163"/>
  <c r="H84" i="163"/>
  <c r="L74" i="163"/>
  <c r="J63" i="163"/>
  <c r="H52" i="163"/>
  <c r="L42" i="163"/>
  <c r="L31" i="163"/>
  <c r="L313" i="163"/>
  <c r="J302" i="163"/>
  <c r="H291" i="163"/>
  <c r="L281" i="163"/>
  <c r="J270" i="163"/>
  <c r="H259" i="163"/>
  <c r="L249" i="163"/>
  <c r="J238" i="163"/>
  <c r="H227" i="163"/>
  <c r="L217" i="163"/>
  <c r="J206" i="163"/>
  <c r="H195" i="163"/>
  <c r="L185" i="163"/>
  <c r="J174" i="163"/>
  <c r="H163" i="163"/>
  <c r="L153" i="163"/>
  <c r="J142" i="163"/>
  <c r="H131" i="163"/>
  <c r="L121" i="163"/>
  <c r="J110" i="163"/>
  <c r="H99" i="163"/>
  <c r="L89" i="163"/>
  <c r="J78" i="163"/>
  <c r="H67" i="163"/>
  <c r="L57" i="163"/>
  <c r="J46" i="163"/>
  <c r="J35" i="163"/>
  <c r="J322" i="163"/>
  <c r="K309" i="163"/>
  <c r="I298" i="163"/>
  <c r="G298" i="163" s="1"/>
  <c r="M288" i="163"/>
  <c r="K277" i="163"/>
  <c r="I266" i="163"/>
  <c r="F266" i="163" s="1"/>
  <c r="M256" i="163"/>
  <c r="K245" i="163"/>
  <c r="I234" i="163"/>
  <c r="M224" i="163"/>
  <c r="K213" i="163"/>
  <c r="I202" i="163"/>
  <c r="N202" i="163" s="1"/>
  <c r="M192" i="163"/>
  <c r="K181" i="163"/>
  <c r="I170" i="163"/>
  <c r="N170" i="163" s="1"/>
  <c r="M160" i="163"/>
  <c r="K149" i="163"/>
  <c r="I138" i="163"/>
  <c r="M128" i="163"/>
  <c r="K117" i="163"/>
  <c r="I106" i="163"/>
  <c r="M96" i="163"/>
  <c r="K85" i="163"/>
  <c r="I74" i="163"/>
  <c r="M64" i="163"/>
  <c r="K53" i="163"/>
  <c r="I42" i="163"/>
  <c r="G42" i="163" s="1"/>
  <c r="I31" i="163"/>
  <c r="G31" i="163" s="1"/>
  <c r="L331" i="163"/>
  <c r="H314" i="163"/>
  <c r="L304" i="163"/>
  <c r="J293" i="163"/>
  <c r="H282" i="163"/>
  <c r="L272" i="163"/>
  <c r="J261" i="163"/>
  <c r="H250" i="163"/>
  <c r="L240" i="163"/>
  <c r="J229" i="163"/>
  <c r="H218" i="163"/>
  <c r="L208" i="163"/>
  <c r="J197" i="163"/>
  <c r="H186" i="163"/>
  <c r="L176" i="163"/>
  <c r="J165" i="163"/>
  <c r="H154" i="163"/>
  <c r="L144" i="163"/>
  <c r="J133" i="163"/>
  <c r="H122" i="163"/>
  <c r="L112" i="163"/>
  <c r="J101" i="163"/>
  <c r="H90" i="163"/>
  <c r="L80" i="163"/>
  <c r="J69" i="163"/>
  <c r="H58" i="163"/>
  <c r="L48" i="163"/>
  <c r="J38" i="163"/>
  <c r="H27" i="163"/>
  <c r="H324" i="163"/>
  <c r="M311" i="163"/>
  <c r="K300" i="163"/>
  <c r="I289" i="163"/>
  <c r="M279" i="163"/>
  <c r="K268" i="163"/>
  <c r="I257" i="163"/>
  <c r="M247" i="163"/>
  <c r="K236" i="163"/>
  <c r="I225" i="163"/>
  <c r="G225" i="163" s="1"/>
  <c r="M215" i="163"/>
  <c r="K204" i="163"/>
  <c r="I193" i="163"/>
  <c r="M183" i="163"/>
  <c r="K172" i="163"/>
  <c r="I161" i="163"/>
  <c r="M151" i="163"/>
  <c r="K140" i="163"/>
  <c r="I129" i="163"/>
  <c r="M119" i="163"/>
  <c r="K108" i="163"/>
  <c r="I97" i="163"/>
  <c r="M87" i="163"/>
  <c r="K76" i="163"/>
  <c r="I65" i="163"/>
  <c r="F65" i="163" s="1"/>
  <c r="M55" i="163"/>
  <c r="K44" i="163"/>
  <c r="K33" i="163"/>
  <c r="H23" i="163"/>
  <c r="M237" i="163"/>
  <c r="I159" i="163"/>
  <c r="K70" i="163"/>
  <c r="M21" i="163"/>
  <c r="I283" i="163"/>
  <c r="K194" i="163"/>
  <c r="M105" i="163"/>
  <c r="I24" i="163"/>
  <c r="K286" i="163"/>
  <c r="M197" i="163"/>
  <c r="I119" i="163"/>
  <c r="K23" i="163"/>
  <c r="K282" i="163"/>
  <c r="M193" i="163"/>
  <c r="I115" i="163"/>
  <c r="F115" i="163" s="1"/>
  <c r="K28" i="163"/>
  <c r="J318" i="163"/>
  <c r="I239" i="163"/>
  <c r="K150" i="163"/>
  <c r="M61" i="163"/>
  <c r="H22" i="163"/>
  <c r="K274" i="163"/>
  <c r="M185" i="163"/>
  <c r="I107" i="163"/>
  <c r="I28" i="163"/>
  <c r="F28" i="163" s="1"/>
  <c r="K302" i="163"/>
  <c r="M213" i="163"/>
  <c r="I135" i="163"/>
  <c r="K46" i="163"/>
  <c r="L18" i="163"/>
  <c r="M241" i="163"/>
  <c r="I163" i="163"/>
  <c r="K74" i="163"/>
  <c r="L19" i="163"/>
  <c r="K516" i="163"/>
  <c r="I505" i="163"/>
  <c r="M495" i="163"/>
  <c r="K484" i="163"/>
  <c r="I473" i="163"/>
  <c r="M463" i="163"/>
  <c r="K452" i="163"/>
  <c r="I441" i="163"/>
  <c r="M431" i="163"/>
  <c r="K420" i="163"/>
  <c r="I409" i="163"/>
  <c r="M399" i="163"/>
  <c r="K388" i="163"/>
  <c r="I377" i="163"/>
  <c r="M367" i="163"/>
  <c r="K356" i="163"/>
  <c r="I345" i="163"/>
  <c r="M335" i="163"/>
  <c r="K324" i="163"/>
  <c r="H509" i="163"/>
  <c r="L499" i="163"/>
  <c r="J488" i="163"/>
  <c r="H477" i="163"/>
  <c r="L467" i="163"/>
  <c r="J456" i="163"/>
  <c r="H445" i="163"/>
  <c r="L435" i="163"/>
  <c r="J424" i="163"/>
  <c r="H413" i="163"/>
  <c r="L403" i="163"/>
  <c r="J392" i="163"/>
  <c r="H381" i="163"/>
  <c r="L371" i="163"/>
  <c r="J360" i="163"/>
  <c r="H349" i="163"/>
  <c r="L339" i="163"/>
  <c r="K515" i="163"/>
  <c r="I504" i="163"/>
  <c r="M494" i="163"/>
  <c r="K483" i="163"/>
  <c r="I472" i="163"/>
  <c r="M462" i="163"/>
  <c r="K451" i="163"/>
  <c r="I440" i="163"/>
  <c r="G440" i="163" s="1"/>
  <c r="M430" i="163"/>
  <c r="K419" i="163"/>
  <c r="I408" i="163"/>
  <c r="F408" i="163" s="1"/>
  <c r="M398" i="163"/>
  <c r="K387" i="163"/>
  <c r="I376" i="163"/>
  <c r="M366" i="163"/>
  <c r="K355" i="163"/>
  <c r="I344" i="163"/>
  <c r="M334" i="163"/>
  <c r="L514" i="163"/>
  <c r="J503" i="163"/>
  <c r="H492" i="163"/>
  <c r="L482" i="163"/>
  <c r="J471" i="163"/>
  <c r="H460" i="163"/>
  <c r="L450" i="163"/>
  <c r="J439" i="163"/>
  <c r="H428" i="163"/>
  <c r="L418" i="163"/>
  <c r="J407" i="163"/>
  <c r="H396" i="163"/>
  <c r="L386" i="163"/>
  <c r="J375" i="163"/>
  <c r="H364" i="163"/>
  <c r="L354" i="163"/>
  <c r="J343" i="163"/>
  <c r="H332" i="163"/>
  <c r="M513" i="163"/>
  <c r="K502" i="163"/>
  <c r="I491" i="163"/>
  <c r="M481" i="163"/>
  <c r="K470" i="163"/>
  <c r="I459" i="163"/>
  <c r="G459" i="163" s="1"/>
  <c r="M449" i="163"/>
  <c r="K438" i="163"/>
  <c r="I427" i="163"/>
  <c r="M417" i="163"/>
  <c r="K406" i="163"/>
  <c r="I395" i="163"/>
  <c r="M385" i="163"/>
  <c r="K374" i="163"/>
  <c r="I363" i="163"/>
  <c r="G363" i="163" s="1"/>
  <c r="M353" i="163"/>
  <c r="K342" i="163"/>
  <c r="J518" i="163"/>
  <c r="H507" i="163"/>
  <c r="L497" i="163"/>
  <c r="J486" i="163"/>
  <c r="H475" i="163"/>
  <c r="L465" i="163"/>
  <c r="J454" i="163"/>
  <c r="H443" i="163"/>
  <c r="L433" i="163"/>
  <c r="J422" i="163"/>
  <c r="H411" i="163"/>
  <c r="L401" i="163"/>
  <c r="J390" i="163"/>
  <c r="H379" i="163"/>
  <c r="L369" i="163"/>
  <c r="J358" i="163"/>
  <c r="H347" i="163"/>
  <c r="L337" i="163"/>
  <c r="K517" i="163"/>
  <c r="I506" i="163"/>
  <c r="M496" i="163"/>
  <c r="K485" i="163"/>
  <c r="I474" i="163"/>
  <c r="G474" i="163" s="1"/>
  <c r="M464" i="163"/>
  <c r="K453" i="163"/>
  <c r="I442" i="163"/>
  <c r="M432" i="163"/>
  <c r="K421" i="163"/>
  <c r="I410" i="163"/>
  <c r="M400" i="163"/>
  <c r="K389" i="163"/>
  <c r="I378" i="163"/>
  <c r="M368" i="163"/>
  <c r="K357" i="163"/>
  <c r="I346" i="163"/>
  <c r="F346" i="163" s="1"/>
  <c r="M336" i="163"/>
  <c r="K325" i="163"/>
  <c r="H518" i="163"/>
  <c r="L508" i="163"/>
  <c r="J497" i="163"/>
  <c r="H486" i="163"/>
  <c r="L476" i="163"/>
  <c r="J465" i="163"/>
  <c r="H454" i="163"/>
  <c r="L444" i="163"/>
  <c r="J433" i="163"/>
  <c r="H422" i="163"/>
  <c r="L412" i="163"/>
  <c r="J401" i="163"/>
  <c r="H390" i="163"/>
  <c r="L380" i="163"/>
  <c r="J369" i="163"/>
  <c r="H358" i="163"/>
  <c r="L348" i="163"/>
  <c r="J337" i="163"/>
  <c r="H326" i="163"/>
  <c r="L316" i="163"/>
  <c r="M315" i="163"/>
  <c r="J304" i="163"/>
  <c r="H293" i="163"/>
  <c r="L283" i="163"/>
  <c r="J272" i="163"/>
  <c r="H261" i="163"/>
  <c r="L251" i="163"/>
  <c r="J240" i="163"/>
  <c r="H229" i="163"/>
  <c r="L219" i="163"/>
  <c r="J208" i="163"/>
  <c r="H197" i="163"/>
  <c r="L187" i="163"/>
  <c r="J176" i="163"/>
  <c r="H165" i="163"/>
  <c r="L155" i="163"/>
  <c r="J144" i="163"/>
  <c r="H133" i="163"/>
  <c r="L123" i="163"/>
  <c r="J112" i="163"/>
  <c r="H101" i="163"/>
  <c r="L91" i="163"/>
  <c r="J80" i="163"/>
  <c r="H69" i="163"/>
  <c r="L59" i="163"/>
  <c r="J48" i="163"/>
  <c r="J37" i="163"/>
  <c r="H26" i="163"/>
  <c r="H317" i="163"/>
  <c r="M306" i="163"/>
  <c r="K295" i="163"/>
  <c r="I284" i="163"/>
  <c r="N284" i="163" s="1"/>
  <c r="M274" i="163"/>
  <c r="K263" i="163"/>
  <c r="I252" i="163"/>
  <c r="M242" i="163"/>
  <c r="K231" i="163"/>
  <c r="I220" i="163"/>
  <c r="G220" i="163" s="1"/>
  <c r="M210" i="163"/>
  <c r="K199" i="163"/>
  <c r="I188" i="163"/>
  <c r="G188" i="163" s="1"/>
  <c r="M178" i="163"/>
  <c r="K167" i="163"/>
  <c r="I156" i="163"/>
  <c r="M146" i="163"/>
  <c r="K135" i="163"/>
  <c r="I124" i="163"/>
  <c r="M114" i="163"/>
  <c r="K103" i="163"/>
  <c r="I92" i="163"/>
  <c r="M82" i="163"/>
  <c r="K71" i="163"/>
  <c r="I60" i="163"/>
  <c r="G60" i="163" s="1"/>
  <c r="M50" i="163"/>
  <c r="M39" i="163"/>
  <c r="L325" i="163"/>
  <c r="H312" i="163"/>
  <c r="L302" i="163"/>
  <c r="J291" i="163"/>
  <c r="H280" i="163"/>
  <c r="L270" i="163"/>
  <c r="J259" i="163"/>
  <c r="H248" i="163"/>
  <c r="L238" i="163"/>
  <c r="J227" i="163"/>
  <c r="H216" i="163"/>
  <c r="L206" i="163"/>
  <c r="J195" i="163"/>
  <c r="H184" i="163"/>
  <c r="L174" i="163"/>
  <c r="J163" i="163"/>
  <c r="H152" i="163"/>
  <c r="L142" i="163"/>
  <c r="J131" i="163"/>
  <c r="H120" i="163"/>
  <c r="L110" i="163"/>
  <c r="J99" i="163"/>
  <c r="H88" i="163"/>
  <c r="L78" i="163"/>
  <c r="J67" i="163"/>
  <c r="H56" i="163"/>
  <c r="L46" i="163"/>
  <c r="L35" i="163"/>
  <c r="K316" i="163"/>
  <c r="J306" i="163"/>
  <c r="H295" i="163"/>
  <c r="L285" i="163"/>
  <c r="J274" i="163"/>
  <c r="H263" i="163"/>
  <c r="L253" i="163"/>
  <c r="J242" i="163"/>
  <c r="H231" i="163"/>
  <c r="L221" i="163"/>
  <c r="J210" i="163"/>
  <c r="H199" i="163"/>
  <c r="L189" i="163"/>
  <c r="J178" i="163"/>
  <c r="H167" i="163"/>
  <c r="L157" i="163"/>
  <c r="J146" i="163"/>
  <c r="H135" i="163"/>
  <c r="L125" i="163"/>
  <c r="J114" i="163"/>
  <c r="H103" i="163"/>
  <c r="L93" i="163"/>
  <c r="J82" i="163"/>
  <c r="H71" i="163"/>
  <c r="L61" i="163"/>
  <c r="J50" i="163"/>
  <c r="J39" i="163"/>
  <c r="I327" i="163"/>
  <c r="K313" i="163"/>
  <c r="I302" i="163"/>
  <c r="M292" i="163"/>
  <c r="K281" i="163"/>
  <c r="I270" i="163"/>
  <c r="M260" i="163"/>
  <c r="K249" i="163"/>
  <c r="I238" i="163"/>
  <c r="M228" i="163"/>
  <c r="K217" i="163"/>
  <c r="I206" i="163"/>
  <c r="F206" i="163" s="1"/>
  <c r="M196" i="163"/>
  <c r="K185" i="163"/>
  <c r="I174" i="163"/>
  <c r="N174" i="163" s="1"/>
  <c r="M164" i="163"/>
  <c r="K153" i="163"/>
  <c r="I142" i="163"/>
  <c r="F142" i="163" s="1"/>
  <c r="M132" i="163"/>
  <c r="K121" i="163"/>
  <c r="I110" i="163"/>
  <c r="M100" i="163"/>
  <c r="K89" i="163"/>
  <c r="I78" i="163"/>
  <c r="M68" i="163"/>
  <c r="K57" i="163"/>
  <c r="I46" i="163"/>
  <c r="G46" i="163" s="1"/>
  <c r="I35" i="163"/>
  <c r="M25" i="163"/>
  <c r="I319" i="163"/>
  <c r="L308" i="163"/>
  <c r="J297" i="163"/>
  <c r="H286" i="163"/>
  <c r="L276" i="163"/>
  <c r="J265" i="163"/>
  <c r="H254" i="163"/>
  <c r="L244" i="163"/>
  <c r="J233" i="163"/>
  <c r="H222" i="163"/>
  <c r="L212" i="163"/>
  <c r="J201" i="163"/>
  <c r="H190" i="163"/>
  <c r="L180" i="163"/>
  <c r="J169" i="163"/>
  <c r="H158" i="163"/>
  <c r="L148" i="163"/>
  <c r="J137" i="163"/>
  <c r="H126" i="163"/>
  <c r="L116" i="163"/>
  <c r="J105" i="163"/>
  <c r="H94" i="163"/>
  <c r="L84" i="163"/>
  <c r="J73" i="163"/>
  <c r="H62" i="163"/>
  <c r="L52" i="163"/>
  <c r="J41" i="163"/>
  <c r="H31" i="163"/>
  <c r="I331" i="163"/>
  <c r="H316" i="163"/>
  <c r="K304" i="163"/>
  <c r="I293" i="163"/>
  <c r="M283" i="163"/>
  <c r="K272" i="163"/>
  <c r="I261" i="163"/>
  <c r="M251" i="163"/>
  <c r="K240" i="163"/>
  <c r="I229" i="163"/>
  <c r="G229" i="163" s="1"/>
  <c r="M219" i="163"/>
  <c r="K208" i="163"/>
  <c r="I197" i="163"/>
  <c r="M187" i="163"/>
  <c r="K176" i="163"/>
  <c r="I165" i="163"/>
  <c r="M155" i="163"/>
  <c r="K144" i="163"/>
  <c r="I133" i="163"/>
  <c r="M123" i="163"/>
  <c r="K112" i="163"/>
  <c r="I101" i="163"/>
  <c r="G101" i="163" s="1"/>
  <c r="M91" i="163"/>
  <c r="K80" i="163"/>
  <c r="I69" i="163"/>
  <c r="F69" i="163" s="1"/>
  <c r="M59" i="163"/>
  <c r="K48" i="163"/>
  <c r="K37" i="163"/>
  <c r="I26" i="163"/>
  <c r="M269" i="163"/>
  <c r="I191" i="163"/>
  <c r="K102" i="163"/>
  <c r="H25" i="163"/>
  <c r="J315" i="163"/>
  <c r="K226" i="163"/>
  <c r="M137" i="163"/>
  <c r="I59" i="163"/>
  <c r="L319" i="163"/>
  <c r="M229" i="163"/>
  <c r="I151" i="163"/>
  <c r="K62" i="163"/>
  <c r="K314" i="163"/>
  <c r="M225" i="163"/>
  <c r="I147" i="163"/>
  <c r="K58" i="163"/>
  <c r="H19" i="163"/>
  <c r="I271" i="163"/>
  <c r="K182" i="163"/>
  <c r="M93" i="163"/>
  <c r="H29" i="163"/>
  <c r="K306" i="163"/>
  <c r="M217" i="163"/>
  <c r="I139" i="163"/>
  <c r="K50" i="163"/>
  <c r="M18" i="163"/>
  <c r="M245" i="163"/>
  <c r="I167" i="163"/>
  <c r="F167" i="163" s="1"/>
  <c r="K78" i="163"/>
  <c r="L26" i="163"/>
  <c r="M273" i="163"/>
  <c r="I195" i="163"/>
  <c r="K106" i="163"/>
  <c r="I25" i="163"/>
  <c r="M511" i="163"/>
  <c r="I489" i="163"/>
  <c r="G489" i="163" s="1"/>
  <c r="K468" i="163"/>
  <c r="M447" i="163"/>
  <c r="I425" i="163"/>
  <c r="K404" i="163"/>
  <c r="M383" i="163"/>
  <c r="I361" i="163"/>
  <c r="K340" i="163"/>
  <c r="L515" i="163"/>
  <c r="H493" i="163"/>
  <c r="J472" i="163"/>
  <c r="L451" i="163"/>
  <c r="H429" i="163"/>
  <c r="J408" i="163"/>
  <c r="L387" i="163"/>
  <c r="H365" i="163"/>
  <c r="J344" i="163"/>
  <c r="M510" i="163"/>
  <c r="I488" i="163"/>
  <c r="F488" i="163" s="1"/>
  <c r="K467" i="163"/>
  <c r="M446" i="163"/>
  <c r="I424" i="163"/>
  <c r="K403" i="163"/>
  <c r="M382" i="163"/>
  <c r="I360" i="163"/>
  <c r="K339" i="163"/>
  <c r="H508" i="163"/>
  <c r="J487" i="163"/>
  <c r="L466" i="163"/>
  <c r="H444" i="163"/>
  <c r="J423" i="163"/>
  <c r="L402" i="163"/>
  <c r="H380" i="163"/>
  <c r="J359" i="163"/>
  <c r="L338" i="163"/>
  <c r="I507" i="163"/>
  <c r="K486" i="163"/>
  <c r="M465" i="163"/>
  <c r="I443" i="163"/>
  <c r="K422" i="163"/>
  <c r="M401" i="163"/>
  <c r="I379" i="163"/>
  <c r="G379" i="163" s="1"/>
  <c r="K358" i="163"/>
  <c r="M337" i="163"/>
  <c r="J502" i="163"/>
  <c r="L481" i="163"/>
  <c r="H459" i="163"/>
  <c r="J438" i="163"/>
  <c r="L417" i="163"/>
  <c r="H395" i="163"/>
  <c r="J374" i="163"/>
  <c r="L353" i="163"/>
  <c r="H331" i="163"/>
  <c r="K501" i="163"/>
  <c r="M480" i="163"/>
  <c r="I458" i="163"/>
  <c r="K437" i="163"/>
  <c r="M416" i="163"/>
  <c r="I394" i="163"/>
  <c r="F394" i="163" s="1"/>
  <c r="K373" i="163"/>
  <c r="M352" i="163"/>
  <c r="I330" i="163"/>
  <c r="J513" i="163"/>
  <c r="L492" i="163"/>
  <c r="H470" i="163"/>
  <c r="J449" i="163"/>
  <c r="L428" i="163"/>
  <c r="H406" i="163"/>
  <c r="J385" i="163"/>
  <c r="L364" i="163"/>
  <c r="H342" i="163"/>
  <c r="J321" i="163"/>
  <c r="H309" i="163"/>
  <c r="J288" i="163"/>
  <c r="L267" i="163"/>
  <c r="H245" i="163"/>
  <c r="J224" i="163"/>
  <c r="L203" i="163"/>
  <c r="H181" i="163"/>
  <c r="J160" i="163"/>
  <c r="L139" i="163"/>
  <c r="H117" i="163"/>
  <c r="J96" i="163"/>
  <c r="L75" i="163"/>
  <c r="H53" i="163"/>
  <c r="L32" i="163"/>
  <c r="K311" i="163"/>
  <c r="M290" i="163"/>
  <c r="I268" i="163"/>
  <c r="N268" i="163" s="1"/>
  <c r="K247" i="163"/>
  <c r="M226" i="163"/>
  <c r="I204" i="163"/>
  <c r="K183" i="163"/>
  <c r="M162" i="163"/>
  <c r="I140" i="163"/>
  <c r="F140" i="163" s="1"/>
  <c r="K119" i="163"/>
  <c r="M98" i="163"/>
  <c r="I76" i="163"/>
  <c r="N76" i="163" s="1"/>
  <c r="K55" i="163"/>
  <c r="I33" i="163"/>
  <c r="G33" i="163" s="1"/>
  <c r="J307" i="163"/>
  <c r="L286" i="163"/>
  <c r="H264" i="163"/>
  <c r="J243" i="163"/>
  <c r="L222" i="163"/>
  <c r="H200" i="163"/>
  <c r="J179" i="163"/>
  <c r="L158" i="163"/>
  <c r="H136" i="163"/>
  <c r="J115" i="163"/>
  <c r="L94" i="163"/>
  <c r="H72" i="163"/>
  <c r="J51" i="163"/>
  <c r="J328" i="163"/>
  <c r="L301" i="163"/>
  <c r="H279" i="163"/>
  <c r="J258" i="163"/>
  <c r="L237" i="163"/>
  <c r="H215" i="163"/>
  <c r="J194" i="163"/>
  <c r="L173" i="163"/>
  <c r="H151" i="163"/>
  <c r="J130" i="163"/>
  <c r="L109" i="163"/>
  <c r="H87" i="163"/>
  <c r="J66" i="163"/>
  <c r="L45" i="163"/>
  <c r="J319" i="163"/>
  <c r="K297" i="163"/>
  <c r="M276" i="163"/>
  <c r="I254" i="163"/>
  <c r="G254" i="163" s="1"/>
  <c r="K233" i="163"/>
  <c r="M212" i="163"/>
  <c r="I190" i="163"/>
  <c r="K169" i="163"/>
  <c r="M148" i="163"/>
  <c r="I126" i="163"/>
  <c r="N126" i="163" s="1"/>
  <c r="K105" i="163"/>
  <c r="M84" i="163"/>
  <c r="I62" i="163"/>
  <c r="K41" i="163"/>
  <c r="H327" i="163"/>
  <c r="H302" i="163"/>
  <c r="J281" i="163"/>
  <c r="L260" i="163"/>
  <c r="H238" i="163"/>
  <c r="J217" i="163"/>
  <c r="L196" i="163"/>
  <c r="H174" i="163"/>
  <c r="J153" i="163"/>
  <c r="L132" i="163"/>
  <c r="H110" i="163"/>
  <c r="J89" i="163"/>
  <c r="L68" i="163"/>
  <c r="H46" i="163"/>
  <c r="J26" i="163"/>
  <c r="I309" i="163"/>
  <c r="K288" i="163"/>
  <c r="M267" i="163"/>
  <c r="I245" i="163"/>
  <c r="K224" i="163"/>
  <c r="M203" i="163"/>
  <c r="I181" i="163"/>
  <c r="K160" i="163"/>
  <c r="M139" i="163"/>
  <c r="I117" i="163"/>
  <c r="K96" i="163"/>
  <c r="M75" i="163"/>
  <c r="I53" i="163"/>
  <c r="N53" i="163" s="1"/>
  <c r="M32" i="163"/>
  <c r="K230" i="163"/>
  <c r="I63" i="163"/>
  <c r="M265" i="163"/>
  <c r="K98" i="163"/>
  <c r="I279" i="163"/>
  <c r="M101" i="163"/>
  <c r="I275" i="163"/>
  <c r="M97" i="163"/>
  <c r="K310" i="163"/>
  <c r="I143" i="163"/>
  <c r="I21" i="163"/>
  <c r="K178" i="163"/>
  <c r="K27" i="163"/>
  <c r="K206" i="163"/>
  <c r="K39" i="163"/>
  <c r="K234" i="163"/>
  <c r="I67" i="163"/>
  <c r="I509" i="163"/>
  <c r="K488" i="163"/>
  <c r="M467" i="163"/>
  <c r="I445" i="163"/>
  <c r="G445" i="163" s="1"/>
  <c r="K424" i="163"/>
  <c r="M403" i="163"/>
  <c r="I381" i="163"/>
  <c r="K360" i="163"/>
  <c r="M339" i="163"/>
  <c r="H513" i="163"/>
  <c r="J492" i="163"/>
  <c r="L471" i="163"/>
  <c r="H449" i="163"/>
  <c r="J428" i="163"/>
  <c r="L407" i="163"/>
  <c r="H385" i="163"/>
  <c r="J364" i="163"/>
  <c r="L343" i="163"/>
  <c r="I508" i="163"/>
  <c r="F508" i="163" s="1"/>
  <c r="K487" i="163"/>
  <c r="M466" i="163"/>
  <c r="I444" i="163"/>
  <c r="K423" i="163"/>
  <c r="M402" i="163"/>
  <c r="I380" i="163"/>
  <c r="K359" i="163"/>
  <c r="M338" i="163"/>
  <c r="J507" i="163"/>
  <c r="L486" i="163"/>
  <c r="H464" i="163"/>
  <c r="J443" i="163"/>
  <c r="L422" i="163"/>
  <c r="H400" i="163"/>
  <c r="J379" i="163"/>
  <c r="L358" i="163"/>
  <c r="H336" i="163"/>
  <c r="K506" i="163"/>
  <c r="M485" i="163"/>
  <c r="I463" i="163"/>
  <c r="F463" i="163" s="1"/>
  <c r="K442" i="163"/>
  <c r="M421" i="163"/>
  <c r="I399" i="163"/>
  <c r="K378" i="163"/>
  <c r="M357" i="163"/>
  <c r="I335" i="163"/>
  <c r="L501" i="163"/>
  <c r="H479" i="163"/>
  <c r="J458" i="163"/>
  <c r="L437" i="163"/>
  <c r="H415" i="163"/>
  <c r="J394" i="163"/>
  <c r="L373" i="163"/>
  <c r="H351" i="163"/>
  <c r="J330" i="163"/>
  <c r="M500" i="163"/>
  <c r="I478" i="163"/>
  <c r="G478" i="163" s="1"/>
  <c r="K457" i="163"/>
  <c r="M436" i="163"/>
  <c r="I414" i="163"/>
  <c r="F414" i="163" s="1"/>
  <c r="K393" i="163"/>
  <c r="M372" i="163"/>
  <c r="I350" i="163"/>
  <c r="K329" i="163"/>
  <c r="L512" i="163"/>
  <c r="H490" i="163"/>
  <c r="J469" i="163"/>
  <c r="L448" i="163"/>
  <c r="H426" i="163"/>
  <c r="J405" i="163"/>
  <c r="L384" i="163"/>
  <c r="H362" i="163"/>
  <c r="J341" i="163"/>
  <c r="L320" i="163"/>
  <c r="J308" i="163"/>
  <c r="L287" i="163"/>
  <c r="H265" i="163"/>
  <c r="J244" i="163"/>
  <c r="L223" i="163"/>
  <c r="H201" i="163"/>
  <c r="J180" i="163"/>
  <c r="L159" i="163"/>
  <c r="H137" i="163"/>
  <c r="J116" i="163"/>
  <c r="L95" i="163"/>
  <c r="H73" i="163"/>
  <c r="J52" i="163"/>
  <c r="H30" i="163"/>
  <c r="M310" i="163"/>
  <c r="I288" i="163"/>
  <c r="K267" i="163"/>
  <c r="M246" i="163"/>
  <c r="I224" i="163"/>
  <c r="K203" i="163"/>
  <c r="M182" i="163"/>
  <c r="I160" i="163"/>
  <c r="K139" i="163"/>
  <c r="M118" i="163"/>
  <c r="I96" i="163"/>
  <c r="K75" i="163"/>
  <c r="M54" i="163"/>
  <c r="K32" i="163"/>
  <c r="L306" i="163"/>
  <c r="H284" i="163"/>
  <c r="J263" i="163"/>
  <c r="L242" i="163"/>
  <c r="H220" i="163"/>
  <c r="J199" i="163"/>
  <c r="L178" i="163"/>
  <c r="H156" i="163"/>
  <c r="J135" i="163"/>
  <c r="L114" i="163"/>
  <c r="H92" i="163"/>
  <c r="J71" i="163"/>
  <c r="L50" i="163"/>
  <c r="J327" i="163"/>
  <c r="H299" i="163"/>
  <c r="J278" i="163"/>
  <c r="L257" i="163"/>
  <c r="H235" i="163"/>
  <c r="J214" i="163"/>
  <c r="L193" i="163"/>
  <c r="H171" i="163"/>
  <c r="J150" i="163"/>
  <c r="L129" i="163"/>
  <c r="H107" i="163"/>
  <c r="J86" i="163"/>
  <c r="L65" i="163"/>
  <c r="H43" i="163"/>
  <c r="J316" i="163"/>
  <c r="M296" i="163"/>
  <c r="I274" i="163"/>
  <c r="N274" i="163" s="1"/>
  <c r="K253" i="163"/>
  <c r="M232" i="163"/>
  <c r="I210" i="163"/>
  <c r="K189" i="163"/>
  <c r="M168" i="163"/>
  <c r="I146" i="163"/>
  <c r="K125" i="163"/>
  <c r="M104" i="163"/>
  <c r="I82" i="163"/>
  <c r="N82" i="163" s="1"/>
  <c r="K61" i="163"/>
  <c r="I39" i="163"/>
  <c r="L326" i="163"/>
  <c r="J301" i="163"/>
  <c r="L280" i="163"/>
  <c r="H258" i="163"/>
  <c r="J237" i="163"/>
  <c r="L216" i="163"/>
  <c r="H194" i="163"/>
  <c r="J173" i="163"/>
  <c r="L152" i="163"/>
  <c r="H130" i="163"/>
  <c r="J109" i="163"/>
  <c r="L88" i="163"/>
  <c r="H66" i="163"/>
  <c r="J45" i="163"/>
  <c r="L25" i="163"/>
  <c r="K308" i="163"/>
  <c r="M287" i="163"/>
  <c r="I265" i="163"/>
  <c r="F265" i="163" s="1"/>
  <c r="K244" i="163"/>
  <c r="M223" i="163"/>
  <c r="I201" i="163"/>
  <c r="G201" i="163" s="1"/>
  <c r="K180" i="163"/>
  <c r="M159" i="163"/>
  <c r="I137" i="163"/>
  <c r="K116" i="163"/>
  <c r="M95" i="163"/>
  <c r="I73" i="163"/>
  <c r="K52" i="163"/>
  <c r="I30" i="163"/>
  <c r="F30" i="163" s="1"/>
  <c r="I223" i="163"/>
  <c r="N223" i="163" s="1"/>
  <c r="M45" i="163"/>
  <c r="K258" i="163"/>
  <c r="I91" i="163"/>
  <c r="M261" i="163"/>
  <c r="K94" i="163"/>
  <c r="M257" i="163"/>
  <c r="K90" i="163"/>
  <c r="I303" i="163"/>
  <c r="N303" i="163" s="1"/>
  <c r="M125" i="163"/>
  <c r="L20" i="163"/>
  <c r="I171" i="163"/>
  <c r="M26" i="163"/>
  <c r="I199" i="163"/>
  <c r="I32" i="163"/>
  <c r="I227" i="163"/>
  <c r="F227" i="163" s="1"/>
  <c r="M49" i="163"/>
  <c r="K508" i="163"/>
  <c r="M487" i="163"/>
  <c r="I465" i="163"/>
  <c r="K444" i="163"/>
  <c r="M423" i="163"/>
  <c r="I401" i="163"/>
  <c r="K380" i="163"/>
  <c r="M359" i="163"/>
  <c r="I337" i="163"/>
  <c r="J512" i="163"/>
  <c r="L491" i="163"/>
  <c r="H469" i="163"/>
  <c r="J448" i="163"/>
  <c r="L427" i="163"/>
  <c r="H405" i="163"/>
  <c r="J384" i="163"/>
  <c r="L363" i="163"/>
  <c r="H341" i="163"/>
  <c r="K507" i="163"/>
  <c r="M486" i="163"/>
  <c r="I464" i="163"/>
  <c r="K443" i="163"/>
  <c r="M422" i="163"/>
  <c r="I400" i="163"/>
  <c r="F400" i="163" s="1"/>
  <c r="K379" i="163"/>
  <c r="M358" i="163"/>
  <c r="I336" i="163"/>
  <c r="G336" i="163" s="1"/>
  <c r="L506" i="163"/>
  <c r="H484" i="163"/>
  <c r="J463" i="163"/>
  <c r="L442" i="163"/>
  <c r="H420" i="163"/>
  <c r="J399" i="163"/>
  <c r="L378" i="163"/>
  <c r="H356" i="163"/>
  <c r="J335" i="163"/>
  <c r="M505" i="163"/>
  <c r="I483" i="163"/>
  <c r="K462" i="163"/>
  <c r="M441" i="163"/>
  <c r="I419" i="163"/>
  <c r="K398" i="163"/>
  <c r="M377" i="163"/>
  <c r="I355" i="163"/>
  <c r="N355" i="163" s="1"/>
  <c r="K334" i="163"/>
  <c r="H499" i="163"/>
  <c r="J478" i="163"/>
  <c r="L457" i="163"/>
  <c r="H435" i="163"/>
  <c r="J414" i="163"/>
  <c r="L393" i="163"/>
  <c r="H371" i="163"/>
  <c r="J350" i="163"/>
  <c r="L329" i="163"/>
  <c r="I498" i="163"/>
  <c r="N498" i="163" s="1"/>
  <c r="K477" i="163"/>
  <c r="M456" i="163"/>
  <c r="I434" i="163"/>
  <c r="K413" i="163"/>
  <c r="M392" i="163"/>
  <c r="I370" i="163"/>
  <c r="K349" i="163"/>
  <c r="M328" i="163"/>
  <c r="H510" i="163"/>
  <c r="J489" i="163"/>
  <c r="L468" i="163"/>
  <c r="H446" i="163"/>
  <c r="J425" i="163"/>
  <c r="L404" i="163"/>
  <c r="H382" i="163"/>
  <c r="J361" i="163"/>
  <c r="L340" i="163"/>
  <c r="H318" i="163"/>
  <c r="L307" i="163"/>
  <c r="H285" i="163"/>
  <c r="J264" i="163"/>
  <c r="L243" i="163"/>
  <c r="H221" i="163"/>
  <c r="J200" i="163"/>
  <c r="L179" i="163"/>
  <c r="H157" i="163"/>
  <c r="J136" i="163"/>
  <c r="L115" i="163"/>
  <c r="H93" i="163"/>
  <c r="J72" i="163"/>
  <c r="L51" i="163"/>
  <c r="J29" i="163"/>
  <c r="I308" i="163"/>
  <c r="F308" i="163" s="1"/>
  <c r="K287" i="163"/>
  <c r="M266" i="163"/>
  <c r="I244" i="163"/>
  <c r="K223" i="163"/>
  <c r="M202" i="163"/>
  <c r="I180" i="163"/>
  <c r="K159" i="163"/>
  <c r="M138" i="163"/>
  <c r="I116" i="163"/>
  <c r="N116" i="163" s="1"/>
  <c r="K95" i="163"/>
  <c r="M74" i="163"/>
  <c r="I52" i="163"/>
  <c r="M31" i="163"/>
  <c r="H304" i="163"/>
  <c r="J283" i="163"/>
  <c r="L262" i="163"/>
  <c r="H240" i="163"/>
  <c r="J219" i="163"/>
  <c r="L198" i="163"/>
  <c r="H176" i="163"/>
  <c r="J155" i="163"/>
  <c r="L134" i="163"/>
  <c r="H112" i="163"/>
  <c r="J91" i="163"/>
  <c r="L70" i="163"/>
  <c r="H48" i="163"/>
  <c r="K322" i="163"/>
  <c r="J298" i="163"/>
  <c r="L277" i="163"/>
  <c r="H255" i="163"/>
  <c r="J234" i="163"/>
  <c r="L213" i="163"/>
  <c r="H191" i="163"/>
  <c r="J170" i="163"/>
  <c r="L149" i="163"/>
  <c r="H127" i="163"/>
  <c r="J106" i="163"/>
  <c r="L85" i="163"/>
  <c r="H63" i="163"/>
  <c r="J42" i="163"/>
  <c r="H315" i="163"/>
  <c r="I294" i="163"/>
  <c r="K273" i="163"/>
  <c r="M252" i="163"/>
  <c r="I230" i="163"/>
  <c r="K209" i="163"/>
  <c r="M188" i="163"/>
  <c r="I166" i="163"/>
  <c r="N166" i="163" s="1"/>
  <c r="K145" i="163"/>
  <c r="M124" i="163"/>
  <c r="I102" i="163"/>
  <c r="K81" i="163"/>
  <c r="M60" i="163"/>
  <c r="K38" i="163"/>
  <c r="I324" i="163"/>
  <c r="F324" i="163" s="1"/>
  <c r="L300" i="163"/>
  <c r="H278" i="163"/>
  <c r="J257" i="163"/>
  <c r="L236" i="163"/>
  <c r="H214" i="163"/>
  <c r="J193" i="163"/>
  <c r="L172" i="163"/>
  <c r="H150" i="163"/>
  <c r="J129" i="163"/>
  <c r="L108" i="163"/>
  <c r="H86" i="163"/>
  <c r="J65" i="163"/>
  <c r="L44" i="163"/>
  <c r="I23" i="163"/>
  <c r="M307" i="163"/>
  <c r="I285" i="163"/>
  <c r="N285" i="163" s="1"/>
  <c r="K264" i="163"/>
  <c r="M243" i="163"/>
  <c r="I221" i="163"/>
  <c r="K200" i="163"/>
  <c r="M179" i="163"/>
  <c r="I157" i="163"/>
  <c r="K136" i="163"/>
  <c r="M115" i="163"/>
  <c r="I93" i="163"/>
  <c r="N93" i="163" s="1"/>
  <c r="K72" i="163"/>
  <c r="M51" i="163"/>
  <c r="K29" i="163"/>
  <c r="M205" i="163"/>
  <c r="M38" i="163"/>
  <c r="I251" i="163"/>
  <c r="M73" i="163"/>
  <c r="K254" i="163"/>
  <c r="I87" i="163"/>
  <c r="K250" i="163"/>
  <c r="I83" i="163"/>
  <c r="M285" i="163"/>
  <c r="K118" i="163"/>
  <c r="L322" i="163"/>
  <c r="M153" i="163"/>
  <c r="H21" i="163"/>
  <c r="M181" i="163"/>
  <c r="H28" i="163"/>
  <c r="M209" i="163"/>
  <c r="K42" i="163"/>
  <c r="M507" i="163"/>
  <c r="I485" i="163"/>
  <c r="K464" i="163"/>
  <c r="M443" i="163"/>
  <c r="I421" i="163"/>
  <c r="K400" i="163"/>
  <c r="M379" i="163"/>
  <c r="I357" i="163"/>
  <c r="K336" i="163"/>
  <c r="L511" i="163"/>
  <c r="H489" i="163"/>
  <c r="J468" i="163"/>
  <c r="L447" i="163"/>
  <c r="H425" i="163"/>
  <c r="J404" i="163"/>
  <c r="L383" i="163"/>
  <c r="H361" i="163"/>
  <c r="J340" i="163"/>
  <c r="M506" i="163"/>
  <c r="I484" i="163"/>
  <c r="K463" i="163"/>
  <c r="M442" i="163"/>
  <c r="I420" i="163"/>
  <c r="K399" i="163"/>
  <c r="M378" i="163"/>
  <c r="I356" i="163"/>
  <c r="K335" i="163"/>
  <c r="H504" i="163"/>
  <c r="J483" i="163"/>
  <c r="L462" i="163"/>
  <c r="H440" i="163"/>
  <c r="J419" i="163"/>
  <c r="L398" i="163"/>
  <c r="H376" i="163"/>
  <c r="J355" i="163"/>
  <c r="L334" i="163"/>
  <c r="I503" i="163"/>
  <c r="F503" i="163" s="1"/>
  <c r="K482" i="163"/>
  <c r="M461" i="163"/>
  <c r="I439" i="163"/>
  <c r="G439" i="163" s="1"/>
  <c r="K418" i="163"/>
  <c r="M397" i="163"/>
  <c r="I375" i="163"/>
  <c r="N375" i="163" s="1"/>
  <c r="K354" i="163"/>
  <c r="M333" i="163"/>
  <c r="J498" i="163"/>
  <c r="L477" i="163"/>
  <c r="H455" i="163"/>
  <c r="J434" i="163"/>
  <c r="L413" i="163"/>
  <c r="H391" i="163"/>
  <c r="J370" i="163"/>
  <c r="L349" i="163"/>
  <c r="I518" i="163"/>
  <c r="K497" i="163"/>
  <c r="M476" i="163"/>
  <c r="I454" i="163"/>
  <c r="K433" i="163"/>
  <c r="M412" i="163"/>
  <c r="I390" i="163"/>
  <c r="K369" i="163"/>
  <c r="M348" i="163"/>
  <c r="I326" i="163"/>
  <c r="J509" i="163"/>
  <c r="L488" i="163"/>
  <c r="H466" i="163"/>
  <c r="J445" i="163"/>
  <c r="L424" i="163"/>
  <c r="H402" i="163"/>
  <c r="J381" i="163"/>
  <c r="L360" i="163"/>
  <c r="H338" i="163"/>
  <c r="J317" i="163"/>
  <c r="H305" i="163"/>
  <c r="J284" i="163"/>
  <c r="L263" i="163"/>
  <c r="H241" i="163"/>
  <c r="J220" i="163"/>
  <c r="L199" i="163"/>
  <c r="H177" i="163"/>
  <c r="J156" i="163"/>
  <c r="L135" i="163"/>
  <c r="H113" i="163"/>
  <c r="J92" i="163"/>
  <c r="L71" i="163"/>
  <c r="H49" i="163"/>
  <c r="L28" i="163"/>
  <c r="K307" i="163"/>
  <c r="M286" i="163"/>
  <c r="I264" i="163"/>
  <c r="K243" i="163"/>
  <c r="M222" i="163"/>
  <c r="I200" i="163"/>
  <c r="K179" i="163"/>
  <c r="M158" i="163"/>
  <c r="I136" i="163"/>
  <c r="G136" i="163" s="1"/>
  <c r="K115" i="163"/>
  <c r="M94" i="163"/>
  <c r="I72" i="163"/>
  <c r="N72" i="163" s="1"/>
  <c r="K51" i="163"/>
  <c r="L327" i="163"/>
  <c r="J303" i="163"/>
  <c r="L282" i="163"/>
  <c r="H260" i="163"/>
  <c r="J239" i="163"/>
  <c r="L218" i="163"/>
  <c r="H196" i="163"/>
  <c r="J175" i="163"/>
  <c r="L154" i="163"/>
  <c r="H132" i="163"/>
  <c r="J111" i="163"/>
  <c r="L90" i="163"/>
  <c r="H68" i="163"/>
  <c r="J47" i="163"/>
  <c r="K319" i="163"/>
  <c r="L297" i="163"/>
  <c r="H275" i="163"/>
  <c r="J254" i="163"/>
  <c r="L233" i="163"/>
  <c r="H211" i="163"/>
  <c r="J190" i="163"/>
  <c r="L169" i="163"/>
  <c r="H147" i="163"/>
  <c r="J126" i="163"/>
  <c r="L105" i="163"/>
  <c r="H83" i="163"/>
  <c r="J62" i="163"/>
  <c r="L41" i="163"/>
  <c r="I314" i="163"/>
  <c r="K293" i="163"/>
  <c r="M272" i="163"/>
  <c r="I250" i="163"/>
  <c r="K229" i="163"/>
  <c r="M208" i="163"/>
  <c r="I186" i="163"/>
  <c r="K165" i="163"/>
  <c r="M144" i="163"/>
  <c r="I122" i="163"/>
  <c r="K101" i="163"/>
  <c r="M80" i="163"/>
  <c r="I58" i="163"/>
  <c r="G58" i="163" s="1"/>
  <c r="M37" i="163"/>
  <c r="K320" i="163"/>
  <c r="H298" i="163"/>
  <c r="J277" i="163"/>
  <c r="L256" i="163"/>
  <c r="H234" i="163"/>
  <c r="J213" i="163"/>
  <c r="L192" i="163"/>
  <c r="H170" i="163"/>
  <c r="J149" i="163"/>
  <c r="L128" i="163"/>
  <c r="H106" i="163"/>
  <c r="J85" i="163"/>
  <c r="L64" i="163"/>
  <c r="H42" i="163"/>
  <c r="K22" i="163"/>
  <c r="I305" i="163"/>
  <c r="K284" i="163"/>
  <c r="M263" i="163"/>
  <c r="I241" i="163"/>
  <c r="K220" i="163"/>
  <c r="M199" i="163"/>
  <c r="I177" i="163"/>
  <c r="K156" i="163"/>
  <c r="M135" i="163"/>
  <c r="I113" i="163"/>
  <c r="K92" i="163"/>
  <c r="M71" i="163"/>
  <c r="I49" i="163"/>
  <c r="M28" i="163"/>
  <c r="K198" i="163"/>
  <c r="K31" i="163"/>
  <c r="M233" i="163"/>
  <c r="K66" i="163"/>
  <c r="I247" i="163"/>
  <c r="M69" i="163"/>
  <c r="I243" i="163"/>
  <c r="F243" i="163" s="1"/>
  <c r="M65" i="163"/>
  <c r="K278" i="163"/>
  <c r="I111" i="163"/>
  <c r="M313" i="163"/>
  <c r="K146" i="163"/>
  <c r="K20" i="163"/>
  <c r="K174" i="163"/>
  <c r="J27" i="163"/>
  <c r="K202" i="163"/>
  <c r="K35" i="163"/>
  <c r="I477" i="163"/>
  <c r="G477" i="163" s="1"/>
  <c r="M435" i="163"/>
  <c r="K392" i="163"/>
  <c r="I349" i="163"/>
  <c r="F349" i="163" s="1"/>
  <c r="L503" i="163"/>
  <c r="J460" i="163"/>
  <c r="H417" i="163"/>
  <c r="L375" i="163"/>
  <c r="J332" i="163"/>
  <c r="I476" i="163"/>
  <c r="M434" i="163"/>
  <c r="K391" i="163"/>
  <c r="I348" i="163"/>
  <c r="H496" i="163"/>
  <c r="L454" i="163"/>
  <c r="J411" i="163"/>
  <c r="H368" i="163"/>
  <c r="M517" i="163"/>
  <c r="K474" i="163"/>
  <c r="I431" i="163"/>
  <c r="G431" i="163" s="1"/>
  <c r="M389" i="163"/>
  <c r="K346" i="163"/>
  <c r="J490" i="163"/>
  <c r="H447" i="163"/>
  <c r="L405" i="163"/>
  <c r="J362" i="163"/>
  <c r="I510" i="163"/>
  <c r="M468" i="163"/>
  <c r="K425" i="163"/>
  <c r="I382" i="163"/>
  <c r="M340" i="163"/>
  <c r="J501" i="163"/>
  <c r="H458" i="163"/>
  <c r="L416" i="163"/>
  <c r="J373" i="163"/>
  <c r="H330" i="163"/>
  <c r="H297" i="163"/>
  <c r="L255" i="163"/>
  <c r="J212" i="163"/>
  <c r="H169" i="163"/>
  <c r="L127" i="163"/>
  <c r="J84" i="163"/>
  <c r="H41" i="163"/>
  <c r="K299" i="163"/>
  <c r="I256" i="163"/>
  <c r="M214" i="163"/>
  <c r="K171" i="163"/>
  <c r="I128" i="163"/>
  <c r="N128" i="163" s="1"/>
  <c r="M86" i="163"/>
  <c r="K43" i="163"/>
  <c r="J295" i="163"/>
  <c r="H252" i="163"/>
  <c r="L210" i="163"/>
  <c r="J167" i="163"/>
  <c r="H124" i="163"/>
  <c r="L82" i="163"/>
  <c r="L39" i="163"/>
  <c r="L289" i="163"/>
  <c r="J246" i="163"/>
  <c r="H203" i="163"/>
  <c r="L161" i="163"/>
  <c r="J118" i="163"/>
  <c r="H75" i="163"/>
  <c r="H32" i="163"/>
  <c r="K285" i="163"/>
  <c r="I242" i="163"/>
  <c r="M200" i="163"/>
  <c r="K157" i="163"/>
  <c r="I114" i="163"/>
  <c r="M72" i="163"/>
  <c r="M29" i="163"/>
  <c r="H290" i="163"/>
  <c r="L248" i="163"/>
  <c r="J205" i="163"/>
  <c r="H162" i="163"/>
  <c r="L120" i="163"/>
  <c r="J77" i="163"/>
  <c r="H35" i="163"/>
  <c r="I297" i="163"/>
  <c r="G297" i="163" s="1"/>
  <c r="M255" i="163"/>
  <c r="K212" i="163"/>
  <c r="I169" i="163"/>
  <c r="M127" i="163"/>
  <c r="K84" i="163"/>
  <c r="I41" i="163"/>
  <c r="K134" i="163"/>
  <c r="M169" i="163"/>
  <c r="I183" i="163"/>
  <c r="G183" i="163" s="1"/>
  <c r="I179" i="163"/>
  <c r="F179" i="163" s="1"/>
  <c r="K214" i="163"/>
  <c r="M249" i="163"/>
  <c r="M277" i="163"/>
  <c r="M305" i="163"/>
  <c r="K476" i="163"/>
  <c r="I433" i="163"/>
  <c r="N433" i="163" s="1"/>
  <c r="M391" i="163"/>
  <c r="K348" i="163"/>
  <c r="H501" i="163"/>
  <c r="L459" i="163"/>
  <c r="J416" i="163"/>
  <c r="H373" i="163"/>
  <c r="M518" i="163"/>
  <c r="K475" i="163"/>
  <c r="I432" i="163"/>
  <c r="M390" i="163"/>
  <c r="K347" i="163"/>
  <c r="J495" i="163"/>
  <c r="H452" i="163"/>
  <c r="L410" i="163"/>
  <c r="J367" i="163"/>
  <c r="I515" i="163"/>
  <c r="F515" i="163" s="1"/>
  <c r="M473" i="163"/>
  <c r="K430" i="163"/>
  <c r="I387" i="163"/>
  <c r="M345" i="163"/>
  <c r="L489" i="163"/>
  <c r="J446" i="163"/>
  <c r="H403" i="163"/>
  <c r="L361" i="163"/>
  <c r="K509" i="163"/>
  <c r="I466" i="163"/>
  <c r="G466" i="163" s="1"/>
  <c r="M424" i="163"/>
  <c r="K381" i="163"/>
  <c r="I338" i="163"/>
  <c r="L500" i="163"/>
  <c r="J457" i="163"/>
  <c r="H414" i="163"/>
  <c r="L372" i="163"/>
  <c r="J329" i="163"/>
  <c r="J296" i="163"/>
  <c r="H253" i="163"/>
  <c r="L211" i="163"/>
  <c r="J168" i="163"/>
  <c r="H125" i="163"/>
  <c r="L83" i="163"/>
  <c r="K40" i="163"/>
  <c r="M298" i="163"/>
  <c r="K255" i="163"/>
  <c r="I212" i="163"/>
  <c r="M170" i="163"/>
  <c r="K127" i="163"/>
  <c r="I84" i="163"/>
  <c r="M42" i="163"/>
  <c r="L294" i="163"/>
  <c r="J251" i="163"/>
  <c r="H208" i="163"/>
  <c r="L166" i="163"/>
  <c r="J123" i="163"/>
  <c r="H80" i="163"/>
  <c r="H37" i="163"/>
  <c r="H287" i="163"/>
  <c r="L245" i="163"/>
  <c r="J202" i="163"/>
  <c r="H159" i="163"/>
  <c r="L117" i="163"/>
  <c r="J74" i="163"/>
  <c r="J31" i="163"/>
  <c r="M284" i="163"/>
  <c r="K241" i="163"/>
  <c r="I198" i="163"/>
  <c r="N198" i="163" s="1"/>
  <c r="M156" i="163"/>
  <c r="K113" i="163"/>
  <c r="I70" i="163"/>
  <c r="N70" i="163" s="1"/>
  <c r="I27" i="163"/>
  <c r="F27" i="163" s="1"/>
  <c r="J289" i="163"/>
  <c r="H246" i="163"/>
  <c r="L204" i="163"/>
  <c r="J161" i="163"/>
  <c r="H118" i="163"/>
  <c r="L76" i="163"/>
  <c r="J34" i="163"/>
  <c r="K296" i="163"/>
  <c r="I253" i="163"/>
  <c r="M211" i="163"/>
  <c r="K168" i="163"/>
  <c r="I125" i="163"/>
  <c r="G125" i="163" s="1"/>
  <c r="M83" i="163"/>
  <c r="L40" i="163"/>
  <c r="I127" i="163"/>
  <c r="K162" i="163"/>
  <c r="M165" i="163"/>
  <c r="M161" i="163"/>
  <c r="I207" i="163"/>
  <c r="G207" i="163" s="1"/>
  <c r="K242" i="163"/>
  <c r="K270" i="163"/>
  <c r="K298" i="163"/>
  <c r="I517" i="163"/>
  <c r="M475" i="163"/>
  <c r="K432" i="163"/>
  <c r="I389" i="163"/>
  <c r="M347" i="163"/>
  <c r="J500" i="163"/>
  <c r="H457" i="163"/>
  <c r="L415" i="163"/>
  <c r="J372" i="163"/>
  <c r="I516" i="163"/>
  <c r="G516" i="163" s="1"/>
  <c r="M474" i="163"/>
  <c r="K431" i="163"/>
  <c r="I388" i="163"/>
  <c r="G388" i="163" s="1"/>
  <c r="M346" i="163"/>
  <c r="L494" i="163"/>
  <c r="J451" i="163"/>
  <c r="H408" i="163"/>
  <c r="L366" i="163"/>
  <c r="K514" i="163"/>
  <c r="I471" i="163"/>
  <c r="M429" i="163"/>
  <c r="K386" i="163"/>
  <c r="I343" i="163"/>
  <c r="H487" i="163"/>
  <c r="L445" i="163"/>
  <c r="J402" i="163"/>
  <c r="H359" i="163"/>
  <c r="M508" i="163"/>
  <c r="K465" i="163"/>
  <c r="I422" i="163"/>
  <c r="F422" i="163" s="1"/>
  <c r="M380" i="163"/>
  <c r="K337" i="163"/>
  <c r="H498" i="163"/>
  <c r="L456" i="163"/>
  <c r="J413" i="163"/>
  <c r="H370" i="163"/>
  <c r="L328" i="163"/>
  <c r="L295" i="163"/>
  <c r="J252" i="163"/>
  <c r="H209" i="163"/>
  <c r="L167" i="163"/>
  <c r="J124" i="163"/>
  <c r="H81" i="163"/>
  <c r="H38" i="163"/>
  <c r="I296" i="163"/>
  <c r="G296" i="163" s="1"/>
  <c r="M254" i="163"/>
  <c r="K211" i="163"/>
  <c r="I168" i="163"/>
  <c r="M126" i="163"/>
  <c r="K83" i="163"/>
  <c r="J40" i="163"/>
  <c r="H292" i="163"/>
  <c r="L250" i="163"/>
  <c r="J207" i="163"/>
  <c r="H164" i="163"/>
  <c r="L122" i="163"/>
  <c r="J79" i="163"/>
  <c r="J36" i="163"/>
  <c r="J286" i="163"/>
  <c r="H243" i="163"/>
  <c r="L201" i="163"/>
  <c r="J158" i="163"/>
  <c r="H115" i="163"/>
  <c r="L73" i="163"/>
  <c r="L30" i="163"/>
  <c r="I282" i="163"/>
  <c r="M240" i="163"/>
  <c r="K197" i="163"/>
  <c r="I154" i="163"/>
  <c r="F154" i="163" s="1"/>
  <c r="M112" i="163"/>
  <c r="K69" i="163"/>
  <c r="K26" i="163"/>
  <c r="L288" i="163"/>
  <c r="J245" i="163"/>
  <c r="H202" i="163"/>
  <c r="L160" i="163"/>
  <c r="J117" i="163"/>
  <c r="H74" i="163"/>
  <c r="L33" i="163"/>
  <c r="M295" i="163"/>
  <c r="K252" i="163"/>
  <c r="I209" i="163"/>
  <c r="F209" i="163" s="1"/>
  <c r="M167" i="163"/>
  <c r="K124" i="163"/>
  <c r="I81" i="163"/>
  <c r="G81" i="163" s="1"/>
  <c r="I38" i="163"/>
  <c r="M109" i="163"/>
  <c r="I155" i="163"/>
  <c r="K158" i="163"/>
  <c r="K154" i="163"/>
  <c r="M189" i="163"/>
  <c r="I235" i="163"/>
  <c r="I263" i="163"/>
  <c r="F263" i="163" s="1"/>
  <c r="I291" i="163"/>
  <c r="G291" i="163" s="1"/>
  <c r="M479" i="163"/>
  <c r="K436" i="163"/>
  <c r="I393" i="163"/>
  <c r="N393" i="163" s="1"/>
  <c r="M351" i="163"/>
  <c r="J504" i="163"/>
  <c r="H461" i="163"/>
  <c r="L419" i="163"/>
  <c r="J376" i="163"/>
  <c r="H333" i="163"/>
  <c r="M478" i="163"/>
  <c r="K435" i="163"/>
  <c r="I392" i="163"/>
  <c r="M350" i="163"/>
  <c r="L498" i="163"/>
  <c r="J455" i="163"/>
  <c r="H412" i="163"/>
  <c r="L370" i="163"/>
  <c r="K518" i="163"/>
  <c r="I475" i="163"/>
  <c r="F475" i="163" s="1"/>
  <c r="M433" i="163"/>
  <c r="K390" i="163"/>
  <c r="I347" i="163"/>
  <c r="H491" i="163"/>
  <c r="L449" i="163"/>
  <c r="J406" i="163"/>
  <c r="H363" i="163"/>
  <c r="M512" i="163"/>
  <c r="K469" i="163"/>
  <c r="I426" i="163"/>
  <c r="M384" i="163"/>
  <c r="K341" i="163"/>
  <c r="H502" i="163"/>
  <c r="L460" i="163"/>
  <c r="J417" i="163"/>
  <c r="H374" i="163"/>
  <c r="L332" i="163"/>
  <c r="L299" i="163"/>
  <c r="J256" i="163"/>
  <c r="H213" i="163"/>
  <c r="L171" i="163"/>
  <c r="J128" i="163"/>
  <c r="H85" i="163"/>
  <c r="L43" i="163"/>
  <c r="I300" i="163"/>
  <c r="N300" i="163" s="1"/>
  <c r="M258" i="163"/>
  <c r="K215" i="163"/>
  <c r="I172" i="163"/>
  <c r="G172" i="163" s="1"/>
  <c r="M130" i="163"/>
  <c r="K87" i="163"/>
  <c r="I44" i="163"/>
  <c r="N44" i="163" s="1"/>
  <c r="H296" i="163"/>
  <c r="L254" i="163"/>
  <c r="J211" i="163"/>
  <c r="H168" i="163"/>
  <c r="L126" i="163"/>
  <c r="J83" i="163"/>
  <c r="I40" i="163"/>
  <c r="J290" i="163"/>
  <c r="H247" i="163"/>
  <c r="L205" i="163"/>
  <c r="J162" i="163"/>
  <c r="H119" i="163"/>
  <c r="L77" i="163"/>
  <c r="L34" i="163"/>
  <c r="I286" i="163"/>
  <c r="M244" i="163"/>
  <c r="K201" i="163"/>
  <c r="I158" i="163"/>
  <c r="N158" i="163" s="1"/>
  <c r="M116" i="163"/>
  <c r="K73" i="163"/>
  <c r="K30" i="163"/>
  <c r="L292" i="163"/>
  <c r="J249" i="163"/>
  <c r="H206" i="163"/>
  <c r="L164" i="163"/>
  <c r="J121" i="163"/>
  <c r="H78" i="163"/>
  <c r="L37" i="163"/>
  <c r="M299" i="163"/>
  <c r="K256" i="163"/>
  <c r="I213" i="163"/>
  <c r="M171" i="163"/>
  <c r="K128" i="163"/>
  <c r="I85" i="163"/>
  <c r="M43" i="163"/>
  <c r="M141" i="163"/>
  <c r="I187" i="163"/>
  <c r="K190" i="163"/>
  <c r="K186" i="163"/>
  <c r="M221" i="163"/>
  <c r="I267" i="163"/>
  <c r="I295" i="163"/>
  <c r="G295" i="163" s="1"/>
  <c r="H321" i="163"/>
  <c r="K18" i="163"/>
  <c r="I457" i="163"/>
  <c r="K372" i="163"/>
  <c r="L483" i="163"/>
  <c r="H397" i="163"/>
  <c r="K499" i="163"/>
  <c r="M414" i="163"/>
  <c r="I328" i="163"/>
  <c r="L434" i="163"/>
  <c r="H348" i="163"/>
  <c r="K454" i="163"/>
  <c r="M369" i="163"/>
  <c r="J470" i="163"/>
  <c r="L385" i="163"/>
  <c r="I490" i="163"/>
  <c r="K405" i="163"/>
  <c r="M320" i="163"/>
  <c r="H438" i="163"/>
  <c r="J353" i="163"/>
  <c r="H277" i="163"/>
  <c r="J192" i="163"/>
  <c r="L107" i="163"/>
  <c r="J323" i="163"/>
  <c r="I236" i="163"/>
  <c r="K151" i="163"/>
  <c r="M66" i="163"/>
  <c r="J275" i="163"/>
  <c r="L190" i="163"/>
  <c r="H104" i="163"/>
  <c r="H311" i="163"/>
  <c r="J226" i="163"/>
  <c r="L141" i="163"/>
  <c r="H55" i="163"/>
  <c r="K265" i="163"/>
  <c r="M180" i="163"/>
  <c r="I94" i="163"/>
  <c r="J313" i="163"/>
  <c r="L228" i="163"/>
  <c r="H142" i="163"/>
  <c r="J57" i="163"/>
  <c r="I277" i="163"/>
  <c r="K192" i="163"/>
  <c r="M107" i="163"/>
  <c r="J22" i="163"/>
  <c r="L23" i="163"/>
  <c r="M27" i="163"/>
  <c r="M89" i="163"/>
  <c r="M145" i="163"/>
  <c r="K371" i="163"/>
  <c r="J64" i="163"/>
  <c r="K456" i="163"/>
  <c r="M371" i="163"/>
  <c r="H481" i="163"/>
  <c r="J396" i="163"/>
  <c r="M498" i="163"/>
  <c r="I412" i="163"/>
  <c r="L518" i="163"/>
  <c r="H432" i="163"/>
  <c r="J347" i="163"/>
  <c r="M453" i="163"/>
  <c r="I367" i="163"/>
  <c r="L469" i="163"/>
  <c r="H383" i="163"/>
  <c r="K489" i="163"/>
  <c r="M404" i="163"/>
  <c r="I318" i="163"/>
  <c r="N318" i="163" s="1"/>
  <c r="J437" i="163"/>
  <c r="L352" i="163"/>
  <c r="J276" i="163"/>
  <c r="L191" i="163"/>
  <c r="H105" i="163"/>
  <c r="L321" i="163"/>
  <c r="K235" i="163"/>
  <c r="M150" i="163"/>
  <c r="I64" i="163"/>
  <c r="N64" i="163" s="1"/>
  <c r="L274" i="163"/>
  <c r="H188" i="163"/>
  <c r="J103" i="163"/>
  <c r="J310" i="163"/>
  <c r="L225" i="163"/>
  <c r="H139" i="163"/>
  <c r="J54" i="163"/>
  <c r="M264" i="163"/>
  <c r="I178" i="163"/>
  <c r="N178" i="163" s="1"/>
  <c r="K93" i="163"/>
  <c r="L312" i="163"/>
  <c r="H226" i="163"/>
  <c r="J141" i="163"/>
  <c r="L56" i="163"/>
  <c r="K276" i="163"/>
  <c r="M191" i="163"/>
  <c r="I105" i="163"/>
  <c r="M301" i="163"/>
  <c r="L21" i="163"/>
  <c r="I22" i="163"/>
  <c r="N22" i="163" s="1"/>
  <c r="K82" i="163"/>
  <c r="K138" i="163"/>
  <c r="I456" i="163"/>
  <c r="G456" i="163" s="1"/>
  <c r="M448" i="163"/>
  <c r="K279" i="163"/>
  <c r="H183" i="163"/>
  <c r="J185" i="163"/>
  <c r="M455" i="163"/>
  <c r="I369" i="163"/>
  <c r="J480" i="163"/>
  <c r="L395" i="163"/>
  <c r="I496" i="163"/>
  <c r="K411" i="163"/>
  <c r="H516" i="163"/>
  <c r="J431" i="163"/>
  <c r="L346" i="163"/>
  <c r="I451" i="163"/>
  <c r="K366" i="163"/>
  <c r="H467" i="163"/>
  <c r="J382" i="163"/>
  <c r="M488" i="163"/>
  <c r="I402" i="163"/>
  <c r="K317" i="163"/>
  <c r="L436" i="163"/>
  <c r="H350" i="163"/>
  <c r="L275" i="163"/>
  <c r="H189" i="163"/>
  <c r="J104" i="163"/>
  <c r="H320" i="163"/>
  <c r="M234" i="163"/>
  <c r="I148" i="163"/>
  <c r="K63" i="163"/>
  <c r="H272" i="163"/>
  <c r="J187" i="163"/>
  <c r="L102" i="163"/>
  <c r="L309" i="163"/>
  <c r="H223" i="163"/>
  <c r="J138" i="163"/>
  <c r="L53" i="163"/>
  <c r="I262" i="163"/>
  <c r="K177" i="163"/>
  <c r="M92" i="163"/>
  <c r="H310" i="163"/>
  <c r="J225" i="163"/>
  <c r="L140" i="163"/>
  <c r="H54" i="163"/>
  <c r="M275" i="163"/>
  <c r="I189" i="163"/>
  <c r="F189" i="163" s="1"/>
  <c r="K104" i="163"/>
  <c r="K294" i="163"/>
  <c r="J19" i="163"/>
  <c r="J21" i="163"/>
  <c r="I75" i="163"/>
  <c r="I131" i="163"/>
  <c r="I329" i="163"/>
  <c r="F329" i="163" s="1"/>
  <c r="J481" i="163"/>
  <c r="L62" i="163"/>
  <c r="I453" i="163"/>
  <c r="K368" i="163"/>
  <c r="L479" i="163"/>
  <c r="H393" i="163"/>
  <c r="K495" i="163"/>
  <c r="M410" i="163"/>
  <c r="J515" i="163"/>
  <c r="L430" i="163"/>
  <c r="H344" i="163"/>
  <c r="K450" i="163"/>
  <c r="M365" i="163"/>
  <c r="J466" i="163"/>
  <c r="L381" i="163"/>
  <c r="I486" i="163"/>
  <c r="K401" i="163"/>
  <c r="M316" i="163"/>
  <c r="H434" i="163"/>
  <c r="J349" i="163"/>
  <c r="H273" i="163"/>
  <c r="J188" i="163"/>
  <c r="L103" i="163"/>
  <c r="L318" i="163"/>
  <c r="I232" i="163"/>
  <c r="K147" i="163"/>
  <c r="M62" i="163"/>
  <c r="J271" i="163"/>
  <c r="L186" i="163"/>
  <c r="H100" i="163"/>
  <c r="H307" i="163"/>
  <c r="J222" i="163"/>
  <c r="L137" i="163"/>
  <c r="H51" i="163"/>
  <c r="K261" i="163"/>
  <c r="M176" i="163"/>
  <c r="I90" i="163"/>
  <c r="F90" i="163" s="1"/>
  <c r="J309" i="163"/>
  <c r="L224" i="163"/>
  <c r="H138" i="163"/>
  <c r="J53" i="163"/>
  <c r="I273" i="163"/>
  <c r="K188" i="163"/>
  <c r="M103" i="163"/>
  <c r="I287" i="163"/>
  <c r="F287" i="163" s="1"/>
  <c r="I18" i="163"/>
  <c r="M20" i="163"/>
  <c r="M57" i="163"/>
  <c r="M113" i="163"/>
  <c r="K500" i="163"/>
  <c r="M415" i="163"/>
  <c r="J440" i="163"/>
  <c r="L355" i="163"/>
  <c r="H476" i="163"/>
  <c r="J391" i="163"/>
  <c r="M497" i="163"/>
  <c r="I411" i="163"/>
  <c r="L513" i="163"/>
  <c r="H427" i="163"/>
  <c r="J342" i="163"/>
  <c r="I362" i="163"/>
  <c r="L396" i="163"/>
  <c r="M321" i="163"/>
  <c r="L235" i="163"/>
  <c r="H149" i="163"/>
  <c r="M194" i="163"/>
  <c r="I108" i="163"/>
  <c r="M319" i="163"/>
  <c r="H232" i="163"/>
  <c r="J147" i="163"/>
  <c r="L269" i="163"/>
  <c r="J98" i="163"/>
  <c r="M308" i="163"/>
  <c r="I222" i="163"/>
  <c r="K137" i="163"/>
  <c r="M52" i="163"/>
  <c r="H270" i="163"/>
  <c r="L323" i="163"/>
  <c r="M235" i="163"/>
  <c r="I149" i="163"/>
  <c r="G149" i="163" s="1"/>
  <c r="H20" i="163"/>
  <c r="K54" i="163"/>
  <c r="M117" i="163"/>
  <c r="M327" i="163"/>
  <c r="K455" i="163"/>
  <c r="H472" i="163"/>
  <c r="M409" i="163"/>
  <c r="L341" i="163"/>
  <c r="I358" i="163"/>
  <c r="M318" i="163"/>
  <c r="L63" i="163"/>
  <c r="M190" i="163"/>
  <c r="L230" i="163"/>
  <c r="H267" i="163"/>
  <c r="J94" i="163"/>
  <c r="I134" i="163"/>
  <c r="L184" i="163"/>
  <c r="H319" i="163"/>
  <c r="K64" i="163"/>
  <c r="K21" i="163"/>
  <c r="M85" i="163"/>
  <c r="M499" i="163"/>
  <c r="I325" i="163"/>
  <c r="M454" i="163"/>
  <c r="L390" i="163"/>
  <c r="I407" i="163"/>
  <c r="H339" i="163"/>
  <c r="L480" i="163"/>
  <c r="I317" i="163"/>
  <c r="F317" i="163" s="1"/>
  <c r="H61" i="163"/>
  <c r="K107" i="163"/>
  <c r="H228" i="163"/>
  <c r="J266" i="163"/>
  <c r="I306" i="163"/>
  <c r="K133" i="163"/>
  <c r="H182" i="163"/>
  <c r="L317" i="163"/>
  <c r="M63" i="163"/>
  <c r="I19" i="163"/>
  <c r="J387" i="163"/>
  <c r="I497" i="163"/>
  <c r="L439" i="163"/>
  <c r="I452" i="163"/>
  <c r="F452" i="163" s="1"/>
  <c r="H388" i="163"/>
  <c r="H511" i="163"/>
  <c r="J338" i="163"/>
  <c r="H478" i="163"/>
  <c r="H233" i="163"/>
  <c r="J60" i="163"/>
  <c r="M106" i="163"/>
  <c r="L146" i="163"/>
  <c r="L265" i="163"/>
  <c r="K305" i="163"/>
  <c r="I50" i="163"/>
  <c r="J181" i="163"/>
  <c r="I233" i="163"/>
  <c r="G233" i="163" s="1"/>
  <c r="I61" i="163"/>
  <c r="H18" i="163"/>
  <c r="K496" i="163"/>
  <c r="M370" i="163"/>
  <c r="J510" i="163"/>
  <c r="J477" i="163"/>
  <c r="J232" i="163"/>
  <c r="I104" i="163"/>
  <c r="G104" i="163" s="1"/>
  <c r="H144" i="163"/>
  <c r="M304" i="163"/>
  <c r="K49" i="163"/>
  <c r="K232" i="163"/>
  <c r="K60" i="163"/>
  <c r="I47" i="163"/>
  <c r="I413" i="163"/>
  <c r="J436" i="163"/>
  <c r="I368" i="163"/>
  <c r="G368" i="163" s="1"/>
  <c r="I495" i="163"/>
  <c r="L509" i="163"/>
  <c r="K445" i="163"/>
  <c r="H394" i="163"/>
  <c r="L231" i="163"/>
  <c r="I276" i="163"/>
  <c r="K318" i="163"/>
  <c r="J143" i="163"/>
  <c r="L181" i="163"/>
  <c r="K221" i="163"/>
  <c r="M48" i="163"/>
  <c r="H98" i="163"/>
  <c r="M231" i="163"/>
  <c r="K19" i="163"/>
  <c r="H40" i="163"/>
  <c r="K328" i="163"/>
  <c r="L351" i="163"/>
  <c r="L474" i="163"/>
  <c r="K410" i="163"/>
  <c r="H423" i="163"/>
  <c r="M360" i="163"/>
  <c r="I320" i="163"/>
  <c r="H145" i="163"/>
  <c r="K191" i="163"/>
  <c r="J231" i="163"/>
  <c r="L58" i="163"/>
  <c r="H95" i="163"/>
  <c r="M136" i="163"/>
  <c r="H266" i="163"/>
  <c r="J320" i="163"/>
  <c r="I145" i="163"/>
  <c r="M22" i="163"/>
  <c r="I103" i="163"/>
  <c r="H437" i="163"/>
  <c r="I446" i="163"/>
  <c r="G446" i="163" s="1"/>
  <c r="M278" i="163"/>
  <c r="J182" i="163"/>
  <c r="L100" i="163"/>
  <c r="K367" i="163"/>
  <c r="J393" i="163"/>
  <c r="H60" i="163"/>
  <c r="J97" i="163"/>
  <c r="J475" i="163"/>
  <c r="L392" i="163"/>
  <c r="J59" i="163"/>
  <c r="L96" i="163"/>
  <c r="K110" i="163"/>
  <c r="K494" i="163"/>
  <c r="J148" i="163"/>
  <c r="H179" i="163"/>
  <c r="K148" i="163"/>
  <c r="J352" i="163"/>
  <c r="K361" i="163"/>
  <c r="L314" i="163"/>
  <c r="L268" i="163"/>
  <c r="M493" i="163"/>
  <c r="L147" i="163"/>
  <c r="L97" i="163"/>
  <c r="M147" i="163"/>
  <c r="K412" i="163"/>
  <c r="J426" i="163"/>
  <c r="K275" i="163"/>
  <c r="M220" i="163"/>
  <c r="J18" i="163"/>
  <c r="M411" i="163"/>
  <c r="L425" i="163"/>
  <c r="I192" i="163"/>
  <c r="G192" i="163" s="1"/>
  <c r="I218" i="163"/>
  <c r="H325" i="163"/>
  <c r="H353" i="163"/>
  <c r="M444" i="163"/>
  <c r="K315" i="163"/>
  <c r="J269" i="163"/>
  <c r="M30" i="163"/>
  <c r="H22" i="156"/>
  <c r="M513" i="174"/>
  <c r="K502" i="174"/>
  <c r="J518" i="174"/>
  <c r="H507" i="174"/>
  <c r="L497" i="174"/>
  <c r="K513" i="174"/>
  <c r="I502" i="174"/>
  <c r="F502" i="174" s="1"/>
  <c r="H518" i="174"/>
  <c r="L508" i="174"/>
  <c r="J497" i="174"/>
  <c r="K512" i="174"/>
  <c r="I501" i="174"/>
  <c r="F501" i="174" s="1"/>
  <c r="M518" i="174"/>
  <c r="K507" i="174"/>
  <c r="I496" i="174"/>
  <c r="J511" i="174"/>
  <c r="H500" i="174"/>
  <c r="H487" i="174"/>
  <c r="L477" i="174"/>
  <c r="J466" i="174"/>
  <c r="H455" i="174"/>
  <c r="L445" i="174"/>
  <c r="J434" i="174"/>
  <c r="H423" i="174"/>
  <c r="L413" i="174"/>
  <c r="J402" i="174"/>
  <c r="H391" i="174"/>
  <c r="L381" i="174"/>
  <c r="J370" i="174"/>
  <c r="H359" i="174"/>
  <c r="M488" i="174"/>
  <c r="K477" i="174"/>
  <c r="I466" i="174"/>
  <c r="N466" i="174" s="1"/>
  <c r="M456" i="174"/>
  <c r="K445" i="174"/>
  <c r="I434" i="174"/>
  <c r="F434" i="174" s="1"/>
  <c r="M424" i="174"/>
  <c r="K413" i="174"/>
  <c r="I402" i="174"/>
  <c r="M392" i="174"/>
  <c r="K381" i="174"/>
  <c r="I370" i="174"/>
  <c r="F370" i="174" s="1"/>
  <c r="L499" i="174"/>
  <c r="L484" i="174"/>
  <c r="J473" i="174"/>
  <c r="H462" i="174"/>
  <c r="L452" i="174"/>
  <c r="J441" i="174"/>
  <c r="H430" i="174"/>
  <c r="L420" i="174"/>
  <c r="J409" i="174"/>
  <c r="H398" i="174"/>
  <c r="L388" i="174"/>
  <c r="J377" i="174"/>
  <c r="H366" i="174"/>
  <c r="L356" i="174"/>
  <c r="I485" i="174"/>
  <c r="N485" i="174" s="1"/>
  <c r="M475" i="174"/>
  <c r="K464" i="174"/>
  <c r="I453" i="174"/>
  <c r="N453" i="174" s="1"/>
  <c r="M443" i="174"/>
  <c r="K432" i="174"/>
  <c r="I421" i="174"/>
  <c r="N421" i="174" s="1"/>
  <c r="M411" i="174"/>
  <c r="K400" i="174"/>
  <c r="I389" i="174"/>
  <c r="M379" i="174"/>
  <c r="K368" i="174"/>
  <c r="I357" i="174"/>
  <c r="J492" i="174"/>
  <c r="H481" i="174"/>
  <c r="L471" i="174"/>
  <c r="J460" i="174"/>
  <c r="H449" i="174"/>
  <c r="L439" i="174"/>
  <c r="J428" i="174"/>
  <c r="H417" i="174"/>
  <c r="L407" i="174"/>
  <c r="J396" i="174"/>
  <c r="H385" i="174"/>
  <c r="L375" i="174"/>
  <c r="J364" i="174"/>
  <c r="H353" i="174"/>
  <c r="L490" i="174"/>
  <c r="J479" i="174"/>
  <c r="H468" i="174"/>
  <c r="L458" i="174"/>
  <c r="J447" i="174"/>
  <c r="H436" i="174"/>
  <c r="L426" i="174"/>
  <c r="J415" i="174"/>
  <c r="H404" i="174"/>
  <c r="L394" i="174"/>
  <c r="J383" i="174"/>
  <c r="H372" i="174"/>
  <c r="L362" i="174"/>
  <c r="J504" i="174"/>
  <c r="K482" i="174"/>
  <c r="I471" i="174"/>
  <c r="M461" i="174"/>
  <c r="K450" i="174"/>
  <c r="I439" i="174"/>
  <c r="M429" i="174"/>
  <c r="K418" i="174"/>
  <c r="I407" i="174"/>
  <c r="F407" i="174" s="1"/>
  <c r="M397" i="174"/>
  <c r="K386" i="174"/>
  <c r="I375" i="174"/>
  <c r="G375" i="174" s="1"/>
  <c r="M365" i="174"/>
  <c r="K354" i="174"/>
  <c r="M434" i="174"/>
  <c r="K357" i="174"/>
  <c r="J343" i="174"/>
  <c r="H332" i="174"/>
  <c r="L322" i="174"/>
  <c r="J311" i="174"/>
  <c r="H300" i="174"/>
  <c r="L290" i="174"/>
  <c r="J279" i="174"/>
  <c r="H268" i="174"/>
  <c r="L258" i="174"/>
  <c r="J247" i="174"/>
  <c r="H236" i="174"/>
  <c r="L226" i="174"/>
  <c r="I416" i="174"/>
  <c r="M349" i="174"/>
  <c r="K338" i="174"/>
  <c r="I327" i="174"/>
  <c r="G327" i="174" s="1"/>
  <c r="M317" i="174"/>
  <c r="K306" i="174"/>
  <c r="I295" i="174"/>
  <c r="M285" i="174"/>
  <c r="K274" i="174"/>
  <c r="I263" i="174"/>
  <c r="M253" i="174"/>
  <c r="K242" i="174"/>
  <c r="I231" i="174"/>
  <c r="M426" i="174"/>
  <c r="H352" i="174"/>
  <c r="J342" i="174"/>
  <c r="H331" i="174"/>
  <c r="L321" i="174"/>
  <c r="J310" i="174"/>
  <c r="H299" i="174"/>
  <c r="L289" i="174"/>
  <c r="J278" i="174"/>
  <c r="H267" i="174"/>
  <c r="L257" i="174"/>
  <c r="J246" i="174"/>
  <c r="H235" i="174"/>
  <c r="L225" i="174"/>
  <c r="M422" i="174"/>
  <c r="K355" i="174"/>
  <c r="I342" i="174"/>
  <c r="N342" i="174" s="1"/>
  <c r="M332" i="174"/>
  <c r="K321" i="174"/>
  <c r="I310" i="174"/>
  <c r="M300" i="174"/>
  <c r="K289" i="174"/>
  <c r="I278" i="174"/>
  <c r="N278" i="174" s="1"/>
  <c r="M268" i="174"/>
  <c r="K257" i="174"/>
  <c r="I246" i="174"/>
  <c r="N246" i="174" s="1"/>
  <c r="M236" i="174"/>
  <c r="K225" i="174"/>
  <c r="M418" i="174"/>
  <c r="H355" i="174"/>
  <c r="L344" i="174"/>
  <c r="J333" i="174"/>
  <c r="H322" i="174"/>
  <c r="L312" i="174"/>
  <c r="J301" i="174"/>
  <c r="H290" i="174"/>
  <c r="L280" i="174"/>
  <c r="J269" i="174"/>
  <c r="H258" i="174"/>
  <c r="L248" i="174"/>
  <c r="J237" i="174"/>
  <c r="H226" i="174"/>
  <c r="M442" i="174"/>
  <c r="I364" i="174"/>
  <c r="L347" i="174"/>
  <c r="J336" i="174"/>
  <c r="H325" i="174"/>
  <c r="L315" i="174"/>
  <c r="J304" i="174"/>
  <c r="H293" i="174"/>
  <c r="L283" i="174"/>
  <c r="J272" i="174"/>
  <c r="H261" i="174"/>
  <c r="L251" i="174"/>
  <c r="J240" i="174"/>
  <c r="H229" i="174"/>
  <c r="K463" i="174"/>
  <c r="M374" i="174"/>
  <c r="M346" i="174"/>
  <c r="K335" i="174"/>
  <c r="I324" i="174"/>
  <c r="M314" i="174"/>
  <c r="K303" i="174"/>
  <c r="I292" i="174"/>
  <c r="M282" i="174"/>
  <c r="K271" i="174"/>
  <c r="I260" i="174"/>
  <c r="G260" i="174" s="1"/>
  <c r="M250" i="174"/>
  <c r="K239" i="174"/>
  <c r="I228" i="174"/>
  <c r="G228" i="174" s="1"/>
  <c r="M347" i="174"/>
  <c r="I269" i="174"/>
  <c r="G269" i="174" s="1"/>
  <c r="H218" i="174"/>
  <c r="L208" i="174"/>
  <c r="J197" i="174"/>
  <c r="H186" i="174"/>
  <c r="L176" i="174"/>
  <c r="J165" i="174"/>
  <c r="H154" i="174"/>
  <c r="L144" i="174"/>
  <c r="J133" i="174"/>
  <c r="H122" i="174"/>
  <c r="L112" i="174"/>
  <c r="J101" i="174"/>
  <c r="I356" i="174"/>
  <c r="K272" i="174"/>
  <c r="K220" i="174"/>
  <c r="I209" i="174"/>
  <c r="M199" i="174"/>
  <c r="K188" i="174"/>
  <c r="I177" i="174"/>
  <c r="N177" i="174" s="1"/>
  <c r="M167" i="174"/>
  <c r="K156" i="174"/>
  <c r="I145" i="174"/>
  <c r="M135" i="174"/>
  <c r="K124" i="174"/>
  <c r="I113" i="174"/>
  <c r="G113" i="174" s="1"/>
  <c r="M103" i="174"/>
  <c r="I293" i="174"/>
  <c r="N293" i="174" s="1"/>
  <c r="J220" i="174"/>
  <c r="H209" i="174"/>
  <c r="L199" i="174"/>
  <c r="J188" i="174"/>
  <c r="H177" i="174"/>
  <c r="L167" i="174"/>
  <c r="J156" i="174"/>
  <c r="H145" i="174"/>
  <c r="L135" i="174"/>
  <c r="J124" i="174"/>
  <c r="H113" i="174"/>
  <c r="L103" i="174"/>
  <c r="K328" i="174"/>
  <c r="M239" i="174"/>
  <c r="M218" i="174"/>
  <c r="K207" i="174"/>
  <c r="I196" i="174"/>
  <c r="M186" i="174"/>
  <c r="K175" i="174"/>
  <c r="I164" i="174"/>
  <c r="N164" i="174" s="1"/>
  <c r="M154" i="174"/>
  <c r="K143" i="174"/>
  <c r="I132" i="174"/>
  <c r="M122" i="174"/>
  <c r="K111" i="174"/>
  <c r="I100" i="174"/>
  <c r="I368" i="174"/>
  <c r="G368" i="174" s="1"/>
  <c r="I285" i="174"/>
  <c r="G285" i="174" s="1"/>
  <c r="J223" i="174"/>
  <c r="J211" i="174"/>
  <c r="H200" i="174"/>
  <c r="L190" i="174"/>
  <c r="J179" i="174"/>
  <c r="H168" i="174"/>
  <c r="L158" i="174"/>
  <c r="J147" i="174"/>
  <c r="H136" i="174"/>
  <c r="L126" i="174"/>
  <c r="J115" i="174"/>
  <c r="H104" i="174"/>
  <c r="L94" i="174"/>
  <c r="K284" i="174"/>
  <c r="H219" i="174"/>
  <c r="L209" i="174"/>
  <c r="J198" i="174"/>
  <c r="H187" i="174"/>
  <c r="L177" i="174"/>
  <c r="J166" i="174"/>
  <c r="H155" i="174"/>
  <c r="L145" i="174"/>
  <c r="J134" i="174"/>
  <c r="H123" i="174"/>
  <c r="L113" i="174"/>
  <c r="J102" i="174"/>
  <c r="H91" i="174"/>
  <c r="M287" i="174"/>
  <c r="M220" i="174"/>
  <c r="K209" i="174"/>
  <c r="I198" i="174"/>
  <c r="F198" i="174" s="1"/>
  <c r="M188" i="174"/>
  <c r="K177" i="174"/>
  <c r="I166" i="174"/>
  <c r="F166" i="174" s="1"/>
  <c r="M156" i="174"/>
  <c r="K145" i="174"/>
  <c r="I134" i="174"/>
  <c r="M124" i="174"/>
  <c r="K113" i="174"/>
  <c r="I102" i="174"/>
  <c r="F102" i="174" s="1"/>
  <c r="M92" i="174"/>
  <c r="I167" i="174"/>
  <c r="J90" i="174"/>
  <c r="H79" i="174"/>
  <c r="L69" i="174"/>
  <c r="J58" i="174"/>
  <c r="H47" i="174"/>
  <c r="H36" i="174"/>
  <c r="L26" i="174"/>
  <c r="M225" i="174"/>
  <c r="K138" i="174"/>
  <c r="M88" i="174"/>
  <c r="K77" i="174"/>
  <c r="I66" i="174"/>
  <c r="M56" i="174"/>
  <c r="K45" i="174"/>
  <c r="K34" i="174"/>
  <c r="J23" i="174"/>
  <c r="M173" i="174"/>
  <c r="K98" i="174"/>
  <c r="H86" i="174"/>
  <c r="L76" i="174"/>
  <c r="J65" i="174"/>
  <c r="H54" i="174"/>
  <c r="L44" i="174"/>
  <c r="J34" i="174"/>
  <c r="I23" i="174"/>
  <c r="I219" i="174"/>
  <c r="N219" i="174" s="1"/>
  <c r="K130" i="174"/>
  <c r="M87" i="174"/>
  <c r="K76" i="174"/>
  <c r="I65" i="174"/>
  <c r="N65" i="174" s="1"/>
  <c r="M55" i="174"/>
  <c r="K44" i="174"/>
  <c r="K33" i="174"/>
  <c r="H23" i="174"/>
  <c r="K190" i="174"/>
  <c r="M101" i="174"/>
  <c r="H85" i="174"/>
  <c r="L75" i="174"/>
  <c r="J64" i="174"/>
  <c r="H53" i="174"/>
  <c r="L43" i="174"/>
  <c r="L32" i="174"/>
  <c r="K21" i="174"/>
  <c r="I207" i="174"/>
  <c r="K118" i="174"/>
  <c r="L86" i="174"/>
  <c r="J75" i="174"/>
  <c r="H64" i="174"/>
  <c r="L54" i="174"/>
  <c r="J43" i="174"/>
  <c r="J32" i="174"/>
  <c r="I21" i="174"/>
  <c r="M185" i="174"/>
  <c r="I107" i="174"/>
  <c r="F107" i="174" s="1"/>
  <c r="I83" i="174"/>
  <c r="M73" i="174"/>
  <c r="K62" i="174"/>
  <c r="I51" i="174"/>
  <c r="N51" i="174" s="1"/>
  <c r="M41" i="174"/>
  <c r="K31" i="174"/>
  <c r="K20" i="174"/>
  <c r="M58" i="174"/>
  <c r="I72" i="174"/>
  <c r="N72" i="174" s="1"/>
  <c r="I68" i="174"/>
  <c r="N68" i="174" s="1"/>
  <c r="M46" i="174"/>
  <c r="I60" i="174"/>
  <c r="G60" i="174" s="1"/>
  <c r="M91" i="174"/>
  <c r="K154" i="174"/>
  <c r="M161" i="174"/>
  <c r="M35" i="174"/>
  <c r="I511" i="174"/>
  <c r="M501" i="174"/>
  <c r="L517" i="174"/>
  <c r="J506" i="174"/>
  <c r="H495" i="174"/>
  <c r="M512" i="174"/>
  <c r="K501" i="174"/>
  <c r="J517" i="174"/>
  <c r="H506" i="174"/>
  <c r="L496" i="174"/>
  <c r="M511" i="174"/>
  <c r="K500" i="174"/>
  <c r="I516" i="174"/>
  <c r="M506" i="174"/>
  <c r="K495" i="174"/>
  <c r="L510" i="174"/>
  <c r="J499" i="174"/>
  <c r="J486" i="174"/>
  <c r="H475" i="174"/>
  <c r="L465" i="174"/>
  <c r="J454" i="174"/>
  <c r="H443" i="174"/>
  <c r="L433" i="174"/>
  <c r="J422" i="174"/>
  <c r="H411" i="174"/>
  <c r="L401" i="174"/>
  <c r="J390" i="174"/>
  <c r="H379" i="174"/>
  <c r="L369" i="174"/>
  <c r="J358" i="174"/>
  <c r="I486" i="174"/>
  <c r="F486" i="174" s="1"/>
  <c r="M476" i="174"/>
  <c r="K465" i="174"/>
  <c r="I454" i="174"/>
  <c r="F454" i="174" s="1"/>
  <c r="M444" i="174"/>
  <c r="K433" i="174"/>
  <c r="I422" i="174"/>
  <c r="M412" i="174"/>
  <c r="K401" i="174"/>
  <c r="I390" i="174"/>
  <c r="F390" i="174" s="1"/>
  <c r="M380" i="174"/>
  <c r="K369" i="174"/>
  <c r="J495" i="174"/>
  <c r="H482" i="174"/>
  <c r="L472" i="174"/>
  <c r="J461" i="174"/>
  <c r="H450" i="174"/>
  <c r="L440" i="174"/>
  <c r="J429" i="174"/>
  <c r="H418" i="174"/>
  <c r="L408" i="174"/>
  <c r="J397" i="174"/>
  <c r="H386" i="174"/>
  <c r="L376" i="174"/>
  <c r="J365" i="174"/>
  <c r="H513" i="174"/>
  <c r="K484" i="174"/>
  <c r="I473" i="174"/>
  <c r="N473" i="174" s="1"/>
  <c r="M463" i="174"/>
  <c r="K452" i="174"/>
  <c r="I441" i="174"/>
  <c r="M431" i="174"/>
  <c r="K420" i="174"/>
  <c r="I409" i="174"/>
  <c r="F409" i="174" s="1"/>
  <c r="M399" i="174"/>
  <c r="K388" i="174"/>
  <c r="I377" i="174"/>
  <c r="M367" i="174"/>
  <c r="K356" i="174"/>
  <c r="L491" i="174"/>
  <c r="J480" i="174"/>
  <c r="H469" i="174"/>
  <c r="L459" i="174"/>
  <c r="J448" i="174"/>
  <c r="H437" i="174"/>
  <c r="L427" i="174"/>
  <c r="J416" i="174"/>
  <c r="H405" i="174"/>
  <c r="L395" i="174"/>
  <c r="J384" i="174"/>
  <c r="H373" i="174"/>
  <c r="L363" i="174"/>
  <c r="L515" i="174"/>
  <c r="H488" i="174"/>
  <c r="L478" i="174"/>
  <c r="J467" i="174"/>
  <c r="H456" i="174"/>
  <c r="L446" i="174"/>
  <c r="J435" i="174"/>
  <c r="H424" i="174"/>
  <c r="L414" i="174"/>
  <c r="J403" i="174"/>
  <c r="H392" i="174"/>
  <c r="L382" i="174"/>
  <c r="J371" i="174"/>
  <c r="H360" i="174"/>
  <c r="I491" i="174"/>
  <c r="G491" i="174" s="1"/>
  <c r="M481" i="174"/>
  <c r="K470" i="174"/>
  <c r="I459" i="174"/>
  <c r="M449" i="174"/>
  <c r="K438" i="174"/>
  <c r="I427" i="174"/>
  <c r="G427" i="174" s="1"/>
  <c r="M417" i="174"/>
  <c r="K406" i="174"/>
  <c r="I395" i="174"/>
  <c r="M385" i="174"/>
  <c r="K374" i="174"/>
  <c r="I363" i="174"/>
  <c r="M353" i="174"/>
  <c r="K427" i="174"/>
  <c r="J352" i="174"/>
  <c r="L342" i="174"/>
  <c r="J331" i="174"/>
  <c r="H320" i="174"/>
  <c r="L310" i="174"/>
  <c r="J299" i="174"/>
  <c r="H288" i="174"/>
  <c r="L278" i="174"/>
  <c r="J267" i="174"/>
  <c r="H256" i="174"/>
  <c r="L246" i="174"/>
  <c r="J235" i="174"/>
  <c r="K487" i="174"/>
  <c r="M398" i="174"/>
  <c r="I347" i="174"/>
  <c r="M337" i="174"/>
  <c r="K326" i="174"/>
  <c r="I315" i="174"/>
  <c r="M305" i="174"/>
  <c r="K294" i="174"/>
  <c r="I283" i="174"/>
  <c r="G283" i="174" s="1"/>
  <c r="M273" i="174"/>
  <c r="K262" i="174"/>
  <c r="I251" i="174"/>
  <c r="M241" i="174"/>
  <c r="K230" i="174"/>
  <c r="K419" i="174"/>
  <c r="H351" i="174"/>
  <c r="L341" i="174"/>
  <c r="J330" i="174"/>
  <c r="H319" i="174"/>
  <c r="L309" i="174"/>
  <c r="J298" i="174"/>
  <c r="H287" i="174"/>
  <c r="L277" i="174"/>
  <c r="J266" i="174"/>
  <c r="H255" i="174"/>
  <c r="L245" i="174"/>
  <c r="J234" i="174"/>
  <c r="J496" i="174"/>
  <c r="K415" i="174"/>
  <c r="M354" i="174"/>
  <c r="K341" i="174"/>
  <c r="I330" i="174"/>
  <c r="N330" i="174" s="1"/>
  <c r="M320" i="174"/>
  <c r="K309" i="174"/>
  <c r="I298" i="174"/>
  <c r="M288" i="174"/>
  <c r="K277" i="174"/>
  <c r="I266" i="174"/>
  <c r="F266" i="174" s="1"/>
  <c r="M256" i="174"/>
  <c r="K245" i="174"/>
  <c r="I234" i="174"/>
  <c r="M224" i="174"/>
  <c r="K411" i="174"/>
  <c r="J354" i="174"/>
  <c r="H342" i="174"/>
  <c r="L332" i="174"/>
  <c r="J321" i="174"/>
  <c r="H310" i="174"/>
  <c r="L300" i="174"/>
  <c r="J289" i="174"/>
  <c r="H278" i="174"/>
  <c r="L268" i="174"/>
  <c r="J257" i="174"/>
  <c r="H246" i="174"/>
  <c r="L236" i="174"/>
  <c r="J225" i="174"/>
  <c r="K435" i="174"/>
  <c r="K361" i="174"/>
  <c r="H345" i="174"/>
  <c r="L335" i="174"/>
  <c r="J324" i="174"/>
  <c r="H313" i="174"/>
  <c r="L303" i="174"/>
  <c r="J292" i="174"/>
  <c r="H281" i="174"/>
  <c r="L271" i="174"/>
  <c r="J260" i="174"/>
  <c r="H249" i="174"/>
  <c r="L239" i="174"/>
  <c r="J228" i="174"/>
  <c r="I456" i="174"/>
  <c r="F456" i="174" s="1"/>
  <c r="K367" i="174"/>
  <c r="I344" i="174"/>
  <c r="M334" i="174"/>
  <c r="K323" i="174"/>
  <c r="I312" i="174"/>
  <c r="M302" i="174"/>
  <c r="K291" i="174"/>
  <c r="I280" i="174"/>
  <c r="M270" i="174"/>
  <c r="K259" i="174"/>
  <c r="I248" i="174"/>
  <c r="M238" i="174"/>
  <c r="K227" i="174"/>
  <c r="K340" i="174"/>
  <c r="M251" i="174"/>
  <c r="J217" i="174"/>
  <c r="H206" i="174"/>
  <c r="L196" i="174"/>
  <c r="J185" i="174"/>
  <c r="H174" i="174"/>
  <c r="L164" i="174"/>
  <c r="J153" i="174"/>
  <c r="H142" i="174"/>
  <c r="L132" i="174"/>
  <c r="J121" i="174"/>
  <c r="H110" i="174"/>
  <c r="L100" i="174"/>
  <c r="M343" i="174"/>
  <c r="I265" i="174"/>
  <c r="M219" i="174"/>
  <c r="K208" i="174"/>
  <c r="I197" i="174"/>
  <c r="F197" i="174" s="1"/>
  <c r="M187" i="174"/>
  <c r="K176" i="174"/>
  <c r="I165" i="174"/>
  <c r="M155" i="174"/>
  <c r="K144" i="174"/>
  <c r="I133" i="174"/>
  <c r="M123" i="174"/>
  <c r="K112" i="174"/>
  <c r="I432" i="174"/>
  <c r="M275" i="174"/>
  <c r="L219" i="174"/>
  <c r="J208" i="174"/>
  <c r="H197" i="174"/>
  <c r="L187" i="174"/>
  <c r="J176" i="174"/>
  <c r="H165" i="174"/>
  <c r="L155" i="174"/>
  <c r="J144" i="174"/>
  <c r="H133" i="174"/>
  <c r="L123" i="174"/>
  <c r="J112" i="174"/>
  <c r="H101" i="174"/>
  <c r="I321" i="174"/>
  <c r="N321" i="174" s="1"/>
  <c r="K232" i="174"/>
  <c r="I216" i="174"/>
  <c r="M206" i="174"/>
  <c r="K195" i="174"/>
  <c r="I184" i="174"/>
  <c r="M174" i="174"/>
  <c r="K163" i="174"/>
  <c r="I152" i="174"/>
  <c r="M142" i="174"/>
  <c r="K131" i="174"/>
  <c r="I120" i="174"/>
  <c r="F120" i="174" s="1"/>
  <c r="M110" i="174"/>
  <c r="K99" i="174"/>
  <c r="K353" i="174"/>
  <c r="M267" i="174"/>
  <c r="H220" i="174"/>
  <c r="L210" i="174"/>
  <c r="J199" i="174"/>
  <c r="H188" i="174"/>
  <c r="L178" i="174"/>
  <c r="J167" i="174"/>
  <c r="H156" i="174"/>
  <c r="L146" i="174"/>
  <c r="J135" i="174"/>
  <c r="H124" i="174"/>
  <c r="L114" i="174"/>
  <c r="J103" i="174"/>
  <c r="M446" i="174"/>
  <c r="I277" i="174"/>
  <c r="J218" i="174"/>
  <c r="H207" i="174"/>
  <c r="L197" i="174"/>
  <c r="J186" i="174"/>
  <c r="H175" i="174"/>
  <c r="L165" i="174"/>
  <c r="J154" i="174"/>
  <c r="H143" i="174"/>
  <c r="L133" i="174"/>
  <c r="J122" i="174"/>
  <c r="H111" i="174"/>
  <c r="L101" i="174"/>
  <c r="K471" i="174"/>
  <c r="K280" i="174"/>
  <c r="I218" i="174"/>
  <c r="M208" i="174"/>
  <c r="K197" i="174"/>
  <c r="I186" i="174"/>
  <c r="F186" i="174" s="1"/>
  <c r="M176" i="174"/>
  <c r="K165" i="174"/>
  <c r="I154" i="174"/>
  <c r="M144" i="174"/>
  <c r="K133" i="174"/>
  <c r="I122" i="174"/>
  <c r="M112" i="174"/>
  <c r="K101" i="174"/>
  <c r="I281" i="174"/>
  <c r="N281" i="174" s="1"/>
  <c r="M149" i="174"/>
  <c r="L89" i="174"/>
  <c r="J78" i="174"/>
  <c r="H67" i="174"/>
  <c r="L57" i="174"/>
  <c r="J46" i="174"/>
  <c r="J35" i="174"/>
  <c r="H24" i="174"/>
  <c r="M209" i="174"/>
  <c r="I131" i="174"/>
  <c r="I86" i="174"/>
  <c r="N86" i="174" s="1"/>
  <c r="M76" i="174"/>
  <c r="K65" i="174"/>
  <c r="I54" i="174"/>
  <c r="M44" i="174"/>
  <c r="M33" i="174"/>
  <c r="L22" i="174"/>
  <c r="K166" i="174"/>
  <c r="M95" i="174"/>
  <c r="J85" i="174"/>
  <c r="H74" i="174"/>
  <c r="L64" i="174"/>
  <c r="J53" i="174"/>
  <c r="H42" i="174"/>
  <c r="L33" i="174"/>
  <c r="K22" i="174"/>
  <c r="M201" i="174"/>
  <c r="I123" i="174"/>
  <c r="I85" i="174"/>
  <c r="M75" i="174"/>
  <c r="K64" i="174"/>
  <c r="I53" i="174"/>
  <c r="M43" i="174"/>
  <c r="M32" i="174"/>
  <c r="J22" i="174"/>
  <c r="I183" i="174"/>
  <c r="F183" i="174" s="1"/>
  <c r="K96" i="174"/>
  <c r="J84" i="174"/>
  <c r="H73" i="174"/>
  <c r="L63" i="174"/>
  <c r="J52" i="174"/>
  <c r="H41" i="174"/>
  <c r="H30" i="174"/>
  <c r="I19" i="174"/>
  <c r="M189" i="174"/>
  <c r="I111" i="174"/>
  <c r="H84" i="174"/>
  <c r="L74" i="174"/>
  <c r="J63" i="174"/>
  <c r="H52" i="174"/>
  <c r="L42" i="174"/>
  <c r="L31" i="174"/>
  <c r="L20" i="174"/>
  <c r="K178" i="174"/>
  <c r="I97" i="174"/>
  <c r="F97" i="174" s="1"/>
  <c r="K82" i="174"/>
  <c r="I71" i="174"/>
  <c r="M61" i="174"/>
  <c r="K50" i="174"/>
  <c r="H40" i="174"/>
  <c r="M30" i="174"/>
  <c r="M18" i="174"/>
  <c r="K51" i="174"/>
  <c r="M54" i="174"/>
  <c r="M50" i="174"/>
  <c r="K36" i="174"/>
  <c r="M42" i="174"/>
  <c r="I84" i="174"/>
  <c r="M99" i="174"/>
  <c r="J21" i="174"/>
  <c r="I88" i="174"/>
  <c r="G88" i="174" s="1"/>
  <c r="K510" i="174"/>
  <c r="I499" i="174"/>
  <c r="N499" i="174" s="1"/>
  <c r="H515" i="174"/>
  <c r="L505" i="174"/>
  <c r="J494" i="174"/>
  <c r="I510" i="174"/>
  <c r="M500" i="174"/>
  <c r="L516" i="174"/>
  <c r="J505" i="174"/>
  <c r="H494" i="174"/>
  <c r="I509" i="174"/>
  <c r="M499" i="174"/>
  <c r="K515" i="174"/>
  <c r="I504" i="174"/>
  <c r="M494" i="174"/>
  <c r="H508" i="174"/>
  <c r="L498" i="174"/>
  <c r="L485" i="174"/>
  <c r="J474" i="174"/>
  <c r="H463" i="174"/>
  <c r="L453" i="174"/>
  <c r="J442" i="174"/>
  <c r="H431" i="174"/>
  <c r="L421" i="174"/>
  <c r="J410" i="174"/>
  <c r="H399" i="174"/>
  <c r="L389" i="174"/>
  <c r="J378" i="174"/>
  <c r="H367" i="174"/>
  <c r="L357" i="174"/>
  <c r="K485" i="174"/>
  <c r="I474" i="174"/>
  <c r="M464" i="174"/>
  <c r="K453" i="174"/>
  <c r="I442" i="174"/>
  <c r="M432" i="174"/>
  <c r="K421" i="174"/>
  <c r="I410" i="174"/>
  <c r="M400" i="174"/>
  <c r="K389" i="174"/>
  <c r="I378" i="174"/>
  <c r="M368" i="174"/>
  <c r="M492" i="174"/>
  <c r="J481" i="174"/>
  <c r="H470" i="174"/>
  <c r="L460" i="174"/>
  <c r="J449" i="174"/>
  <c r="H438" i="174"/>
  <c r="L428" i="174"/>
  <c r="J417" i="174"/>
  <c r="H406" i="174"/>
  <c r="L396" i="174"/>
  <c r="J385" i="174"/>
  <c r="H374" i="174"/>
  <c r="L364" i="174"/>
  <c r="H493" i="174"/>
  <c r="M483" i="174"/>
  <c r="K472" i="174"/>
  <c r="I461" i="174"/>
  <c r="M451" i="174"/>
  <c r="K440" i="174"/>
  <c r="I429" i="174"/>
  <c r="M419" i="174"/>
  <c r="K408" i="174"/>
  <c r="I397" i="174"/>
  <c r="N397" i="174" s="1"/>
  <c r="M387" i="174"/>
  <c r="K376" i="174"/>
  <c r="I365" i="174"/>
  <c r="M355" i="174"/>
  <c r="H489" i="174"/>
  <c r="L479" i="174"/>
  <c r="J468" i="174"/>
  <c r="H457" i="174"/>
  <c r="L447" i="174"/>
  <c r="J436" i="174"/>
  <c r="H425" i="174"/>
  <c r="L415" i="174"/>
  <c r="J404" i="174"/>
  <c r="H393" i="174"/>
  <c r="L383" i="174"/>
  <c r="J372" i="174"/>
  <c r="H361" i="174"/>
  <c r="J508" i="174"/>
  <c r="J487" i="174"/>
  <c r="H476" i="174"/>
  <c r="L466" i="174"/>
  <c r="J455" i="174"/>
  <c r="H444" i="174"/>
  <c r="L434" i="174"/>
  <c r="J423" i="174"/>
  <c r="H412" i="174"/>
  <c r="L402" i="174"/>
  <c r="J391" i="174"/>
  <c r="H380" i="174"/>
  <c r="L370" i="174"/>
  <c r="J359" i="174"/>
  <c r="K490" i="174"/>
  <c r="I479" i="174"/>
  <c r="M469" i="174"/>
  <c r="K458" i="174"/>
  <c r="I447" i="174"/>
  <c r="M437" i="174"/>
  <c r="K426" i="174"/>
  <c r="I415" i="174"/>
  <c r="G415" i="174" s="1"/>
  <c r="M405" i="174"/>
  <c r="K394" i="174"/>
  <c r="I383" i="174"/>
  <c r="M373" i="174"/>
  <c r="K362" i="174"/>
  <c r="H505" i="174"/>
  <c r="I420" i="174"/>
  <c r="J351" i="174"/>
  <c r="H340" i="174"/>
  <c r="L330" i="174"/>
  <c r="J319" i="174"/>
  <c r="H308" i="174"/>
  <c r="L298" i="174"/>
  <c r="J287" i="174"/>
  <c r="H276" i="174"/>
  <c r="L266" i="174"/>
  <c r="J255" i="174"/>
  <c r="H244" i="174"/>
  <c r="L234" i="174"/>
  <c r="I480" i="174"/>
  <c r="K391" i="174"/>
  <c r="K346" i="174"/>
  <c r="I335" i="174"/>
  <c r="F335" i="174" s="1"/>
  <c r="M325" i="174"/>
  <c r="K314" i="174"/>
  <c r="I303" i="174"/>
  <c r="N303" i="174" s="1"/>
  <c r="M293" i="174"/>
  <c r="K282" i="174"/>
  <c r="I271" i="174"/>
  <c r="M261" i="174"/>
  <c r="K250" i="174"/>
  <c r="I239" i="174"/>
  <c r="F239" i="174" s="1"/>
  <c r="M490" i="174"/>
  <c r="I412" i="174"/>
  <c r="J350" i="174"/>
  <c r="H339" i="174"/>
  <c r="L329" i="174"/>
  <c r="J318" i="174"/>
  <c r="H307" i="174"/>
  <c r="L297" i="174"/>
  <c r="J286" i="174"/>
  <c r="H275" i="174"/>
  <c r="L265" i="174"/>
  <c r="J254" i="174"/>
  <c r="H243" i="174"/>
  <c r="L233" i="174"/>
  <c r="M486" i="174"/>
  <c r="I408" i="174"/>
  <c r="F408" i="174" s="1"/>
  <c r="I350" i="174"/>
  <c r="F350" i="174" s="1"/>
  <c r="M340" i="174"/>
  <c r="K329" i="174"/>
  <c r="I318" i="174"/>
  <c r="M308" i="174"/>
  <c r="K297" i="174"/>
  <c r="I286" i="174"/>
  <c r="M276" i="174"/>
  <c r="K265" i="174"/>
  <c r="I254" i="174"/>
  <c r="N254" i="174" s="1"/>
  <c r="M244" i="174"/>
  <c r="K233" i="174"/>
  <c r="M482" i="174"/>
  <c r="I404" i="174"/>
  <c r="L353" i="174"/>
  <c r="J341" i="174"/>
  <c r="H330" i="174"/>
  <c r="L320" i="174"/>
  <c r="J309" i="174"/>
  <c r="H298" i="174"/>
  <c r="L288" i="174"/>
  <c r="J277" i="174"/>
  <c r="H266" i="174"/>
  <c r="L256" i="174"/>
  <c r="J245" i="174"/>
  <c r="H234" i="174"/>
  <c r="L224" i="174"/>
  <c r="I428" i="174"/>
  <c r="N428" i="174" s="1"/>
  <c r="H354" i="174"/>
  <c r="J344" i="174"/>
  <c r="H333" i="174"/>
  <c r="L323" i="174"/>
  <c r="J312" i="174"/>
  <c r="H301" i="174"/>
  <c r="L291" i="174"/>
  <c r="J280" i="174"/>
  <c r="H269" i="174"/>
  <c r="L259" i="174"/>
  <c r="J248" i="174"/>
  <c r="H237" i="174"/>
  <c r="L227" i="174"/>
  <c r="M438" i="174"/>
  <c r="K359" i="174"/>
  <c r="K343" i="174"/>
  <c r="I332" i="174"/>
  <c r="M322" i="174"/>
  <c r="K311" i="174"/>
  <c r="I300" i="174"/>
  <c r="M290" i="174"/>
  <c r="K279" i="174"/>
  <c r="I268" i="174"/>
  <c r="M258" i="174"/>
  <c r="K247" i="174"/>
  <c r="I236" i="174"/>
  <c r="M226" i="174"/>
  <c r="I333" i="174"/>
  <c r="G333" i="174" s="1"/>
  <c r="K244" i="174"/>
  <c r="L216" i="174"/>
  <c r="J205" i="174"/>
  <c r="H194" i="174"/>
  <c r="L184" i="174"/>
  <c r="J173" i="174"/>
  <c r="H162" i="174"/>
  <c r="L152" i="174"/>
  <c r="J141" i="174"/>
  <c r="H130" i="174"/>
  <c r="L120" i="174"/>
  <c r="J109" i="174"/>
  <c r="H98" i="174"/>
  <c r="K336" i="174"/>
  <c r="M247" i="174"/>
  <c r="I217" i="174"/>
  <c r="F217" i="174" s="1"/>
  <c r="M207" i="174"/>
  <c r="K196" i="174"/>
  <c r="I185" i="174"/>
  <c r="M175" i="174"/>
  <c r="K164" i="174"/>
  <c r="I153" i="174"/>
  <c r="M143" i="174"/>
  <c r="K132" i="174"/>
  <c r="I121" i="174"/>
  <c r="M111" i="174"/>
  <c r="K375" i="174"/>
  <c r="K268" i="174"/>
  <c r="H217" i="174"/>
  <c r="L207" i="174"/>
  <c r="J196" i="174"/>
  <c r="H185" i="174"/>
  <c r="L175" i="174"/>
  <c r="J164" i="174"/>
  <c r="H153" i="174"/>
  <c r="L143" i="174"/>
  <c r="J132" i="174"/>
  <c r="H121" i="174"/>
  <c r="L111" i="174"/>
  <c r="J100" i="174"/>
  <c r="M303" i="174"/>
  <c r="M229" i="174"/>
  <c r="K215" i="174"/>
  <c r="I204" i="174"/>
  <c r="F204" i="174" s="1"/>
  <c r="M194" i="174"/>
  <c r="K183" i="174"/>
  <c r="I172" i="174"/>
  <c r="M162" i="174"/>
  <c r="K151" i="174"/>
  <c r="I140" i="174"/>
  <c r="M130" i="174"/>
  <c r="K119" i="174"/>
  <c r="I108" i="174"/>
  <c r="M98" i="174"/>
  <c r="I349" i="174"/>
  <c r="K260" i="174"/>
  <c r="J219" i="174"/>
  <c r="H208" i="174"/>
  <c r="L198" i="174"/>
  <c r="J187" i="174"/>
  <c r="H176" i="174"/>
  <c r="L166" i="174"/>
  <c r="J155" i="174"/>
  <c r="H144" i="174"/>
  <c r="L134" i="174"/>
  <c r="J123" i="174"/>
  <c r="H112" i="174"/>
  <c r="L102" i="174"/>
  <c r="K348" i="174"/>
  <c r="M259" i="174"/>
  <c r="L217" i="174"/>
  <c r="J206" i="174"/>
  <c r="H195" i="174"/>
  <c r="L185" i="174"/>
  <c r="J174" i="174"/>
  <c r="H163" i="174"/>
  <c r="L153" i="174"/>
  <c r="J142" i="174"/>
  <c r="H131" i="174"/>
  <c r="L121" i="174"/>
  <c r="J110" i="174"/>
  <c r="H99" i="174"/>
  <c r="M414" i="174"/>
  <c r="I273" i="174"/>
  <c r="F273" i="174" s="1"/>
  <c r="K217" i="174"/>
  <c r="I206" i="174"/>
  <c r="M196" i="174"/>
  <c r="K185" i="174"/>
  <c r="I174" i="174"/>
  <c r="F174" i="174" s="1"/>
  <c r="M164" i="174"/>
  <c r="K153" i="174"/>
  <c r="I142" i="174"/>
  <c r="N142" i="174" s="1"/>
  <c r="M132" i="174"/>
  <c r="K121" i="174"/>
  <c r="I110" i="174"/>
  <c r="M100" i="174"/>
  <c r="I227" i="174"/>
  <c r="K142" i="174"/>
  <c r="H87" i="174"/>
  <c r="L77" i="174"/>
  <c r="J66" i="174"/>
  <c r="H55" i="174"/>
  <c r="L45" i="174"/>
  <c r="L34" i="174"/>
  <c r="K23" i="174"/>
  <c r="K202" i="174"/>
  <c r="M113" i="174"/>
  <c r="K85" i="174"/>
  <c r="I74" i="174"/>
  <c r="M64" i="174"/>
  <c r="K53" i="174"/>
  <c r="I42" i="174"/>
  <c r="F42" i="174" s="1"/>
  <c r="I31" i="174"/>
  <c r="F31" i="174" s="1"/>
  <c r="I20" i="174"/>
  <c r="I159" i="174"/>
  <c r="K94" i="174"/>
  <c r="L84" i="174"/>
  <c r="J73" i="174"/>
  <c r="H62" i="174"/>
  <c r="L52" i="174"/>
  <c r="J41" i="174"/>
  <c r="H31" i="174"/>
  <c r="M21" i="174"/>
  <c r="K194" i="174"/>
  <c r="M105" i="174"/>
  <c r="K84" i="174"/>
  <c r="I73" i="174"/>
  <c r="M63" i="174"/>
  <c r="K52" i="174"/>
  <c r="I41" i="174"/>
  <c r="I30" i="174"/>
  <c r="L21" i="174"/>
  <c r="M165" i="174"/>
  <c r="I95" i="174"/>
  <c r="L83" i="174"/>
  <c r="J72" i="174"/>
  <c r="H61" i="174"/>
  <c r="L51" i="174"/>
  <c r="K40" i="174"/>
  <c r="J29" i="174"/>
  <c r="H18" i="174"/>
  <c r="K182" i="174"/>
  <c r="I99" i="174"/>
  <c r="N99" i="174" s="1"/>
  <c r="J83" i="174"/>
  <c r="H72" i="174"/>
  <c r="L62" i="174"/>
  <c r="J51" i="174"/>
  <c r="I40" i="174"/>
  <c r="N40" i="174" s="1"/>
  <c r="H29" i="174"/>
  <c r="M478" i="174"/>
  <c r="I171" i="174"/>
  <c r="J91" i="174"/>
  <c r="M81" i="174"/>
  <c r="K70" i="174"/>
  <c r="I59" i="174"/>
  <c r="M49" i="174"/>
  <c r="K39" i="174"/>
  <c r="I28" i="174"/>
  <c r="K320" i="174"/>
  <c r="I44" i="174"/>
  <c r="K47" i="174"/>
  <c r="K43" i="174"/>
  <c r="I29" i="174"/>
  <c r="M39" i="174"/>
  <c r="M66" i="174"/>
  <c r="K87" i="174"/>
  <c r="M70" i="174"/>
  <c r="M509" i="174"/>
  <c r="K498" i="174"/>
  <c r="J514" i="174"/>
  <c r="H503" i="174"/>
  <c r="L493" i="174"/>
  <c r="K509" i="174"/>
  <c r="I498" i="174"/>
  <c r="H514" i="174"/>
  <c r="L504" i="174"/>
  <c r="J493" i="174"/>
  <c r="K508" i="174"/>
  <c r="I497" i="174"/>
  <c r="M514" i="174"/>
  <c r="K503" i="174"/>
  <c r="L518" i="174"/>
  <c r="J507" i="174"/>
  <c r="L507" i="174"/>
  <c r="H483" i="174"/>
  <c r="L473" i="174"/>
  <c r="J462" i="174"/>
  <c r="H451" i="174"/>
  <c r="L441" i="174"/>
  <c r="J430" i="174"/>
  <c r="H419" i="174"/>
  <c r="L409" i="174"/>
  <c r="J398" i="174"/>
  <c r="H387" i="174"/>
  <c r="L377" i="174"/>
  <c r="J366" i="174"/>
  <c r="L503" i="174"/>
  <c r="M484" i="174"/>
  <c r="K473" i="174"/>
  <c r="I462" i="174"/>
  <c r="M452" i="174"/>
  <c r="K441" i="174"/>
  <c r="I430" i="174"/>
  <c r="M420" i="174"/>
  <c r="K409" i="174"/>
  <c r="I398" i="174"/>
  <c r="M388" i="174"/>
  <c r="K377" i="174"/>
  <c r="I366" i="174"/>
  <c r="F366" i="174" s="1"/>
  <c r="H490" i="174"/>
  <c r="L480" i="174"/>
  <c r="J469" i="174"/>
  <c r="H458" i="174"/>
  <c r="L448" i="174"/>
  <c r="J437" i="174"/>
  <c r="H426" i="174"/>
  <c r="L416" i="174"/>
  <c r="J405" i="174"/>
  <c r="H394" i="174"/>
  <c r="L384" i="174"/>
  <c r="J373" i="174"/>
  <c r="H362" i="174"/>
  <c r="L492" i="174"/>
  <c r="I481" i="174"/>
  <c r="N481" i="174" s="1"/>
  <c r="M471" i="174"/>
  <c r="K460" i="174"/>
  <c r="I449" i="174"/>
  <c r="M439" i="174"/>
  <c r="K428" i="174"/>
  <c r="I417" i="174"/>
  <c r="M407" i="174"/>
  <c r="K396" i="174"/>
  <c r="I385" i="174"/>
  <c r="G385" i="174" s="1"/>
  <c r="M375" i="174"/>
  <c r="K364" i="174"/>
  <c r="I353" i="174"/>
  <c r="N353" i="174" s="1"/>
  <c r="J488" i="174"/>
  <c r="H477" i="174"/>
  <c r="L467" i="174"/>
  <c r="J456" i="174"/>
  <c r="H445" i="174"/>
  <c r="L435" i="174"/>
  <c r="J424" i="174"/>
  <c r="H413" i="174"/>
  <c r="L403" i="174"/>
  <c r="J392" i="174"/>
  <c r="H381" i="174"/>
  <c r="L371" i="174"/>
  <c r="J360" i="174"/>
  <c r="H501" i="174"/>
  <c r="L486" i="174"/>
  <c r="J475" i="174"/>
  <c r="H464" i="174"/>
  <c r="L454" i="174"/>
  <c r="J443" i="174"/>
  <c r="H432" i="174"/>
  <c r="L422" i="174"/>
  <c r="J411" i="174"/>
  <c r="H400" i="174"/>
  <c r="L390" i="174"/>
  <c r="J379" i="174"/>
  <c r="H368" i="174"/>
  <c r="L358" i="174"/>
  <c r="M489" i="174"/>
  <c r="K478" i="174"/>
  <c r="I467" i="174"/>
  <c r="G467" i="174" s="1"/>
  <c r="M457" i="174"/>
  <c r="K446" i="174"/>
  <c r="I435" i="174"/>
  <c r="M425" i="174"/>
  <c r="K414" i="174"/>
  <c r="I403" i="174"/>
  <c r="F403" i="174" s="1"/>
  <c r="M393" i="174"/>
  <c r="K382" i="174"/>
  <c r="I371" i="174"/>
  <c r="M361" i="174"/>
  <c r="K491" i="174"/>
  <c r="M402" i="174"/>
  <c r="L350" i="174"/>
  <c r="J339" i="174"/>
  <c r="H328" i="174"/>
  <c r="L318" i="174"/>
  <c r="J307" i="174"/>
  <c r="H296" i="174"/>
  <c r="L286" i="174"/>
  <c r="J275" i="174"/>
  <c r="H264" i="174"/>
  <c r="L254" i="174"/>
  <c r="J243" i="174"/>
  <c r="H232" i="174"/>
  <c r="M462" i="174"/>
  <c r="I384" i="174"/>
  <c r="G384" i="174" s="1"/>
  <c r="M345" i="174"/>
  <c r="K334" i="174"/>
  <c r="I323" i="174"/>
  <c r="M313" i="174"/>
  <c r="K302" i="174"/>
  <c r="I291" i="174"/>
  <c r="F291" i="174" s="1"/>
  <c r="M281" i="174"/>
  <c r="K270" i="174"/>
  <c r="I259" i="174"/>
  <c r="N259" i="174" s="1"/>
  <c r="M249" i="174"/>
  <c r="K238" i="174"/>
  <c r="K483" i="174"/>
  <c r="M394" i="174"/>
  <c r="L349" i="174"/>
  <c r="J338" i="174"/>
  <c r="H327" i="174"/>
  <c r="L317" i="174"/>
  <c r="J306" i="174"/>
  <c r="H295" i="174"/>
  <c r="L285" i="174"/>
  <c r="J274" i="174"/>
  <c r="H263" i="174"/>
  <c r="L253" i="174"/>
  <c r="J242" i="174"/>
  <c r="H231" i="174"/>
  <c r="K479" i="174"/>
  <c r="M390" i="174"/>
  <c r="K349" i="174"/>
  <c r="I338" i="174"/>
  <c r="N338" i="174" s="1"/>
  <c r="M328" i="174"/>
  <c r="K317" i="174"/>
  <c r="I306" i="174"/>
  <c r="G306" i="174" s="1"/>
  <c r="M296" i="174"/>
  <c r="K285" i="174"/>
  <c r="I274" i="174"/>
  <c r="M264" i="174"/>
  <c r="K253" i="174"/>
  <c r="I242" i="174"/>
  <c r="G242" i="174" s="1"/>
  <c r="M232" i="174"/>
  <c r="K475" i="174"/>
  <c r="M386" i="174"/>
  <c r="H350" i="174"/>
  <c r="L340" i="174"/>
  <c r="J329" i="174"/>
  <c r="H318" i="174"/>
  <c r="L308" i="174"/>
  <c r="J297" i="174"/>
  <c r="H286" i="174"/>
  <c r="L276" i="174"/>
  <c r="J265" i="174"/>
  <c r="H254" i="174"/>
  <c r="L244" i="174"/>
  <c r="J233" i="174"/>
  <c r="J512" i="174"/>
  <c r="M410" i="174"/>
  <c r="J353" i="174"/>
  <c r="L343" i="174"/>
  <c r="J332" i="174"/>
  <c r="H321" i="174"/>
  <c r="L311" i="174"/>
  <c r="J300" i="174"/>
  <c r="H289" i="174"/>
  <c r="L279" i="174"/>
  <c r="J268" i="174"/>
  <c r="H257" i="174"/>
  <c r="L247" i="174"/>
  <c r="J236" i="174"/>
  <c r="H225" i="174"/>
  <c r="K431" i="174"/>
  <c r="L352" i="174"/>
  <c r="M342" i="174"/>
  <c r="K331" i="174"/>
  <c r="I320" i="174"/>
  <c r="M310" i="174"/>
  <c r="K299" i="174"/>
  <c r="I288" i="174"/>
  <c r="F288" i="174" s="1"/>
  <c r="M278" i="174"/>
  <c r="K267" i="174"/>
  <c r="I256" i="174"/>
  <c r="M246" i="174"/>
  <c r="K235" i="174"/>
  <c r="I224" i="174"/>
  <c r="M315" i="174"/>
  <c r="I237" i="174"/>
  <c r="H214" i="174"/>
  <c r="L204" i="174"/>
  <c r="J193" i="174"/>
  <c r="H182" i="174"/>
  <c r="L172" i="174"/>
  <c r="J161" i="174"/>
  <c r="H150" i="174"/>
  <c r="L140" i="174"/>
  <c r="J129" i="174"/>
  <c r="H118" i="174"/>
  <c r="L108" i="174"/>
  <c r="J97" i="174"/>
  <c r="I329" i="174"/>
  <c r="K240" i="174"/>
  <c r="K216" i="174"/>
  <c r="I205" i="174"/>
  <c r="M195" i="174"/>
  <c r="K184" i="174"/>
  <c r="I173" i="174"/>
  <c r="M163" i="174"/>
  <c r="K152" i="174"/>
  <c r="I141" i="174"/>
  <c r="M131" i="174"/>
  <c r="K120" i="174"/>
  <c r="I109" i="174"/>
  <c r="M339" i="174"/>
  <c r="I261" i="174"/>
  <c r="J216" i="174"/>
  <c r="H205" i="174"/>
  <c r="L195" i="174"/>
  <c r="J184" i="174"/>
  <c r="H173" i="174"/>
  <c r="L163" i="174"/>
  <c r="J152" i="174"/>
  <c r="H141" i="174"/>
  <c r="L131" i="174"/>
  <c r="J120" i="174"/>
  <c r="H109" i="174"/>
  <c r="L99" i="174"/>
  <c r="K296" i="174"/>
  <c r="K224" i="174"/>
  <c r="M214" i="174"/>
  <c r="K203" i="174"/>
  <c r="I192" i="174"/>
  <c r="F192" i="174" s="1"/>
  <c r="M182" i="174"/>
  <c r="K171" i="174"/>
  <c r="I160" i="174"/>
  <c r="M150" i="174"/>
  <c r="K139" i="174"/>
  <c r="I128" i="174"/>
  <c r="G128" i="174" s="1"/>
  <c r="M118" i="174"/>
  <c r="K107" i="174"/>
  <c r="I96" i="174"/>
  <c r="M331" i="174"/>
  <c r="I253" i="174"/>
  <c r="N253" i="174" s="1"/>
  <c r="L218" i="174"/>
  <c r="J207" i="174"/>
  <c r="H196" i="174"/>
  <c r="L186" i="174"/>
  <c r="J175" i="174"/>
  <c r="H164" i="174"/>
  <c r="L154" i="174"/>
  <c r="J143" i="174"/>
  <c r="H132" i="174"/>
  <c r="L122" i="174"/>
  <c r="J111" i="174"/>
  <c r="H100" i="174"/>
  <c r="I341" i="174"/>
  <c r="N341" i="174" s="1"/>
  <c r="K252" i="174"/>
  <c r="H215" i="174"/>
  <c r="L205" i="174"/>
  <c r="J194" i="174"/>
  <c r="H183" i="174"/>
  <c r="L173" i="174"/>
  <c r="J162" i="174"/>
  <c r="H151" i="174"/>
  <c r="L141" i="174"/>
  <c r="J130" i="174"/>
  <c r="H119" i="174"/>
  <c r="L109" i="174"/>
  <c r="J98" i="174"/>
  <c r="K344" i="174"/>
  <c r="M255" i="174"/>
  <c r="M216" i="174"/>
  <c r="K205" i="174"/>
  <c r="I194" i="174"/>
  <c r="M184" i="174"/>
  <c r="K173" i="174"/>
  <c r="I162" i="174"/>
  <c r="G162" i="174" s="1"/>
  <c r="M152" i="174"/>
  <c r="K141" i="174"/>
  <c r="I130" i="174"/>
  <c r="N130" i="174" s="1"/>
  <c r="M120" i="174"/>
  <c r="K109" i="174"/>
  <c r="I98" i="174"/>
  <c r="G98" i="174" s="1"/>
  <c r="M213" i="174"/>
  <c r="I135" i="174"/>
  <c r="J86" i="174"/>
  <c r="H75" i="174"/>
  <c r="L65" i="174"/>
  <c r="J54" i="174"/>
  <c r="H43" i="174"/>
  <c r="H32" i="174"/>
  <c r="M22" i="174"/>
  <c r="I195" i="174"/>
  <c r="K106" i="174"/>
  <c r="M84" i="174"/>
  <c r="K73" i="174"/>
  <c r="I62" i="174"/>
  <c r="M52" i="174"/>
  <c r="K41" i="174"/>
  <c r="K30" i="174"/>
  <c r="L19" i="174"/>
  <c r="M141" i="174"/>
  <c r="J93" i="174"/>
  <c r="H82" i="174"/>
  <c r="L72" i="174"/>
  <c r="J61" i="174"/>
  <c r="H50" i="174"/>
  <c r="M40" i="174"/>
  <c r="J30" i="174"/>
  <c r="H20" i="174"/>
  <c r="I187" i="174"/>
  <c r="L95" i="174"/>
  <c r="M83" i="174"/>
  <c r="K72" i="174"/>
  <c r="I61" i="174"/>
  <c r="N61" i="174" s="1"/>
  <c r="M51" i="174"/>
  <c r="L40" i="174"/>
  <c r="K29" i="174"/>
  <c r="J19" i="174"/>
  <c r="K158" i="174"/>
  <c r="H93" i="174"/>
  <c r="H81" i="174"/>
  <c r="L71" i="174"/>
  <c r="J60" i="174"/>
  <c r="H49" i="174"/>
  <c r="H38" i="174"/>
  <c r="L28" i="174"/>
  <c r="I345" i="174"/>
  <c r="N345" i="174" s="1"/>
  <c r="I175" i="174"/>
  <c r="M97" i="174"/>
  <c r="L82" i="174"/>
  <c r="J71" i="174"/>
  <c r="H60" i="174"/>
  <c r="L50" i="174"/>
  <c r="L39" i="174"/>
  <c r="J28" i="174"/>
  <c r="I313" i="174"/>
  <c r="M153" i="174"/>
  <c r="K90" i="174"/>
  <c r="I79" i="174"/>
  <c r="N79" i="174" s="1"/>
  <c r="M69" i="174"/>
  <c r="K58" i="174"/>
  <c r="I47" i="174"/>
  <c r="M38" i="174"/>
  <c r="K27" i="174"/>
  <c r="I179" i="174"/>
  <c r="M20" i="174"/>
  <c r="I37" i="174"/>
  <c r="G37" i="174" s="1"/>
  <c r="J40" i="174"/>
  <c r="H22" i="174"/>
  <c r="K32" i="174"/>
  <c r="K59" i="174"/>
  <c r="I80" i="174"/>
  <c r="H92" i="174"/>
  <c r="I503" i="174"/>
  <c r="F503" i="174" s="1"/>
  <c r="L509" i="174"/>
  <c r="I514" i="174"/>
  <c r="H498" i="174"/>
  <c r="M503" i="174"/>
  <c r="I508" i="174"/>
  <c r="N508" i="174" s="1"/>
  <c r="L489" i="174"/>
  <c r="J446" i="174"/>
  <c r="M436" i="174"/>
  <c r="J472" i="174"/>
  <c r="M265" i="174"/>
  <c r="K136" i="174"/>
  <c r="I451" i="174"/>
  <c r="F451" i="174" s="1"/>
  <c r="H273" i="174"/>
  <c r="I112" i="174"/>
  <c r="N112" i="174" s="1"/>
  <c r="K518" i="174"/>
  <c r="M497" i="174"/>
  <c r="J502" i="174"/>
  <c r="M508" i="174"/>
  <c r="J513" i="174"/>
  <c r="I517" i="174"/>
  <c r="K496" i="174"/>
  <c r="M502" i="174"/>
  <c r="L506" i="174"/>
  <c r="J482" i="174"/>
  <c r="L461" i="174"/>
  <c r="H439" i="174"/>
  <c r="J418" i="174"/>
  <c r="L397" i="174"/>
  <c r="H375" i="174"/>
  <c r="H497" i="174"/>
  <c r="M472" i="174"/>
  <c r="I450" i="174"/>
  <c r="K429" i="174"/>
  <c r="M408" i="174"/>
  <c r="I386" i="174"/>
  <c r="K365" i="174"/>
  <c r="H478" i="174"/>
  <c r="J457" i="174"/>
  <c r="L436" i="174"/>
  <c r="H414" i="174"/>
  <c r="J393" i="174"/>
  <c r="L372" i="174"/>
  <c r="M491" i="174"/>
  <c r="I469" i="174"/>
  <c r="N469" i="174" s="1"/>
  <c r="K448" i="174"/>
  <c r="M427" i="174"/>
  <c r="I405" i="174"/>
  <c r="K384" i="174"/>
  <c r="M363" i="174"/>
  <c r="L487" i="174"/>
  <c r="H465" i="174"/>
  <c r="J444" i="174"/>
  <c r="L423" i="174"/>
  <c r="H401" i="174"/>
  <c r="J380" i="174"/>
  <c r="L359" i="174"/>
  <c r="H484" i="174"/>
  <c r="J463" i="174"/>
  <c r="L442" i="174"/>
  <c r="H420" i="174"/>
  <c r="J399" i="174"/>
  <c r="L378" i="174"/>
  <c r="H356" i="174"/>
  <c r="M477" i="174"/>
  <c r="I455" i="174"/>
  <c r="F455" i="174" s="1"/>
  <c r="K434" i="174"/>
  <c r="M413" i="174"/>
  <c r="I391" i="174"/>
  <c r="K370" i="174"/>
  <c r="I484" i="174"/>
  <c r="H348" i="174"/>
  <c r="J327" i="174"/>
  <c r="L306" i="174"/>
  <c r="H284" i="174"/>
  <c r="J263" i="174"/>
  <c r="L242" i="174"/>
  <c r="K455" i="174"/>
  <c r="I343" i="174"/>
  <c r="K322" i="174"/>
  <c r="M301" i="174"/>
  <c r="I279" i="174"/>
  <c r="N279" i="174" s="1"/>
  <c r="K258" i="174"/>
  <c r="M237" i="174"/>
  <c r="K387" i="174"/>
  <c r="L337" i="174"/>
  <c r="H315" i="174"/>
  <c r="J294" i="174"/>
  <c r="L273" i="174"/>
  <c r="H251" i="174"/>
  <c r="J230" i="174"/>
  <c r="K383" i="174"/>
  <c r="K337" i="174"/>
  <c r="M316" i="174"/>
  <c r="I294" i="174"/>
  <c r="K273" i="174"/>
  <c r="M252" i="174"/>
  <c r="I230" i="174"/>
  <c r="K379" i="174"/>
  <c r="H338" i="174"/>
  <c r="J317" i="174"/>
  <c r="L296" i="174"/>
  <c r="H274" i="174"/>
  <c r="J253" i="174"/>
  <c r="L232" i="174"/>
  <c r="K403" i="174"/>
  <c r="H341" i="174"/>
  <c r="J320" i="174"/>
  <c r="L299" i="174"/>
  <c r="H277" i="174"/>
  <c r="J256" i="174"/>
  <c r="L235" i="174"/>
  <c r="I424" i="174"/>
  <c r="G424" i="174" s="1"/>
  <c r="I340" i="174"/>
  <c r="F340" i="174" s="1"/>
  <c r="K319" i="174"/>
  <c r="M298" i="174"/>
  <c r="I276" i="174"/>
  <c r="K255" i="174"/>
  <c r="M234" i="174"/>
  <c r="K308" i="174"/>
  <c r="J213" i="174"/>
  <c r="L192" i="174"/>
  <c r="H170" i="174"/>
  <c r="J149" i="174"/>
  <c r="L128" i="174"/>
  <c r="H106" i="174"/>
  <c r="M311" i="174"/>
  <c r="M215" i="174"/>
  <c r="I193" i="174"/>
  <c r="N193" i="174" s="1"/>
  <c r="K172" i="174"/>
  <c r="M151" i="174"/>
  <c r="I129" i="174"/>
  <c r="N129" i="174" s="1"/>
  <c r="K108" i="174"/>
  <c r="M243" i="174"/>
  <c r="J204" i="174"/>
  <c r="L183" i="174"/>
  <c r="H161" i="174"/>
  <c r="J140" i="174"/>
  <c r="L119" i="174"/>
  <c r="H97" i="174"/>
  <c r="M223" i="174"/>
  <c r="M202" i="174"/>
  <c r="I180" i="174"/>
  <c r="M138" i="174"/>
  <c r="I116" i="174"/>
  <c r="K95" i="174"/>
  <c r="M235" i="174"/>
  <c r="L206" i="174"/>
  <c r="H184" i="174"/>
  <c r="J163" i="174"/>
  <c r="L142" i="174"/>
  <c r="H120" i="174"/>
  <c r="J99" i="174"/>
  <c r="I245" i="174"/>
  <c r="F245" i="174" s="1"/>
  <c r="H203" i="174"/>
  <c r="J182" i="174"/>
  <c r="L161" i="174"/>
  <c r="J118" i="174"/>
  <c r="L97" i="174"/>
  <c r="K248" i="174"/>
  <c r="I182" i="174"/>
  <c r="F182" i="174" s="1"/>
  <c r="I118" i="174"/>
  <c r="G118" i="174" s="1"/>
  <c r="L53" i="174"/>
  <c r="L92" i="174"/>
  <c r="H37" i="174"/>
  <c r="H499" i="174"/>
  <c r="H510" i="174"/>
  <c r="I493" i="174"/>
  <c r="J503" i="174"/>
  <c r="J458" i="174"/>
  <c r="J394" i="174"/>
  <c r="I490" i="174"/>
  <c r="G490" i="174" s="1"/>
  <c r="M448" i="174"/>
  <c r="K405" i="174"/>
  <c r="L476" i="174"/>
  <c r="J433" i="174"/>
  <c r="H390" i="174"/>
  <c r="K488" i="174"/>
  <c r="I445" i="174"/>
  <c r="N445" i="174" s="1"/>
  <c r="M403" i="174"/>
  <c r="K360" i="174"/>
  <c r="L463" i="174"/>
  <c r="J420" i="174"/>
  <c r="H377" i="174"/>
  <c r="H460" i="174"/>
  <c r="L418" i="174"/>
  <c r="J375" i="174"/>
  <c r="K474" i="174"/>
  <c r="I431" i="174"/>
  <c r="M389" i="174"/>
  <c r="L346" i="174"/>
  <c r="J303" i="174"/>
  <c r="H260" i="174"/>
  <c r="M430" i="174"/>
  <c r="I319" i="174"/>
  <c r="G319" i="174" s="1"/>
  <c r="I255" i="174"/>
  <c r="M362" i="174"/>
  <c r="L313" i="174"/>
  <c r="I316" i="174"/>
  <c r="G316" i="174" s="1"/>
  <c r="H201" i="174"/>
  <c r="L137" i="174"/>
  <c r="K198" i="174"/>
  <c r="H56" i="174"/>
  <c r="J498" i="174"/>
  <c r="K444" i="174"/>
  <c r="H344" i="174"/>
  <c r="H311" i="174"/>
  <c r="J313" i="174"/>
  <c r="I392" i="174"/>
  <c r="L188" i="174"/>
  <c r="M279" i="174"/>
  <c r="I125" i="174"/>
  <c r="G125" i="174" s="1"/>
  <c r="H157" i="174"/>
  <c r="K219" i="174"/>
  <c r="K155" i="174"/>
  <c r="H224" i="174"/>
  <c r="H180" i="174"/>
  <c r="L138" i="174"/>
  <c r="J95" i="174"/>
  <c r="L221" i="174"/>
  <c r="J178" i="174"/>
  <c r="H135" i="174"/>
  <c r="L93" i="174"/>
  <c r="K221" i="174"/>
  <c r="M200" i="174"/>
  <c r="K157" i="174"/>
  <c r="M136" i="174"/>
  <c r="K93" i="174"/>
  <c r="J70" i="174"/>
  <c r="J27" i="174"/>
  <c r="K57" i="174"/>
  <c r="I35" i="174"/>
  <c r="L88" i="174"/>
  <c r="M517" i="174"/>
  <c r="I495" i="174"/>
  <c r="N495" i="174" s="1"/>
  <c r="L501" i="174"/>
  <c r="I506" i="174"/>
  <c r="L512" i="174"/>
  <c r="K516" i="174"/>
  <c r="M495" i="174"/>
  <c r="I500" i="174"/>
  <c r="N500" i="174" s="1"/>
  <c r="H504" i="174"/>
  <c r="L481" i="174"/>
  <c r="H459" i="174"/>
  <c r="J438" i="174"/>
  <c r="L417" i="174"/>
  <c r="H395" i="174"/>
  <c r="J374" i="174"/>
  <c r="L495" i="174"/>
  <c r="I470" i="174"/>
  <c r="F470" i="174" s="1"/>
  <c r="K449" i="174"/>
  <c r="M428" i="174"/>
  <c r="I406" i="174"/>
  <c r="K385" i="174"/>
  <c r="M364" i="174"/>
  <c r="J477" i="174"/>
  <c r="L456" i="174"/>
  <c r="H434" i="174"/>
  <c r="J413" i="174"/>
  <c r="L392" i="174"/>
  <c r="H370" i="174"/>
  <c r="I489" i="174"/>
  <c r="F489" i="174" s="1"/>
  <c r="K468" i="174"/>
  <c r="M447" i="174"/>
  <c r="I425" i="174"/>
  <c r="G425" i="174" s="1"/>
  <c r="K404" i="174"/>
  <c r="M383" i="174"/>
  <c r="I361" i="174"/>
  <c r="F361" i="174" s="1"/>
  <c r="H485" i="174"/>
  <c r="J464" i="174"/>
  <c r="L443" i="174"/>
  <c r="H421" i="174"/>
  <c r="J400" i="174"/>
  <c r="L379" i="174"/>
  <c r="H357" i="174"/>
  <c r="J483" i="174"/>
  <c r="L462" i="174"/>
  <c r="H440" i="174"/>
  <c r="J419" i="174"/>
  <c r="L398" i="174"/>
  <c r="H376" i="174"/>
  <c r="J355" i="174"/>
  <c r="I475" i="174"/>
  <c r="G475" i="174" s="1"/>
  <c r="K454" i="174"/>
  <c r="M433" i="174"/>
  <c r="I411" i="174"/>
  <c r="G411" i="174" s="1"/>
  <c r="K390" i="174"/>
  <c r="M369" i="174"/>
  <c r="M466" i="174"/>
  <c r="J347" i="174"/>
  <c r="L326" i="174"/>
  <c r="H304" i="174"/>
  <c r="J283" i="174"/>
  <c r="L262" i="174"/>
  <c r="H240" i="174"/>
  <c r="I448" i="174"/>
  <c r="K342" i="174"/>
  <c r="M321" i="174"/>
  <c r="I299" i="174"/>
  <c r="G299" i="174" s="1"/>
  <c r="K278" i="174"/>
  <c r="M257" i="174"/>
  <c r="I235" i="174"/>
  <c r="F235" i="174" s="1"/>
  <c r="I380" i="174"/>
  <c r="N380" i="174" s="1"/>
  <c r="H335" i="174"/>
  <c r="J314" i="174"/>
  <c r="L293" i="174"/>
  <c r="H271" i="174"/>
  <c r="J250" i="174"/>
  <c r="L229" i="174"/>
  <c r="I376" i="174"/>
  <c r="N376" i="174" s="1"/>
  <c r="M336" i="174"/>
  <c r="I314" i="174"/>
  <c r="N314" i="174" s="1"/>
  <c r="K293" i="174"/>
  <c r="M272" i="174"/>
  <c r="I250" i="174"/>
  <c r="N250" i="174" s="1"/>
  <c r="K229" i="174"/>
  <c r="I372" i="174"/>
  <c r="J337" i="174"/>
  <c r="L316" i="174"/>
  <c r="H294" i="174"/>
  <c r="J273" i="174"/>
  <c r="L252" i="174"/>
  <c r="H230" i="174"/>
  <c r="I396" i="174"/>
  <c r="J340" i="174"/>
  <c r="L319" i="174"/>
  <c r="H297" i="174"/>
  <c r="J276" i="174"/>
  <c r="L255" i="174"/>
  <c r="H233" i="174"/>
  <c r="M406" i="174"/>
  <c r="K339" i="174"/>
  <c r="M318" i="174"/>
  <c r="I296" i="174"/>
  <c r="G296" i="174" s="1"/>
  <c r="K275" i="174"/>
  <c r="M254" i="174"/>
  <c r="I232" i="174"/>
  <c r="G232" i="174" s="1"/>
  <c r="I301" i="174"/>
  <c r="N301" i="174" s="1"/>
  <c r="L212" i="174"/>
  <c r="H190" i="174"/>
  <c r="J169" i="174"/>
  <c r="L148" i="174"/>
  <c r="H126" i="174"/>
  <c r="J105" i="174"/>
  <c r="K304" i="174"/>
  <c r="I213" i="174"/>
  <c r="F213" i="174" s="1"/>
  <c r="K192" i="174"/>
  <c r="M171" i="174"/>
  <c r="I149" i="174"/>
  <c r="K128" i="174"/>
  <c r="M107" i="174"/>
  <c r="K236" i="174"/>
  <c r="L203" i="174"/>
  <c r="H181" i="174"/>
  <c r="J160" i="174"/>
  <c r="L139" i="174"/>
  <c r="H117" i="174"/>
  <c r="I400" i="174"/>
  <c r="N400" i="174" s="1"/>
  <c r="H222" i="174"/>
  <c r="I200" i="174"/>
  <c r="N200" i="174" s="1"/>
  <c r="K179" i="174"/>
  <c r="M158" i="174"/>
  <c r="I136" i="174"/>
  <c r="N136" i="174" s="1"/>
  <c r="K115" i="174"/>
  <c r="M94" i="174"/>
  <c r="I229" i="174"/>
  <c r="F229" i="174" s="1"/>
  <c r="H204" i="174"/>
  <c r="J183" i="174"/>
  <c r="L162" i="174"/>
  <c r="H140" i="174"/>
  <c r="J119" i="174"/>
  <c r="L98" i="174"/>
  <c r="I225" i="174"/>
  <c r="J202" i="174"/>
  <c r="L181" i="174"/>
  <c r="H159" i="174"/>
  <c r="J138" i="174"/>
  <c r="L117" i="174"/>
  <c r="H95" i="174"/>
  <c r="I241" i="174"/>
  <c r="G241" i="174" s="1"/>
  <c r="I202" i="174"/>
  <c r="N202" i="174" s="1"/>
  <c r="K181" i="174"/>
  <c r="M160" i="174"/>
  <c r="I138" i="174"/>
  <c r="G138" i="174" s="1"/>
  <c r="K117" i="174"/>
  <c r="M96" i="174"/>
  <c r="K110" i="174"/>
  <c r="L73" i="174"/>
  <c r="H51" i="174"/>
  <c r="L30" i="174"/>
  <c r="K170" i="174"/>
  <c r="K81" i="174"/>
  <c r="M60" i="174"/>
  <c r="K38" i="174"/>
  <c r="M205" i="174"/>
  <c r="H90" i="174"/>
  <c r="J69" i="174"/>
  <c r="L48" i="174"/>
  <c r="H27" i="174"/>
  <c r="K162" i="174"/>
  <c r="K80" i="174"/>
  <c r="M59" i="174"/>
  <c r="K37" i="174"/>
  <c r="M295" i="174"/>
  <c r="H89" i="174"/>
  <c r="J68" i="174"/>
  <c r="L47" i="174"/>
  <c r="J25" i="174"/>
  <c r="K150" i="174"/>
  <c r="J79" i="174"/>
  <c r="L58" i="174"/>
  <c r="J36" i="174"/>
  <c r="M217" i="174"/>
  <c r="I87" i="174"/>
  <c r="N87" i="174" s="1"/>
  <c r="K66" i="174"/>
  <c r="M45" i="174"/>
  <c r="I24" i="174"/>
  <c r="G24" i="174" s="1"/>
  <c r="J96" i="174"/>
  <c r="M78" i="174"/>
  <c r="K186" i="174"/>
  <c r="K55" i="174"/>
  <c r="K494" i="174"/>
  <c r="L437" i="174"/>
  <c r="M384" i="174"/>
  <c r="M467" i="174"/>
  <c r="J356" i="174"/>
  <c r="K459" i="174"/>
  <c r="K298" i="174"/>
  <c r="H227" i="174"/>
  <c r="L272" i="174"/>
  <c r="J232" i="174"/>
  <c r="J189" i="174"/>
  <c r="I297" i="174"/>
  <c r="F297" i="174" s="1"/>
  <c r="I105" i="174"/>
  <c r="F105" i="174" s="1"/>
  <c r="I220" i="174"/>
  <c r="F220" i="174" s="1"/>
  <c r="I92" i="174"/>
  <c r="L118" i="174"/>
  <c r="J94" i="174"/>
  <c r="I103" i="174"/>
  <c r="H28" i="174"/>
  <c r="M37" i="174"/>
  <c r="J26" i="174"/>
  <c r="M36" i="174"/>
  <c r="H45" i="174"/>
  <c r="L35" i="174"/>
  <c r="I43" i="174"/>
  <c r="G43" i="174" s="1"/>
  <c r="M129" i="174"/>
  <c r="M504" i="174"/>
  <c r="L502" i="174"/>
  <c r="H435" i="174"/>
  <c r="L393" i="174"/>
  <c r="K489" i="174"/>
  <c r="K425" i="174"/>
  <c r="H517" i="174"/>
  <c r="L432" i="174"/>
  <c r="L368" i="174"/>
  <c r="M423" i="174"/>
  <c r="M359" i="174"/>
  <c r="J440" i="174"/>
  <c r="L355" i="174"/>
  <c r="H480" i="174"/>
  <c r="J459" i="174"/>
  <c r="L438" i="174"/>
  <c r="H416" i="174"/>
  <c r="J395" i="174"/>
  <c r="L374" i="174"/>
  <c r="L511" i="174"/>
  <c r="M473" i="174"/>
  <c r="K430" i="174"/>
  <c r="M409" i="174"/>
  <c r="I387" i="174"/>
  <c r="K366" i="174"/>
  <c r="I452" i="174"/>
  <c r="G452" i="174" s="1"/>
  <c r="J323" i="174"/>
  <c r="L302" i="174"/>
  <c r="H280" i="174"/>
  <c r="J259" i="174"/>
  <c r="L238" i="174"/>
  <c r="I339" i="174"/>
  <c r="K318" i="174"/>
  <c r="M297" i="174"/>
  <c r="I275" i="174"/>
  <c r="N275" i="174" s="1"/>
  <c r="K254" i="174"/>
  <c r="M233" i="174"/>
  <c r="M360" i="174"/>
  <c r="L333" i="174"/>
  <c r="J290" i="174"/>
  <c r="L269" i="174"/>
  <c r="H247" i="174"/>
  <c r="J226" i="174"/>
  <c r="M358" i="174"/>
  <c r="K333" i="174"/>
  <c r="I290" i="174"/>
  <c r="K269" i="174"/>
  <c r="M248" i="174"/>
  <c r="I226" i="174"/>
  <c r="N226" i="174" s="1"/>
  <c r="M356" i="174"/>
  <c r="H334" i="174"/>
  <c r="L292" i="174"/>
  <c r="H270" i="174"/>
  <c r="J249" i="174"/>
  <c r="L228" i="174"/>
  <c r="K371" i="174"/>
  <c r="H337" i="174"/>
  <c r="J316" i="174"/>
  <c r="L295" i="174"/>
  <c r="J252" i="174"/>
  <c r="I336" i="174"/>
  <c r="K315" i="174"/>
  <c r="M294" i="174"/>
  <c r="I272" i="174"/>
  <c r="K251" i="174"/>
  <c r="M230" i="174"/>
  <c r="K276" i="174"/>
  <c r="J209" i="174"/>
  <c r="H166" i="174"/>
  <c r="J145" i="174"/>
  <c r="H102" i="174"/>
  <c r="M211" i="174"/>
  <c r="I189" i="174"/>
  <c r="K168" i="174"/>
  <c r="M147" i="174"/>
  <c r="K104" i="174"/>
  <c r="H221" i="174"/>
  <c r="L179" i="174"/>
  <c r="J136" i="174"/>
  <c r="L115" i="174"/>
  <c r="M335" i="174"/>
  <c r="M198" i="174"/>
  <c r="I176" i="174"/>
  <c r="N176" i="174" s="1"/>
  <c r="M134" i="174"/>
  <c r="L202" i="174"/>
  <c r="J159" i="174"/>
  <c r="H116" i="174"/>
  <c r="H199" i="174"/>
  <c r="J114" i="174"/>
  <c r="I178" i="174"/>
  <c r="N178" i="174" s="1"/>
  <c r="I91" i="174"/>
  <c r="N91" i="174" s="1"/>
  <c r="L49" i="174"/>
  <c r="I78" i="174"/>
  <c r="M505" i="174"/>
  <c r="J510" i="174"/>
  <c r="M516" i="174"/>
  <c r="I494" i="174"/>
  <c r="L500" i="174"/>
  <c r="K504" i="174"/>
  <c r="M510" i="174"/>
  <c r="L514" i="174"/>
  <c r="J490" i="174"/>
  <c r="L469" i="174"/>
  <c r="H447" i="174"/>
  <c r="J426" i="174"/>
  <c r="L405" i="174"/>
  <c r="H383" i="174"/>
  <c r="J362" i="174"/>
  <c r="M480" i="174"/>
  <c r="I458" i="174"/>
  <c r="K437" i="174"/>
  <c r="M416" i="174"/>
  <c r="I394" i="174"/>
  <c r="K373" i="174"/>
  <c r="H486" i="174"/>
  <c r="J465" i="174"/>
  <c r="L444" i="174"/>
  <c r="H422" i="174"/>
  <c r="J401" i="174"/>
  <c r="L380" i="174"/>
  <c r="H358" i="174"/>
  <c r="I477" i="174"/>
  <c r="F477" i="174" s="1"/>
  <c r="K456" i="174"/>
  <c r="M435" i="174"/>
  <c r="I413" i="174"/>
  <c r="K392" i="174"/>
  <c r="M371" i="174"/>
  <c r="J516" i="174"/>
  <c r="H473" i="174"/>
  <c r="J452" i="174"/>
  <c r="L431" i="174"/>
  <c r="H409" i="174"/>
  <c r="J388" i="174"/>
  <c r="L367" i="174"/>
  <c r="H492" i="174"/>
  <c r="J471" i="174"/>
  <c r="L450" i="174"/>
  <c r="H428" i="174"/>
  <c r="J407" i="174"/>
  <c r="L386" i="174"/>
  <c r="H364" i="174"/>
  <c r="M485" i="174"/>
  <c r="I463" i="174"/>
  <c r="G463" i="174" s="1"/>
  <c r="K442" i="174"/>
  <c r="M421" i="174"/>
  <c r="I399" i="174"/>
  <c r="F399" i="174" s="1"/>
  <c r="K378" i="174"/>
  <c r="M357" i="174"/>
  <c r="M370" i="174"/>
  <c r="J335" i="174"/>
  <c r="L314" i="174"/>
  <c r="H292" i="174"/>
  <c r="J271" i="174"/>
  <c r="L250" i="174"/>
  <c r="H228" i="174"/>
  <c r="I351" i="174"/>
  <c r="N351" i="174" s="1"/>
  <c r="K330" i="174"/>
  <c r="M309" i="174"/>
  <c r="I287" i="174"/>
  <c r="K266" i="174"/>
  <c r="M245" i="174"/>
  <c r="K451" i="174"/>
  <c r="L345" i="174"/>
  <c r="H323" i="174"/>
  <c r="J302" i="174"/>
  <c r="L281" i="174"/>
  <c r="H259" i="174"/>
  <c r="J238" i="174"/>
  <c r="K447" i="174"/>
  <c r="K345" i="174"/>
  <c r="M324" i="174"/>
  <c r="I302" i="174"/>
  <c r="N302" i="174" s="1"/>
  <c r="K281" i="174"/>
  <c r="M260" i="174"/>
  <c r="I238" i="174"/>
  <c r="F238" i="174" s="1"/>
  <c r="K443" i="174"/>
  <c r="H346" i="174"/>
  <c r="J325" i="174"/>
  <c r="L304" i="174"/>
  <c r="H282" i="174"/>
  <c r="J261" i="174"/>
  <c r="L240" i="174"/>
  <c r="K467" i="174"/>
  <c r="H349" i="174"/>
  <c r="J328" i="174"/>
  <c r="L307" i="174"/>
  <c r="H285" i="174"/>
  <c r="J264" i="174"/>
  <c r="L243" i="174"/>
  <c r="I488" i="174"/>
  <c r="N488" i="174" s="1"/>
  <c r="I348" i="174"/>
  <c r="N348" i="174" s="1"/>
  <c r="K327" i="174"/>
  <c r="M306" i="174"/>
  <c r="I284" i="174"/>
  <c r="N284" i="174" s="1"/>
  <c r="K263" i="174"/>
  <c r="M242" i="174"/>
  <c r="K439" i="174"/>
  <c r="J221" i="174"/>
  <c r="L200" i="174"/>
  <c r="H178" i="174"/>
  <c r="J157" i="174"/>
  <c r="L136" i="174"/>
  <c r="H114" i="174"/>
  <c r="I464" i="174"/>
  <c r="F464" i="174" s="1"/>
  <c r="J222" i="174"/>
  <c r="I201" i="174"/>
  <c r="K180" i="174"/>
  <c r="M159" i="174"/>
  <c r="I137" i="174"/>
  <c r="F137" i="174" s="1"/>
  <c r="K116" i="174"/>
  <c r="M307" i="174"/>
  <c r="J212" i="174"/>
  <c r="L191" i="174"/>
  <c r="H169" i="174"/>
  <c r="J148" i="174"/>
  <c r="L127" i="174"/>
  <c r="H105" i="174"/>
  <c r="K264" i="174"/>
  <c r="M210" i="174"/>
  <c r="I188" i="174"/>
  <c r="N188" i="174" s="1"/>
  <c r="K167" i="174"/>
  <c r="M146" i="174"/>
  <c r="I124" i="174"/>
  <c r="G124" i="174" s="1"/>
  <c r="K103" i="174"/>
  <c r="M299" i="174"/>
  <c r="L214" i="174"/>
  <c r="H192" i="174"/>
  <c r="J171" i="174"/>
  <c r="L150" i="174"/>
  <c r="H128" i="174"/>
  <c r="J107" i="174"/>
  <c r="I309" i="174"/>
  <c r="H211" i="174"/>
  <c r="J190" i="174"/>
  <c r="L169" i="174"/>
  <c r="H147" i="174"/>
  <c r="J126" i="174"/>
  <c r="L105" i="174"/>
  <c r="K312" i="174"/>
  <c r="M212" i="174"/>
  <c r="I190" i="174"/>
  <c r="K169" i="174"/>
  <c r="M148" i="174"/>
  <c r="I126" i="174"/>
  <c r="N126" i="174" s="1"/>
  <c r="K105" i="174"/>
  <c r="M181" i="174"/>
  <c r="J82" i="174"/>
  <c r="L61" i="174"/>
  <c r="J39" i="174"/>
  <c r="L18" i="174"/>
  <c r="I90" i="174"/>
  <c r="N90" i="174" s="1"/>
  <c r="K69" i="174"/>
  <c r="M48" i="174"/>
  <c r="K26" i="174"/>
  <c r="M109" i="174"/>
  <c r="H78" i="174"/>
  <c r="J57" i="174"/>
  <c r="L37" i="174"/>
  <c r="M327" i="174"/>
  <c r="I89" i="174"/>
  <c r="N89" i="174" s="1"/>
  <c r="K68" i="174"/>
  <c r="M47" i="174"/>
  <c r="K25" i="174"/>
  <c r="K126" i="174"/>
  <c r="H77" i="174"/>
  <c r="J56" i="174"/>
  <c r="H34" i="174"/>
  <c r="M221" i="174"/>
  <c r="H88" i="174"/>
  <c r="J67" i="174"/>
  <c r="L46" i="174"/>
  <c r="J24" i="174"/>
  <c r="M121" i="174"/>
  <c r="I75" i="174"/>
  <c r="N75" i="174" s="1"/>
  <c r="K54" i="174"/>
  <c r="M34" i="174"/>
  <c r="K83" i="174"/>
  <c r="M82" i="174"/>
  <c r="M74" i="174"/>
  <c r="K24" i="174"/>
  <c r="K218" i="174"/>
  <c r="K493" i="174"/>
  <c r="H512" i="174"/>
  <c r="H467" i="174"/>
  <c r="L425" i="174"/>
  <c r="H403" i="174"/>
  <c r="J382" i="174"/>
  <c r="L361" i="174"/>
  <c r="I478" i="174"/>
  <c r="K457" i="174"/>
  <c r="I414" i="174"/>
  <c r="G414" i="174" s="1"/>
  <c r="K393" i="174"/>
  <c r="M372" i="174"/>
  <c r="J485" i="174"/>
  <c r="L464" i="174"/>
  <c r="H442" i="174"/>
  <c r="J421" i="174"/>
  <c r="L400" i="174"/>
  <c r="H378" i="174"/>
  <c r="J357" i="174"/>
  <c r="K476" i="174"/>
  <c r="M455" i="174"/>
  <c r="I433" i="174"/>
  <c r="G433" i="174" s="1"/>
  <c r="K412" i="174"/>
  <c r="M391" i="174"/>
  <c r="I369" i="174"/>
  <c r="G369" i="174" s="1"/>
  <c r="H509" i="174"/>
  <c r="L451" i="174"/>
  <c r="H429" i="174"/>
  <c r="J408" i="174"/>
  <c r="L387" i="174"/>
  <c r="H365" i="174"/>
  <c r="J491" i="174"/>
  <c r="L470" i="174"/>
  <c r="H448" i="174"/>
  <c r="J427" i="174"/>
  <c r="L406" i="174"/>
  <c r="H384" i="174"/>
  <c r="J363" i="174"/>
  <c r="I483" i="174"/>
  <c r="G483" i="174" s="1"/>
  <c r="K462" i="174"/>
  <c r="M441" i="174"/>
  <c r="I419" i="174"/>
  <c r="F419" i="174" s="1"/>
  <c r="K398" i="174"/>
  <c r="M377" i="174"/>
  <c r="I355" i="174"/>
  <c r="K363" i="174"/>
  <c r="L334" i="174"/>
  <c r="H312" i="174"/>
  <c r="J291" i="174"/>
  <c r="L270" i="174"/>
  <c r="H248" i="174"/>
  <c r="J227" i="174"/>
  <c r="K350" i="174"/>
  <c r="M329" i="174"/>
  <c r="I307" i="174"/>
  <c r="K286" i="174"/>
  <c r="I243" i="174"/>
  <c r="I444" i="174"/>
  <c r="G444" i="174" s="1"/>
  <c r="H343" i="174"/>
  <c r="J322" i="174"/>
  <c r="L301" i="174"/>
  <c r="H279" i="174"/>
  <c r="J258" i="174"/>
  <c r="L237" i="174"/>
  <c r="I440" i="174"/>
  <c r="M344" i="174"/>
  <c r="I322" i="174"/>
  <c r="G322" i="174" s="1"/>
  <c r="K301" i="174"/>
  <c r="M280" i="174"/>
  <c r="I258" i="174"/>
  <c r="F258" i="174" s="1"/>
  <c r="K237" i="174"/>
  <c r="I436" i="174"/>
  <c r="J345" i="174"/>
  <c r="L324" i="174"/>
  <c r="H302" i="174"/>
  <c r="J281" i="174"/>
  <c r="L260" i="174"/>
  <c r="H238" i="174"/>
  <c r="I460" i="174"/>
  <c r="N460" i="174" s="1"/>
  <c r="J348" i="174"/>
  <c r="L327" i="174"/>
  <c r="H305" i="174"/>
  <c r="J284" i="174"/>
  <c r="L263" i="174"/>
  <c r="H241" i="174"/>
  <c r="M470" i="174"/>
  <c r="K347" i="174"/>
  <c r="M326" i="174"/>
  <c r="I304" i="174"/>
  <c r="K283" i="174"/>
  <c r="M262" i="174"/>
  <c r="I240" i="174"/>
  <c r="F240" i="174" s="1"/>
  <c r="M382" i="174"/>
  <c r="L220" i="174"/>
  <c r="H198" i="174"/>
  <c r="J177" i="174"/>
  <c r="L156" i="174"/>
  <c r="H134" i="174"/>
  <c r="J113" i="174"/>
  <c r="K407" i="174"/>
  <c r="I221" i="174"/>
  <c r="K200" i="174"/>
  <c r="M179" i="174"/>
  <c r="I157" i="174"/>
  <c r="M115" i="174"/>
  <c r="K300" i="174"/>
  <c r="L211" i="174"/>
  <c r="H189" i="174"/>
  <c r="J168" i="174"/>
  <c r="L147" i="174"/>
  <c r="H125" i="174"/>
  <c r="J104" i="174"/>
  <c r="I257" i="174"/>
  <c r="G257" i="174" s="1"/>
  <c r="I208" i="174"/>
  <c r="F208" i="174" s="1"/>
  <c r="K187" i="174"/>
  <c r="M166" i="174"/>
  <c r="I144" i="174"/>
  <c r="K123" i="174"/>
  <c r="M102" i="174"/>
  <c r="K292" i="174"/>
  <c r="H212" i="174"/>
  <c r="J191" i="174"/>
  <c r="L170" i="174"/>
  <c r="H148" i="174"/>
  <c r="J127" i="174"/>
  <c r="L106" i="174"/>
  <c r="M291" i="174"/>
  <c r="J210" i="174"/>
  <c r="L189" i="174"/>
  <c r="H167" i="174"/>
  <c r="J146" i="174"/>
  <c r="L125" i="174"/>
  <c r="H103" i="174"/>
  <c r="I305" i="174"/>
  <c r="N305" i="174" s="1"/>
  <c r="I210" i="174"/>
  <c r="K189" i="174"/>
  <c r="M168" i="174"/>
  <c r="I146" i="174"/>
  <c r="N146" i="174" s="1"/>
  <c r="K125" i="174"/>
  <c r="M104" i="174"/>
  <c r="K174" i="174"/>
  <c r="L81" i="174"/>
  <c r="H59" i="174"/>
  <c r="L38" i="174"/>
  <c r="I249" i="174"/>
  <c r="N249" i="174" s="1"/>
  <c r="K89" i="174"/>
  <c r="M68" i="174"/>
  <c r="I46" i="174"/>
  <c r="G46" i="174" s="1"/>
  <c r="M25" i="174"/>
  <c r="K102" i="174"/>
  <c r="J77" i="174"/>
  <c r="L56" i="174"/>
  <c r="H35" i="174"/>
  <c r="I223" i="174"/>
  <c r="K88" i="174"/>
  <c r="M67" i="174"/>
  <c r="I45" i="174"/>
  <c r="M24" i="174"/>
  <c r="I119" i="174"/>
  <c r="F119" i="174" s="1"/>
  <c r="J76" i="174"/>
  <c r="L55" i="174"/>
  <c r="J33" i="174"/>
  <c r="K214" i="174"/>
  <c r="J87" i="174"/>
  <c r="L66" i="174"/>
  <c r="H44" i="174"/>
  <c r="M23" i="174"/>
  <c r="K114" i="174"/>
  <c r="K74" i="174"/>
  <c r="M53" i="174"/>
  <c r="I32" i="174"/>
  <c r="G32" i="174" s="1"/>
  <c r="I76" i="174"/>
  <c r="K75" i="174"/>
  <c r="K67" i="174"/>
  <c r="I211" i="174"/>
  <c r="K28" i="174"/>
  <c r="K159" i="174"/>
  <c r="H139" i="174"/>
  <c r="M204" i="174"/>
  <c r="K161" i="174"/>
  <c r="M140" i="174"/>
  <c r="K97" i="174"/>
  <c r="M117" i="174"/>
  <c r="J74" i="174"/>
  <c r="J31" i="174"/>
  <c r="M177" i="174"/>
  <c r="I82" i="174"/>
  <c r="K61" i="174"/>
  <c r="I39" i="174"/>
  <c r="K18" i="174"/>
  <c r="H70" i="174"/>
  <c r="J49" i="174"/>
  <c r="L29" i="174"/>
  <c r="M169" i="174"/>
  <c r="I81" i="174"/>
  <c r="G81" i="174" s="1"/>
  <c r="K60" i="174"/>
  <c r="I38" i="174"/>
  <c r="I18" i="174"/>
  <c r="J92" i="174"/>
  <c r="H69" i="174"/>
  <c r="J48" i="174"/>
  <c r="H26" i="174"/>
  <c r="M157" i="174"/>
  <c r="H80" i="174"/>
  <c r="J59" i="174"/>
  <c r="K256" i="174"/>
  <c r="M89" i="174"/>
  <c r="I67" i="174"/>
  <c r="K46" i="174"/>
  <c r="M26" i="174"/>
  <c r="I147" i="174"/>
  <c r="F147" i="174" s="1"/>
  <c r="I33" i="174"/>
  <c r="N33" i="174" s="1"/>
  <c r="I25" i="174"/>
  <c r="M62" i="174"/>
  <c r="I515" i="174"/>
  <c r="G515" i="174" s="1"/>
  <c r="K505" i="174"/>
  <c r="M515" i="174"/>
  <c r="K499" i="174"/>
  <c r="H479" i="174"/>
  <c r="H415" i="174"/>
  <c r="L373" i="174"/>
  <c r="K469" i="174"/>
  <c r="I426" i="174"/>
  <c r="F426" i="174" s="1"/>
  <c r="I362" i="174"/>
  <c r="H454" i="174"/>
  <c r="L412" i="174"/>
  <c r="J369" i="174"/>
  <c r="K424" i="174"/>
  <c r="I381" i="174"/>
  <c r="J484" i="174"/>
  <c r="H441" i="174"/>
  <c r="L399" i="174"/>
  <c r="L482" i="174"/>
  <c r="J439" i="174"/>
  <c r="H396" i="174"/>
  <c r="L354" i="174"/>
  <c r="M453" i="174"/>
  <c r="K410" i="174"/>
  <c r="I367" i="174"/>
  <c r="N367" i="174" s="1"/>
  <c r="H324" i="174"/>
  <c r="L282" i="174"/>
  <c r="J239" i="174"/>
  <c r="M341" i="174"/>
  <c r="M277" i="174"/>
  <c r="K234" i="174"/>
  <c r="J334" i="174"/>
  <c r="H291" i="174"/>
  <c r="J270" i="174"/>
  <c r="L249" i="174"/>
  <c r="I360" i="174"/>
  <c r="F360" i="174" s="1"/>
  <c r="I334" i="174"/>
  <c r="K313" i="174"/>
  <c r="M292" i="174"/>
  <c r="I270" i="174"/>
  <c r="F270" i="174" s="1"/>
  <c r="K249" i="174"/>
  <c r="M228" i="174"/>
  <c r="I358" i="174"/>
  <c r="N358" i="174" s="1"/>
  <c r="L336" i="174"/>
  <c r="H314" i="174"/>
  <c r="J293" i="174"/>
  <c r="H250" i="174"/>
  <c r="J229" i="174"/>
  <c r="M378" i="174"/>
  <c r="L339" i="174"/>
  <c r="H317" i="174"/>
  <c r="J296" i="174"/>
  <c r="L275" i="174"/>
  <c r="H253" i="174"/>
  <c r="K399" i="174"/>
  <c r="M338" i="174"/>
  <c r="K295" i="174"/>
  <c r="M274" i="174"/>
  <c r="I252" i="174"/>
  <c r="G252" i="174" s="1"/>
  <c r="K231" i="174"/>
  <c r="M283" i="174"/>
  <c r="H210" i="174"/>
  <c r="L168" i="174"/>
  <c r="H146" i="174"/>
  <c r="J125" i="174"/>
  <c r="L104" i="174"/>
  <c r="K212" i="174"/>
  <c r="M191" i="174"/>
  <c r="I169" i="174"/>
  <c r="F169" i="174" s="1"/>
  <c r="K148" i="174"/>
  <c r="M127" i="174"/>
  <c r="I222" i="174"/>
  <c r="G222" i="174" s="1"/>
  <c r="J180" i="174"/>
  <c r="L159" i="174"/>
  <c r="H137" i="174"/>
  <c r="J116" i="174"/>
  <c r="I354" i="174"/>
  <c r="G354" i="174" s="1"/>
  <c r="K199" i="174"/>
  <c r="M178" i="174"/>
  <c r="I156" i="174"/>
  <c r="G156" i="174" s="1"/>
  <c r="K135" i="174"/>
  <c r="M114" i="174"/>
  <c r="M227" i="174"/>
  <c r="J203" i="174"/>
  <c r="L182" i="174"/>
  <c r="H160" i="174"/>
  <c r="J139" i="174"/>
  <c r="H96" i="174"/>
  <c r="H223" i="174"/>
  <c r="L201" i="174"/>
  <c r="H179" i="174"/>
  <c r="J158" i="174"/>
  <c r="H115" i="174"/>
  <c r="L222" i="174"/>
  <c r="K201" i="174"/>
  <c r="M180" i="174"/>
  <c r="I158" i="174"/>
  <c r="F158" i="174" s="1"/>
  <c r="K137" i="174"/>
  <c r="M116" i="174"/>
  <c r="I94" i="174"/>
  <c r="H71" i="174"/>
  <c r="J50" i="174"/>
  <c r="I163" i="174"/>
  <c r="M80" i="174"/>
  <c r="I58" i="174"/>
  <c r="G58" i="174" s="1"/>
  <c r="J89" i="174"/>
  <c r="L68" i="174"/>
  <c r="H46" i="174"/>
  <c r="I155" i="174"/>
  <c r="M79" i="174"/>
  <c r="I57" i="174"/>
  <c r="I215" i="174"/>
  <c r="J88" i="174"/>
  <c r="L67" i="174"/>
  <c r="L24" i="174"/>
  <c r="I143" i="174"/>
  <c r="N143" i="174" s="1"/>
  <c r="L78" i="174"/>
  <c r="K210" i="174"/>
  <c r="K86" i="174"/>
  <c r="M65" i="174"/>
  <c r="L23" i="174"/>
  <c r="M86" i="174"/>
  <c r="K71" i="174"/>
  <c r="I48" i="174"/>
  <c r="F48" i="174" s="1"/>
  <c r="K514" i="174"/>
  <c r="M493" i="174"/>
  <c r="J509" i="174"/>
  <c r="I513" i="174"/>
  <c r="N513" i="174" s="1"/>
  <c r="K492" i="174"/>
  <c r="M498" i="174"/>
  <c r="J478" i="174"/>
  <c r="L457" i="174"/>
  <c r="J414" i="174"/>
  <c r="H371" i="174"/>
  <c r="M468" i="174"/>
  <c r="I446" i="174"/>
  <c r="M404" i="174"/>
  <c r="I382" i="174"/>
  <c r="H474" i="174"/>
  <c r="J453" i="174"/>
  <c r="H410" i="174"/>
  <c r="J389" i="174"/>
  <c r="M487" i="174"/>
  <c r="I465" i="174"/>
  <c r="N465" i="174" s="1"/>
  <c r="I401" i="174"/>
  <c r="N401" i="174" s="1"/>
  <c r="K380" i="174"/>
  <c r="L483" i="174"/>
  <c r="H461" i="174"/>
  <c r="L419" i="174"/>
  <c r="H397" i="174"/>
  <c r="J376" i="174"/>
  <c r="K423" i="174"/>
  <c r="M312" i="174"/>
  <c r="L231" i="174"/>
  <c r="L124" i="174"/>
  <c r="J200" i="174"/>
  <c r="K91" i="174"/>
  <c r="L157" i="174"/>
  <c r="I114" i="174"/>
  <c r="M145" i="174"/>
  <c r="H511" i="174"/>
  <c r="I505" i="174"/>
  <c r="J470" i="174"/>
  <c r="L385" i="174"/>
  <c r="I438" i="174"/>
  <c r="G438" i="174" s="1"/>
  <c r="L488" i="174"/>
  <c r="H402" i="174"/>
  <c r="I457" i="174"/>
  <c r="F457" i="174" s="1"/>
  <c r="K372" i="174"/>
  <c r="J432" i="174"/>
  <c r="L494" i="174"/>
  <c r="H408" i="174"/>
  <c r="M465" i="174"/>
  <c r="I379" i="174"/>
  <c r="J315" i="174"/>
  <c r="L230" i="174"/>
  <c r="M289" i="174"/>
  <c r="J346" i="174"/>
  <c r="L261" i="174"/>
  <c r="K325" i="174"/>
  <c r="M240" i="174"/>
  <c r="J305" i="174"/>
  <c r="M474" i="174"/>
  <c r="L287" i="174"/>
  <c r="M350" i="174"/>
  <c r="I264" i="174"/>
  <c r="J201" i="174"/>
  <c r="L116" i="174"/>
  <c r="I181" i="174"/>
  <c r="F181" i="174" s="1"/>
  <c r="I325" i="174"/>
  <c r="N325" i="174" s="1"/>
  <c r="H149" i="174"/>
  <c r="K211" i="174"/>
  <c r="M126" i="174"/>
  <c r="L194" i="174"/>
  <c r="H108" i="174"/>
  <c r="J170" i="174"/>
  <c r="M319" i="174"/>
  <c r="K149" i="174"/>
  <c r="H83" i="174"/>
  <c r="M93" i="174"/>
  <c r="K134" i="174"/>
  <c r="H39" i="174"/>
  <c r="I77" i="174"/>
  <c r="I26" i="174"/>
  <c r="N26" i="174" s="1"/>
  <c r="L59" i="174"/>
  <c r="M125" i="174"/>
  <c r="J47" i="174"/>
  <c r="K78" i="174"/>
  <c r="H21" i="174"/>
  <c r="M193" i="174"/>
  <c r="K122" i="174"/>
  <c r="I148" i="174"/>
  <c r="I518" i="174"/>
  <c r="I512" i="174"/>
  <c r="F512" i="174" s="1"/>
  <c r="J450" i="174"/>
  <c r="L365" i="174"/>
  <c r="I418" i="174"/>
  <c r="L468" i="174"/>
  <c r="H382" i="174"/>
  <c r="I437" i="174"/>
  <c r="K352" i="174"/>
  <c r="J412" i="174"/>
  <c r="L474" i="174"/>
  <c r="H388" i="174"/>
  <c r="M445" i="174"/>
  <c r="I359" i="174"/>
  <c r="J295" i="174"/>
  <c r="M366" i="174"/>
  <c r="M269" i="174"/>
  <c r="J326" i="174"/>
  <c r="L241" i="174"/>
  <c r="K305" i="174"/>
  <c r="I468" i="174"/>
  <c r="J285" i="174"/>
  <c r="M352" i="174"/>
  <c r="L267" i="174"/>
  <c r="M330" i="174"/>
  <c r="I244" i="174"/>
  <c r="G244" i="174" s="1"/>
  <c r="J181" i="174"/>
  <c r="L96" i="174"/>
  <c r="I161" i="174"/>
  <c r="L215" i="174"/>
  <c r="H129" i="174"/>
  <c r="K191" i="174"/>
  <c r="M106" i="174"/>
  <c r="L174" i="174"/>
  <c r="M323" i="174"/>
  <c r="J150" i="174"/>
  <c r="I214" i="174"/>
  <c r="G214" i="174" s="1"/>
  <c r="K129" i="174"/>
  <c r="H63" i="174"/>
  <c r="M72" i="174"/>
  <c r="I127" i="174"/>
  <c r="N127" i="174" s="1"/>
  <c r="J38" i="174"/>
  <c r="M71" i="174"/>
  <c r="M197" i="174"/>
  <c r="H57" i="174"/>
  <c r="L91" i="174"/>
  <c r="H33" i="174"/>
  <c r="M77" i="174"/>
  <c r="I101" i="174"/>
  <c r="G101" i="174" s="1"/>
  <c r="H68" i="174"/>
  <c r="K517" i="174"/>
  <c r="K511" i="174"/>
  <c r="L449" i="174"/>
  <c r="H363" i="174"/>
  <c r="K417" i="174"/>
  <c r="H466" i="174"/>
  <c r="J381" i="174"/>
  <c r="K436" i="174"/>
  <c r="M351" i="174"/>
  <c r="L411" i="174"/>
  <c r="H472" i="174"/>
  <c r="J387" i="174"/>
  <c r="I443" i="174"/>
  <c r="N443" i="174" s="1"/>
  <c r="K358" i="174"/>
  <c r="L294" i="174"/>
  <c r="I352" i="174"/>
  <c r="N352" i="174" s="1"/>
  <c r="I267" i="174"/>
  <c r="L325" i="174"/>
  <c r="H239" i="174"/>
  <c r="M304" i="174"/>
  <c r="M450" i="174"/>
  <c r="L284" i="174"/>
  <c r="L351" i="174"/>
  <c r="H265" i="174"/>
  <c r="I328" i="174"/>
  <c r="F328" i="174" s="1"/>
  <c r="K243" i="174"/>
  <c r="L180" i="174"/>
  <c r="H94" i="174"/>
  <c r="K160" i="174"/>
  <c r="H213" i="174"/>
  <c r="J128" i="174"/>
  <c r="M190" i="174"/>
  <c r="I104" i="174"/>
  <c r="N104" i="174" s="1"/>
  <c r="H172" i="174"/>
  <c r="K316" i="174"/>
  <c r="L149" i="174"/>
  <c r="K213" i="174"/>
  <c r="M128" i="174"/>
  <c r="J62" i="174"/>
  <c r="I70" i="174"/>
  <c r="F70" i="174" s="1"/>
  <c r="J81" i="174"/>
  <c r="L25" i="174"/>
  <c r="I69" i="174"/>
  <c r="G69" i="174" s="1"/>
  <c r="I151" i="174"/>
  <c r="J44" i="174"/>
  <c r="L90" i="174"/>
  <c r="L27" i="174"/>
  <c r="I63" i="174"/>
  <c r="N63" i="174" s="1"/>
  <c r="M90" i="174"/>
  <c r="I52" i="174"/>
  <c r="L513" i="174"/>
  <c r="M507" i="174"/>
  <c r="H471" i="174"/>
  <c r="J386" i="174"/>
  <c r="M440" i="174"/>
  <c r="J489" i="174"/>
  <c r="L404" i="174"/>
  <c r="M459" i="174"/>
  <c r="I373" i="174"/>
  <c r="H433" i="174"/>
  <c r="H496" i="174"/>
  <c r="L410" i="174"/>
  <c r="K466" i="174"/>
  <c r="M381" i="174"/>
  <c r="H316" i="174"/>
  <c r="J231" i="174"/>
  <c r="K290" i="174"/>
  <c r="H347" i="174"/>
  <c r="J262" i="174"/>
  <c r="I326" i="174"/>
  <c r="N326" i="174" s="1"/>
  <c r="K241" i="174"/>
  <c r="H306" i="174"/>
  <c r="I492" i="174"/>
  <c r="J288" i="174"/>
  <c r="K351" i="174"/>
  <c r="M266" i="174"/>
  <c r="H202" i="174"/>
  <c r="J117" i="174"/>
  <c r="M183" i="174"/>
  <c r="K332" i="174"/>
  <c r="L151" i="174"/>
  <c r="I212" i="174"/>
  <c r="F212" i="174" s="1"/>
  <c r="K127" i="174"/>
  <c r="J195" i="174"/>
  <c r="L110" i="174"/>
  <c r="H171" i="174"/>
  <c r="I337" i="174"/>
  <c r="G337" i="174" s="1"/>
  <c r="I150" i="174"/>
  <c r="G150" i="174" s="1"/>
  <c r="L85" i="174"/>
  <c r="K100" i="174"/>
  <c r="I191" i="174"/>
  <c r="J45" i="174"/>
  <c r="K92" i="174"/>
  <c r="M28" i="174"/>
  <c r="H65" i="174"/>
  <c r="M231" i="174"/>
  <c r="H48" i="174"/>
  <c r="M85" i="174"/>
  <c r="K35" i="174"/>
  <c r="H19" i="174"/>
  <c r="K497" i="174"/>
  <c r="H516" i="174"/>
  <c r="L429" i="174"/>
  <c r="I482" i="174"/>
  <c r="F482" i="174" s="1"/>
  <c r="K397" i="174"/>
  <c r="H446" i="174"/>
  <c r="J361" i="174"/>
  <c r="K416" i="174"/>
  <c r="J476" i="174"/>
  <c r="L391" i="174"/>
  <c r="H452" i="174"/>
  <c r="J367" i="174"/>
  <c r="I423" i="174"/>
  <c r="K395" i="174"/>
  <c r="L274" i="174"/>
  <c r="M333" i="174"/>
  <c r="I247" i="174"/>
  <c r="L305" i="174"/>
  <c r="I472" i="174"/>
  <c r="G472" i="174" s="1"/>
  <c r="M284" i="174"/>
  <c r="J349" i="174"/>
  <c r="L264" i="174"/>
  <c r="L331" i="174"/>
  <c r="H245" i="174"/>
  <c r="I308" i="174"/>
  <c r="K223" i="174"/>
  <c r="L160" i="174"/>
  <c r="I233" i="174"/>
  <c r="K140" i="174"/>
  <c r="H193" i="174"/>
  <c r="J108" i="174"/>
  <c r="M170" i="174"/>
  <c r="K324" i="174"/>
  <c r="H152" i="174"/>
  <c r="J214" i="174"/>
  <c r="L129" i="174"/>
  <c r="K193" i="174"/>
  <c r="M108" i="174"/>
  <c r="J42" i="174"/>
  <c r="I50" i="174"/>
  <c r="L80" i="174"/>
  <c r="K19" i="174"/>
  <c r="K56" i="174"/>
  <c r="M133" i="174"/>
  <c r="J37" i="174"/>
  <c r="H76" i="174"/>
  <c r="H25" i="174"/>
  <c r="M57" i="174"/>
  <c r="K79" i="174"/>
  <c r="M31" i="174"/>
  <c r="M496" i="174"/>
  <c r="J515" i="174"/>
  <c r="H427" i="174"/>
  <c r="K481" i="174"/>
  <c r="M396" i="174"/>
  <c r="J445" i="174"/>
  <c r="L360" i="174"/>
  <c r="M415" i="174"/>
  <c r="L475" i="174"/>
  <c r="H389" i="174"/>
  <c r="J451" i="174"/>
  <c r="L366" i="174"/>
  <c r="K422" i="174"/>
  <c r="I388" i="174"/>
  <c r="G388" i="174" s="1"/>
  <c r="H272" i="174"/>
  <c r="I331" i="174"/>
  <c r="K246" i="174"/>
  <c r="H303" i="174"/>
  <c r="M454" i="174"/>
  <c r="I282" i="174"/>
  <c r="N282" i="174" s="1"/>
  <c r="L348" i="174"/>
  <c r="H262" i="174"/>
  <c r="H329" i="174"/>
  <c r="J244" i="174"/>
  <c r="K307" i="174"/>
  <c r="M222" i="174"/>
  <c r="H158" i="174"/>
  <c r="K226" i="174"/>
  <c r="M139" i="174"/>
  <c r="J192" i="174"/>
  <c r="L107" i="174"/>
  <c r="I168" i="174"/>
  <c r="F168" i="174" s="1"/>
  <c r="I317" i="174"/>
  <c r="N317" i="174" s="1"/>
  <c r="J151" i="174"/>
  <c r="L213" i="174"/>
  <c r="H127" i="174"/>
  <c r="M192" i="174"/>
  <c r="I106" i="174"/>
  <c r="L41" i="174"/>
  <c r="K49" i="174"/>
  <c r="H66" i="174"/>
  <c r="J18" i="174"/>
  <c r="I49" i="174"/>
  <c r="L87" i="174"/>
  <c r="L36" i="174"/>
  <c r="L70" i="174"/>
  <c r="I203" i="174"/>
  <c r="I55" i="174"/>
  <c r="F55" i="174" s="1"/>
  <c r="M263" i="174"/>
  <c r="M27" i="174"/>
  <c r="I507" i="174"/>
  <c r="H502" i="174"/>
  <c r="J500" i="174"/>
  <c r="H407" i="174"/>
  <c r="K461" i="174"/>
  <c r="M376" i="174"/>
  <c r="J425" i="174"/>
  <c r="K480" i="174"/>
  <c r="M395" i="174"/>
  <c r="L455" i="174"/>
  <c r="H369" i="174"/>
  <c r="J431" i="174"/>
  <c r="I487" i="174"/>
  <c r="N487" i="174" s="1"/>
  <c r="K402" i="174"/>
  <c r="L338" i="174"/>
  <c r="H252" i="174"/>
  <c r="I311" i="174"/>
  <c r="I476" i="174"/>
  <c r="G476" i="174" s="1"/>
  <c r="H283" i="174"/>
  <c r="M348" i="174"/>
  <c r="I262" i="174"/>
  <c r="N262" i="174" s="1"/>
  <c r="L328" i="174"/>
  <c r="H242" i="174"/>
  <c r="H309" i="174"/>
  <c r="J224" i="174"/>
  <c r="K287" i="174"/>
  <c r="K228" i="174"/>
  <c r="H138" i="174"/>
  <c r="K204" i="174"/>
  <c r="M119" i="174"/>
  <c r="J172" i="174"/>
  <c r="I289" i="174"/>
  <c r="H216" i="174"/>
  <c r="J131" i="174"/>
  <c r="L193" i="174"/>
  <c r="H107" i="174"/>
  <c r="M172" i="174"/>
  <c r="K206" i="174"/>
  <c r="J20" i="174"/>
  <c r="M29" i="174"/>
  <c r="L60" i="174"/>
  <c r="M137" i="174"/>
  <c r="K48" i="174"/>
  <c r="J80" i="174"/>
  <c r="I22" i="174"/>
  <c r="N22" i="174" s="1"/>
  <c r="K146" i="174"/>
  <c r="K42" i="174"/>
  <c r="I115" i="174"/>
  <c r="K63" i="174"/>
  <c r="K506" i="174"/>
  <c r="J501" i="174"/>
  <c r="H491" i="174"/>
  <c r="J406" i="174"/>
  <c r="M460" i="174"/>
  <c r="I374" i="174"/>
  <c r="G374" i="174" s="1"/>
  <c r="L424" i="174"/>
  <c r="M479" i="174"/>
  <c r="I393" i="174"/>
  <c r="G393" i="174" s="1"/>
  <c r="H453" i="174"/>
  <c r="J368" i="174"/>
  <c r="L430" i="174"/>
  <c r="K486" i="174"/>
  <c r="M401" i="174"/>
  <c r="H336" i="174"/>
  <c r="J251" i="174"/>
  <c r="K310" i="174"/>
  <c r="M458" i="174"/>
  <c r="J282" i="174"/>
  <c r="I346" i="174"/>
  <c r="F346" i="174" s="1"/>
  <c r="K261" i="174"/>
  <c r="H326" i="174"/>
  <c r="J241" i="174"/>
  <c r="J308" i="174"/>
  <c r="L223" i="174"/>
  <c r="M286" i="174"/>
  <c r="K222" i="174"/>
  <c r="J137" i="174"/>
  <c r="M203" i="174"/>
  <c r="I117" i="174"/>
  <c r="N117" i="174" s="1"/>
  <c r="L171" i="174"/>
  <c r="M271" i="174"/>
  <c r="K147" i="174"/>
  <c r="J215" i="174"/>
  <c r="L130" i="174"/>
  <c r="H191" i="174"/>
  <c r="J106" i="174"/>
  <c r="I170" i="174"/>
  <c r="I199" i="174"/>
  <c r="G199" i="174" s="1"/>
  <c r="M19" i="174"/>
  <c r="I27" i="174"/>
  <c r="H58" i="174"/>
  <c r="I93" i="174"/>
  <c r="I34" i="174"/>
  <c r="F34" i="174" s="1"/>
  <c r="L79" i="174"/>
  <c r="K288" i="174"/>
  <c r="J55" i="174"/>
  <c r="I139" i="174"/>
  <c r="I36" i="174"/>
  <c r="G36" i="174" s="1"/>
  <c r="I64" i="174"/>
  <c r="I56" i="174"/>
  <c r="G56" i="174" s="1"/>
  <c r="S512" i="170"/>
  <c r="W502" i="170"/>
  <c r="U491" i="170"/>
  <c r="S480" i="170"/>
  <c r="W470" i="170"/>
  <c r="U459" i="170"/>
  <c r="S448" i="170"/>
  <c r="W438" i="170"/>
  <c r="V514" i="170"/>
  <c r="T503" i="170"/>
  <c r="X493" i="170"/>
  <c r="V482" i="170"/>
  <c r="T471" i="170"/>
  <c r="X461" i="170"/>
  <c r="W517" i="170"/>
  <c r="U506" i="170"/>
  <c r="S495" i="170"/>
  <c r="U511" i="170"/>
  <c r="S500" i="170"/>
  <c r="W490" i="170"/>
  <c r="U479" i="170"/>
  <c r="S468" i="170"/>
  <c r="W458" i="170"/>
  <c r="U447" i="170"/>
  <c r="S436" i="170"/>
  <c r="X513" i="170"/>
  <c r="V502" i="170"/>
  <c r="T491" i="170"/>
  <c r="X481" i="170"/>
  <c r="V470" i="170"/>
  <c r="T459" i="170"/>
  <c r="S515" i="170"/>
  <c r="W505" i="170"/>
  <c r="U494" i="170"/>
  <c r="W510" i="170"/>
  <c r="U499" i="170"/>
  <c r="S488" i="170"/>
  <c r="W478" i="170"/>
  <c r="U467" i="170"/>
  <c r="S456" i="170"/>
  <c r="W446" i="170"/>
  <c r="U435" i="170"/>
  <c r="T511" i="170"/>
  <c r="Q511" i="170" s="1"/>
  <c r="X501" i="170"/>
  <c r="V490" i="170"/>
  <c r="T479" i="170"/>
  <c r="R479" i="170" s="1"/>
  <c r="X469" i="170"/>
  <c r="V458" i="170"/>
  <c r="U514" i="170"/>
  <c r="S503" i="170"/>
  <c r="W493" i="170"/>
  <c r="U482" i="170"/>
  <c r="W518" i="170"/>
  <c r="U503" i="170"/>
  <c r="S484" i="170"/>
  <c r="W466" i="170"/>
  <c r="U451" i="170"/>
  <c r="S432" i="170"/>
  <c r="X505" i="170"/>
  <c r="V486" i="170"/>
  <c r="T467" i="170"/>
  <c r="Y467" i="170" s="1"/>
  <c r="X453" i="170"/>
  <c r="W501" i="170"/>
  <c r="U486" i="170"/>
  <c r="U474" i="170"/>
  <c r="S463" i="170"/>
  <c r="W453" i="170"/>
  <c r="U442" i="170"/>
  <c r="T510" i="170"/>
  <c r="X500" i="170"/>
  <c r="V489" i="170"/>
  <c r="T478" i="170"/>
  <c r="X468" i="170"/>
  <c r="V457" i="170"/>
  <c r="T446" i="170"/>
  <c r="Y446" i="170" s="1"/>
  <c r="X436" i="170"/>
  <c r="U513" i="170"/>
  <c r="T517" i="170"/>
  <c r="R517" i="170" s="1"/>
  <c r="X507" i="170"/>
  <c r="V496" i="170"/>
  <c r="T485" i="170"/>
  <c r="R485" i="170" s="1"/>
  <c r="X475" i="170"/>
  <c r="V464" i="170"/>
  <c r="T453" i="170"/>
  <c r="Y453" i="170" s="1"/>
  <c r="X443" i="170"/>
  <c r="V432" i="170"/>
  <c r="S509" i="170"/>
  <c r="W499" i="170"/>
  <c r="U488" i="170"/>
  <c r="S477" i="170"/>
  <c r="W467" i="170"/>
  <c r="U456" i="170"/>
  <c r="S445" i="170"/>
  <c r="W435" i="170"/>
  <c r="T512" i="170"/>
  <c r="X502" i="170"/>
  <c r="V491" i="170"/>
  <c r="T480" i="170"/>
  <c r="X470" i="170"/>
  <c r="V459" i="170"/>
  <c r="T448" i="170"/>
  <c r="X438" i="170"/>
  <c r="U461" i="170"/>
  <c r="W429" i="170"/>
  <c r="U418" i="170"/>
  <c r="S407" i="170"/>
  <c r="W397" i="170"/>
  <c r="U386" i="170"/>
  <c r="S375" i="170"/>
  <c r="W365" i="170"/>
  <c r="U354" i="170"/>
  <c r="S343" i="170"/>
  <c r="W333" i="170"/>
  <c r="U322" i="170"/>
  <c r="S311" i="170"/>
  <c r="W301" i="170"/>
  <c r="U290" i="170"/>
  <c r="S279" i="170"/>
  <c r="W269" i="170"/>
  <c r="U258" i="170"/>
  <c r="S247" i="170"/>
  <c r="W237" i="170"/>
  <c r="U226" i="170"/>
  <c r="S215" i="170"/>
  <c r="W205" i="170"/>
  <c r="U194" i="170"/>
  <c r="S183" i="170"/>
  <c r="W173" i="170"/>
  <c r="U162" i="170"/>
  <c r="S151" i="170"/>
  <c r="U449" i="170"/>
  <c r="X428" i="170"/>
  <c r="V417" i="170"/>
  <c r="T406" i="170"/>
  <c r="R406" i="170" s="1"/>
  <c r="X396" i="170"/>
  <c r="V385" i="170"/>
  <c r="T374" i="170"/>
  <c r="Y374" i="170" s="1"/>
  <c r="X364" i="170"/>
  <c r="V353" i="170"/>
  <c r="T342" i="170"/>
  <c r="X332" i="170"/>
  <c r="V321" i="170"/>
  <c r="T310" i="170"/>
  <c r="X300" i="170"/>
  <c r="V289" i="170"/>
  <c r="T278" i="170"/>
  <c r="Q278" i="170" s="1"/>
  <c r="X268" i="170"/>
  <c r="V257" i="170"/>
  <c r="T246" i="170"/>
  <c r="X236" i="170"/>
  <c r="V225" i="170"/>
  <c r="T214" i="170"/>
  <c r="X204" i="170"/>
  <c r="V193" i="170"/>
  <c r="T182" i="170"/>
  <c r="R182" i="170" s="1"/>
  <c r="X172" i="170"/>
  <c r="V161" i="170"/>
  <c r="W492" i="170"/>
  <c r="W436" i="170"/>
  <c r="W424" i="170"/>
  <c r="U413" i="170"/>
  <c r="S402" i="170"/>
  <c r="W392" i="170"/>
  <c r="U381" i="170"/>
  <c r="S370" i="170"/>
  <c r="W360" i="170"/>
  <c r="U349" i="170"/>
  <c r="S338" i="170"/>
  <c r="W328" i="170"/>
  <c r="U317" i="170"/>
  <c r="S306" i="170"/>
  <c r="W296" i="170"/>
  <c r="U285" i="170"/>
  <c r="S274" i="170"/>
  <c r="W264" i="170"/>
  <c r="U253" i="170"/>
  <c r="S242" i="170"/>
  <c r="W232" i="170"/>
  <c r="U221" i="170"/>
  <c r="S210" i="170"/>
  <c r="W200" i="170"/>
  <c r="U189" i="170"/>
  <c r="W488" i="170"/>
  <c r="X427" i="170"/>
  <c r="V416" i="170"/>
  <c r="T405" i="170"/>
  <c r="X395" i="170"/>
  <c r="V384" i="170"/>
  <c r="T373" i="170"/>
  <c r="X363" i="170"/>
  <c r="V352" i="170"/>
  <c r="T341" i="170"/>
  <c r="X331" i="170"/>
  <c r="V320" i="170"/>
  <c r="T309" i="170"/>
  <c r="Q309" i="170" s="1"/>
  <c r="X299" i="170"/>
  <c r="V288" i="170"/>
  <c r="T277" i="170"/>
  <c r="Q277" i="170" s="1"/>
  <c r="X267" i="170"/>
  <c r="V256" i="170"/>
  <c r="T245" i="170"/>
  <c r="X235" i="170"/>
  <c r="V224" i="170"/>
  <c r="T213" i="170"/>
  <c r="R213" i="170" s="1"/>
  <c r="X203" i="170"/>
  <c r="V192" i="170"/>
  <c r="T181" i="170"/>
  <c r="U477" i="170"/>
  <c r="S429" i="170"/>
  <c r="W419" i="170"/>
  <c r="U408" i="170"/>
  <c r="S397" i="170"/>
  <c r="W387" i="170"/>
  <c r="U376" i="170"/>
  <c r="S365" i="170"/>
  <c r="W355" i="170"/>
  <c r="U344" i="170"/>
  <c r="S333" i="170"/>
  <c r="W323" i="170"/>
  <c r="U312" i="170"/>
  <c r="S301" i="170"/>
  <c r="W291" i="170"/>
  <c r="U280" i="170"/>
  <c r="S269" i="170"/>
  <c r="W259" i="170"/>
  <c r="U248" i="170"/>
  <c r="S237" i="170"/>
  <c r="W227" i="170"/>
  <c r="U216" i="170"/>
  <c r="S466" i="170"/>
  <c r="T428" i="170"/>
  <c r="X418" i="170"/>
  <c r="V407" i="170"/>
  <c r="T396" i="170"/>
  <c r="Q396" i="170" s="1"/>
  <c r="X386" i="170"/>
  <c r="V375" i="170"/>
  <c r="T364" i="170"/>
  <c r="X354" i="170"/>
  <c r="V343" i="170"/>
  <c r="T332" i="170"/>
  <c r="X322" i="170"/>
  <c r="V311" i="170"/>
  <c r="T300" i="170"/>
  <c r="R300" i="170" s="1"/>
  <c r="X290" i="170"/>
  <c r="V279" i="170"/>
  <c r="T268" i="170"/>
  <c r="Y268" i="170" s="1"/>
  <c r="X258" i="170"/>
  <c r="V247" i="170"/>
  <c r="T236" i="170"/>
  <c r="Y236" i="170" s="1"/>
  <c r="X226" i="170"/>
  <c r="V215" i="170"/>
  <c r="T204" i="170"/>
  <c r="S462" i="170"/>
  <c r="U427" i="170"/>
  <c r="S416" i="170"/>
  <c r="W406" i="170"/>
  <c r="U395" i="170"/>
  <c r="S384" i="170"/>
  <c r="W374" i="170"/>
  <c r="U363" i="170"/>
  <c r="S352" i="170"/>
  <c r="W342" i="170"/>
  <c r="U331" i="170"/>
  <c r="S320" i="170"/>
  <c r="W310" i="170"/>
  <c r="U299" i="170"/>
  <c r="S288" i="170"/>
  <c r="W278" i="170"/>
  <c r="U267" i="170"/>
  <c r="S256" i="170"/>
  <c r="W246" i="170"/>
  <c r="U235" i="170"/>
  <c r="S224" i="170"/>
  <c r="W214" i="170"/>
  <c r="U203" i="170"/>
  <c r="S192" i="170"/>
  <c r="W182" i="170"/>
  <c r="U171" i="170"/>
  <c r="S160" i="170"/>
  <c r="W150" i="170"/>
  <c r="T423" i="170"/>
  <c r="V334" i="170"/>
  <c r="X245" i="170"/>
  <c r="V191" i="170"/>
  <c r="S166" i="170"/>
  <c r="V147" i="170"/>
  <c r="W139" i="170"/>
  <c r="U128" i="170"/>
  <c r="S117" i="170"/>
  <c r="W107" i="170"/>
  <c r="U96" i="170"/>
  <c r="S85" i="170"/>
  <c r="W75" i="170"/>
  <c r="U64" i="170"/>
  <c r="S53" i="170"/>
  <c r="W43" i="170"/>
  <c r="W32" i="170"/>
  <c r="V21" i="170"/>
  <c r="X369" i="170"/>
  <c r="T291" i="170"/>
  <c r="Q291" i="170" s="1"/>
  <c r="W199" i="170"/>
  <c r="X177" i="170"/>
  <c r="V158" i="170"/>
  <c r="T146" i="170"/>
  <c r="X138" i="170"/>
  <c r="V127" i="170"/>
  <c r="T116" i="170"/>
  <c r="Q116" i="170" s="1"/>
  <c r="X106" i="170"/>
  <c r="V95" i="170"/>
  <c r="T84" i="170"/>
  <c r="Q84" i="170" s="1"/>
  <c r="X74" i="170"/>
  <c r="V63" i="170"/>
  <c r="T52" i="170"/>
  <c r="X42" i="170"/>
  <c r="X31" i="170"/>
  <c r="U21" i="170"/>
  <c r="X397" i="170"/>
  <c r="T319" i="170"/>
  <c r="V230" i="170"/>
  <c r="U180" i="170"/>
  <c r="T168" i="170"/>
  <c r="Y168" i="170" s="1"/>
  <c r="V149" i="170"/>
  <c r="S136" i="170"/>
  <c r="W126" i="170"/>
  <c r="U115" i="170"/>
  <c r="S104" i="170"/>
  <c r="W94" i="170"/>
  <c r="U83" i="170"/>
  <c r="S72" i="170"/>
  <c r="W62" i="170"/>
  <c r="U51" i="170"/>
  <c r="T40" i="170"/>
  <c r="Q40" i="170" s="1"/>
  <c r="S29" i="170"/>
  <c r="S18" i="170"/>
  <c r="V386" i="170"/>
  <c r="X297" i="170"/>
  <c r="T219" i="170"/>
  <c r="Y219" i="170" s="1"/>
  <c r="T180" i="170"/>
  <c r="X162" i="170"/>
  <c r="V138" i="170"/>
  <c r="T127" i="170"/>
  <c r="X117" i="170"/>
  <c r="V106" i="170"/>
  <c r="T95" i="170"/>
  <c r="X85" i="170"/>
  <c r="V74" i="170"/>
  <c r="T63" i="170"/>
  <c r="R63" i="170" s="1"/>
  <c r="X53" i="170"/>
  <c r="V42" i="170"/>
  <c r="T32" i="170"/>
  <c r="S21" i="170"/>
  <c r="X389" i="170"/>
  <c r="T311" i="170"/>
  <c r="V222" i="170"/>
  <c r="T187" i="170"/>
  <c r="V167" i="170"/>
  <c r="V152" i="170"/>
  <c r="U134" i="170"/>
  <c r="S123" i="170"/>
  <c r="W113" i="170"/>
  <c r="U102" i="170"/>
  <c r="S91" i="170"/>
  <c r="W81" i="170"/>
  <c r="U70" i="170"/>
  <c r="S59" i="170"/>
  <c r="W49" i="170"/>
  <c r="W38" i="170"/>
  <c r="U27" i="170"/>
  <c r="X417" i="170"/>
  <c r="T339" i="170"/>
  <c r="R339" i="170" s="1"/>
  <c r="V250" i="170"/>
  <c r="X189" i="170"/>
  <c r="U169" i="170"/>
  <c r="V150" i="170"/>
  <c r="T138" i="170"/>
  <c r="X128" i="170"/>
  <c r="V117" i="170"/>
  <c r="T106" i="170"/>
  <c r="R106" i="170" s="1"/>
  <c r="X96" i="170"/>
  <c r="V85" i="170"/>
  <c r="T74" i="170"/>
  <c r="X64" i="170"/>
  <c r="V53" i="170"/>
  <c r="T42" i="170"/>
  <c r="T31" i="170"/>
  <c r="T20" i="170"/>
  <c r="Y20" i="170" s="1"/>
  <c r="X381" i="170"/>
  <c r="T303" i="170"/>
  <c r="V214" i="170"/>
  <c r="S174" i="170"/>
  <c r="W156" i="170"/>
  <c r="W145" i="170"/>
  <c r="W136" i="170"/>
  <c r="U125" i="170"/>
  <c r="S114" i="170"/>
  <c r="W104" i="170"/>
  <c r="U93" i="170"/>
  <c r="S82" i="170"/>
  <c r="W72" i="170"/>
  <c r="U61" i="170"/>
  <c r="S50" i="170"/>
  <c r="X40" i="170"/>
  <c r="U30" i="170"/>
  <c r="S20" i="170"/>
  <c r="W168" i="170"/>
  <c r="X71" i="170"/>
  <c r="X217" i="170"/>
  <c r="T117" i="170"/>
  <c r="V25" i="170"/>
  <c r="T113" i="170"/>
  <c r="Q113" i="170" s="1"/>
  <c r="W21" i="170"/>
  <c r="X123" i="170"/>
  <c r="T45" i="170"/>
  <c r="T137" i="170"/>
  <c r="Q137" i="170" s="1"/>
  <c r="V48" i="170"/>
  <c r="V140" i="170"/>
  <c r="X51" i="170"/>
  <c r="V136" i="170"/>
  <c r="X47" i="170"/>
  <c r="S169" i="170"/>
  <c r="V100" i="170"/>
  <c r="T26" i="170"/>
  <c r="Y26" i="170" s="1"/>
  <c r="S516" i="170"/>
  <c r="W498" i="170"/>
  <c r="U483" i="170"/>
  <c r="S464" i="170"/>
  <c r="W450" i="170"/>
  <c r="V518" i="170"/>
  <c r="T499" i="170"/>
  <c r="X485" i="170"/>
  <c r="V466" i="170"/>
  <c r="U518" i="170"/>
  <c r="S499" i="170"/>
  <c r="W485" i="170"/>
  <c r="W473" i="170"/>
  <c r="U462" i="170"/>
  <c r="S451" i="170"/>
  <c r="W441" i="170"/>
  <c r="V509" i="170"/>
  <c r="T498" i="170"/>
  <c r="X488" i="170"/>
  <c r="V477" i="170"/>
  <c r="T466" i="170"/>
  <c r="R466" i="170" s="1"/>
  <c r="X456" i="170"/>
  <c r="V445" i="170"/>
  <c r="T434" i="170"/>
  <c r="W512" i="170"/>
  <c r="V516" i="170"/>
  <c r="T505" i="170"/>
  <c r="X495" i="170"/>
  <c r="V484" i="170"/>
  <c r="T473" i="170"/>
  <c r="Y473" i="170" s="1"/>
  <c r="X463" i="170"/>
  <c r="V452" i="170"/>
  <c r="T441" i="170"/>
  <c r="X431" i="170"/>
  <c r="U508" i="170"/>
  <c r="S497" i="170"/>
  <c r="W487" i="170"/>
  <c r="U476" i="170"/>
  <c r="S465" i="170"/>
  <c r="W455" i="170"/>
  <c r="U444" i="170"/>
  <c r="S433" i="170"/>
  <c r="V511" i="170"/>
  <c r="T500" i="170"/>
  <c r="X490" i="170"/>
  <c r="V479" i="170"/>
  <c r="T468" i="170"/>
  <c r="X458" i="170"/>
  <c r="V447" i="170"/>
  <c r="T436" i="170"/>
  <c r="S454" i="170"/>
  <c r="S427" i="170"/>
  <c r="W417" i="170"/>
  <c r="U406" i="170"/>
  <c r="S395" i="170"/>
  <c r="W385" i="170"/>
  <c r="U374" i="170"/>
  <c r="S363" i="170"/>
  <c r="W353" i="170"/>
  <c r="U342" i="170"/>
  <c r="S331" i="170"/>
  <c r="W321" i="170"/>
  <c r="U310" i="170"/>
  <c r="S299" i="170"/>
  <c r="W289" i="170"/>
  <c r="U278" i="170"/>
  <c r="S267" i="170"/>
  <c r="W257" i="170"/>
  <c r="U246" i="170"/>
  <c r="S235" i="170"/>
  <c r="W225" i="170"/>
  <c r="U214" i="170"/>
  <c r="S203" i="170"/>
  <c r="W193" i="170"/>
  <c r="U182" i="170"/>
  <c r="S171" i="170"/>
  <c r="W161" i="170"/>
  <c r="U150" i="170"/>
  <c r="S442" i="170"/>
  <c r="T426" i="170"/>
  <c r="X416" i="170"/>
  <c r="V405" i="170"/>
  <c r="T394" i="170"/>
  <c r="Y394" i="170" s="1"/>
  <c r="X384" i="170"/>
  <c r="V373" i="170"/>
  <c r="T362" i="170"/>
  <c r="X352" i="170"/>
  <c r="V341" i="170"/>
  <c r="T330" i="170"/>
  <c r="X320" i="170"/>
  <c r="V309" i="170"/>
  <c r="T298" i="170"/>
  <c r="Q298" i="170" s="1"/>
  <c r="X288" i="170"/>
  <c r="V277" i="170"/>
  <c r="T266" i="170"/>
  <c r="X256" i="170"/>
  <c r="V245" i="170"/>
  <c r="T234" i="170"/>
  <c r="X224" i="170"/>
  <c r="V213" i="170"/>
  <c r="T202" i="170"/>
  <c r="R202" i="170" s="1"/>
  <c r="X192" i="170"/>
  <c r="V181" i="170"/>
  <c r="T170" i="170"/>
  <c r="Y170" i="170" s="1"/>
  <c r="X160" i="170"/>
  <c r="U485" i="170"/>
  <c r="S435" i="170"/>
  <c r="S422" i="170"/>
  <c r="W412" i="170"/>
  <c r="U401" i="170"/>
  <c r="S390" i="170"/>
  <c r="W380" i="170"/>
  <c r="U369" i="170"/>
  <c r="S358" i="170"/>
  <c r="W348" i="170"/>
  <c r="U337" i="170"/>
  <c r="S326" i="170"/>
  <c r="W316" i="170"/>
  <c r="U305" i="170"/>
  <c r="S294" i="170"/>
  <c r="W284" i="170"/>
  <c r="U273" i="170"/>
  <c r="S262" i="170"/>
  <c r="W252" i="170"/>
  <c r="U241" i="170"/>
  <c r="S230" i="170"/>
  <c r="W220" i="170"/>
  <c r="U209" i="170"/>
  <c r="S198" i="170"/>
  <c r="W188" i="170"/>
  <c r="U481" i="170"/>
  <c r="T425" i="170"/>
  <c r="Y425" i="170" s="1"/>
  <c r="X415" i="170"/>
  <c r="V404" i="170"/>
  <c r="T393" i="170"/>
  <c r="X383" i="170"/>
  <c r="V372" i="170"/>
  <c r="T361" i="170"/>
  <c r="X351" i="170"/>
  <c r="V340" i="170"/>
  <c r="T329" i="170"/>
  <c r="Q329" i="170" s="1"/>
  <c r="X319" i="170"/>
  <c r="V308" i="170"/>
  <c r="T297" i="170"/>
  <c r="R297" i="170" s="1"/>
  <c r="X287" i="170"/>
  <c r="V276" i="170"/>
  <c r="T265" i="170"/>
  <c r="R265" i="170" s="1"/>
  <c r="X255" i="170"/>
  <c r="V244" i="170"/>
  <c r="T233" i="170"/>
  <c r="Q233" i="170" s="1"/>
  <c r="X223" i="170"/>
  <c r="V212" i="170"/>
  <c r="T201" i="170"/>
  <c r="X191" i="170"/>
  <c r="V180" i="170"/>
  <c r="S470" i="170"/>
  <c r="U428" i="170"/>
  <c r="S417" i="170"/>
  <c r="W407" i="170"/>
  <c r="U396" i="170"/>
  <c r="S385" i="170"/>
  <c r="W375" i="170"/>
  <c r="U364" i="170"/>
  <c r="S353" i="170"/>
  <c r="W343" i="170"/>
  <c r="U332" i="170"/>
  <c r="S321" i="170"/>
  <c r="W311" i="170"/>
  <c r="U300" i="170"/>
  <c r="S289" i="170"/>
  <c r="W279" i="170"/>
  <c r="U268" i="170"/>
  <c r="S257" i="170"/>
  <c r="W247" i="170"/>
  <c r="U236" i="170"/>
  <c r="S225" i="170"/>
  <c r="W215" i="170"/>
  <c r="S450" i="170"/>
  <c r="V427" i="170"/>
  <c r="T416" i="170"/>
  <c r="Q416" i="170" s="1"/>
  <c r="X406" i="170"/>
  <c r="V395" i="170"/>
  <c r="T384" i="170"/>
  <c r="X374" i="170"/>
  <c r="V363" i="170"/>
  <c r="T352" i="170"/>
  <c r="X342" i="170"/>
  <c r="V331" i="170"/>
  <c r="T320" i="170"/>
  <c r="R320" i="170" s="1"/>
  <c r="X310" i="170"/>
  <c r="V299" i="170"/>
  <c r="T288" i="170"/>
  <c r="Q288" i="170" s="1"/>
  <c r="X278" i="170"/>
  <c r="V267" i="170"/>
  <c r="T256" i="170"/>
  <c r="Y256" i="170" s="1"/>
  <c r="X246" i="170"/>
  <c r="V235" i="170"/>
  <c r="T224" i="170"/>
  <c r="R224" i="170" s="1"/>
  <c r="X214" i="170"/>
  <c r="V203" i="170"/>
  <c r="V446" i="170"/>
  <c r="W426" i="170"/>
  <c r="U415" i="170"/>
  <c r="S404" i="170"/>
  <c r="W394" i="170"/>
  <c r="U383" i="170"/>
  <c r="S372" i="170"/>
  <c r="W362" i="170"/>
  <c r="U351" i="170"/>
  <c r="S340" i="170"/>
  <c r="W330" i="170"/>
  <c r="U319" i="170"/>
  <c r="S308" i="170"/>
  <c r="W298" i="170"/>
  <c r="U287" i="170"/>
  <c r="S276" i="170"/>
  <c r="W266" i="170"/>
  <c r="U255" i="170"/>
  <c r="S244" i="170"/>
  <c r="W234" i="170"/>
  <c r="U223" i="170"/>
  <c r="S212" i="170"/>
  <c r="W202" i="170"/>
  <c r="U191" i="170"/>
  <c r="S180" i="170"/>
  <c r="W170" i="170"/>
  <c r="U159" i="170"/>
  <c r="S148" i="170"/>
  <c r="X405" i="170"/>
  <c r="T327" i="170"/>
  <c r="V238" i="170"/>
  <c r="X185" i="170"/>
  <c r="W163" i="170"/>
  <c r="U146" i="170"/>
  <c r="S137" i="170"/>
  <c r="W127" i="170"/>
  <c r="U116" i="170"/>
  <c r="S105" i="170"/>
  <c r="W95" i="170"/>
  <c r="U84" i="170"/>
  <c r="S73" i="170"/>
  <c r="W63" i="170"/>
  <c r="U52" i="170"/>
  <c r="S41" i="170"/>
  <c r="S30" i="170"/>
  <c r="T19" i="170"/>
  <c r="R19" i="170" s="1"/>
  <c r="V362" i="170"/>
  <c r="X273" i="170"/>
  <c r="V198" i="170"/>
  <c r="T173" i="170"/>
  <c r="T156" i="170"/>
  <c r="R156" i="170" s="1"/>
  <c r="T145" i="170"/>
  <c r="T136" i="170"/>
  <c r="X126" i="170"/>
  <c r="V115" i="170"/>
  <c r="T104" i="170"/>
  <c r="X94" i="170"/>
  <c r="V83" i="170"/>
  <c r="T72" i="170"/>
  <c r="R72" i="170" s="1"/>
  <c r="X62" i="170"/>
  <c r="V51" i="170"/>
  <c r="U40" i="170"/>
  <c r="T29" i="170"/>
  <c r="X20" i="170"/>
  <c r="V390" i="170"/>
  <c r="X301" i="170"/>
  <c r="T223" i="170"/>
  <c r="R223" i="170" s="1"/>
  <c r="T179" i="170"/>
  <c r="R179" i="170" s="1"/>
  <c r="X167" i="170"/>
  <c r="T148" i="170"/>
  <c r="U135" i="170"/>
  <c r="S124" i="170"/>
  <c r="W114" i="170"/>
  <c r="U103" i="170"/>
  <c r="S92" i="170"/>
  <c r="W82" i="170"/>
  <c r="U71" i="170"/>
  <c r="S60" i="170"/>
  <c r="W50" i="170"/>
  <c r="W39" i="170"/>
  <c r="U28" i="170"/>
  <c r="U497" i="170"/>
  <c r="T379" i="170"/>
  <c r="Y379" i="170" s="1"/>
  <c r="V290" i="170"/>
  <c r="X209" i="170"/>
  <c r="S177" i="170"/>
  <c r="U160" i="170"/>
  <c r="X137" i="170"/>
  <c r="V126" i="170"/>
  <c r="T115" i="170"/>
  <c r="X105" i="170"/>
  <c r="V94" i="170"/>
  <c r="T83" i="170"/>
  <c r="Q83" i="170" s="1"/>
  <c r="X73" i="170"/>
  <c r="V62" i="170"/>
  <c r="T51" i="170"/>
  <c r="Q51" i="170" s="1"/>
  <c r="X41" i="170"/>
  <c r="V31" i="170"/>
  <c r="V20" i="170"/>
  <c r="V382" i="170"/>
  <c r="X293" i="170"/>
  <c r="T215" i="170"/>
  <c r="Q215" i="170" s="1"/>
  <c r="X182" i="170"/>
  <c r="S165" i="170"/>
  <c r="X150" i="170"/>
  <c r="W133" i="170"/>
  <c r="U122" i="170"/>
  <c r="S111" i="170"/>
  <c r="W101" i="170"/>
  <c r="U90" i="170"/>
  <c r="S79" i="170"/>
  <c r="W69" i="170"/>
  <c r="U58" i="170"/>
  <c r="S47" i="170"/>
  <c r="S36" i="170"/>
  <c r="W26" i="170"/>
  <c r="V410" i="170"/>
  <c r="X321" i="170"/>
  <c r="T243" i="170"/>
  <c r="T188" i="170"/>
  <c r="Y188" i="170" s="1"/>
  <c r="T167" i="170"/>
  <c r="S149" i="170"/>
  <c r="V137" i="170"/>
  <c r="T126" i="170"/>
  <c r="X116" i="170"/>
  <c r="V105" i="170"/>
  <c r="T94" i="170"/>
  <c r="X84" i="170"/>
  <c r="V73" i="170"/>
  <c r="T62" i="170"/>
  <c r="X52" i="170"/>
  <c r="V41" i="170"/>
  <c r="V30" i="170"/>
  <c r="W19" i="170"/>
  <c r="V374" i="170"/>
  <c r="X285" i="170"/>
  <c r="S205" i="170"/>
  <c r="W171" i="170"/>
  <c r="V154" i="170"/>
  <c r="W144" i="170"/>
  <c r="S134" i="170"/>
  <c r="W124" i="170"/>
  <c r="U113" i="170"/>
  <c r="S102" i="170"/>
  <c r="W92" i="170"/>
  <c r="U81" i="170"/>
  <c r="S70" i="170"/>
  <c r="W60" i="170"/>
  <c r="U49" i="170"/>
  <c r="S39" i="170"/>
  <c r="W29" i="170"/>
  <c r="V19" i="170"/>
  <c r="W151" i="170"/>
  <c r="V64" i="170"/>
  <c r="V190" i="170"/>
  <c r="X99" i="170"/>
  <c r="V18" i="170"/>
  <c r="X95" i="170"/>
  <c r="X409" i="170"/>
  <c r="V116" i="170"/>
  <c r="X24" i="170"/>
  <c r="X119" i="170"/>
  <c r="T41" i="170"/>
  <c r="Q41" i="170" s="1"/>
  <c r="T133" i="170"/>
  <c r="Q133" i="170" s="1"/>
  <c r="V44" i="170"/>
  <c r="T129" i="170"/>
  <c r="R129" i="170" s="1"/>
  <c r="V37" i="170"/>
  <c r="X163" i="170"/>
  <c r="T93" i="170"/>
  <c r="U19" i="170"/>
  <c r="U515" i="170"/>
  <c r="S496" i="170"/>
  <c r="W482" i="170"/>
  <c r="U463" i="170"/>
  <c r="S444" i="170"/>
  <c r="X517" i="170"/>
  <c r="V498" i="170"/>
  <c r="T483" i="170"/>
  <c r="X465" i="170"/>
  <c r="W513" i="170"/>
  <c r="U498" i="170"/>
  <c r="S483" i="170"/>
  <c r="S471" i="170"/>
  <c r="W461" i="170"/>
  <c r="U450" i="170"/>
  <c r="T518" i="170"/>
  <c r="X508" i="170"/>
  <c r="V497" i="170"/>
  <c r="T486" i="170"/>
  <c r="Q486" i="170" s="1"/>
  <c r="X476" i="170"/>
  <c r="V465" i="170"/>
  <c r="T454" i="170"/>
  <c r="Y454" i="170" s="1"/>
  <c r="X444" i="170"/>
  <c r="V433" i="170"/>
  <c r="S510" i="170"/>
  <c r="X515" i="170"/>
  <c r="V504" i="170"/>
  <c r="T493" i="170"/>
  <c r="X483" i="170"/>
  <c r="V472" i="170"/>
  <c r="T461" i="170"/>
  <c r="Y461" i="170" s="1"/>
  <c r="X451" i="170"/>
  <c r="V440" i="170"/>
  <c r="S517" i="170"/>
  <c r="W507" i="170"/>
  <c r="U496" i="170"/>
  <c r="S485" i="170"/>
  <c r="W475" i="170"/>
  <c r="U464" i="170"/>
  <c r="S453" i="170"/>
  <c r="W443" i="170"/>
  <c r="U432" i="170"/>
  <c r="X510" i="170"/>
  <c r="V499" i="170"/>
  <c r="T488" i="170"/>
  <c r="X478" i="170"/>
  <c r="V467" i="170"/>
  <c r="T456" i="170"/>
  <c r="Q456" i="170" s="1"/>
  <c r="X446" i="170"/>
  <c r="V435" i="170"/>
  <c r="T451" i="170"/>
  <c r="U426" i="170"/>
  <c r="S415" i="170"/>
  <c r="W405" i="170"/>
  <c r="U394" i="170"/>
  <c r="S383" i="170"/>
  <c r="W373" i="170"/>
  <c r="U362" i="170"/>
  <c r="S351" i="170"/>
  <c r="W341" i="170"/>
  <c r="U330" i="170"/>
  <c r="S319" i="170"/>
  <c r="W309" i="170"/>
  <c r="U298" i="170"/>
  <c r="S287" i="170"/>
  <c r="W277" i="170"/>
  <c r="U266" i="170"/>
  <c r="S255" i="170"/>
  <c r="W245" i="170"/>
  <c r="U234" i="170"/>
  <c r="S223" i="170"/>
  <c r="W213" i="170"/>
  <c r="U202" i="170"/>
  <c r="S191" i="170"/>
  <c r="W181" i="170"/>
  <c r="U170" i="170"/>
  <c r="S159" i="170"/>
  <c r="W149" i="170"/>
  <c r="W440" i="170"/>
  <c r="V425" i="170"/>
  <c r="T414" i="170"/>
  <c r="R414" i="170" s="1"/>
  <c r="X404" i="170"/>
  <c r="V393" i="170"/>
  <c r="T382" i="170"/>
  <c r="X372" i="170"/>
  <c r="V361" i="170"/>
  <c r="T350" i="170"/>
  <c r="Y350" i="170" s="1"/>
  <c r="X340" i="170"/>
  <c r="V329" i="170"/>
  <c r="T318" i="170"/>
  <c r="R318" i="170" s="1"/>
  <c r="X308" i="170"/>
  <c r="V297" i="170"/>
  <c r="T286" i="170"/>
  <c r="X276" i="170"/>
  <c r="V265" i="170"/>
  <c r="T254" i="170"/>
  <c r="Q254" i="170" s="1"/>
  <c r="X244" i="170"/>
  <c r="V233" i="170"/>
  <c r="T222" i="170"/>
  <c r="Q222" i="170" s="1"/>
  <c r="X212" i="170"/>
  <c r="V201" i="170"/>
  <c r="T190" i="170"/>
  <c r="Y190" i="170" s="1"/>
  <c r="X180" i="170"/>
  <c r="V169" i="170"/>
  <c r="T158" i="170"/>
  <c r="R158" i="170" s="1"/>
  <c r="S478" i="170"/>
  <c r="S431" i="170"/>
  <c r="U421" i="170"/>
  <c r="S410" i="170"/>
  <c r="W400" i="170"/>
  <c r="U389" i="170"/>
  <c r="S378" i="170"/>
  <c r="W368" i="170"/>
  <c r="U357" i="170"/>
  <c r="S346" i="170"/>
  <c r="W336" i="170"/>
  <c r="U325" i="170"/>
  <c r="S314" i="170"/>
  <c r="W304" i="170"/>
  <c r="U293" i="170"/>
  <c r="S282" i="170"/>
  <c r="W272" i="170"/>
  <c r="U261" i="170"/>
  <c r="S250" i="170"/>
  <c r="W240" i="170"/>
  <c r="U229" i="170"/>
  <c r="S218" i="170"/>
  <c r="W208" i="170"/>
  <c r="U197" i="170"/>
  <c r="S186" i="170"/>
  <c r="S474" i="170"/>
  <c r="V424" i="170"/>
  <c r="T413" i="170"/>
  <c r="X403" i="170"/>
  <c r="V392" i="170"/>
  <c r="T381" i="170"/>
  <c r="R381" i="170" s="1"/>
  <c r="X371" i="170"/>
  <c r="V360" i="170"/>
  <c r="T349" i="170"/>
  <c r="Y349" i="170" s="1"/>
  <c r="X339" i="170"/>
  <c r="V328" i="170"/>
  <c r="T317" i="170"/>
  <c r="Y317" i="170" s="1"/>
  <c r="X307" i="170"/>
  <c r="V296" i="170"/>
  <c r="T285" i="170"/>
  <c r="R285" i="170" s="1"/>
  <c r="X275" i="170"/>
  <c r="V264" i="170"/>
  <c r="T253" i="170"/>
  <c r="X243" i="170"/>
  <c r="V232" i="170"/>
  <c r="T221" i="170"/>
  <c r="Q221" i="170" s="1"/>
  <c r="X211" i="170"/>
  <c r="V200" i="170"/>
  <c r="T189" i="170"/>
  <c r="Y189" i="170" s="1"/>
  <c r="X179" i="170"/>
  <c r="W452" i="170"/>
  <c r="W427" i="170"/>
  <c r="U416" i="170"/>
  <c r="S405" i="170"/>
  <c r="W395" i="170"/>
  <c r="U384" i="170"/>
  <c r="S373" i="170"/>
  <c r="W363" i="170"/>
  <c r="U352" i="170"/>
  <c r="S341" i="170"/>
  <c r="W331" i="170"/>
  <c r="U320" i="170"/>
  <c r="S309" i="170"/>
  <c r="W299" i="170"/>
  <c r="U288" i="170"/>
  <c r="S277" i="170"/>
  <c r="W267" i="170"/>
  <c r="U256" i="170"/>
  <c r="S245" i="170"/>
  <c r="W235" i="170"/>
  <c r="U224" i="170"/>
  <c r="S213" i="170"/>
  <c r="W448" i="170"/>
  <c r="X426" i="170"/>
  <c r="V415" i="170"/>
  <c r="T404" i="170"/>
  <c r="X394" i="170"/>
  <c r="V383" i="170"/>
  <c r="T372" i="170"/>
  <c r="X362" i="170"/>
  <c r="V351" i="170"/>
  <c r="T340" i="170"/>
  <c r="Q340" i="170" s="1"/>
  <c r="X330" i="170"/>
  <c r="V319" i="170"/>
  <c r="T308" i="170"/>
  <c r="Y308" i="170" s="1"/>
  <c r="X298" i="170"/>
  <c r="V287" i="170"/>
  <c r="T276" i="170"/>
  <c r="Y276" i="170" s="1"/>
  <c r="X266" i="170"/>
  <c r="V255" i="170"/>
  <c r="T244" i="170"/>
  <c r="X234" i="170"/>
  <c r="V223" i="170"/>
  <c r="T212" i="170"/>
  <c r="Q212" i="170" s="1"/>
  <c r="X202" i="170"/>
  <c r="T439" i="170"/>
  <c r="Y439" i="170" s="1"/>
  <c r="S424" i="170"/>
  <c r="W414" i="170"/>
  <c r="U403" i="170"/>
  <c r="S392" i="170"/>
  <c r="W382" i="170"/>
  <c r="U371" i="170"/>
  <c r="S360" i="170"/>
  <c r="W350" i="170"/>
  <c r="U339" i="170"/>
  <c r="S328" i="170"/>
  <c r="W318" i="170"/>
  <c r="U307" i="170"/>
  <c r="S296" i="170"/>
  <c r="W286" i="170"/>
  <c r="U275" i="170"/>
  <c r="S264" i="170"/>
  <c r="W254" i="170"/>
  <c r="U243" i="170"/>
  <c r="S232" i="170"/>
  <c r="W222" i="170"/>
  <c r="U211" i="170"/>
  <c r="S200" i="170"/>
  <c r="W190" i="170"/>
  <c r="U179" i="170"/>
  <c r="S168" i="170"/>
  <c r="W158" i="170"/>
  <c r="U147" i="170"/>
  <c r="V398" i="170"/>
  <c r="X309" i="170"/>
  <c r="T231" i="170"/>
  <c r="R231" i="170" s="1"/>
  <c r="T184" i="170"/>
  <c r="R184" i="170" s="1"/>
  <c r="T161" i="170"/>
  <c r="R161" i="170" s="1"/>
  <c r="U145" i="170"/>
  <c r="U136" i="170"/>
  <c r="S125" i="170"/>
  <c r="W115" i="170"/>
  <c r="U104" i="170"/>
  <c r="S93" i="170"/>
  <c r="W83" i="170"/>
  <c r="U72" i="170"/>
  <c r="S61" i="170"/>
  <c r="W51" i="170"/>
  <c r="V40" i="170"/>
  <c r="U29" i="170"/>
  <c r="U18" i="170"/>
  <c r="T355" i="170"/>
  <c r="R355" i="170" s="1"/>
  <c r="V266" i="170"/>
  <c r="U192" i="170"/>
  <c r="X170" i="170"/>
  <c r="X155" i="170"/>
  <c r="T144" i="170"/>
  <c r="V135" i="170"/>
  <c r="T124" i="170"/>
  <c r="Q124" i="170" s="1"/>
  <c r="X114" i="170"/>
  <c r="V103" i="170"/>
  <c r="T92" i="170"/>
  <c r="Y92" i="170" s="1"/>
  <c r="X82" i="170"/>
  <c r="V71" i="170"/>
  <c r="T60" i="170"/>
  <c r="X50" i="170"/>
  <c r="X39" i="170"/>
  <c r="V28" i="170"/>
  <c r="S19" i="170"/>
  <c r="T383" i="170"/>
  <c r="Q383" i="170" s="1"/>
  <c r="V294" i="170"/>
  <c r="U204" i="170"/>
  <c r="S178" i="170"/>
  <c r="U165" i="170"/>
  <c r="S147" i="170"/>
  <c r="W134" i="170"/>
  <c r="U123" i="170"/>
  <c r="S112" i="170"/>
  <c r="W102" i="170"/>
  <c r="U91" i="170"/>
  <c r="S80" i="170"/>
  <c r="W70" i="170"/>
  <c r="U59" i="170"/>
  <c r="S48" i="170"/>
  <c r="S37" i="170"/>
  <c r="W27" i="170"/>
  <c r="S446" i="170"/>
  <c r="X361" i="170"/>
  <c r="T283" i="170"/>
  <c r="V202" i="170"/>
  <c r="U176" i="170"/>
  <c r="X157" i="170"/>
  <c r="T135" i="170"/>
  <c r="R135" i="170" s="1"/>
  <c r="X125" i="170"/>
  <c r="V114" i="170"/>
  <c r="T103" i="170"/>
  <c r="R103" i="170" s="1"/>
  <c r="X93" i="170"/>
  <c r="V82" i="170"/>
  <c r="T71" i="170"/>
  <c r="R71" i="170" s="1"/>
  <c r="X61" i="170"/>
  <c r="V50" i="170"/>
  <c r="S40" i="170"/>
  <c r="X30" i="170"/>
  <c r="U465" i="170"/>
  <c r="T375" i="170"/>
  <c r="V286" i="170"/>
  <c r="S209" i="170"/>
  <c r="S181" i="170"/>
  <c r="W164" i="170"/>
  <c r="T149" i="170"/>
  <c r="Y149" i="170" s="1"/>
  <c r="S131" i="170"/>
  <c r="W121" i="170"/>
  <c r="U110" i="170"/>
  <c r="S99" i="170"/>
  <c r="W89" i="170"/>
  <c r="U78" i="170"/>
  <c r="S67" i="170"/>
  <c r="W57" i="170"/>
  <c r="U46" i="170"/>
  <c r="U35" i="170"/>
  <c r="S24" i="170"/>
  <c r="T403" i="170"/>
  <c r="V314" i="170"/>
  <c r="X225" i="170"/>
  <c r="W183" i="170"/>
  <c r="V164" i="170"/>
  <c r="X145" i="170"/>
  <c r="X136" i="170"/>
  <c r="V125" i="170"/>
  <c r="T114" i="170"/>
  <c r="X104" i="170"/>
  <c r="V93" i="170"/>
  <c r="T82" i="170"/>
  <c r="X72" i="170"/>
  <c r="V61" i="170"/>
  <c r="T50" i="170"/>
  <c r="Q50" i="170" s="1"/>
  <c r="T39" i="170"/>
  <c r="X29" i="170"/>
  <c r="X18" i="170"/>
  <c r="T367" i="170"/>
  <c r="R367" i="170" s="1"/>
  <c r="V278" i="170"/>
  <c r="W203" i="170"/>
  <c r="T169" i="170"/>
  <c r="R169" i="170" s="1"/>
  <c r="T152" i="170"/>
  <c r="Y152" i="170" s="1"/>
  <c r="W143" i="170"/>
  <c r="U133" i="170"/>
  <c r="S122" i="170"/>
  <c r="W112" i="170"/>
  <c r="U101" i="170"/>
  <c r="S90" i="170"/>
  <c r="W80" i="170"/>
  <c r="U69" i="170"/>
  <c r="S58" i="170"/>
  <c r="W48" i="170"/>
  <c r="U38" i="170"/>
  <c r="S27" i="170"/>
  <c r="W18" i="170"/>
  <c r="X135" i="170"/>
  <c r="T57" i="170"/>
  <c r="R57" i="170" s="1"/>
  <c r="X173" i="170"/>
  <c r="V92" i="170"/>
  <c r="T299" i="170"/>
  <c r="V88" i="170"/>
  <c r="T267" i="170"/>
  <c r="Q267" i="170" s="1"/>
  <c r="T109" i="170"/>
  <c r="Q109" i="170" s="1"/>
  <c r="S439" i="170"/>
  <c r="V112" i="170"/>
  <c r="T38" i="170"/>
  <c r="R38" i="170" s="1"/>
  <c r="X115" i="170"/>
  <c r="T34" i="170"/>
  <c r="X111" i="170"/>
  <c r="T30" i="170"/>
  <c r="W147" i="170"/>
  <c r="X75" i="170"/>
  <c r="W514" i="170"/>
  <c r="U495" i="170"/>
  <c r="S476" i="170"/>
  <c r="W462" i="170"/>
  <c r="U443" i="170"/>
  <c r="T515" i="170"/>
  <c r="X497" i="170"/>
  <c r="V478" i="170"/>
  <c r="T463" i="170"/>
  <c r="Q463" i="170" s="1"/>
  <c r="S511" i="170"/>
  <c r="W497" i="170"/>
  <c r="W481" i="170"/>
  <c r="U470" i="170"/>
  <c r="S459" i="170"/>
  <c r="W449" i="170"/>
  <c r="V517" i="170"/>
  <c r="T506" i="170"/>
  <c r="Q506" i="170" s="1"/>
  <c r="X496" i="170"/>
  <c r="V485" i="170"/>
  <c r="T474" i="170"/>
  <c r="Q474" i="170" s="1"/>
  <c r="X464" i="170"/>
  <c r="V453" i="170"/>
  <c r="T442" i="170"/>
  <c r="X432" i="170"/>
  <c r="U509" i="170"/>
  <c r="T513" i="170"/>
  <c r="R513" i="170" s="1"/>
  <c r="X503" i="170"/>
  <c r="V492" i="170"/>
  <c r="T481" i="170"/>
  <c r="Y481" i="170" s="1"/>
  <c r="X471" i="170"/>
  <c r="V460" i="170"/>
  <c r="T449" i="170"/>
  <c r="X439" i="170"/>
  <c r="U516" i="170"/>
  <c r="S505" i="170"/>
  <c r="W495" i="170"/>
  <c r="U484" i="170"/>
  <c r="S473" i="170"/>
  <c r="W463" i="170"/>
  <c r="U452" i="170"/>
  <c r="S441" i="170"/>
  <c r="W431" i="170"/>
  <c r="T508" i="170"/>
  <c r="X498" i="170"/>
  <c r="V487" i="170"/>
  <c r="T476" i="170"/>
  <c r="X466" i="170"/>
  <c r="V455" i="170"/>
  <c r="T444" i="170"/>
  <c r="Q444" i="170" s="1"/>
  <c r="X434" i="170"/>
  <c r="X449" i="170"/>
  <c r="W425" i="170"/>
  <c r="U414" i="170"/>
  <c r="S403" i="170"/>
  <c r="W393" i="170"/>
  <c r="U382" i="170"/>
  <c r="S371" i="170"/>
  <c r="W361" i="170"/>
  <c r="U350" i="170"/>
  <c r="S339" i="170"/>
  <c r="W329" i="170"/>
  <c r="U318" i="170"/>
  <c r="S307" i="170"/>
  <c r="W297" i="170"/>
  <c r="U286" i="170"/>
  <c r="S275" i="170"/>
  <c r="W265" i="170"/>
  <c r="U254" i="170"/>
  <c r="S243" i="170"/>
  <c r="W233" i="170"/>
  <c r="U222" i="170"/>
  <c r="S211" i="170"/>
  <c r="W201" i="170"/>
  <c r="U190" i="170"/>
  <c r="S179" i="170"/>
  <c r="W169" i="170"/>
  <c r="U158" i="170"/>
  <c r="W496" i="170"/>
  <c r="T435" i="170"/>
  <c r="Q435" i="170" s="1"/>
  <c r="X424" i="170"/>
  <c r="V413" i="170"/>
  <c r="T402" i="170"/>
  <c r="R402" i="170" s="1"/>
  <c r="X392" i="170"/>
  <c r="V381" i="170"/>
  <c r="T370" i="170"/>
  <c r="R370" i="170" s="1"/>
  <c r="X360" i="170"/>
  <c r="V349" i="170"/>
  <c r="T338" i="170"/>
  <c r="Q338" i="170" s="1"/>
  <c r="X328" i="170"/>
  <c r="V317" i="170"/>
  <c r="T306" i="170"/>
  <c r="Q306" i="170" s="1"/>
  <c r="X296" i="170"/>
  <c r="V285" i="170"/>
  <c r="T274" i="170"/>
  <c r="X264" i="170"/>
  <c r="V253" i="170"/>
  <c r="T242" i="170"/>
  <c r="Q242" i="170" s="1"/>
  <c r="X232" i="170"/>
  <c r="V221" i="170"/>
  <c r="T210" i="170"/>
  <c r="X200" i="170"/>
  <c r="V189" i="170"/>
  <c r="T178" i="170"/>
  <c r="X168" i="170"/>
  <c r="V157" i="170"/>
  <c r="W460" i="170"/>
  <c r="S430" i="170"/>
  <c r="W420" i="170"/>
  <c r="U409" i="170"/>
  <c r="S398" i="170"/>
  <c r="W388" i="170"/>
  <c r="U377" i="170"/>
  <c r="S366" i="170"/>
  <c r="W356" i="170"/>
  <c r="U345" i="170"/>
  <c r="S334" i="170"/>
  <c r="W324" i="170"/>
  <c r="U313" i="170"/>
  <c r="S302" i="170"/>
  <c r="W292" i="170"/>
  <c r="U281" i="170"/>
  <c r="S270" i="170"/>
  <c r="W260" i="170"/>
  <c r="U249" i="170"/>
  <c r="S238" i="170"/>
  <c r="W228" i="170"/>
  <c r="U217" i="170"/>
  <c r="S206" i="170"/>
  <c r="W196" i="170"/>
  <c r="U185" i="170"/>
  <c r="W456" i="170"/>
  <c r="X423" i="170"/>
  <c r="V412" i="170"/>
  <c r="T401" i="170"/>
  <c r="R401" i="170" s="1"/>
  <c r="X391" i="170"/>
  <c r="V380" i="170"/>
  <c r="T369" i="170"/>
  <c r="R369" i="170" s="1"/>
  <c r="X359" i="170"/>
  <c r="V348" i="170"/>
  <c r="T337" i="170"/>
  <c r="X327" i="170"/>
  <c r="V316" i="170"/>
  <c r="T305" i="170"/>
  <c r="X295" i="170"/>
  <c r="V284" i="170"/>
  <c r="T273" i="170"/>
  <c r="R273" i="170" s="1"/>
  <c r="X263" i="170"/>
  <c r="V252" i="170"/>
  <c r="T241" i="170"/>
  <c r="R241" i="170" s="1"/>
  <c r="X231" i="170"/>
  <c r="V220" i="170"/>
  <c r="T209" i="170"/>
  <c r="Y209" i="170" s="1"/>
  <c r="X199" i="170"/>
  <c r="V188" i="170"/>
  <c r="T177" i="170"/>
  <c r="V450" i="170"/>
  <c r="S425" i="170"/>
  <c r="W415" i="170"/>
  <c r="U404" i="170"/>
  <c r="S393" i="170"/>
  <c r="W383" i="170"/>
  <c r="U372" i="170"/>
  <c r="S361" i="170"/>
  <c r="W351" i="170"/>
  <c r="U340" i="170"/>
  <c r="S329" i="170"/>
  <c r="W319" i="170"/>
  <c r="U308" i="170"/>
  <c r="S297" i="170"/>
  <c r="W287" i="170"/>
  <c r="U276" i="170"/>
  <c r="S265" i="170"/>
  <c r="W255" i="170"/>
  <c r="U244" i="170"/>
  <c r="S233" i="170"/>
  <c r="W223" i="170"/>
  <c r="U212" i="170"/>
  <c r="U441" i="170"/>
  <c r="T424" i="170"/>
  <c r="R424" i="170" s="1"/>
  <c r="X414" i="170"/>
  <c r="V403" i="170"/>
  <c r="T392" i="170"/>
  <c r="Y392" i="170" s="1"/>
  <c r="X382" i="170"/>
  <c r="V371" i="170"/>
  <c r="T360" i="170"/>
  <c r="R360" i="170" s="1"/>
  <c r="X350" i="170"/>
  <c r="V339" i="170"/>
  <c r="T328" i="170"/>
  <c r="R328" i="170" s="1"/>
  <c r="X318" i="170"/>
  <c r="V307" i="170"/>
  <c r="T296" i="170"/>
  <c r="X286" i="170"/>
  <c r="V275" i="170"/>
  <c r="T264" i="170"/>
  <c r="Y264" i="170" s="1"/>
  <c r="X254" i="170"/>
  <c r="V243" i="170"/>
  <c r="T232" i="170"/>
  <c r="X222" i="170"/>
  <c r="V211" i="170"/>
  <c r="T200" i="170"/>
  <c r="S438" i="170"/>
  <c r="U423" i="170"/>
  <c r="S412" i="170"/>
  <c r="W402" i="170"/>
  <c r="U391" i="170"/>
  <c r="S380" i="170"/>
  <c r="W370" i="170"/>
  <c r="U359" i="170"/>
  <c r="S348" i="170"/>
  <c r="W338" i="170"/>
  <c r="U327" i="170"/>
  <c r="S316" i="170"/>
  <c r="W306" i="170"/>
  <c r="U295" i="170"/>
  <c r="S284" i="170"/>
  <c r="W274" i="170"/>
  <c r="U263" i="170"/>
  <c r="S252" i="170"/>
  <c r="W242" i="170"/>
  <c r="U231" i="170"/>
  <c r="S220" i="170"/>
  <c r="W210" i="170"/>
  <c r="U199" i="170"/>
  <c r="S188" i="170"/>
  <c r="W178" i="170"/>
  <c r="U167" i="170"/>
  <c r="S156" i="170"/>
  <c r="W146" i="170"/>
  <c r="T391" i="170"/>
  <c r="R391" i="170" s="1"/>
  <c r="V302" i="170"/>
  <c r="X213" i="170"/>
  <c r="W179" i="170"/>
  <c r="X158" i="170"/>
  <c r="U144" i="170"/>
  <c r="W135" i="170"/>
  <c r="U124" i="170"/>
  <c r="S113" i="170"/>
  <c r="W103" i="170"/>
  <c r="U92" i="170"/>
  <c r="S81" i="170"/>
  <c r="W71" i="170"/>
  <c r="U60" i="170"/>
  <c r="S49" i="170"/>
  <c r="S38" i="170"/>
  <c r="W28" i="170"/>
  <c r="V426" i="170"/>
  <c r="X337" i="170"/>
  <c r="T259" i="170"/>
  <c r="Q259" i="170" s="1"/>
  <c r="T191" i="170"/>
  <c r="Y191" i="170" s="1"/>
  <c r="U168" i="170"/>
  <c r="U153" i="170"/>
  <c r="S143" i="170"/>
  <c r="X134" i="170"/>
  <c r="V123" i="170"/>
  <c r="T112" i="170"/>
  <c r="Y112" i="170" s="1"/>
  <c r="X102" i="170"/>
  <c r="V91" i="170"/>
  <c r="T80" i="170"/>
  <c r="X70" i="170"/>
  <c r="V59" i="170"/>
  <c r="T48" i="170"/>
  <c r="Q48" i="170" s="1"/>
  <c r="T37" i="170"/>
  <c r="X27" i="170"/>
  <c r="T18" i="170"/>
  <c r="X365" i="170"/>
  <c r="T287" i="170"/>
  <c r="R287" i="170" s="1"/>
  <c r="V199" i="170"/>
  <c r="U177" i="170"/>
  <c r="T163" i="170"/>
  <c r="R163" i="170" s="1"/>
  <c r="S146" i="170"/>
  <c r="S132" i="170"/>
  <c r="W122" i="170"/>
  <c r="U111" i="170"/>
  <c r="S100" i="170"/>
  <c r="W90" i="170"/>
  <c r="U79" i="170"/>
  <c r="S68" i="170"/>
  <c r="W58" i="170"/>
  <c r="U47" i="170"/>
  <c r="U36" i="170"/>
  <c r="S25" i="170"/>
  <c r="V434" i="170"/>
  <c r="V354" i="170"/>
  <c r="X265" i="170"/>
  <c r="T199" i="170"/>
  <c r="Q199" i="170" s="1"/>
  <c r="W175" i="170"/>
  <c r="V155" i="170"/>
  <c r="V134" i="170"/>
  <c r="T123" i="170"/>
  <c r="R123" i="170" s="1"/>
  <c r="X113" i="170"/>
  <c r="V102" i="170"/>
  <c r="T91" i="170"/>
  <c r="Q91" i="170" s="1"/>
  <c r="X81" i="170"/>
  <c r="V70" i="170"/>
  <c r="T59" i="170"/>
  <c r="X49" i="170"/>
  <c r="V39" i="170"/>
  <c r="T28" i="170"/>
  <c r="Y28" i="170" s="1"/>
  <c r="W444" i="170"/>
  <c r="X357" i="170"/>
  <c r="T279" i="170"/>
  <c r="R279" i="170" s="1"/>
  <c r="W207" i="170"/>
  <c r="T176" i="170"/>
  <c r="V162" i="170"/>
  <c r="X141" i="170"/>
  <c r="U130" i="170"/>
  <c r="S119" i="170"/>
  <c r="W109" i="170"/>
  <c r="U98" i="170"/>
  <c r="S87" i="170"/>
  <c r="W77" i="170"/>
  <c r="U66" i="170"/>
  <c r="S55" i="170"/>
  <c r="W45" i="170"/>
  <c r="W34" i="170"/>
  <c r="U23" i="170"/>
  <c r="X385" i="170"/>
  <c r="T307" i="170"/>
  <c r="R307" i="170" s="1"/>
  <c r="V218" i="170"/>
  <c r="V182" i="170"/>
  <c r="S162" i="170"/>
  <c r="X144" i="170"/>
  <c r="T134" i="170"/>
  <c r="Y134" i="170" s="1"/>
  <c r="X124" i="170"/>
  <c r="V113" i="170"/>
  <c r="T102" i="170"/>
  <c r="Q102" i="170" s="1"/>
  <c r="X92" i="170"/>
  <c r="V81" i="170"/>
  <c r="T70" i="170"/>
  <c r="R70" i="170" s="1"/>
  <c r="X60" i="170"/>
  <c r="V49" i="170"/>
  <c r="V38" i="170"/>
  <c r="T27" i="170"/>
  <c r="R27" i="170" s="1"/>
  <c r="S458" i="170"/>
  <c r="X349" i="170"/>
  <c r="T271" i="170"/>
  <c r="Y271" i="170" s="1"/>
  <c r="U196" i="170"/>
  <c r="X166" i="170"/>
  <c r="X151" i="170"/>
  <c r="V142" i="170"/>
  <c r="W132" i="170"/>
  <c r="U121" i="170"/>
  <c r="S110" i="170"/>
  <c r="W100" i="170"/>
  <c r="U89" i="170"/>
  <c r="S78" i="170"/>
  <c r="W68" i="170"/>
  <c r="U57" i="170"/>
  <c r="S46" i="170"/>
  <c r="W37" i="170"/>
  <c r="U26" i="170"/>
  <c r="T363" i="170"/>
  <c r="R363" i="170" s="1"/>
  <c r="V128" i="170"/>
  <c r="X36" i="170"/>
  <c r="V156" i="170"/>
  <c r="T85" i="170"/>
  <c r="V242" i="170"/>
  <c r="T81" i="170"/>
  <c r="Q81" i="170" s="1"/>
  <c r="V210" i="170"/>
  <c r="X91" i="170"/>
  <c r="X377" i="170"/>
  <c r="T105" i="170"/>
  <c r="R105" i="170" s="1"/>
  <c r="V402" i="170"/>
  <c r="V108" i="170"/>
  <c r="T427" i="170"/>
  <c r="V104" i="170"/>
  <c r="T395" i="170"/>
  <c r="V143" i="170"/>
  <c r="V68" i="170"/>
  <c r="U507" i="170"/>
  <c r="W474" i="170"/>
  <c r="S440" i="170"/>
  <c r="V494" i="170"/>
  <c r="X457" i="170"/>
  <c r="U490" i="170"/>
  <c r="S467" i="170"/>
  <c r="U446" i="170"/>
  <c r="X504" i="170"/>
  <c r="T482" i="170"/>
  <c r="R482" i="170" s="1"/>
  <c r="V461" i="170"/>
  <c r="X440" i="170"/>
  <c r="S506" i="170"/>
  <c r="V500" i="170"/>
  <c r="X479" i="170"/>
  <c r="T457" i="170"/>
  <c r="Y457" i="170" s="1"/>
  <c r="V436" i="170"/>
  <c r="W503" i="170"/>
  <c r="S481" i="170"/>
  <c r="U460" i="170"/>
  <c r="W439" i="170"/>
  <c r="X506" i="170"/>
  <c r="T484" i="170"/>
  <c r="V463" i="170"/>
  <c r="X442" i="170"/>
  <c r="U434" i="170"/>
  <c r="S411" i="170"/>
  <c r="U390" i="170"/>
  <c r="W369" i="170"/>
  <c r="S347" i="170"/>
  <c r="U326" i="170"/>
  <c r="W305" i="170"/>
  <c r="S283" i="170"/>
  <c r="U262" i="170"/>
  <c r="W241" i="170"/>
  <c r="S219" i="170"/>
  <c r="U198" i="170"/>
  <c r="W177" i="170"/>
  <c r="S155" i="170"/>
  <c r="T431" i="170"/>
  <c r="R431" i="170" s="1"/>
  <c r="T410" i="170"/>
  <c r="R410" i="170" s="1"/>
  <c r="V389" i="170"/>
  <c r="X368" i="170"/>
  <c r="T346" i="170"/>
  <c r="Q346" i="170" s="1"/>
  <c r="V325" i="170"/>
  <c r="X304" i="170"/>
  <c r="T282" i="170"/>
  <c r="Q282" i="170" s="1"/>
  <c r="V261" i="170"/>
  <c r="X240" i="170"/>
  <c r="T218" i="170"/>
  <c r="V197" i="170"/>
  <c r="X176" i="170"/>
  <c r="T154" i="170"/>
  <c r="W428" i="170"/>
  <c r="S406" i="170"/>
  <c r="U385" i="170"/>
  <c r="W364" i="170"/>
  <c r="S342" i="170"/>
  <c r="U321" i="170"/>
  <c r="W300" i="170"/>
  <c r="S278" i="170"/>
  <c r="U257" i="170"/>
  <c r="W236" i="170"/>
  <c r="S214" i="170"/>
  <c r="U193" i="170"/>
  <c r="W437" i="170"/>
  <c r="T409" i="170"/>
  <c r="Y409" i="170" s="1"/>
  <c r="V388" i="170"/>
  <c r="X367" i="170"/>
  <c r="T345" i="170"/>
  <c r="V324" i="170"/>
  <c r="X303" i="170"/>
  <c r="T281" i="170"/>
  <c r="R281" i="170" s="1"/>
  <c r="V260" i="170"/>
  <c r="X239" i="170"/>
  <c r="T217" i="170"/>
  <c r="Q217" i="170" s="1"/>
  <c r="V196" i="170"/>
  <c r="X175" i="170"/>
  <c r="W423" i="170"/>
  <c r="S401" i="170"/>
  <c r="U380" i="170"/>
  <c r="W359" i="170"/>
  <c r="S337" i="170"/>
  <c r="U316" i="170"/>
  <c r="W295" i="170"/>
  <c r="S273" i="170"/>
  <c r="U252" i="170"/>
  <c r="W231" i="170"/>
  <c r="S498" i="170"/>
  <c r="X422" i="170"/>
  <c r="T400" i="170"/>
  <c r="V379" i="170"/>
  <c r="X358" i="170"/>
  <c r="T336" i="170"/>
  <c r="V315" i="170"/>
  <c r="X294" i="170"/>
  <c r="T272" i="170"/>
  <c r="V251" i="170"/>
  <c r="X230" i="170"/>
  <c r="T208" i="170"/>
  <c r="Y208" i="170" s="1"/>
  <c r="T432" i="170"/>
  <c r="W410" i="170"/>
  <c r="S388" i="170"/>
  <c r="U367" i="170"/>
  <c r="W346" i="170"/>
  <c r="S324" i="170"/>
  <c r="U303" i="170"/>
  <c r="W282" i="170"/>
  <c r="S260" i="170"/>
  <c r="U239" i="170"/>
  <c r="W218" i="170"/>
  <c r="S196" i="170"/>
  <c r="U175" i="170"/>
  <c r="W154" i="170"/>
  <c r="V366" i="170"/>
  <c r="S201" i="170"/>
  <c r="X153" i="170"/>
  <c r="U132" i="170"/>
  <c r="W111" i="170"/>
  <c r="S89" i="170"/>
  <c r="U68" i="170"/>
  <c r="W47" i="170"/>
  <c r="U25" i="170"/>
  <c r="T323" i="170"/>
  <c r="R323" i="170" s="1"/>
  <c r="S185" i="170"/>
  <c r="X149" i="170"/>
  <c r="V131" i="170"/>
  <c r="X110" i="170"/>
  <c r="T88" i="170"/>
  <c r="R88" i="170" s="1"/>
  <c r="V67" i="170"/>
  <c r="X46" i="170"/>
  <c r="V24" i="170"/>
  <c r="T351" i="170"/>
  <c r="R351" i="170" s="1"/>
  <c r="T192" i="170"/>
  <c r="S158" i="170"/>
  <c r="W130" i="170"/>
  <c r="S108" i="170"/>
  <c r="U87" i="170"/>
  <c r="W66" i="170"/>
  <c r="S44" i="170"/>
  <c r="W23" i="170"/>
  <c r="X329" i="170"/>
  <c r="S193" i="170"/>
  <c r="W152" i="170"/>
  <c r="X121" i="170"/>
  <c r="T99" i="170"/>
  <c r="R99" i="170" s="1"/>
  <c r="V78" i="170"/>
  <c r="X57" i="170"/>
  <c r="T36" i="170"/>
  <c r="X421" i="170"/>
  <c r="V254" i="170"/>
  <c r="X174" i="170"/>
  <c r="U138" i="170"/>
  <c r="W117" i="170"/>
  <c r="S95" i="170"/>
  <c r="U74" i="170"/>
  <c r="W53" i="170"/>
  <c r="U31" i="170"/>
  <c r="T371" i="170"/>
  <c r="R371" i="170" s="1"/>
  <c r="T207" i="170"/>
  <c r="R207" i="170" s="1"/>
  <c r="T157" i="170"/>
  <c r="Y157" i="170" s="1"/>
  <c r="X132" i="170"/>
  <c r="T110" i="170"/>
  <c r="V89" i="170"/>
  <c r="X68" i="170"/>
  <c r="T46" i="170"/>
  <c r="X25" i="170"/>
  <c r="T335" i="170"/>
  <c r="Q335" i="170" s="1"/>
  <c r="X190" i="170"/>
  <c r="X148" i="170"/>
  <c r="U129" i="170"/>
  <c r="W108" i="170"/>
  <c r="S86" i="170"/>
  <c r="U65" i="170"/>
  <c r="W44" i="170"/>
  <c r="S23" i="170"/>
  <c r="X103" i="170"/>
  <c r="U142" i="170"/>
  <c r="S150" i="170"/>
  <c r="V166" i="170"/>
  <c r="T196" i="170"/>
  <c r="T159" i="170"/>
  <c r="X313" i="170"/>
  <c r="X281" i="170"/>
  <c r="X43" i="170"/>
  <c r="W506" i="170"/>
  <c r="S472" i="170"/>
  <c r="U439" i="170"/>
  <c r="X489" i="170"/>
  <c r="T455" i="170"/>
  <c r="W489" i="170"/>
  <c r="U466" i="170"/>
  <c r="W445" i="170"/>
  <c r="T502" i="170"/>
  <c r="Y502" i="170" s="1"/>
  <c r="V481" i="170"/>
  <c r="X460" i="170"/>
  <c r="T438" i="170"/>
  <c r="U505" i="170"/>
  <c r="X499" i="170"/>
  <c r="T477" i="170"/>
  <c r="V456" i="170"/>
  <c r="X435" i="170"/>
  <c r="S501" i="170"/>
  <c r="U480" i="170"/>
  <c r="W459" i="170"/>
  <c r="S437" i="170"/>
  <c r="T504" i="170"/>
  <c r="V483" i="170"/>
  <c r="X462" i="170"/>
  <c r="T440" i="170"/>
  <c r="U431" i="170"/>
  <c r="U410" i="170"/>
  <c r="W389" i="170"/>
  <c r="S367" i="170"/>
  <c r="U346" i="170"/>
  <c r="W325" i="170"/>
  <c r="S303" i="170"/>
  <c r="U282" i="170"/>
  <c r="W261" i="170"/>
  <c r="S239" i="170"/>
  <c r="U218" i="170"/>
  <c r="W197" i="170"/>
  <c r="S175" i="170"/>
  <c r="U154" i="170"/>
  <c r="T430" i="170"/>
  <c r="V409" i="170"/>
  <c r="X388" i="170"/>
  <c r="T366" i="170"/>
  <c r="V345" i="170"/>
  <c r="X324" i="170"/>
  <c r="T302" i="170"/>
  <c r="R302" i="170" s="1"/>
  <c r="V281" i="170"/>
  <c r="X260" i="170"/>
  <c r="T238" i="170"/>
  <c r="Q238" i="170" s="1"/>
  <c r="V217" i="170"/>
  <c r="X196" i="170"/>
  <c r="T174" i="170"/>
  <c r="V153" i="170"/>
  <c r="S426" i="170"/>
  <c r="U405" i="170"/>
  <c r="W384" i="170"/>
  <c r="S362" i="170"/>
  <c r="U341" i="170"/>
  <c r="W320" i="170"/>
  <c r="S298" i="170"/>
  <c r="U277" i="170"/>
  <c r="W256" i="170"/>
  <c r="S234" i="170"/>
  <c r="U213" i="170"/>
  <c r="W192" i="170"/>
  <c r="T429" i="170"/>
  <c r="V408" i="170"/>
  <c r="X387" i="170"/>
  <c r="T365" i="170"/>
  <c r="V344" i="170"/>
  <c r="X323" i="170"/>
  <c r="T301" i="170"/>
  <c r="R301" i="170" s="1"/>
  <c r="V280" i="170"/>
  <c r="X259" i="170"/>
  <c r="T237" i="170"/>
  <c r="V216" i="170"/>
  <c r="X195" i="170"/>
  <c r="S502" i="170"/>
  <c r="S421" i="170"/>
  <c r="U400" i="170"/>
  <c r="W379" i="170"/>
  <c r="S357" i="170"/>
  <c r="U336" i="170"/>
  <c r="W315" i="170"/>
  <c r="S293" i="170"/>
  <c r="U272" i="170"/>
  <c r="W251" i="170"/>
  <c r="S229" i="170"/>
  <c r="W480" i="170"/>
  <c r="T420" i="170"/>
  <c r="V399" i="170"/>
  <c r="X378" i="170"/>
  <c r="T356" i="170"/>
  <c r="V335" i="170"/>
  <c r="X314" i="170"/>
  <c r="T292" i="170"/>
  <c r="Q292" i="170" s="1"/>
  <c r="V271" i="170"/>
  <c r="X250" i="170"/>
  <c r="T228" i="170"/>
  <c r="V207" i="170"/>
  <c r="W430" i="170"/>
  <c r="S408" i="170"/>
  <c r="U387" i="170"/>
  <c r="W366" i="170"/>
  <c r="S344" i="170"/>
  <c r="U323" i="170"/>
  <c r="W302" i="170"/>
  <c r="S280" i="170"/>
  <c r="U259" i="170"/>
  <c r="W238" i="170"/>
  <c r="S216" i="170"/>
  <c r="U195" i="170"/>
  <c r="W174" i="170"/>
  <c r="S152" i="170"/>
  <c r="T359" i="170"/>
  <c r="Y359" i="170" s="1"/>
  <c r="X198" i="170"/>
  <c r="V151" i="170"/>
  <c r="W131" i="170"/>
  <c r="S109" i="170"/>
  <c r="U88" i="170"/>
  <c r="W67" i="170"/>
  <c r="S45" i="170"/>
  <c r="W24" i="170"/>
  <c r="X305" i="170"/>
  <c r="V179" i="170"/>
  <c r="U148" i="170"/>
  <c r="X130" i="170"/>
  <c r="T108" i="170"/>
  <c r="Q108" i="170" s="1"/>
  <c r="V87" i="170"/>
  <c r="X66" i="170"/>
  <c r="T44" i="170"/>
  <c r="X23" i="170"/>
  <c r="X333" i="170"/>
  <c r="W187" i="170"/>
  <c r="W155" i="170"/>
  <c r="S128" i="170"/>
  <c r="U107" i="170"/>
  <c r="W86" i="170"/>
  <c r="S64" i="170"/>
  <c r="U43" i="170"/>
  <c r="T21" i="170"/>
  <c r="V322" i="170"/>
  <c r="V187" i="170"/>
  <c r="U149" i="170"/>
  <c r="T119" i="170"/>
  <c r="V98" i="170"/>
  <c r="X77" i="170"/>
  <c r="T55" i="170"/>
  <c r="V35" i="170"/>
  <c r="V414" i="170"/>
  <c r="T247" i="170"/>
  <c r="Y247" i="170" s="1"/>
  <c r="U172" i="170"/>
  <c r="W137" i="170"/>
  <c r="S115" i="170"/>
  <c r="U94" i="170"/>
  <c r="W73" i="170"/>
  <c r="S51" i="170"/>
  <c r="W30" i="170"/>
  <c r="X353" i="170"/>
  <c r="X205" i="170"/>
  <c r="X154" i="170"/>
  <c r="T130" i="170"/>
  <c r="V109" i="170"/>
  <c r="X88" i="170"/>
  <c r="T66" i="170"/>
  <c r="V45" i="170"/>
  <c r="T23" i="170"/>
  <c r="Y23" i="170" s="1"/>
  <c r="X317" i="170"/>
  <c r="S189" i="170"/>
  <c r="X147" i="170"/>
  <c r="W128" i="170"/>
  <c r="S106" i="170"/>
  <c r="U85" i="170"/>
  <c r="W64" i="170"/>
  <c r="S42" i="170"/>
  <c r="V22" i="170"/>
  <c r="V96" i="170"/>
  <c r="X131" i="170"/>
  <c r="X127" i="170"/>
  <c r="V145" i="170"/>
  <c r="V171" i="170"/>
  <c r="W148" i="170"/>
  <c r="U184" i="170"/>
  <c r="T203" i="170"/>
  <c r="R203" i="170" s="1"/>
  <c r="W40" i="170"/>
  <c r="S504" i="170"/>
  <c r="U471" i="170"/>
  <c r="W434" i="170"/>
  <c r="T487" i="170"/>
  <c r="R487" i="170" s="1"/>
  <c r="V454" i="170"/>
  <c r="S487" i="170"/>
  <c r="W465" i="170"/>
  <c r="S443" i="170"/>
  <c r="V501" i="170"/>
  <c r="X480" i="170"/>
  <c r="T458" i="170"/>
  <c r="V437" i="170"/>
  <c r="W504" i="170"/>
  <c r="T497" i="170"/>
  <c r="V476" i="170"/>
  <c r="X455" i="170"/>
  <c r="T433" i="170"/>
  <c r="U500" i="170"/>
  <c r="W479" i="170"/>
  <c r="S457" i="170"/>
  <c r="U436" i="170"/>
  <c r="V503" i="170"/>
  <c r="X482" i="170"/>
  <c r="T460" i="170"/>
  <c r="Y460" i="170" s="1"/>
  <c r="V439" i="170"/>
  <c r="U430" i="170"/>
  <c r="W409" i="170"/>
  <c r="S387" i="170"/>
  <c r="U366" i="170"/>
  <c r="W345" i="170"/>
  <c r="S323" i="170"/>
  <c r="U302" i="170"/>
  <c r="W281" i="170"/>
  <c r="S259" i="170"/>
  <c r="U238" i="170"/>
  <c r="W217" i="170"/>
  <c r="S195" i="170"/>
  <c r="U174" i="170"/>
  <c r="W153" i="170"/>
  <c r="V429" i="170"/>
  <c r="X408" i="170"/>
  <c r="T386" i="170"/>
  <c r="Y386" i="170" s="1"/>
  <c r="V365" i="170"/>
  <c r="X344" i="170"/>
  <c r="T322" i="170"/>
  <c r="V301" i="170"/>
  <c r="X280" i="170"/>
  <c r="T258" i="170"/>
  <c r="V237" i="170"/>
  <c r="X216" i="170"/>
  <c r="T194" i="170"/>
  <c r="V173" i="170"/>
  <c r="X152" i="170"/>
  <c r="U425" i="170"/>
  <c r="W404" i="170"/>
  <c r="S382" i="170"/>
  <c r="U361" i="170"/>
  <c r="W340" i="170"/>
  <c r="S318" i="170"/>
  <c r="U297" i="170"/>
  <c r="W276" i="170"/>
  <c r="S254" i="170"/>
  <c r="U233" i="170"/>
  <c r="W212" i="170"/>
  <c r="S190" i="170"/>
  <c r="V428" i="170"/>
  <c r="X407" i="170"/>
  <c r="T385" i="170"/>
  <c r="V364" i="170"/>
  <c r="X343" i="170"/>
  <c r="T321" i="170"/>
  <c r="V300" i="170"/>
  <c r="X279" i="170"/>
  <c r="T257" i="170"/>
  <c r="R257" i="170" s="1"/>
  <c r="V236" i="170"/>
  <c r="X215" i="170"/>
  <c r="T193" i="170"/>
  <c r="W484" i="170"/>
  <c r="U420" i="170"/>
  <c r="W399" i="170"/>
  <c r="S377" i="170"/>
  <c r="U356" i="170"/>
  <c r="W335" i="170"/>
  <c r="S313" i="170"/>
  <c r="U292" i="170"/>
  <c r="W271" i="170"/>
  <c r="S249" i="170"/>
  <c r="U228" i="170"/>
  <c r="U473" i="170"/>
  <c r="V419" i="170"/>
  <c r="X398" i="170"/>
  <c r="T376" i="170"/>
  <c r="V355" i="170"/>
  <c r="X334" i="170"/>
  <c r="T312" i="170"/>
  <c r="V291" i="170"/>
  <c r="X270" i="170"/>
  <c r="T248" i="170"/>
  <c r="Y248" i="170" s="1"/>
  <c r="V227" i="170"/>
  <c r="X206" i="170"/>
  <c r="S428" i="170"/>
  <c r="U407" i="170"/>
  <c r="W386" i="170"/>
  <c r="S364" i="170"/>
  <c r="U343" i="170"/>
  <c r="W322" i="170"/>
  <c r="S300" i="170"/>
  <c r="U279" i="170"/>
  <c r="W258" i="170"/>
  <c r="S236" i="170"/>
  <c r="U215" i="170"/>
  <c r="W194" i="170"/>
  <c r="S172" i="170"/>
  <c r="U151" i="170"/>
  <c r="X341" i="170"/>
  <c r="S197" i="170"/>
  <c r="V148" i="170"/>
  <c r="S129" i="170"/>
  <c r="U108" i="170"/>
  <c r="W87" i="170"/>
  <c r="S65" i="170"/>
  <c r="U44" i="170"/>
  <c r="T22" i="170"/>
  <c r="V298" i="170"/>
  <c r="V178" i="170"/>
  <c r="T147" i="170"/>
  <c r="Q147" i="170" s="1"/>
  <c r="T128" i="170"/>
  <c r="Y128" i="170" s="1"/>
  <c r="V107" i="170"/>
  <c r="X86" i="170"/>
  <c r="T64" i="170"/>
  <c r="R64" i="170" s="1"/>
  <c r="V43" i="170"/>
  <c r="S22" i="170"/>
  <c r="V326" i="170"/>
  <c r="V186" i="170"/>
  <c r="T153" i="170"/>
  <c r="Y153" i="170" s="1"/>
  <c r="U127" i="170"/>
  <c r="W106" i="170"/>
  <c r="S84" i="170"/>
  <c r="U63" i="170"/>
  <c r="W42" i="170"/>
  <c r="W20" i="170"/>
  <c r="T315" i="170"/>
  <c r="Q315" i="170" s="1"/>
  <c r="X181" i="170"/>
  <c r="T139" i="170"/>
  <c r="V118" i="170"/>
  <c r="X97" i="170"/>
  <c r="T75" i="170"/>
  <c r="V54" i="170"/>
  <c r="X34" i="170"/>
  <c r="T407" i="170"/>
  <c r="X229" i="170"/>
  <c r="X169" i="170"/>
  <c r="S135" i="170"/>
  <c r="U114" i="170"/>
  <c r="W93" i="170"/>
  <c r="S71" i="170"/>
  <c r="U50" i="170"/>
  <c r="S28" i="170"/>
  <c r="V346" i="170"/>
  <c r="V195" i="170"/>
  <c r="U152" i="170"/>
  <c r="V129" i="170"/>
  <c r="X108" i="170"/>
  <c r="T86" i="170"/>
  <c r="V65" i="170"/>
  <c r="X44" i="170"/>
  <c r="W22" i="170"/>
  <c r="V310" i="170"/>
  <c r="V183" i="170"/>
  <c r="X146" i="170"/>
  <c r="S126" i="170"/>
  <c r="U105" i="170"/>
  <c r="W84" i="170"/>
  <c r="S62" i="170"/>
  <c r="U41" i="170"/>
  <c r="X21" i="170"/>
  <c r="T89" i="170"/>
  <c r="Q89" i="170" s="1"/>
  <c r="V124" i="170"/>
  <c r="V120" i="170"/>
  <c r="U141" i="170"/>
  <c r="S154" i="170"/>
  <c r="V144" i="170"/>
  <c r="T164" i="170"/>
  <c r="T183" i="170"/>
  <c r="V33" i="170"/>
  <c r="S508" i="170"/>
  <c r="U475" i="170"/>
  <c r="W442" i="170"/>
  <c r="T495" i="170"/>
  <c r="V462" i="170"/>
  <c r="S491" i="170"/>
  <c r="W469" i="170"/>
  <c r="S447" i="170"/>
  <c r="V505" i="170"/>
  <c r="X484" i="170"/>
  <c r="T462" i="170"/>
  <c r="V441" i="170"/>
  <c r="W508" i="170"/>
  <c r="T501" i="170"/>
  <c r="V480" i="170"/>
  <c r="X459" i="170"/>
  <c r="T437" i="170"/>
  <c r="Y437" i="170" s="1"/>
  <c r="U504" i="170"/>
  <c r="W483" i="170"/>
  <c r="S461" i="170"/>
  <c r="U440" i="170"/>
  <c r="V507" i="170"/>
  <c r="X486" i="170"/>
  <c r="T464" i="170"/>
  <c r="Q464" i="170" s="1"/>
  <c r="V443" i="170"/>
  <c r="V442" i="170"/>
  <c r="W413" i="170"/>
  <c r="S391" i="170"/>
  <c r="U370" i="170"/>
  <c r="W349" i="170"/>
  <c r="S327" i="170"/>
  <c r="U306" i="170"/>
  <c r="W285" i="170"/>
  <c r="S263" i="170"/>
  <c r="U242" i="170"/>
  <c r="W221" i="170"/>
  <c r="S199" i="170"/>
  <c r="U178" i="170"/>
  <c r="W157" i="170"/>
  <c r="S434" i="170"/>
  <c r="X412" i="170"/>
  <c r="T390" i="170"/>
  <c r="R390" i="170" s="1"/>
  <c r="V369" i="170"/>
  <c r="X348" i="170"/>
  <c r="T326" i="170"/>
  <c r="Q326" i="170" s="1"/>
  <c r="V305" i="170"/>
  <c r="X284" i="170"/>
  <c r="T262" i="170"/>
  <c r="V241" i="170"/>
  <c r="X220" i="170"/>
  <c r="T198" i="170"/>
  <c r="V177" i="170"/>
  <c r="X156" i="170"/>
  <c r="U429" i="170"/>
  <c r="W408" i="170"/>
  <c r="S386" i="170"/>
  <c r="U365" i="170"/>
  <c r="W344" i="170"/>
  <c r="S322" i="170"/>
  <c r="U301" i="170"/>
  <c r="W280" i="170"/>
  <c r="S258" i="170"/>
  <c r="U237" i="170"/>
  <c r="W216" i="170"/>
  <c r="S194" i="170"/>
  <c r="U445" i="170"/>
  <c r="X411" i="170"/>
  <c r="T389" i="170"/>
  <c r="Y389" i="170" s="1"/>
  <c r="V368" i="170"/>
  <c r="X347" i="170"/>
  <c r="T325" i="170"/>
  <c r="V304" i="170"/>
  <c r="X283" i="170"/>
  <c r="T261" i="170"/>
  <c r="V240" i="170"/>
  <c r="X219" i="170"/>
  <c r="T197" i="170"/>
  <c r="Q197" i="170" s="1"/>
  <c r="V176" i="170"/>
  <c r="U424" i="170"/>
  <c r="W403" i="170"/>
  <c r="S381" i="170"/>
  <c r="U360" i="170"/>
  <c r="W339" i="170"/>
  <c r="S317" i="170"/>
  <c r="U296" i="170"/>
  <c r="W275" i="170"/>
  <c r="S253" i="170"/>
  <c r="U232" i="170"/>
  <c r="W211" i="170"/>
  <c r="V423" i="170"/>
  <c r="X402" i="170"/>
  <c r="T380" i="170"/>
  <c r="Y380" i="170" s="1"/>
  <c r="V359" i="170"/>
  <c r="X338" i="170"/>
  <c r="T316" i="170"/>
  <c r="V295" i="170"/>
  <c r="X274" i="170"/>
  <c r="T252" i="170"/>
  <c r="V231" i="170"/>
  <c r="X210" i="170"/>
  <c r="W433" i="170"/>
  <c r="U411" i="170"/>
  <c r="W390" i="170"/>
  <c r="S368" i="170"/>
  <c r="U347" i="170"/>
  <c r="W326" i="170"/>
  <c r="S304" i="170"/>
  <c r="U283" i="170"/>
  <c r="W262" i="170"/>
  <c r="S240" i="170"/>
  <c r="U219" i="170"/>
  <c r="W198" i="170"/>
  <c r="S176" i="170"/>
  <c r="U155" i="170"/>
  <c r="X373" i="170"/>
  <c r="U208" i="170"/>
  <c r="U156" i="170"/>
  <c r="S133" i="170"/>
  <c r="U112" i="170"/>
  <c r="W91" i="170"/>
  <c r="S69" i="170"/>
  <c r="U48" i="170"/>
  <c r="S26" i="170"/>
  <c r="V330" i="170"/>
  <c r="X186" i="170"/>
  <c r="T151" i="170"/>
  <c r="R151" i="170" s="1"/>
  <c r="T132" i="170"/>
  <c r="V111" i="170"/>
  <c r="X90" i="170"/>
  <c r="T68" i="170"/>
  <c r="Q68" i="170" s="1"/>
  <c r="V47" i="170"/>
  <c r="T25" i="170"/>
  <c r="Y25" i="170" s="1"/>
  <c r="V358" i="170"/>
  <c r="X193" i="170"/>
  <c r="V160" i="170"/>
  <c r="U131" i="170"/>
  <c r="W110" i="170"/>
  <c r="S88" i="170"/>
  <c r="U67" i="170"/>
  <c r="W46" i="170"/>
  <c r="U24" i="170"/>
  <c r="T347" i="170"/>
  <c r="X194" i="170"/>
  <c r="S153" i="170"/>
  <c r="V122" i="170"/>
  <c r="X101" i="170"/>
  <c r="T79" i="170"/>
  <c r="V58" i="170"/>
  <c r="X38" i="170"/>
  <c r="U433" i="170"/>
  <c r="X261" i="170"/>
  <c r="V175" i="170"/>
  <c r="S139" i="170"/>
  <c r="U118" i="170"/>
  <c r="W97" i="170"/>
  <c r="S75" i="170"/>
  <c r="U54" i="170"/>
  <c r="S32" i="170"/>
  <c r="V378" i="170"/>
  <c r="T211" i="170"/>
  <c r="R211" i="170" s="1"/>
  <c r="W159" i="170"/>
  <c r="V133" i="170"/>
  <c r="X112" i="170"/>
  <c r="T90" i="170"/>
  <c r="V69" i="170"/>
  <c r="X48" i="170"/>
  <c r="V26" i="170"/>
  <c r="V342" i="170"/>
  <c r="T195" i="170"/>
  <c r="Y195" i="170" s="1"/>
  <c r="T150" i="170"/>
  <c r="S130" i="170"/>
  <c r="U109" i="170"/>
  <c r="W88" i="170"/>
  <c r="S66" i="170"/>
  <c r="U45" i="170"/>
  <c r="W25" i="170"/>
  <c r="T121" i="170"/>
  <c r="R121" i="170" s="1"/>
  <c r="V146" i="170"/>
  <c r="U161" i="170"/>
  <c r="X197" i="170"/>
  <c r="T235" i="170"/>
  <c r="X345" i="170"/>
  <c r="V370" i="170"/>
  <c r="V338" i="170"/>
  <c r="T61" i="170"/>
  <c r="R61" i="170" s="1"/>
  <c r="S460" i="170"/>
  <c r="X477" i="170"/>
  <c r="S479" i="170"/>
  <c r="X516" i="170"/>
  <c r="V473" i="170"/>
  <c r="S518" i="170"/>
  <c r="X491" i="170"/>
  <c r="V448" i="170"/>
  <c r="S493" i="170"/>
  <c r="W451" i="170"/>
  <c r="T496" i="170"/>
  <c r="Y496" i="170" s="1"/>
  <c r="X454" i="170"/>
  <c r="S423" i="170"/>
  <c r="W381" i="170"/>
  <c r="U338" i="170"/>
  <c r="S295" i="170"/>
  <c r="W253" i="170"/>
  <c r="U210" i="170"/>
  <c r="S167" i="170"/>
  <c r="T422" i="170"/>
  <c r="Y422" i="170" s="1"/>
  <c r="X380" i="170"/>
  <c r="V337" i="170"/>
  <c r="T294" i="170"/>
  <c r="X252" i="170"/>
  <c r="V209" i="170"/>
  <c r="T166" i="170"/>
  <c r="S418" i="170"/>
  <c r="W376" i="170"/>
  <c r="U333" i="170"/>
  <c r="S290" i="170"/>
  <c r="W248" i="170"/>
  <c r="U205" i="170"/>
  <c r="T421" i="170"/>
  <c r="X379" i="170"/>
  <c r="V336" i="170"/>
  <c r="T293" i="170"/>
  <c r="R293" i="170" s="1"/>
  <c r="X251" i="170"/>
  <c r="V208" i="170"/>
  <c r="T443" i="170"/>
  <c r="U392" i="170"/>
  <c r="S349" i="170"/>
  <c r="W307" i="170"/>
  <c r="U264" i="170"/>
  <c r="S221" i="170"/>
  <c r="T412" i="170"/>
  <c r="Y412" i="170" s="1"/>
  <c r="X370" i="170"/>
  <c r="V327" i="170"/>
  <c r="T284" i="170"/>
  <c r="Y284" i="170" s="1"/>
  <c r="X242" i="170"/>
  <c r="U501" i="170"/>
  <c r="S400" i="170"/>
  <c r="W358" i="170"/>
  <c r="U315" i="170"/>
  <c r="S272" i="170"/>
  <c r="W230" i="170"/>
  <c r="U187" i="170"/>
  <c r="S144" i="170"/>
  <c r="X178" i="170"/>
  <c r="W123" i="170"/>
  <c r="U80" i="170"/>
  <c r="U37" i="170"/>
  <c r="X241" i="170"/>
  <c r="S142" i="170"/>
  <c r="T100" i="170"/>
  <c r="Q100" i="170" s="1"/>
  <c r="X58" i="170"/>
  <c r="W472" i="170"/>
  <c r="W176" i="170"/>
  <c r="S120" i="170"/>
  <c r="W78" i="170"/>
  <c r="W35" i="170"/>
  <c r="V258" i="170"/>
  <c r="X133" i="170"/>
  <c r="V90" i="170"/>
  <c r="T47" i="170"/>
  <c r="V350" i="170"/>
  <c r="T160" i="170"/>
  <c r="Q160" i="170" s="1"/>
  <c r="S107" i="170"/>
  <c r="W65" i="170"/>
  <c r="X22" i="170"/>
  <c r="T175" i="170"/>
  <c r="Y175" i="170" s="1"/>
  <c r="T122" i="170"/>
  <c r="Y122" i="170" s="1"/>
  <c r="X80" i="170"/>
  <c r="X37" i="170"/>
  <c r="X253" i="170"/>
  <c r="V141" i="170"/>
  <c r="S98" i="170"/>
  <c r="W56" i="170"/>
  <c r="V306" i="170"/>
  <c r="X67" i="170"/>
  <c r="V84" i="170"/>
  <c r="T101" i="170"/>
  <c r="Y101" i="170" s="1"/>
  <c r="X139" i="170"/>
  <c r="U455" i="170"/>
  <c r="T475" i="170"/>
  <c r="R475" i="170" s="1"/>
  <c r="U478" i="170"/>
  <c r="T514" i="170"/>
  <c r="Q514" i="170" s="1"/>
  <c r="X472" i="170"/>
  <c r="U517" i="170"/>
  <c r="T489" i="170"/>
  <c r="Y489" i="170" s="1"/>
  <c r="X447" i="170"/>
  <c r="U492" i="170"/>
  <c r="S449" i="170"/>
  <c r="V495" i="170"/>
  <c r="T452" i="170"/>
  <c r="R452" i="170" s="1"/>
  <c r="U422" i="170"/>
  <c r="S379" i="170"/>
  <c r="W337" i="170"/>
  <c r="U294" i="170"/>
  <c r="S251" i="170"/>
  <c r="W209" i="170"/>
  <c r="U166" i="170"/>
  <c r="V421" i="170"/>
  <c r="T378" i="170"/>
  <c r="X336" i="170"/>
  <c r="V293" i="170"/>
  <c r="T250" i="170"/>
  <c r="Y250" i="170" s="1"/>
  <c r="X208" i="170"/>
  <c r="V165" i="170"/>
  <c r="U417" i="170"/>
  <c r="S374" i="170"/>
  <c r="W332" i="170"/>
  <c r="U289" i="170"/>
  <c r="S246" i="170"/>
  <c r="W204" i="170"/>
  <c r="V420" i="170"/>
  <c r="T377" i="170"/>
  <c r="R377" i="170" s="1"/>
  <c r="X335" i="170"/>
  <c r="V292" i="170"/>
  <c r="T249" i="170"/>
  <c r="X207" i="170"/>
  <c r="X441" i="170"/>
  <c r="W391" i="170"/>
  <c r="U348" i="170"/>
  <c r="S305" i="170"/>
  <c r="W263" i="170"/>
  <c r="U220" i="170"/>
  <c r="V411" i="170"/>
  <c r="T368" i="170"/>
  <c r="X326" i="170"/>
  <c r="V283" i="170"/>
  <c r="T240" i="170"/>
  <c r="R240" i="170" s="1"/>
  <c r="S494" i="170"/>
  <c r="U399" i="170"/>
  <c r="S356" i="170"/>
  <c r="W314" i="170"/>
  <c r="U271" i="170"/>
  <c r="S228" i="170"/>
  <c r="W186" i="170"/>
  <c r="U143" i="170"/>
  <c r="U173" i="170"/>
  <c r="S121" i="170"/>
  <c r="W79" i="170"/>
  <c r="W36" i="170"/>
  <c r="V234" i="170"/>
  <c r="S141" i="170"/>
  <c r="V99" i="170"/>
  <c r="T56" i="170"/>
  <c r="R56" i="170" s="1"/>
  <c r="X429" i="170"/>
  <c r="S173" i="170"/>
  <c r="U119" i="170"/>
  <c r="S76" i="170"/>
  <c r="S33" i="170"/>
  <c r="T251" i="170"/>
  <c r="T131" i="170"/>
  <c r="R131" i="170" s="1"/>
  <c r="X89" i="170"/>
  <c r="V46" i="170"/>
  <c r="T343" i="170"/>
  <c r="X159" i="170"/>
  <c r="U106" i="170"/>
  <c r="S63" i="170"/>
  <c r="U20" i="170"/>
  <c r="V174" i="170"/>
  <c r="V121" i="170"/>
  <c r="T78" i="170"/>
  <c r="Y78" i="170" s="1"/>
  <c r="T35" i="170"/>
  <c r="V246" i="170"/>
  <c r="W140" i="170"/>
  <c r="U97" i="170"/>
  <c r="S54" i="170"/>
  <c r="X249" i="170"/>
  <c r="V60" i="170"/>
  <c r="T77" i="170"/>
  <c r="X83" i="170"/>
  <c r="V132" i="170"/>
  <c r="W454" i="170"/>
  <c r="V474" i="170"/>
  <c r="W477" i="170"/>
  <c r="V513" i="170"/>
  <c r="T470" i="170"/>
  <c r="R470" i="170" s="1"/>
  <c r="W516" i="170"/>
  <c r="V488" i="170"/>
  <c r="T445" i="170"/>
  <c r="W491" i="170"/>
  <c r="U448" i="170"/>
  <c r="X494" i="170"/>
  <c r="V451" i="170"/>
  <c r="W421" i="170"/>
  <c r="U378" i="170"/>
  <c r="S335" i="170"/>
  <c r="W293" i="170"/>
  <c r="U250" i="170"/>
  <c r="S207" i="170"/>
  <c r="W165" i="170"/>
  <c r="X420" i="170"/>
  <c r="V377" i="170"/>
  <c r="T334" i="170"/>
  <c r="Q334" i="170" s="1"/>
  <c r="X292" i="170"/>
  <c r="V249" i="170"/>
  <c r="T206" i="170"/>
  <c r="X164" i="170"/>
  <c r="W416" i="170"/>
  <c r="U373" i="170"/>
  <c r="S330" i="170"/>
  <c r="W288" i="170"/>
  <c r="U245" i="170"/>
  <c r="S202" i="170"/>
  <c r="X419" i="170"/>
  <c r="V376" i="170"/>
  <c r="T333" i="170"/>
  <c r="Q333" i="170" s="1"/>
  <c r="X291" i="170"/>
  <c r="V248" i="170"/>
  <c r="T205" i="170"/>
  <c r="V438" i="170"/>
  <c r="S389" i="170"/>
  <c r="W347" i="170"/>
  <c r="U304" i="170"/>
  <c r="S261" i="170"/>
  <c r="W219" i="170"/>
  <c r="X410" i="170"/>
  <c r="V367" i="170"/>
  <c r="T324" i="170"/>
  <c r="X282" i="170"/>
  <c r="V239" i="170"/>
  <c r="W476" i="170"/>
  <c r="W398" i="170"/>
  <c r="U355" i="170"/>
  <c r="S312" i="170"/>
  <c r="W270" i="170"/>
  <c r="U227" i="170"/>
  <c r="S184" i="170"/>
  <c r="W142" i="170"/>
  <c r="T171" i="170"/>
  <c r="U120" i="170"/>
  <c r="S77" i="170"/>
  <c r="S34" i="170"/>
  <c r="T227" i="170"/>
  <c r="Q227" i="170" s="1"/>
  <c r="T140" i="170"/>
  <c r="X98" i="170"/>
  <c r="V55" i="170"/>
  <c r="V422" i="170"/>
  <c r="W172" i="170"/>
  <c r="W118" i="170"/>
  <c r="U75" i="170"/>
  <c r="U32" i="170"/>
  <c r="X233" i="170"/>
  <c r="V130" i="170"/>
  <c r="T87" i="170"/>
  <c r="X45" i="170"/>
  <c r="X325" i="170"/>
  <c r="U157" i="170"/>
  <c r="W105" i="170"/>
  <c r="U62" i="170"/>
  <c r="X19" i="170"/>
  <c r="T172" i="170"/>
  <c r="X120" i="170"/>
  <c r="V77" i="170"/>
  <c r="V34" i="170"/>
  <c r="T239" i="170"/>
  <c r="S138" i="170"/>
  <c r="W96" i="170"/>
  <c r="U53" i="170"/>
  <c r="X201" i="170"/>
  <c r="T53" i="170"/>
  <c r="X59" i="170"/>
  <c r="V76" i="170"/>
  <c r="T125" i="170"/>
  <c r="R125" i="170" s="1"/>
  <c r="S452" i="170"/>
  <c r="X473" i="170"/>
  <c r="S475" i="170"/>
  <c r="X512" i="170"/>
  <c r="V469" i="170"/>
  <c r="S514" i="170"/>
  <c r="X487" i="170"/>
  <c r="V444" i="170"/>
  <c r="S489" i="170"/>
  <c r="W447" i="170"/>
  <c r="T492" i="170"/>
  <c r="X450" i="170"/>
  <c r="S419" i="170"/>
  <c r="W377" i="170"/>
  <c r="U334" i="170"/>
  <c r="S291" i="170"/>
  <c r="W249" i="170"/>
  <c r="U206" i="170"/>
  <c r="S163" i="170"/>
  <c r="T418" i="170"/>
  <c r="Y418" i="170" s="1"/>
  <c r="X376" i="170"/>
  <c r="V333" i="170"/>
  <c r="T290" i="170"/>
  <c r="X248" i="170"/>
  <c r="V205" i="170"/>
  <c r="T162" i="170"/>
  <c r="Y162" i="170" s="1"/>
  <c r="S414" i="170"/>
  <c r="W372" i="170"/>
  <c r="U329" i="170"/>
  <c r="S286" i="170"/>
  <c r="W244" i="170"/>
  <c r="U201" i="170"/>
  <c r="T417" i="170"/>
  <c r="Y417" i="170" s="1"/>
  <c r="X375" i="170"/>
  <c r="V332" i="170"/>
  <c r="T289" i="170"/>
  <c r="R289" i="170" s="1"/>
  <c r="X247" i="170"/>
  <c r="V204" i="170"/>
  <c r="U437" i="170"/>
  <c r="U388" i="170"/>
  <c r="S345" i="170"/>
  <c r="W303" i="170"/>
  <c r="U260" i="170"/>
  <c r="S217" i="170"/>
  <c r="T408" i="170"/>
  <c r="X366" i="170"/>
  <c r="V323" i="170"/>
  <c r="T280" i="170"/>
  <c r="X238" i="170"/>
  <c r="U469" i="170"/>
  <c r="S396" i="170"/>
  <c r="W354" i="170"/>
  <c r="U311" i="170"/>
  <c r="S268" i="170"/>
  <c r="W226" i="170"/>
  <c r="U183" i="170"/>
  <c r="V430" i="170"/>
  <c r="V168" i="170"/>
  <c r="W119" i="170"/>
  <c r="U76" i="170"/>
  <c r="U33" i="170"/>
  <c r="V206" i="170"/>
  <c r="V139" i="170"/>
  <c r="T96" i="170"/>
  <c r="R96" i="170" s="1"/>
  <c r="X54" i="170"/>
  <c r="T415" i="170"/>
  <c r="Q415" i="170" s="1"/>
  <c r="V170" i="170"/>
  <c r="S116" i="170"/>
  <c r="W74" i="170"/>
  <c r="W31" i="170"/>
  <c r="V226" i="170"/>
  <c r="X129" i="170"/>
  <c r="V86" i="170"/>
  <c r="T43" i="170"/>
  <c r="Q43" i="170" s="1"/>
  <c r="V318" i="170"/>
  <c r="T155" i="170"/>
  <c r="R155" i="170" s="1"/>
  <c r="S103" i="170"/>
  <c r="W61" i="170"/>
  <c r="S490" i="170"/>
  <c r="X171" i="170"/>
  <c r="T118" i="170"/>
  <c r="Y118" i="170" s="1"/>
  <c r="X76" i="170"/>
  <c r="X33" i="170"/>
  <c r="X221" i="170"/>
  <c r="U137" i="170"/>
  <c r="S94" i="170"/>
  <c r="W52" i="170"/>
  <c r="W191" i="170"/>
  <c r="X32" i="170"/>
  <c r="V52" i="170"/>
  <c r="T69" i="170"/>
  <c r="X107" i="170"/>
  <c r="V506" i="170"/>
  <c r="U454" i="170"/>
  <c r="X448" i="170"/>
  <c r="T465" i="170"/>
  <c r="U468" i="170"/>
  <c r="V471" i="170"/>
  <c r="U398" i="170"/>
  <c r="W313" i="170"/>
  <c r="S227" i="170"/>
  <c r="U457" i="170"/>
  <c r="T354" i="170"/>
  <c r="V269" i="170"/>
  <c r="X184" i="170"/>
  <c r="U393" i="170"/>
  <c r="W308" i="170"/>
  <c r="S222" i="170"/>
  <c r="V396" i="170"/>
  <c r="X311" i="170"/>
  <c r="T225" i="170"/>
  <c r="S409" i="170"/>
  <c r="U324" i="170"/>
  <c r="W239" i="170"/>
  <c r="V387" i="170"/>
  <c r="X302" i="170"/>
  <c r="T216" i="170"/>
  <c r="U375" i="170"/>
  <c r="W290" i="170"/>
  <c r="S204" i="170"/>
  <c r="T263" i="170"/>
  <c r="S97" i="170"/>
  <c r="T387" i="170"/>
  <c r="X118" i="170"/>
  <c r="V32" i="170"/>
  <c r="W138" i="170"/>
  <c r="S52" i="170"/>
  <c r="T165" i="170"/>
  <c r="X65" i="170"/>
  <c r="U188" i="170"/>
  <c r="U82" i="170"/>
  <c r="X257" i="170"/>
  <c r="V97" i="170"/>
  <c r="T399" i="170"/>
  <c r="W116" i="170"/>
  <c r="S31" i="170"/>
  <c r="X28" i="170"/>
  <c r="T65" i="170"/>
  <c r="R65" i="170" s="1"/>
  <c r="W494" i="170"/>
  <c r="U510" i="170"/>
  <c r="T494" i="170"/>
  <c r="V512" i="170"/>
  <c r="W515" i="170"/>
  <c r="X518" i="170"/>
  <c r="W500" i="170"/>
  <c r="S359" i="170"/>
  <c r="U274" i="170"/>
  <c r="W189" i="170"/>
  <c r="V401" i="170"/>
  <c r="X316" i="170"/>
  <c r="T230" i="170"/>
  <c r="R230" i="170" s="1"/>
  <c r="U453" i="170"/>
  <c r="S354" i="170"/>
  <c r="U269" i="170"/>
  <c r="W184" i="170"/>
  <c r="T357" i="170"/>
  <c r="Q357" i="170" s="1"/>
  <c r="V272" i="170"/>
  <c r="X187" i="170"/>
  <c r="W371" i="170"/>
  <c r="S285" i="170"/>
  <c r="U438" i="170"/>
  <c r="T348" i="170"/>
  <c r="Y348" i="170" s="1"/>
  <c r="V263" i="170"/>
  <c r="W422" i="170"/>
  <c r="S336" i="170"/>
  <c r="U251" i="170"/>
  <c r="W166" i="170"/>
  <c r="T143" i="170"/>
  <c r="R143" i="170" s="1"/>
  <c r="W59" i="170"/>
  <c r="X165" i="170"/>
  <c r="V79" i="170"/>
  <c r="X269" i="170"/>
  <c r="U99" i="170"/>
  <c r="X425" i="170"/>
  <c r="T111" i="170"/>
  <c r="V27" i="170"/>
  <c r="W129" i="170"/>
  <c r="S43" i="170"/>
  <c r="X143" i="170"/>
  <c r="T58" i="170"/>
  <c r="Q58" i="170" s="1"/>
  <c r="U164" i="170"/>
  <c r="U77" i="170"/>
  <c r="V29" i="170"/>
  <c r="X87" i="170"/>
  <c r="W352" i="170"/>
  <c r="W55" i="170"/>
  <c r="S492" i="170"/>
  <c r="W509" i="170"/>
  <c r="V493" i="170"/>
  <c r="X511" i="170"/>
  <c r="S513" i="170"/>
  <c r="T516" i="170"/>
  <c r="Y516" i="170" s="1"/>
  <c r="U493" i="170"/>
  <c r="U358" i="170"/>
  <c r="W273" i="170"/>
  <c r="S187" i="170"/>
  <c r="X400" i="170"/>
  <c r="T314" i="170"/>
  <c r="V229" i="170"/>
  <c r="T447" i="170"/>
  <c r="Q447" i="170" s="1"/>
  <c r="U353" i="170"/>
  <c r="W268" i="170"/>
  <c r="S182" i="170"/>
  <c r="V356" i="170"/>
  <c r="X271" i="170"/>
  <c r="T185" i="170"/>
  <c r="S369" i="170"/>
  <c r="U284" i="170"/>
  <c r="X433" i="170"/>
  <c r="V347" i="170"/>
  <c r="X262" i="170"/>
  <c r="S420" i="170"/>
  <c r="U335" i="170"/>
  <c r="W250" i="170"/>
  <c r="S164" i="170"/>
  <c r="T142" i="170"/>
  <c r="Y142" i="170" s="1"/>
  <c r="S57" i="170"/>
  <c r="V163" i="170"/>
  <c r="X78" i="170"/>
  <c r="V262" i="170"/>
  <c r="W98" i="170"/>
  <c r="V418" i="170"/>
  <c r="V110" i="170"/>
  <c r="X26" i="170"/>
  <c r="S127" i="170"/>
  <c r="U42" i="170"/>
  <c r="X142" i="170"/>
  <c r="V57" i="170"/>
  <c r="X161" i="170"/>
  <c r="W76" i="170"/>
  <c r="U22" i="170"/>
  <c r="V80" i="170"/>
  <c r="U487" i="170"/>
  <c r="S507" i="170"/>
  <c r="T509" i="170"/>
  <c r="U512" i="170"/>
  <c r="S486" i="170"/>
  <c r="S271" i="170"/>
  <c r="T398" i="170"/>
  <c r="V313" i="170"/>
  <c r="X445" i="170"/>
  <c r="U181" i="170"/>
  <c r="T269" i="170"/>
  <c r="U368" i="170"/>
  <c r="W432" i="170"/>
  <c r="T260" i="170"/>
  <c r="W334" i="170"/>
  <c r="U163" i="170"/>
  <c r="U56" i="170"/>
  <c r="T76" i="170"/>
  <c r="S96" i="170"/>
  <c r="X109" i="170"/>
  <c r="U126" i="170"/>
  <c r="W141" i="170"/>
  <c r="V159" i="170"/>
  <c r="S74" i="170"/>
  <c r="T73" i="170"/>
  <c r="R73" i="170" s="1"/>
  <c r="W486" i="170"/>
  <c r="U502" i="170"/>
  <c r="T490" i="170"/>
  <c r="Y490" i="170" s="1"/>
  <c r="V508" i="170"/>
  <c r="W511" i="170"/>
  <c r="X514" i="170"/>
  <c r="W468" i="170"/>
  <c r="S355" i="170"/>
  <c r="U270" i="170"/>
  <c r="W185" i="170"/>
  <c r="V397" i="170"/>
  <c r="X312" i="170"/>
  <c r="T226" i="170"/>
  <c r="X437" i="170"/>
  <c r="S350" i="170"/>
  <c r="U265" i="170"/>
  <c r="W180" i="170"/>
  <c r="T353" i="170"/>
  <c r="V268" i="170"/>
  <c r="W367" i="170"/>
  <c r="S281" i="170"/>
  <c r="X430" i="170"/>
  <c r="T344" i="170"/>
  <c r="R344" i="170" s="1"/>
  <c r="V259" i="170"/>
  <c r="W418" i="170"/>
  <c r="S332" i="170"/>
  <c r="U247" i="170"/>
  <c r="W162" i="170"/>
  <c r="U140" i="170"/>
  <c r="W160" i="170"/>
  <c r="V75" i="170"/>
  <c r="X237" i="170"/>
  <c r="U95" i="170"/>
  <c r="X393" i="170"/>
  <c r="T107" i="170"/>
  <c r="Y107" i="170" s="1"/>
  <c r="V23" i="170"/>
  <c r="W125" i="170"/>
  <c r="U39" i="170"/>
  <c r="X140" i="170"/>
  <c r="T54" i="170"/>
  <c r="S157" i="170"/>
  <c r="U73" i="170"/>
  <c r="V274" i="170"/>
  <c r="X55" i="170"/>
  <c r="T507" i="170"/>
  <c r="S455" i="170"/>
  <c r="V449" i="170"/>
  <c r="X467" i="170"/>
  <c r="S469" i="170"/>
  <c r="T472" i="170"/>
  <c r="S399" i="170"/>
  <c r="U314" i="170"/>
  <c r="W229" i="170"/>
  <c r="W464" i="170"/>
  <c r="X356" i="170"/>
  <c r="T270" i="170"/>
  <c r="R270" i="170" s="1"/>
  <c r="V185" i="170"/>
  <c r="S394" i="170"/>
  <c r="U309" i="170"/>
  <c r="W224" i="170"/>
  <c r="T397" i="170"/>
  <c r="V312" i="170"/>
  <c r="X227" i="170"/>
  <c r="W411" i="170"/>
  <c r="S325" i="170"/>
  <c r="U240" i="170"/>
  <c r="T388" i="170"/>
  <c r="V303" i="170"/>
  <c r="X218" i="170"/>
  <c r="S376" i="170"/>
  <c r="U291" i="170"/>
  <c r="W206" i="170"/>
  <c r="V270" i="170"/>
  <c r="W99" i="170"/>
  <c r="V394" i="170"/>
  <c r="V119" i="170"/>
  <c r="T33" i="170"/>
  <c r="U139" i="170"/>
  <c r="W54" i="170"/>
  <c r="W167" i="170"/>
  <c r="V66" i="170"/>
  <c r="V194" i="170"/>
  <c r="S83" i="170"/>
  <c r="T275" i="170"/>
  <c r="T98" i="170"/>
  <c r="V406" i="170"/>
  <c r="U117" i="170"/>
  <c r="W33" i="170"/>
  <c r="T49" i="170"/>
  <c r="Q49" i="170" s="1"/>
  <c r="V72" i="170"/>
  <c r="X492" i="170"/>
  <c r="V515" i="170"/>
  <c r="W357" i="170"/>
  <c r="U186" i="170"/>
  <c r="X228" i="170"/>
  <c r="S266" i="170"/>
  <c r="X355" i="170"/>
  <c r="V184" i="170"/>
  <c r="W283" i="170"/>
  <c r="X346" i="170"/>
  <c r="U419" i="170"/>
  <c r="S248" i="170"/>
  <c r="T141" i="170"/>
  <c r="Q141" i="170" s="1"/>
  <c r="S161" i="170"/>
  <c r="T255" i="170"/>
  <c r="Y255" i="170" s="1"/>
  <c r="T411" i="170"/>
  <c r="Q411" i="170" s="1"/>
  <c r="T24" i="170"/>
  <c r="Y24" i="170" s="1"/>
  <c r="W41" i="170"/>
  <c r="X56" i="170"/>
  <c r="T331" i="170"/>
  <c r="Y331" i="170" s="1"/>
  <c r="X183" i="170"/>
  <c r="X452" i="170"/>
  <c r="U402" i="170"/>
  <c r="T358" i="170"/>
  <c r="W312" i="170"/>
  <c r="T229" i="170"/>
  <c r="V391" i="170"/>
  <c r="W294" i="170"/>
  <c r="T419" i="170"/>
  <c r="Q419" i="170" s="1"/>
  <c r="S56" i="170"/>
  <c r="U86" i="170"/>
  <c r="W120" i="170"/>
  <c r="T450" i="170"/>
  <c r="R450" i="170" s="1"/>
  <c r="W401" i="170"/>
  <c r="V357" i="170"/>
  <c r="S310" i="170"/>
  <c r="V228" i="170"/>
  <c r="X390" i="170"/>
  <c r="S292" i="170"/>
  <c r="X401" i="170"/>
  <c r="U55" i="170"/>
  <c r="W85" i="170"/>
  <c r="S118" i="170"/>
  <c r="T469" i="170"/>
  <c r="R469" i="170" s="1"/>
  <c r="W317" i="170"/>
  <c r="V273" i="170"/>
  <c r="S226" i="170"/>
  <c r="S413" i="170"/>
  <c r="X306" i="170"/>
  <c r="S208" i="170"/>
  <c r="X122" i="170"/>
  <c r="V172" i="170"/>
  <c r="X289" i="170"/>
  <c r="S35" i="170"/>
  <c r="W457" i="170"/>
  <c r="X474" i="170"/>
  <c r="S482" i="170"/>
  <c r="W396" i="170"/>
  <c r="T313" i="170"/>
  <c r="S241" i="170"/>
  <c r="W378" i="170"/>
  <c r="U100" i="170"/>
  <c r="S140" i="170"/>
  <c r="W195" i="170"/>
  <c r="X413" i="170"/>
  <c r="X79" i="170"/>
  <c r="V468" i="170"/>
  <c r="S315" i="170"/>
  <c r="X272" i="170"/>
  <c r="U225" i="170"/>
  <c r="U412" i="170"/>
  <c r="T304" i="170"/>
  <c r="U207" i="170"/>
  <c r="T120" i="170"/>
  <c r="S170" i="170"/>
  <c r="V282" i="170"/>
  <c r="U34" i="170"/>
  <c r="V510" i="170"/>
  <c r="U472" i="170"/>
  <c r="S231" i="170"/>
  <c r="X188" i="170"/>
  <c r="V400" i="170"/>
  <c r="U328" i="170"/>
  <c r="T220" i="170"/>
  <c r="Q220" i="170" s="1"/>
  <c r="T295" i="170"/>
  <c r="Q295" i="170" s="1"/>
  <c r="V36" i="170"/>
  <c r="X69" i="170"/>
  <c r="V101" i="170"/>
  <c r="X63" i="170"/>
  <c r="X509" i="170"/>
  <c r="W471" i="170"/>
  <c r="U230" i="170"/>
  <c r="T186" i="170"/>
  <c r="Y186" i="170" s="1"/>
  <c r="X399" i="170"/>
  <c r="W327" i="170"/>
  <c r="V219" i="170"/>
  <c r="X277" i="170"/>
  <c r="X35" i="170"/>
  <c r="T67" i="170"/>
  <c r="X100" i="170"/>
  <c r="V56" i="170"/>
  <c r="U458" i="170"/>
  <c r="V475" i="170"/>
  <c r="U489" i="170"/>
  <c r="U397" i="170"/>
  <c r="X315" i="170"/>
  <c r="W243" i="170"/>
  <c r="U379" i="170"/>
  <c r="S101" i="170"/>
  <c r="S145" i="170"/>
  <c r="U200" i="170"/>
  <c r="V431" i="170"/>
  <c r="T97" i="170"/>
  <c r="R97" i="170" s="1"/>
  <c r="X511" i="171"/>
  <c r="V500" i="171"/>
  <c r="S517" i="171"/>
  <c r="W507" i="171"/>
  <c r="U496" i="171"/>
  <c r="X510" i="171"/>
  <c r="V499" i="171"/>
  <c r="W514" i="171"/>
  <c r="U503" i="171"/>
  <c r="S492" i="171"/>
  <c r="X513" i="171"/>
  <c r="V502" i="171"/>
  <c r="T491" i="171"/>
  <c r="Q491" i="171" s="1"/>
  <c r="X512" i="171"/>
  <c r="V501" i="171"/>
  <c r="T490" i="171"/>
  <c r="Y490" i="171" s="1"/>
  <c r="W512" i="171"/>
  <c r="U501" i="171"/>
  <c r="U514" i="171"/>
  <c r="X482" i="171"/>
  <c r="V471" i="171"/>
  <c r="T460" i="171"/>
  <c r="Q460" i="171" s="1"/>
  <c r="X450" i="171"/>
  <c r="V439" i="171"/>
  <c r="T428" i="171"/>
  <c r="X418" i="171"/>
  <c r="V407" i="171"/>
  <c r="T396" i="171"/>
  <c r="R396" i="171" s="1"/>
  <c r="X386" i="171"/>
  <c r="V375" i="171"/>
  <c r="T364" i="171"/>
  <c r="W517" i="171"/>
  <c r="W486" i="171"/>
  <c r="U475" i="171"/>
  <c r="S464" i="171"/>
  <c r="W454" i="171"/>
  <c r="U443" i="171"/>
  <c r="S432" i="171"/>
  <c r="W422" i="171"/>
  <c r="U411" i="171"/>
  <c r="S400" i="171"/>
  <c r="W390" i="171"/>
  <c r="U379" i="171"/>
  <c r="S368" i="171"/>
  <c r="W358" i="171"/>
  <c r="V486" i="171"/>
  <c r="T475" i="171"/>
  <c r="X465" i="171"/>
  <c r="V454" i="171"/>
  <c r="T443" i="171"/>
  <c r="X433" i="171"/>
  <c r="V422" i="171"/>
  <c r="T411" i="171"/>
  <c r="X401" i="171"/>
  <c r="V390" i="171"/>
  <c r="T379" i="171"/>
  <c r="X369" i="171"/>
  <c r="V358" i="171"/>
  <c r="U486" i="171"/>
  <c r="S475" i="171"/>
  <c r="W465" i="171"/>
  <c r="U454" i="171"/>
  <c r="S443" i="171"/>
  <c r="W433" i="171"/>
  <c r="U422" i="171"/>
  <c r="S411" i="171"/>
  <c r="W401" i="171"/>
  <c r="U390" i="171"/>
  <c r="S379" i="171"/>
  <c r="U498" i="171"/>
  <c r="V481" i="171"/>
  <c r="T470" i="171"/>
  <c r="X460" i="171"/>
  <c r="V449" i="171"/>
  <c r="T438" i="171"/>
  <c r="R438" i="171" s="1"/>
  <c r="X428" i="171"/>
  <c r="V417" i="171"/>
  <c r="T406" i="171"/>
  <c r="X396" i="171"/>
  <c r="V385" i="171"/>
  <c r="T374" i="171"/>
  <c r="X364" i="171"/>
  <c r="W497" i="171"/>
  <c r="T477" i="171"/>
  <c r="X467" i="171"/>
  <c r="V456" i="171"/>
  <c r="T445" i="171"/>
  <c r="X435" i="171"/>
  <c r="V424" i="171"/>
  <c r="T413" i="171"/>
  <c r="X403" i="171"/>
  <c r="V392" i="171"/>
  <c r="T381" i="171"/>
  <c r="Q381" i="171" s="1"/>
  <c r="X371" i="171"/>
  <c r="V360" i="171"/>
  <c r="X490" i="171"/>
  <c r="S477" i="171"/>
  <c r="W467" i="171"/>
  <c r="U456" i="171"/>
  <c r="S445" i="171"/>
  <c r="W435" i="171"/>
  <c r="U424" i="171"/>
  <c r="S413" i="171"/>
  <c r="W403" i="171"/>
  <c r="U392" i="171"/>
  <c r="S381" i="171"/>
  <c r="W371" i="171"/>
  <c r="U360" i="171"/>
  <c r="U477" i="171"/>
  <c r="W388" i="171"/>
  <c r="W350" i="171"/>
  <c r="U339" i="171"/>
  <c r="S328" i="171"/>
  <c r="W318" i="171"/>
  <c r="U307" i="171"/>
  <c r="S296" i="171"/>
  <c r="W286" i="171"/>
  <c r="U275" i="171"/>
  <c r="S264" i="171"/>
  <c r="W254" i="171"/>
  <c r="U243" i="171"/>
  <c r="S232" i="171"/>
  <c r="S466" i="171"/>
  <c r="U377" i="171"/>
  <c r="X349" i="171"/>
  <c r="V338" i="171"/>
  <c r="T327" i="171"/>
  <c r="X317" i="171"/>
  <c r="V306" i="171"/>
  <c r="T295" i="171"/>
  <c r="X285" i="171"/>
  <c r="V274" i="171"/>
  <c r="T263" i="171"/>
  <c r="R263" i="171" s="1"/>
  <c r="X253" i="171"/>
  <c r="V242" i="171"/>
  <c r="T231" i="171"/>
  <c r="W476" i="171"/>
  <c r="S398" i="171"/>
  <c r="S351" i="171"/>
  <c r="W341" i="171"/>
  <c r="U330" i="171"/>
  <c r="S319" i="171"/>
  <c r="W309" i="171"/>
  <c r="U298" i="171"/>
  <c r="S287" i="171"/>
  <c r="W277" i="171"/>
  <c r="U266" i="171"/>
  <c r="S255" i="171"/>
  <c r="W245" i="171"/>
  <c r="U234" i="171"/>
  <c r="W472" i="171"/>
  <c r="S394" i="171"/>
  <c r="V349" i="171"/>
  <c r="T338" i="171"/>
  <c r="X328" i="171"/>
  <c r="V317" i="171"/>
  <c r="T306" i="171"/>
  <c r="X296" i="171"/>
  <c r="V285" i="171"/>
  <c r="T274" i="171"/>
  <c r="R274" i="171" s="1"/>
  <c r="X264" i="171"/>
  <c r="V253" i="171"/>
  <c r="T242" i="171"/>
  <c r="X232" i="171"/>
  <c r="V221" i="171"/>
  <c r="W396" i="171"/>
  <c r="W347" i="171"/>
  <c r="U324" i="171"/>
  <c r="S301" i="171"/>
  <c r="W283" i="171"/>
  <c r="U260" i="171"/>
  <c r="S237" i="171"/>
  <c r="U222" i="171"/>
  <c r="U214" i="171"/>
  <c r="S203" i="171"/>
  <c r="W193" i="171"/>
  <c r="U182" i="171"/>
  <c r="S171" i="171"/>
  <c r="W161" i="171"/>
  <c r="U150" i="171"/>
  <c r="S139" i="171"/>
  <c r="W129" i="171"/>
  <c r="U118" i="171"/>
  <c r="S107" i="171"/>
  <c r="W97" i="171"/>
  <c r="U86" i="171"/>
  <c r="S75" i="171"/>
  <c r="W65" i="171"/>
  <c r="U54" i="171"/>
  <c r="S43" i="171"/>
  <c r="S32" i="171"/>
  <c r="X22" i="171"/>
  <c r="W365" i="171"/>
  <c r="T332" i="171"/>
  <c r="X314" i="171"/>
  <c r="V291" i="171"/>
  <c r="T268" i="171"/>
  <c r="Q268" i="171" s="1"/>
  <c r="X250" i="171"/>
  <c r="V227" i="171"/>
  <c r="T214" i="171"/>
  <c r="R214" i="171" s="1"/>
  <c r="X204" i="171"/>
  <c r="V193" i="171"/>
  <c r="T182" i="171"/>
  <c r="Y182" i="171" s="1"/>
  <c r="X172" i="171"/>
  <c r="V161" i="171"/>
  <c r="T150" i="171"/>
  <c r="Y150" i="171" s="1"/>
  <c r="X140" i="171"/>
  <c r="V129" i="171"/>
  <c r="T118" i="171"/>
  <c r="X108" i="171"/>
  <c r="V97" i="171"/>
  <c r="T86" i="171"/>
  <c r="X76" i="171"/>
  <c r="V65" i="171"/>
  <c r="T54" i="171"/>
  <c r="R54" i="171" s="1"/>
  <c r="X44" i="171"/>
  <c r="X33" i="171"/>
  <c r="W22" i="171"/>
  <c r="W372" i="171"/>
  <c r="W344" i="171"/>
  <c r="U321" i="171"/>
  <c r="S298" i="171"/>
  <c r="W280" i="171"/>
  <c r="U257" i="171"/>
  <c r="S234" i="171"/>
  <c r="U213" i="171"/>
  <c r="S202" i="171"/>
  <c r="W192" i="171"/>
  <c r="U181" i="171"/>
  <c r="S170" i="171"/>
  <c r="W160" i="171"/>
  <c r="U149" i="171"/>
  <c r="S138" i="171"/>
  <c r="W128" i="171"/>
  <c r="U117" i="171"/>
  <c r="S106" i="171"/>
  <c r="W96" i="171"/>
  <c r="U85" i="171"/>
  <c r="S74" i="171"/>
  <c r="W64" i="171"/>
  <c r="U53" i="171"/>
  <c r="S42" i="171"/>
  <c r="W33" i="171"/>
  <c r="V22" i="171"/>
  <c r="W400" i="171"/>
  <c r="T345" i="171"/>
  <c r="X327" i="171"/>
  <c r="V304" i="171"/>
  <c r="T281" i="171"/>
  <c r="X263" i="171"/>
  <c r="V240" i="171"/>
  <c r="V212" i="171"/>
  <c r="T201" i="171"/>
  <c r="Y201" i="171" s="1"/>
  <c r="X191" i="171"/>
  <c r="V180" i="171"/>
  <c r="T169" i="171"/>
  <c r="Q169" i="171" s="1"/>
  <c r="X159" i="171"/>
  <c r="V148" i="171"/>
  <c r="T137" i="171"/>
  <c r="Q137" i="171" s="1"/>
  <c r="X127" i="171"/>
  <c r="V116" i="171"/>
  <c r="T105" i="171"/>
  <c r="X95" i="171"/>
  <c r="V84" i="171"/>
  <c r="T73" i="171"/>
  <c r="Y73" i="171" s="1"/>
  <c r="X63" i="171"/>
  <c r="V52" i="171"/>
  <c r="T41" i="171"/>
  <c r="T30" i="171"/>
  <c r="Y30" i="171" s="1"/>
  <c r="U19" i="171"/>
  <c r="T354" i="171"/>
  <c r="Y354" i="171" s="1"/>
  <c r="U336" i="171"/>
  <c r="S313" i="171"/>
  <c r="W295" i="171"/>
  <c r="T509" i="171"/>
  <c r="X499" i="171"/>
  <c r="U516" i="171"/>
  <c r="S505" i="171"/>
  <c r="W495" i="171"/>
  <c r="T508" i="171"/>
  <c r="X498" i="171"/>
  <c r="S512" i="171"/>
  <c r="W502" i="171"/>
  <c r="U491" i="171"/>
  <c r="T511" i="171"/>
  <c r="X501" i="171"/>
  <c r="V490" i="171"/>
  <c r="T510" i="171"/>
  <c r="X500" i="171"/>
  <c r="V489" i="171"/>
  <c r="S510" i="171"/>
  <c r="W500" i="171"/>
  <c r="S507" i="171"/>
  <c r="T480" i="171"/>
  <c r="X470" i="171"/>
  <c r="V459" i="171"/>
  <c r="T448" i="171"/>
  <c r="X438" i="171"/>
  <c r="V427" i="171"/>
  <c r="T416" i="171"/>
  <c r="R416" i="171" s="1"/>
  <c r="X406" i="171"/>
  <c r="V395" i="171"/>
  <c r="T384" i="171"/>
  <c r="X374" i="171"/>
  <c r="V363" i="171"/>
  <c r="U510" i="171"/>
  <c r="S484" i="171"/>
  <c r="W474" i="171"/>
  <c r="U463" i="171"/>
  <c r="S452" i="171"/>
  <c r="W442" i="171"/>
  <c r="U431" i="171"/>
  <c r="S420" i="171"/>
  <c r="W410" i="171"/>
  <c r="U399" i="171"/>
  <c r="S388" i="171"/>
  <c r="W378" i="171"/>
  <c r="U367" i="171"/>
  <c r="W513" i="171"/>
  <c r="X485" i="171"/>
  <c r="V474" i="171"/>
  <c r="T463" i="171"/>
  <c r="X453" i="171"/>
  <c r="V442" i="171"/>
  <c r="T431" i="171"/>
  <c r="Q431" i="171" s="1"/>
  <c r="X421" i="171"/>
  <c r="V410" i="171"/>
  <c r="T399" i="171"/>
  <c r="X389" i="171"/>
  <c r="V378" i="171"/>
  <c r="T367" i="171"/>
  <c r="Y367" i="171" s="1"/>
  <c r="X357" i="171"/>
  <c r="W485" i="171"/>
  <c r="U474" i="171"/>
  <c r="S463" i="171"/>
  <c r="W453" i="171"/>
  <c r="U442" i="171"/>
  <c r="S431" i="171"/>
  <c r="W421" i="171"/>
  <c r="U410" i="171"/>
  <c r="S399" i="171"/>
  <c r="W389" i="171"/>
  <c r="U378" i="171"/>
  <c r="S489" i="171"/>
  <c r="X480" i="171"/>
  <c r="V469" i="171"/>
  <c r="T458" i="171"/>
  <c r="Q458" i="171" s="1"/>
  <c r="X448" i="171"/>
  <c r="V437" i="171"/>
  <c r="T426" i="171"/>
  <c r="Y426" i="171" s="1"/>
  <c r="X416" i="171"/>
  <c r="V405" i="171"/>
  <c r="T394" i="171"/>
  <c r="X384" i="171"/>
  <c r="V373" i="171"/>
  <c r="T362" i="171"/>
  <c r="R362" i="171" s="1"/>
  <c r="U488" i="171"/>
  <c r="V476" i="171"/>
  <c r="T465" i="171"/>
  <c r="X455" i="171"/>
  <c r="V444" i="171"/>
  <c r="T433" i="171"/>
  <c r="X423" i="171"/>
  <c r="V412" i="171"/>
  <c r="T401" i="171"/>
  <c r="X391" i="171"/>
  <c r="V380" i="171"/>
  <c r="T369" i="171"/>
  <c r="X359" i="171"/>
  <c r="T488" i="171"/>
  <c r="U476" i="171"/>
  <c r="S465" i="171"/>
  <c r="W455" i="171"/>
  <c r="U444" i="171"/>
  <c r="S433" i="171"/>
  <c r="W423" i="171"/>
  <c r="U412" i="171"/>
  <c r="S401" i="171"/>
  <c r="W391" i="171"/>
  <c r="U380" i="171"/>
  <c r="S369" i="171"/>
  <c r="W359" i="171"/>
  <c r="S470" i="171"/>
  <c r="U381" i="171"/>
  <c r="S348" i="171"/>
  <c r="W338" i="171"/>
  <c r="U327" i="171"/>
  <c r="S316" i="171"/>
  <c r="W306" i="171"/>
  <c r="U295" i="171"/>
  <c r="S284" i="171"/>
  <c r="W274" i="171"/>
  <c r="U263" i="171"/>
  <c r="S252" i="171"/>
  <c r="W242" i="171"/>
  <c r="U231" i="171"/>
  <c r="W448" i="171"/>
  <c r="U370" i="171"/>
  <c r="T347" i="171"/>
  <c r="X337" i="171"/>
  <c r="V326" i="171"/>
  <c r="T315" i="171"/>
  <c r="X305" i="171"/>
  <c r="V294" i="171"/>
  <c r="T283" i="171"/>
  <c r="X273" i="171"/>
  <c r="V262" i="171"/>
  <c r="T251" i="171"/>
  <c r="R251" i="171" s="1"/>
  <c r="X241" i="171"/>
  <c r="V230" i="171"/>
  <c r="U469" i="171"/>
  <c r="W380" i="171"/>
  <c r="U350" i="171"/>
  <c r="S339" i="171"/>
  <c r="W329" i="171"/>
  <c r="U318" i="171"/>
  <c r="S307" i="171"/>
  <c r="W297" i="171"/>
  <c r="U286" i="171"/>
  <c r="S275" i="171"/>
  <c r="W265" i="171"/>
  <c r="U254" i="171"/>
  <c r="S243" i="171"/>
  <c r="W233" i="171"/>
  <c r="U465" i="171"/>
  <c r="W376" i="171"/>
  <c r="X348" i="171"/>
  <c r="V337" i="171"/>
  <c r="T326" i="171"/>
  <c r="X316" i="171"/>
  <c r="V305" i="171"/>
  <c r="T294" i="171"/>
  <c r="R294" i="171" s="1"/>
  <c r="X284" i="171"/>
  <c r="V273" i="171"/>
  <c r="T262" i="171"/>
  <c r="R262" i="171" s="1"/>
  <c r="X252" i="171"/>
  <c r="V241" i="171"/>
  <c r="T230" i="171"/>
  <c r="X220" i="171"/>
  <c r="U389" i="171"/>
  <c r="S341" i="171"/>
  <c r="W323" i="171"/>
  <c r="U300" i="171"/>
  <c r="S277" i="171"/>
  <c r="W259" i="171"/>
  <c r="U236" i="171"/>
  <c r="T221" i="171"/>
  <c r="W213" i="171"/>
  <c r="U202" i="171"/>
  <c r="S191" i="171"/>
  <c r="W181" i="171"/>
  <c r="U170" i="171"/>
  <c r="S159" i="171"/>
  <c r="W149" i="171"/>
  <c r="U138" i="171"/>
  <c r="S127" i="171"/>
  <c r="W117" i="171"/>
  <c r="U106" i="171"/>
  <c r="S95" i="171"/>
  <c r="W85" i="171"/>
  <c r="U74" i="171"/>
  <c r="S63" i="171"/>
  <c r="W53" i="171"/>
  <c r="U42" i="171"/>
  <c r="U31" i="171"/>
  <c r="U20" i="171"/>
  <c r="U358" i="171"/>
  <c r="V331" i="171"/>
  <c r="T308" i="171"/>
  <c r="R308" i="171" s="1"/>
  <c r="X290" i="171"/>
  <c r="V267" i="171"/>
  <c r="T244" i="171"/>
  <c r="X226" i="171"/>
  <c r="V213" i="171"/>
  <c r="T202" i="171"/>
  <c r="X192" i="171"/>
  <c r="V181" i="171"/>
  <c r="T170" i="171"/>
  <c r="R170" i="171" s="1"/>
  <c r="X160" i="171"/>
  <c r="V149" i="171"/>
  <c r="T138" i="171"/>
  <c r="X128" i="171"/>
  <c r="V117" i="171"/>
  <c r="T106" i="171"/>
  <c r="Q106" i="171" s="1"/>
  <c r="X96" i="171"/>
  <c r="V85" i="171"/>
  <c r="T74" i="171"/>
  <c r="X64" i="171"/>
  <c r="V53" i="171"/>
  <c r="T42" i="171"/>
  <c r="T31" i="171"/>
  <c r="R31" i="171" s="1"/>
  <c r="T20" i="171"/>
  <c r="W364" i="171"/>
  <c r="S338" i="171"/>
  <c r="W320" i="171"/>
  <c r="U297" i="171"/>
  <c r="S274" i="171"/>
  <c r="W256" i="171"/>
  <c r="U233" i="171"/>
  <c r="W212" i="171"/>
  <c r="U201" i="171"/>
  <c r="S190" i="171"/>
  <c r="W180" i="171"/>
  <c r="U169" i="171"/>
  <c r="S158" i="171"/>
  <c r="W148" i="171"/>
  <c r="U137" i="171"/>
  <c r="S126" i="171"/>
  <c r="W116" i="171"/>
  <c r="U105" i="171"/>
  <c r="S94" i="171"/>
  <c r="W84" i="171"/>
  <c r="U73" i="171"/>
  <c r="S62" i="171"/>
  <c r="W52" i="171"/>
  <c r="U41" i="171"/>
  <c r="S31" i="171"/>
  <c r="X21" i="171"/>
  <c r="U393" i="171"/>
  <c r="V344" i="171"/>
  <c r="T321" i="171"/>
  <c r="X303" i="171"/>
  <c r="V280" i="171"/>
  <c r="T257" i="171"/>
  <c r="Y257" i="171" s="1"/>
  <c r="X239" i="171"/>
  <c r="X211" i="171"/>
  <c r="V200" i="171"/>
  <c r="T189" i="171"/>
  <c r="Y189" i="171" s="1"/>
  <c r="X179" i="171"/>
  <c r="V168" i="171"/>
  <c r="T157" i="171"/>
  <c r="X147" i="171"/>
  <c r="V136" i="171"/>
  <c r="T125" i="171"/>
  <c r="Y125" i="171" s="1"/>
  <c r="X115" i="171"/>
  <c r="V104" i="171"/>
  <c r="T93" i="171"/>
  <c r="X83" i="171"/>
  <c r="V72" i="171"/>
  <c r="T61" i="171"/>
  <c r="R61" i="171" s="1"/>
  <c r="X51" i="171"/>
  <c r="W40" i="171"/>
  <c r="V29" i="171"/>
  <c r="V18" i="171"/>
  <c r="S353" i="171"/>
  <c r="W335" i="171"/>
  <c r="V508" i="171"/>
  <c r="T497" i="171"/>
  <c r="Q497" i="171" s="1"/>
  <c r="W515" i="171"/>
  <c r="U504" i="171"/>
  <c r="X518" i="171"/>
  <c r="V507" i="171"/>
  <c r="T496" i="171"/>
  <c r="U511" i="171"/>
  <c r="S500" i="171"/>
  <c r="W490" i="171"/>
  <c r="V510" i="171"/>
  <c r="T499" i="171"/>
  <c r="X489" i="171"/>
  <c r="V509" i="171"/>
  <c r="T498" i="171"/>
  <c r="X488" i="171"/>
  <c r="U509" i="171"/>
  <c r="S498" i="171"/>
  <c r="V491" i="171"/>
  <c r="V479" i="171"/>
  <c r="T468" i="171"/>
  <c r="X458" i="171"/>
  <c r="V447" i="171"/>
  <c r="T436" i="171"/>
  <c r="X426" i="171"/>
  <c r="V415" i="171"/>
  <c r="T404" i="171"/>
  <c r="Q404" i="171" s="1"/>
  <c r="X394" i="171"/>
  <c r="V383" i="171"/>
  <c r="T372" i="171"/>
  <c r="Q372" i="171" s="1"/>
  <c r="X362" i="171"/>
  <c r="S503" i="171"/>
  <c r="U483" i="171"/>
  <c r="S472" i="171"/>
  <c r="W462" i="171"/>
  <c r="U451" i="171"/>
  <c r="S440" i="171"/>
  <c r="W430" i="171"/>
  <c r="U419" i="171"/>
  <c r="S408" i="171"/>
  <c r="W398" i="171"/>
  <c r="U387" i="171"/>
  <c r="S376" i="171"/>
  <c r="W366" i="171"/>
  <c r="U506" i="171"/>
  <c r="T483" i="171"/>
  <c r="Q483" i="171" s="1"/>
  <c r="X473" i="171"/>
  <c r="V462" i="171"/>
  <c r="T451" i="171"/>
  <c r="Y451" i="171" s="1"/>
  <c r="X441" i="171"/>
  <c r="V430" i="171"/>
  <c r="T419" i="171"/>
  <c r="X409" i="171"/>
  <c r="V398" i="171"/>
  <c r="T387" i="171"/>
  <c r="Q387" i="171" s="1"/>
  <c r="X377" i="171"/>
  <c r="V366" i="171"/>
  <c r="W509" i="171"/>
  <c r="S483" i="171"/>
  <c r="W473" i="171"/>
  <c r="U462" i="171"/>
  <c r="S451" i="171"/>
  <c r="W441" i="171"/>
  <c r="U430" i="171"/>
  <c r="S419" i="171"/>
  <c r="W409" i="171"/>
  <c r="U398" i="171"/>
  <c r="S387" i="171"/>
  <c r="W377" i="171"/>
  <c r="W488" i="171"/>
  <c r="T478" i="171"/>
  <c r="Q478" i="171" s="1"/>
  <c r="X468" i="171"/>
  <c r="V457" i="171"/>
  <c r="T446" i="171"/>
  <c r="R446" i="171" s="1"/>
  <c r="X436" i="171"/>
  <c r="V425" i="171"/>
  <c r="T414" i="171"/>
  <c r="X404" i="171"/>
  <c r="V393" i="171"/>
  <c r="T382" i="171"/>
  <c r="X372" i="171"/>
  <c r="V361" i="171"/>
  <c r="T485" i="171"/>
  <c r="Q485" i="171" s="1"/>
  <c r="X475" i="171"/>
  <c r="V464" i="171"/>
  <c r="T453" i="171"/>
  <c r="Y453" i="171" s="1"/>
  <c r="X443" i="171"/>
  <c r="V432" i="171"/>
  <c r="T421" i="171"/>
  <c r="Q421" i="171" s="1"/>
  <c r="X411" i="171"/>
  <c r="V400" i="171"/>
  <c r="T389" i="171"/>
  <c r="X379" i="171"/>
  <c r="V368" i="171"/>
  <c r="T357" i="171"/>
  <c r="S485" i="171"/>
  <c r="W475" i="171"/>
  <c r="U464" i="171"/>
  <c r="S453" i="171"/>
  <c r="W443" i="171"/>
  <c r="U432" i="171"/>
  <c r="S421" i="171"/>
  <c r="W411" i="171"/>
  <c r="U400" i="171"/>
  <c r="S389" i="171"/>
  <c r="W379" i="171"/>
  <c r="U368" i="171"/>
  <c r="S357" i="171"/>
  <c r="W452" i="171"/>
  <c r="S374" i="171"/>
  <c r="U347" i="171"/>
  <c r="S336" i="171"/>
  <c r="W326" i="171"/>
  <c r="U315" i="171"/>
  <c r="S304" i="171"/>
  <c r="W294" i="171"/>
  <c r="U283" i="171"/>
  <c r="S272" i="171"/>
  <c r="W262" i="171"/>
  <c r="U251" i="171"/>
  <c r="S240" i="171"/>
  <c r="W230" i="171"/>
  <c r="U441" i="171"/>
  <c r="S363" i="171"/>
  <c r="V346" i="171"/>
  <c r="T335" i="171"/>
  <c r="Y335" i="171" s="1"/>
  <c r="X325" i="171"/>
  <c r="V314" i="171"/>
  <c r="T303" i="171"/>
  <c r="R303" i="171" s="1"/>
  <c r="X293" i="171"/>
  <c r="V282" i="171"/>
  <c r="T271" i="171"/>
  <c r="X261" i="171"/>
  <c r="V250" i="171"/>
  <c r="T239" i="171"/>
  <c r="R239" i="171" s="1"/>
  <c r="X229" i="171"/>
  <c r="S462" i="171"/>
  <c r="U373" i="171"/>
  <c r="W349" i="171"/>
  <c r="U338" i="171"/>
  <c r="S327" i="171"/>
  <c r="W317" i="171"/>
  <c r="U306" i="171"/>
  <c r="S295" i="171"/>
  <c r="W285" i="171"/>
  <c r="U274" i="171"/>
  <c r="S263" i="171"/>
  <c r="W253" i="171"/>
  <c r="U242" i="171"/>
  <c r="S231" i="171"/>
  <c r="S458" i="171"/>
  <c r="U366" i="171"/>
  <c r="T346" i="171"/>
  <c r="Q346" i="171" s="1"/>
  <c r="X336" i="171"/>
  <c r="V325" i="171"/>
  <c r="T314" i="171"/>
  <c r="X304" i="171"/>
  <c r="V293" i="171"/>
  <c r="T282" i="171"/>
  <c r="Q282" i="171" s="1"/>
  <c r="X272" i="171"/>
  <c r="V261" i="171"/>
  <c r="T250" i="171"/>
  <c r="Q250" i="171" s="1"/>
  <c r="X240" i="171"/>
  <c r="V229" i="171"/>
  <c r="T218" i="171"/>
  <c r="S382" i="171"/>
  <c r="U340" i="171"/>
  <c r="S317" i="171"/>
  <c r="W299" i="171"/>
  <c r="U276" i="171"/>
  <c r="S253" i="171"/>
  <c r="W235" i="171"/>
  <c r="T220" i="171"/>
  <c r="S211" i="171"/>
  <c r="W201" i="171"/>
  <c r="U190" i="171"/>
  <c r="S179" i="171"/>
  <c r="W169" i="171"/>
  <c r="U158" i="171"/>
  <c r="S147" i="171"/>
  <c r="W137" i="171"/>
  <c r="U126" i="171"/>
  <c r="S115" i="171"/>
  <c r="W105" i="171"/>
  <c r="U94" i="171"/>
  <c r="S83" i="171"/>
  <c r="W73" i="171"/>
  <c r="U62" i="171"/>
  <c r="S51" i="171"/>
  <c r="W41" i="171"/>
  <c r="W30" i="171"/>
  <c r="X19" i="171"/>
  <c r="T348" i="171"/>
  <c r="Y348" i="171" s="1"/>
  <c r="X330" i="171"/>
  <c r="V307" i="171"/>
  <c r="T284" i="171"/>
  <c r="X266" i="171"/>
  <c r="V243" i="171"/>
  <c r="T224" i="171"/>
  <c r="R224" i="171" s="1"/>
  <c r="X212" i="171"/>
  <c r="V201" i="171"/>
  <c r="T190" i="171"/>
  <c r="R190" i="171" s="1"/>
  <c r="X180" i="171"/>
  <c r="V169" i="171"/>
  <c r="T158" i="171"/>
  <c r="X148" i="171"/>
  <c r="V137" i="171"/>
  <c r="T126" i="171"/>
  <c r="X116" i="171"/>
  <c r="V105" i="171"/>
  <c r="T94" i="171"/>
  <c r="Y94" i="171" s="1"/>
  <c r="X84" i="171"/>
  <c r="V73" i="171"/>
  <c r="T62" i="171"/>
  <c r="R62" i="171" s="1"/>
  <c r="X52" i="171"/>
  <c r="V41" i="171"/>
  <c r="V30" i="171"/>
  <c r="W19" i="171"/>
  <c r="W357" i="171"/>
  <c r="U337" i="171"/>
  <c r="S314" i="171"/>
  <c r="W296" i="171"/>
  <c r="U273" i="171"/>
  <c r="S250" i="171"/>
  <c r="W232" i="171"/>
  <c r="S210" i="171"/>
  <c r="W200" i="171"/>
  <c r="U189" i="171"/>
  <c r="S178" i="171"/>
  <c r="W168" i="171"/>
  <c r="U157" i="171"/>
  <c r="S146" i="171"/>
  <c r="W136" i="171"/>
  <c r="U125" i="171"/>
  <c r="S114" i="171"/>
  <c r="W104" i="171"/>
  <c r="U93" i="171"/>
  <c r="S82" i="171"/>
  <c r="W72" i="171"/>
  <c r="U61" i="171"/>
  <c r="S50" i="171"/>
  <c r="X40" i="171"/>
  <c r="U30" i="171"/>
  <c r="S20" i="171"/>
  <c r="S386" i="171"/>
  <c r="X343" i="171"/>
  <c r="V320" i="171"/>
  <c r="T297" i="171"/>
  <c r="Y297" i="171" s="1"/>
  <c r="X279" i="171"/>
  <c r="V256" i="171"/>
  <c r="T233" i="171"/>
  <c r="R233" i="171" s="1"/>
  <c r="T209" i="171"/>
  <c r="X199" i="171"/>
  <c r="V188" i="171"/>
  <c r="T177" i="171"/>
  <c r="X167" i="171"/>
  <c r="V156" i="171"/>
  <c r="T145" i="171"/>
  <c r="R145" i="171" s="1"/>
  <c r="X135" i="171"/>
  <c r="V124" i="171"/>
  <c r="T113" i="171"/>
  <c r="X103" i="171"/>
  <c r="V92" i="171"/>
  <c r="T81" i="171"/>
  <c r="Y81" i="171" s="1"/>
  <c r="X71" i="171"/>
  <c r="V60" i="171"/>
  <c r="T517" i="171"/>
  <c r="Y517" i="171" s="1"/>
  <c r="X507" i="171"/>
  <c r="V496" i="171"/>
  <c r="S513" i="171"/>
  <c r="W503" i="171"/>
  <c r="T516" i="171"/>
  <c r="R516" i="171" s="1"/>
  <c r="X506" i="171"/>
  <c r="V495" i="171"/>
  <c r="W510" i="171"/>
  <c r="U499" i="171"/>
  <c r="S488" i="171"/>
  <c r="X509" i="171"/>
  <c r="V498" i="171"/>
  <c r="T518" i="171"/>
  <c r="X508" i="171"/>
  <c r="V497" i="171"/>
  <c r="S518" i="171"/>
  <c r="W508" i="171"/>
  <c r="U497" i="171"/>
  <c r="U490" i="171"/>
  <c r="X478" i="171"/>
  <c r="V467" i="171"/>
  <c r="T456" i="171"/>
  <c r="X446" i="171"/>
  <c r="V435" i="171"/>
  <c r="T424" i="171"/>
  <c r="Y424" i="171" s="1"/>
  <c r="X414" i="171"/>
  <c r="V403" i="171"/>
  <c r="T392" i="171"/>
  <c r="X382" i="171"/>
  <c r="V371" i="171"/>
  <c r="T360" i="171"/>
  <c r="Q360" i="171" s="1"/>
  <c r="U492" i="171"/>
  <c r="W482" i="171"/>
  <c r="U471" i="171"/>
  <c r="S460" i="171"/>
  <c r="W450" i="171"/>
  <c r="U439" i="171"/>
  <c r="S428" i="171"/>
  <c r="W418" i="171"/>
  <c r="U407" i="171"/>
  <c r="S396" i="171"/>
  <c r="W386" i="171"/>
  <c r="U375" i="171"/>
  <c r="S364" i="171"/>
  <c r="S499" i="171"/>
  <c r="V482" i="171"/>
  <c r="T471" i="171"/>
  <c r="R471" i="171" s="1"/>
  <c r="X461" i="171"/>
  <c r="V450" i="171"/>
  <c r="T439" i="171"/>
  <c r="X429" i="171"/>
  <c r="V418" i="171"/>
  <c r="T407" i="171"/>
  <c r="X397" i="171"/>
  <c r="V386" i="171"/>
  <c r="T375" i="171"/>
  <c r="R375" i="171" s="1"/>
  <c r="X365" i="171"/>
  <c r="U502" i="171"/>
  <c r="U482" i="171"/>
  <c r="S471" i="171"/>
  <c r="W461" i="171"/>
  <c r="U450" i="171"/>
  <c r="S439" i="171"/>
  <c r="W429" i="171"/>
  <c r="U418" i="171"/>
  <c r="S407" i="171"/>
  <c r="W397" i="171"/>
  <c r="U386" i="171"/>
  <c r="S375" i="171"/>
  <c r="T487" i="171"/>
  <c r="R487" i="171" s="1"/>
  <c r="V477" i="171"/>
  <c r="T466" i="171"/>
  <c r="X456" i="171"/>
  <c r="V445" i="171"/>
  <c r="T434" i="171"/>
  <c r="R434" i="171" s="1"/>
  <c r="X424" i="171"/>
  <c r="V413" i="171"/>
  <c r="T402" i="171"/>
  <c r="X392" i="171"/>
  <c r="V381" i="171"/>
  <c r="T370" i="171"/>
  <c r="R370" i="171" s="1"/>
  <c r="X360" i="171"/>
  <c r="V484" i="171"/>
  <c r="T473" i="171"/>
  <c r="X463" i="171"/>
  <c r="V452" i="171"/>
  <c r="T441" i="171"/>
  <c r="Y441" i="171" s="1"/>
  <c r="X431" i="171"/>
  <c r="V420" i="171"/>
  <c r="T409" i="171"/>
  <c r="X399" i="171"/>
  <c r="V388" i="171"/>
  <c r="T377" i="171"/>
  <c r="R377" i="171" s="1"/>
  <c r="X367" i="171"/>
  <c r="V356" i="171"/>
  <c r="U484" i="171"/>
  <c r="S473" i="171"/>
  <c r="W463" i="171"/>
  <c r="U452" i="171"/>
  <c r="S441" i="171"/>
  <c r="W431" i="171"/>
  <c r="U420" i="171"/>
  <c r="S409" i="171"/>
  <c r="W399" i="171"/>
  <c r="U388" i="171"/>
  <c r="S377" i="171"/>
  <c r="W367" i="171"/>
  <c r="U356" i="171"/>
  <c r="U445" i="171"/>
  <c r="U365" i="171"/>
  <c r="W346" i="171"/>
  <c r="U335" i="171"/>
  <c r="S324" i="171"/>
  <c r="W314" i="171"/>
  <c r="U303" i="171"/>
  <c r="S292" i="171"/>
  <c r="W282" i="171"/>
  <c r="U271" i="171"/>
  <c r="S260" i="171"/>
  <c r="W250" i="171"/>
  <c r="U239" i="171"/>
  <c r="S228" i="171"/>
  <c r="S434" i="171"/>
  <c r="W361" i="171"/>
  <c r="X345" i="171"/>
  <c r="V334" i="171"/>
  <c r="T323" i="171"/>
  <c r="Y323" i="171" s="1"/>
  <c r="X313" i="171"/>
  <c r="V302" i="171"/>
  <c r="T291" i="171"/>
  <c r="X281" i="171"/>
  <c r="V270" i="171"/>
  <c r="T259" i="171"/>
  <c r="X249" i="171"/>
  <c r="V238" i="171"/>
  <c r="T227" i="171"/>
  <c r="R227" i="171" s="1"/>
  <c r="W444" i="171"/>
  <c r="S370" i="171"/>
  <c r="S347" i="171"/>
  <c r="W337" i="171"/>
  <c r="U326" i="171"/>
  <c r="S315" i="171"/>
  <c r="W305" i="171"/>
  <c r="U294" i="171"/>
  <c r="S283" i="171"/>
  <c r="W273" i="171"/>
  <c r="U262" i="171"/>
  <c r="S251" i="171"/>
  <c r="W241" i="171"/>
  <c r="U230" i="171"/>
  <c r="W440" i="171"/>
  <c r="S359" i="171"/>
  <c r="V345" i="171"/>
  <c r="T334" i="171"/>
  <c r="X324" i="171"/>
  <c r="V313" i="171"/>
  <c r="T302" i="171"/>
  <c r="Q302" i="171" s="1"/>
  <c r="X292" i="171"/>
  <c r="V281" i="171"/>
  <c r="T270" i="171"/>
  <c r="Q270" i="171" s="1"/>
  <c r="X260" i="171"/>
  <c r="V249" i="171"/>
  <c r="T238" i="171"/>
  <c r="R238" i="171" s="1"/>
  <c r="X228" i="171"/>
  <c r="V217" i="171"/>
  <c r="U369" i="171"/>
  <c r="W339" i="171"/>
  <c r="U316" i="171"/>
  <c r="S293" i="171"/>
  <c r="W275" i="171"/>
  <c r="U252" i="171"/>
  <c r="S229" i="171"/>
  <c r="T219" i="171"/>
  <c r="U210" i="171"/>
  <c r="S199" i="171"/>
  <c r="W189" i="171"/>
  <c r="U178" i="171"/>
  <c r="S167" i="171"/>
  <c r="W157" i="171"/>
  <c r="U146" i="171"/>
  <c r="S135" i="171"/>
  <c r="W125" i="171"/>
  <c r="U114" i="171"/>
  <c r="S103" i="171"/>
  <c r="W93" i="171"/>
  <c r="U82" i="171"/>
  <c r="S71" i="171"/>
  <c r="W61" i="171"/>
  <c r="U50" i="171"/>
  <c r="U39" i="171"/>
  <c r="S28" i="171"/>
  <c r="U481" i="171"/>
  <c r="V347" i="171"/>
  <c r="T324" i="171"/>
  <c r="R324" i="171" s="1"/>
  <c r="X306" i="171"/>
  <c r="V283" i="171"/>
  <c r="T260" i="171"/>
  <c r="X242" i="171"/>
  <c r="T223" i="171"/>
  <c r="Q223" i="171" s="1"/>
  <c r="T210" i="171"/>
  <c r="Y210" i="171" s="1"/>
  <c r="X200" i="171"/>
  <c r="V189" i="171"/>
  <c r="T178" i="171"/>
  <c r="X168" i="171"/>
  <c r="V157" i="171"/>
  <c r="T146" i="171"/>
  <c r="Y146" i="171" s="1"/>
  <c r="X136" i="171"/>
  <c r="V125" i="171"/>
  <c r="T114" i="171"/>
  <c r="Q114" i="171" s="1"/>
  <c r="X104" i="171"/>
  <c r="V93" i="171"/>
  <c r="T82" i="171"/>
  <c r="X72" i="171"/>
  <c r="V61" i="171"/>
  <c r="T50" i="171"/>
  <c r="Q50" i="171" s="1"/>
  <c r="T39" i="171"/>
  <c r="Q39" i="171" s="1"/>
  <c r="X29" i="171"/>
  <c r="X18" i="171"/>
  <c r="V354" i="171"/>
  <c r="W336" i="171"/>
  <c r="U313" i="171"/>
  <c r="S290" i="171"/>
  <c r="W272" i="171"/>
  <c r="U249" i="171"/>
  <c r="S226" i="171"/>
  <c r="U209" i="171"/>
  <c r="S198" i="171"/>
  <c r="W188" i="171"/>
  <c r="U177" i="171"/>
  <c r="S166" i="171"/>
  <c r="W156" i="171"/>
  <c r="U145" i="171"/>
  <c r="S134" i="171"/>
  <c r="W124" i="171"/>
  <c r="U113" i="171"/>
  <c r="S102" i="171"/>
  <c r="W92" i="171"/>
  <c r="U81" i="171"/>
  <c r="S70" i="171"/>
  <c r="W60" i="171"/>
  <c r="U49" i="171"/>
  <c r="S39" i="171"/>
  <c r="W29" i="171"/>
  <c r="V19" i="171"/>
  <c r="U357" i="171"/>
  <c r="T337" i="171"/>
  <c r="Y337" i="171" s="1"/>
  <c r="X319" i="171"/>
  <c r="V296" i="171"/>
  <c r="T273" i="171"/>
  <c r="Y273" i="171" s="1"/>
  <c r="X255" i="171"/>
  <c r="V232" i="171"/>
  <c r="V208" i="171"/>
  <c r="T197" i="171"/>
  <c r="X187" i="171"/>
  <c r="V176" i="171"/>
  <c r="T165" i="171"/>
  <c r="Y165" i="171" s="1"/>
  <c r="X155" i="171"/>
  <c r="V144" i="171"/>
  <c r="T133" i="171"/>
  <c r="R133" i="171" s="1"/>
  <c r="X123" i="171"/>
  <c r="V112" i="171"/>
  <c r="T101" i="171"/>
  <c r="Y101" i="171" s="1"/>
  <c r="X91" i="171"/>
  <c r="V80" i="171"/>
  <c r="T69" i="171"/>
  <c r="R69" i="171" s="1"/>
  <c r="X59" i="171"/>
  <c r="V48" i="171"/>
  <c r="V37" i="171"/>
  <c r="T26" i="171"/>
  <c r="S478" i="171"/>
  <c r="W351" i="171"/>
  <c r="U328" i="171"/>
  <c r="S305" i="171"/>
  <c r="W287" i="171"/>
  <c r="U264" i="171"/>
  <c r="S241" i="171"/>
  <c r="X218" i="171"/>
  <c r="U208" i="171"/>
  <c r="S197" i="171"/>
  <c r="W187" i="171"/>
  <c r="U176" i="171"/>
  <c r="V504" i="171"/>
  <c r="W511" i="171"/>
  <c r="X514" i="171"/>
  <c r="W518" i="171"/>
  <c r="S496" i="171"/>
  <c r="V506" i="171"/>
  <c r="X516" i="171"/>
  <c r="T494" i="171"/>
  <c r="R494" i="171" s="1"/>
  <c r="U505" i="171"/>
  <c r="X486" i="171"/>
  <c r="T464" i="171"/>
  <c r="V443" i="171"/>
  <c r="X422" i="171"/>
  <c r="T400" i="171"/>
  <c r="R400" i="171" s="1"/>
  <c r="V379" i="171"/>
  <c r="X358" i="171"/>
  <c r="U479" i="171"/>
  <c r="W458" i="171"/>
  <c r="S436" i="171"/>
  <c r="U415" i="171"/>
  <c r="W394" i="171"/>
  <c r="S372" i="171"/>
  <c r="T492" i="171"/>
  <c r="X469" i="171"/>
  <c r="T447" i="171"/>
  <c r="V426" i="171"/>
  <c r="X405" i="171"/>
  <c r="T383" i="171"/>
  <c r="R383" i="171" s="1"/>
  <c r="V362" i="171"/>
  <c r="S479" i="171"/>
  <c r="U458" i="171"/>
  <c r="W437" i="171"/>
  <c r="S415" i="171"/>
  <c r="U394" i="171"/>
  <c r="W373" i="171"/>
  <c r="T474" i="171"/>
  <c r="V453" i="171"/>
  <c r="X432" i="171"/>
  <c r="T410" i="171"/>
  <c r="V389" i="171"/>
  <c r="X368" i="171"/>
  <c r="T481" i="171"/>
  <c r="Y481" i="171" s="1"/>
  <c r="V460" i="171"/>
  <c r="X439" i="171"/>
  <c r="T417" i="171"/>
  <c r="Q417" i="171" s="1"/>
  <c r="V396" i="171"/>
  <c r="X375" i="171"/>
  <c r="U518" i="171"/>
  <c r="W471" i="171"/>
  <c r="S449" i="171"/>
  <c r="U428" i="171"/>
  <c r="W407" i="171"/>
  <c r="S385" i="171"/>
  <c r="U364" i="171"/>
  <c r="W420" i="171"/>
  <c r="U343" i="171"/>
  <c r="W322" i="171"/>
  <c r="S300" i="171"/>
  <c r="U279" i="171"/>
  <c r="W258" i="171"/>
  <c r="S236" i="171"/>
  <c r="U409" i="171"/>
  <c r="V342" i="171"/>
  <c r="X321" i="171"/>
  <c r="T299" i="171"/>
  <c r="V278" i="171"/>
  <c r="X257" i="171"/>
  <c r="T235" i="171"/>
  <c r="R235" i="171" s="1"/>
  <c r="S430" i="171"/>
  <c r="W345" i="171"/>
  <c r="S323" i="171"/>
  <c r="U302" i="171"/>
  <c r="W281" i="171"/>
  <c r="S259" i="171"/>
  <c r="U238" i="171"/>
  <c r="S426" i="171"/>
  <c r="T342" i="171"/>
  <c r="R342" i="171" s="1"/>
  <c r="V321" i="171"/>
  <c r="X300" i="171"/>
  <c r="T278" i="171"/>
  <c r="R278" i="171" s="1"/>
  <c r="V257" i="171"/>
  <c r="X236" i="171"/>
  <c r="W460" i="171"/>
  <c r="U332" i="171"/>
  <c r="W291" i="171"/>
  <c r="S245" i="171"/>
  <c r="S217" i="171"/>
  <c r="W197" i="171"/>
  <c r="S175" i="171"/>
  <c r="U154" i="171"/>
  <c r="W133" i="171"/>
  <c r="S111" i="171"/>
  <c r="U90" i="171"/>
  <c r="W69" i="171"/>
  <c r="S47" i="171"/>
  <c r="W26" i="171"/>
  <c r="T340" i="171"/>
  <c r="Y340" i="171" s="1"/>
  <c r="V299" i="171"/>
  <c r="X258" i="171"/>
  <c r="S221" i="171"/>
  <c r="V197" i="171"/>
  <c r="X176" i="171"/>
  <c r="T154" i="171"/>
  <c r="Y154" i="171" s="1"/>
  <c r="V133" i="171"/>
  <c r="X112" i="171"/>
  <c r="T90" i="171"/>
  <c r="R90" i="171" s="1"/>
  <c r="V69" i="171"/>
  <c r="X48" i="171"/>
  <c r="V26" i="171"/>
  <c r="W352" i="171"/>
  <c r="S306" i="171"/>
  <c r="U265" i="171"/>
  <c r="S224" i="171"/>
  <c r="W196" i="171"/>
  <c r="S174" i="171"/>
  <c r="U153" i="171"/>
  <c r="W132" i="171"/>
  <c r="S110" i="171"/>
  <c r="U89" i="171"/>
  <c r="W68" i="171"/>
  <c r="S46" i="171"/>
  <c r="U26" i="171"/>
  <c r="T353" i="171"/>
  <c r="V312" i="171"/>
  <c r="X271" i="171"/>
  <c r="T225" i="171"/>
  <c r="Q225" i="171" s="1"/>
  <c r="X195" i="171"/>
  <c r="T173" i="171"/>
  <c r="Y173" i="171" s="1"/>
  <c r="V152" i="171"/>
  <c r="X131" i="171"/>
  <c r="T109" i="171"/>
  <c r="V88" i="171"/>
  <c r="X67" i="171"/>
  <c r="X47" i="171"/>
  <c r="X32" i="171"/>
  <c r="U421" i="171"/>
  <c r="S329" i="171"/>
  <c r="W303" i="171"/>
  <c r="S273" i="171"/>
  <c r="S249" i="171"/>
  <c r="S225" i="171"/>
  <c r="S209" i="171"/>
  <c r="U196" i="171"/>
  <c r="U184" i="171"/>
  <c r="U172" i="171"/>
  <c r="S161" i="171"/>
  <c r="W151" i="171"/>
  <c r="U140" i="171"/>
  <c r="S129" i="171"/>
  <c r="W119" i="171"/>
  <c r="U108" i="171"/>
  <c r="S97" i="171"/>
  <c r="W87" i="171"/>
  <c r="U76" i="171"/>
  <c r="S65" i="171"/>
  <c r="W55" i="171"/>
  <c r="U44" i="171"/>
  <c r="U33" i="171"/>
  <c r="T22" i="171"/>
  <c r="R22" i="171" s="1"/>
  <c r="U397" i="171"/>
  <c r="W340" i="171"/>
  <c r="U317" i="171"/>
  <c r="S294" i="171"/>
  <c r="W276" i="171"/>
  <c r="U253" i="171"/>
  <c r="S230" i="171"/>
  <c r="V219" i="171"/>
  <c r="W210" i="171"/>
  <c r="U199" i="171"/>
  <c r="S188" i="171"/>
  <c r="W178" i="171"/>
  <c r="U167" i="171"/>
  <c r="S156" i="171"/>
  <c r="W146" i="171"/>
  <c r="U135" i="171"/>
  <c r="S124" i="171"/>
  <c r="W114" i="171"/>
  <c r="U103" i="171"/>
  <c r="S92" i="171"/>
  <c r="W82" i="171"/>
  <c r="U71" i="171"/>
  <c r="S60" i="171"/>
  <c r="W50" i="171"/>
  <c r="W39" i="171"/>
  <c r="U28" i="171"/>
  <c r="S482" i="171"/>
  <c r="V348" i="171"/>
  <c r="T325" i="171"/>
  <c r="X307" i="171"/>
  <c r="V284" i="171"/>
  <c r="T261" i="171"/>
  <c r="X243" i="171"/>
  <c r="V223" i="171"/>
  <c r="T215" i="171"/>
  <c r="R215" i="171" s="1"/>
  <c r="X205" i="171"/>
  <c r="V194" i="171"/>
  <c r="T183" i="171"/>
  <c r="R183" i="171" s="1"/>
  <c r="X173" i="171"/>
  <c r="V162" i="171"/>
  <c r="T151" i="171"/>
  <c r="X141" i="171"/>
  <c r="V130" i="171"/>
  <c r="T119" i="171"/>
  <c r="X109" i="171"/>
  <c r="V98" i="171"/>
  <c r="T87" i="171"/>
  <c r="X77" i="171"/>
  <c r="V66" i="171"/>
  <c r="T55" i="171"/>
  <c r="X45" i="171"/>
  <c r="V35" i="171"/>
  <c r="T24" i="171"/>
  <c r="X270" i="171"/>
  <c r="X182" i="171"/>
  <c r="T104" i="171"/>
  <c r="W392" i="171"/>
  <c r="X210" i="171"/>
  <c r="T132" i="171"/>
  <c r="R132" i="171" s="1"/>
  <c r="V43" i="171"/>
  <c r="T304" i="171"/>
  <c r="T192" i="171"/>
  <c r="V103" i="171"/>
  <c r="S22" i="171"/>
  <c r="W220" i="171"/>
  <c r="X134" i="171"/>
  <c r="T56" i="171"/>
  <c r="Y56" i="171" s="1"/>
  <c r="X294" i="171"/>
  <c r="X162" i="171"/>
  <c r="T84" i="171"/>
  <c r="R84" i="171" s="1"/>
  <c r="T336" i="171"/>
  <c r="Y336" i="171" s="1"/>
  <c r="X190" i="171"/>
  <c r="T112" i="171"/>
  <c r="R112" i="171" s="1"/>
  <c r="X342" i="171"/>
  <c r="X186" i="171"/>
  <c r="T108" i="171"/>
  <c r="X20" i="171"/>
  <c r="X39" i="171"/>
  <c r="X106" i="171"/>
  <c r="X202" i="171"/>
  <c r="X503" i="171"/>
  <c r="S509" i="171"/>
  <c r="T512" i="171"/>
  <c r="R512" i="171" s="1"/>
  <c r="S516" i="171"/>
  <c r="U495" i="171"/>
  <c r="X505" i="171"/>
  <c r="T514" i="171"/>
  <c r="Q514" i="171" s="1"/>
  <c r="V493" i="171"/>
  <c r="W504" i="171"/>
  <c r="T484" i="171"/>
  <c r="V463" i="171"/>
  <c r="X442" i="171"/>
  <c r="T420" i="171"/>
  <c r="V399" i="171"/>
  <c r="X378" i="171"/>
  <c r="T356" i="171"/>
  <c r="Y356" i="171" s="1"/>
  <c r="W478" i="171"/>
  <c r="S456" i="171"/>
  <c r="U435" i="171"/>
  <c r="W414" i="171"/>
  <c r="S392" i="171"/>
  <c r="U371" i="171"/>
  <c r="U489" i="171"/>
  <c r="T467" i="171"/>
  <c r="R467" i="171" s="1"/>
  <c r="V446" i="171"/>
  <c r="X425" i="171"/>
  <c r="T403" i="171"/>
  <c r="Q403" i="171" s="1"/>
  <c r="V382" i="171"/>
  <c r="X361" i="171"/>
  <c r="U478" i="171"/>
  <c r="W457" i="171"/>
  <c r="S435" i="171"/>
  <c r="U414" i="171"/>
  <c r="W393" i="171"/>
  <c r="S371" i="171"/>
  <c r="V473" i="171"/>
  <c r="X452" i="171"/>
  <c r="T430" i="171"/>
  <c r="V409" i="171"/>
  <c r="X388" i="171"/>
  <c r="T366" i="171"/>
  <c r="V480" i="171"/>
  <c r="X459" i="171"/>
  <c r="T437" i="171"/>
  <c r="V416" i="171"/>
  <c r="X395" i="171"/>
  <c r="T373" i="171"/>
  <c r="Q373" i="171" s="1"/>
  <c r="S511" i="171"/>
  <c r="S469" i="171"/>
  <c r="U448" i="171"/>
  <c r="W427" i="171"/>
  <c r="S405" i="171"/>
  <c r="U384" i="171"/>
  <c r="W363" i="171"/>
  <c r="U413" i="171"/>
  <c r="W342" i="171"/>
  <c r="S320" i="171"/>
  <c r="U299" i="171"/>
  <c r="W278" i="171"/>
  <c r="S256" i="171"/>
  <c r="U235" i="171"/>
  <c r="S402" i="171"/>
  <c r="X341" i="171"/>
  <c r="T319" i="171"/>
  <c r="Q319" i="171" s="1"/>
  <c r="V298" i="171"/>
  <c r="X277" i="171"/>
  <c r="T255" i="171"/>
  <c r="R255" i="171" s="1"/>
  <c r="V234" i="171"/>
  <c r="W412" i="171"/>
  <c r="S343" i="171"/>
  <c r="U322" i="171"/>
  <c r="W301" i="171"/>
  <c r="S279" i="171"/>
  <c r="U258" i="171"/>
  <c r="W237" i="171"/>
  <c r="W408" i="171"/>
  <c r="V341" i="171"/>
  <c r="X320" i="171"/>
  <c r="T298" i="171"/>
  <c r="V277" i="171"/>
  <c r="X256" i="171"/>
  <c r="T234" i="171"/>
  <c r="U453" i="171"/>
  <c r="W331" i="171"/>
  <c r="S285" i="171"/>
  <c r="U244" i="171"/>
  <c r="S216" i="171"/>
  <c r="S195" i="171"/>
  <c r="U174" i="171"/>
  <c r="W153" i="171"/>
  <c r="S131" i="171"/>
  <c r="U110" i="171"/>
  <c r="W89" i="171"/>
  <c r="S67" i="171"/>
  <c r="U46" i="171"/>
  <c r="S24" i="171"/>
  <c r="V339" i="171"/>
  <c r="X298" i="171"/>
  <c r="T252" i="171"/>
  <c r="Q252" i="171" s="1"/>
  <c r="S220" i="171"/>
  <c r="X196" i="171"/>
  <c r="T174" i="171"/>
  <c r="V153" i="171"/>
  <c r="X132" i="171"/>
  <c r="T110" i="171"/>
  <c r="V89" i="171"/>
  <c r="X68" i="171"/>
  <c r="T46" i="171"/>
  <c r="X25" i="171"/>
  <c r="S346" i="171"/>
  <c r="U305" i="171"/>
  <c r="W264" i="171"/>
  <c r="S223" i="171"/>
  <c r="S194" i="171"/>
  <c r="U173" i="171"/>
  <c r="W152" i="171"/>
  <c r="S130" i="171"/>
  <c r="U109" i="171"/>
  <c r="W88" i="171"/>
  <c r="S66" i="171"/>
  <c r="U45" i="171"/>
  <c r="W25" i="171"/>
  <c r="V352" i="171"/>
  <c r="X311" i="171"/>
  <c r="T265" i="171"/>
  <c r="X215" i="171"/>
  <c r="T193" i="171"/>
  <c r="Y193" i="171" s="1"/>
  <c r="V172" i="171"/>
  <c r="X151" i="171"/>
  <c r="T129" i="171"/>
  <c r="V108" i="171"/>
  <c r="X87" i="171"/>
  <c r="T65" i="171"/>
  <c r="T45" i="171"/>
  <c r="X28" i="171"/>
  <c r="S414" i="171"/>
  <c r="W327" i="171"/>
  <c r="S297" i="171"/>
  <c r="U272" i="171"/>
  <c r="U248" i="171"/>
  <c r="X219" i="171"/>
  <c r="W207" i="171"/>
  <c r="W195" i="171"/>
  <c r="W183" i="171"/>
  <c r="W171" i="171"/>
  <c r="U160" i="171"/>
  <c r="S149" i="171"/>
  <c r="W139" i="171"/>
  <c r="U128" i="171"/>
  <c r="S117" i="171"/>
  <c r="W107" i="171"/>
  <c r="U96" i="171"/>
  <c r="S85" i="171"/>
  <c r="W75" i="171"/>
  <c r="U64" i="171"/>
  <c r="S53" i="171"/>
  <c r="W43" i="171"/>
  <c r="W32" i="171"/>
  <c r="V21" i="171"/>
  <c r="S390" i="171"/>
  <c r="S334" i="171"/>
  <c r="W316" i="171"/>
  <c r="U293" i="171"/>
  <c r="S270" i="171"/>
  <c r="W252" i="171"/>
  <c r="U229" i="171"/>
  <c r="V218" i="171"/>
  <c r="S208" i="171"/>
  <c r="W198" i="171"/>
  <c r="U187" i="171"/>
  <c r="S176" i="171"/>
  <c r="W166" i="171"/>
  <c r="U155" i="171"/>
  <c r="S144" i="171"/>
  <c r="W134" i="171"/>
  <c r="U123" i="171"/>
  <c r="S112" i="171"/>
  <c r="W102" i="171"/>
  <c r="U91" i="171"/>
  <c r="S80" i="171"/>
  <c r="W70" i="171"/>
  <c r="U59" i="171"/>
  <c r="S48" i="171"/>
  <c r="S37" i="171"/>
  <c r="W27" i="171"/>
  <c r="W432" i="171"/>
  <c r="X347" i="171"/>
  <c r="V324" i="171"/>
  <c r="T301" i="171"/>
  <c r="X283" i="171"/>
  <c r="V260" i="171"/>
  <c r="T237" i="171"/>
  <c r="Q237" i="171" s="1"/>
  <c r="V222" i="171"/>
  <c r="V214" i="171"/>
  <c r="T203" i="171"/>
  <c r="R203" i="171" s="1"/>
  <c r="X193" i="171"/>
  <c r="V182" i="171"/>
  <c r="T171" i="171"/>
  <c r="X161" i="171"/>
  <c r="V150" i="171"/>
  <c r="T139" i="171"/>
  <c r="Q139" i="171" s="1"/>
  <c r="X129" i="171"/>
  <c r="V118" i="171"/>
  <c r="T107" i="171"/>
  <c r="X97" i="171"/>
  <c r="V86" i="171"/>
  <c r="T75" i="171"/>
  <c r="X65" i="171"/>
  <c r="V54" i="171"/>
  <c r="T43" i="171"/>
  <c r="X34" i="171"/>
  <c r="V23" i="171"/>
  <c r="V263" i="171"/>
  <c r="V175" i="171"/>
  <c r="X86" i="171"/>
  <c r="U355" i="171"/>
  <c r="V203" i="171"/>
  <c r="X114" i="171"/>
  <c r="U40" i="171"/>
  <c r="X254" i="171"/>
  <c r="X174" i="171"/>
  <c r="T96" i="171"/>
  <c r="Q96" i="171" s="1"/>
  <c r="S19" i="171"/>
  <c r="V216" i="171"/>
  <c r="V127" i="171"/>
  <c r="X35" i="171"/>
  <c r="V287" i="171"/>
  <c r="V155" i="171"/>
  <c r="X66" i="171"/>
  <c r="X286" i="171"/>
  <c r="V183" i="171"/>
  <c r="X94" i="171"/>
  <c r="V335" i="171"/>
  <c r="V179" i="171"/>
  <c r="X90" i="171"/>
  <c r="T156" i="171"/>
  <c r="T296" i="171"/>
  <c r="T25" i="171"/>
  <c r="V67" i="171"/>
  <c r="T501" i="171"/>
  <c r="U508" i="171"/>
  <c r="V511" i="171"/>
  <c r="U515" i="171"/>
  <c r="W494" i="171"/>
  <c r="T503" i="171"/>
  <c r="V513" i="171"/>
  <c r="X492" i="171"/>
  <c r="S502" i="171"/>
  <c r="V483" i="171"/>
  <c r="X462" i="171"/>
  <c r="T440" i="171"/>
  <c r="V419" i="171"/>
  <c r="X398" i="171"/>
  <c r="T376" i="171"/>
  <c r="V355" i="171"/>
  <c r="S476" i="171"/>
  <c r="U455" i="171"/>
  <c r="W434" i="171"/>
  <c r="S412" i="171"/>
  <c r="U391" i="171"/>
  <c r="W370" i="171"/>
  <c r="V487" i="171"/>
  <c r="V466" i="171"/>
  <c r="X445" i="171"/>
  <c r="T423" i="171"/>
  <c r="V402" i="171"/>
  <c r="X381" i="171"/>
  <c r="T359" i="171"/>
  <c r="W477" i="171"/>
  <c r="S455" i="171"/>
  <c r="U434" i="171"/>
  <c r="W413" i="171"/>
  <c r="S391" i="171"/>
  <c r="W505" i="171"/>
  <c r="X472" i="171"/>
  <c r="T450" i="171"/>
  <c r="V429" i="171"/>
  <c r="X408" i="171"/>
  <c r="T386" i="171"/>
  <c r="V365" i="171"/>
  <c r="X479" i="171"/>
  <c r="T457" i="171"/>
  <c r="V436" i="171"/>
  <c r="X415" i="171"/>
  <c r="T393" i="171"/>
  <c r="V372" i="171"/>
  <c r="W491" i="171"/>
  <c r="U468" i="171"/>
  <c r="W447" i="171"/>
  <c r="S425" i="171"/>
  <c r="U404" i="171"/>
  <c r="W383" i="171"/>
  <c r="S361" i="171"/>
  <c r="S406" i="171"/>
  <c r="S340" i="171"/>
  <c r="U319" i="171"/>
  <c r="W298" i="171"/>
  <c r="S276" i="171"/>
  <c r="U255" i="171"/>
  <c r="W234" i="171"/>
  <c r="W384" i="171"/>
  <c r="T339" i="171"/>
  <c r="Q339" i="171" s="1"/>
  <c r="V318" i="171"/>
  <c r="X297" i="171"/>
  <c r="T275" i="171"/>
  <c r="Y275" i="171" s="1"/>
  <c r="V254" i="171"/>
  <c r="X233" i="171"/>
  <c r="U405" i="171"/>
  <c r="U342" i="171"/>
  <c r="W321" i="171"/>
  <c r="S299" i="171"/>
  <c r="U278" i="171"/>
  <c r="W257" i="171"/>
  <c r="S235" i="171"/>
  <c r="U401" i="171"/>
  <c r="X340" i="171"/>
  <c r="T318" i="171"/>
  <c r="V297" i="171"/>
  <c r="X276" i="171"/>
  <c r="T254" i="171"/>
  <c r="V233" i="171"/>
  <c r="S446" i="171"/>
  <c r="S325" i="171"/>
  <c r="U284" i="171"/>
  <c r="W243" i="171"/>
  <c r="S215" i="171"/>
  <c r="U194" i="171"/>
  <c r="W173" i="171"/>
  <c r="S151" i="171"/>
  <c r="U130" i="171"/>
  <c r="W109" i="171"/>
  <c r="S87" i="171"/>
  <c r="U66" i="171"/>
  <c r="W45" i="171"/>
  <c r="U23" i="171"/>
  <c r="X338" i="171"/>
  <c r="T292" i="171"/>
  <c r="R292" i="171" s="1"/>
  <c r="V251" i="171"/>
  <c r="S219" i="171"/>
  <c r="T194" i="171"/>
  <c r="V173" i="171"/>
  <c r="X152" i="171"/>
  <c r="T130" i="171"/>
  <c r="Q130" i="171" s="1"/>
  <c r="V109" i="171"/>
  <c r="X88" i="171"/>
  <c r="T66" i="171"/>
  <c r="V45" i="171"/>
  <c r="T23" i="171"/>
  <c r="U345" i="171"/>
  <c r="W304" i="171"/>
  <c r="S258" i="171"/>
  <c r="S214" i="171"/>
  <c r="U193" i="171"/>
  <c r="W172" i="171"/>
  <c r="S150" i="171"/>
  <c r="U129" i="171"/>
  <c r="W108" i="171"/>
  <c r="S86" i="171"/>
  <c r="U65" i="171"/>
  <c r="W44" i="171"/>
  <c r="S23" i="171"/>
  <c r="X351" i="171"/>
  <c r="T305" i="171"/>
  <c r="Q305" i="171" s="1"/>
  <c r="V264" i="171"/>
  <c r="T213" i="171"/>
  <c r="V192" i="171"/>
  <c r="X171" i="171"/>
  <c r="T149" i="171"/>
  <c r="V128" i="171"/>
  <c r="X107" i="171"/>
  <c r="T85" i="171"/>
  <c r="V64" i="171"/>
  <c r="V44" i="171"/>
  <c r="V25" i="171"/>
  <c r="W360" i="171"/>
  <c r="S321" i="171"/>
  <c r="U296" i="171"/>
  <c r="W271" i="171"/>
  <c r="W247" i="171"/>
  <c r="X217" i="171"/>
  <c r="S205" i="171"/>
  <c r="S193" i="171"/>
  <c r="S181" i="171"/>
  <c r="S169" i="171"/>
  <c r="W159" i="171"/>
  <c r="U148" i="171"/>
  <c r="S137" i="171"/>
  <c r="W127" i="171"/>
  <c r="U116" i="171"/>
  <c r="S105" i="171"/>
  <c r="W95" i="171"/>
  <c r="U84" i="171"/>
  <c r="S73" i="171"/>
  <c r="W63" i="171"/>
  <c r="U52" i="171"/>
  <c r="S41" i="171"/>
  <c r="S30" i="171"/>
  <c r="T19" i="171"/>
  <c r="S366" i="171"/>
  <c r="U333" i="171"/>
  <c r="S310" i="171"/>
  <c r="W292" i="171"/>
  <c r="U269" i="171"/>
  <c r="S246" i="171"/>
  <c r="W228" i="171"/>
  <c r="U217" i="171"/>
  <c r="U207" i="171"/>
  <c r="S196" i="171"/>
  <c r="W186" i="171"/>
  <c r="U175" i="171"/>
  <c r="S164" i="171"/>
  <c r="W154" i="171"/>
  <c r="U143" i="171"/>
  <c r="S132" i="171"/>
  <c r="W122" i="171"/>
  <c r="U111" i="171"/>
  <c r="S100" i="171"/>
  <c r="W90" i="171"/>
  <c r="U79" i="171"/>
  <c r="S68" i="171"/>
  <c r="W58" i="171"/>
  <c r="U47" i="171"/>
  <c r="U36" i="171"/>
  <c r="S25" i="171"/>
  <c r="U425" i="171"/>
  <c r="T341" i="171"/>
  <c r="X323" i="171"/>
  <c r="V300" i="171"/>
  <c r="T277" i="171"/>
  <c r="X259" i="171"/>
  <c r="V236" i="171"/>
  <c r="U221" i="171"/>
  <c r="X213" i="171"/>
  <c r="V202" i="171"/>
  <c r="T191" i="171"/>
  <c r="Q191" i="171" s="1"/>
  <c r="X181" i="171"/>
  <c r="V170" i="171"/>
  <c r="T159" i="171"/>
  <c r="R159" i="171" s="1"/>
  <c r="X149" i="171"/>
  <c r="V138" i="171"/>
  <c r="T127" i="171"/>
  <c r="X117" i="171"/>
  <c r="V106" i="171"/>
  <c r="T95" i="171"/>
  <c r="X85" i="171"/>
  <c r="V74" i="171"/>
  <c r="T63" i="171"/>
  <c r="R63" i="171" s="1"/>
  <c r="X53" i="171"/>
  <c r="V42" i="171"/>
  <c r="T32" i="171"/>
  <c r="S21" i="171"/>
  <c r="T256" i="171"/>
  <c r="T168" i="171"/>
  <c r="V79" i="171"/>
  <c r="X326" i="171"/>
  <c r="T196" i="171"/>
  <c r="Y196" i="171" s="1"/>
  <c r="V107" i="171"/>
  <c r="T33" i="171"/>
  <c r="V247" i="171"/>
  <c r="V167" i="171"/>
  <c r="X78" i="171"/>
  <c r="T352" i="171"/>
  <c r="X198" i="171"/>
  <c r="T120" i="171"/>
  <c r="V28" i="171"/>
  <c r="T280" i="171"/>
  <c r="T148" i="171"/>
  <c r="Y148" i="171" s="1"/>
  <c r="V59" i="171"/>
  <c r="V279" i="171"/>
  <c r="T176" i="171"/>
  <c r="Y176" i="171" s="1"/>
  <c r="V87" i="171"/>
  <c r="T328" i="171"/>
  <c r="R328" i="171" s="1"/>
  <c r="T172" i="171"/>
  <c r="Y172" i="171" s="1"/>
  <c r="V83" i="171"/>
  <c r="V99" i="171"/>
  <c r="T232" i="171"/>
  <c r="T188" i="171"/>
  <c r="T60" i="171"/>
  <c r="T505" i="171"/>
  <c r="Y505" i="171" s="1"/>
  <c r="U512" i="171"/>
  <c r="V515" i="171"/>
  <c r="X494" i="171"/>
  <c r="W498" i="171"/>
  <c r="T507" i="171"/>
  <c r="V517" i="171"/>
  <c r="X496" i="171"/>
  <c r="S506" i="171"/>
  <c r="X487" i="171"/>
  <c r="X466" i="171"/>
  <c r="T444" i="171"/>
  <c r="Y444" i="171" s="1"/>
  <c r="V423" i="171"/>
  <c r="X402" i="171"/>
  <c r="T380" i="171"/>
  <c r="V359" i="171"/>
  <c r="S480" i="171"/>
  <c r="U459" i="171"/>
  <c r="W438" i="171"/>
  <c r="S416" i="171"/>
  <c r="U395" i="171"/>
  <c r="W374" i="171"/>
  <c r="W493" i="171"/>
  <c r="V470" i="171"/>
  <c r="X449" i="171"/>
  <c r="T427" i="171"/>
  <c r="Y427" i="171" s="1"/>
  <c r="V406" i="171"/>
  <c r="X385" i="171"/>
  <c r="T363" i="171"/>
  <c r="R363" i="171" s="1"/>
  <c r="W481" i="171"/>
  <c r="S459" i="171"/>
  <c r="U438" i="171"/>
  <c r="W417" i="171"/>
  <c r="S395" i="171"/>
  <c r="U374" i="171"/>
  <c r="X476" i="171"/>
  <c r="T454" i="171"/>
  <c r="R454" i="171" s="1"/>
  <c r="V433" i="171"/>
  <c r="X412" i="171"/>
  <c r="T390" i="171"/>
  <c r="Y390" i="171" s="1"/>
  <c r="V369" i="171"/>
  <c r="X483" i="171"/>
  <c r="T461" i="171"/>
  <c r="R461" i="171" s="1"/>
  <c r="V440" i="171"/>
  <c r="X419" i="171"/>
  <c r="T397" i="171"/>
  <c r="V376" i="171"/>
  <c r="X355" i="171"/>
  <c r="U472" i="171"/>
  <c r="W451" i="171"/>
  <c r="S429" i="171"/>
  <c r="U408" i="171"/>
  <c r="W387" i="171"/>
  <c r="S365" i="171"/>
  <c r="S438" i="171"/>
  <c r="S344" i="171"/>
  <c r="U323" i="171"/>
  <c r="W302" i="171"/>
  <c r="S280" i="171"/>
  <c r="U259" i="171"/>
  <c r="W238" i="171"/>
  <c r="W416" i="171"/>
  <c r="T343" i="171"/>
  <c r="Q343" i="171" s="1"/>
  <c r="V322" i="171"/>
  <c r="X301" i="171"/>
  <c r="T279" i="171"/>
  <c r="Q279" i="171" s="1"/>
  <c r="V258" i="171"/>
  <c r="X237" i="171"/>
  <c r="U437" i="171"/>
  <c r="U346" i="171"/>
  <c r="W325" i="171"/>
  <c r="S303" i="171"/>
  <c r="U282" i="171"/>
  <c r="W261" i="171"/>
  <c r="S239" i="171"/>
  <c r="U433" i="171"/>
  <c r="X344" i="171"/>
  <c r="T322" i="171"/>
  <c r="V301" i="171"/>
  <c r="X280" i="171"/>
  <c r="T258" i="171"/>
  <c r="Y258" i="171" s="1"/>
  <c r="V237" i="171"/>
  <c r="X216" i="171"/>
  <c r="S333" i="171"/>
  <c r="U292" i="171"/>
  <c r="W251" i="171"/>
  <c r="S218" i="171"/>
  <c r="U198" i="171"/>
  <c r="W177" i="171"/>
  <c r="S155" i="171"/>
  <c r="U134" i="171"/>
  <c r="W113" i="171"/>
  <c r="S91" i="171"/>
  <c r="U70" i="171"/>
  <c r="W49" i="171"/>
  <c r="U27" i="171"/>
  <c r="X346" i="171"/>
  <c r="T300" i="171"/>
  <c r="V259" i="171"/>
  <c r="S222" i="171"/>
  <c r="T198" i="171"/>
  <c r="Q198" i="171" s="1"/>
  <c r="V177" i="171"/>
  <c r="X156" i="171"/>
  <c r="T134" i="171"/>
  <c r="Y134" i="171" s="1"/>
  <c r="V113" i="171"/>
  <c r="X92" i="171"/>
  <c r="T70" i="171"/>
  <c r="R70" i="171" s="1"/>
  <c r="V49" i="171"/>
  <c r="T27" i="171"/>
  <c r="Y27" i="171" s="1"/>
  <c r="U353" i="171"/>
  <c r="W312" i="171"/>
  <c r="S266" i="171"/>
  <c r="U225" i="171"/>
  <c r="U197" i="171"/>
  <c r="W176" i="171"/>
  <c r="S154" i="171"/>
  <c r="U133" i="171"/>
  <c r="W112" i="171"/>
  <c r="S90" i="171"/>
  <c r="U69" i="171"/>
  <c r="W48" i="171"/>
  <c r="S27" i="171"/>
  <c r="U354" i="171"/>
  <c r="T313" i="171"/>
  <c r="Y313" i="171" s="1"/>
  <c r="V272" i="171"/>
  <c r="X231" i="171"/>
  <c r="V196" i="171"/>
  <c r="X175" i="171"/>
  <c r="T153" i="171"/>
  <c r="Y153" i="171" s="1"/>
  <c r="V132" i="171"/>
  <c r="X111" i="171"/>
  <c r="T89" i="171"/>
  <c r="V68" i="171"/>
  <c r="T49" i="171"/>
  <c r="Y49" i="171" s="1"/>
  <c r="V33" i="171"/>
  <c r="W428" i="171"/>
  <c r="S337" i="171"/>
  <c r="U304" i="171"/>
  <c r="W279" i="171"/>
  <c r="W255" i="171"/>
  <c r="W231" i="171"/>
  <c r="W211" i="171"/>
  <c r="W199" i="171"/>
  <c r="S185" i="171"/>
  <c r="S173" i="171"/>
  <c r="W163" i="171"/>
  <c r="U152" i="171"/>
  <c r="S141" i="171"/>
  <c r="W131" i="171"/>
  <c r="U120" i="171"/>
  <c r="S109" i="171"/>
  <c r="W99" i="171"/>
  <c r="U88" i="171"/>
  <c r="S77" i="171"/>
  <c r="W67" i="171"/>
  <c r="U56" i="171"/>
  <c r="S45" i="171"/>
  <c r="S34" i="171"/>
  <c r="W24" i="171"/>
  <c r="W404" i="171"/>
  <c r="U341" i="171"/>
  <c r="S318" i="171"/>
  <c r="W300" i="171"/>
  <c r="U277" i="171"/>
  <c r="S254" i="171"/>
  <c r="W236" i="171"/>
  <c r="V220" i="171"/>
  <c r="U211" i="171"/>
  <c r="S200" i="171"/>
  <c r="W190" i="171"/>
  <c r="U179" i="171"/>
  <c r="S168" i="171"/>
  <c r="W158" i="171"/>
  <c r="U147" i="171"/>
  <c r="S136" i="171"/>
  <c r="W126" i="171"/>
  <c r="U115" i="171"/>
  <c r="S104" i="171"/>
  <c r="W94" i="171"/>
  <c r="U83" i="171"/>
  <c r="S72" i="171"/>
  <c r="W62" i="171"/>
  <c r="U51" i="171"/>
  <c r="T40" i="171"/>
  <c r="Y40" i="171" s="1"/>
  <c r="S29" i="171"/>
  <c r="S18" i="171"/>
  <c r="T349" i="171"/>
  <c r="Q349" i="171" s="1"/>
  <c r="X331" i="171"/>
  <c r="V308" i="171"/>
  <c r="T285" i="171"/>
  <c r="X267" i="171"/>
  <c r="V244" i="171"/>
  <c r="V224" i="171"/>
  <c r="T216" i="171"/>
  <c r="Q216" i="171" s="1"/>
  <c r="V206" i="171"/>
  <c r="T195" i="171"/>
  <c r="X185" i="171"/>
  <c r="V174" i="171"/>
  <c r="T163" i="171"/>
  <c r="X153" i="171"/>
  <c r="V142" i="171"/>
  <c r="T131" i="171"/>
  <c r="X121" i="171"/>
  <c r="V110" i="171"/>
  <c r="T99" i="171"/>
  <c r="R99" i="171" s="1"/>
  <c r="X89" i="171"/>
  <c r="V78" i="171"/>
  <c r="T67" i="171"/>
  <c r="X57" i="171"/>
  <c r="V46" i="171"/>
  <c r="T36" i="171"/>
  <c r="X26" i="171"/>
  <c r="T320" i="171"/>
  <c r="Y320" i="171" s="1"/>
  <c r="T200" i="171"/>
  <c r="V111" i="171"/>
  <c r="U449" i="171"/>
  <c r="T248" i="171"/>
  <c r="Q248" i="171" s="1"/>
  <c r="V139" i="171"/>
  <c r="X50" i="171"/>
  <c r="V311" i="171"/>
  <c r="V199" i="171"/>
  <c r="X110" i="171"/>
  <c r="T29" i="171"/>
  <c r="V231" i="171"/>
  <c r="T152" i="171"/>
  <c r="Y152" i="171" s="1"/>
  <c r="V63" i="171"/>
  <c r="T344" i="171"/>
  <c r="Q344" i="171" s="1"/>
  <c r="T180" i="171"/>
  <c r="V91" i="171"/>
  <c r="V343" i="171"/>
  <c r="T208" i="171"/>
  <c r="V119" i="171"/>
  <c r="X27" i="171"/>
  <c r="T204" i="171"/>
  <c r="Q204" i="171" s="1"/>
  <c r="V115" i="171"/>
  <c r="X23" i="171"/>
  <c r="T92" i="171"/>
  <c r="V163" i="171"/>
  <c r="V239" i="171"/>
  <c r="X495" i="171"/>
  <c r="T504" i="171"/>
  <c r="Q504" i="171" s="1"/>
  <c r="V518" i="171"/>
  <c r="T506" i="171"/>
  <c r="Y506" i="171" s="1"/>
  <c r="W496" i="171"/>
  <c r="V455" i="171"/>
  <c r="T412" i="171"/>
  <c r="X370" i="171"/>
  <c r="W470" i="171"/>
  <c r="U427" i="171"/>
  <c r="S384" i="171"/>
  <c r="X481" i="171"/>
  <c r="V438" i="171"/>
  <c r="T395" i="171"/>
  <c r="Y395" i="171" s="1"/>
  <c r="S495" i="171"/>
  <c r="W449" i="171"/>
  <c r="U406" i="171"/>
  <c r="T486" i="171"/>
  <c r="Y486" i="171" s="1"/>
  <c r="X444" i="171"/>
  <c r="V401" i="171"/>
  <c r="T358" i="171"/>
  <c r="R358" i="171" s="1"/>
  <c r="X451" i="171"/>
  <c r="V408" i="171"/>
  <c r="T365" i="171"/>
  <c r="Q365" i="171" s="1"/>
  <c r="S461" i="171"/>
  <c r="W419" i="171"/>
  <c r="U376" i="171"/>
  <c r="S358" i="171"/>
  <c r="S312" i="171"/>
  <c r="W270" i="171"/>
  <c r="U227" i="171"/>
  <c r="X333" i="171"/>
  <c r="V290" i="171"/>
  <c r="T247" i="171"/>
  <c r="W368" i="171"/>
  <c r="U314" i="171"/>
  <c r="S271" i="171"/>
  <c r="W229" i="171"/>
  <c r="V333" i="171"/>
  <c r="T290" i="171"/>
  <c r="X248" i="171"/>
  <c r="S362" i="171"/>
  <c r="S269" i="171"/>
  <c r="W209" i="171"/>
  <c r="U166" i="171"/>
  <c r="S123" i="171"/>
  <c r="W81" i="171"/>
  <c r="W38" i="171"/>
  <c r="V323" i="171"/>
  <c r="T236" i="171"/>
  <c r="R236" i="171" s="1"/>
  <c r="X188" i="171"/>
  <c r="V145" i="171"/>
  <c r="T102" i="171"/>
  <c r="X60" i="171"/>
  <c r="S486" i="171"/>
  <c r="U289" i="171"/>
  <c r="W208" i="171"/>
  <c r="U165" i="171"/>
  <c r="S122" i="171"/>
  <c r="W80" i="171"/>
  <c r="U38" i="171"/>
  <c r="V336" i="171"/>
  <c r="T249" i="171"/>
  <c r="T185" i="171"/>
  <c r="X143" i="171"/>
  <c r="V100" i="171"/>
  <c r="T57" i="171"/>
  <c r="Y57" i="171" s="1"/>
  <c r="X24" i="171"/>
  <c r="U320" i="171"/>
  <c r="S265" i="171"/>
  <c r="W216" i="171"/>
  <c r="U192" i="171"/>
  <c r="U168" i="171"/>
  <c r="W147" i="171"/>
  <c r="S125" i="171"/>
  <c r="U104" i="171"/>
  <c r="W83" i="171"/>
  <c r="S61" i="171"/>
  <c r="V40" i="171"/>
  <c r="U18" i="171"/>
  <c r="W332" i="171"/>
  <c r="S286" i="171"/>
  <c r="U245" i="171"/>
  <c r="U216" i="171"/>
  <c r="U195" i="171"/>
  <c r="W174" i="171"/>
  <c r="S152" i="171"/>
  <c r="U131" i="171"/>
  <c r="W110" i="171"/>
  <c r="S88" i="171"/>
  <c r="U67" i="171"/>
  <c r="W46" i="171"/>
  <c r="U24" i="171"/>
  <c r="V340" i="171"/>
  <c r="X299" i="171"/>
  <c r="T253" i="171"/>
  <c r="U220" i="171"/>
  <c r="X201" i="171"/>
  <c r="T179" i="171"/>
  <c r="R179" i="171" s="1"/>
  <c r="V158" i="171"/>
  <c r="X137" i="171"/>
  <c r="T115" i="171"/>
  <c r="V94" i="171"/>
  <c r="X73" i="171"/>
  <c r="T51" i="171"/>
  <c r="Q51" i="171" s="1"/>
  <c r="V31" i="171"/>
  <c r="X222" i="171"/>
  <c r="T72" i="171"/>
  <c r="Q72" i="171" s="1"/>
  <c r="X178" i="171"/>
  <c r="S442" i="171"/>
  <c r="T160" i="171"/>
  <c r="X302" i="171"/>
  <c r="X102" i="171"/>
  <c r="X230" i="171"/>
  <c r="T52" i="171"/>
  <c r="X158" i="171"/>
  <c r="X278" i="171"/>
  <c r="T76" i="171"/>
  <c r="R76" i="171" s="1"/>
  <c r="X170" i="171"/>
  <c r="T493" i="171"/>
  <c r="V503" i="171"/>
  <c r="X517" i="171"/>
  <c r="V505" i="171"/>
  <c r="S494" i="171"/>
  <c r="X454" i="171"/>
  <c r="V411" i="171"/>
  <c r="T368" i="171"/>
  <c r="S468" i="171"/>
  <c r="W426" i="171"/>
  <c r="U383" i="171"/>
  <c r="T479" i="171"/>
  <c r="Y479" i="171" s="1"/>
  <c r="X437" i="171"/>
  <c r="V394" i="171"/>
  <c r="S493" i="171"/>
  <c r="S447" i="171"/>
  <c r="W405" i="171"/>
  <c r="V485" i="171"/>
  <c r="T442" i="171"/>
  <c r="R442" i="171" s="1"/>
  <c r="X400" i="171"/>
  <c r="V357" i="171"/>
  <c r="T449" i="171"/>
  <c r="X407" i="171"/>
  <c r="V364" i="171"/>
  <c r="U460" i="171"/>
  <c r="S417" i="171"/>
  <c r="W375" i="171"/>
  <c r="T355" i="171"/>
  <c r="Y355" i="171" s="1"/>
  <c r="U311" i="171"/>
  <c r="S268" i="171"/>
  <c r="W226" i="171"/>
  <c r="T331" i="171"/>
  <c r="X289" i="171"/>
  <c r="V246" i="171"/>
  <c r="U361" i="171"/>
  <c r="W313" i="171"/>
  <c r="U270" i="171"/>
  <c r="S227" i="171"/>
  <c r="X332" i="171"/>
  <c r="V289" i="171"/>
  <c r="T246" i="171"/>
  <c r="S356" i="171"/>
  <c r="U268" i="171"/>
  <c r="S207" i="171"/>
  <c r="W165" i="171"/>
  <c r="U122" i="171"/>
  <c r="S79" i="171"/>
  <c r="S36" i="171"/>
  <c r="X322" i="171"/>
  <c r="V235" i="171"/>
  <c r="T186" i="171"/>
  <c r="R186" i="171" s="1"/>
  <c r="X144" i="171"/>
  <c r="V101" i="171"/>
  <c r="T58" i="171"/>
  <c r="W436" i="171"/>
  <c r="W288" i="171"/>
  <c r="S206" i="171"/>
  <c r="W164" i="171"/>
  <c r="U121" i="171"/>
  <c r="S78" i="171"/>
  <c r="W37" i="171"/>
  <c r="X335" i="171"/>
  <c r="V248" i="171"/>
  <c r="V184" i="171"/>
  <c r="T141" i="171"/>
  <c r="X99" i="171"/>
  <c r="V56" i="171"/>
  <c r="U22" i="171"/>
  <c r="W319" i="171"/>
  <c r="W263" i="171"/>
  <c r="W215" i="171"/>
  <c r="W191" i="171"/>
  <c r="W167" i="171"/>
  <c r="S145" i="171"/>
  <c r="U124" i="171"/>
  <c r="W103" i="171"/>
  <c r="S81" i="171"/>
  <c r="U60" i="171"/>
  <c r="S38" i="171"/>
  <c r="W468" i="171"/>
  <c r="S326" i="171"/>
  <c r="U285" i="171"/>
  <c r="W244" i="171"/>
  <c r="U215" i="171"/>
  <c r="W194" i="171"/>
  <c r="S172" i="171"/>
  <c r="U151" i="171"/>
  <c r="W130" i="171"/>
  <c r="S108" i="171"/>
  <c r="U87" i="171"/>
  <c r="W66" i="171"/>
  <c r="S44" i="171"/>
  <c r="W23" i="171"/>
  <c r="X339" i="171"/>
  <c r="T293" i="171"/>
  <c r="R293" i="171" s="1"/>
  <c r="V252" i="171"/>
  <c r="U219" i="171"/>
  <c r="T199" i="171"/>
  <c r="Q199" i="171" s="1"/>
  <c r="V178" i="171"/>
  <c r="X157" i="171"/>
  <c r="T135" i="171"/>
  <c r="V114" i="171"/>
  <c r="X93" i="171"/>
  <c r="T71" i="171"/>
  <c r="V50" i="171"/>
  <c r="X30" i="171"/>
  <c r="W218" i="171"/>
  <c r="X54" i="171"/>
  <c r="V171" i="171"/>
  <c r="U385" i="171"/>
  <c r="X142" i="171"/>
  <c r="V295" i="171"/>
  <c r="V95" i="171"/>
  <c r="T212" i="171"/>
  <c r="R212" i="171" s="1"/>
  <c r="X31" i="171"/>
  <c r="V151" i="171"/>
  <c r="V271" i="171"/>
  <c r="X58" i="171"/>
  <c r="V32" i="171"/>
  <c r="V492" i="171"/>
  <c r="X502" i="171"/>
  <c r="T515" i="171"/>
  <c r="X504" i="171"/>
  <c r="U493" i="171"/>
  <c r="T452" i="171"/>
  <c r="Y452" i="171" s="1"/>
  <c r="X410" i="171"/>
  <c r="V367" i="171"/>
  <c r="U467" i="171"/>
  <c r="S424" i="171"/>
  <c r="W382" i="171"/>
  <c r="V478" i="171"/>
  <c r="T435" i="171"/>
  <c r="X393" i="171"/>
  <c r="T489" i="171"/>
  <c r="U446" i="171"/>
  <c r="S403" i="171"/>
  <c r="X484" i="171"/>
  <c r="V441" i="171"/>
  <c r="T398" i="171"/>
  <c r="Y398" i="171" s="1"/>
  <c r="X356" i="171"/>
  <c r="V448" i="171"/>
  <c r="T405" i="171"/>
  <c r="X363" i="171"/>
  <c r="W459" i="171"/>
  <c r="U416" i="171"/>
  <c r="S373" i="171"/>
  <c r="S352" i="171"/>
  <c r="W310" i="171"/>
  <c r="U267" i="171"/>
  <c r="W480" i="171"/>
  <c r="V330" i="171"/>
  <c r="T287" i="171"/>
  <c r="X245" i="171"/>
  <c r="X354" i="171"/>
  <c r="S311" i="171"/>
  <c r="W269" i="171"/>
  <c r="U226" i="171"/>
  <c r="T330" i="171"/>
  <c r="X288" i="171"/>
  <c r="V245" i="171"/>
  <c r="S349" i="171"/>
  <c r="W267" i="171"/>
  <c r="U206" i="171"/>
  <c r="S163" i="171"/>
  <c r="W121" i="171"/>
  <c r="U78" i="171"/>
  <c r="U35" i="171"/>
  <c r="T316" i="171"/>
  <c r="X234" i="171"/>
  <c r="V185" i="171"/>
  <c r="T142" i="171"/>
  <c r="Y142" i="171" s="1"/>
  <c r="X100" i="171"/>
  <c r="V57" i="171"/>
  <c r="U429" i="171"/>
  <c r="S282" i="171"/>
  <c r="U205" i="171"/>
  <c r="S162" i="171"/>
  <c r="W120" i="171"/>
  <c r="U77" i="171"/>
  <c r="S35" i="171"/>
  <c r="T329" i="171"/>
  <c r="Q329" i="171" s="1"/>
  <c r="X247" i="171"/>
  <c r="X183" i="171"/>
  <c r="V140" i="171"/>
  <c r="T97" i="171"/>
  <c r="X55" i="171"/>
  <c r="W21" i="171"/>
  <c r="U312" i="171"/>
  <c r="S257" i="171"/>
  <c r="S213" i="171"/>
  <c r="S189" i="171"/>
  <c r="S165" i="171"/>
  <c r="U144" i="171"/>
  <c r="W123" i="171"/>
  <c r="S101" i="171"/>
  <c r="U80" i="171"/>
  <c r="W59" i="171"/>
  <c r="U37" i="171"/>
  <c r="U461" i="171"/>
  <c r="U325" i="171"/>
  <c r="W284" i="171"/>
  <c r="S238" i="171"/>
  <c r="W214" i="171"/>
  <c r="S192" i="171"/>
  <c r="U171" i="171"/>
  <c r="W150" i="171"/>
  <c r="S128" i="171"/>
  <c r="U107" i="171"/>
  <c r="W86" i="171"/>
  <c r="S64" i="171"/>
  <c r="U43" i="171"/>
  <c r="T21" i="171"/>
  <c r="R21" i="171" s="1"/>
  <c r="T333" i="171"/>
  <c r="R333" i="171" s="1"/>
  <c r="V292" i="171"/>
  <c r="X251" i="171"/>
  <c r="U218" i="171"/>
  <c r="V198" i="171"/>
  <c r="X177" i="171"/>
  <c r="T155" i="171"/>
  <c r="R155" i="171" s="1"/>
  <c r="V134" i="171"/>
  <c r="X113" i="171"/>
  <c r="T91" i="171"/>
  <c r="V70" i="171"/>
  <c r="X49" i="171"/>
  <c r="T28" i="171"/>
  <c r="R28" i="171" s="1"/>
  <c r="X214" i="171"/>
  <c r="V47" i="171"/>
  <c r="T164" i="171"/>
  <c r="Q164" i="171" s="1"/>
  <c r="S354" i="171"/>
  <c r="V135" i="171"/>
  <c r="T288" i="171"/>
  <c r="R288" i="171" s="1"/>
  <c r="T88" i="171"/>
  <c r="X194" i="171"/>
  <c r="V24" i="171"/>
  <c r="T144" i="171"/>
  <c r="Q144" i="171" s="1"/>
  <c r="T264" i="171"/>
  <c r="R264" i="171" s="1"/>
  <c r="V51" i="171"/>
  <c r="V195" i="171"/>
  <c r="X491" i="171"/>
  <c r="T500" i="171"/>
  <c r="V514" i="171"/>
  <c r="T502" i="171"/>
  <c r="Y502" i="171" s="1"/>
  <c r="W492" i="171"/>
  <c r="V451" i="171"/>
  <c r="T408" i="171"/>
  <c r="Y408" i="171" s="1"/>
  <c r="X366" i="171"/>
  <c r="W466" i="171"/>
  <c r="U423" i="171"/>
  <c r="S380" i="171"/>
  <c r="X477" i="171"/>
  <c r="V434" i="171"/>
  <c r="T391" i="171"/>
  <c r="Y391" i="171" s="1"/>
  <c r="U487" i="171"/>
  <c r="W445" i="171"/>
  <c r="U402" i="171"/>
  <c r="T482" i="171"/>
  <c r="X440" i="171"/>
  <c r="V397" i="171"/>
  <c r="S515" i="171"/>
  <c r="X447" i="171"/>
  <c r="V404" i="171"/>
  <c r="T361" i="171"/>
  <c r="S457" i="171"/>
  <c r="W415" i="171"/>
  <c r="U372" i="171"/>
  <c r="U351" i="171"/>
  <c r="S308" i="171"/>
  <c r="W266" i="171"/>
  <c r="U473" i="171"/>
  <c r="X329" i="171"/>
  <c r="V286" i="171"/>
  <c r="T243" i="171"/>
  <c r="W353" i="171"/>
  <c r="U310" i="171"/>
  <c r="S267" i="171"/>
  <c r="W225" i="171"/>
  <c r="V329" i="171"/>
  <c r="T286" i="171"/>
  <c r="X244" i="171"/>
  <c r="U348" i="171"/>
  <c r="S261" i="171"/>
  <c r="W205" i="171"/>
  <c r="U162" i="171"/>
  <c r="S119" i="171"/>
  <c r="W77" i="171"/>
  <c r="W34" i="171"/>
  <c r="V315" i="171"/>
  <c r="T228" i="171"/>
  <c r="X184" i="171"/>
  <c r="V141" i="171"/>
  <c r="T98" i="171"/>
  <c r="X56" i="171"/>
  <c r="S422" i="171"/>
  <c r="U281" i="171"/>
  <c r="W204" i="171"/>
  <c r="U161" i="171"/>
  <c r="S118" i="171"/>
  <c r="W76" i="171"/>
  <c r="U34" i="171"/>
  <c r="V328" i="171"/>
  <c r="T241" i="171"/>
  <c r="R241" i="171" s="1"/>
  <c r="T181" i="171"/>
  <c r="X139" i="171"/>
  <c r="V96" i="171"/>
  <c r="T53" i="171"/>
  <c r="U485" i="171"/>
  <c r="W311" i="171"/>
  <c r="U256" i="171"/>
  <c r="U212" i="171"/>
  <c r="U188" i="171"/>
  <c r="U164" i="171"/>
  <c r="W143" i="171"/>
  <c r="S121" i="171"/>
  <c r="U100" i="171"/>
  <c r="W79" i="171"/>
  <c r="S57" i="171"/>
  <c r="W36" i="171"/>
  <c r="S454" i="171"/>
  <c r="W324" i="171"/>
  <c r="S278" i="171"/>
  <c r="U237" i="171"/>
  <c r="S212" i="171"/>
  <c r="U191" i="171"/>
  <c r="W170" i="171"/>
  <c r="S148" i="171"/>
  <c r="U127" i="171"/>
  <c r="W106" i="171"/>
  <c r="S84" i="171"/>
  <c r="U63" i="171"/>
  <c r="W42" i="171"/>
  <c r="W20" i="171"/>
  <c r="V332" i="171"/>
  <c r="X291" i="171"/>
  <c r="T245" i="171"/>
  <c r="T217" i="171"/>
  <c r="R217" i="171" s="1"/>
  <c r="X197" i="171"/>
  <c r="T175" i="171"/>
  <c r="V154" i="171"/>
  <c r="X133" i="171"/>
  <c r="T111" i="171"/>
  <c r="V90" i="171"/>
  <c r="X69" i="171"/>
  <c r="T47" i="171"/>
  <c r="Y47" i="171" s="1"/>
  <c r="V27" i="171"/>
  <c r="V207" i="171"/>
  <c r="T37" i="171"/>
  <c r="Y37" i="171" s="1"/>
  <c r="X146" i="171"/>
  <c r="X318" i="171"/>
  <c r="T128" i="171"/>
  <c r="R128" i="171" s="1"/>
  <c r="X238" i="171"/>
  <c r="X70" i="171"/>
  <c r="V187" i="171"/>
  <c r="X350" i="171"/>
  <c r="X126" i="171"/>
  <c r="V211" i="171"/>
  <c r="T44" i="171"/>
  <c r="Y44" i="171" s="1"/>
  <c r="X138" i="171"/>
  <c r="S497" i="171"/>
  <c r="X493" i="171"/>
  <c r="T472" i="171"/>
  <c r="V387" i="171"/>
  <c r="S444" i="171"/>
  <c r="U359" i="171"/>
  <c r="X413" i="171"/>
  <c r="U466" i="171"/>
  <c r="W381" i="171"/>
  <c r="T418" i="171"/>
  <c r="Y418" i="171" s="1"/>
  <c r="V468" i="171"/>
  <c r="X383" i="171"/>
  <c r="U436" i="171"/>
  <c r="W484" i="171"/>
  <c r="U287" i="171"/>
  <c r="V350" i="171"/>
  <c r="X265" i="171"/>
  <c r="S331" i="171"/>
  <c r="U246" i="171"/>
  <c r="X308" i="171"/>
  <c r="T222" i="171"/>
  <c r="U223" i="171"/>
  <c r="W141" i="171"/>
  <c r="S55" i="171"/>
  <c r="X274" i="171"/>
  <c r="T162" i="171"/>
  <c r="R162" i="171" s="1"/>
  <c r="V77" i="171"/>
  <c r="S322" i="171"/>
  <c r="S182" i="171"/>
  <c r="U97" i="171"/>
  <c r="S450" i="171"/>
  <c r="X203" i="171"/>
  <c r="T117" i="171"/>
  <c r="T34" i="171"/>
  <c r="Y34" i="171" s="1"/>
  <c r="U280" i="171"/>
  <c r="U200" i="171"/>
  <c r="S153" i="171"/>
  <c r="W111" i="171"/>
  <c r="U68" i="171"/>
  <c r="U25" i="171"/>
  <c r="U301" i="171"/>
  <c r="W221" i="171"/>
  <c r="S180" i="171"/>
  <c r="W138" i="171"/>
  <c r="U95" i="171"/>
  <c r="S52" i="171"/>
  <c r="W356" i="171"/>
  <c r="V268" i="171"/>
  <c r="T207" i="171"/>
  <c r="X165" i="171"/>
  <c r="V122" i="171"/>
  <c r="T79" i="171"/>
  <c r="X38" i="171"/>
  <c r="X118" i="171"/>
  <c r="T68" i="171"/>
  <c r="V36" i="171"/>
  <c r="V351" i="171"/>
  <c r="V215" i="171"/>
  <c r="X122" i="171"/>
  <c r="T124" i="171"/>
  <c r="V205" i="171"/>
  <c r="V516" i="171"/>
  <c r="S508" i="171"/>
  <c r="U517" i="171"/>
  <c r="X434" i="171"/>
  <c r="S491" i="171"/>
  <c r="W406" i="171"/>
  <c r="T459" i="171"/>
  <c r="Q459" i="171" s="1"/>
  <c r="V374" i="171"/>
  <c r="S427" i="171"/>
  <c r="V465" i="171"/>
  <c r="X380" i="171"/>
  <c r="T429" i="171"/>
  <c r="W483" i="171"/>
  <c r="S397" i="171"/>
  <c r="W334" i="171"/>
  <c r="S248" i="171"/>
  <c r="T311" i="171"/>
  <c r="Q311" i="171" s="1"/>
  <c r="V226" i="171"/>
  <c r="W293" i="171"/>
  <c r="W354" i="171"/>
  <c r="V269" i="171"/>
  <c r="W315" i="171"/>
  <c r="S187" i="171"/>
  <c r="U102" i="171"/>
  <c r="S474" i="171"/>
  <c r="V209" i="171"/>
  <c r="X124" i="171"/>
  <c r="V38" i="171"/>
  <c r="W248" i="171"/>
  <c r="W144" i="171"/>
  <c r="S58" i="171"/>
  <c r="X295" i="171"/>
  <c r="V164" i="171"/>
  <c r="X79" i="171"/>
  <c r="U352" i="171"/>
  <c r="U240" i="171"/>
  <c r="U180" i="171"/>
  <c r="U136" i="171"/>
  <c r="S93" i="171"/>
  <c r="W51" i="171"/>
  <c r="S350" i="171"/>
  <c r="W268" i="171"/>
  <c r="W206" i="171"/>
  <c r="U163" i="171"/>
  <c r="S120" i="171"/>
  <c r="W78" i="171"/>
  <c r="W35" i="171"/>
  <c r="T317" i="171"/>
  <c r="R317" i="171" s="1"/>
  <c r="X235" i="171"/>
  <c r="V190" i="171"/>
  <c r="T147" i="171"/>
  <c r="X105" i="171"/>
  <c r="V62" i="171"/>
  <c r="V20" i="171"/>
  <c r="V319" i="171"/>
  <c r="T240" i="171"/>
  <c r="R240" i="171" s="1"/>
  <c r="V191" i="171"/>
  <c r="X130" i="171"/>
  <c r="T80" i="171"/>
  <c r="X42" i="171"/>
  <c r="U141" i="171"/>
  <c r="T307" i="171"/>
  <c r="W202" i="171"/>
  <c r="X515" i="171"/>
  <c r="U507" i="171"/>
  <c r="W516" i="171"/>
  <c r="T432" i="171"/>
  <c r="R432" i="171" s="1"/>
  <c r="S490" i="171"/>
  <c r="S404" i="171"/>
  <c r="V458" i="171"/>
  <c r="X373" i="171"/>
  <c r="U426" i="171"/>
  <c r="X464" i="171"/>
  <c r="T378" i="171"/>
  <c r="R378" i="171" s="1"/>
  <c r="V428" i="171"/>
  <c r="S481" i="171"/>
  <c r="U396" i="171"/>
  <c r="S332" i="171"/>
  <c r="U247" i="171"/>
  <c r="V310" i="171"/>
  <c r="X225" i="171"/>
  <c r="S291" i="171"/>
  <c r="V353" i="171"/>
  <c r="X268" i="171"/>
  <c r="S309" i="171"/>
  <c r="U186" i="171"/>
  <c r="W101" i="171"/>
  <c r="W424" i="171"/>
  <c r="X208" i="171"/>
  <c r="T122" i="171"/>
  <c r="Q122" i="171" s="1"/>
  <c r="X37" i="171"/>
  <c r="S242" i="171"/>
  <c r="S142" i="171"/>
  <c r="U57" i="171"/>
  <c r="T289" i="171"/>
  <c r="X163" i="171"/>
  <c r="T77" i="171"/>
  <c r="Q77" i="171" s="1"/>
  <c r="S345" i="171"/>
  <c r="W239" i="171"/>
  <c r="W179" i="171"/>
  <c r="W135" i="171"/>
  <c r="U92" i="171"/>
  <c r="S49" i="171"/>
  <c r="U349" i="171"/>
  <c r="S262" i="171"/>
  <c r="S204" i="171"/>
  <c r="W162" i="171"/>
  <c r="U119" i="171"/>
  <c r="S76" i="171"/>
  <c r="S33" i="171"/>
  <c r="V316" i="171"/>
  <c r="T229" i="171"/>
  <c r="Y229" i="171" s="1"/>
  <c r="X189" i="171"/>
  <c r="V146" i="171"/>
  <c r="T103" i="171"/>
  <c r="X61" i="171"/>
  <c r="W456" i="171"/>
  <c r="T312" i="171"/>
  <c r="R312" i="171" s="1"/>
  <c r="X221" i="171"/>
  <c r="T184" i="171"/>
  <c r="Y184" i="171" s="1"/>
  <c r="V123" i="171"/>
  <c r="X62" i="171"/>
  <c r="S378" i="171"/>
  <c r="W506" i="171"/>
  <c r="V431" i="171"/>
  <c r="U403" i="171"/>
  <c r="T371" i="171"/>
  <c r="T462" i="171"/>
  <c r="Q462" i="171" s="1"/>
  <c r="X427" i="171"/>
  <c r="U331" i="171"/>
  <c r="X309" i="171"/>
  <c r="U290" i="171"/>
  <c r="U308" i="171"/>
  <c r="U417" i="171"/>
  <c r="T35" i="171"/>
  <c r="V288" i="171"/>
  <c r="S233" i="171"/>
  <c r="W91" i="171"/>
  <c r="U261" i="171"/>
  <c r="U75" i="171"/>
  <c r="X145" i="171"/>
  <c r="X262" i="171"/>
  <c r="V55" i="171"/>
  <c r="V512" i="171"/>
  <c r="S504" i="171"/>
  <c r="U513" i="171"/>
  <c r="X430" i="171"/>
  <c r="W487" i="171"/>
  <c r="W402" i="171"/>
  <c r="T455" i="171"/>
  <c r="V370" i="171"/>
  <c r="S423" i="171"/>
  <c r="V461" i="171"/>
  <c r="X376" i="171"/>
  <c r="W479" i="171"/>
  <c r="S393" i="171"/>
  <c r="W330" i="171"/>
  <c r="S244" i="171"/>
  <c r="S487" i="171"/>
  <c r="W289" i="171"/>
  <c r="T350" i="171"/>
  <c r="V265" i="171"/>
  <c r="W307" i="171"/>
  <c r="S183" i="171"/>
  <c r="U98" i="171"/>
  <c r="S410" i="171"/>
  <c r="X120" i="171"/>
  <c r="V34" i="171"/>
  <c r="W240" i="171"/>
  <c r="W140" i="171"/>
  <c r="S54" i="171"/>
  <c r="X287" i="171"/>
  <c r="V160" i="171"/>
  <c r="X75" i="171"/>
  <c r="W343" i="171"/>
  <c r="U232" i="171"/>
  <c r="W175" i="171"/>
  <c r="U132" i="171"/>
  <c r="S89" i="171"/>
  <c r="W47" i="171"/>
  <c r="S342" i="171"/>
  <c r="W260" i="171"/>
  <c r="S116" i="171"/>
  <c r="W74" i="171"/>
  <c r="W31" i="171"/>
  <c r="T309" i="171"/>
  <c r="Q309" i="171" s="1"/>
  <c r="X227" i="171"/>
  <c r="V186" i="171"/>
  <c r="T143" i="171"/>
  <c r="R143" i="171" s="1"/>
  <c r="X101" i="171"/>
  <c r="V58" i="171"/>
  <c r="V327" i="171"/>
  <c r="V255" i="171"/>
  <c r="X206" i="171"/>
  <c r="V159" i="171"/>
  <c r="X98" i="171"/>
  <c r="T48" i="171"/>
  <c r="Y48" i="171" s="1"/>
  <c r="X246" i="171"/>
  <c r="W499" i="171"/>
  <c r="V494" i="171"/>
  <c r="X474" i="171"/>
  <c r="T388" i="171"/>
  <c r="W446" i="171"/>
  <c r="S360" i="171"/>
  <c r="V414" i="171"/>
  <c r="S467" i="171"/>
  <c r="U382" i="171"/>
  <c r="X420" i="171"/>
  <c r="T469" i="171"/>
  <c r="R469" i="171" s="1"/>
  <c r="V384" i="171"/>
  <c r="S437" i="171"/>
  <c r="V488" i="171"/>
  <c r="S288" i="171"/>
  <c r="T351" i="171"/>
  <c r="V266" i="171"/>
  <c r="W333" i="171"/>
  <c r="S247" i="171"/>
  <c r="V309" i="171"/>
  <c r="X224" i="171"/>
  <c r="U224" i="171"/>
  <c r="U142" i="171"/>
  <c r="W57" i="171"/>
  <c r="V275" i="171"/>
  <c r="X164" i="171"/>
  <c r="T78" i="171"/>
  <c r="Y78" i="171" s="1"/>
  <c r="W328" i="171"/>
  <c r="W184" i="171"/>
  <c r="S98" i="171"/>
  <c r="U457" i="171"/>
  <c r="V204" i="171"/>
  <c r="X119" i="171"/>
  <c r="X36" i="171"/>
  <c r="S281" i="171"/>
  <c r="S201" i="171"/>
  <c r="W155" i="171"/>
  <c r="U112" i="171"/>
  <c r="S69" i="171"/>
  <c r="S26" i="171"/>
  <c r="S302" i="171"/>
  <c r="W222" i="171"/>
  <c r="W182" i="171"/>
  <c r="U139" i="171"/>
  <c r="S96" i="171"/>
  <c r="W54" i="171"/>
  <c r="U362" i="171"/>
  <c r="T269" i="171"/>
  <c r="R269" i="171" s="1"/>
  <c r="X209" i="171"/>
  <c r="V166" i="171"/>
  <c r="T123" i="171"/>
  <c r="Y123" i="171" s="1"/>
  <c r="X81" i="171"/>
  <c r="V39" i="171"/>
  <c r="T136" i="171"/>
  <c r="V75" i="171"/>
  <c r="X46" i="171"/>
  <c r="S367" i="171"/>
  <c r="W219" i="171"/>
  <c r="T140" i="171"/>
  <c r="R140" i="171" s="1"/>
  <c r="X310" i="171"/>
  <c r="T513" i="171"/>
  <c r="S514" i="171"/>
  <c r="W489" i="171"/>
  <c r="X457" i="171"/>
  <c r="W425" i="171"/>
  <c r="V377" i="171"/>
  <c r="U480" i="171"/>
  <c r="W395" i="171"/>
  <c r="W246" i="171"/>
  <c r="U494" i="171"/>
  <c r="X352" i="171"/>
  <c r="T266" i="171"/>
  <c r="W185" i="171"/>
  <c r="S99" i="171"/>
  <c r="T206" i="171"/>
  <c r="Y206" i="171" s="1"/>
  <c r="V121" i="171"/>
  <c r="U241" i="171"/>
  <c r="W56" i="171"/>
  <c r="T161" i="171"/>
  <c r="V76" i="171"/>
  <c r="U344" i="171"/>
  <c r="S177" i="171"/>
  <c r="S133" i="171"/>
  <c r="U48" i="171"/>
  <c r="W348" i="171"/>
  <c r="U203" i="171"/>
  <c r="S160" i="171"/>
  <c r="W118" i="171"/>
  <c r="U32" i="171"/>
  <c r="X315" i="171"/>
  <c r="V228" i="171"/>
  <c r="T187" i="171"/>
  <c r="V102" i="171"/>
  <c r="T59" i="171"/>
  <c r="Q59" i="171" s="1"/>
  <c r="X334" i="171"/>
  <c r="W217" i="171"/>
  <c r="X166" i="171"/>
  <c r="T116" i="171"/>
  <c r="Q116" i="171" s="1"/>
  <c r="V303" i="171"/>
  <c r="T425" i="171"/>
  <c r="U159" i="171"/>
  <c r="S501" i="171"/>
  <c r="S448" i="171"/>
  <c r="W385" i="171"/>
  <c r="U440" i="171"/>
  <c r="X269" i="171"/>
  <c r="T226" i="171"/>
  <c r="R226" i="171" s="1"/>
  <c r="X282" i="171"/>
  <c r="S186" i="171"/>
  <c r="T121" i="171"/>
  <c r="S157" i="171"/>
  <c r="U309" i="171"/>
  <c r="U99" i="171"/>
  <c r="T211" i="171"/>
  <c r="R211" i="171" s="1"/>
  <c r="X41" i="171"/>
  <c r="U21" i="171"/>
  <c r="S59" i="171"/>
  <c r="U500" i="171"/>
  <c r="U447" i="171"/>
  <c r="S383" i="171"/>
  <c r="W439" i="171"/>
  <c r="T267" i="171"/>
  <c r="R267" i="171" s="1"/>
  <c r="V225" i="171"/>
  <c r="T276" i="171"/>
  <c r="Q276" i="171" s="1"/>
  <c r="U185" i="171"/>
  <c r="V120" i="171"/>
  <c r="U156" i="171"/>
  <c r="W308" i="171"/>
  <c r="W98" i="171"/>
  <c r="V210" i="171"/>
  <c r="S40" i="171"/>
  <c r="T18" i="171"/>
  <c r="S355" i="171"/>
  <c r="X497" i="171"/>
  <c r="U363" i="171"/>
  <c r="T422" i="171"/>
  <c r="W355" i="171"/>
  <c r="S335" i="171"/>
  <c r="U228" i="171"/>
  <c r="T166" i="171"/>
  <c r="Y166" i="171" s="1"/>
  <c r="U101" i="171"/>
  <c r="X43" i="171"/>
  <c r="W115" i="171"/>
  <c r="W224" i="171"/>
  <c r="S56" i="171"/>
  <c r="X169" i="171"/>
  <c r="X150" i="171"/>
  <c r="T272" i="171"/>
  <c r="Y272" i="171" s="1"/>
  <c r="X390" i="171"/>
  <c r="W469" i="171"/>
  <c r="T385" i="171"/>
  <c r="Q385" i="171" s="1"/>
  <c r="X353" i="171"/>
  <c r="T310" i="171"/>
  <c r="U58" i="171"/>
  <c r="U329" i="171"/>
  <c r="T205" i="171"/>
  <c r="Y205" i="171" s="1"/>
  <c r="W203" i="171"/>
  <c r="W28" i="171"/>
  <c r="S140" i="171"/>
  <c r="X275" i="171"/>
  <c r="V82" i="171"/>
  <c r="T64" i="171"/>
  <c r="Y64" i="171" s="1"/>
  <c r="X74" i="171"/>
  <c r="T495" i="171"/>
  <c r="Y495" i="171" s="1"/>
  <c r="W362" i="171"/>
  <c r="V421" i="171"/>
  <c r="W501" i="171"/>
  <c r="U334" i="171"/>
  <c r="W227" i="171"/>
  <c r="V165" i="171"/>
  <c r="W100" i="171"/>
  <c r="T38" i="171"/>
  <c r="Y38" i="171" s="1"/>
  <c r="S113" i="171"/>
  <c r="W223" i="171"/>
  <c r="U55" i="171"/>
  <c r="T167" i="171"/>
  <c r="V143" i="171"/>
  <c r="X223" i="171"/>
  <c r="T476" i="171"/>
  <c r="Q476" i="171" s="1"/>
  <c r="X417" i="171"/>
  <c r="V472" i="171"/>
  <c r="U291" i="171"/>
  <c r="U250" i="171"/>
  <c r="W145" i="171"/>
  <c r="V81" i="171"/>
  <c r="W18" i="171"/>
  <c r="S289" i="171"/>
  <c r="U72" i="171"/>
  <c r="S184" i="171"/>
  <c r="S418" i="171"/>
  <c r="V126" i="171"/>
  <c r="T100" i="171"/>
  <c r="X154" i="171"/>
  <c r="V475" i="171"/>
  <c r="T415" i="171"/>
  <c r="Y415" i="171" s="1"/>
  <c r="X471" i="171"/>
  <c r="W290" i="171"/>
  <c r="W249" i="171"/>
  <c r="S143" i="171"/>
  <c r="X80" i="171"/>
  <c r="W464" i="171"/>
  <c r="U288" i="171"/>
  <c r="W71" i="171"/>
  <c r="U183" i="171"/>
  <c r="W369" i="171"/>
  <c r="X125" i="171"/>
  <c r="X82" i="171"/>
  <c r="V147" i="171"/>
  <c r="V391" i="171"/>
  <c r="U470" i="171"/>
  <c r="X387" i="171"/>
  <c r="X312" i="171"/>
  <c r="S330" i="171"/>
  <c r="X207" i="171"/>
  <c r="U204" i="171"/>
  <c r="U29" i="171"/>
  <c r="W142" i="171"/>
  <c r="V276" i="171"/>
  <c r="T83" i="171"/>
  <c r="Q83" i="171" s="1"/>
  <c r="V71" i="171"/>
  <c r="V131" i="171"/>
  <c r="G22" i="156"/>
  <c r="L40" i="186"/>
  <c r="C2" i="189"/>
  <c r="L512" i="171"/>
  <c r="J501" i="171"/>
  <c r="I517" i="171"/>
  <c r="M507" i="171"/>
  <c r="K496" i="171"/>
  <c r="H509" i="171"/>
  <c r="L499" i="171"/>
  <c r="I512" i="171"/>
  <c r="M502" i="171"/>
  <c r="K491" i="171"/>
  <c r="J511" i="171"/>
  <c r="H500" i="171"/>
  <c r="L490" i="171"/>
  <c r="L509" i="171"/>
  <c r="J498" i="171"/>
  <c r="H487" i="171"/>
  <c r="K509" i="171"/>
  <c r="I498" i="171"/>
  <c r="G498" i="171" s="1"/>
  <c r="J489" i="171"/>
  <c r="H477" i="171"/>
  <c r="L467" i="171"/>
  <c r="J456" i="171"/>
  <c r="H445" i="171"/>
  <c r="L435" i="171"/>
  <c r="J424" i="171"/>
  <c r="H413" i="171"/>
  <c r="L403" i="171"/>
  <c r="J392" i="171"/>
  <c r="H381" i="171"/>
  <c r="L371" i="171"/>
  <c r="J360" i="171"/>
  <c r="L487" i="171"/>
  <c r="I476" i="171"/>
  <c r="F476" i="171" s="1"/>
  <c r="M466" i="171"/>
  <c r="K455" i="171"/>
  <c r="I444" i="171"/>
  <c r="M434" i="171"/>
  <c r="K423" i="171"/>
  <c r="I412" i="171"/>
  <c r="M402" i="171"/>
  <c r="K391" i="171"/>
  <c r="I380" i="171"/>
  <c r="N380" i="171" s="1"/>
  <c r="M370" i="171"/>
  <c r="K359" i="171"/>
  <c r="K487" i="171"/>
  <c r="H476" i="171"/>
  <c r="L466" i="171"/>
  <c r="J455" i="171"/>
  <c r="H444" i="171"/>
  <c r="L434" i="171"/>
  <c r="J423" i="171"/>
  <c r="H412" i="171"/>
  <c r="L402" i="171"/>
  <c r="J391" i="171"/>
  <c r="H380" i="171"/>
  <c r="L370" i="171"/>
  <c r="J359" i="171"/>
  <c r="K486" i="171"/>
  <c r="I475" i="171"/>
  <c r="M465" i="171"/>
  <c r="K454" i="171"/>
  <c r="I443" i="171"/>
  <c r="M433" i="171"/>
  <c r="K422" i="171"/>
  <c r="I411" i="171"/>
  <c r="F411" i="171" s="1"/>
  <c r="M401" i="171"/>
  <c r="K390" i="171"/>
  <c r="I379" i="171"/>
  <c r="K502" i="171"/>
  <c r="L485" i="171"/>
  <c r="J474" i="171"/>
  <c r="H463" i="171"/>
  <c r="L453" i="171"/>
  <c r="J442" i="171"/>
  <c r="H431" i="171"/>
  <c r="L421" i="171"/>
  <c r="J410" i="171"/>
  <c r="H399" i="171"/>
  <c r="L389" i="171"/>
  <c r="J378" i="171"/>
  <c r="H367" i="171"/>
  <c r="L357" i="171"/>
  <c r="H482" i="171"/>
  <c r="L472" i="171"/>
  <c r="J461" i="171"/>
  <c r="H450" i="171"/>
  <c r="L440" i="171"/>
  <c r="J429" i="171"/>
  <c r="H418" i="171"/>
  <c r="L408" i="171"/>
  <c r="J397" i="171"/>
  <c r="H386" i="171"/>
  <c r="L376" i="171"/>
  <c r="J365" i="171"/>
  <c r="H354" i="171"/>
  <c r="M483" i="171"/>
  <c r="K472" i="171"/>
  <c r="I461" i="171"/>
  <c r="M451" i="171"/>
  <c r="K440" i="171"/>
  <c r="I429" i="171"/>
  <c r="M419" i="171"/>
  <c r="K408" i="171"/>
  <c r="I397" i="171"/>
  <c r="N397" i="171" s="1"/>
  <c r="M387" i="171"/>
  <c r="K376" i="171"/>
  <c r="I365" i="171"/>
  <c r="G365" i="171" s="1"/>
  <c r="M355" i="171"/>
  <c r="I410" i="171"/>
  <c r="N410" i="171" s="1"/>
  <c r="H355" i="171"/>
  <c r="K343" i="171"/>
  <c r="I332" i="171"/>
  <c r="G332" i="171" s="1"/>
  <c r="M322" i="171"/>
  <c r="K311" i="171"/>
  <c r="I300" i="171"/>
  <c r="N300" i="171" s="1"/>
  <c r="M290" i="171"/>
  <c r="K279" i="171"/>
  <c r="I268" i="171"/>
  <c r="M258" i="171"/>
  <c r="K247" i="171"/>
  <c r="I236" i="171"/>
  <c r="M226" i="171"/>
  <c r="I438" i="171"/>
  <c r="G438" i="171" s="1"/>
  <c r="M365" i="171"/>
  <c r="H348" i="171"/>
  <c r="L338" i="171"/>
  <c r="J327" i="171"/>
  <c r="H316" i="171"/>
  <c r="L306" i="171"/>
  <c r="J295" i="171"/>
  <c r="H284" i="171"/>
  <c r="L274" i="171"/>
  <c r="J263" i="171"/>
  <c r="H252" i="171"/>
  <c r="L242" i="171"/>
  <c r="J231" i="171"/>
  <c r="M448" i="171"/>
  <c r="K365" i="171"/>
  <c r="I347" i="171"/>
  <c r="N347" i="171" s="1"/>
  <c r="M337" i="171"/>
  <c r="K326" i="171"/>
  <c r="I315" i="171"/>
  <c r="M305" i="171"/>
  <c r="K294" i="171"/>
  <c r="I283" i="171"/>
  <c r="N283" i="171" s="1"/>
  <c r="M273" i="171"/>
  <c r="K262" i="171"/>
  <c r="I251" i="171"/>
  <c r="G251" i="171" s="1"/>
  <c r="M241" i="171"/>
  <c r="K230" i="171"/>
  <c r="I462" i="171"/>
  <c r="K373" i="171"/>
  <c r="J350" i="171"/>
  <c r="H339" i="171"/>
  <c r="L329" i="171"/>
  <c r="J318" i="171"/>
  <c r="H307" i="171"/>
  <c r="L297" i="171"/>
  <c r="J286" i="171"/>
  <c r="H275" i="171"/>
  <c r="L265" i="171"/>
  <c r="J254" i="171"/>
  <c r="H243" i="171"/>
  <c r="L233" i="171"/>
  <c r="J222" i="171"/>
  <c r="K425" i="171"/>
  <c r="K344" i="171"/>
  <c r="I321" i="171"/>
  <c r="M303" i="171"/>
  <c r="K280" i="171"/>
  <c r="I257" i="171"/>
  <c r="G257" i="171" s="1"/>
  <c r="M239" i="171"/>
  <c r="I221" i="171"/>
  <c r="G221" i="171" s="1"/>
  <c r="M213" i="171"/>
  <c r="K202" i="171"/>
  <c r="I191" i="171"/>
  <c r="M181" i="171"/>
  <c r="K170" i="171"/>
  <c r="I159" i="171"/>
  <c r="G159" i="171" s="1"/>
  <c r="M149" i="171"/>
  <c r="K138" i="171"/>
  <c r="I127" i="171"/>
  <c r="M117" i="171"/>
  <c r="K106" i="171"/>
  <c r="I95" i="171"/>
  <c r="M85" i="171"/>
  <c r="K74" i="171"/>
  <c r="I63" i="171"/>
  <c r="M53" i="171"/>
  <c r="K42" i="171"/>
  <c r="I32" i="171"/>
  <c r="H21" i="171"/>
  <c r="I382" i="171"/>
  <c r="J344" i="171"/>
  <c r="H321" i="171"/>
  <c r="L303" i="171"/>
  <c r="J280" i="171"/>
  <c r="H257" i="171"/>
  <c r="L239" i="171"/>
  <c r="H221" i="171"/>
  <c r="H207" i="171"/>
  <c r="L197" i="171"/>
  <c r="J186" i="171"/>
  <c r="H175" i="171"/>
  <c r="L165" i="171"/>
  <c r="J154" i="171"/>
  <c r="H143" i="171"/>
  <c r="L133" i="171"/>
  <c r="J122" i="171"/>
  <c r="H111" i="171"/>
  <c r="L101" i="171"/>
  <c r="J90" i="171"/>
  <c r="H79" i="171"/>
  <c r="L69" i="171"/>
  <c r="J58" i="171"/>
  <c r="H47" i="171"/>
  <c r="H36" i="171"/>
  <c r="L26" i="171"/>
  <c r="K465" i="171"/>
  <c r="K349" i="171"/>
  <c r="I326" i="171"/>
  <c r="M308" i="171"/>
  <c r="K285" i="171"/>
  <c r="I262" i="171"/>
  <c r="M244" i="171"/>
  <c r="H224" i="171"/>
  <c r="K205" i="171"/>
  <c r="I194" i="171"/>
  <c r="M184" i="171"/>
  <c r="K173" i="171"/>
  <c r="I162" i="171"/>
  <c r="M152" i="171"/>
  <c r="K141" i="171"/>
  <c r="I130" i="171"/>
  <c r="G130" i="171" s="1"/>
  <c r="M120" i="171"/>
  <c r="K109" i="171"/>
  <c r="I98" i="171"/>
  <c r="M88" i="171"/>
  <c r="K77" i="171"/>
  <c r="I66" i="171"/>
  <c r="F66" i="171" s="1"/>
  <c r="M56" i="171"/>
  <c r="H510" i="171"/>
  <c r="L500" i="171"/>
  <c r="K516" i="171"/>
  <c r="I505" i="171"/>
  <c r="F505" i="171" s="1"/>
  <c r="M495" i="171"/>
  <c r="J508" i="171"/>
  <c r="H497" i="171"/>
  <c r="K511" i="171"/>
  <c r="I500" i="171"/>
  <c r="M490" i="171"/>
  <c r="L510" i="171"/>
  <c r="J499" i="171"/>
  <c r="J518" i="171"/>
  <c r="H507" i="171"/>
  <c r="L497" i="171"/>
  <c r="I518" i="171"/>
  <c r="M508" i="171"/>
  <c r="K497" i="171"/>
  <c r="M487" i="171"/>
  <c r="J476" i="171"/>
  <c r="H465" i="171"/>
  <c r="L455" i="171"/>
  <c r="J444" i="171"/>
  <c r="H433" i="171"/>
  <c r="L423" i="171"/>
  <c r="J412" i="171"/>
  <c r="H401" i="171"/>
  <c r="L391" i="171"/>
  <c r="J380" i="171"/>
  <c r="H369" i="171"/>
  <c r="L359" i="171"/>
  <c r="M486" i="171"/>
  <c r="K475" i="171"/>
  <c r="I464" i="171"/>
  <c r="G464" i="171" s="1"/>
  <c r="M454" i="171"/>
  <c r="K443" i="171"/>
  <c r="I432" i="171"/>
  <c r="M422" i="171"/>
  <c r="K411" i="171"/>
  <c r="I400" i="171"/>
  <c r="M390" i="171"/>
  <c r="K379" i="171"/>
  <c r="I368" i="171"/>
  <c r="M358" i="171"/>
  <c r="L486" i="171"/>
  <c r="J475" i="171"/>
  <c r="H464" i="171"/>
  <c r="L454" i="171"/>
  <c r="J443" i="171"/>
  <c r="H432" i="171"/>
  <c r="L422" i="171"/>
  <c r="J411" i="171"/>
  <c r="H400" i="171"/>
  <c r="L390" i="171"/>
  <c r="J379" i="171"/>
  <c r="H368" i="171"/>
  <c r="L358" i="171"/>
  <c r="M485" i="171"/>
  <c r="K474" i="171"/>
  <c r="I463" i="171"/>
  <c r="M453" i="171"/>
  <c r="K442" i="171"/>
  <c r="I431" i="171"/>
  <c r="M421" i="171"/>
  <c r="K410" i="171"/>
  <c r="I399" i="171"/>
  <c r="N399" i="171" s="1"/>
  <c r="M389" i="171"/>
  <c r="K378" i="171"/>
  <c r="I495" i="171"/>
  <c r="H483" i="171"/>
  <c r="L473" i="171"/>
  <c r="J462" i="171"/>
  <c r="H451" i="171"/>
  <c r="L441" i="171"/>
  <c r="J430" i="171"/>
  <c r="H419" i="171"/>
  <c r="L409" i="171"/>
  <c r="J398" i="171"/>
  <c r="H387" i="171"/>
  <c r="L377" i="171"/>
  <c r="J366" i="171"/>
  <c r="M501" i="171"/>
  <c r="J481" i="171"/>
  <c r="H470" i="171"/>
  <c r="L460" i="171"/>
  <c r="J449" i="171"/>
  <c r="H438" i="171"/>
  <c r="L428" i="171"/>
  <c r="J417" i="171"/>
  <c r="H406" i="171"/>
  <c r="L396" i="171"/>
  <c r="J385" i="171"/>
  <c r="H374" i="171"/>
  <c r="L364" i="171"/>
  <c r="I515" i="171"/>
  <c r="I481" i="171"/>
  <c r="M471" i="171"/>
  <c r="K460" i="171"/>
  <c r="I449" i="171"/>
  <c r="M439" i="171"/>
  <c r="K428" i="171"/>
  <c r="I417" i="171"/>
  <c r="M407" i="171"/>
  <c r="K396" i="171"/>
  <c r="I385" i="171"/>
  <c r="M375" i="171"/>
  <c r="K364" i="171"/>
  <c r="K481" i="171"/>
  <c r="M392" i="171"/>
  <c r="I352" i="171"/>
  <c r="M342" i="171"/>
  <c r="K331" i="171"/>
  <c r="I320" i="171"/>
  <c r="M310" i="171"/>
  <c r="K299" i="171"/>
  <c r="I288" i="171"/>
  <c r="F288" i="171" s="1"/>
  <c r="M278" i="171"/>
  <c r="K267" i="171"/>
  <c r="I256" i="171"/>
  <c r="M246" i="171"/>
  <c r="K235" i="171"/>
  <c r="K498" i="171"/>
  <c r="M420" i="171"/>
  <c r="K358" i="171"/>
  <c r="J347" i="171"/>
  <c r="H336" i="171"/>
  <c r="L326" i="171"/>
  <c r="J315" i="171"/>
  <c r="H304" i="171"/>
  <c r="L294" i="171"/>
  <c r="J283" i="171"/>
  <c r="H272" i="171"/>
  <c r="L262" i="171"/>
  <c r="J251" i="171"/>
  <c r="H240" i="171"/>
  <c r="L230" i="171"/>
  <c r="K441" i="171"/>
  <c r="I358" i="171"/>
  <c r="N358" i="171" s="1"/>
  <c r="K346" i="171"/>
  <c r="I335" i="171"/>
  <c r="M325" i="171"/>
  <c r="K314" i="171"/>
  <c r="I303" i="171"/>
  <c r="M293" i="171"/>
  <c r="K282" i="171"/>
  <c r="I271" i="171"/>
  <c r="F271" i="171" s="1"/>
  <c r="M261" i="171"/>
  <c r="K250" i="171"/>
  <c r="I239" i="171"/>
  <c r="M229" i="171"/>
  <c r="M444" i="171"/>
  <c r="K370" i="171"/>
  <c r="L349" i="171"/>
  <c r="J338" i="171"/>
  <c r="H327" i="171"/>
  <c r="L317" i="171"/>
  <c r="J306" i="171"/>
  <c r="H295" i="171"/>
  <c r="L285" i="171"/>
  <c r="J274" i="171"/>
  <c r="H263" i="171"/>
  <c r="L253" i="171"/>
  <c r="J242" i="171"/>
  <c r="H231" i="171"/>
  <c r="L221" i="171"/>
  <c r="I418" i="171"/>
  <c r="M343" i="171"/>
  <c r="K320" i="171"/>
  <c r="I297" i="171"/>
  <c r="G297" i="171" s="1"/>
  <c r="M279" i="171"/>
  <c r="K256" i="171"/>
  <c r="I233" i="171"/>
  <c r="I220" i="171"/>
  <c r="I211" i="171"/>
  <c r="M201" i="171"/>
  <c r="K190" i="171"/>
  <c r="I179" i="171"/>
  <c r="M169" i="171"/>
  <c r="K158" i="171"/>
  <c r="I147" i="171"/>
  <c r="M137" i="171"/>
  <c r="K126" i="171"/>
  <c r="I115" i="171"/>
  <c r="M105" i="171"/>
  <c r="K94" i="171"/>
  <c r="I83" i="171"/>
  <c r="G83" i="171" s="1"/>
  <c r="M73" i="171"/>
  <c r="K62" i="171"/>
  <c r="I51" i="171"/>
  <c r="M41" i="171"/>
  <c r="K31" i="171"/>
  <c r="K20" i="171"/>
  <c r="M369" i="171"/>
  <c r="L343" i="171"/>
  <c r="J320" i="171"/>
  <c r="H297" i="171"/>
  <c r="L279" i="171"/>
  <c r="J256" i="171"/>
  <c r="H233" i="171"/>
  <c r="H220" i="171"/>
  <c r="J206" i="171"/>
  <c r="H195" i="171"/>
  <c r="L185" i="171"/>
  <c r="J174" i="171"/>
  <c r="H163" i="171"/>
  <c r="L153" i="171"/>
  <c r="J142" i="171"/>
  <c r="H131" i="171"/>
  <c r="L121" i="171"/>
  <c r="J110" i="171"/>
  <c r="H99" i="171"/>
  <c r="L89" i="171"/>
  <c r="J78" i="171"/>
  <c r="H67" i="171"/>
  <c r="L57" i="171"/>
  <c r="J46" i="171"/>
  <c r="J35" i="171"/>
  <c r="H24" i="171"/>
  <c r="I458" i="171"/>
  <c r="M348" i="171"/>
  <c r="K325" i="171"/>
  <c r="I302" i="171"/>
  <c r="M284" i="171"/>
  <c r="K261" i="171"/>
  <c r="I238" i="171"/>
  <c r="F238" i="171" s="1"/>
  <c r="I214" i="171"/>
  <c r="N214" i="171" s="1"/>
  <c r="M204" i="171"/>
  <c r="K193" i="171"/>
  <c r="I182" i="171"/>
  <c r="M172" i="171"/>
  <c r="K161" i="171"/>
  <c r="I150" i="171"/>
  <c r="M140" i="171"/>
  <c r="K129" i="171"/>
  <c r="I118" i="171"/>
  <c r="M108" i="171"/>
  <c r="K97" i="171"/>
  <c r="I86" i="171"/>
  <c r="M76" i="171"/>
  <c r="K65" i="171"/>
  <c r="I54" i="171"/>
  <c r="J509" i="171"/>
  <c r="H498" i="171"/>
  <c r="M515" i="171"/>
  <c r="K504" i="171"/>
  <c r="H517" i="171"/>
  <c r="L507" i="171"/>
  <c r="J496" i="171"/>
  <c r="M510" i="171"/>
  <c r="K499" i="171"/>
  <c r="I488" i="171"/>
  <c r="N488" i="171" s="1"/>
  <c r="H508" i="171"/>
  <c r="L498" i="171"/>
  <c r="L517" i="171"/>
  <c r="J506" i="171"/>
  <c r="H495" i="171"/>
  <c r="K517" i="171"/>
  <c r="I506" i="171"/>
  <c r="G506" i="171" s="1"/>
  <c r="M496" i="171"/>
  <c r="H485" i="171"/>
  <c r="L475" i="171"/>
  <c r="J464" i="171"/>
  <c r="H453" i="171"/>
  <c r="L443" i="171"/>
  <c r="J432" i="171"/>
  <c r="H421" i="171"/>
  <c r="L411" i="171"/>
  <c r="J400" i="171"/>
  <c r="H389" i="171"/>
  <c r="L379" i="171"/>
  <c r="J368" i="171"/>
  <c r="H357" i="171"/>
  <c r="I484" i="171"/>
  <c r="M474" i="171"/>
  <c r="K463" i="171"/>
  <c r="I452" i="171"/>
  <c r="G452" i="171" s="1"/>
  <c r="M442" i="171"/>
  <c r="K431" i="171"/>
  <c r="I420" i="171"/>
  <c r="G420" i="171" s="1"/>
  <c r="M410" i="171"/>
  <c r="K399" i="171"/>
  <c r="I388" i="171"/>
  <c r="G388" i="171" s="1"/>
  <c r="M378" i="171"/>
  <c r="K367" i="171"/>
  <c r="M517" i="171"/>
  <c r="H484" i="171"/>
  <c r="L474" i="171"/>
  <c r="J463" i="171"/>
  <c r="H452" i="171"/>
  <c r="L442" i="171"/>
  <c r="J431" i="171"/>
  <c r="H420" i="171"/>
  <c r="L410" i="171"/>
  <c r="J399" i="171"/>
  <c r="H388" i="171"/>
  <c r="L378" i="171"/>
  <c r="J367" i="171"/>
  <c r="M513" i="171"/>
  <c r="I483" i="171"/>
  <c r="M473" i="171"/>
  <c r="K462" i="171"/>
  <c r="I451" i="171"/>
  <c r="N451" i="171" s="1"/>
  <c r="M441" i="171"/>
  <c r="K430" i="171"/>
  <c r="I419" i="171"/>
  <c r="N419" i="171" s="1"/>
  <c r="M409" i="171"/>
  <c r="K398" i="171"/>
  <c r="I387" i="171"/>
  <c r="G387" i="171" s="1"/>
  <c r="M377" i="171"/>
  <c r="K492" i="171"/>
  <c r="J482" i="171"/>
  <c r="H471" i="171"/>
  <c r="L461" i="171"/>
  <c r="J450" i="171"/>
  <c r="H439" i="171"/>
  <c r="L429" i="171"/>
  <c r="J418" i="171"/>
  <c r="H407" i="171"/>
  <c r="L397" i="171"/>
  <c r="J386" i="171"/>
  <c r="H375" i="171"/>
  <c r="L365" i="171"/>
  <c r="I493" i="171"/>
  <c r="L480" i="171"/>
  <c r="J469" i="171"/>
  <c r="H458" i="171"/>
  <c r="L448" i="171"/>
  <c r="J437" i="171"/>
  <c r="H426" i="171"/>
  <c r="L416" i="171"/>
  <c r="J405" i="171"/>
  <c r="H394" i="171"/>
  <c r="L384" i="171"/>
  <c r="J373" i="171"/>
  <c r="H362" i="171"/>
  <c r="M497" i="171"/>
  <c r="K480" i="171"/>
  <c r="I469" i="171"/>
  <c r="N469" i="171" s="1"/>
  <c r="M459" i="171"/>
  <c r="K448" i="171"/>
  <c r="I437" i="171"/>
  <c r="M427" i="171"/>
  <c r="K416" i="171"/>
  <c r="I405" i="171"/>
  <c r="M395" i="171"/>
  <c r="K384" i="171"/>
  <c r="I373" i="171"/>
  <c r="M363" i="171"/>
  <c r="I474" i="171"/>
  <c r="K385" i="171"/>
  <c r="K351" i="171"/>
  <c r="I340" i="171"/>
  <c r="M330" i="171"/>
  <c r="K319" i="171"/>
  <c r="I308" i="171"/>
  <c r="M298" i="171"/>
  <c r="K287" i="171"/>
  <c r="I276" i="171"/>
  <c r="M266" i="171"/>
  <c r="K255" i="171"/>
  <c r="I244" i="171"/>
  <c r="M234" i="171"/>
  <c r="H488" i="171"/>
  <c r="K413" i="171"/>
  <c r="K357" i="171"/>
  <c r="L346" i="171"/>
  <c r="J335" i="171"/>
  <c r="H324" i="171"/>
  <c r="L314" i="171"/>
  <c r="J303" i="171"/>
  <c r="H292" i="171"/>
  <c r="L282" i="171"/>
  <c r="J271" i="171"/>
  <c r="H260" i="171"/>
  <c r="L250" i="171"/>
  <c r="J239" i="171"/>
  <c r="H228" i="171"/>
  <c r="I434" i="171"/>
  <c r="N434" i="171" s="1"/>
  <c r="I356" i="171"/>
  <c r="M345" i="171"/>
  <c r="K334" i="171"/>
  <c r="I323" i="171"/>
  <c r="M313" i="171"/>
  <c r="K302" i="171"/>
  <c r="I291" i="171"/>
  <c r="M281" i="171"/>
  <c r="K270" i="171"/>
  <c r="I259" i="171"/>
  <c r="G259" i="171" s="1"/>
  <c r="M249" i="171"/>
  <c r="K238" i="171"/>
  <c r="I227" i="171"/>
  <c r="K437" i="171"/>
  <c r="I363" i="171"/>
  <c r="H347" i="171"/>
  <c r="L337" i="171"/>
  <c r="J326" i="171"/>
  <c r="H315" i="171"/>
  <c r="L305" i="171"/>
  <c r="J294" i="171"/>
  <c r="H283" i="171"/>
  <c r="L273" i="171"/>
  <c r="J262" i="171"/>
  <c r="H251" i="171"/>
  <c r="L241" i="171"/>
  <c r="J230" i="171"/>
  <c r="H219" i="171"/>
  <c r="I366" i="171"/>
  <c r="I337" i="171"/>
  <c r="M319" i="171"/>
  <c r="K296" i="171"/>
  <c r="I273" i="171"/>
  <c r="M255" i="171"/>
  <c r="K232" i="171"/>
  <c r="I219" i="171"/>
  <c r="K210" i="171"/>
  <c r="I199" i="171"/>
  <c r="F199" i="171" s="1"/>
  <c r="M189" i="171"/>
  <c r="K178" i="171"/>
  <c r="I167" i="171"/>
  <c r="M157" i="171"/>
  <c r="K146" i="171"/>
  <c r="I135" i="171"/>
  <c r="F135" i="171" s="1"/>
  <c r="M125" i="171"/>
  <c r="K114" i="171"/>
  <c r="I103" i="171"/>
  <c r="M93" i="171"/>
  <c r="K82" i="171"/>
  <c r="I71" i="171"/>
  <c r="M61" i="171"/>
  <c r="K50" i="171"/>
  <c r="H40" i="171"/>
  <c r="M30" i="171"/>
  <c r="M18" i="171"/>
  <c r="K362" i="171"/>
  <c r="H337" i="171"/>
  <c r="L319" i="171"/>
  <c r="J296" i="171"/>
  <c r="H273" i="171"/>
  <c r="L255" i="171"/>
  <c r="J232" i="171"/>
  <c r="H215" i="171"/>
  <c r="L205" i="171"/>
  <c r="J194" i="171"/>
  <c r="H183" i="171"/>
  <c r="L173" i="171"/>
  <c r="J162" i="171"/>
  <c r="H151" i="171"/>
  <c r="L141" i="171"/>
  <c r="J130" i="171"/>
  <c r="H119" i="171"/>
  <c r="L109" i="171"/>
  <c r="J98" i="171"/>
  <c r="H87" i="171"/>
  <c r="L77" i="171"/>
  <c r="J66" i="171"/>
  <c r="H55" i="171"/>
  <c r="L45" i="171"/>
  <c r="L34" i="171"/>
  <c r="K23" i="171"/>
  <c r="M408" i="171"/>
  <c r="I342" i="171"/>
  <c r="M324" i="171"/>
  <c r="K301" i="171"/>
  <c r="I278" i="171"/>
  <c r="M260" i="171"/>
  <c r="K237" i="171"/>
  <c r="K213" i="171"/>
  <c r="I202" i="171"/>
  <c r="M192" i="171"/>
  <c r="K181" i="171"/>
  <c r="I170" i="171"/>
  <c r="M160" i="171"/>
  <c r="K149" i="171"/>
  <c r="I138" i="171"/>
  <c r="G138" i="171" s="1"/>
  <c r="M128" i="171"/>
  <c r="K117" i="171"/>
  <c r="I106" i="171"/>
  <c r="F106" i="171" s="1"/>
  <c r="M96" i="171"/>
  <c r="K85" i="171"/>
  <c r="I74" i="171"/>
  <c r="M64" i="171"/>
  <c r="J513" i="171"/>
  <c r="H502" i="171"/>
  <c r="L492" i="171"/>
  <c r="K508" i="171"/>
  <c r="I497" i="171"/>
  <c r="G497" i="171" s="1"/>
  <c r="L511" i="171"/>
  <c r="J500" i="171"/>
  <c r="M514" i="171"/>
  <c r="K503" i="171"/>
  <c r="I492" i="171"/>
  <c r="G492" i="171" s="1"/>
  <c r="H512" i="171"/>
  <c r="L502" i="171"/>
  <c r="J491" i="171"/>
  <c r="J510" i="171"/>
  <c r="H499" i="171"/>
  <c r="L489" i="171"/>
  <c r="I510" i="171"/>
  <c r="G510" i="171" s="1"/>
  <c r="M500" i="171"/>
  <c r="I511" i="171"/>
  <c r="N511" i="171" s="1"/>
  <c r="L479" i="171"/>
  <c r="J468" i="171"/>
  <c r="H457" i="171"/>
  <c r="L447" i="171"/>
  <c r="J436" i="171"/>
  <c r="H425" i="171"/>
  <c r="L415" i="171"/>
  <c r="J404" i="171"/>
  <c r="H393" i="171"/>
  <c r="L383" i="171"/>
  <c r="J372" i="171"/>
  <c r="H361" i="171"/>
  <c r="M488" i="171"/>
  <c r="M478" i="171"/>
  <c r="K467" i="171"/>
  <c r="I456" i="171"/>
  <c r="G456" i="171" s="1"/>
  <c r="M446" i="171"/>
  <c r="K435" i="171"/>
  <c r="I424" i="171"/>
  <c r="M414" i="171"/>
  <c r="K403" i="171"/>
  <c r="I392" i="171"/>
  <c r="N392" i="171" s="1"/>
  <c r="M382" i="171"/>
  <c r="K371" i="171"/>
  <c r="I360" i="171"/>
  <c r="L488" i="171"/>
  <c r="L478" i="171"/>
  <c r="J467" i="171"/>
  <c r="H456" i="171"/>
  <c r="L446" i="171"/>
  <c r="J435" i="171"/>
  <c r="H424" i="171"/>
  <c r="L414" i="171"/>
  <c r="J403" i="171"/>
  <c r="H392" i="171"/>
  <c r="L382" i="171"/>
  <c r="J371" i="171"/>
  <c r="H360" i="171"/>
  <c r="J487" i="171"/>
  <c r="M477" i="171"/>
  <c r="K466" i="171"/>
  <c r="I455" i="171"/>
  <c r="M445" i="171"/>
  <c r="K434" i="171"/>
  <c r="I423" i="171"/>
  <c r="M413" i="171"/>
  <c r="K402" i="171"/>
  <c r="I391" i="171"/>
  <c r="N391" i="171" s="1"/>
  <c r="M381" i="171"/>
  <c r="M509" i="171"/>
  <c r="J486" i="171"/>
  <c r="H475" i="171"/>
  <c r="L465" i="171"/>
  <c r="J454" i="171"/>
  <c r="H443" i="171"/>
  <c r="L433" i="171"/>
  <c r="J422" i="171"/>
  <c r="H411" i="171"/>
  <c r="L401" i="171"/>
  <c r="J390" i="171"/>
  <c r="H379" i="171"/>
  <c r="L369" i="171"/>
  <c r="J358" i="171"/>
  <c r="L484" i="171"/>
  <c r="J473" i="171"/>
  <c r="H462" i="171"/>
  <c r="L452" i="171"/>
  <c r="J441" i="171"/>
  <c r="H430" i="171"/>
  <c r="L420" i="171"/>
  <c r="J409" i="171"/>
  <c r="H398" i="171"/>
  <c r="L388" i="171"/>
  <c r="J377" i="171"/>
  <c r="H366" i="171"/>
  <c r="L356" i="171"/>
  <c r="K484" i="171"/>
  <c r="I473" i="171"/>
  <c r="G473" i="171" s="1"/>
  <c r="M463" i="171"/>
  <c r="K452" i="171"/>
  <c r="I441" i="171"/>
  <c r="M431" i="171"/>
  <c r="K420" i="171"/>
  <c r="I409" i="171"/>
  <c r="M399" i="171"/>
  <c r="K388" i="171"/>
  <c r="I377" i="171"/>
  <c r="M367" i="171"/>
  <c r="K356" i="171"/>
  <c r="K417" i="171"/>
  <c r="M357" i="171"/>
  <c r="I344" i="171"/>
  <c r="M334" i="171"/>
  <c r="K323" i="171"/>
  <c r="I312" i="171"/>
  <c r="M302" i="171"/>
  <c r="K291" i="171"/>
  <c r="I280" i="171"/>
  <c r="M270" i="171"/>
  <c r="K259" i="171"/>
  <c r="I248" i="171"/>
  <c r="G248" i="171" s="1"/>
  <c r="M238" i="171"/>
  <c r="K227" i="171"/>
  <c r="K445" i="171"/>
  <c r="I367" i="171"/>
  <c r="L350" i="171"/>
  <c r="J339" i="171"/>
  <c r="H328" i="171"/>
  <c r="L318" i="171"/>
  <c r="J307" i="171"/>
  <c r="H296" i="171"/>
  <c r="L286" i="171"/>
  <c r="J275" i="171"/>
  <c r="H264" i="171"/>
  <c r="L254" i="171"/>
  <c r="J243" i="171"/>
  <c r="H232" i="171"/>
  <c r="I466" i="171"/>
  <c r="G466" i="171" s="1"/>
  <c r="K377" i="171"/>
  <c r="M349" i="171"/>
  <c r="K338" i="171"/>
  <c r="I327" i="171"/>
  <c r="M317" i="171"/>
  <c r="K306" i="171"/>
  <c r="I295" i="171"/>
  <c r="G295" i="171" s="1"/>
  <c r="M285" i="171"/>
  <c r="K274" i="171"/>
  <c r="I263" i="171"/>
  <c r="N263" i="171" s="1"/>
  <c r="M253" i="171"/>
  <c r="K242" i="171"/>
  <c r="I231" i="171"/>
  <c r="K469" i="171"/>
  <c r="M380" i="171"/>
  <c r="H351" i="171"/>
  <c r="L341" i="171"/>
  <c r="J330" i="171"/>
  <c r="H319" i="171"/>
  <c r="L309" i="171"/>
  <c r="J298" i="171"/>
  <c r="H287" i="171"/>
  <c r="L277" i="171"/>
  <c r="J266" i="171"/>
  <c r="H255" i="171"/>
  <c r="L245" i="171"/>
  <c r="J234" i="171"/>
  <c r="H223" i="171"/>
  <c r="M432" i="171"/>
  <c r="I345" i="171"/>
  <c r="M327" i="171"/>
  <c r="K304" i="171"/>
  <c r="I281" i="171"/>
  <c r="N281" i="171" s="1"/>
  <c r="M263" i="171"/>
  <c r="K240" i="171"/>
  <c r="I222" i="171"/>
  <c r="K214" i="171"/>
  <c r="I203" i="171"/>
  <c r="M193" i="171"/>
  <c r="K182" i="171"/>
  <c r="I171" i="171"/>
  <c r="M161" i="171"/>
  <c r="K150" i="171"/>
  <c r="I139" i="171"/>
  <c r="M129" i="171"/>
  <c r="K118" i="171"/>
  <c r="I107" i="171"/>
  <c r="N107" i="171" s="1"/>
  <c r="M97" i="171"/>
  <c r="K86" i="171"/>
  <c r="I75" i="171"/>
  <c r="G75" i="171" s="1"/>
  <c r="M65" i="171"/>
  <c r="K54" i="171"/>
  <c r="I43" i="171"/>
  <c r="F43" i="171" s="1"/>
  <c r="M34" i="171"/>
  <c r="L23" i="171"/>
  <c r="K389" i="171"/>
  <c r="H345" i="171"/>
  <c r="L327" i="171"/>
  <c r="J304" i="171"/>
  <c r="H281" i="171"/>
  <c r="L263" i="171"/>
  <c r="J240" i="171"/>
  <c r="H222" i="171"/>
  <c r="L209" i="171"/>
  <c r="J198" i="171"/>
  <c r="H187" i="171"/>
  <c r="L177" i="171"/>
  <c r="J166" i="171"/>
  <c r="H155" i="171"/>
  <c r="L145" i="171"/>
  <c r="J134" i="171"/>
  <c r="H123" i="171"/>
  <c r="L113" i="171"/>
  <c r="J102" i="171"/>
  <c r="H91" i="171"/>
  <c r="L81" i="171"/>
  <c r="J70" i="171"/>
  <c r="H59" i="171"/>
  <c r="L49" i="171"/>
  <c r="L38" i="171"/>
  <c r="J27" i="171"/>
  <c r="M472" i="171"/>
  <c r="I350" i="171"/>
  <c r="M332" i="171"/>
  <c r="K309" i="171"/>
  <c r="I286" i="171"/>
  <c r="M268" i="171"/>
  <c r="K245" i="171"/>
  <c r="H225" i="171"/>
  <c r="I206" i="171"/>
  <c r="N206" i="171" s="1"/>
  <c r="M196" i="171"/>
  <c r="K185" i="171"/>
  <c r="I174" i="171"/>
  <c r="N174" i="171" s="1"/>
  <c r="M164" i="171"/>
  <c r="K153" i="171"/>
  <c r="I142" i="171"/>
  <c r="F142" i="171" s="1"/>
  <c r="M132" i="171"/>
  <c r="K121" i="171"/>
  <c r="I110" i="171"/>
  <c r="M100" i="171"/>
  <c r="K89" i="171"/>
  <c r="I78" i="171"/>
  <c r="M68" i="171"/>
  <c r="K57" i="171"/>
  <c r="I46" i="171"/>
  <c r="I35" i="171"/>
  <c r="G35" i="171" s="1"/>
  <c r="M25" i="171"/>
  <c r="K429" i="171"/>
  <c r="L340" i="171"/>
  <c r="J317" i="171"/>
  <c r="H294" i="171"/>
  <c r="L276" i="171"/>
  <c r="J253" i="171"/>
  <c r="H230" i="171"/>
  <c r="J209" i="171"/>
  <c r="H198" i="171"/>
  <c r="L188" i="171"/>
  <c r="J177" i="171"/>
  <c r="H166" i="171"/>
  <c r="L156" i="171"/>
  <c r="J145" i="171"/>
  <c r="H134" i="171"/>
  <c r="L124" i="171"/>
  <c r="J113" i="171"/>
  <c r="H102" i="171"/>
  <c r="L92" i="171"/>
  <c r="J81" i="171"/>
  <c r="H70" i="171"/>
  <c r="L60" i="171"/>
  <c r="J49" i="171"/>
  <c r="H39" i="171"/>
  <c r="L29" i="171"/>
  <c r="K19" i="171"/>
  <c r="M364" i="171"/>
  <c r="K332" i="171"/>
  <c r="I309" i="171"/>
  <c r="G309" i="171" s="1"/>
  <c r="M291" i="171"/>
  <c r="K268" i="171"/>
  <c r="I245" i="171"/>
  <c r="M227" i="171"/>
  <c r="K212" i="171"/>
  <c r="I201" i="171"/>
  <c r="M191" i="171"/>
  <c r="K180" i="171"/>
  <c r="I169" i="171"/>
  <c r="M159" i="171"/>
  <c r="K148" i="171"/>
  <c r="I137" i="171"/>
  <c r="M127" i="171"/>
  <c r="K116" i="171"/>
  <c r="I105" i="171"/>
  <c r="M95" i="171"/>
  <c r="K84" i="171"/>
  <c r="I73" i="171"/>
  <c r="M63" i="171"/>
  <c r="K52" i="171"/>
  <c r="I41" i="171"/>
  <c r="I30" i="171"/>
  <c r="L21" i="171"/>
  <c r="I370" i="171"/>
  <c r="G370" i="171" s="1"/>
  <c r="I338" i="171"/>
  <c r="M320" i="171"/>
  <c r="K297" i="171"/>
  <c r="I274" i="171"/>
  <c r="M256" i="171"/>
  <c r="K233" i="171"/>
  <c r="K219" i="171"/>
  <c r="M210" i="171"/>
  <c r="K199" i="171"/>
  <c r="I188" i="171"/>
  <c r="M178" i="171"/>
  <c r="K167" i="171"/>
  <c r="I156" i="171"/>
  <c r="M146" i="171"/>
  <c r="K135" i="171"/>
  <c r="I124" i="171"/>
  <c r="F124" i="171" s="1"/>
  <c r="M114" i="171"/>
  <c r="K103" i="171"/>
  <c r="I92" i="171"/>
  <c r="M82" i="171"/>
  <c r="K71" i="171"/>
  <c r="I60" i="171"/>
  <c r="M50" i="171"/>
  <c r="M39" i="171"/>
  <c r="K28" i="171"/>
  <c r="M468" i="171"/>
  <c r="K355" i="171"/>
  <c r="J337" i="171"/>
  <c r="H314" i="171"/>
  <c r="L296" i="171"/>
  <c r="J273" i="171"/>
  <c r="H250" i="171"/>
  <c r="L232" i="171"/>
  <c r="J219" i="171"/>
  <c r="L210" i="171"/>
  <c r="J199" i="171"/>
  <c r="H188" i="171"/>
  <c r="L178" i="171"/>
  <c r="J167" i="171"/>
  <c r="H156" i="171"/>
  <c r="L146" i="171"/>
  <c r="J135" i="171"/>
  <c r="H124" i="171"/>
  <c r="L114" i="171"/>
  <c r="J103" i="171"/>
  <c r="H92" i="171"/>
  <c r="L82" i="171"/>
  <c r="J71" i="171"/>
  <c r="H60" i="171"/>
  <c r="L50" i="171"/>
  <c r="L39" i="171"/>
  <c r="J28" i="171"/>
  <c r="L299" i="171"/>
  <c r="L179" i="171"/>
  <c r="H101" i="171"/>
  <c r="H341" i="171"/>
  <c r="J200" i="171"/>
  <c r="L111" i="171"/>
  <c r="H30" i="171"/>
  <c r="J196" i="171"/>
  <c r="L107" i="171"/>
  <c r="J33" i="171"/>
  <c r="J260" i="171"/>
  <c r="H149" i="171"/>
  <c r="J60" i="171"/>
  <c r="H309" i="171"/>
  <c r="L191" i="171"/>
  <c r="H113" i="171"/>
  <c r="K21" i="171"/>
  <c r="H237" i="171"/>
  <c r="H141" i="171"/>
  <c r="J52" i="171"/>
  <c r="H229" i="171"/>
  <c r="H169" i="171"/>
  <c r="J80" i="171"/>
  <c r="H185" i="171"/>
  <c r="L167" i="171"/>
  <c r="J268" i="171"/>
  <c r="J96" i="171"/>
  <c r="H518" i="171"/>
  <c r="J497" i="171"/>
  <c r="M503" i="171"/>
  <c r="H505" i="171"/>
  <c r="I508" i="171"/>
  <c r="L518" i="171"/>
  <c r="H496" i="171"/>
  <c r="L505" i="171"/>
  <c r="M516" i="171"/>
  <c r="I494" i="171"/>
  <c r="H473" i="171"/>
  <c r="J452" i="171"/>
  <c r="L431" i="171"/>
  <c r="H409" i="171"/>
  <c r="J388" i="171"/>
  <c r="L367" i="171"/>
  <c r="K483" i="171"/>
  <c r="M462" i="171"/>
  <c r="I440" i="171"/>
  <c r="K419" i="171"/>
  <c r="M398" i="171"/>
  <c r="I376" i="171"/>
  <c r="K510" i="171"/>
  <c r="H472" i="171"/>
  <c r="J451" i="171"/>
  <c r="L430" i="171"/>
  <c r="H408" i="171"/>
  <c r="J387" i="171"/>
  <c r="L366" i="171"/>
  <c r="K482" i="171"/>
  <c r="M461" i="171"/>
  <c r="I439" i="171"/>
  <c r="G439" i="171" s="1"/>
  <c r="K418" i="171"/>
  <c r="M397" i="171"/>
  <c r="I375" i="171"/>
  <c r="L481" i="171"/>
  <c r="H459" i="171"/>
  <c r="J438" i="171"/>
  <c r="L417" i="171"/>
  <c r="H395" i="171"/>
  <c r="J374" i="171"/>
  <c r="H490" i="171"/>
  <c r="L468" i="171"/>
  <c r="H446" i="171"/>
  <c r="J425" i="171"/>
  <c r="L404" i="171"/>
  <c r="H382" i="171"/>
  <c r="J361" i="171"/>
  <c r="M479" i="171"/>
  <c r="I457" i="171"/>
  <c r="K436" i="171"/>
  <c r="M415" i="171"/>
  <c r="I393" i="171"/>
  <c r="K372" i="171"/>
  <c r="M456" i="171"/>
  <c r="M350" i="171"/>
  <c r="I328" i="171"/>
  <c r="G328" i="171" s="1"/>
  <c r="K307" i="171"/>
  <c r="M286" i="171"/>
  <c r="I264" i="171"/>
  <c r="G264" i="171" s="1"/>
  <c r="K243" i="171"/>
  <c r="M484" i="171"/>
  <c r="M356" i="171"/>
  <c r="L334" i="171"/>
  <c r="H312" i="171"/>
  <c r="J291" i="171"/>
  <c r="L270" i="171"/>
  <c r="H248" i="171"/>
  <c r="J227" i="171"/>
  <c r="L354" i="171"/>
  <c r="M333" i="171"/>
  <c r="I311" i="171"/>
  <c r="K290" i="171"/>
  <c r="M269" i="171"/>
  <c r="I247" i="171"/>
  <c r="K226" i="171"/>
  <c r="M361" i="171"/>
  <c r="H335" i="171"/>
  <c r="J314" i="171"/>
  <c r="L293" i="171"/>
  <c r="H271" i="171"/>
  <c r="J250" i="171"/>
  <c r="L229" i="171"/>
  <c r="J355" i="171"/>
  <c r="I313" i="171"/>
  <c r="G313" i="171" s="1"/>
  <c r="K272" i="171"/>
  <c r="M231" i="171"/>
  <c r="M209" i="171"/>
  <c r="I187" i="171"/>
  <c r="K166" i="171"/>
  <c r="M145" i="171"/>
  <c r="I123" i="171"/>
  <c r="F123" i="171" s="1"/>
  <c r="K102" i="171"/>
  <c r="M81" i="171"/>
  <c r="I59" i="171"/>
  <c r="K39" i="171"/>
  <c r="M460" i="171"/>
  <c r="J336" i="171"/>
  <c r="L295" i="171"/>
  <c r="H249" i="171"/>
  <c r="J214" i="171"/>
  <c r="L193" i="171"/>
  <c r="H171" i="171"/>
  <c r="J150" i="171"/>
  <c r="L129" i="171"/>
  <c r="H107" i="171"/>
  <c r="J86" i="171"/>
  <c r="L65" i="171"/>
  <c r="H43" i="171"/>
  <c r="M22" i="171"/>
  <c r="K341" i="171"/>
  <c r="M300" i="171"/>
  <c r="I254" i="171"/>
  <c r="N254" i="171" s="1"/>
  <c r="M212" i="171"/>
  <c r="I190" i="171"/>
  <c r="K169" i="171"/>
  <c r="M148" i="171"/>
  <c r="I126" i="171"/>
  <c r="F126" i="171" s="1"/>
  <c r="K105" i="171"/>
  <c r="M84" i="171"/>
  <c r="I62" i="171"/>
  <c r="N62" i="171" s="1"/>
  <c r="M48" i="171"/>
  <c r="K34" i="171"/>
  <c r="L22" i="171"/>
  <c r="H350" i="171"/>
  <c r="H326" i="171"/>
  <c r="H302" i="171"/>
  <c r="H278" i="171"/>
  <c r="H254" i="171"/>
  <c r="J229" i="171"/>
  <c r="H206" i="171"/>
  <c r="H194" i="171"/>
  <c r="H182" i="171"/>
  <c r="H170" i="171"/>
  <c r="H158" i="171"/>
  <c r="H146" i="171"/>
  <c r="J133" i="171"/>
  <c r="J121" i="171"/>
  <c r="J109" i="171"/>
  <c r="J97" i="171"/>
  <c r="J85" i="171"/>
  <c r="J73" i="171"/>
  <c r="J61" i="171"/>
  <c r="L48" i="171"/>
  <c r="L37" i="171"/>
  <c r="L25" i="171"/>
  <c r="I450" i="171"/>
  <c r="N450" i="171" s="1"/>
  <c r="K340" i="171"/>
  <c r="K316" i="171"/>
  <c r="K292" i="171"/>
  <c r="M267" i="171"/>
  <c r="M243" i="171"/>
  <c r="M218" i="171"/>
  <c r="M207" i="171"/>
  <c r="M195" i="171"/>
  <c r="M183" i="171"/>
  <c r="M171" i="171"/>
  <c r="I157" i="171"/>
  <c r="G157" i="171" s="1"/>
  <c r="I145" i="171"/>
  <c r="I133" i="171"/>
  <c r="I121" i="171"/>
  <c r="I109" i="171"/>
  <c r="G109" i="171" s="1"/>
  <c r="I97" i="171"/>
  <c r="N97" i="171" s="1"/>
  <c r="I85" i="171"/>
  <c r="K72" i="171"/>
  <c r="K60" i="171"/>
  <c r="K48" i="171"/>
  <c r="M36" i="171"/>
  <c r="M24" i="171"/>
  <c r="I426" i="171"/>
  <c r="M344" i="171"/>
  <c r="I314" i="171"/>
  <c r="I290" i="171"/>
  <c r="I266" i="171"/>
  <c r="I242" i="171"/>
  <c r="L222" i="171"/>
  <c r="I212" i="171"/>
  <c r="G212" i="171" s="1"/>
  <c r="I200" i="171"/>
  <c r="F200" i="171" s="1"/>
  <c r="K187" i="171"/>
  <c r="K175" i="171"/>
  <c r="K163" i="171"/>
  <c r="K151" i="171"/>
  <c r="K139" i="171"/>
  <c r="K127" i="171"/>
  <c r="K115" i="171"/>
  <c r="M102" i="171"/>
  <c r="M90" i="171"/>
  <c r="M78" i="171"/>
  <c r="M66" i="171"/>
  <c r="M54" i="171"/>
  <c r="M42" i="171"/>
  <c r="I29" i="171"/>
  <c r="N29" i="171" s="1"/>
  <c r="K461" i="171"/>
  <c r="J353" i="171"/>
  <c r="J329" i="171"/>
  <c r="J305" i="171"/>
  <c r="J281" i="171"/>
  <c r="J257" i="171"/>
  <c r="J233" i="171"/>
  <c r="I218" i="171"/>
  <c r="J207" i="171"/>
  <c r="J195" i="171"/>
  <c r="J183" i="171"/>
  <c r="J171" i="171"/>
  <c r="J159" i="171"/>
  <c r="J147" i="171"/>
  <c r="L134" i="171"/>
  <c r="L122" i="171"/>
  <c r="L110" i="171"/>
  <c r="L98" i="171"/>
  <c r="L86" i="171"/>
  <c r="L74" i="171"/>
  <c r="L62" i="171"/>
  <c r="H48" i="171"/>
  <c r="J36" i="171"/>
  <c r="J24" i="171"/>
  <c r="J228" i="171"/>
  <c r="H133" i="171"/>
  <c r="H34" i="171"/>
  <c r="L207" i="171"/>
  <c r="J104" i="171"/>
  <c r="J340" i="171"/>
  <c r="J164" i="171"/>
  <c r="J68" i="171"/>
  <c r="J324" i="171"/>
  <c r="L163" i="171"/>
  <c r="L67" i="171"/>
  <c r="L259" i="171"/>
  <c r="H177" i="171"/>
  <c r="H81" i="171"/>
  <c r="J308" i="171"/>
  <c r="H173" i="171"/>
  <c r="H77" i="171"/>
  <c r="J236" i="171"/>
  <c r="L151" i="171"/>
  <c r="L55" i="171"/>
  <c r="H121" i="171"/>
  <c r="M221" i="171"/>
  <c r="H153" i="171"/>
  <c r="J517" i="171"/>
  <c r="L496" i="171"/>
  <c r="I501" i="171"/>
  <c r="J504" i="171"/>
  <c r="K507" i="171"/>
  <c r="H516" i="171"/>
  <c r="J495" i="171"/>
  <c r="H503" i="171"/>
  <c r="I514" i="171"/>
  <c r="G514" i="171" s="1"/>
  <c r="K493" i="171"/>
  <c r="J472" i="171"/>
  <c r="L451" i="171"/>
  <c r="H429" i="171"/>
  <c r="J408" i="171"/>
  <c r="L387" i="171"/>
  <c r="H365" i="171"/>
  <c r="M482" i="171"/>
  <c r="I460" i="171"/>
  <c r="F460" i="171" s="1"/>
  <c r="K439" i="171"/>
  <c r="M418" i="171"/>
  <c r="I396" i="171"/>
  <c r="K375" i="171"/>
  <c r="I503" i="171"/>
  <c r="J471" i="171"/>
  <c r="L450" i="171"/>
  <c r="H428" i="171"/>
  <c r="J407" i="171"/>
  <c r="L386" i="171"/>
  <c r="H364" i="171"/>
  <c r="M481" i="171"/>
  <c r="I459" i="171"/>
  <c r="N459" i="171" s="1"/>
  <c r="K438" i="171"/>
  <c r="M417" i="171"/>
  <c r="I395" i="171"/>
  <c r="K374" i="171"/>
  <c r="H479" i="171"/>
  <c r="J458" i="171"/>
  <c r="L437" i="171"/>
  <c r="H415" i="171"/>
  <c r="J394" i="171"/>
  <c r="L373" i="171"/>
  <c r="M489" i="171"/>
  <c r="H466" i="171"/>
  <c r="J445" i="171"/>
  <c r="L424" i="171"/>
  <c r="H402" i="171"/>
  <c r="J381" i="171"/>
  <c r="L360" i="171"/>
  <c r="I477" i="171"/>
  <c r="F477" i="171" s="1"/>
  <c r="K456" i="171"/>
  <c r="M435" i="171"/>
  <c r="I413" i="171"/>
  <c r="K392" i="171"/>
  <c r="M371" i="171"/>
  <c r="K449" i="171"/>
  <c r="I348" i="171"/>
  <c r="K327" i="171"/>
  <c r="M306" i="171"/>
  <c r="I284" i="171"/>
  <c r="K263" i="171"/>
  <c r="M242" i="171"/>
  <c r="K477" i="171"/>
  <c r="M354" i="171"/>
  <c r="H332" i="171"/>
  <c r="J311" i="171"/>
  <c r="L290" i="171"/>
  <c r="H268" i="171"/>
  <c r="J247" i="171"/>
  <c r="L226" i="171"/>
  <c r="M353" i="171"/>
  <c r="I331" i="171"/>
  <c r="N331" i="171" s="1"/>
  <c r="K310" i="171"/>
  <c r="M289" i="171"/>
  <c r="I267" i="171"/>
  <c r="N267" i="171" s="1"/>
  <c r="K246" i="171"/>
  <c r="M225" i="171"/>
  <c r="H356" i="171"/>
  <c r="J334" i="171"/>
  <c r="L313" i="171"/>
  <c r="H291" i="171"/>
  <c r="J270" i="171"/>
  <c r="L249" i="171"/>
  <c r="H227" i="171"/>
  <c r="I353" i="171"/>
  <c r="K312" i="171"/>
  <c r="M271" i="171"/>
  <c r="J225" i="171"/>
  <c r="I207" i="171"/>
  <c r="K186" i="171"/>
  <c r="M165" i="171"/>
  <c r="I143" i="171"/>
  <c r="F143" i="171" s="1"/>
  <c r="K122" i="171"/>
  <c r="M101" i="171"/>
  <c r="I79" i="171"/>
  <c r="K58" i="171"/>
  <c r="M38" i="171"/>
  <c r="K453" i="171"/>
  <c r="L335" i="171"/>
  <c r="H289" i="171"/>
  <c r="J248" i="171"/>
  <c r="L213" i="171"/>
  <c r="H191" i="171"/>
  <c r="J170" i="171"/>
  <c r="L149" i="171"/>
  <c r="H127" i="171"/>
  <c r="J106" i="171"/>
  <c r="L85" i="171"/>
  <c r="H63" i="171"/>
  <c r="J42" i="171"/>
  <c r="J20" i="171"/>
  <c r="M340" i="171"/>
  <c r="I294" i="171"/>
  <c r="K253" i="171"/>
  <c r="I210" i="171"/>
  <c r="G210" i="171" s="1"/>
  <c r="K189" i="171"/>
  <c r="M168" i="171"/>
  <c r="I146" i="171"/>
  <c r="G146" i="171" s="1"/>
  <c r="K125" i="171"/>
  <c r="M104" i="171"/>
  <c r="I82" i="171"/>
  <c r="K61" i="171"/>
  <c r="K45" i="171"/>
  <c r="M33" i="171"/>
  <c r="I20" i="171"/>
  <c r="J349" i="171"/>
  <c r="J325" i="171"/>
  <c r="J301" i="171"/>
  <c r="J277" i="171"/>
  <c r="L252" i="171"/>
  <c r="L228" i="171"/>
  <c r="J205" i="171"/>
  <c r="J193" i="171"/>
  <c r="J181" i="171"/>
  <c r="J169" i="171"/>
  <c r="J157" i="171"/>
  <c r="L144" i="171"/>
  <c r="L132" i="171"/>
  <c r="L120" i="171"/>
  <c r="L108" i="171"/>
  <c r="L96" i="171"/>
  <c r="L84" i="171"/>
  <c r="L72" i="171"/>
  <c r="H58" i="171"/>
  <c r="H46" i="171"/>
  <c r="H35" i="171"/>
  <c r="I23" i="171"/>
  <c r="N23" i="171" s="1"/>
  <c r="M400" i="171"/>
  <c r="M339" i="171"/>
  <c r="M315" i="171"/>
  <c r="I285" i="171"/>
  <c r="F285" i="171" s="1"/>
  <c r="I261" i="171"/>
  <c r="I237" i="171"/>
  <c r="M217" i="171"/>
  <c r="I205" i="171"/>
  <c r="F205" i="171" s="1"/>
  <c r="I193" i="171"/>
  <c r="G193" i="171" s="1"/>
  <c r="I181" i="171"/>
  <c r="K168" i="171"/>
  <c r="K156" i="171"/>
  <c r="K144" i="171"/>
  <c r="K132" i="171"/>
  <c r="K120" i="171"/>
  <c r="K108" i="171"/>
  <c r="K96" i="171"/>
  <c r="M83" i="171"/>
  <c r="M71" i="171"/>
  <c r="M59" i="171"/>
  <c r="M47" i="171"/>
  <c r="I34" i="171"/>
  <c r="H23" i="171"/>
  <c r="M376" i="171"/>
  <c r="K337" i="171"/>
  <c r="K313" i="171"/>
  <c r="K289" i="171"/>
  <c r="K265" i="171"/>
  <c r="K241" i="171"/>
  <c r="K221" i="171"/>
  <c r="K211" i="171"/>
  <c r="M198" i="171"/>
  <c r="M186" i="171"/>
  <c r="M174" i="171"/>
  <c r="M162" i="171"/>
  <c r="M150" i="171"/>
  <c r="M138" i="171"/>
  <c r="M126" i="171"/>
  <c r="I112" i="171"/>
  <c r="I100" i="171"/>
  <c r="I88" i="171"/>
  <c r="I76" i="171"/>
  <c r="G76" i="171" s="1"/>
  <c r="I64" i="171"/>
  <c r="I52" i="171"/>
  <c r="J40" i="171"/>
  <c r="M27" i="171"/>
  <c r="I454" i="171"/>
  <c r="L352" i="171"/>
  <c r="L328" i="171"/>
  <c r="L304" i="171"/>
  <c r="L280" i="171"/>
  <c r="L256" i="171"/>
  <c r="H226" i="171"/>
  <c r="I217" i="171"/>
  <c r="N217" i="171" s="1"/>
  <c r="L206" i="171"/>
  <c r="L194" i="171"/>
  <c r="L182" i="171"/>
  <c r="L170" i="171"/>
  <c r="L158" i="171"/>
  <c r="H144" i="171"/>
  <c r="H132" i="171"/>
  <c r="H120" i="171"/>
  <c r="H108" i="171"/>
  <c r="H96" i="171"/>
  <c r="H84" i="171"/>
  <c r="H72" i="171"/>
  <c r="J59" i="171"/>
  <c r="J47" i="171"/>
  <c r="L35" i="171"/>
  <c r="M23" i="171"/>
  <c r="L211" i="171"/>
  <c r="L115" i="171"/>
  <c r="J348" i="171"/>
  <c r="H193" i="171"/>
  <c r="H97" i="171"/>
  <c r="H333" i="171"/>
  <c r="H157" i="171"/>
  <c r="H61" i="171"/>
  <c r="H317" i="171"/>
  <c r="J156" i="171"/>
  <c r="H53" i="171"/>
  <c r="J252" i="171"/>
  <c r="L159" i="171"/>
  <c r="L63" i="171"/>
  <c r="H301" i="171"/>
  <c r="L155" i="171"/>
  <c r="L59" i="171"/>
  <c r="M223" i="171"/>
  <c r="J144" i="171"/>
  <c r="J48" i="171"/>
  <c r="J64" i="171"/>
  <c r="J192" i="171"/>
  <c r="L36" i="171"/>
  <c r="L516" i="171"/>
  <c r="H494" i="171"/>
  <c r="K500" i="171"/>
  <c r="L503" i="171"/>
  <c r="M506" i="171"/>
  <c r="J515" i="171"/>
  <c r="L494" i="171"/>
  <c r="J502" i="171"/>
  <c r="K513" i="171"/>
  <c r="M492" i="171"/>
  <c r="L471" i="171"/>
  <c r="H449" i="171"/>
  <c r="J428" i="171"/>
  <c r="L407" i="171"/>
  <c r="H385" i="171"/>
  <c r="J364" i="171"/>
  <c r="I480" i="171"/>
  <c r="K459" i="171"/>
  <c r="M438" i="171"/>
  <c r="I416" i="171"/>
  <c r="F416" i="171" s="1"/>
  <c r="K395" i="171"/>
  <c r="M374" i="171"/>
  <c r="M491" i="171"/>
  <c r="L470" i="171"/>
  <c r="H448" i="171"/>
  <c r="J427" i="171"/>
  <c r="L406" i="171"/>
  <c r="H384" i="171"/>
  <c r="J363" i="171"/>
  <c r="I479" i="171"/>
  <c r="K458" i="171"/>
  <c r="M437" i="171"/>
  <c r="I415" i="171"/>
  <c r="K394" i="171"/>
  <c r="M373" i="171"/>
  <c r="J478" i="171"/>
  <c r="L457" i="171"/>
  <c r="H435" i="171"/>
  <c r="J414" i="171"/>
  <c r="L393" i="171"/>
  <c r="H371" i="171"/>
  <c r="H486" i="171"/>
  <c r="J465" i="171"/>
  <c r="L444" i="171"/>
  <c r="H422" i="171"/>
  <c r="J401" i="171"/>
  <c r="L380" i="171"/>
  <c r="H358" i="171"/>
  <c r="K476" i="171"/>
  <c r="M455" i="171"/>
  <c r="I433" i="171"/>
  <c r="F433" i="171" s="1"/>
  <c r="K412" i="171"/>
  <c r="M391" i="171"/>
  <c r="I369" i="171"/>
  <c r="F369" i="171" s="1"/>
  <c r="I442" i="171"/>
  <c r="K347" i="171"/>
  <c r="M326" i="171"/>
  <c r="I304" i="171"/>
  <c r="G304" i="171" s="1"/>
  <c r="K283" i="171"/>
  <c r="M262" i="171"/>
  <c r="I240" i="171"/>
  <c r="I470" i="171"/>
  <c r="H352" i="171"/>
  <c r="J331" i="171"/>
  <c r="L310" i="171"/>
  <c r="H288" i="171"/>
  <c r="J267" i="171"/>
  <c r="L246" i="171"/>
  <c r="M480" i="171"/>
  <c r="I351" i="171"/>
  <c r="K330" i="171"/>
  <c r="M309" i="171"/>
  <c r="I287" i="171"/>
  <c r="K266" i="171"/>
  <c r="M245" i="171"/>
  <c r="M493" i="171"/>
  <c r="K354" i="171"/>
  <c r="L333" i="171"/>
  <c r="H311" i="171"/>
  <c r="J290" i="171"/>
  <c r="L269" i="171"/>
  <c r="H247" i="171"/>
  <c r="J226" i="171"/>
  <c r="K352" i="171"/>
  <c r="M311" i="171"/>
  <c r="I265" i="171"/>
  <c r="J224" i="171"/>
  <c r="K206" i="171"/>
  <c r="M185" i="171"/>
  <c r="I163" i="171"/>
  <c r="G163" i="171" s="1"/>
  <c r="K142" i="171"/>
  <c r="M121" i="171"/>
  <c r="I99" i="171"/>
  <c r="F99" i="171" s="1"/>
  <c r="K78" i="171"/>
  <c r="M57" i="171"/>
  <c r="I36" i="171"/>
  <c r="I446" i="171"/>
  <c r="H329" i="171"/>
  <c r="J288" i="171"/>
  <c r="L247" i="171"/>
  <c r="H211" i="171"/>
  <c r="J190" i="171"/>
  <c r="L169" i="171"/>
  <c r="H147" i="171"/>
  <c r="J126" i="171"/>
  <c r="L105" i="171"/>
  <c r="H83" i="171"/>
  <c r="J62" i="171"/>
  <c r="L41" i="171"/>
  <c r="M19" i="171"/>
  <c r="I334" i="171"/>
  <c r="F334" i="171" s="1"/>
  <c r="K293" i="171"/>
  <c r="M252" i="171"/>
  <c r="K209" i="171"/>
  <c r="M188" i="171"/>
  <c r="I166" i="171"/>
  <c r="K145" i="171"/>
  <c r="M124" i="171"/>
  <c r="I102" i="171"/>
  <c r="F102" i="171" s="1"/>
  <c r="K81" i="171"/>
  <c r="M60" i="171"/>
  <c r="M44" i="171"/>
  <c r="I31" i="171"/>
  <c r="L19" i="171"/>
  <c r="L348" i="171"/>
  <c r="L324" i="171"/>
  <c r="L300" i="171"/>
  <c r="H270" i="171"/>
  <c r="H246" i="171"/>
  <c r="M216" i="171"/>
  <c r="L204" i="171"/>
  <c r="L192" i="171"/>
  <c r="L180" i="171"/>
  <c r="L168" i="171"/>
  <c r="H154" i="171"/>
  <c r="H142" i="171"/>
  <c r="H130" i="171"/>
  <c r="H118" i="171"/>
  <c r="H106" i="171"/>
  <c r="H94" i="171"/>
  <c r="H82" i="171"/>
  <c r="J69" i="171"/>
  <c r="J57" i="171"/>
  <c r="J45" i="171"/>
  <c r="J34" i="171"/>
  <c r="K22" i="171"/>
  <c r="K393" i="171"/>
  <c r="I333" i="171"/>
  <c r="K308" i="171"/>
  <c r="K284" i="171"/>
  <c r="K260" i="171"/>
  <c r="K236" i="171"/>
  <c r="L216" i="171"/>
  <c r="K204" i="171"/>
  <c r="K192" i="171"/>
  <c r="M179" i="171"/>
  <c r="M167" i="171"/>
  <c r="M155" i="171"/>
  <c r="M143" i="171"/>
  <c r="M131" i="171"/>
  <c r="M119" i="171"/>
  <c r="M107" i="171"/>
  <c r="I93" i="171"/>
  <c r="N93" i="171" s="1"/>
  <c r="I81" i="171"/>
  <c r="I69" i="171"/>
  <c r="G69" i="171" s="1"/>
  <c r="I57" i="171"/>
  <c r="N57" i="171" s="1"/>
  <c r="I45" i="171"/>
  <c r="K33" i="171"/>
  <c r="J22" i="171"/>
  <c r="L355" i="171"/>
  <c r="M336" i="171"/>
  <c r="M312" i="171"/>
  <c r="M288" i="171"/>
  <c r="M264" i="171"/>
  <c r="M240" i="171"/>
  <c r="K220" i="171"/>
  <c r="I208" i="171"/>
  <c r="I196" i="171"/>
  <c r="I184" i="171"/>
  <c r="G184" i="171" s="1"/>
  <c r="I172" i="171"/>
  <c r="I160" i="171"/>
  <c r="I148" i="171"/>
  <c r="I136" i="171"/>
  <c r="K123" i="171"/>
  <c r="K111" i="171"/>
  <c r="K99" i="171"/>
  <c r="K87" i="171"/>
  <c r="K75" i="171"/>
  <c r="K63" i="171"/>
  <c r="K51" i="171"/>
  <c r="I37" i="171"/>
  <c r="I25" i="171"/>
  <c r="M404" i="171"/>
  <c r="H346" i="171"/>
  <c r="H322" i="171"/>
  <c r="H298" i="171"/>
  <c r="H274" i="171"/>
  <c r="J249" i="171"/>
  <c r="K225" i="171"/>
  <c r="I216" i="171"/>
  <c r="G216" i="171" s="1"/>
  <c r="H204" i="171"/>
  <c r="H192" i="171"/>
  <c r="H180" i="171"/>
  <c r="H168" i="171"/>
  <c r="J155" i="171"/>
  <c r="J143" i="171"/>
  <c r="J131" i="171"/>
  <c r="J119" i="171"/>
  <c r="J107" i="171"/>
  <c r="J95" i="171"/>
  <c r="J83" i="171"/>
  <c r="L70" i="171"/>
  <c r="L58" i="171"/>
  <c r="L46" i="171"/>
  <c r="H33" i="171"/>
  <c r="I21" i="171"/>
  <c r="G21" i="171" s="1"/>
  <c r="J204" i="171"/>
  <c r="J108" i="171"/>
  <c r="L291" i="171"/>
  <c r="L175" i="171"/>
  <c r="L79" i="171"/>
  <c r="L283" i="171"/>
  <c r="L139" i="171"/>
  <c r="L43" i="171"/>
  <c r="L267" i="171"/>
  <c r="L131" i="171"/>
  <c r="L32" i="171"/>
  <c r="H245" i="171"/>
  <c r="J152" i="171"/>
  <c r="J56" i="171"/>
  <c r="L251" i="171"/>
  <c r="J148" i="171"/>
  <c r="H45" i="171"/>
  <c r="L219" i="171"/>
  <c r="H137" i="171"/>
  <c r="H41" i="171"/>
  <c r="L199" i="171"/>
  <c r="L135" i="171"/>
  <c r="I19" i="171"/>
  <c r="H514" i="171"/>
  <c r="J493" i="171"/>
  <c r="M499" i="171"/>
  <c r="H501" i="171"/>
  <c r="I504" i="171"/>
  <c r="L514" i="171"/>
  <c r="H492" i="171"/>
  <c r="L501" i="171"/>
  <c r="M512" i="171"/>
  <c r="K518" i="171"/>
  <c r="H469" i="171"/>
  <c r="J448" i="171"/>
  <c r="L427" i="171"/>
  <c r="H405" i="171"/>
  <c r="J384" i="171"/>
  <c r="L363" i="171"/>
  <c r="K479" i="171"/>
  <c r="M458" i="171"/>
  <c r="I436" i="171"/>
  <c r="G436" i="171" s="1"/>
  <c r="K415" i="171"/>
  <c r="M394" i="171"/>
  <c r="I372" i="171"/>
  <c r="F372" i="171" s="1"/>
  <c r="H489" i="171"/>
  <c r="H468" i="171"/>
  <c r="J447" i="171"/>
  <c r="L426" i="171"/>
  <c r="H404" i="171"/>
  <c r="J383" i="171"/>
  <c r="L362" i="171"/>
  <c r="K478" i="171"/>
  <c r="M457" i="171"/>
  <c r="I435" i="171"/>
  <c r="K414" i="171"/>
  <c r="M393" i="171"/>
  <c r="I371" i="171"/>
  <c r="N371" i="171" s="1"/>
  <c r="L477" i="171"/>
  <c r="H455" i="171"/>
  <c r="J434" i="171"/>
  <c r="L413" i="171"/>
  <c r="H391" i="171"/>
  <c r="J370" i="171"/>
  <c r="J485" i="171"/>
  <c r="L464" i="171"/>
  <c r="H442" i="171"/>
  <c r="J421" i="171"/>
  <c r="L400" i="171"/>
  <c r="H378" i="171"/>
  <c r="J357" i="171"/>
  <c r="M475" i="171"/>
  <c r="I453" i="171"/>
  <c r="K432" i="171"/>
  <c r="M411" i="171"/>
  <c r="I389" i="171"/>
  <c r="K368" i="171"/>
  <c r="M424" i="171"/>
  <c r="M346" i="171"/>
  <c r="I324" i="171"/>
  <c r="N324" i="171" s="1"/>
  <c r="K303" i="171"/>
  <c r="M282" i="171"/>
  <c r="I260" i="171"/>
  <c r="G260" i="171" s="1"/>
  <c r="K239" i="171"/>
  <c r="M452" i="171"/>
  <c r="J351" i="171"/>
  <c r="L330" i="171"/>
  <c r="H308" i="171"/>
  <c r="J287" i="171"/>
  <c r="L266" i="171"/>
  <c r="H244" i="171"/>
  <c r="K473" i="171"/>
  <c r="K350" i="171"/>
  <c r="M329" i="171"/>
  <c r="I307" i="171"/>
  <c r="K286" i="171"/>
  <c r="M265" i="171"/>
  <c r="I243" i="171"/>
  <c r="M476" i="171"/>
  <c r="L353" i="171"/>
  <c r="H331" i="171"/>
  <c r="J310" i="171"/>
  <c r="L289" i="171"/>
  <c r="H267" i="171"/>
  <c r="J246" i="171"/>
  <c r="L225" i="171"/>
  <c r="M351" i="171"/>
  <c r="I305" i="171"/>
  <c r="K264" i="171"/>
  <c r="J223" i="171"/>
  <c r="M205" i="171"/>
  <c r="I183" i="171"/>
  <c r="G183" i="171" s="1"/>
  <c r="K162" i="171"/>
  <c r="M141" i="171"/>
  <c r="I119" i="171"/>
  <c r="N119" i="171" s="1"/>
  <c r="K98" i="171"/>
  <c r="M77" i="171"/>
  <c r="I55" i="171"/>
  <c r="K35" i="171"/>
  <c r="M396" i="171"/>
  <c r="J328" i="171"/>
  <c r="L287" i="171"/>
  <c r="H241" i="171"/>
  <c r="J210" i="171"/>
  <c r="L189" i="171"/>
  <c r="H167" i="171"/>
  <c r="J146" i="171"/>
  <c r="L125" i="171"/>
  <c r="H103" i="171"/>
  <c r="J82" i="171"/>
  <c r="L61" i="171"/>
  <c r="J39" i="171"/>
  <c r="L18" i="171"/>
  <c r="K333" i="171"/>
  <c r="M292" i="171"/>
  <c r="I246" i="171"/>
  <c r="M208" i="171"/>
  <c r="I186" i="171"/>
  <c r="N186" i="171" s="1"/>
  <c r="K165" i="171"/>
  <c r="M144" i="171"/>
  <c r="I122" i="171"/>
  <c r="G122" i="171" s="1"/>
  <c r="K101" i="171"/>
  <c r="M80" i="171"/>
  <c r="I58" i="171"/>
  <c r="F58" i="171" s="1"/>
  <c r="I42" i="171"/>
  <c r="K30" i="171"/>
  <c r="K18" i="171"/>
  <c r="H342" i="171"/>
  <c r="H318" i="171"/>
  <c r="J293" i="171"/>
  <c r="J269" i="171"/>
  <c r="J245" i="171"/>
  <c r="H214" i="171"/>
  <c r="H202" i="171"/>
  <c r="H190" i="171"/>
  <c r="H178" i="171"/>
  <c r="J165" i="171"/>
  <c r="J153" i="171"/>
  <c r="J141" i="171"/>
  <c r="J129" i="171"/>
  <c r="J117" i="171"/>
  <c r="J105" i="171"/>
  <c r="J93" i="171"/>
  <c r="L80" i="171"/>
  <c r="L68" i="171"/>
  <c r="L56" i="171"/>
  <c r="L44" i="171"/>
  <c r="L33" i="171"/>
  <c r="M21" i="171"/>
  <c r="I386" i="171"/>
  <c r="G386" i="171" s="1"/>
  <c r="M331" i="171"/>
  <c r="M307" i="171"/>
  <c r="M283" i="171"/>
  <c r="M259" i="171"/>
  <c r="M235" i="171"/>
  <c r="M215" i="171"/>
  <c r="M203" i="171"/>
  <c r="I189" i="171"/>
  <c r="I177" i="171"/>
  <c r="N177" i="171" s="1"/>
  <c r="I165" i="171"/>
  <c r="G165" i="171" s="1"/>
  <c r="I153" i="171"/>
  <c r="I141" i="171"/>
  <c r="I129" i="171"/>
  <c r="I117" i="171"/>
  <c r="N117" i="171" s="1"/>
  <c r="K104" i="171"/>
  <c r="K92" i="171"/>
  <c r="K80" i="171"/>
  <c r="K68" i="171"/>
  <c r="K56" i="171"/>
  <c r="K44" i="171"/>
  <c r="M32" i="171"/>
  <c r="J19" i="171"/>
  <c r="J354" i="171"/>
  <c r="I330" i="171"/>
  <c r="I306" i="171"/>
  <c r="N306" i="171" s="1"/>
  <c r="I282" i="171"/>
  <c r="N282" i="171" s="1"/>
  <c r="I258" i="171"/>
  <c r="N258" i="171" s="1"/>
  <c r="I234" i="171"/>
  <c r="K218" i="171"/>
  <c r="K207" i="171"/>
  <c r="K195" i="171"/>
  <c r="K183" i="171"/>
  <c r="K171" i="171"/>
  <c r="K159" i="171"/>
  <c r="K147" i="171"/>
  <c r="M134" i="171"/>
  <c r="M122" i="171"/>
  <c r="M110" i="171"/>
  <c r="M98" i="171"/>
  <c r="M86" i="171"/>
  <c r="M74" i="171"/>
  <c r="M62" i="171"/>
  <c r="I48" i="171"/>
  <c r="K36" i="171"/>
  <c r="K24" i="171"/>
  <c r="K397" i="171"/>
  <c r="J345" i="171"/>
  <c r="J321" i="171"/>
  <c r="J297" i="171"/>
  <c r="L272" i="171"/>
  <c r="L248" i="171"/>
  <c r="K224" i="171"/>
  <c r="J215" i="171"/>
  <c r="J203" i="171"/>
  <c r="J191" i="171"/>
  <c r="J179" i="171"/>
  <c r="L166" i="171"/>
  <c r="L154" i="171"/>
  <c r="L142" i="171"/>
  <c r="L130" i="171"/>
  <c r="L118" i="171"/>
  <c r="L106" i="171"/>
  <c r="L94" i="171"/>
  <c r="H80" i="171"/>
  <c r="H68" i="171"/>
  <c r="H56" i="171"/>
  <c r="H44" i="171"/>
  <c r="J32" i="171"/>
  <c r="L20" i="171"/>
  <c r="H197" i="171"/>
  <c r="L83" i="171"/>
  <c r="J284" i="171"/>
  <c r="J168" i="171"/>
  <c r="J72" i="171"/>
  <c r="J276" i="171"/>
  <c r="J132" i="171"/>
  <c r="K40" i="171"/>
  <c r="H253" i="171"/>
  <c r="J124" i="171"/>
  <c r="J25" i="171"/>
  <c r="M224" i="171"/>
  <c r="H145" i="171"/>
  <c r="H49" i="171"/>
  <c r="J244" i="171"/>
  <c r="L123" i="171"/>
  <c r="L24" i="171"/>
  <c r="L215" i="171"/>
  <c r="L119" i="171"/>
  <c r="H38" i="171"/>
  <c r="H57" i="171"/>
  <c r="H325" i="171"/>
  <c r="H89" i="171"/>
  <c r="I509" i="171"/>
  <c r="K515" i="171"/>
  <c r="J503" i="171"/>
  <c r="J490" i="171"/>
  <c r="J480" i="171"/>
  <c r="H437" i="171"/>
  <c r="L395" i="171"/>
  <c r="I489" i="171"/>
  <c r="K447" i="171"/>
  <c r="I404" i="171"/>
  <c r="F404" i="171" s="1"/>
  <c r="M362" i="171"/>
  <c r="L458" i="171"/>
  <c r="J415" i="171"/>
  <c r="H372" i="171"/>
  <c r="I467" i="171"/>
  <c r="M425" i="171"/>
  <c r="K382" i="171"/>
  <c r="J466" i="171"/>
  <c r="H423" i="171"/>
  <c r="L381" i="171"/>
  <c r="H474" i="171"/>
  <c r="L432" i="171"/>
  <c r="J389" i="171"/>
  <c r="I485" i="171"/>
  <c r="G485" i="171" s="1"/>
  <c r="M443" i="171"/>
  <c r="K400" i="171"/>
  <c r="I357" i="171"/>
  <c r="K335" i="171"/>
  <c r="I292" i="171"/>
  <c r="G292" i="171" s="1"/>
  <c r="M250" i="171"/>
  <c r="I374" i="171"/>
  <c r="J319" i="171"/>
  <c r="H276" i="171"/>
  <c r="L234" i="171"/>
  <c r="I339" i="171"/>
  <c r="M297" i="171"/>
  <c r="K254" i="171"/>
  <c r="I398" i="171"/>
  <c r="L321" i="171"/>
  <c r="J278" i="171"/>
  <c r="H235" i="171"/>
  <c r="K328" i="171"/>
  <c r="I241" i="171"/>
  <c r="K194" i="171"/>
  <c r="I151" i="171"/>
  <c r="N151" i="171" s="1"/>
  <c r="M109" i="171"/>
  <c r="K66" i="171"/>
  <c r="I24" i="171"/>
  <c r="H305" i="171"/>
  <c r="I223" i="171"/>
  <c r="N223" i="171" s="1"/>
  <c r="J178" i="171"/>
  <c r="H135" i="171"/>
  <c r="L93" i="171"/>
  <c r="J50" i="171"/>
  <c r="K361" i="171"/>
  <c r="K269" i="171"/>
  <c r="K197" i="171"/>
  <c r="I154" i="171"/>
  <c r="G154" i="171" s="1"/>
  <c r="M112" i="171"/>
  <c r="K69" i="171"/>
  <c r="M37" i="171"/>
  <c r="M372" i="171"/>
  <c r="L308" i="171"/>
  <c r="L260" i="171"/>
  <c r="L208" i="171"/>
  <c r="L184" i="171"/>
  <c r="L160" i="171"/>
  <c r="L136" i="171"/>
  <c r="H110" i="171"/>
  <c r="H86" i="171"/>
  <c r="H62" i="171"/>
  <c r="J38" i="171"/>
  <c r="K457" i="171"/>
  <c r="I317" i="171"/>
  <c r="F317" i="171" s="1"/>
  <c r="I269" i="171"/>
  <c r="M219" i="171"/>
  <c r="K196" i="171"/>
  <c r="K172" i="171"/>
  <c r="M147" i="171"/>
  <c r="M123" i="171"/>
  <c r="M99" i="171"/>
  <c r="M75" i="171"/>
  <c r="I49" i="171"/>
  <c r="K25" i="171"/>
  <c r="K345" i="171"/>
  <c r="M296" i="171"/>
  <c r="M248" i="171"/>
  <c r="M214" i="171"/>
  <c r="M190" i="171"/>
  <c r="I164" i="171"/>
  <c r="F164" i="171" s="1"/>
  <c r="I140" i="171"/>
  <c r="I116" i="171"/>
  <c r="K91" i="171"/>
  <c r="K67" i="171"/>
  <c r="K43" i="171"/>
  <c r="H19" i="171"/>
  <c r="H330" i="171"/>
  <c r="H282" i="171"/>
  <c r="H234" i="171"/>
  <c r="H208" i="171"/>
  <c r="H184" i="171"/>
  <c r="H160" i="171"/>
  <c r="H136" i="171"/>
  <c r="J111" i="171"/>
  <c r="J87" i="171"/>
  <c r="J63" i="171"/>
  <c r="H37" i="171"/>
  <c r="L235" i="171"/>
  <c r="J44" i="171"/>
  <c r="H129" i="171"/>
  <c r="L171" i="171"/>
  <c r="L331" i="171"/>
  <c r="H85" i="171"/>
  <c r="J184" i="171"/>
  <c r="L315" i="171"/>
  <c r="J84" i="171"/>
  <c r="J176" i="171"/>
  <c r="L71" i="171"/>
  <c r="I22" i="171"/>
  <c r="K174" i="171"/>
  <c r="I87" i="171"/>
  <c r="L508" i="171"/>
  <c r="J516" i="171"/>
  <c r="M498" i="171"/>
  <c r="H515" i="171"/>
  <c r="K505" i="171"/>
  <c r="L463" i="171"/>
  <c r="J420" i="171"/>
  <c r="H377" i="171"/>
  <c r="I472" i="171"/>
  <c r="G472" i="171" s="1"/>
  <c r="M430" i="171"/>
  <c r="K387" i="171"/>
  <c r="J483" i="171"/>
  <c r="H440" i="171"/>
  <c r="L398" i="171"/>
  <c r="K506" i="171"/>
  <c r="K450" i="171"/>
  <c r="I407" i="171"/>
  <c r="I491" i="171"/>
  <c r="L449" i="171"/>
  <c r="J406" i="171"/>
  <c r="H363" i="171"/>
  <c r="J457" i="171"/>
  <c r="H414" i="171"/>
  <c r="L372" i="171"/>
  <c r="K468" i="171"/>
  <c r="I425" i="171"/>
  <c r="G425" i="171" s="1"/>
  <c r="M383" i="171"/>
  <c r="I378" i="171"/>
  <c r="G378" i="171" s="1"/>
  <c r="M318" i="171"/>
  <c r="K275" i="171"/>
  <c r="I232" i="171"/>
  <c r="H344" i="171"/>
  <c r="L302" i="171"/>
  <c r="J259" i="171"/>
  <c r="M416" i="171"/>
  <c r="K322" i="171"/>
  <c r="I279" i="171"/>
  <c r="M237" i="171"/>
  <c r="J346" i="171"/>
  <c r="H303" i="171"/>
  <c r="L261" i="171"/>
  <c r="J218" i="171"/>
  <c r="M295" i="171"/>
  <c r="H218" i="171"/>
  <c r="M177" i="171"/>
  <c r="K134" i="171"/>
  <c r="I91" i="171"/>
  <c r="F91" i="171" s="1"/>
  <c r="M49" i="171"/>
  <c r="I355" i="171"/>
  <c r="G355" i="171" s="1"/>
  <c r="J272" i="171"/>
  <c r="H203" i="171"/>
  <c r="L161" i="171"/>
  <c r="J118" i="171"/>
  <c r="H75" i="171"/>
  <c r="H32" i="171"/>
  <c r="I318" i="171"/>
  <c r="M236" i="171"/>
  <c r="M180" i="171"/>
  <c r="K137" i="171"/>
  <c r="I94" i="171"/>
  <c r="K53" i="171"/>
  <c r="M29" i="171"/>
  <c r="J341" i="171"/>
  <c r="L292" i="171"/>
  <c r="L244" i="171"/>
  <c r="J201" i="171"/>
  <c r="L176" i="171"/>
  <c r="L152" i="171"/>
  <c r="L128" i="171"/>
  <c r="L104" i="171"/>
  <c r="H78" i="171"/>
  <c r="H54" i="171"/>
  <c r="H31" i="171"/>
  <c r="I349" i="171"/>
  <c r="I301" i="171"/>
  <c r="I253" i="171"/>
  <c r="F253" i="171" s="1"/>
  <c r="I213" i="171"/>
  <c r="K188" i="171"/>
  <c r="K164" i="171"/>
  <c r="K140" i="171"/>
  <c r="M115" i="171"/>
  <c r="M91" i="171"/>
  <c r="M67" i="171"/>
  <c r="M43" i="171"/>
  <c r="I18" i="171"/>
  <c r="K329" i="171"/>
  <c r="K281" i="171"/>
  <c r="M232" i="171"/>
  <c r="M206" i="171"/>
  <c r="M182" i="171"/>
  <c r="M158" i="171"/>
  <c r="I132" i="171"/>
  <c r="G132" i="171" s="1"/>
  <c r="I108" i="171"/>
  <c r="I84" i="171"/>
  <c r="K59" i="171"/>
  <c r="M35" i="171"/>
  <c r="I390" i="171"/>
  <c r="L320" i="171"/>
  <c r="H266" i="171"/>
  <c r="K223" i="171"/>
  <c r="L202" i="171"/>
  <c r="H176" i="171"/>
  <c r="H152" i="171"/>
  <c r="H128" i="171"/>
  <c r="H104" i="171"/>
  <c r="J79" i="171"/>
  <c r="J55" i="171"/>
  <c r="L31" i="171"/>
  <c r="J172" i="171"/>
  <c r="H277" i="171"/>
  <c r="H65" i="171"/>
  <c r="H125" i="171"/>
  <c r="H213" i="171"/>
  <c r="I478" i="171"/>
  <c r="L127" i="171"/>
  <c r="J212" i="171"/>
  <c r="L307" i="171"/>
  <c r="J112" i="171"/>
  <c r="L339" i="171"/>
  <c r="L342" i="171"/>
  <c r="I322" i="171"/>
  <c r="N322" i="171" s="1"/>
  <c r="L459" i="171"/>
  <c r="L368" i="171"/>
  <c r="H299" i="171"/>
  <c r="L157" i="171"/>
  <c r="L284" i="171"/>
  <c r="I341" i="171"/>
  <c r="F341" i="171" s="1"/>
  <c r="K37" i="171"/>
  <c r="I128" i="171"/>
  <c r="G128" i="171" s="1"/>
  <c r="J220" i="171"/>
  <c r="J51" i="171"/>
  <c r="L75" i="171"/>
  <c r="J180" i="171"/>
  <c r="H506" i="171"/>
  <c r="L515" i="171"/>
  <c r="I496" i="171"/>
  <c r="G496" i="171" s="1"/>
  <c r="J514" i="171"/>
  <c r="M504" i="171"/>
  <c r="H461" i="171"/>
  <c r="L419" i="171"/>
  <c r="J376" i="171"/>
  <c r="K471" i="171"/>
  <c r="I428" i="171"/>
  <c r="G428" i="171" s="1"/>
  <c r="M386" i="171"/>
  <c r="L482" i="171"/>
  <c r="J439" i="171"/>
  <c r="H396" i="171"/>
  <c r="I499" i="171"/>
  <c r="G499" i="171" s="1"/>
  <c r="M449" i="171"/>
  <c r="K406" i="171"/>
  <c r="K490" i="171"/>
  <c r="H447" i="171"/>
  <c r="L405" i="171"/>
  <c r="J362" i="171"/>
  <c r="L456" i="171"/>
  <c r="J413" i="171"/>
  <c r="H370" i="171"/>
  <c r="M467" i="171"/>
  <c r="K424" i="171"/>
  <c r="I381" i="171"/>
  <c r="G381" i="171" s="1"/>
  <c r="K369" i="171"/>
  <c r="I316" i="171"/>
  <c r="M274" i="171"/>
  <c r="K231" i="171"/>
  <c r="J343" i="171"/>
  <c r="H300" i="171"/>
  <c r="L258" i="171"/>
  <c r="K409" i="171"/>
  <c r="M321" i="171"/>
  <c r="K278" i="171"/>
  <c r="I235" i="171"/>
  <c r="N235" i="171" s="1"/>
  <c r="L345" i="171"/>
  <c r="J302" i="171"/>
  <c r="H259" i="171"/>
  <c r="L217" i="171"/>
  <c r="I289" i="171"/>
  <c r="H217" i="171"/>
  <c r="I175" i="171"/>
  <c r="M133" i="171"/>
  <c r="K90" i="171"/>
  <c r="I47" i="171"/>
  <c r="H353" i="171"/>
  <c r="L271" i="171"/>
  <c r="J202" i="171"/>
  <c r="H159" i="171"/>
  <c r="L117" i="171"/>
  <c r="J74" i="171"/>
  <c r="J31" i="171"/>
  <c r="K317" i="171"/>
  <c r="I230" i="171"/>
  <c r="I178" i="171"/>
  <c r="M136" i="171"/>
  <c r="K93" i="171"/>
  <c r="M52" i="171"/>
  <c r="I27" i="171"/>
  <c r="G27" i="171" s="1"/>
  <c r="H334" i="171"/>
  <c r="H286" i="171"/>
  <c r="H238" i="171"/>
  <c r="L200" i="171"/>
  <c r="H174" i="171"/>
  <c r="H150" i="171"/>
  <c r="H126" i="171"/>
  <c r="J101" i="171"/>
  <c r="J77" i="171"/>
  <c r="J53" i="171"/>
  <c r="J30" i="171"/>
  <c r="K348" i="171"/>
  <c r="K300" i="171"/>
  <c r="K252" i="171"/>
  <c r="M211" i="171"/>
  <c r="M187" i="171"/>
  <c r="M163" i="171"/>
  <c r="M139" i="171"/>
  <c r="I113" i="171"/>
  <c r="F113" i="171" s="1"/>
  <c r="I89" i="171"/>
  <c r="I65" i="171"/>
  <c r="L40" i="171"/>
  <c r="J492" i="171"/>
  <c r="M328" i="171"/>
  <c r="M280" i="171"/>
  <c r="I226" i="171"/>
  <c r="I204" i="171"/>
  <c r="G204" i="171" s="1"/>
  <c r="I180" i="171"/>
  <c r="K155" i="171"/>
  <c r="K131" i="171"/>
  <c r="K107" i="171"/>
  <c r="K83" i="171"/>
  <c r="M58" i="171"/>
  <c r="I33" i="171"/>
  <c r="K366" i="171"/>
  <c r="J313" i="171"/>
  <c r="J265" i="171"/>
  <c r="K222" i="171"/>
  <c r="H200" i="171"/>
  <c r="J175" i="171"/>
  <c r="J151" i="171"/>
  <c r="J127" i="171"/>
  <c r="L102" i="171"/>
  <c r="L78" i="171"/>
  <c r="L54" i="171"/>
  <c r="H29" i="171"/>
  <c r="H165" i="171"/>
  <c r="L227" i="171"/>
  <c r="L47" i="171"/>
  <c r="J100" i="171"/>
  <c r="L195" i="171"/>
  <c r="K421" i="171"/>
  <c r="J120" i="171"/>
  <c r="H205" i="171"/>
  <c r="J300" i="171"/>
  <c r="H105" i="171"/>
  <c r="J29" i="171"/>
  <c r="H513" i="171"/>
  <c r="I502" i="171"/>
  <c r="L375" i="171"/>
  <c r="I384" i="171"/>
  <c r="J395" i="171"/>
  <c r="J488" i="171"/>
  <c r="H454" i="171"/>
  <c r="I465" i="171"/>
  <c r="G465" i="171" s="1"/>
  <c r="I362" i="171"/>
  <c r="I272" i="171"/>
  <c r="G272" i="171" s="1"/>
  <c r="H256" i="171"/>
  <c r="I319" i="171"/>
  <c r="H343" i="171"/>
  <c r="K288" i="171"/>
  <c r="I131" i="171"/>
  <c r="G131" i="171" s="1"/>
  <c r="K46" i="171"/>
  <c r="H265" i="171"/>
  <c r="J158" i="171"/>
  <c r="L73" i="171"/>
  <c r="M316" i="171"/>
  <c r="K177" i="171"/>
  <c r="I50" i="171"/>
  <c r="K26" i="171"/>
  <c r="J333" i="171"/>
  <c r="J285" i="171"/>
  <c r="J237" i="171"/>
  <c r="J197" i="171"/>
  <c r="J173" i="171"/>
  <c r="J149" i="171"/>
  <c r="J125" i="171"/>
  <c r="L100" i="171"/>
  <c r="L76" i="171"/>
  <c r="L52" i="171"/>
  <c r="H27" i="171"/>
  <c r="M347" i="171"/>
  <c r="M299" i="171"/>
  <c r="M251" i="171"/>
  <c r="I209" i="171"/>
  <c r="I185" i="171"/>
  <c r="K136" i="171"/>
  <c r="K112" i="171"/>
  <c r="K88" i="171"/>
  <c r="K64" i="171"/>
  <c r="I38" i="171"/>
  <c r="M440" i="171"/>
  <c r="K273" i="171"/>
  <c r="L224" i="171"/>
  <c r="K203" i="171"/>
  <c r="K179" i="171"/>
  <c r="M154" i="171"/>
  <c r="M130" i="171"/>
  <c r="M106" i="171"/>
  <c r="I80" i="171"/>
  <c r="F80" i="171" s="1"/>
  <c r="I56" i="171"/>
  <c r="K32" i="171"/>
  <c r="L312" i="171"/>
  <c r="L264" i="171"/>
  <c r="J221" i="171"/>
  <c r="L198" i="171"/>
  <c r="L174" i="171"/>
  <c r="L150" i="171"/>
  <c r="L126" i="171"/>
  <c r="H100" i="171"/>
  <c r="H76" i="171"/>
  <c r="H52" i="171"/>
  <c r="L27" i="171"/>
  <c r="L147" i="171"/>
  <c r="M222" i="171"/>
  <c r="J37" i="171"/>
  <c r="H93" i="171"/>
  <c r="J188" i="171"/>
  <c r="L323" i="171"/>
  <c r="L95" i="171"/>
  <c r="L187" i="171"/>
  <c r="H293" i="171"/>
  <c r="L87" i="171"/>
  <c r="J332" i="171"/>
  <c r="L504" i="171"/>
  <c r="J512" i="171"/>
  <c r="M494" i="171"/>
  <c r="H511" i="171"/>
  <c r="K501" i="171"/>
  <c r="J416" i="171"/>
  <c r="H373" i="171"/>
  <c r="I468" i="171"/>
  <c r="M426" i="171"/>
  <c r="K383" i="171"/>
  <c r="H436" i="171"/>
  <c r="L394" i="171"/>
  <c r="K488" i="171"/>
  <c r="K446" i="171"/>
  <c r="I403" i="171"/>
  <c r="I487" i="171"/>
  <c r="F487" i="171" s="1"/>
  <c r="L445" i="171"/>
  <c r="J402" i="171"/>
  <c r="H359" i="171"/>
  <c r="J453" i="171"/>
  <c r="H410" i="171"/>
  <c r="K464" i="171"/>
  <c r="I421" i="171"/>
  <c r="M379" i="171"/>
  <c r="M360" i="171"/>
  <c r="M314" i="171"/>
  <c r="K271" i="171"/>
  <c r="I228" i="171"/>
  <c r="H340" i="171"/>
  <c r="L298" i="171"/>
  <c r="J255" i="171"/>
  <c r="M384" i="171"/>
  <c r="I275" i="171"/>
  <c r="M233" i="171"/>
  <c r="J342" i="171"/>
  <c r="L257" i="171"/>
  <c r="I482" i="171"/>
  <c r="M287" i="171"/>
  <c r="I215" i="171"/>
  <c r="M173" i="171"/>
  <c r="K130" i="171"/>
  <c r="M45" i="171"/>
  <c r="L351" i="171"/>
  <c r="J264" i="171"/>
  <c r="H199" i="171"/>
  <c r="J114" i="171"/>
  <c r="H71" i="171"/>
  <c r="H28" i="171"/>
  <c r="I310" i="171"/>
  <c r="M176" i="171"/>
  <c r="K133" i="171"/>
  <c r="I90" i="171"/>
  <c r="F90" i="171" s="1"/>
  <c r="K49" i="171"/>
  <c r="J23" i="171"/>
  <c r="L332" i="171"/>
  <c r="L236" i="171"/>
  <c r="L196" i="171"/>
  <c r="L172" i="171"/>
  <c r="L148" i="171"/>
  <c r="H122" i="171"/>
  <c r="H98" i="171"/>
  <c r="H74" i="171"/>
  <c r="H50" i="171"/>
  <c r="J26" i="171"/>
  <c r="I293" i="171"/>
  <c r="K244" i="171"/>
  <c r="K208" i="171"/>
  <c r="K184" i="171"/>
  <c r="M135" i="171"/>
  <c r="M111" i="171"/>
  <c r="M87" i="171"/>
  <c r="I61" i="171"/>
  <c r="K433" i="171"/>
  <c r="K321" i="171"/>
  <c r="M272" i="171"/>
  <c r="L223" i="171"/>
  <c r="M202" i="171"/>
  <c r="I176" i="171"/>
  <c r="I152" i="171"/>
  <c r="F152" i="171" s="1"/>
  <c r="I104" i="171"/>
  <c r="F104" i="171" s="1"/>
  <c r="K79" i="171"/>
  <c r="K55" i="171"/>
  <c r="M31" i="171"/>
  <c r="I354" i="171"/>
  <c r="H258" i="171"/>
  <c r="H196" i="171"/>
  <c r="H172" i="171"/>
  <c r="H148" i="171"/>
  <c r="J123" i="171"/>
  <c r="J99" i="171"/>
  <c r="J75" i="171"/>
  <c r="H25" i="171"/>
  <c r="J140" i="171"/>
  <c r="L218" i="171"/>
  <c r="L347" i="171"/>
  <c r="H181" i="171"/>
  <c r="J88" i="171"/>
  <c r="L243" i="171"/>
  <c r="H73" i="171"/>
  <c r="L275" i="171"/>
  <c r="M511" i="171"/>
  <c r="I516" i="171"/>
  <c r="H504" i="171"/>
  <c r="H491" i="171"/>
  <c r="H481" i="171"/>
  <c r="L439" i="171"/>
  <c r="J396" i="171"/>
  <c r="I507" i="171"/>
  <c r="I448" i="171"/>
  <c r="M406" i="171"/>
  <c r="K363" i="171"/>
  <c r="J459" i="171"/>
  <c r="H416" i="171"/>
  <c r="L374" i="171"/>
  <c r="M469" i="171"/>
  <c r="K426" i="171"/>
  <c r="I383" i="171"/>
  <c r="N383" i="171" s="1"/>
  <c r="H467" i="171"/>
  <c r="L425" i="171"/>
  <c r="J382" i="171"/>
  <c r="L476" i="171"/>
  <c r="J433" i="171"/>
  <c r="H390" i="171"/>
  <c r="K489" i="171"/>
  <c r="K444" i="171"/>
  <c r="I401" i="171"/>
  <c r="M359" i="171"/>
  <c r="I336" i="171"/>
  <c r="G336" i="171" s="1"/>
  <c r="M294" i="171"/>
  <c r="K251" i="171"/>
  <c r="K381" i="171"/>
  <c r="H320" i="171"/>
  <c r="L278" i="171"/>
  <c r="J235" i="171"/>
  <c r="M341" i="171"/>
  <c r="K298" i="171"/>
  <c r="I255" i="171"/>
  <c r="K405" i="171"/>
  <c r="J322" i="171"/>
  <c r="H279" i="171"/>
  <c r="L237" i="171"/>
  <c r="I329" i="171"/>
  <c r="M247" i="171"/>
  <c r="I195" i="171"/>
  <c r="F195" i="171" s="1"/>
  <c r="M153" i="171"/>
  <c r="K110" i="171"/>
  <c r="I67" i="171"/>
  <c r="N67" i="171" s="1"/>
  <c r="M26" i="171"/>
  <c r="L311" i="171"/>
  <c r="I224" i="171"/>
  <c r="H179" i="171"/>
  <c r="L137" i="171"/>
  <c r="J94" i="171"/>
  <c r="H51" i="171"/>
  <c r="M368" i="171"/>
  <c r="I270" i="171"/>
  <c r="I198" i="171"/>
  <c r="M156" i="171"/>
  <c r="K113" i="171"/>
  <c r="I70" i="171"/>
  <c r="N70" i="171" s="1"/>
  <c r="K38" i="171"/>
  <c r="I422" i="171"/>
  <c r="J309" i="171"/>
  <c r="J261" i="171"/>
  <c r="H210" i="171"/>
  <c r="J185" i="171"/>
  <c r="J161" i="171"/>
  <c r="J137" i="171"/>
  <c r="L112" i="171"/>
  <c r="L88" i="171"/>
  <c r="L64" i="171"/>
  <c r="M40" i="171"/>
  <c r="M464" i="171"/>
  <c r="M323" i="171"/>
  <c r="M275" i="171"/>
  <c r="M220" i="171"/>
  <c r="I197" i="171"/>
  <c r="I173" i="171"/>
  <c r="F173" i="171" s="1"/>
  <c r="I149" i="171"/>
  <c r="F149" i="171" s="1"/>
  <c r="K124" i="171"/>
  <c r="K100" i="171"/>
  <c r="K76" i="171"/>
  <c r="M51" i="171"/>
  <c r="I26" i="171"/>
  <c r="I346" i="171"/>
  <c r="I298" i="171"/>
  <c r="G298" i="171" s="1"/>
  <c r="K249" i="171"/>
  <c r="K215" i="171"/>
  <c r="K191" i="171"/>
  <c r="M166" i="171"/>
  <c r="M142" i="171"/>
  <c r="M118" i="171"/>
  <c r="M94" i="171"/>
  <c r="I68" i="171"/>
  <c r="I44" i="171"/>
  <c r="M20" i="171"/>
  <c r="L336" i="171"/>
  <c r="L288" i="171"/>
  <c r="L240" i="171"/>
  <c r="J211" i="171"/>
  <c r="L186" i="171"/>
  <c r="L162" i="171"/>
  <c r="L138" i="171"/>
  <c r="H112" i="171"/>
  <c r="H88" i="171"/>
  <c r="H64" i="171"/>
  <c r="I40" i="171"/>
  <c r="H285" i="171"/>
  <c r="L51" i="171"/>
  <c r="J136" i="171"/>
  <c r="H189" i="171"/>
  <c r="M428" i="171"/>
  <c r="J92" i="171"/>
  <c r="H209" i="171"/>
  <c r="I414" i="171"/>
  <c r="L91" i="171"/>
  <c r="L183" i="171"/>
  <c r="J128" i="171"/>
  <c r="L103" i="171"/>
  <c r="J505" i="171"/>
  <c r="K495" i="171"/>
  <c r="L513" i="171"/>
  <c r="J460" i="171"/>
  <c r="H417" i="171"/>
  <c r="M470" i="171"/>
  <c r="K427" i="171"/>
  <c r="H480" i="171"/>
  <c r="L438" i="171"/>
  <c r="L491" i="171"/>
  <c r="I447" i="171"/>
  <c r="M405" i="171"/>
  <c r="J446" i="171"/>
  <c r="H403" i="171"/>
  <c r="L361" i="171"/>
  <c r="L412" i="171"/>
  <c r="J369" i="171"/>
  <c r="M423" i="171"/>
  <c r="K380" i="171"/>
  <c r="K315" i="171"/>
  <c r="M230" i="171"/>
  <c r="J299" i="171"/>
  <c r="I402" i="171"/>
  <c r="M277" i="171"/>
  <c r="K234" i="171"/>
  <c r="L301" i="171"/>
  <c r="J258" i="171"/>
  <c r="I490" i="171"/>
  <c r="H216" i="171"/>
  <c r="M89" i="171"/>
  <c r="J352" i="171"/>
  <c r="L201" i="171"/>
  <c r="H115" i="171"/>
  <c r="L30" i="171"/>
  <c r="K229" i="171"/>
  <c r="I134" i="171"/>
  <c r="M92" i="171"/>
  <c r="I161" i="171"/>
  <c r="I359" i="171"/>
  <c r="G359" i="171" s="1"/>
  <c r="J479" i="171"/>
  <c r="K318" i="171"/>
  <c r="M228" i="171"/>
  <c r="K160" i="171"/>
  <c r="H306" i="171"/>
  <c r="J316" i="171"/>
  <c r="I513" i="171"/>
  <c r="J484" i="171"/>
  <c r="K451" i="171"/>
  <c r="J419" i="171"/>
  <c r="K386" i="171"/>
  <c r="H478" i="171"/>
  <c r="M447" i="171"/>
  <c r="I296" i="171"/>
  <c r="G296" i="171" s="1"/>
  <c r="H280" i="171"/>
  <c r="K258" i="171"/>
  <c r="H239" i="171"/>
  <c r="I155" i="171"/>
  <c r="H313" i="171"/>
  <c r="L97" i="171"/>
  <c r="K201" i="171"/>
  <c r="K41" i="171"/>
  <c r="J213" i="171"/>
  <c r="L116" i="171"/>
  <c r="H20" i="171"/>
  <c r="K200" i="171"/>
  <c r="M103" i="171"/>
  <c r="K353" i="171"/>
  <c r="M194" i="171"/>
  <c r="I96" i="171"/>
  <c r="G96" i="171" s="1"/>
  <c r="L344" i="171"/>
  <c r="L190" i="171"/>
  <c r="J91" i="171"/>
  <c r="J76" i="171"/>
  <c r="H117" i="171"/>
  <c r="J208" i="171"/>
  <c r="K512" i="171"/>
  <c r="L483" i="171"/>
  <c r="M450" i="171"/>
  <c r="L418" i="171"/>
  <c r="M385" i="171"/>
  <c r="J477" i="171"/>
  <c r="I445" i="171"/>
  <c r="K295" i="171"/>
  <c r="J279" i="171"/>
  <c r="M257" i="171"/>
  <c r="J238" i="171"/>
  <c r="K154" i="171"/>
  <c r="J312" i="171"/>
  <c r="H95" i="171"/>
  <c r="M200" i="171"/>
  <c r="I39" i="171"/>
  <c r="L212" i="171"/>
  <c r="H114" i="171"/>
  <c r="J18" i="171"/>
  <c r="M199" i="171"/>
  <c r="I101" i="171"/>
  <c r="M352" i="171"/>
  <c r="I192" i="171"/>
  <c r="F192" i="171" s="1"/>
  <c r="K95" i="171"/>
  <c r="H338" i="171"/>
  <c r="J187" i="171"/>
  <c r="L90" i="171"/>
  <c r="H69" i="171"/>
  <c r="L99" i="171"/>
  <c r="H201" i="171"/>
  <c r="L495" i="171"/>
  <c r="H441" i="171"/>
  <c r="I408" i="171"/>
  <c r="N408" i="171" s="1"/>
  <c r="H376" i="171"/>
  <c r="J470" i="171"/>
  <c r="L436" i="171"/>
  <c r="K404" i="171"/>
  <c r="M254" i="171"/>
  <c r="L238" i="171"/>
  <c r="I430" i="171"/>
  <c r="N430" i="171" s="1"/>
  <c r="K336" i="171"/>
  <c r="M113" i="171"/>
  <c r="L231" i="171"/>
  <c r="J54" i="171"/>
  <c r="I158" i="171"/>
  <c r="G158" i="171" s="1"/>
  <c r="I486" i="171"/>
  <c r="J189" i="171"/>
  <c r="H90" i="171"/>
  <c r="I325" i="171"/>
  <c r="K176" i="171"/>
  <c r="M79" i="171"/>
  <c r="K305" i="171"/>
  <c r="M170" i="171"/>
  <c r="I72" i="171"/>
  <c r="G72" i="171" s="1"/>
  <c r="H290" i="171"/>
  <c r="H164" i="171"/>
  <c r="J67" i="171"/>
  <c r="H161" i="171"/>
  <c r="L220" i="171"/>
  <c r="M505" i="171"/>
  <c r="H42" i="171"/>
  <c r="L493" i="171"/>
  <c r="K514" i="171"/>
  <c r="H460" i="171"/>
  <c r="I427" i="171"/>
  <c r="N427" i="171" s="1"/>
  <c r="H383" i="171"/>
  <c r="H493" i="171"/>
  <c r="M338" i="171"/>
  <c r="L322" i="171"/>
  <c r="I299" i="171"/>
  <c r="N299" i="171" s="1"/>
  <c r="L281" i="171"/>
  <c r="M197" i="171"/>
  <c r="K27" i="171"/>
  <c r="J138" i="171"/>
  <c r="M276" i="171"/>
  <c r="M72" i="171"/>
  <c r="H262" i="171"/>
  <c r="H138" i="171"/>
  <c r="J41" i="171"/>
  <c r="K228" i="171"/>
  <c r="I125" i="171"/>
  <c r="M28" i="171"/>
  <c r="J216" i="171"/>
  <c r="K119" i="171"/>
  <c r="J21" i="171"/>
  <c r="H212" i="171"/>
  <c r="J115" i="171"/>
  <c r="J292" i="171"/>
  <c r="K485" i="171"/>
  <c r="H109" i="171"/>
  <c r="M518" i="171"/>
  <c r="J440" i="171"/>
  <c r="K407" i="171"/>
  <c r="J375" i="171"/>
  <c r="L469" i="171"/>
  <c r="H434" i="171"/>
  <c r="M403" i="171"/>
  <c r="I252" i="171"/>
  <c r="H236" i="171"/>
  <c r="M412" i="171"/>
  <c r="M335" i="171"/>
  <c r="I111" i="171"/>
  <c r="F111" i="171" s="1"/>
  <c r="I225" i="171"/>
  <c r="N225" i="171" s="1"/>
  <c r="L53" i="171"/>
  <c r="K157" i="171"/>
  <c r="M436" i="171"/>
  <c r="H186" i="171"/>
  <c r="J89" i="171"/>
  <c r="K324" i="171"/>
  <c r="M175" i="171"/>
  <c r="I77" i="171"/>
  <c r="M304" i="171"/>
  <c r="I168" i="171"/>
  <c r="M70" i="171"/>
  <c r="J289" i="171"/>
  <c r="J163" i="171"/>
  <c r="L66" i="171"/>
  <c r="L143" i="171"/>
  <c r="K216" i="171"/>
  <c r="H261" i="171"/>
  <c r="J507" i="171"/>
  <c r="L399" i="171"/>
  <c r="M366" i="171"/>
  <c r="I471" i="171"/>
  <c r="H427" i="171"/>
  <c r="J393" i="171"/>
  <c r="I361" i="171"/>
  <c r="N361" i="171" s="1"/>
  <c r="I406" i="171"/>
  <c r="F406" i="171" s="1"/>
  <c r="I343" i="171"/>
  <c r="L325" i="171"/>
  <c r="I249" i="171"/>
  <c r="G249" i="171" s="1"/>
  <c r="K70" i="171"/>
  <c r="J182" i="171"/>
  <c r="K401" i="171"/>
  <c r="M116" i="171"/>
  <c r="L316" i="171"/>
  <c r="L164" i="171"/>
  <c r="H66" i="171"/>
  <c r="I277" i="171"/>
  <c r="K152" i="171"/>
  <c r="M55" i="171"/>
  <c r="K257" i="171"/>
  <c r="I144" i="171"/>
  <c r="K47" i="171"/>
  <c r="H242" i="171"/>
  <c r="H140" i="171"/>
  <c r="J43" i="171"/>
  <c r="H269" i="171"/>
  <c r="L28" i="171"/>
  <c r="K217" i="171"/>
  <c r="L506" i="171"/>
  <c r="H397" i="171"/>
  <c r="I364" i="171"/>
  <c r="K470" i="171"/>
  <c r="J426" i="171"/>
  <c r="L392" i="171"/>
  <c r="K360" i="171"/>
  <c r="M388" i="171"/>
  <c r="K342" i="171"/>
  <c r="H323" i="171"/>
  <c r="K248" i="171"/>
  <c r="M69" i="171"/>
  <c r="L181" i="171"/>
  <c r="I394" i="171"/>
  <c r="N394" i="171" s="1"/>
  <c r="I114" i="171"/>
  <c r="G114" i="171" s="1"/>
  <c r="H310" i="171"/>
  <c r="H162" i="171"/>
  <c r="J65" i="171"/>
  <c r="K276" i="171"/>
  <c r="M151" i="171"/>
  <c r="I53" i="171"/>
  <c r="I250" i="171"/>
  <c r="F250" i="171" s="1"/>
  <c r="K143" i="171"/>
  <c r="M46" i="171"/>
  <c r="J241" i="171"/>
  <c r="J139" i="171"/>
  <c r="L42" i="171"/>
  <c r="L203" i="171"/>
  <c r="H18" i="171"/>
  <c r="J160" i="171"/>
  <c r="J494" i="171"/>
  <c r="J356" i="171"/>
  <c r="L462" i="171"/>
  <c r="M429" i="171"/>
  <c r="L385" i="171"/>
  <c r="K494" i="171"/>
  <c r="K339" i="171"/>
  <c r="J323" i="171"/>
  <c r="M301" i="171"/>
  <c r="J282" i="171"/>
  <c r="K198" i="171"/>
  <c r="I28" i="171"/>
  <c r="H139" i="171"/>
  <c r="K277" i="171"/>
  <c r="K73" i="171"/>
  <c r="L268" i="171"/>
  <c r="L140" i="171"/>
  <c r="I229" i="171"/>
  <c r="G229" i="171" s="1"/>
  <c r="K128" i="171"/>
  <c r="K29" i="171"/>
  <c r="J217" i="171"/>
  <c r="I120" i="171"/>
  <c r="H22" i="171"/>
  <c r="L214" i="171"/>
  <c r="H116" i="171"/>
  <c r="H349" i="171"/>
  <c r="H26" i="171"/>
  <c r="J116" i="171"/>
  <c r="G22" i="154"/>
  <c r="S517" i="163"/>
  <c r="W507" i="163"/>
  <c r="U496" i="163"/>
  <c r="S485" i="163"/>
  <c r="W475" i="163"/>
  <c r="U464" i="163"/>
  <c r="S453" i="163"/>
  <c r="W443" i="163"/>
  <c r="U432" i="163"/>
  <c r="S421" i="163"/>
  <c r="W411" i="163"/>
  <c r="U400" i="163"/>
  <c r="S389" i="163"/>
  <c r="W379" i="163"/>
  <c r="U368" i="163"/>
  <c r="S357" i="163"/>
  <c r="W347" i="163"/>
  <c r="U336" i="163"/>
  <c r="S325" i="163"/>
  <c r="V511" i="163"/>
  <c r="T500" i="163"/>
  <c r="X490" i="163"/>
  <c r="V479" i="163"/>
  <c r="T468" i="163"/>
  <c r="X458" i="163"/>
  <c r="V447" i="163"/>
  <c r="T436" i="163"/>
  <c r="Y436" i="163" s="1"/>
  <c r="X426" i="163"/>
  <c r="V415" i="163"/>
  <c r="T404" i="163"/>
  <c r="R404" i="163" s="1"/>
  <c r="X394" i="163"/>
  <c r="V383" i="163"/>
  <c r="T372" i="163"/>
  <c r="X362" i="163"/>
  <c r="V351" i="163"/>
  <c r="T340" i="163"/>
  <c r="Y340" i="163" s="1"/>
  <c r="S516" i="163"/>
  <c r="W506" i="163"/>
  <c r="U495" i="163"/>
  <c r="S484" i="163"/>
  <c r="W474" i="163"/>
  <c r="U463" i="163"/>
  <c r="S452" i="163"/>
  <c r="W442" i="163"/>
  <c r="U431" i="163"/>
  <c r="S420" i="163"/>
  <c r="W410" i="163"/>
  <c r="U399" i="163"/>
  <c r="S388" i="163"/>
  <c r="W378" i="163"/>
  <c r="U367" i="163"/>
  <c r="S356" i="163"/>
  <c r="W346" i="163"/>
  <c r="U335" i="163"/>
  <c r="X517" i="163"/>
  <c r="V506" i="163"/>
  <c r="T495" i="163"/>
  <c r="X485" i="163"/>
  <c r="V474" i="163"/>
  <c r="T463" i="163"/>
  <c r="Q463" i="163" s="1"/>
  <c r="X453" i="163"/>
  <c r="V442" i="163"/>
  <c r="T431" i="163"/>
  <c r="X421" i="163"/>
  <c r="V410" i="163"/>
  <c r="T399" i="163"/>
  <c r="Q399" i="163" s="1"/>
  <c r="X389" i="163"/>
  <c r="V378" i="163"/>
  <c r="T367" i="163"/>
  <c r="X357" i="163"/>
  <c r="V346" i="163"/>
  <c r="T335" i="163"/>
  <c r="W517" i="163"/>
  <c r="U506" i="163"/>
  <c r="S495" i="163"/>
  <c r="W485" i="163"/>
  <c r="U474" i="163"/>
  <c r="S463" i="163"/>
  <c r="W453" i="163"/>
  <c r="U442" i="163"/>
  <c r="S431" i="163"/>
  <c r="W421" i="163"/>
  <c r="U410" i="163"/>
  <c r="S399" i="163"/>
  <c r="W389" i="163"/>
  <c r="U378" i="163"/>
  <c r="S367" i="163"/>
  <c r="W357" i="163"/>
  <c r="U346" i="163"/>
  <c r="S335" i="163"/>
  <c r="X512" i="163"/>
  <c r="V501" i="163"/>
  <c r="T490" i="163"/>
  <c r="X480" i="163"/>
  <c r="V469" i="163"/>
  <c r="T458" i="163"/>
  <c r="X448" i="163"/>
  <c r="V437" i="163"/>
  <c r="T426" i="163"/>
  <c r="Y426" i="163" s="1"/>
  <c r="X416" i="163"/>
  <c r="V405" i="163"/>
  <c r="T394" i="163"/>
  <c r="Q394" i="163" s="1"/>
  <c r="X384" i="163"/>
  <c r="V373" i="163"/>
  <c r="T362" i="163"/>
  <c r="X352" i="163"/>
  <c r="V341" i="163"/>
  <c r="T330" i="163"/>
  <c r="R330" i="163" s="1"/>
  <c r="W512" i="163"/>
  <c r="U501" i="163"/>
  <c r="S490" i="163"/>
  <c r="W480" i="163"/>
  <c r="U469" i="163"/>
  <c r="S458" i="163"/>
  <c r="W448" i="163"/>
  <c r="U437" i="163"/>
  <c r="S426" i="163"/>
  <c r="W416" i="163"/>
  <c r="U405" i="163"/>
  <c r="S394" i="163"/>
  <c r="W384" i="163"/>
  <c r="U373" i="163"/>
  <c r="S362" i="163"/>
  <c r="W352" i="163"/>
  <c r="U341" i="163"/>
  <c r="S330" i="163"/>
  <c r="W320" i="163"/>
  <c r="V512" i="163"/>
  <c r="T501" i="163"/>
  <c r="Y501" i="163" s="1"/>
  <c r="X491" i="163"/>
  <c r="V480" i="163"/>
  <c r="T469" i="163"/>
  <c r="R469" i="163" s="1"/>
  <c r="X459" i="163"/>
  <c r="V448" i="163"/>
  <c r="T437" i="163"/>
  <c r="X427" i="163"/>
  <c r="V416" i="163"/>
  <c r="T405" i="163"/>
  <c r="X395" i="163"/>
  <c r="V384" i="163"/>
  <c r="T373" i="163"/>
  <c r="X363" i="163"/>
  <c r="V352" i="163"/>
  <c r="T341" i="163"/>
  <c r="X331" i="163"/>
  <c r="V320" i="163"/>
  <c r="T324" i="163"/>
  <c r="Q324" i="163" s="1"/>
  <c r="V311" i="163"/>
  <c r="T300" i="163"/>
  <c r="X290" i="163"/>
  <c r="V279" i="163"/>
  <c r="T268" i="163"/>
  <c r="X258" i="163"/>
  <c r="V247" i="163"/>
  <c r="T236" i="163"/>
  <c r="X226" i="163"/>
  <c r="V215" i="163"/>
  <c r="T204" i="163"/>
  <c r="R204" i="163" s="1"/>
  <c r="X194" i="163"/>
  <c r="V183" i="163"/>
  <c r="T172" i="163"/>
  <c r="X162" i="163"/>
  <c r="V151" i="163"/>
  <c r="T140" i="163"/>
  <c r="X130" i="163"/>
  <c r="V119" i="163"/>
  <c r="T108" i="163"/>
  <c r="X98" i="163"/>
  <c r="V87" i="163"/>
  <c r="T76" i="163"/>
  <c r="X66" i="163"/>
  <c r="V55" i="163"/>
  <c r="T44" i="163"/>
  <c r="T33" i="163"/>
  <c r="Q33" i="163" s="1"/>
  <c r="X23" i="163"/>
  <c r="V317" i="163"/>
  <c r="S304" i="163"/>
  <c r="W294" i="163"/>
  <c r="U283" i="163"/>
  <c r="S272" i="163"/>
  <c r="W262" i="163"/>
  <c r="U251" i="163"/>
  <c r="S240" i="163"/>
  <c r="W230" i="163"/>
  <c r="U219" i="163"/>
  <c r="S208" i="163"/>
  <c r="W198" i="163"/>
  <c r="U187" i="163"/>
  <c r="S176" i="163"/>
  <c r="W166" i="163"/>
  <c r="U155" i="163"/>
  <c r="S144" i="163"/>
  <c r="W134" i="163"/>
  <c r="U123" i="163"/>
  <c r="S112" i="163"/>
  <c r="W102" i="163"/>
  <c r="U91" i="163"/>
  <c r="S80" i="163"/>
  <c r="W70" i="163"/>
  <c r="U59" i="163"/>
  <c r="S48" i="163"/>
  <c r="S37" i="163"/>
  <c r="V323" i="163"/>
  <c r="T311" i="163"/>
  <c r="R311" i="163" s="1"/>
  <c r="X301" i="163"/>
  <c r="V290" i="163"/>
  <c r="T279" i="163"/>
  <c r="X269" i="163"/>
  <c r="V258" i="163"/>
  <c r="T247" i="163"/>
  <c r="Q247" i="163" s="1"/>
  <c r="X237" i="163"/>
  <c r="V226" i="163"/>
  <c r="T215" i="163"/>
  <c r="X205" i="163"/>
  <c r="V194" i="163"/>
  <c r="T183" i="163"/>
  <c r="X173" i="163"/>
  <c r="V162" i="163"/>
  <c r="T151" i="163"/>
  <c r="Q151" i="163" s="1"/>
  <c r="X141" i="163"/>
  <c r="V130" i="163"/>
  <c r="T119" i="163"/>
  <c r="X109" i="163"/>
  <c r="V98" i="163"/>
  <c r="T87" i="163"/>
  <c r="X77" i="163"/>
  <c r="V66" i="163"/>
  <c r="T55" i="163"/>
  <c r="Q55" i="163" s="1"/>
  <c r="X45" i="163"/>
  <c r="V35" i="163"/>
  <c r="X322" i="163"/>
  <c r="T310" i="163"/>
  <c r="Q310" i="163" s="1"/>
  <c r="X300" i="163"/>
  <c r="V289" i="163"/>
  <c r="T278" i="163"/>
  <c r="Q278" i="163" s="1"/>
  <c r="X268" i="163"/>
  <c r="V257" i="163"/>
  <c r="T246" i="163"/>
  <c r="X236" i="163"/>
  <c r="V225" i="163"/>
  <c r="T214" i="163"/>
  <c r="X204" i="163"/>
  <c r="V193" i="163"/>
  <c r="T182" i="163"/>
  <c r="X172" i="163"/>
  <c r="V161" i="163"/>
  <c r="T150" i="163"/>
  <c r="Y150" i="163" s="1"/>
  <c r="X140" i="163"/>
  <c r="V129" i="163"/>
  <c r="T118" i="163"/>
  <c r="Q118" i="163" s="1"/>
  <c r="X108" i="163"/>
  <c r="V97" i="163"/>
  <c r="T86" i="163"/>
  <c r="X76" i="163"/>
  <c r="V65" i="163"/>
  <c r="T54" i="163"/>
  <c r="X44" i="163"/>
  <c r="X33" i="163"/>
  <c r="W322" i="163"/>
  <c r="S310" i="163"/>
  <c r="W300" i="163"/>
  <c r="U289" i="163"/>
  <c r="S278" i="163"/>
  <c r="W268" i="163"/>
  <c r="U257" i="163"/>
  <c r="S246" i="163"/>
  <c r="W236" i="163"/>
  <c r="U225" i="163"/>
  <c r="S214" i="163"/>
  <c r="W204" i="163"/>
  <c r="U193" i="163"/>
  <c r="S182" i="163"/>
  <c r="W172" i="163"/>
  <c r="U161" i="163"/>
  <c r="S150" i="163"/>
  <c r="W140" i="163"/>
  <c r="U129" i="163"/>
  <c r="S118" i="163"/>
  <c r="W108" i="163"/>
  <c r="U97" i="163"/>
  <c r="S86" i="163"/>
  <c r="W76" i="163"/>
  <c r="U65" i="163"/>
  <c r="S54" i="163"/>
  <c r="W44" i="163"/>
  <c r="U34" i="163"/>
  <c r="S23" i="163"/>
  <c r="X311" i="163"/>
  <c r="V300" i="163"/>
  <c r="T289" i="163"/>
  <c r="X279" i="163"/>
  <c r="V268" i="163"/>
  <c r="T257" i="163"/>
  <c r="X247" i="163"/>
  <c r="V236" i="163"/>
  <c r="T225" i="163"/>
  <c r="X215" i="163"/>
  <c r="V204" i="163"/>
  <c r="T193" i="163"/>
  <c r="X183" i="163"/>
  <c r="V172" i="163"/>
  <c r="T161" i="163"/>
  <c r="X151" i="163"/>
  <c r="V140" i="163"/>
  <c r="T129" i="163"/>
  <c r="Y129" i="163" s="1"/>
  <c r="X119" i="163"/>
  <c r="V108" i="163"/>
  <c r="T97" i="163"/>
  <c r="Q97" i="163" s="1"/>
  <c r="X87" i="163"/>
  <c r="V76" i="163"/>
  <c r="T65" i="163"/>
  <c r="X55" i="163"/>
  <c r="V44" i="163"/>
  <c r="V33" i="163"/>
  <c r="U22" i="163"/>
  <c r="T316" i="163"/>
  <c r="U304" i="163"/>
  <c r="S293" i="163"/>
  <c r="W283" i="163"/>
  <c r="U272" i="163"/>
  <c r="S261" i="163"/>
  <c r="W251" i="163"/>
  <c r="U240" i="163"/>
  <c r="S229" i="163"/>
  <c r="W219" i="163"/>
  <c r="U208" i="163"/>
  <c r="S197" i="163"/>
  <c r="W187" i="163"/>
  <c r="U176" i="163"/>
  <c r="S165" i="163"/>
  <c r="W155" i="163"/>
  <c r="U144" i="163"/>
  <c r="S133" i="163"/>
  <c r="W123" i="163"/>
  <c r="U112" i="163"/>
  <c r="S101" i="163"/>
  <c r="W91" i="163"/>
  <c r="U80" i="163"/>
  <c r="S69" i="163"/>
  <c r="W59" i="163"/>
  <c r="U48" i="163"/>
  <c r="U37" i="163"/>
  <c r="S26" i="163"/>
  <c r="U290" i="163"/>
  <c r="W201" i="163"/>
  <c r="S123" i="163"/>
  <c r="W34" i="163"/>
  <c r="S311" i="163"/>
  <c r="U222" i="163"/>
  <c r="W133" i="163"/>
  <c r="S55" i="163"/>
  <c r="S307" i="163"/>
  <c r="U218" i="163"/>
  <c r="W129" i="163"/>
  <c r="S51" i="163"/>
  <c r="T18" i="163"/>
  <c r="W253" i="163"/>
  <c r="S175" i="163"/>
  <c r="U86" i="163"/>
  <c r="T21" i="163"/>
  <c r="S267" i="163"/>
  <c r="U178" i="163"/>
  <c r="W89" i="163"/>
  <c r="V23" i="163"/>
  <c r="S263" i="163"/>
  <c r="U174" i="163"/>
  <c r="W85" i="163"/>
  <c r="U23" i="163"/>
  <c r="W273" i="163"/>
  <c r="S195" i="163"/>
  <c r="U106" i="163"/>
  <c r="T23" i="163"/>
  <c r="R23" i="163" s="1" a="1"/>
  <c r="R23" i="163" s="1"/>
  <c r="S287" i="163"/>
  <c r="U198" i="163"/>
  <c r="W109" i="163"/>
  <c r="U31" i="163"/>
  <c r="U516" i="163"/>
  <c r="S505" i="163"/>
  <c r="W495" i="163"/>
  <c r="U484" i="163"/>
  <c r="S473" i="163"/>
  <c r="W463" i="163"/>
  <c r="U452" i="163"/>
  <c r="S441" i="163"/>
  <c r="W431" i="163"/>
  <c r="U420" i="163"/>
  <c r="S409" i="163"/>
  <c r="W399" i="163"/>
  <c r="U388" i="163"/>
  <c r="S377" i="163"/>
  <c r="W367" i="163"/>
  <c r="U356" i="163"/>
  <c r="S345" i="163"/>
  <c r="W335" i="163"/>
  <c r="U324" i="163"/>
  <c r="X510" i="163"/>
  <c r="V499" i="163"/>
  <c r="T488" i="163"/>
  <c r="R488" i="163" s="1"/>
  <c r="X478" i="163"/>
  <c r="V467" i="163"/>
  <c r="T456" i="163"/>
  <c r="Y456" i="163" s="1"/>
  <c r="X446" i="163"/>
  <c r="V435" i="163"/>
  <c r="T424" i="163"/>
  <c r="X414" i="163"/>
  <c r="V403" i="163"/>
  <c r="T392" i="163"/>
  <c r="X382" i="163"/>
  <c r="V371" i="163"/>
  <c r="T360" i="163"/>
  <c r="X350" i="163"/>
  <c r="V339" i="163"/>
  <c r="U515" i="163"/>
  <c r="S504" i="163"/>
  <c r="W494" i="163"/>
  <c r="U483" i="163"/>
  <c r="S472" i="163"/>
  <c r="W462" i="163"/>
  <c r="U451" i="163"/>
  <c r="S440" i="163"/>
  <c r="W430" i="163"/>
  <c r="U419" i="163"/>
  <c r="S408" i="163"/>
  <c r="W398" i="163"/>
  <c r="U387" i="163"/>
  <c r="S376" i="163"/>
  <c r="W366" i="163"/>
  <c r="U355" i="163"/>
  <c r="S344" i="163"/>
  <c r="W334" i="163"/>
  <c r="T515" i="163"/>
  <c r="X505" i="163"/>
  <c r="V494" i="163"/>
  <c r="T483" i="163"/>
  <c r="Q483" i="163" s="1"/>
  <c r="X473" i="163"/>
  <c r="V462" i="163"/>
  <c r="T451" i="163"/>
  <c r="X441" i="163"/>
  <c r="V430" i="163"/>
  <c r="T419" i="163"/>
  <c r="X409" i="163"/>
  <c r="V398" i="163"/>
  <c r="T387" i="163"/>
  <c r="R387" i="163" s="1"/>
  <c r="X377" i="163"/>
  <c r="V366" i="163"/>
  <c r="T355" i="163"/>
  <c r="X345" i="163"/>
  <c r="V334" i="163"/>
  <c r="S515" i="163"/>
  <c r="W505" i="163"/>
  <c r="U494" i="163"/>
  <c r="S483" i="163"/>
  <c r="W473" i="163"/>
  <c r="U462" i="163"/>
  <c r="S451" i="163"/>
  <c r="W441" i="163"/>
  <c r="U430" i="163"/>
  <c r="S419" i="163"/>
  <c r="W409" i="163"/>
  <c r="U398" i="163"/>
  <c r="S387" i="163"/>
  <c r="W377" i="163"/>
  <c r="U366" i="163"/>
  <c r="S355" i="163"/>
  <c r="W345" i="163"/>
  <c r="U334" i="163"/>
  <c r="T510" i="163"/>
  <c r="X500" i="163"/>
  <c r="V489" i="163"/>
  <c r="T478" i="163"/>
  <c r="R478" i="163" s="1"/>
  <c r="X468" i="163"/>
  <c r="V457" i="163"/>
  <c r="T446" i="163"/>
  <c r="Y446" i="163" s="1"/>
  <c r="X436" i="163"/>
  <c r="V425" i="163"/>
  <c r="T414" i="163"/>
  <c r="R414" i="163" s="1"/>
  <c r="X404" i="163"/>
  <c r="V393" i="163"/>
  <c r="T382" i="163"/>
  <c r="X372" i="163"/>
  <c r="V361" i="163"/>
  <c r="T350" i="163"/>
  <c r="X340" i="163"/>
  <c r="V329" i="163"/>
  <c r="S510" i="163"/>
  <c r="W500" i="163"/>
  <c r="U489" i="163"/>
  <c r="S478" i="163"/>
  <c r="W468" i="163"/>
  <c r="U457" i="163"/>
  <c r="S446" i="163"/>
  <c r="W436" i="163"/>
  <c r="U425" i="163"/>
  <c r="S414" i="163"/>
  <c r="W404" i="163"/>
  <c r="U393" i="163"/>
  <c r="S382" i="163"/>
  <c r="W372" i="163"/>
  <c r="U361" i="163"/>
  <c r="S350" i="163"/>
  <c r="W340" i="163"/>
  <c r="U329" i="163"/>
  <c r="S318" i="163"/>
  <c r="X511" i="163"/>
  <c r="V500" i="163"/>
  <c r="T489" i="163"/>
  <c r="X479" i="163"/>
  <c r="V468" i="163"/>
  <c r="T457" i="163"/>
  <c r="X447" i="163"/>
  <c r="V436" i="163"/>
  <c r="T425" i="163"/>
  <c r="X415" i="163"/>
  <c r="V404" i="163"/>
  <c r="T393" i="163"/>
  <c r="R393" i="163" s="1"/>
  <c r="X383" i="163"/>
  <c r="V372" i="163"/>
  <c r="T361" i="163"/>
  <c r="R361" i="163" s="1"/>
  <c r="X351" i="163"/>
  <c r="V340" i="163"/>
  <c r="T329" i="163"/>
  <c r="X319" i="163"/>
  <c r="T322" i="163"/>
  <c r="Q322" i="163" s="1"/>
  <c r="X310" i="163"/>
  <c r="V299" i="163"/>
  <c r="T288" i="163"/>
  <c r="X278" i="163"/>
  <c r="V267" i="163"/>
  <c r="T256" i="163"/>
  <c r="X246" i="163"/>
  <c r="V235" i="163"/>
  <c r="T224" i="163"/>
  <c r="Q224" i="163" s="1"/>
  <c r="X214" i="163"/>
  <c r="V203" i="163"/>
  <c r="T192" i="163"/>
  <c r="X182" i="163"/>
  <c r="V171" i="163"/>
  <c r="T160" i="163"/>
  <c r="X150" i="163"/>
  <c r="V139" i="163"/>
  <c r="T128" i="163"/>
  <c r="X118" i="163"/>
  <c r="V107" i="163"/>
  <c r="T96" i="163"/>
  <c r="Q96" i="163" s="1"/>
  <c r="X86" i="163"/>
  <c r="V75" i="163"/>
  <c r="T64" i="163"/>
  <c r="Y64" i="163" s="1"/>
  <c r="X54" i="163"/>
  <c r="V43" i="163"/>
  <c r="V32" i="163"/>
  <c r="S22" i="163"/>
  <c r="W314" i="163"/>
  <c r="U303" i="163"/>
  <c r="S292" i="163"/>
  <c r="W282" i="163"/>
  <c r="U271" i="163"/>
  <c r="S260" i="163"/>
  <c r="W250" i="163"/>
  <c r="U239" i="163"/>
  <c r="S228" i="163"/>
  <c r="W218" i="163"/>
  <c r="U207" i="163"/>
  <c r="S196" i="163"/>
  <c r="W186" i="163"/>
  <c r="U175" i="163"/>
  <c r="S164" i="163"/>
  <c r="W154" i="163"/>
  <c r="U143" i="163"/>
  <c r="S132" i="163"/>
  <c r="W122" i="163"/>
  <c r="U111" i="163"/>
  <c r="S100" i="163"/>
  <c r="W90" i="163"/>
  <c r="U79" i="163"/>
  <c r="S68" i="163"/>
  <c r="W58" i="163"/>
  <c r="U47" i="163"/>
  <c r="U36" i="163"/>
  <c r="W321" i="163"/>
  <c r="V310" i="163"/>
  <c r="T299" i="163"/>
  <c r="X289" i="163"/>
  <c r="V278" i="163"/>
  <c r="T267" i="163"/>
  <c r="X257" i="163"/>
  <c r="V246" i="163"/>
  <c r="T235" i="163"/>
  <c r="X225" i="163"/>
  <c r="V214" i="163"/>
  <c r="T203" i="163"/>
  <c r="X193" i="163"/>
  <c r="V182" i="163"/>
  <c r="T171" i="163"/>
  <c r="X161" i="163"/>
  <c r="V150" i="163"/>
  <c r="T139" i="163"/>
  <c r="Y139" i="163" s="1"/>
  <c r="X129" i="163"/>
  <c r="V118" i="163"/>
  <c r="T107" i="163"/>
  <c r="X97" i="163"/>
  <c r="V86" i="163"/>
  <c r="T75" i="163"/>
  <c r="Q75" i="163" s="1"/>
  <c r="X65" i="163"/>
  <c r="V54" i="163"/>
  <c r="T43" i="163"/>
  <c r="X34" i="163"/>
  <c r="S321" i="163"/>
  <c r="V309" i="163"/>
  <c r="T298" i="163"/>
  <c r="Y298" i="163" s="1"/>
  <c r="X288" i="163"/>
  <c r="V277" i="163"/>
  <c r="T266" i="163"/>
  <c r="R266" i="163" s="1"/>
  <c r="X256" i="163"/>
  <c r="V245" i="163"/>
  <c r="T234" i="163"/>
  <c r="X224" i="163"/>
  <c r="V213" i="163"/>
  <c r="T202" i="163"/>
  <c r="R202" i="163" s="1"/>
  <c r="X192" i="163"/>
  <c r="V181" i="163"/>
  <c r="T170" i="163"/>
  <c r="X160" i="163"/>
  <c r="V149" i="163"/>
  <c r="T138" i="163"/>
  <c r="X128" i="163"/>
  <c r="V117" i="163"/>
  <c r="T106" i="163"/>
  <c r="Y106" i="163" s="1"/>
  <c r="X96" i="163"/>
  <c r="V85" i="163"/>
  <c r="T74" i="163"/>
  <c r="Q74" i="163" s="1"/>
  <c r="X64" i="163"/>
  <c r="V53" i="163"/>
  <c r="T42" i="163"/>
  <c r="T31" i="163"/>
  <c r="Y31" i="163" s="1"/>
  <c r="V319" i="163"/>
  <c r="U309" i="163"/>
  <c r="S298" i="163"/>
  <c r="W288" i="163"/>
  <c r="U277" i="163"/>
  <c r="S266" i="163"/>
  <c r="W256" i="163"/>
  <c r="U245" i="163"/>
  <c r="S234" i="163"/>
  <c r="W224" i="163"/>
  <c r="U213" i="163"/>
  <c r="S202" i="163"/>
  <c r="W192" i="163"/>
  <c r="U181" i="163"/>
  <c r="S170" i="163"/>
  <c r="W160" i="163"/>
  <c r="U149" i="163"/>
  <c r="S138" i="163"/>
  <c r="W128" i="163"/>
  <c r="U117" i="163"/>
  <c r="S106" i="163"/>
  <c r="W96" i="163"/>
  <c r="U85" i="163"/>
  <c r="S74" i="163"/>
  <c r="W64" i="163"/>
  <c r="U53" i="163"/>
  <c r="S42" i="163"/>
  <c r="W33" i="163"/>
  <c r="V22" i="163"/>
  <c r="T309" i="163"/>
  <c r="X299" i="163"/>
  <c r="V288" i="163"/>
  <c r="T277" i="163"/>
  <c r="R277" i="163" s="1"/>
  <c r="X267" i="163"/>
  <c r="V256" i="163"/>
  <c r="T245" i="163"/>
  <c r="Q245" i="163" s="1"/>
  <c r="X235" i="163"/>
  <c r="V224" i="163"/>
  <c r="T213" i="163"/>
  <c r="X203" i="163"/>
  <c r="V192" i="163"/>
  <c r="T181" i="163"/>
  <c r="X171" i="163"/>
  <c r="V160" i="163"/>
  <c r="T149" i="163"/>
  <c r="X139" i="163"/>
  <c r="V128" i="163"/>
  <c r="T117" i="163"/>
  <c r="X107" i="163"/>
  <c r="V96" i="163"/>
  <c r="T85" i="163"/>
  <c r="X75" i="163"/>
  <c r="V64" i="163"/>
  <c r="T53" i="163"/>
  <c r="X43" i="163"/>
  <c r="X32" i="163"/>
  <c r="V327" i="163"/>
  <c r="S313" i="163"/>
  <c r="W303" i="163"/>
  <c r="U292" i="163"/>
  <c r="S281" i="163"/>
  <c r="W271" i="163"/>
  <c r="U260" i="163"/>
  <c r="S249" i="163"/>
  <c r="W239" i="163"/>
  <c r="U228" i="163"/>
  <c r="S217" i="163"/>
  <c r="W207" i="163"/>
  <c r="U196" i="163"/>
  <c r="S185" i="163"/>
  <c r="W175" i="163"/>
  <c r="U164" i="163"/>
  <c r="S153" i="163"/>
  <c r="W143" i="163"/>
  <c r="U132" i="163"/>
  <c r="S121" i="163"/>
  <c r="W111" i="163"/>
  <c r="U100" i="163"/>
  <c r="S89" i="163"/>
  <c r="W79" i="163"/>
  <c r="U68" i="163"/>
  <c r="S57" i="163"/>
  <c r="W47" i="163"/>
  <c r="W36" i="163"/>
  <c r="U25" i="163"/>
  <c r="S283" i="163"/>
  <c r="U194" i="163"/>
  <c r="W105" i="163"/>
  <c r="S29" i="163"/>
  <c r="W293" i="163"/>
  <c r="S215" i="163"/>
  <c r="U126" i="163"/>
  <c r="S28" i="163"/>
  <c r="W289" i="163"/>
  <c r="S211" i="163"/>
  <c r="U122" i="163"/>
  <c r="W30" i="163"/>
  <c r="U323" i="163"/>
  <c r="U246" i="163"/>
  <c r="W157" i="163"/>
  <c r="S79" i="163"/>
  <c r="W20" i="163"/>
  <c r="W249" i="163"/>
  <c r="S171" i="163"/>
  <c r="U82" i="163"/>
  <c r="S21" i="163"/>
  <c r="W245" i="163"/>
  <c r="S167" i="163"/>
  <c r="U78" i="163"/>
  <c r="X22" i="163"/>
  <c r="U266" i="163"/>
  <c r="W177" i="163"/>
  <c r="S99" i="163"/>
  <c r="W22" i="163"/>
  <c r="W269" i="163"/>
  <c r="S191" i="163"/>
  <c r="U102" i="163"/>
  <c r="U28" i="163"/>
  <c r="W515" i="163"/>
  <c r="U504" i="163"/>
  <c r="S493" i="163"/>
  <c r="W483" i="163"/>
  <c r="U472" i="163"/>
  <c r="S461" i="163"/>
  <c r="W451" i="163"/>
  <c r="U440" i="163"/>
  <c r="S429" i="163"/>
  <c r="W419" i="163"/>
  <c r="U408" i="163"/>
  <c r="S397" i="163"/>
  <c r="W387" i="163"/>
  <c r="U376" i="163"/>
  <c r="S365" i="163"/>
  <c r="W355" i="163"/>
  <c r="U344" i="163"/>
  <c r="S333" i="163"/>
  <c r="W323" i="163"/>
  <c r="T508" i="163"/>
  <c r="Q508" i="163" s="1"/>
  <c r="X498" i="163"/>
  <c r="V487" i="163"/>
  <c r="T476" i="163"/>
  <c r="X466" i="163"/>
  <c r="V455" i="163"/>
  <c r="T444" i="163"/>
  <c r="X434" i="163"/>
  <c r="V423" i="163"/>
  <c r="T412" i="163"/>
  <c r="X402" i="163"/>
  <c r="V391" i="163"/>
  <c r="T380" i="163"/>
  <c r="X370" i="163"/>
  <c r="V359" i="163"/>
  <c r="T348" i="163"/>
  <c r="R348" i="163" s="1"/>
  <c r="X338" i="163"/>
  <c r="W514" i="163"/>
  <c r="U503" i="163"/>
  <c r="S492" i="163"/>
  <c r="W482" i="163"/>
  <c r="U471" i="163"/>
  <c r="S460" i="163"/>
  <c r="W450" i="163"/>
  <c r="U439" i="163"/>
  <c r="S428" i="163"/>
  <c r="W418" i="163"/>
  <c r="U407" i="163"/>
  <c r="S396" i="163"/>
  <c r="W386" i="163"/>
  <c r="U375" i="163"/>
  <c r="S364" i="163"/>
  <c r="W354" i="163"/>
  <c r="U343" i="163"/>
  <c r="S332" i="163"/>
  <c r="V514" i="163"/>
  <c r="T503" i="163"/>
  <c r="X493" i="163"/>
  <c r="V482" i="163"/>
  <c r="T471" i="163"/>
  <c r="Y471" i="163" s="1"/>
  <c r="X461" i="163"/>
  <c r="V450" i="163"/>
  <c r="T439" i="163"/>
  <c r="X429" i="163"/>
  <c r="V418" i="163"/>
  <c r="T407" i="163"/>
  <c r="X397" i="163"/>
  <c r="V386" i="163"/>
  <c r="T375" i="163"/>
  <c r="R375" i="163" s="1"/>
  <c r="X365" i="163"/>
  <c r="V354" i="163"/>
  <c r="T343" i="163"/>
  <c r="X333" i="163"/>
  <c r="U514" i="163"/>
  <c r="S503" i="163"/>
  <c r="W493" i="163"/>
  <c r="U482" i="163"/>
  <c r="S471" i="163"/>
  <c r="W461" i="163"/>
  <c r="U450" i="163"/>
  <c r="S439" i="163"/>
  <c r="W429" i="163"/>
  <c r="U418" i="163"/>
  <c r="S407" i="163"/>
  <c r="W397" i="163"/>
  <c r="U386" i="163"/>
  <c r="S375" i="163"/>
  <c r="W365" i="163"/>
  <c r="U354" i="163"/>
  <c r="S343" i="163"/>
  <c r="W333" i="163"/>
  <c r="V509" i="163"/>
  <c r="T498" i="163"/>
  <c r="X488" i="163"/>
  <c r="V477" i="163"/>
  <c r="T466" i="163"/>
  <c r="X456" i="163"/>
  <c r="V445" i="163"/>
  <c r="T434" i="163"/>
  <c r="X424" i="163"/>
  <c r="V413" i="163"/>
  <c r="T402" i="163"/>
  <c r="X392" i="163"/>
  <c r="V381" i="163"/>
  <c r="T370" i="163"/>
  <c r="X360" i="163"/>
  <c r="V349" i="163"/>
  <c r="T338" i="163"/>
  <c r="X328" i="163"/>
  <c r="U509" i="163"/>
  <c r="S498" i="163"/>
  <c r="W488" i="163"/>
  <c r="U477" i="163"/>
  <c r="S466" i="163"/>
  <c r="W456" i="163"/>
  <c r="U445" i="163"/>
  <c r="S434" i="163"/>
  <c r="W424" i="163"/>
  <c r="U413" i="163"/>
  <c r="S402" i="163"/>
  <c r="W392" i="163"/>
  <c r="U381" i="163"/>
  <c r="S370" i="163"/>
  <c r="W360" i="163"/>
  <c r="U349" i="163"/>
  <c r="S338" i="163"/>
  <c r="W328" i="163"/>
  <c r="U317" i="163"/>
  <c r="T509" i="163"/>
  <c r="X499" i="163"/>
  <c r="V488" i="163"/>
  <c r="T477" i="163"/>
  <c r="X467" i="163"/>
  <c r="V456" i="163"/>
  <c r="T445" i="163"/>
  <c r="X435" i="163"/>
  <c r="V424" i="163"/>
  <c r="T413" i="163"/>
  <c r="X403" i="163"/>
  <c r="V392" i="163"/>
  <c r="T381" i="163"/>
  <c r="Y381" i="163" s="1"/>
  <c r="X371" i="163"/>
  <c r="V360" i="163"/>
  <c r="T349" i="163"/>
  <c r="X339" i="163"/>
  <c r="V328" i="163"/>
  <c r="T317" i="163"/>
  <c r="U320" i="163"/>
  <c r="T308" i="163"/>
  <c r="X298" i="163"/>
  <c r="V287" i="163"/>
  <c r="T276" i="163"/>
  <c r="Y276" i="163" s="1"/>
  <c r="X266" i="163"/>
  <c r="V255" i="163"/>
  <c r="T244" i="163"/>
  <c r="X234" i="163"/>
  <c r="V223" i="163"/>
  <c r="T212" i="163"/>
  <c r="X202" i="163"/>
  <c r="V191" i="163"/>
  <c r="T180" i="163"/>
  <c r="R180" i="163" s="1"/>
  <c r="X170" i="163"/>
  <c r="V159" i="163"/>
  <c r="T148" i="163"/>
  <c r="X138" i="163"/>
  <c r="V127" i="163"/>
  <c r="T116" i="163"/>
  <c r="X106" i="163"/>
  <c r="V95" i="163"/>
  <c r="T84" i="163"/>
  <c r="Y84" i="163" s="1"/>
  <c r="X74" i="163"/>
  <c r="V63" i="163"/>
  <c r="T52" i="163"/>
  <c r="R52" i="163" s="1"/>
  <c r="X42" i="163"/>
  <c r="X31" i="163"/>
  <c r="U330" i="163"/>
  <c r="S312" i="163"/>
  <c r="W302" i="163"/>
  <c r="U291" i="163"/>
  <c r="S280" i="163"/>
  <c r="W270" i="163"/>
  <c r="U259" i="163"/>
  <c r="S248" i="163"/>
  <c r="W238" i="163"/>
  <c r="U227" i="163"/>
  <c r="S216" i="163"/>
  <c r="W206" i="163"/>
  <c r="U195" i="163"/>
  <c r="S184" i="163"/>
  <c r="W174" i="163"/>
  <c r="U163" i="163"/>
  <c r="S152" i="163"/>
  <c r="W142" i="163"/>
  <c r="U131" i="163"/>
  <c r="S120" i="163"/>
  <c r="W110" i="163"/>
  <c r="U99" i="163"/>
  <c r="S88" i="163"/>
  <c r="W78" i="163"/>
  <c r="U67" i="163"/>
  <c r="S56" i="163"/>
  <c r="W46" i="163"/>
  <c r="W35" i="163"/>
  <c r="S320" i="163"/>
  <c r="X309" i="163"/>
  <c r="V298" i="163"/>
  <c r="T287" i="163"/>
  <c r="X277" i="163"/>
  <c r="V266" i="163"/>
  <c r="T255" i="163"/>
  <c r="X245" i="163"/>
  <c r="V234" i="163"/>
  <c r="T223" i="163"/>
  <c r="X213" i="163"/>
  <c r="V202" i="163"/>
  <c r="T191" i="163"/>
  <c r="R191" i="163" s="1"/>
  <c r="X181" i="163"/>
  <c r="V170" i="163"/>
  <c r="T159" i="163"/>
  <c r="R159" i="163" s="1"/>
  <c r="X149" i="163"/>
  <c r="V138" i="163"/>
  <c r="T127" i="163"/>
  <c r="X117" i="163"/>
  <c r="V106" i="163"/>
  <c r="T95" i="163"/>
  <c r="X85" i="163"/>
  <c r="V74" i="163"/>
  <c r="T63" i="163"/>
  <c r="X53" i="163"/>
  <c r="V42" i="163"/>
  <c r="T32" i="163"/>
  <c r="Q32" i="163" s="1"/>
  <c r="W319" i="163"/>
  <c r="X308" i="163"/>
  <c r="V297" i="163"/>
  <c r="T286" i="163"/>
  <c r="X276" i="163"/>
  <c r="V265" i="163"/>
  <c r="T254" i="163"/>
  <c r="X244" i="163"/>
  <c r="V233" i="163"/>
  <c r="T222" i="163"/>
  <c r="R222" i="163" s="1"/>
  <c r="X212" i="163"/>
  <c r="V201" i="163"/>
  <c r="T190" i="163"/>
  <c r="R190" i="163" s="1"/>
  <c r="X180" i="163"/>
  <c r="V169" i="163"/>
  <c r="T158" i="163"/>
  <c r="Y158" i="163" s="1"/>
  <c r="X148" i="163"/>
  <c r="V137" i="163"/>
  <c r="T126" i="163"/>
  <c r="X116" i="163"/>
  <c r="V105" i="163"/>
  <c r="T94" i="163"/>
  <c r="X84" i="163"/>
  <c r="V73" i="163"/>
  <c r="T62" i="163"/>
  <c r="Q62" i="163" s="1"/>
  <c r="X52" i="163"/>
  <c r="V41" i="163"/>
  <c r="V30" i="163"/>
  <c r="T318" i="163"/>
  <c r="W308" i="163"/>
  <c r="U297" i="163"/>
  <c r="S286" i="163"/>
  <c r="W276" i="163"/>
  <c r="U265" i="163"/>
  <c r="S254" i="163"/>
  <c r="W244" i="163"/>
  <c r="U233" i="163"/>
  <c r="S222" i="163"/>
  <c r="W212" i="163"/>
  <c r="U201" i="163"/>
  <c r="S190" i="163"/>
  <c r="W180" i="163"/>
  <c r="U169" i="163"/>
  <c r="S158" i="163"/>
  <c r="W148" i="163"/>
  <c r="U137" i="163"/>
  <c r="S126" i="163"/>
  <c r="W116" i="163"/>
  <c r="U105" i="163"/>
  <c r="S94" i="163"/>
  <c r="W84" i="163"/>
  <c r="U73" i="163"/>
  <c r="S62" i="163"/>
  <c r="W52" i="163"/>
  <c r="U41" i="163"/>
  <c r="S31" i="163"/>
  <c r="V322" i="163"/>
  <c r="V308" i="163"/>
  <c r="T297" i="163"/>
  <c r="X287" i="163"/>
  <c r="V276" i="163"/>
  <c r="T265" i="163"/>
  <c r="Q265" i="163" s="1"/>
  <c r="X255" i="163"/>
  <c r="V244" i="163"/>
  <c r="T233" i="163"/>
  <c r="X223" i="163"/>
  <c r="V212" i="163"/>
  <c r="T201" i="163"/>
  <c r="X191" i="163"/>
  <c r="V180" i="163"/>
  <c r="T169" i="163"/>
  <c r="X159" i="163"/>
  <c r="V148" i="163"/>
  <c r="T137" i="163"/>
  <c r="Q137" i="163" s="1"/>
  <c r="X127" i="163"/>
  <c r="V116" i="163"/>
  <c r="T105" i="163"/>
  <c r="Q105" i="163" s="1"/>
  <c r="X95" i="163"/>
  <c r="V84" i="163"/>
  <c r="T73" i="163"/>
  <c r="Q73" i="163" s="1"/>
  <c r="X63" i="163"/>
  <c r="V52" i="163"/>
  <c r="T41" i="163"/>
  <c r="T30" i="163"/>
  <c r="X326" i="163"/>
  <c r="U312" i="163"/>
  <c r="S301" i="163"/>
  <c r="W291" i="163"/>
  <c r="U280" i="163"/>
  <c r="S269" i="163"/>
  <c r="W259" i="163"/>
  <c r="U248" i="163"/>
  <c r="S237" i="163"/>
  <c r="W227" i="163"/>
  <c r="U216" i="163"/>
  <c r="S205" i="163"/>
  <c r="W195" i="163"/>
  <c r="U184" i="163"/>
  <c r="S173" i="163"/>
  <c r="W163" i="163"/>
  <c r="U152" i="163"/>
  <c r="S141" i="163"/>
  <c r="W131" i="163"/>
  <c r="U120" i="163"/>
  <c r="S109" i="163"/>
  <c r="W99" i="163"/>
  <c r="U88" i="163"/>
  <c r="S77" i="163"/>
  <c r="W67" i="163"/>
  <c r="U56" i="163"/>
  <c r="S45" i="163"/>
  <c r="S34" i="163"/>
  <c r="W24" i="163"/>
  <c r="W265" i="163"/>
  <c r="S187" i="163"/>
  <c r="U98" i="163"/>
  <c r="T28" i="163"/>
  <c r="Y28" i="163" s="1"/>
  <c r="U286" i="163"/>
  <c r="W197" i="163"/>
  <c r="S119" i="163"/>
  <c r="U27" i="163"/>
  <c r="U282" i="163"/>
  <c r="W193" i="163"/>
  <c r="S115" i="163"/>
  <c r="T27" i="163"/>
  <c r="V318" i="163"/>
  <c r="S239" i="163"/>
  <c r="U150" i="163"/>
  <c r="W61" i="163"/>
  <c r="S18" i="163"/>
  <c r="U242" i="163"/>
  <c r="W153" i="163"/>
  <c r="S75" i="163"/>
  <c r="V20" i="163"/>
  <c r="U238" i="163"/>
  <c r="W149" i="163"/>
  <c r="S71" i="163"/>
  <c r="U20" i="163"/>
  <c r="S259" i="163"/>
  <c r="U170" i="163"/>
  <c r="W81" i="163"/>
  <c r="T20" i="163"/>
  <c r="Y20" i="163" s="1"/>
  <c r="U262" i="163"/>
  <c r="W173" i="163"/>
  <c r="S95" i="163"/>
  <c r="W27" i="163"/>
  <c r="U508" i="163"/>
  <c r="S497" i="163"/>
  <c r="W487" i="163"/>
  <c r="U476" i="163"/>
  <c r="S465" i="163"/>
  <c r="W455" i="163"/>
  <c r="U444" i="163"/>
  <c r="S433" i="163"/>
  <c r="W423" i="163"/>
  <c r="U412" i="163"/>
  <c r="S401" i="163"/>
  <c r="W391" i="163"/>
  <c r="U380" i="163"/>
  <c r="S369" i="163"/>
  <c r="W359" i="163"/>
  <c r="U348" i="163"/>
  <c r="S337" i="163"/>
  <c r="W327" i="163"/>
  <c r="T512" i="163"/>
  <c r="R512" i="163" s="1"/>
  <c r="X502" i="163"/>
  <c r="V491" i="163"/>
  <c r="T480" i="163"/>
  <c r="R480" i="163" s="1"/>
  <c r="X470" i="163"/>
  <c r="V459" i="163"/>
  <c r="T448" i="163"/>
  <c r="R448" i="163" s="1"/>
  <c r="X438" i="163"/>
  <c r="V427" i="163"/>
  <c r="T416" i="163"/>
  <c r="R416" i="163" s="1"/>
  <c r="X406" i="163"/>
  <c r="V395" i="163"/>
  <c r="T384" i="163"/>
  <c r="X374" i="163"/>
  <c r="V363" i="163"/>
  <c r="T352" i="163"/>
  <c r="X342" i="163"/>
  <c r="W518" i="163"/>
  <c r="U507" i="163"/>
  <c r="S496" i="163"/>
  <c r="W486" i="163"/>
  <c r="U475" i="163"/>
  <c r="S464" i="163"/>
  <c r="W454" i="163"/>
  <c r="U443" i="163"/>
  <c r="S432" i="163"/>
  <c r="W422" i="163"/>
  <c r="U411" i="163"/>
  <c r="S400" i="163"/>
  <c r="W390" i="163"/>
  <c r="U379" i="163"/>
  <c r="S368" i="163"/>
  <c r="W358" i="163"/>
  <c r="U347" i="163"/>
  <c r="S336" i="163"/>
  <c r="V518" i="163"/>
  <c r="T507" i="163"/>
  <c r="R507" i="163" s="1"/>
  <c r="X497" i="163"/>
  <c r="V486" i="163"/>
  <c r="T475" i="163"/>
  <c r="X465" i="163"/>
  <c r="V454" i="163"/>
  <c r="T443" i="163"/>
  <c r="X433" i="163"/>
  <c r="V422" i="163"/>
  <c r="T411" i="163"/>
  <c r="X401" i="163"/>
  <c r="V390" i="163"/>
  <c r="T379" i="163"/>
  <c r="Q379" i="163" s="1"/>
  <c r="X369" i="163"/>
  <c r="V358" i="163"/>
  <c r="T347" i="163"/>
  <c r="X337" i="163"/>
  <c r="U518" i="163"/>
  <c r="S507" i="163"/>
  <c r="W497" i="163"/>
  <c r="U486" i="163"/>
  <c r="S475" i="163"/>
  <c r="W465" i="163"/>
  <c r="U454" i="163"/>
  <c r="S443" i="163"/>
  <c r="W433" i="163"/>
  <c r="U422" i="163"/>
  <c r="S411" i="163"/>
  <c r="W401" i="163"/>
  <c r="U390" i="163"/>
  <c r="S379" i="163"/>
  <c r="W369" i="163"/>
  <c r="U358" i="163"/>
  <c r="S347" i="163"/>
  <c r="W337" i="163"/>
  <c r="V513" i="163"/>
  <c r="T502" i="163"/>
  <c r="Y502" i="163" s="1"/>
  <c r="X492" i="163"/>
  <c r="V481" i="163"/>
  <c r="T470" i="163"/>
  <c r="Q470" i="163" s="1"/>
  <c r="X460" i="163"/>
  <c r="V449" i="163"/>
  <c r="T438" i="163"/>
  <c r="X428" i="163"/>
  <c r="V417" i="163"/>
  <c r="T406" i="163"/>
  <c r="R406" i="163" s="1"/>
  <c r="X396" i="163"/>
  <c r="V385" i="163"/>
  <c r="T374" i="163"/>
  <c r="X364" i="163"/>
  <c r="V353" i="163"/>
  <c r="T342" i="163"/>
  <c r="X332" i="163"/>
  <c r="U513" i="163"/>
  <c r="S502" i="163"/>
  <c r="W492" i="163"/>
  <c r="U481" i="163"/>
  <c r="S470" i="163"/>
  <c r="W460" i="163"/>
  <c r="U449" i="163"/>
  <c r="S438" i="163"/>
  <c r="W428" i="163"/>
  <c r="U417" i="163"/>
  <c r="S406" i="163"/>
  <c r="W396" i="163"/>
  <c r="U385" i="163"/>
  <c r="S374" i="163"/>
  <c r="W364" i="163"/>
  <c r="U353" i="163"/>
  <c r="S342" i="163"/>
  <c r="W332" i="163"/>
  <c r="U321" i="163"/>
  <c r="T513" i="163"/>
  <c r="Y513" i="163" s="1"/>
  <c r="X503" i="163"/>
  <c r="V492" i="163"/>
  <c r="T481" i="163"/>
  <c r="X471" i="163"/>
  <c r="V460" i="163"/>
  <c r="T449" i="163"/>
  <c r="X439" i="163"/>
  <c r="V428" i="163"/>
  <c r="T417" i="163"/>
  <c r="X407" i="163"/>
  <c r="V396" i="163"/>
  <c r="T385" i="163"/>
  <c r="R385" i="163" s="1"/>
  <c r="X375" i="163"/>
  <c r="V364" i="163"/>
  <c r="T353" i="163"/>
  <c r="Q353" i="163" s="1"/>
  <c r="X343" i="163"/>
  <c r="V332" i="163"/>
  <c r="T321" i="163"/>
  <c r="Q321" i="163" s="1"/>
  <c r="W326" i="163"/>
  <c r="T312" i="163"/>
  <c r="R312" i="163" s="1"/>
  <c r="X302" i="163"/>
  <c r="V291" i="163"/>
  <c r="T280" i="163"/>
  <c r="X270" i="163"/>
  <c r="V259" i="163"/>
  <c r="T248" i="163"/>
  <c r="R248" i="163" s="1"/>
  <c r="X238" i="163"/>
  <c r="V227" i="163"/>
  <c r="T216" i="163"/>
  <c r="Y216" i="163" s="1"/>
  <c r="X206" i="163"/>
  <c r="V195" i="163"/>
  <c r="T184" i="163"/>
  <c r="X174" i="163"/>
  <c r="V163" i="163"/>
  <c r="T152" i="163"/>
  <c r="X142" i="163"/>
  <c r="V131" i="163"/>
  <c r="T120" i="163"/>
  <c r="X110" i="163"/>
  <c r="V99" i="163"/>
  <c r="T88" i="163"/>
  <c r="X78" i="163"/>
  <c r="V67" i="163"/>
  <c r="T56" i="163"/>
  <c r="R56" i="163" s="1"/>
  <c r="X46" i="163"/>
  <c r="X35" i="163"/>
  <c r="V24" i="163"/>
  <c r="X318" i="163"/>
  <c r="W306" i="163"/>
  <c r="U295" i="163"/>
  <c r="S284" i="163"/>
  <c r="W274" i="163"/>
  <c r="U263" i="163"/>
  <c r="S252" i="163"/>
  <c r="W242" i="163"/>
  <c r="U231" i="163"/>
  <c r="S220" i="163"/>
  <c r="W210" i="163"/>
  <c r="U199" i="163"/>
  <c r="S188" i="163"/>
  <c r="W178" i="163"/>
  <c r="U167" i="163"/>
  <c r="S156" i="163"/>
  <c r="W146" i="163"/>
  <c r="U135" i="163"/>
  <c r="S124" i="163"/>
  <c r="W114" i="163"/>
  <c r="U103" i="163"/>
  <c r="S92" i="163"/>
  <c r="W82" i="163"/>
  <c r="U71" i="163"/>
  <c r="S60" i="163"/>
  <c r="W50" i="163"/>
  <c r="W39" i="163"/>
  <c r="U326" i="163"/>
  <c r="X313" i="163"/>
  <c r="V302" i="163"/>
  <c r="T291" i="163"/>
  <c r="X281" i="163"/>
  <c r="V270" i="163"/>
  <c r="T259" i="163"/>
  <c r="X249" i="163"/>
  <c r="V238" i="163"/>
  <c r="T227" i="163"/>
  <c r="R227" i="163" s="1"/>
  <c r="X217" i="163"/>
  <c r="V206" i="163"/>
  <c r="T195" i="163"/>
  <c r="Y195" i="163" s="1"/>
  <c r="X185" i="163"/>
  <c r="V174" i="163"/>
  <c r="T163" i="163"/>
  <c r="X153" i="163"/>
  <c r="V142" i="163"/>
  <c r="T131" i="163"/>
  <c r="R131" i="163" s="1"/>
  <c r="X121" i="163"/>
  <c r="V110" i="163"/>
  <c r="T99" i="163"/>
  <c r="X89" i="163"/>
  <c r="V78" i="163"/>
  <c r="T67" i="163"/>
  <c r="X57" i="163"/>
  <c r="V46" i="163"/>
  <c r="T36" i="163"/>
  <c r="T323" i="163"/>
  <c r="Y323" i="163" s="1"/>
  <c r="X312" i="163"/>
  <c r="V301" i="163"/>
  <c r="T290" i="163"/>
  <c r="X280" i="163"/>
  <c r="V269" i="163"/>
  <c r="T258" i="163"/>
  <c r="Y258" i="163" s="1"/>
  <c r="X248" i="163"/>
  <c r="V237" i="163"/>
  <c r="T226" i="163"/>
  <c r="X216" i="163"/>
  <c r="V205" i="163"/>
  <c r="T194" i="163"/>
  <c r="X184" i="163"/>
  <c r="V173" i="163"/>
  <c r="T162" i="163"/>
  <c r="Q162" i="163" s="1"/>
  <c r="X152" i="163"/>
  <c r="V141" i="163"/>
  <c r="T130" i="163"/>
  <c r="X120" i="163"/>
  <c r="V109" i="163"/>
  <c r="T98" i="163"/>
  <c r="Q98" i="163" s="1"/>
  <c r="X88" i="163"/>
  <c r="V77" i="163"/>
  <c r="T66" i="163"/>
  <c r="Q66" i="163" s="1"/>
  <c r="X56" i="163"/>
  <c r="V45" i="163"/>
  <c r="V34" i="163"/>
  <c r="S323" i="163"/>
  <c r="W312" i="163"/>
  <c r="U301" i="163"/>
  <c r="S290" i="163"/>
  <c r="W280" i="163"/>
  <c r="U269" i="163"/>
  <c r="S258" i="163"/>
  <c r="W248" i="163"/>
  <c r="U237" i="163"/>
  <c r="S226" i="163"/>
  <c r="W216" i="163"/>
  <c r="U205" i="163"/>
  <c r="S194" i="163"/>
  <c r="W184" i="163"/>
  <c r="U173" i="163"/>
  <c r="S162" i="163"/>
  <c r="W152" i="163"/>
  <c r="U141" i="163"/>
  <c r="S130" i="163"/>
  <c r="W120" i="163"/>
  <c r="U109" i="163"/>
  <c r="S98" i="163"/>
  <c r="W88" i="163"/>
  <c r="U77" i="163"/>
  <c r="S66" i="163"/>
  <c r="W56" i="163"/>
  <c r="U45" i="163"/>
  <c r="S35" i="163"/>
  <c r="W25" i="163"/>
  <c r="V312" i="163"/>
  <c r="T301" i="163"/>
  <c r="X291" i="163"/>
  <c r="V280" i="163"/>
  <c r="T269" i="163"/>
  <c r="X259" i="163"/>
  <c r="V248" i="163"/>
  <c r="T237" i="163"/>
  <c r="Q237" i="163" s="1"/>
  <c r="X227" i="163"/>
  <c r="V216" i="163"/>
  <c r="T205" i="163"/>
  <c r="X195" i="163"/>
  <c r="V184" i="163"/>
  <c r="T173" i="163"/>
  <c r="Y173" i="163" s="1"/>
  <c r="X163" i="163"/>
  <c r="V152" i="163"/>
  <c r="T141" i="163"/>
  <c r="Y141" i="163" s="1"/>
  <c r="X131" i="163"/>
  <c r="V120" i="163"/>
  <c r="T109" i="163"/>
  <c r="X99" i="163"/>
  <c r="V88" i="163"/>
  <c r="T77" i="163"/>
  <c r="R77" i="163" s="1"/>
  <c r="X67" i="163"/>
  <c r="V56" i="163"/>
  <c r="T45" i="163"/>
  <c r="T34" i="163"/>
  <c r="X24" i="163"/>
  <c r="X317" i="163"/>
  <c r="S305" i="163"/>
  <c r="W295" i="163"/>
  <c r="U284" i="163"/>
  <c r="S273" i="163"/>
  <c r="W263" i="163"/>
  <c r="U252" i="163"/>
  <c r="S241" i="163"/>
  <c r="W231" i="163"/>
  <c r="U220" i="163"/>
  <c r="S209" i="163"/>
  <c r="W199" i="163"/>
  <c r="U188" i="163"/>
  <c r="S177" i="163"/>
  <c r="W167" i="163"/>
  <c r="U156" i="163"/>
  <c r="S145" i="163"/>
  <c r="W135" i="163"/>
  <c r="U124" i="163"/>
  <c r="S113" i="163"/>
  <c r="W103" i="163"/>
  <c r="U92" i="163"/>
  <c r="S81" i="163"/>
  <c r="W71" i="163"/>
  <c r="U60" i="163"/>
  <c r="S49" i="163"/>
  <c r="S38" i="163"/>
  <c r="W28" i="163"/>
  <c r="W297" i="163"/>
  <c r="S219" i="163"/>
  <c r="U130" i="163"/>
  <c r="W41" i="163"/>
  <c r="V18" i="163"/>
  <c r="W229" i="163"/>
  <c r="S151" i="163"/>
  <c r="U62" i="163"/>
  <c r="U314" i="163"/>
  <c r="W225" i="163"/>
  <c r="S147" i="163"/>
  <c r="U58" i="163"/>
  <c r="S19" i="163"/>
  <c r="S271" i="163"/>
  <c r="U182" i="163"/>
  <c r="W93" i="163"/>
  <c r="W23" i="163"/>
  <c r="U274" i="163"/>
  <c r="W185" i="163"/>
  <c r="S107" i="163"/>
  <c r="T24" i="163"/>
  <c r="Y24" i="163" s="1"/>
  <c r="U270" i="163"/>
  <c r="W181" i="163"/>
  <c r="S103" i="163"/>
  <c r="S24" i="163"/>
  <c r="S291" i="163"/>
  <c r="U202" i="163"/>
  <c r="W113" i="163"/>
  <c r="U35" i="163"/>
  <c r="U294" i="163"/>
  <c r="W205" i="163"/>
  <c r="S127" i="163"/>
  <c r="W38" i="163"/>
  <c r="S513" i="163"/>
  <c r="U492" i="163"/>
  <c r="W471" i="163"/>
  <c r="S449" i="163"/>
  <c r="U428" i="163"/>
  <c r="W407" i="163"/>
  <c r="S385" i="163"/>
  <c r="U364" i="163"/>
  <c r="W343" i="163"/>
  <c r="X518" i="163"/>
  <c r="T496" i="163"/>
  <c r="V475" i="163"/>
  <c r="X454" i="163"/>
  <c r="T432" i="163"/>
  <c r="V411" i="163"/>
  <c r="X390" i="163"/>
  <c r="T368" i="163"/>
  <c r="V347" i="163"/>
  <c r="S512" i="163"/>
  <c r="U491" i="163"/>
  <c r="W470" i="163"/>
  <c r="S448" i="163"/>
  <c r="U427" i="163"/>
  <c r="W406" i="163"/>
  <c r="S384" i="163"/>
  <c r="U363" i="163"/>
  <c r="W342" i="163"/>
  <c r="X513" i="163"/>
  <c r="T491" i="163"/>
  <c r="Q491" i="163" s="1"/>
  <c r="V470" i="163"/>
  <c r="X449" i="163"/>
  <c r="T427" i="163"/>
  <c r="Q427" i="163" s="1"/>
  <c r="V406" i="163"/>
  <c r="X385" i="163"/>
  <c r="T363" i="163"/>
  <c r="V342" i="163"/>
  <c r="W513" i="163"/>
  <c r="S491" i="163"/>
  <c r="U470" i="163"/>
  <c r="W449" i="163"/>
  <c r="S427" i="163"/>
  <c r="U406" i="163"/>
  <c r="W385" i="163"/>
  <c r="S363" i="163"/>
  <c r="U342" i="163"/>
  <c r="X508" i="163"/>
  <c r="T486" i="163"/>
  <c r="V465" i="163"/>
  <c r="X444" i="163"/>
  <c r="T422" i="163"/>
  <c r="V401" i="163"/>
  <c r="X380" i="163"/>
  <c r="T358" i="163"/>
  <c r="V337" i="163"/>
  <c r="W508" i="163"/>
  <c r="S486" i="163"/>
  <c r="U465" i="163"/>
  <c r="W444" i="163"/>
  <c r="S422" i="163"/>
  <c r="U401" i="163"/>
  <c r="W380" i="163"/>
  <c r="S358" i="163"/>
  <c r="U337" i="163"/>
  <c r="W316" i="163"/>
  <c r="T497" i="163"/>
  <c r="R497" i="163" s="1"/>
  <c r="V476" i="163"/>
  <c r="X455" i="163"/>
  <c r="T433" i="163"/>
  <c r="V412" i="163"/>
  <c r="X391" i="163"/>
  <c r="T369" i="163"/>
  <c r="V348" i="163"/>
  <c r="X327" i="163"/>
  <c r="S319" i="163"/>
  <c r="T296" i="163"/>
  <c r="V275" i="163"/>
  <c r="X254" i="163"/>
  <c r="T232" i="163"/>
  <c r="V211" i="163"/>
  <c r="X190" i="163"/>
  <c r="T168" i="163"/>
  <c r="V147" i="163"/>
  <c r="X126" i="163"/>
  <c r="T104" i="163"/>
  <c r="Q104" i="163" s="1"/>
  <c r="V83" i="163"/>
  <c r="X62" i="163"/>
  <c r="U40" i="163"/>
  <c r="V326" i="163"/>
  <c r="S300" i="163"/>
  <c r="U279" i="163"/>
  <c r="W258" i="163"/>
  <c r="S236" i="163"/>
  <c r="U215" i="163"/>
  <c r="W194" i="163"/>
  <c r="S172" i="163"/>
  <c r="U151" i="163"/>
  <c r="W130" i="163"/>
  <c r="S108" i="163"/>
  <c r="U87" i="163"/>
  <c r="W66" i="163"/>
  <c r="S44" i="163"/>
  <c r="W318" i="163"/>
  <c r="X297" i="163"/>
  <c r="T275" i="163"/>
  <c r="R275" i="163" s="1"/>
  <c r="V254" i="163"/>
  <c r="X233" i="163"/>
  <c r="T211" i="163"/>
  <c r="V190" i="163"/>
  <c r="X169" i="163"/>
  <c r="T147" i="163"/>
  <c r="V126" i="163"/>
  <c r="X105" i="163"/>
  <c r="T83" i="163"/>
  <c r="Q83" i="163" s="1"/>
  <c r="V62" i="163"/>
  <c r="X41" i="163"/>
  <c r="U318" i="163"/>
  <c r="X296" i="163"/>
  <c r="T274" i="163"/>
  <c r="V253" i="163"/>
  <c r="X232" i="163"/>
  <c r="T210" i="163"/>
  <c r="Y210" i="163" s="1"/>
  <c r="V189" i="163"/>
  <c r="X168" i="163"/>
  <c r="T146" i="163"/>
  <c r="Q146" i="163" s="1"/>
  <c r="V125" i="163"/>
  <c r="X104" i="163"/>
  <c r="T82" i="163"/>
  <c r="V61" i="163"/>
  <c r="T39" i="163"/>
  <c r="R39" i="163" s="1"/>
  <c r="X316" i="163"/>
  <c r="W296" i="163"/>
  <c r="S274" i="163"/>
  <c r="U253" i="163"/>
  <c r="W232" i="163"/>
  <c r="S210" i="163"/>
  <c r="U189" i="163"/>
  <c r="W168" i="163"/>
  <c r="S146" i="163"/>
  <c r="U125" i="163"/>
  <c r="W104" i="163"/>
  <c r="S82" i="163"/>
  <c r="U61" i="163"/>
  <c r="X40" i="163"/>
  <c r="U319" i="163"/>
  <c r="V296" i="163"/>
  <c r="X275" i="163"/>
  <c r="T253" i="163"/>
  <c r="V232" i="163"/>
  <c r="X211" i="163"/>
  <c r="T189" i="163"/>
  <c r="V168" i="163"/>
  <c r="X147" i="163"/>
  <c r="T125" i="163"/>
  <c r="V104" i="163"/>
  <c r="X83" i="163"/>
  <c r="T61" i="163"/>
  <c r="W40" i="163"/>
  <c r="X324" i="163"/>
  <c r="U300" i="163"/>
  <c r="W279" i="163"/>
  <c r="S257" i="163"/>
  <c r="U236" i="163"/>
  <c r="W215" i="163"/>
  <c r="S193" i="163"/>
  <c r="U172" i="163"/>
  <c r="W151" i="163"/>
  <c r="S129" i="163"/>
  <c r="U108" i="163"/>
  <c r="W87" i="163"/>
  <c r="S65" i="163"/>
  <c r="U44" i="163"/>
  <c r="T22" i="163"/>
  <c r="Y22" i="163" s="1"/>
  <c r="W169" i="163"/>
  <c r="V27" i="163"/>
  <c r="U190" i="163"/>
  <c r="W26" i="163"/>
  <c r="U186" i="163"/>
  <c r="V26" i="163"/>
  <c r="W221" i="163"/>
  <c r="U54" i="163"/>
  <c r="S235" i="163"/>
  <c r="W57" i="163"/>
  <c r="S231" i="163"/>
  <c r="W53" i="163"/>
  <c r="W241" i="163"/>
  <c r="U74" i="163"/>
  <c r="S255" i="163"/>
  <c r="W77" i="163"/>
  <c r="U512" i="163"/>
  <c r="W491" i="163"/>
  <c r="S469" i="163"/>
  <c r="U448" i="163"/>
  <c r="W427" i="163"/>
  <c r="S405" i="163"/>
  <c r="U384" i="163"/>
  <c r="W363" i="163"/>
  <c r="S341" i="163"/>
  <c r="T516" i="163"/>
  <c r="V495" i="163"/>
  <c r="X474" i="163"/>
  <c r="T452" i="163"/>
  <c r="V431" i="163"/>
  <c r="X410" i="163"/>
  <c r="T388" i="163"/>
  <c r="Q388" i="163" s="1"/>
  <c r="V367" i="163"/>
  <c r="X346" i="163"/>
  <c r="U511" i="163"/>
  <c r="W490" i="163"/>
  <c r="S468" i="163"/>
  <c r="U447" i="163"/>
  <c r="W426" i="163"/>
  <c r="S404" i="163"/>
  <c r="U383" i="163"/>
  <c r="W362" i="163"/>
  <c r="S340" i="163"/>
  <c r="T511" i="163"/>
  <c r="V490" i="163"/>
  <c r="X469" i="163"/>
  <c r="T447" i="163"/>
  <c r="V426" i="163"/>
  <c r="X405" i="163"/>
  <c r="T383" i="163"/>
  <c r="V362" i="163"/>
  <c r="X341" i="163"/>
  <c r="S511" i="163"/>
  <c r="U490" i="163"/>
  <c r="W469" i="163"/>
  <c r="S447" i="163"/>
  <c r="U426" i="163"/>
  <c r="W405" i="163"/>
  <c r="S383" i="163"/>
  <c r="U362" i="163"/>
  <c r="W341" i="163"/>
  <c r="T506" i="163"/>
  <c r="R506" i="163" s="1"/>
  <c r="V485" i="163"/>
  <c r="X464" i="163"/>
  <c r="T442" i="163"/>
  <c r="Y442" i="163" s="1"/>
  <c r="V421" i="163"/>
  <c r="X400" i="163"/>
  <c r="T378" i="163"/>
  <c r="Q378" i="163" s="1"/>
  <c r="V357" i="163"/>
  <c r="X336" i="163"/>
  <c r="S506" i="163"/>
  <c r="U485" i="163"/>
  <c r="W464" i="163"/>
  <c r="S442" i="163"/>
  <c r="U421" i="163"/>
  <c r="W400" i="163"/>
  <c r="S378" i="163"/>
  <c r="U357" i="163"/>
  <c r="W336" i="163"/>
  <c r="T517" i="163"/>
  <c r="R517" i="163" s="1"/>
  <c r="V496" i="163"/>
  <c r="X475" i="163"/>
  <c r="T453" i="163"/>
  <c r="V432" i="163"/>
  <c r="X411" i="163"/>
  <c r="T389" i="163"/>
  <c r="Y389" i="163" s="1"/>
  <c r="V368" i="163"/>
  <c r="X347" i="163"/>
  <c r="T325" i="163"/>
  <c r="R325" i="163" s="1"/>
  <c r="W317" i="163"/>
  <c r="V295" i="163"/>
  <c r="X274" i="163"/>
  <c r="T252" i="163"/>
  <c r="V231" i="163"/>
  <c r="X210" i="163"/>
  <c r="T188" i="163"/>
  <c r="Q188" i="163" s="1"/>
  <c r="V167" i="163"/>
  <c r="X146" i="163"/>
  <c r="T124" i="163"/>
  <c r="V103" i="163"/>
  <c r="X82" i="163"/>
  <c r="T60" i="163"/>
  <c r="R60" i="163" s="1"/>
  <c r="X39" i="163"/>
  <c r="S324" i="163"/>
  <c r="U299" i="163"/>
  <c r="W278" i="163"/>
  <c r="S256" i="163"/>
  <c r="U235" i="163"/>
  <c r="W214" i="163"/>
  <c r="S192" i="163"/>
  <c r="U171" i="163"/>
  <c r="W150" i="163"/>
  <c r="S128" i="163"/>
  <c r="U107" i="163"/>
  <c r="W86" i="163"/>
  <c r="S64" i="163"/>
  <c r="U43" i="163"/>
  <c r="S317" i="163"/>
  <c r="T295" i="163"/>
  <c r="V274" i="163"/>
  <c r="X253" i="163"/>
  <c r="T231" i="163"/>
  <c r="V210" i="163"/>
  <c r="X189" i="163"/>
  <c r="T167" i="163"/>
  <c r="V146" i="163"/>
  <c r="X125" i="163"/>
  <c r="T103" i="163"/>
  <c r="R103" i="163" s="1"/>
  <c r="V82" i="163"/>
  <c r="X61" i="163"/>
  <c r="S40" i="163"/>
  <c r="U315" i="163"/>
  <c r="T294" i="163"/>
  <c r="R294" i="163" s="1"/>
  <c r="V273" i="163"/>
  <c r="X252" i="163"/>
  <c r="T230" i="163"/>
  <c r="R230" i="163" s="1"/>
  <c r="V209" i="163"/>
  <c r="X188" i="163"/>
  <c r="T166" i="163"/>
  <c r="V145" i="163"/>
  <c r="X124" i="163"/>
  <c r="T102" i="163"/>
  <c r="V81" i="163"/>
  <c r="X60" i="163"/>
  <c r="V38" i="163"/>
  <c r="T315" i="163"/>
  <c r="S294" i="163"/>
  <c r="U273" i="163"/>
  <c r="W252" i="163"/>
  <c r="S230" i="163"/>
  <c r="U209" i="163"/>
  <c r="W188" i="163"/>
  <c r="S166" i="163"/>
  <c r="U145" i="163"/>
  <c r="W124" i="163"/>
  <c r="S102" i="163"/>
  <c r="U81" i="163"/>
  <c r="W60" i="163"/>
  <c r="S39" i="163"/>
  <c r="U316" i="163"/>
  <c r="X295" i="163"/>
  <c r="T273" i="163"/>
  <c r="V252" i="163"/>
  <c r="X231" i="163"/>
  <c r="T209" i="163"/>
  <c r="R209" i="163" s="1"/>
  <c r="V188" i="163"/>
  <c r="X167" i="163"/>
  <c r="T145" i="163"/>
  <c r="R145" i="163" s="1"/>
  <c r="V124" i="163"/>
  <c r="X103" i="163"/>
  <c r="T81" i="163"/>
  <c r="V60" i="163"/>
  <c r="T38" i="163"/>
  <c r="U322" i="163"/>
  <c r="W299" i="163"/>
  <c r="S277" i="163"/>
  <c r="U256" i="163"/>
  <c r="W235" i="163"/>
  <c r="S213" i="163"/>
  <c r="U192" i="163"/>
  <c r="W171" i="163"/>
  <c r="S149" i="163"/>
  <c r="U128" i="163"/>
  <c r="W107" i="163"/>
  <c r="S85" i="163"/>
  <c r="U64" i="163"/>
  <c r="W43" i="163"/>
  <c r="V21" i="163"/>
  <c r="U162" i="163"/>
  <c r="X26" i="163"/>
  <c r="S183" i="163"/>
  <c r="W21" i="163"/>
  <c r="S179" i="163"/>
  <c r="X25" i="163"/>
  <c r="U214" i="163"/>
  <c r="S47" i="163"/>
  <c r="W217" i="163"/>
  <c r="U50" i="163"/>
  <c r="W213" i="163"/>
  <c r="U46" i="163"/>
  <c r="U234" i="163"/>
  <c r="S67" i="163"/>
  <c r="W237" i="163"/>
  <c r="U70" i="163"/>
  <c r="W511" i="163"/>
  <c r="S489" i="163"/>
  <c r="U468" i="163"/>
  <c r="W447" i="163"/>
  <c r="S425" i="163"/>
  <c r="U404" i="163"/>
  <c r="W383" i="163"/>
  <c r="S361" i="163"/>
  <c r="U340" i="163"/>
  <c r="V515" i="163"/>
  <c r="X494" i="163"/>
  <c r="T472" i="163"/>
  <c r="R472" i="163" s="1"/>
  <c r="V451" i="163"/>
  <c r="X430" i="163"/>
  <c r="T408" i="163"/>
  <c r="V387" i="163"/>
  <c r="X366" i="163"/>
  <c r="T344" i="163"/>
  <c r="W510" i="163"/>
  <c r="S488" i="163"/>
  <c r="U467" i="163"/>
  <c r="W446" i="163"/>
  <c r="S424" i="163"/>
  <c r="U403" i="163"/>
  <c r="W382" i="163"/>
  <c r="S360" i="163"/>
  <c r="U339" i="163"/>
  <c r="V510" i="163"/>
  <c r="X489" i="163"/>
  <c r="T467" i="163"/>
  <c r="Q467" i="163" s="1"/>
  <c r="V446" i="163"/>
  <c r="X425" i="163"/>
  <c r="T403" i="163"/>
  <c r="V382" i="163"/>
  <c r="X361" i="163"/>
  <c r="T339" i="163"/>
  <c r="Y339" i="163" s="1"/>
  <c r="U510" i="163"/>
  <c r="W489" i="163"/>
  <c r="S467" i="163"/>
  <c r="U446" i="163"/>
  <c r="W425" i="163"/>
  <c r="S403" i="163"/>
  <c r="U382" i="163"/>
  <c r="W361" i="163"/>
  <c r="S339" i="163"/>
  <c r="V505" i="163"/>
  <c r="X484" i="163"/>
  <c r="T462" i="163"/>
  <c r="R462" i="163" s="1"/>
  <c r="V441" i="163"/>
  <c r="X420" i="163"/>
  <c r="T398" i="163"/>
  <c r="V377" i="163"/>
  <c r="X356" i="163"/>
  <c r="T334" i="163"/>
  <c r="U505" i="163"/>
  <c r="W484" i="163"/>
  <c r="S462" i="163"/>
  <c r="U441" i="163"/>
  <c r="W420" i="163"/>
  <c r="S398" i="163"/>
  <c r="U377" i="163"/>
  <c r="W356" i="163"/>
  <c r="S334" i="163"/>
  <c r="V516" i="163"/>
  <c r="X495" i="163"/>
  <c r="T473" i="163"/>
  <c r="R473" i="163" s="1"/>
  <c r="V452" i="163"/>
  <c r="X431" i="163"/>
  <c r="T409" i="163"/>
  <c r="Q409" i="163" s="1"/>
  <c r="V388" i="163"/>
  <c r="X367" i="163"/>
  <c r="T345" i="163"/>
  <c r="Q345" i="163" s="1"/>
  <c r="V324" i="163"/>
  <c r="S316" i="163"/>
  <c r="X294" i="163"/>
  <c r="T272" i="163"/>
  <c r="R272" i="163" s="1"/>
  <c r="V251" i="163"/>
  <c r="X230" i="163"/>
  <c r="T208" i="163"/>
  <c r="Q208" i="163" s="1"/>
  <c r="V187" i="163"/>
  <c r="X166" i="163"/>
  <c r="T144" i="163"/>
  <c r="R144" i="163" s="1"/>
  <c r="V123" i="163"/>
  <c r="X102" i="163"/>
  <c r="T80" i="163"/>
  <c r="Y80" i="163" s="1"/>
  <c r="V59" i="163"/>
  <c r="T37" i="163"/>
  <c r="X321" i="163"/>
  <c r="W298" i="163"/>
  <c r="S276" i="163"/>
  <c r="U255" i="163"/>
  <c r="W234" i="163"/>
  <c r="S212" i="163"/>
  <c r="U191" i="163"/>
  <c r="W170" i="163"/>
  <c r="S148" i="163"/>
  <c r="U127" i="163"/>
  <c r="W106" i="163"/>
  <c r="S84" i="163"/>
  <c r="U63" i="163"/>
  <c r="W42" i="163"/>
  <c r="W315" i="163"/>
  <c r="V294" i="163"/>
  <c r="X273" i="163"/>
  <c r="T251" i="163"/>
  <c r="Q251" i="163" s="1"/>
  <c r="V230" i="163"/>
  <c r="X209" i="163"/>
  <c r="T187" i="163"/>
  <c r="R187" i="163" s="1"/>
  <c r="V166" i="163"/>
  <c r="X145" i="163"/>
  <c r="T123" i="163"/>
  <c r="V102" i="163"/>
  <c r="X81" i="163"/>
  <c r="T59" i="163"/>
  <c r="V39" i="163"/>
  <c r="T314" i="163"/>
  <c r="Q314" i="163" s="1"/>
  <c r="V293" i="163"/>
  <c r="X272" i="163"/>
  <c r="T250" i="163"/>
  <c r="Q250" i="163" s="1"/>
  <c r="V229" i="163"/>
  <c r="X208" i="163"/>
  <c r="T186" i="163"/>
  <c r="R186" i="163" s="1"/>
  <c r="V165" i="163"/>
  <c r="X144" i="163"/>
  <c r="T122" i="163"/>
  <c r="Q122" i="163" s="1"/>
  <c r="V101" i="163"/>
  <c r="X80" i="163"/>
  <c r="T58" i="163"/>
  <c r="X37" i="163"/>
  <c r="S314" i="163"/>
  <c r="U293" i="163"/>
  <c r="W272" i="163"/>
  <c r="S250" i="163"/>
  <c r="U229" i="163"/>
  <c r="W208" i="163"/>
  <c r="S186" i="163"/>
  <c r="U165" i="163"/>
  <c r="W144" i="163"/>
  <c r="S122" i="163"/>
  <c r="U101" i="163"/>
  <c r="W80" i="163"/>
  <c r="S58" i="163"/>
  <c r="U38" i="163"/>
  <c r="S315" i="163"/>
  <c r="T293" i="163"/>
  <c r="R293" i="163" s="1"/>
  <c r="V272" i="163"/>
  <c r="X251" i="163"/>
  <c r="T229" i="163"/>
  <c r="V208" i="163"/>
  <c r="X187" i="163"/>
  <c r="T165" i="163"/>
  <c r="V144" i="163"/>
  <c r="X123" i="163"/>
  <c r="T101" i="163"/>
  <c r="V80" i="163"/>
  <c r="X59" i="163"/>
  <c r="V37" i="163"/>
  <c r="X320" i="163"/>
  <c r="S297" i="163"/>
  <c r="U276" i="163"/>
  <c r="W255" i="163"/>
  <c r="S233" i="163"/>
  <c r="U212" i="163"/>
  <c r="W191" i="163"/>
  <c r="S169" i="163"/>
  <c r="U148" i="163"/>
  <c r="W127" i="163"/>
  <c r="S105" i="163"/>
  <c r="U84" i="163"/>
  <c r="W63" i="163"/>
  <c r="S41" i="163"/>
  <c r="X325" i="163"/>
  <c r="S155" i="163"/>
  <c r="X21" i="163"/>
  <c r="W165" i="163"/>
  <c r="T19" i="163"/>
  <c r="W161" i="163"/>
  <c r="U21" i="163"/>
  <c r="S207" i="163"/>
  <c r="S25" i="163"/>
  <c r="U210" i="163"/>
  <c r="S43" i="163"/>
  <c r="U206" i="163"/>
  <c r="U39" i="163"/>
  <c r="S227" i="163"/>
  <c r="W49" i="163"/>
  <c r="U230" i="163"/>
  <c r="S63" i="163"/>
  <c r="S509" i="163"/>
  <c r="U488" i="163"/>
  <c r="W467" i="163"/>
  <c r="S445" i="163"/>
  <c r="U424" i="163"/>
  <c r="W403" i="163"/>
  <c r="S381" i="163"/>
  <c r="U360" i="163"/>
  <c r="W339" i="163"/>
  <c r="X514" i="163"/>
  <c r="T492" i="163"/>
  <c r="V471" i="163"/>
  <c r="X450" i="163"/>
  <c r="T428" i="163"/>
  <c r="Q428" i="163" s="1"/>
  <c r="V407" i="163"/>
  <c r="X386" i="163"/>
  <c r="T364" i="163"/>
  <c r="R364" i="163" s="1"/>
  <c r="V343" i="163"/>
  <c r="S508" i="163"/>
  <c r="U487" i="163"/>
  <c r="W466" i="163"/>
  <c r="S444" i="163"/>
  <c r="U423" i="163"/>
  <c r="W402" i="163"/>
  <c r="S380" i="163"/>
  <c r="U359" i="163"/>
  <c r="W338" i="163"/>
  <c r="X509" i="163"/>
  <c r="T487" i="163"/>
  <c r="R487" i="163" s="1"/>
  <c r="V466" i="163"/>
  <c r="X445" i="163"/>
  <c r="T423" i="163"/>
  <c r="V402" i="163"/>
  <c r="X381" i="163"/>
  <c r="T359" i="163"/>
  <c r="Q359" i="163" s="1"/>
  <c r="V338" i="163"/>
  <c r="W509" i="163"/>
  <c r="S487" i="163"/>
  <c r="U466" i="163"/>
  <c r="W445" i="163"/>
  <c r="S423" i="163"/>
  <c r="U402" i="163"/>
  <c r="W381" i="163"/>
  <c r="S359" i="163"/>
  <c r="U338" i="163"/>
  <c r="X504" i="163"/>
  <c r="T482" i="163"/>
  <c r="V461" i="163"/>
  <c r="X440" i="163"/>
  <c r="T418" i="163"/>
  <c r="Y418" i="163" s="1"/>
  <c r="V397" i="163"/>
  <c r="X376" i="163"/>
  <c r="T354" i="163"/>
  <c r="V333" i="163"/>
  <c r="W504" i="163"/>
  <c r="S482" i="163"/>
  <c r="U461" i="163"/>
  <c r="W440" i="163"/>
  <c r="S418" i="163"/>
  <c r="U397" i="163"/>
  <c r="W376" i="163"/>
  <c r="S354" i="163"/>
  <c r="U333" i="163"/>
  <c r="X515" i="163"/>
  <c r="T493" i="163"/>
  <c r="Q493" i="163" s="1"/>
  <c r="V472" i="163"/>
  <c r="X451" i="163"/>
  <c r="T429" i="163"/>
  <c r="V408" i="163"/>
  <c r="X387" i="163"/>
  <c r="T365" i="163"/>
  <c r="V344" i="163"/>
  <c r="X323" i="163"/>
  <c r="X314" i="163"/>
  <c r="T292" i="163"/>
  <c r="Q292" i="163" s="1"/>
  <c r="V271" i="163"/>
  <c r="X250" i="163"/>
  <c r="T228" i="163"/>
  <c r="V207" i="163"/>
  <c r="X186" i="163"/>
  <c r="T164" i="163"/>
  <c r="R164" i="163" s="1"/>
  <c r="V143" i="163"/>
  <c r="X122" i="163"/>
  <c r="T100" i="163"/>
  <c r="Q100" i="163" s="1"/>
  <c r="V79" i="163"/>
  <c r="X58" i="163"/>
  <c r="V36" i="163"/>
  <c r="T320" i="163"/>
  <c r="S296" i="163"/>
  <c r="U275" i="163"/>
  <c r="W254" i="163"/>
  <c r="S232" i="163"/>
  <c r="U211" i="163"/>
  <c r="W190" i="163"/>
  <c r="S168" i="163"/>
  <c r="U147" i="163"/>
  <c r="W126" i="163"/>
  <c r="S104" i="163"/>
  <c r="U83" i="163"/>
  <c r="W62" i="163"/>
  <c r="T40" i="163"/>
  <c r="R40" i="163" s="1"/>
  <c r="V314" i="163"/>
  <c r="X293" i="163"/>
  <c r="T271" i="163"/>
  <c r="V250" i="163"/>
  <c r="X229" i="163"/>
  <c r="T207" i="163"/>
  <c r="V186" i="163"/>
  <c r="X165" i="163"/>
  <c r="T143" i="163"/>
  <c r="R143" i="163" s="1"/>
  <c r="V122" i="163"/>
  <c r="X101" i="163"/>
  <c r="T79" i="163"/>
  <c r="Y79" i="163" s="1"/>
  <c r="V58" i="163"/>
  <c r="X38" i="163"/>
  <c r="V313" i="163"/>
  <c r="X292" i="163"/>
  <c r="T270" i="163"/>
  <c r="R270" i="163" s="1"/>
  <c r="V249" i="163"/>
  <c r="X228" i="163"/>
  <c r="T206" i="163"/>
  <c r="R206" i="163" s="1"/>
  <c r="V185" i="163"/>
  <c r="X164" i="163"/>
  <c r="T142" i="163"/>
  <c r="V121" i="163"/>
  <c r="X100" i="163"/>
  <c r="T78" i="163"/>
  <c r="V57" i="163"/>
  <c r="T35" i="163"/>
  <c r="R35" i="163" s="1"/>
  <c r="U313" i="163"/>
  <c r="W292" i="163"/>
  <c r="S270" i="163"/>
  <c r="U249" i="163"/>
  <c r="W228" i="163"/>
  <c r="S206" i="163"/>
  <c r="U185" i="163"/>
  <c r="W164" i="163"/>
  <c r="S142" i="163"/>
  <c r="U121" i="163"/>
  <c r="W100" i="163"/>
  <c r="S78" i="163"/>
  <c r="U57" i="163"/>
  <c r="W37" i="163"/>
  <c r="T313" i="163"/>
  <c r="R313" i="163" s="1"/>
  <c r="V292" i="163"/>
  <c r="X271" i="163"/>
  <c r="T249" i="163"/>
  <c r="R249" i="163" s="1"/>
  <c r="V228" i="163"/>
  <c r="X207" i="163"/>
  <c r="T185" i="163"/>
  <c r="V164" i="163"/>
  <c r="X143" i="163"/>
  <c r="T121" i="163"/>
  <c r="R121" i="163" s="1"/>
  <c r="V100" i="163"/>
  <c r="X79" i="163"/>
  <c r="T57" i="163"/>
  <c r="X36" i="163"/>
  <c r="T319" i="163"/>
  <c r="U296" i="163"/>
  <c r="W275" i="163"/>
  <c r="S253" i="163"/>
  <c r="U232" i="163"/>
  <c r="W211" i="163"/>
  <c r="S189" i="163"/>
  <c r="U168" i="163"/>
  <c r="W147" i="163"/>
  <c r="S125" i="163"/>
  <c r="U104" i="163"/>
  <c r="W83" i="163"/>
  <c r="S61" i="163"/>
  <c r="V40" i="163"/>
  <c r="V315" i="163"/>
  <c r="W137" i="163"/>
  <c r="U19" i="163"/>
  <c r="U158" i="163"/>
  <c r="U18" i="163"/>
  <c r="U154" i="163"/>
  <c r="X20" i="163"/>
  <c r="W189" i="163"/>
  <c r="U24" i="163"/>
  <c r="S203" i="163"/>
  <c r="S36" i="163"/>
  <c r="S199" i="163"/>
  <c r="S32" i="163"/>
  <c r="W209" i="163"/>
  <c r="U42" i="163"/>
  <c r="S223" i="163"/>
  <c r="W45" i="163"/>
  <c r="U480" i="163"/>
  <c r="S437" i="163"/>
  <c r="W395" i="163"/>
  <c r="U352" i="163"/>
  <c r="X506" i="163"/>
  <c r="V463" i="163"/>
  <c r="T420" i="163"/>
  <c r="X378" i="163"/>
  <c r="V335" i="163"/>
  <c r="U479" i="163"/>
  <c r="S436" i="163"/>
  <c r="W394" i="163"/>
  <c r="U351" i="163"/>
  <c r="X501" i="163"/>
  <c r="V458" i="163"/>
  <c r="T415" i="163"/>
  <c r="X373" i="163"/>
  <c r="V330" i="163"/>
  <c r="S479" i="163"/>
  <c r="W437" i="163"/>
  <c r="U394" i="163"/>
  <c r="S351" i="163"/>
  <c r="X496" i="163"/>
  <c r="V453" i="163"/>
  <c r="T410" i="163"/>
  <c r="X368" i="163"/>
  <c r="U517" i="163"/>
  <c r="S474" i="163"/>
  <c r="W432" i="163"/>
  <c r="U389" i="163"/>
  <c r="S346" i="163"/>
  <c r="X507" i="163"/>
  <c r="V464" i="163"/>
  <c r="T421" i="163"/>
  <c r="R421" i="163" s="1"/>
  <c r="X379" i="163"/>
  <c r="V336" i="163"/>
  <c r="X306" i="163"/>
  <c r="V263" i="163"/>
  <c r="T220" i="163"/>
  <c r="X178" i="163"/>
  <c r="V135" i="163"/>
  <c r="T92" i="163"/>
  <c r="Y92" i="163" s="1"/>
  <c r="X50" i="163"/>
  <c r="W310" i="163"/>
  <c r="U267" i="163"/>
  <c r="S224" i="163"/>
  <c r="W182" i="163"/>
  <c r="U139" i="163"/>
  <c r="S96" i="163"/>
  <c r="W54" i="163"/>
  <c r="V306" i="163"/>
  <c r="T263" i="163"/>
  <c r="R263" i="163" s="1"/>
  <c r="X221" i="163"/>
  <c r="V178" i="163"/>
  <c r="T135" i="163"/>
  <c r="X93" i="163"/>
  <c r="V50" i="163"/>
  <c r="V305" i="163"/>
  <c r="T262" i="163"/>
  <c r="X220" i="163"/>
  <c r="V177" i="163"/>
  <c r="T134" i="163"/>
  <c r="X92" i="163"/>
  <c r="V49" i="163"/>
  <c r="U305" i="163"/>
  <c r="S262" i="163"/>
  <c r="W220" i="163"/>
  <c r="U177" i="163"/>
  <c r="S134" i="163"/>
  <c r="W92" i="163"/>
  <c r="U49" i="163"/>
  <c r="T305" i="163"/>
  <c r="Y305" i="163" s="1"/>
  <c r="X263" i="163"/>
  <c r="V220" i="163"/>
  <c r="T177" i="163"/>
  <c r="X135" i="163"/>
  <c r="V92" i="163"/>
  <c r="T49" i="163"/>
  <c r="S309" i="163"/>
  <c r="W267" i="163"/>
  <c r="U224" i="163"/>
  <c r="S181" i="163"/>
  <c r="W139" i="163"/>
  <c r="U96" i="163"/>
  <c r="S53" i="163"/>
  <c r="S251" i="163"/>
  <c r="W261" i="163"/>
  <c r="W257" i="163"/>
  <c r="S303" i="163"/>
  <c r="U306" i="163"/>
  <c r="U302" i="163"/>
  <c r="V321" i="163"/>
  <c r="X18" i="163"/>
  <c r="V19" i="163"/>
  <c r="W479" i="163"/>
  <c r="U436" i="163"/>
  <c r="S393" i="163"/>
  <c r="W351" i="163"/>
  <c r="T504" i="163"/>
  <c r="X462" i="163"/>
  <c r="V419" i="163"/>
  <c r="T376" i="163"/>
  <c r="Y376" i="163" s="1"/>
  <c r="X334" i="163"/>
  <c r="W478" i="163"/>
  <c r="U435" i="163"/>
  <c r="S392" i="163"/>
  <c r="W350" i="163"/>
  <c r="T499" i="163"/>
  <c r="Q499" i="163" s="1"/>
  <c r="X457" i="163"/>
  <c r="V414" i="163"/>
  <c r="T371" i="163"/>
  <c r="X329" i="163"/>
  <c r="U478" i="163"/>
  <c r="S435" i="163"/>
  <c r="W393" i="163"/>
  <c r="U350" i="163"/>
  <c r="T494" i="163"/>
  <c r="Q494" i="163" s="1"/>
  <c r="X452" i="163"/>
  <c r="V409" i="163"/>
  <c r="T366" i="163"/>
  <c r="Y366" i="163" s="1"/>
  <c r="W516" i="163"/>
  <c r="U473" i="163"/>
  <c r="S430" i="163"/>
  <c r="W388" i="163"/>
  <c r="U345" i="163"/>
  <c r="T505" i="163"/>
  <c r="R505" i="163" s="1"/>
  <c r="X463" i="163"/>
  <c r="V420" i="163"/>
  <c r="T377" i="163"/>
  <c r="Q377" i="163" s="1"/>
  <c r="X335" i="163"/>
  <c r="T304" i="163"/>
  <c r="X262" i="163"/>
  <c r="V219" i="163"/>
  <c r="T176" i="163"/>
  <c r="X134" i="163"/>
  <c r="V91" i="163"/>
  <c r="T48" i="163"/>
  <c r="R48" i="163" s="1"/>
  <c r="S308" i="163"/>
  <c r="W266" i="163"/>
  <c r="U223" i="163"/>
  <c r="S180" i="163"/>
  <c r="W138" i="163"/>
  <c r="U95" i="163"/>
  <c r="S52" i="163"/>
  <c r="X305" i="163"/>
  <c r="V262" i="163"/>
  <c r="T219" i="163"/>
  <c r="X177" i="163"/>
  <c r="V134" i="163"/>
  <c r="T91" i="163"/>
  <c r="Y91" i="163" s="1"/>
  <c r="X49" i="163"/>
  <c r="X304" i="163"/>
  <c r="V261" i="163"/>
  <c r="T218" i="163"/>
  <c r="X176" i="163"/>
  <c r="V133" i="163"/>
  <c r="T90" i="163"/>
  <c r="X48" i="163"/>
  <c r="W304" i="163"/>
  <c r="U261" i="163"/>
  <c r="S218" i="163"/>
  <c r="W176" i="163"/>
  <c r="U133" i="163"/>
  <c r="S90" i="163"/>
  <c r="W48" i="163"/>
  <c r="V304" i="163"/>
  <c r="T261" i="163"/>
  <c r="R261" i="163" s="1"/>
  <c r="X219" i="163"/>
  <c r="V176" i="163"/>
  <c r="T133" i="163"/>
  <c r="Y133" i="163" s="1"/>
  <c r="X91" i="163"/>
  <c r="V48" i="163"/>
  <c r="U308" i="163"/>
  <c r="S265" i="163"/>
  <c r="W223" i="163"/>
  <c r="U180" i="163"/>
  <c r="S137" i="163"/>
  <c r="W95" i="163"/>
  <c r="U52" i="163"/>
  <c r="W233" i="163"/>
  <c r="U254" i="163"/>
  <c r="U250" i="163"/>
  <c r="W285" i="163"/>
  <c r="S299" i="163"/>
  <c r="S295" i="163"/>
  <c r="W305" i="163"/>
  <c r="T326" i="163"/>
  <c r="W18" i="163"/>
  <c r="S477" i="163"/>
  <c r="W435" i="163"/>
  <c r="U392" i="163"/>
  <c r="S349" i="163"/>
  <c r="V503" i="163"/>
  <c r="T460" i="163"/>
  <c r="Q460" i="163" s="1"/>
  <c r="X418" i="163"/>
  <c r="V375" i="163"/>
  <c r="T332" i="163"/>
  <c r="Q332" i="163" s="1"/>
  <c r="S476" i="163"/>
  <c r="W434" i="163"/>
  <c r="U391" i="163"/>
  <c r="S348" i="163"/>
  <c r="V498" i="163"/>
  <c r="T455" i="163"/>
  <c r="X413" i="163"/>
  <c r="V370" i="163"/>
  <c r="T327" i="163"/>
  <c r="R327" i="163" s="1"/>
  <c r="W477" i="163"/>
  <c r="U434" i="163"/>
  <c r="S391" i="163"/>
  <c r="W349" i="163"/>
  <c r="V493" i="163"/>
  <c r="T450" i="163"/>
  <c r="Y450" i="163" s="1"/>
  <c r="X408" i="163"/>
  <c r="V365" i="163"/>
  <c r="S514" i="163"/>
  <c r="W472" i="163"/>
  <c r="U429" i="163"/>
  <c r="S386" i="163"/>
  <c r="W344" i="163"/>
  <c r="V504" i="163"/>
  <c r="T461" i="163"/>
  <c r="X419" i="163"/>
  <c r="V376" i="163"/>
  <c r="T333" i="163"/>
  <c r="V303" i="163"/>
  <c r="T260" i="163"/>
  <c r="Q260" i="163" s="1"/>
  <c r="X218" i="163"/>
  <c r="V175" i="163"/>
  <c r="T132" i="163"/>
  <c r="Q132" i="163" s="1"/>
  <c r="X90" i="163"/>
  <c r="V47" i="163"/>
  <c r="U307" i="163"/>
  <c r="S264" i="163"/>
  <c r="W222" i="163"/>
  <c r="U179" i="163"/>
  <c r="S136" i="163"/>
  <c r="W94" i="163"/>
  <c r="U51" i="163"/>
  <c r="T303" i="163"/>
  <c r="Q303" i="163" s="1"/>
  <c r="X261" i="163"/>
  <c r="V218" i="163"/>
  <c r="T175" i="163"/>
  <c r="R175" i="163" s="1"/>
  <c r="X133" i="163"/>
  <c r="V90" i="163"/>
  <c r="T47" i="163"/>
  <c r="Q47" i="163" s="1"/>
  <c r="T302" i="163"/>
  <c r="X260" i="163"/>
  <c r="V217" i="163"/>
  <c r="T174" i="163"/>
  <c r="X132" i="163"/>
  <c r="V89" i="163"/>
  <c r="T46" i="163"/>
  <c r="S302" i="163"/>
  <c r="W260" i="163"/>
  <c r="U217" i="163"/>
  <c r="S174" i="163"/>
  <c r="W132" i="163"/>
  <c r="U89" i="163"/>
  <c r="S46" i="163"/>
  <c r="X303" i="163"/>
  <c r="V260" i="163"/>
  <c r="T217" i="163"/>
  <c r="R217" i="163" s="1"/>
  <c r="X175" i="163"/>
  <c r="V132" i="163"/>
  <c r="T89" i="163"/>
  <c r="X47" i="163"/>
  <c r="W307" i="163"/>
  <c r="U264" i="163"/>
  <c r="S221" i="163"/>
  <c r="W179" i="163"/>
  <c r="U136" i="163"/>
  <c r="S93" i="163"/>
  <c r="W51" i="163"/>
  <c r="U226" i="163"/>
  <c r="S247" i="163"/>
  <c r="S243" i="163"/>
  <c r="U278" i="163"/>
  <c r="W281" i="163"/>
  <c r="W277" i="163"/>
  <c r="U298" i="163"/>
  <c r="W301" i="163"/>
  <c r="S481" i="163"/>
  <c r="W439" i="163"/>
  <c r="U396" i="163"/>
  <c r="S353" i="163"/>
  <c r="V507" i="163"/>
  <c r="T464" i="163"/>
  <c r="X422" i="163"/>
  <c r="V379" i="163"/>
  <c r="T336" i="163"/>
  <c r="S480" i="163"/>
  <c r="W438" i="163"/>
  <c r="U395" i="163"/>
  <c r="S352" i="163"/>
  <c r="V502" i="163"/>
  <c r="T459" i="163"/>
  <c r="Q459" i="163" s="1"/>
  <c r="X417" i="163"/>
  <c r="V374" i="163"/>
  <c r="T331" i="163"/>
  <c r="W481" i="163"/>
  <c r="U438" i="163"/>
  <c r="S395" i="163"/>
  <c r="W353" i="163"/>
  <c r="V497" i="163"/>
  <c r="T454" i="163"/>
  <c r="X412" i="163"/>
  <c r="V369" i="163"/>
  <c r="S518" i="163"/>
  <c r="W476" i="163"/>
  <c r="U433" i="163"/>
  <c r="S390" i="163"/>
  <c r="W348" i="163"/>
  <c r="V508" i="163"/>
  <c r="T465" i="163"/>
  <c r="X423" i="163"/>
  <c r="V380" i="163"/>
  <c r="T337" i="163"/>
  <c r="Y337" i="163" s="1"/>
  <c r="V307" i="163"/>
  <c r="T264" i="163"/>
  <c r="X222" i="163"/>
  <c r="V179" i="163"/>
  <c r="T136" i="163"/>
  <c r="X94" i="163"/>
  <c r="V51" i="163"/>
  <c r="U311" i="163"/>
  <c r="S268" i="163"/>
  <c r="W226" i="163"/>
  <c r="U183" i="163"/>
  <c r="S140" i="163"/>
  <c r="W98" i="163"/>
  <c r="U55" i="163"/>
  <c r="T307" i="163"/>
  <c r="Y307" i="163" s="1"/>
  <c r="X265" i="163"/>
  <c r="V222" i="163"/>
  <c r="T179" i="163"/>
  <c r="Y179" i="163" s="1"/>
  <c r="X137" i="163"/>
  <c r="V94" i="163"/>
  <c r="T51" i="163"/>
  <c r="T306" i="163"/>
  <c r="X264" i="163"/>
  <c r="V221" i="163"/>
  <c r="T178" i="163"/>
  <c r="X136" i="163"/>
  <c r="V93" i="163"/>
  <c r="T50" i="163"/>
  <c r="R50" i="163" s="1"/>
  <c r="S306" i="163"/>
  <c r="W264" i="163"/>
  <c r="U221" i="163"/>
  <c r="S178" i="163"/>
  <c r="W136" i="163"/>
  <c r="U93" i="163"/>
  <c r="S50" i="163"/>
  <c r="X307" i="163"/>
  <c r="V264" i="163"/>
  <c r="T221" i="163"/>
  <c r="Q221" i="163" s="1"/>
  <c r="X179" i="163"/>
  <c r="V136" i="163"/>
  <c r="T93" i="163"/>
  <c r="X51" i="163"/>
  <c r="W311" i="163"/>
  <c r="U268" i="163"/>
  <c r="S225" i="163"/>
  <c r="W183" i="163"/>
  <c r="U140" i="163"/>
  <c r="S97" i="163"/>
  <c r="W55" i="163"/>
  <c r="U258" i="163"/>
  <c r="S279" i="163"/>
  <c r="S275" i="163"/>
  <c r="U310" i="163"/>
  <c r="W313" i="163"/>
  <c r="W309" i="163"/>
  <c r="X19" i="163"/>
  <c r="W19" i="163"/>
  <c r="S20" i="163"/>
  <c r="U460" i="163"/>
  <c r="W375" i="163"/>
  <c r="X486" i="163"/>
  <c r="T400" i="163"/>
  <c r="Q400" i="163" s="1"/>
  <c r="W502" i="163"/>
  <c r="S416" i="163"/>
  <c r="U331" i="163"/>
  <c r="V438" i="163"/>
  <c r="X353" i="163"/>
  <c r="S459" i="163"/>
  <c r="U374" i="163"/>
  <c r="X476" i="163"/>
  <c r="T390" i="163"/>
  <c r="R390" i="163" s="1"/>
  <c r="U497" i="163"/>
  <c r="W412" i="163"/>
  <c r="S326" i="163"/>
  <c r="V444" i="163"/>
  <c r="X359" i="163"/>
  <c r="X286" i="163"/>
  <c r="T200" i="163"/>
  <c r="V115" i="163"/>
  <c r="T29" i="163"/>
  <c r="Y29" i="163" s="1"/>
  <c r="U247" i="163"/>
  <c r="W162" i="163"/>
  <c r="S76" i="163"/>
  <c r="V286" i="163"/>
  <c r="X201" i="163"/>
  <c r="T115" i="163"/>
  <c r="R115" i="163" s="1"/>
  <c r="V31" i="163"/>
  <c r="T242" i="163"/>
  <c r="R242" i="163" s="1"/>
  <c r="V157" i="163"/>
  <c r="X72" i="163"/>
  <c r="U285" i="163"/>
  <c r="W200" i="163"/>
  <c r="S114" i="163"/>
  <c r="U30" i="163"/>
  <c r="X243" i="163"/>
  <c r="T157" i="163"/>
  <c r="V72" i="163"/>
  <c r="S289" i="163"/>
  <c r="U204" i="163"/>
  <c r="W119" i="163"/>
  <c r="U33" i="163"/>
  <c r="W101" i="163"/>
  <c r="S143" i="163"/>
  <c r="U142" i="163"/>
  <c r="U166" i="163"/>
  <c r="X348" i="163"/>
  <c r="S242" i="163"/>
  <c r="W459" i="163"/>
  <c r="S373" i="163"/>
  <c r="T484" i="163"/>
  <c r="V399" i="163"/>
  <c r="S500" i="163"/>
  <c r="U415" i="163"/>
  <c r="W330" i="163"/>
  <c r="X437" i="163"/>
  <c r="T351" i="163"/>
  <c r="U458" i="163"/>
  <c r="W373" i="163"/>
  <c r="T474" i="163"/>
  <c r="Y474" i="163" s="1"/>
  <c r="V389" i="163"/>
  <c r="W496" i="163"/>
  <c r="S410" i="163"/>
  <c r="U325" i="163"/>
  <c r="X443" i="163"/>
  <c r="T357" i="163"/>
  <c r="R357" i="163" s="1"/>
  <c r="T284" i="163"/>
  <c r="V199" i="163"/>
  <c r="X114" i="163"/>
  <c r="V28" i="163"/>
  <c r="W246" i="163"/>
  <c r="S160" i="163"/>
  <c r="U75" i="163"/>
  <c r="X285" i="163"/>
  <c r="T199" i="163"/>
  <c r="V114" i="163"/>
  <c r="X30" i="163"/>
  <c r="V241" i="163"/>
  <c r="X156" i="163"/>
  <c r="T70" i="163"/>
  <c r="Q70" i="163" s="1"/>
  <c r="W284" i="163"/>
  <c r="S198" i="163"/>
  <c r="U113" i="163"/>
  <c r="W29" i="163"/>
  <c r="T241" i="163"/>
  <c r="Q241" i="163" s="1"/>
  <c r="V156" i="163"/>
  <c r="X71" i="163"/>
  <c r="U288" i="163"/>
  <c r="W203" i="163"/>
  <c r="S117" i="163"/>
  <c r="W32" i="163"/>
  <c r="U94" i="163"/>
  <c r="W125" i="163"/>
  <c r="S135" i="163"/>
  <c r="S159" i="163"/>
  <c r="V443" i="163"/>
  <c r="X487" i="163"/>
  <c r="X73" i="163"/>
  <c r="U76" i="163"/>
  <c r="S457" i="163"/>
  <c r="U372" i="163"/>
  <c r="V483" i="163"/>
  <c r="X398" i="163"/>
  <c r="U499" i="163"/>
  <c r="W414" i="163"/>
  <c r="S328" i="163"/>
  <c r="T435" i="163"/>
  <c r="V350" i="163"/>
  <c r="W457" i="163"/>
  <c r="S371" i="163"/>
  <c r="V473" i="163"/>
  <c r="X388" i="163"/>
  <c r="S494" i="163"/>
  <c r="U409" i="163"/>
  <c r="W324" i="163"/>
  <c r="T441" i="163"/>
  <c r="Y441" i="163" s="1"/>
  <c r="V356" i="163"/>
  <c r="V283" i="163"/>
  <c r="X198" i="163"/>
  <c r="T112" i="163"/>
  <c r="X27" i="163"/>
  <c r="S244" i="163"/>
  <c r="U159" i="163"/>
  <c r="W74" i="163"/>
  <c r="T283" i="163"/>
  <c r="R283" i="163" s="1"/>
  <c r="V198" i="163"/>
  <c r="X113" i="163"/>
  <c r="V331" i="163"/>
  <c r="X240" i="163"/>
  <c r="T154" i="163"/>
  <c r="R154" i="163" s="1"/>
  <c r="V69" i="163"/>
  <c r="S282" i="163"/>
  <c r="U197" i="163"/>
  <c r="W112" i="163"/>
  <c r="S27" i="163"/>
  <c r="V240" i="163"/>
  <c r="X155" i="163"/>
  <c r="T69" i="163"/>
  <c r="Q69" i="163" s="1"/>
  <c r="W287" i="163"/>
  <c r="S201" i="163"/>
  <c r="U116" i="163"/>
  <c r="S30" i="163"/>
  <c r="S87" i="163"/>
  <c r="U118" i="163"/>
  <c r="W117" i="163"/>
  <c r="W141" i="163"/>
  <c r="X358" i="163"/>
  <c r="V316" i="163"/>
  <c r="X29" i="163"/>
  <c r="U456" i="163"/>
  <c r="W371" i="163"/>
  <c r="X482" i="163"/>
  <c r="T396" i="163"/>
  <c r="W498" i="163"/>
  <c r="S412" i="163"/>
  <c r="U327" i="163"/>
  <c r="V434" i="163"/>
  <c r="X349" i="163"/>
  <c r="S455" i="163"/>
  <c r="U370" i="163"/>
  <c r="X472" i="163"/>
  <c r="T386" i="163"/>
  <c r="R386" i="163" s="1"/>
  <c r="U493" i="163"/>
  <c r="W408" i="163"/>
  <c r="S322" i="163"/>
  <c r="V440" i="163"/>
  <c r="X355" i="163"/>
  <c r="X282" i="163"/>
  <c r="T196" i="163"/>
  <c r="V111" i="163"/>
  <c r="T25" i="163"/>
  <c r="U243" i="163"/>
  <c r="W158" i="163"/>
  <c r="S72" i="163"/>
  <c r="V282" i="163"/>
  <c r="X197" i="163"/>
  <c r="T111" i="163"/>
  <c r="W325" i="163"/>
  <c r="T238" i="163"/>
  <c r="V153" i="163"/>
  <c r="X68" i="163"/>
  <c r="U281" i="163"/>
  <c r="W196" i="163"/>
  <c r="S110" i="163"/>
  <c r="U26" i="163"/>
  <c r="X239" i="163"/>
  <c r="T153" i="163"/>
  <c r="V68" i="163"/>
  <c r="S285" i="163"/>
  <c r="U200" i="163"/>
  <c r="W115" i="163"/>
  <c r="U29" i="163"/>
  <c r="W69" i="163"/>
  <c r="S111" i="163"/>
  <c r="U110" i="163"/>
  <c r="U134" i="163"/>
  <c r="W503" i="163"/>
  <c r="S417" i="163"/>
  <c r="U332" i="163"/>
  <c r="U459" i="163"/>
  <c r="W374" i="163"/>
  <c r="X481" i="163"/>
  <c r="T395" i="163"/>
  <c r="U502" i="163"/>
  <c r="W417" i="163"/>
  <c r="T518" i="163"/>
  <c r="V433" i="163"/>
  <c r="S454" i="163"/>
  <c r="U369" i="163"/>
  <c r="T401" i="163"/>
  <c r="V243" i="163"/>
  <c r="X158" i="163"/>
  <c r="T72" i="163"/>
  <c r="W290" i="163"/>
  <c r="S204" i="163"/>
  <c r="U119" i="163"/>
  <c r="S33" i="163"/>
  <c r="T243" i="163"/>
  <c r="V158" i="163"/>
  <c r="V285" i="163"/>
  <c r="X200" i="163"/>
  <c r="T114" i="163"/>
  <c r="U157" i="163"/>
  <c r="W72" i="163"/>
  <c r="T285" i="163"/>
  <c r="V200" i="163"/>
  <c r="X115" i="163"/>
  <c r="V29" i="163"/>
  <c r="W247" i="163"/>
  <c r="S161" i="163"/>
  <c r="S91" i="163"/>
  <c r="W97" i="163"/>
  <c r="U146" i="163"/>
  <c r="S163" i="163"/>
  <c r="W415" i="163"/>
  <c r="T356" i="163"/>
  <c r="R356" i="163" s="1"/>
  <c r="W370" i="163"/>
  <c r="S499" i="163"/>
  <c r="X432" i="163"/>
  <c r="S450" i="163"/>
  <c r="X399" i="163"/>
  <c r="T156" i="163"/>
  <c r="R156" i="163" s="1"/>
  <c r="W286" i="163"/>
  <c r="W31" i="163"/>
  <c r="T71" i="163"/>
  <c r="Q71" i="163" s="1"/>
  <c r="X196" i="163"/>
  <c r="W240" i="163"/>
  <c r="V284" i="163"/>
  <c r="X111" i="163"/>
  <c r="W159" i="163"/>
  <c r="U90" i="163"/>
  <c r="S131" i="163"/>
  <c r="S413" i="163"/>
  <c r="V355" i="163"/>
  <c r="T479" i="163"/>
  <c r="U498" i="163"/>
  <c r="T430" i="163"/>
  <c r="R430" i="163" s="1"/>
  <c r="W368" i="163"/>
  <c r="T397" i="163"/>
  <c r="V155" i="163"/>
  <c r="U203" i="163"/>
  <c r="T328" i="163"/>
  <c r="Q328" i="163" s="1"/>
  <c r="V70" i="163"/>
  <c r="V113" i="163"/>
  <c r="S238" i="163"/>
  <c r="X283" i="163"/>
  <c r="X28" i="163"/>
  <c r="S157" i="163"/>
  <c r="S83" i="163"/>
  <c r="U72" i="163"/>
  <c r="W331" i="163"/>
  <c r="X354" i="163"/>
  <c r="V478" i="163"/>
  <c r="S415" i="163"/>
  <c r="V429" i="163"/>
  <c r="S366" i="163"/>
  <c r="X315" i="163"/>
  <c r="X154" i="163"/>
  <c r="W202" i="163"/>
  <c r="V242" i="163"/>
  <c r="X69" i="163"/>
  <c r="X112" i="163"/>
  <c r="W156" i="163"/>
  <c r="T281" i="163"/>
  <c r="T26" i="163"/>
  <c r="R26" i="163" s="1"/>
  <c r="W75" i="163"/>
  <c r="W65" i="163"/>
  <c r="W458" i="163"/>
  <c r="X477" i="163"/>
  <c r="T346" i="163"/>
  <c r="Y346" i="163" s="1"/>
  <c r="U365" i="163"/>
  <c r="V71" i="163"/>
  <c r="S200" i="163"/>
  <c r="X284" i="163"/>
  <c r="T110" i="163"/>
  <c r="Q110" i="163" s="1"/>
  <c r="X199" i="163"/>
  <c r="V25" i="163"/>
  <c r="S139" i="163"/>
  <c r="S501" i="163"/>
  <c r="U328" i="163"/>
  <c r="S456" i="163"/>
  <c r="V394" i="163"/>
  <c r="W413" i="163"/>
  <c r="V345" i="163"/>
  <c r="T485" i="163"/>
  <c r="Y485" i="163" s="1"/>
  <c r="S327" i="163"/>
  <c r="X70" i="163"/>
  <c r="W118" i="163"/>
  <c r="T239" i="163"/>
  <c r="T282" i="163"/>
  <c r="Q282" i="163" s="1"/>
  <c r="S331" i="163"/>
  <c r="U153" i="163"/>
  <c r="T197" i="163"/>
  <c r="S245" i="163"/>
  <c r="W121" i="163"/>
  <c r="U416" i="163"/>
  <c r="V439" i="163"/>
  <c r="U371" i="163"/>
  <c r="W501" i="163"/>
  <c r="T514" i="163"/>
  <c r="W452" i="163"/>
  <c r="V400" i="163"/>
  <c r="V239" i="163"/>
  <c r="U287" i="163"/>
  <c r="U32" i="163"/>
  <c r="V154" i="163"/>
  <c r="V197" i="163"/>
  <c r="U241" i="163"/>
  <c r="W68" i="163"/>
  <c r="V112" i="163"/>
  <c r="U160" i="163"/>
  <c r="S59" i="163"/>
  <c r="U138" i="163"/>
  <c r="S329" i="163"/>
  <c r="U414" i="163"/>
  <c r="X330" i="163"/>
  <c r="X241" i="163"/>
  <c r="S154" i="163"/>
  <c r="S73" i="163"/>
  <c r="U500" i="163"/>
  <c r="V517" i="163"/>
  <c r="T68" i="163"/>
  <c r="W329" i="163"/>
  <c r="W73" i="163"/>
  <c r="W499" i="163"/>
  <c r="X516" i="163"/>
  <c r="S288" i="163"/>
  <c r="V325" i="163"/>
  <c r="U66" i="163"/>
  <c r="X442" i="163"/>
  <c r="X344" i="163"/>
  <c r="S116" i="163"/>
  <c r="S70" i="163"/>
  <c r="U114" i="163"/>
  <c r="T391" i="163"/>
  <c r="T240" i="163"/>
  <c r="Q240" i="163" s="1"/>
  <c r="T198" i="163"/>
  <c r="Q198" i="163" s="1"/>
  <c r="W243" i="163"/>
  <c r="T440" i="163"/>
  <c r="R440" i="163" s="1"/>
  <c r="U453" i="163"/>
  <c r="U115" i="163"/>
  <c r="U69" i="163"/>
  <c r="W145" i="163"/>
  <c r="U455" i="163"/>
  <c r="V484" i="163"/>
  <c r="X157" i="163"/>
  <c r="V196" i="163"/>
  <c r="S372" i="163"/>
  <c r="X483" i="163"/>
  <c r="T155" i="163"/>
  <c r="R155" i="163" s="1"/>
  <c r="T113" i="163"/>
  <c r="X393" i="163"/>
  <c r="X242" i="163"/>
  <c r="V281" i="163"/>
  <c r="U244" i="163"/>
  <c r="C2" i="191"/>
  <c r="L40" i="190"/>
  <c r="S515" i="174"/>
  <c r="W505" i="174"/>
  <c r="U494" i="174"/>
  <c r="T510" i="174"/>
  <c r="R510" i="174" s="1"/>
  <c r="X500" i="174"/>
  <c r="U517" i="174"/>
  <c r="S506" i="174"/>
  <c r="W496" i="174"/>
  <c r="X511" i="174"/>
  <c r="V500" i="174"/>
  <c r="U516" i="174"/>
  <c r="S505" i="174"/>
  <c r="W495" i="174"/>
  <c r="U511" i="174"/>
  <c r="S500" i="174"/>
  <c r="T515" i="174"/>
  <c r="X505" i="174"/>
  <c r="T495" i="174"/>
  <c r="T482" i="174"/>
  <c r="X472" i="174"/>
  <c r="V461" i="174"/>
  <c r="T450" i="174"/>
  <c r="X440" i="174"/>
  <c r="V429" i="174"/>
  <c r="T418" i="174"/>
  <c r="Q418" i="174" s="1"/>
  <c r="X408" i="174"/>
  <c r="V397" i="174"/>
  <c r="T386" i="174"/>
  <c r="Q386" i="174" s="1"/>
  <c r="X376" i="174"/>
  <c r="V365" i="174"/>
  <c r="X506" i="174"/>
  <c r="S482" i="174"/>
  <c r="W472" i="174"/>
  <c r="U461" i="174"/>
  <c r="S450" i="174"/>
  <c r="W440" i="174"/>
  <c r="U429" i="174"/>
  <c r="S418" i="174"/>
  <c r="W408" i="174"/>
  <c r="U397" i="174"/>
  <c r="S386" i="174"/>
  <c r="W376" i="174"/>
  <c r="U365" i="174"/>
  <c r="T485" i="174"/>
  <c r="Y485" i="174" s="1"/>
  <c r="X475" i="174"/>
  <c r="V464" i="174"/>
  <c r="T453" i="174"/>
  <c r="Y453" i="174" s="1"/>
  <c r="X443" i="174"/>
  <c r="V432" i="174"/>
  <c r="T421" i="174"/>
  <c r="X411" i="174"/>
  <c r="V400" i="174"/>
  <c r="T389" i="174"/>
  <c r="X379" i="174"/>
  <c r="V368" i="174"/>
  <c r="T357" i="174"/>
  <c r="Y357" i="174" s="1"/>
  <c r="U488" i="174"/>
  <c r="S477" i="174"/>
  <c r="W467" i="174"/>
  <c r="U456" i="174"/>
  <c r="S445" i="174"/>
  <c r="W435" i="174"/>
  <c r="U424" i="174"/>
  <c r="S413" i="174"/>
  <c r="W403" i="174"/>
  <c r="U392" i="174"/>
  <c r="S381" i="174"/>
  <c r="W371" i="174"/>
  <c r="U360" i="174"/>
  <c r="T512" i="174"/>
  <c r="Y512" i="174" s="1"/>
  <c r="V483" i="174"/>
  <c r="T472" i="174"/>
  <c r="X462" i="174"/>
  <c r="V451" i="174"/>
  <c r="T440" i="174"/>
  <c r="X430" i="174"/>
  <c r="V419" i="174"/>
  <c r="T408" i="174"/>
  <c r="X398" i="174"/>
  <c r="V387" i="174"/>
  <c r="T376" i="174"/>
  <c r="Q376" i="174" s="1"/>
  <c r="X366" i="174"/>
  <c r="V355" i="174"/>
  <c r="T491" i="174"/>
  <c r="Y491" i="174" s="1"/>
  <c r="X481" i="174"/>
  <c r="V470" i="174"/>
  <c r="T459" i="174"/>
  <c r="Q459" i="174" s="1"/>
  <c r="X449" i="174"/>
  <c r="V438" i="174"/>
  <c r="T427" i="174"/>
  <c r="R427" i="174" s="1"/>
  <c r="X417" i="174"/>
  <c r="V406" i="174"/>
  <c r="T395" i="174"/>
  <c r="X385" i="174"/>
  <c r="V374" i="174"/>
  <c r="T363" i="174"/>
  <c r="X353" i="174"/>
  <c r="W489" i="174"/>
  <c r="U478" i="174"/>
  <c r="S467" i="174"/>
  <c r="W457" i="174"/>
  <c r="U446" i="174"/>
  <c r="S435" i="174"/>
  <c r="W425" i="174"/>
  <c r="U414" i="174"/>
  <c r="S403" i="174"/>
  <c r="W393" i="174"/>
  <c r="U382" i="174"/>
  <c r="S371" i="174"/>
  <c r="W361" i="174"/>
  <c r="S480" i="174"/>
  <c r="U391" i="174"/>
  <c r="U351" i="174"/>
  <c r="X341" i="174"/>
  <c r="V330" i="174"/>
  <c r="T319" i="174"/>
  <c r="R319" i="174" s="1"/>
  <c r="X309" i="174"/>
  <c r="V298" i="174"/>
  <c r="T287" i="174"/>
  <c r="X277" i="174"/>
  <c r="V266" i="174"/>
  <c r="T255" i="174"/>
  <c r="Y255" i="174" s="1"/>
  <c r="X245" i="174"/>
  <c r="V234" i="174"/>
  <c r="W490" i="174"/>
  <c r="S412" i="174"/>
  <c r="U353" i="174"/>
  <c r="S343" i="174"/>
  <c r="W333" i="174"/>
  <c r="U322" i="174"/>
  <c r="S311" i="174"/>
  <c r="W301" i="174"/>
  <c r="U290" i="174"/>
  <c r="S279" i="174"/>
  <c r="W269" i="174"/>
  <c r="U258" i="174"/>
  <c r="S247" i="174"/>
  <c r="W237" i="174"/>
  <c r="S472" i="174"/>
  <c r="U383" i="174"/>
  <c r="V349" i="174"/>
  <c r="T338" i="174"/>
  <c r="X328" i="174"/>
  <c r="V317" i="174"/>
  <c r="T306" i="174"/>
  <c r="Y306" i="174" s="1"/>
  <c r="X296" i="174"/>
  <c r="V285" i="174"/>
  <c r="T274" i="174"/>
  <c r="Y274" i="174" s="1"/>
  <c r="X264" i="174"/>
  <c r="V253" i="174"/>
  <c r="T242" i="174"/>
  <c r="Y242" i="174" s="1"/>
  <c r="X232" i="174"/>
  <c r="U475" i="174"/>
  <c r="W386" i="174"/>
  <c r="S346" i="174"/>
  <c r="W336" i="174"/>
  <c r="U325" i="174"/>
  <c r="S314" i="174"/>
  <c r="W304" i="174"/>
  <c r="U293" i="174"/>
  <c r="S282" i="174"/>
  <c r="W272" i="174"/>
  <c r="U261" i="174"/>
  <c r="S250" i="174"/>
  <c r="W240" i="174"/>
  <c r="U229" i="174"/>
  <c r="W446" i="174"/>
  <c r="S368" i="174"/>
  <c r="T341" i="174"/>
  <c r="Q341" i="174" s="1"/>
  <c r="X331" i="174"/>
  <c r="V320" i="174"/>
  <c r="T309" i="174"/>
  <c r="Y309" i="174" s="1"/>
  <c r="X299" i="174"/>
  <c r="V288" i="174"/>
  <c r="T277" i="174"/>
  <c r="R277" i="174" s="1"/>
  <c r="X267" i="174"/>
  <c r="V256" i="174"/>
  <c r="T245" i="174"/>
  <c r="X235" i="174"/>
  <c r="V224" i="174"/>
  <c r="S424" i="174"/>
  <c r="X350" i="174"/>
  <c r="V339" i="174"/>
  <c r="T328" i="174"/>
  <c r="Q328" i="174" s="1"/>
  <c r="X318" i="174"/>
  <c r="V307" i="174"/>
  <c r="T296" i="174"/>
  <c r="X286" i="174"/>
  <c r="V275" i="174"/>
  <c r="T264" i="174"/>
  <c r="X254" i="174"/>
  <c r="V243" i="174"/>
  <c r="T232" i="174"/>
  <c r="R232" i="174" s="1"/>
  <c r="X222" i="174"/>
  <c r="U427" i="174"/>
  <c r="W354" i="174"/>
  <c r="W342" i="174"/>
  <c r="U331" i="174"/>
  <c r="S320" i="174"/>
  <c r="W310" i="174"/>
  <c r="U299" i="174"/>
  <c r="S288" i="174"/>
  <c r="W278" i="174"/>
  <c r="U267" i="174"/>
  <c r="S256" i="174"/>
  <c r="W246" i="174"/>
  <c r="U235" i="174"/>
  <c r="S224" i="174"/>
  <c r="S329" i="174"/>
  <c r="U240" i="174"/>
  <c r="U518" i="174"/>
  <c r="U506" i="174"/>
  <c r="W493" i="174"/>
  <c r="X508" i="174"/>
  <c r="X496" i="174"/>
  <c r="W512" i="174"/>
  <c r="W500" i="174"/>
  <c r="T513" i="174"/>
  <c r="R513" i="174" s="1"/>
  <c r="T501" i="174"/>
  <c r="W515" i="174"/>
  <c r="W503" i="174"/>
  <c r="W518" i="174"/>
  <c r="W506" i="174"/>
  <c r="W494" i="174"/>
  <c r="T507" i="174"/>
  <c r="R507" i="174" s="1"/>
  <c r="V503" i="174"/>
  <c r="V481" i="174"/>
  <c r="V469" i="174"/>
  <c r="V457" i="174"/>
  <c r="V445" i="174"/>
  <c r="V433" i="174"/>
  <c r="V421" i="174"/>
  <c r="V409" i="174"/>
  <c r="X396" i="174"/>
  <c r="X384" i="174"/>
  <c r="X372" i="174"/>
  <c r="X360" i="174"/>
  <c r="S486" i="174"/>
  <c r="S474" i="174"/>
  <c r="S462" i="174"/>
  <c r="U449" i="174"/>
  <c r="U437" i="174"/>
  <c r="U425" i="174"/>
  <c r="U413" i="174"/>
  <c r="U401" i="174"/>
  <c r="U389" i="174"/>
  <c r="U377" i="174"/>
  <c r="W364" i="174"/>
  <c r="X483" i="174"/>
  <c r="X471" i="174"/>
  <c r="X459" i="174"/>
  <c r="X447" i="174"/>
  <c r="X435" i="174"/>
  <c r="X423" i="174"/>
  <c r="T409" i="174"/>
  <c r="T397" i="174"/>
  <c r="T385" i="174"/>
  <c r="Q385" i="174" s="1"/>
  <c r="T373" i="174"/>
  <c r="Q373" i="174" s="1"/>
  <c r="T361" i="174"/>
  <c r="W491" i="174"/>
  <c r="W479" i="174"/>
  <c r="S465" i="174"/>
  <c r="S453" i="174"/>
  <c r="S441" i="174"/>
  <c r="S429" i="174"/>
  <c r="S417" i="174"/>
  <c r="S405" i="174"/>
  <c r="S393" i="174"/>
  <c r="U380" i="174"/>
  <c r="U368" i="174"/>
  <c r="U356" i="174"/>
  <c r="T488" i="174"/>
  <c r="T476" i="174"/>
  <c r="R476" i="174" s="1"/>
  <c r="T464" i="174"/>
  <c r="Q464" i="174" s="1"/>
  <c r="T452" i="174"/>
  <c r="V439" i="174"/>
  <c r="V427" i="174"/>
  <c r="V415" i="174"/>
  <c r="V403" i="174"/>
  <c r="V391" i="174"/>
  <c r="V379" i="174"/>
  <c r="V367" i="174"/>
  <c r="X354" i="174"/>
  <c r="X489" i="174"/>
  <c r="X477" i="174"/>
  <c r="X465" i="174"/>
  <c r="X453" i="174"/>
  <c r="X441" i="174"/>
  <c r="X429" i="174"/>
  <c r="T415" i="174"/>
  <c r="T403" i="174"/>
  <c r="T391" i="174"/>
  <c r="R391" i="174" s="1"/>
  <c r="T379" i="174"/>
  <c r="R379" i="174" s="1"/>
  <c r="T367" i="174"/>
  <c r="T355" i="174"/>
  <c r="U490" i="174"/>
  <c r="W477" i="174"/>
  <c r="W465" i="174"/>
  <c r="W453" i="174"/>
  <c r="W441" i="174"/>
  <c r="W429" i="174"/>
  <c r="W417" i="174"/>
  <c r="W405" i="174"/>
  <c r="S391" i="174"/>
  <c r="S379" i="174"/>
  <c r="S367" i="174"/>
  <c r="S355" i="174"/>
  <c r="U423" i="174"/>
  <c r="V353" i="174"/>
  <c r="V342" i="174"/>
  <c r="X329" i="174"/>
  <c r="X317" i="174"/>
  <c r="X305" i="174"/>
  <c r="X293" i="174"/>
  <c r="X281" i="174"/>
  <c r="X269" i="174"/>
  <c r="X257" i="174"/>
  <c r="T243" i="174"/>
  <c r="T231" i="174"/>
  <c r="W458" i="174"/>
  <c r="W362" i="174"/>
  <c r="S347" i="174"/>
  <c r="S335" i="174"/>
  <c r="S323" i="174"/>
  <c r="U310" i="174"/>
  <c r="U298" i="174"/>
  <c r="U286" i="174"/>
  <c r="U274" i="174"/>
  <c r="U262" i="174"/>
  <c r="U250" i="174"/>
  <c r="U238" i="174"/>
  <c r="W454" i="174"/>
  <c r="S358" i="174"/>
  <c r="V345" i="174"/>
  <c r="V333" i="174"/>
  <c r="V321" i="174"/>
  <c r="V309" i="174"/>
  <c r="V297" i="174"/>
  <c r="X284" i="174"/>
  <c r="X272" i="174"/>
  <c r="X260" i="174"/>
  <c r="X248" i="174"/>
  <c r="X236" i="174"/>
  <c r="X224" i="174"/>
  <c r="S404" i="174"/>
  <c r="U345" i="174"/>
  <c r="U333" i="174"/>
  <c r="U321" i="174"/>
  <c r="U309" i="174"/>
  <c r="U297" i="174"/>
  <c r="U285" i="174"/>
  <c r="U273" i="174"/>
  <c r="W260" i="174"/>
  <c r="W248" i="174"/>
  <c r="W236" i="174"/>
  <c r="W224" i="174"/>
  <c r="S400" i="174"/>
  <c r="V344" i="174"/>
  <c r="V332" i="174"/>
  <c r="X319" i="174"/>
  <c r="X307" i="174"/>
  <c r="X295" i="174"/>
  <c r="X283" i="174"/>
  <c r="X271" i="174"/>
  <c r="X259" i="174"/>
  <c r="X247" i="174"/>
  <c r="T233" i="174"/>
  <c r="S488" i="174"/>
  <c r="S392" i="174"/>
  <c r="T344" i="174"/>
  <c r="T332" i="174"/>
  <c r="T320" i="174"/>
  <c r="Y320" i="174" s="1"/>
  <c r="T308" i="174"/>
  <c r="V295" i="174"/>
  <c r="V283" i="174"/>
  <c r="V271" i="174"/>
  <c r="V259" i="174"/>
  <c r="V247" i="174"/>
  <c r="V235" i="174"/>
  <c r="V223" i="174"/>
  <c r="S420" i="174"/>
  <c r="W350" i="174"/>
  <c r="W338" i="174"/>
  <c r="W326" i="174"/>
  <c r="W314" i="174"/>
  <c r="W302" i="174"/>
  <c r="W290" i="174"/>
  <c r="S276" i="174"/>
  <c r="S264" i="174"/>
  <c r="S252" i="174"/>
  <c r="S240" i="174"/>
  <c r="S228" i="174"/>
  <c r="W343" i="174"/>
  <c r="W247" i="174"/>
  <c r="V216" i="174"/>
  <c r="T205" i="174"/>
  <c r="R205" i="174" s="1"/>
  <c r="X195" i="174"/>
  <c r="V184" i="174"/>
  <c r="T173" i="174"/>
  <c r="X163" i="174"/>
  <c r="V152" i="174"/>
  <c r="T141" i="174"/>
  <c r="X131" i="174"/>
  <c r="V120" i="174"/>
  <c r="T109" i="174"/>
  <c r="X99" i="174"/>
  <c r="U332" i="174"/>
  <c r="W243" i="174"/>
  <c r="S217" i="174"/>
  <c r="W207" i="174"/>
  <c r="U196" i="174"/>
  <c r="S185" i="174"/>
  <c r="W175" i="174"/>
  <c r="U164" i="174"/>
  <c r="S153" i="174"/>
  <c r="W143" i="174"/>
  <c r="U132" i="174"/>
  <c r="S121" i="174"/>
  <c r="W111" i="174"/>
  <c r="S460" i="174"/>
  <c r="W271" i="174"/>
  <c r="S221" i="174"/>
  <c r="V211" i="174"/>
  <c r="T200" i="174"/>
  <c r="Y200" i="174" s="1"/>
  <c r="X190" i="174"/>
  <c r="V179" i="174"/>
  <c r="T168" i="174"/>
  <c r="X158" i="174"/>
  <c r="V147" i="174"/>
  <c r="T136" i="174"/>
  <c r="X126" i="174"/>
  <c r="V115" i="174"/>
  <c r="T104" i="174"/>
  <c r="R104" i="174" s="1"/>
  <c r="S349" i="174"/>
  <c r="U260" i="174"/>
  <c r="W218" i="174"/>
  <c r="U207" i="174"/>
  <c r="S196" i="174"/>
  <c r="W186" i="174"/>
  <c r="U175" i="174"/>
  <c r="S164" i="174"/>
  <c r="W154" i="174"/>
  <c r="U143" i="174"/>
  <c r="S132" i="174"/>
  <c r="W122" i="174"/>
  <c r="U111" i="174"/>
  <c r="S100" i="174"/>
  <c r="S396" i="174"/>
  <c r="W263" i="174"/>
  <c r="X217" i="174"/>
  <c r="V206" i="174"/>
  <c r="T195" i="174"/>
  <c r="R195" i="174" s="1"/>
  <c r="X185" i="174"/>
  <c r="V174" i="174"/>
  <c r="T163" i="174"/>
  <c r="X153" i="174"/>
  <c r="V142" i="174"/>
  <c r="T131" i="174"/>
  <c r="Y131" i="174" s="1"/>
  <c r="X121" i="174"/>
  <c r="V110" i="174"/>
  <c r="T99" i="174"/>
  <c r="R99" i="174" s="1"/>
  <c r="S337" i="174"/>
  <c r="U248" i="174"/>
  <c r="T214" i="174"/>
  <c r="X204" i="174"/>
  <c r="V193" i="174"/>
  <c r="T182" i="174"/>
  <c r="X172" i="174"/>
  <c r="V161" i="174"/>
  <c r="T150" i="174"/>
  <c r="X140" i="174"/>
  <c r="V129" i="174"/>
  <c r="T118" i="174"/>
  <c r="R118" i="174" s="1"/>
  <c r="X108" i="174"/>
  <c r="V97" i="174"/>
  <c r="U340" i="174"/>
  <c r="W251" i="174"/>
  <c r="U217" i="174"/>
  <c r="S206" i="174"/>
  <c r="W196" i="174"/>
  <c r="U185" i="174"/>
  <c r="S174" i="174"/>
  <c r="W164" i="174"/>
  <c r="U153" i="174"/>
  <c r="S142" i="174"/>
  <c r="W132" i="174"/>
  <c r="U121" i="174"/>
  <c r="S110" i="174"/>
  <c r="W100" i="174"/>
  <c r="U252" i="174"/>
  <c r="U138" i="174"/>
  <c r="T90" i="174"/>
  <c r="R90" i="174" s="1"/>
  <c r="X80" i="174"/>
  <c r="V69" i="174"/>
  <c r="T58" i="174"/>
  <c r="X48" i="174"/>
  <c r="X37" i="174"/>
  <c r="V26" i="174"/>
  <c r="W205" i="174"/>
  <c r="S127" i="174"/>
  <c r="W88" i="174"/>
  <c r="U77" i="174"/>
  <c r="S66" i="174"/>
  <c r="W56" i="174"/>
  <c r="U45" i="174"/>
  <c r="S35" i="174"/>
  <c r="W25" i="174"/>
  <c r="S219" i="174"/>
  <c r="U130" i="174"/>
  <c r="T85" i="174"/>
  <c r="Y85" i="174" s="1"/>
  <c r="X75" i="174"/>
  <c r="V64" i="174"/>
  <c r="T53" i="174"/>
  <c r="X43" i="174"/>
  <c r="X32" i="174"/>
  <c r="W21" i="174"/>
  <c r="W165" i="174"/>
  <c r="S91" i="174"/>
  <c r="U80" i="174"/>
  <c r="S69" i="174"/>
  <c r="W59" i="174"/>
  <c r="U48" i="174"/>
  <c r="U37" i="174"/>
  <c r="S26" i="174"/>
  <c r="U218" i="174"/>
  <c r="W129" i="174"/>
  <c r="X86" i="174"/>
  <c r="V75" i="174"/>
  <c r="T64" i="174"/>
  <c r="X54" i="174"/>
  <c r="V43" i="174"/>
  <c r="V32" i="174"/>
  <c r="S22" i="174"/>
  <c r="U210" i="174"/>
  <c r="W121" i="174"/>
  <c r="T87" i="174"/>
  <c r="X77" i="174"/>
  <c r="V66" i="174"/>
  <c r="T55" i="174"/>
  <c r="X45" i="174"/>
  <c r="V35" i="174"/>
  <c r="T24" i="174"/>
  <c r="S199" i="174"/>
  <c r="U110" i="174"/>
  <c r="U90" i="174"/>
  <c r="S79" i="174"/>
  <c r="W69" i="174"/>
  <c r="U58" i="174"/>
  <c r="S47" i="174"/>
  <c r="S36" i="174"/>
  <c r="W26" i="174"/>
  <c r="S97" i="174"/>
  <c r="S175" i="174"/>
  <c r="S33" i="174"/>
  <c r="S111" i="174"/>
  <c r="S25" i="174"/>
  <c r="T21" i="174"/>
  <c r="S48" i="174"/>
  <c r="W58" i="174"/>
  <c r="S84" i="174"/>
  <c r="W517" i="174"/>
  <c r="S503" i="174"/>
  <c r="T518" i="174"/>
  <c r="T506" i="174"/>
  <c r="R506" i="174" s="1"/>
  <c r="T494" i="174"/>
  <c r="S510" i="174"/>
  <c r="S498" i="174"/>
  <c r="V512" i="174"/>
  <c r="X499" i="174"/>
  <c r="S513" i="174"/>
  <c r="S501" i="174"/>
  <c r="S516" i="174"/>
  <c r="S504" i="174"/>
  <c r="V518" i="174"/>
  <c r="V506" i="174"/>
  <c r="X493" i="174"/>
  <c r="X480" i="174"/>
  <c r="X468" i="174"/>
  <c r="X456" i="174"/>
  <c r="X444" i="174"/>
  <c r="X432" i="174"/>
  <c r="X420" i="174"/>
  <c r="T406" i="174"/>
  <c r="Y406" i="174" s="1"/>
  <c r="T394" i="174"/>
  <c r="T382" i="174"/>
  <c r="Q382" i="174" s="1"/>
  <c r="T370" i="174"/>
  <c r="T358" i="174"/>
  <c r="U485" i="174"/>
  <c r="U473" i="174"/>
  <c r="W460" i="174"/>
  <c r="W448" i="174"/>
  <c r="W436" i="174"/>
  <c r="W424" i="174"/>
  <c r="W412" i="174"/>
  <c r="W400" i="174"/>
  <c r="W388" i="174"/>
  <c r="S374" i="174"/>
  <c r="S362" i="174"/>
  <c r="T481" i="174"/>
  <c r="T469" i="174"/>
  <c r="T457" i="174"/>
  <c r="T445" i="174"/>
  <c r="R445" i="174" s="1"/>
  <c r="T433" i="174"/>
  <c r="V420" i="174"/>
  <c r="V408" i="174"/>
  <c r="V396" i="174"/>
  <c r="V384" i="174"/>
  <c r="V372" i="174"/>
  <c r="V360" i="174"/>
  <c r="S489" i="174"/>
  <c r="U476" i="174"/>
  <c r="U464" i="174"/>
  <c r="U452" i="174"/>
  <c r="U440" i="174"/>
  <c r="U428" i="174"/>
  <c r="U416" i="174"/>
  <c r="U404" i="174"/>
  <c r="W391" i="174"/>
  <c r="W379" i="174"/>
  <c r="W367" i="174"/>
  <c r="W355" i="174"/>
  <c r="V487" i="174"/>
  <c r="V475" i="174"/>
  <c r="V463" i="174"/>
  <c r="X450" i="174"/>
  <c r="X438" i="174"/>
  <c r="X426" i="174"/>
  <c r="X414" i="174"/>
  <c r="X402" i="174"/>
  <c r="X390" i="174"/>
  <c r="X378" i="174"/>
  <c r="T364" i="174"/>
  <c r="T352" i="174"/>
  <c r="T487" i="174"/>
  <c r="Y487" i="174" s="1"/>
  <c r="T475" i="174"/>
  <c r="T463" i="174"/>
  <c r="Q463" i="174" s="1"/>
  <c r="T451" i="174"/>
  <c r="T439" i="174"/>
  <c r="V426" i="174"/>
  <c r="V414" i="174"/>
  <c r="V402" i="174"/>
  <c r="V390" i="174"/>
  <c r="V378" i="174"/>
  <c r="V366" i="174"/>
  <c r="V354" i="174"/>
  <c r="S487" i="174"/>
  <c r="S475" i="174"/>
  <c r="S463" i="174"/>
  <c r="S451" i="174"/>
  <c r="S439" i="174"/>
  <c r="S427" i="174"/>
  <c r="S415" i="174"/>
  <c r="U402" i="174"/>
  <c r="U390" i="174"/>
  <c r="U378" i="174"/>
  <c r="U366" i="174"/>
  <c r="U354" i="174"/>
  <c r="S416" i="174"/>
  <c r="X352" i="174"/>
  <c r="T339" i="174"/>
  <c r="T327" i="174"/>
  <c r="T315" i="174"/>
  <c r="T303" i="174"/>
  <c r="T291" i="174"/>
  <c r="Q291" i="174" s="1"/>
  <c r="T279" i="174"/>
  <c r="Q279" i="174" s="1"/>
  <c r="T267" i="174"/>
  <c r="V254" i="174"/>
  <c r="V242" i="174"/>
  <c r="V230" i="174"/>
  <c r="U451" i="174"/>
  <c r="S360" i="174"/>
  <c r="U346" i="174"/>
  <c r="U334" i="174"/>
  <c r="W321" i="174"/>
  <c r="W309" i="174"/>
  <c r="W297" i="174"/>
  <c r="W285" i="174"/>
  <c r="W273" i="174"/>
  <c r="W261" i="174"/>
  <c r="W249" i="174"/>
  <c r="S235" i="174"/>
  <c r="U447" i="174"/>
  <c r="W356" i="174"/>
  <c r="X344" i="174"/>
  <c r="X332" i="174"/>
  <c r="X320" i="174"/>
  <c r="X308" i="174"/>
  <c r="T294" i="174"/>
  <c r="R294" i="174" s="1"/>
  <c r="T282" i="174"/>
  <c r="R282" i="174" s="1"/>
  <c r="T270" i="174"/>
  <c r="Q270" i="174" s="1"/>
  <c r="T258" i="174"/>
  <c r="T246" i="174"/>
  <c r="R246" i="174" s="1"/>
  <c r="T234" i="174"/>
  <c r="Q234" i="174" s="1"/>
  <c r="W482" i="174"/>
  <c r="U379" i="174"/>
  <c r="W344" i="174"/>
  <c r="W332" i="174"/>
  <c r="W320" i="174"/>
  <c r="W308" i="174"/>
  <c r="W296" i="174"/>
  <c r="W284" i="174"/>
  <c r="S270" i="174"/>
  <c r="S258" i="174"/>
  <c r="S246" i="174"/>
  <c r="S234" i="174"/>
  <c r="W478" i="174"/>
  <c r="W382" i="174"/>
  <c r="X343" i="174"/>
  <c r="T329" i="174"/>
  <c r="T317" i="174"/>
  <c r="T305" i="174"/>
  <c r="T293" i="174"/>
  <c r="T281" i="174"/>
  <c r="Q281" i="174" s="1"/>
  <c r="T269" i="174"/>
  <c r="R269" i="174" s="1"/>
  <c r="T257" i="174"/>
  <c r="V244" i="174"/>
  <c r="V232" i="174"/>
  <c r="W470" i="174"/>
  <c r="W374" i="174"/>
  <c r="V343" i="174"/>
  <c r="V331" i="174"/>
  <c r="V319" i="174"/>
  <c r="X306" i="174"/>
  <c r="X294" i="174"/>
  <c r="X282" i="174"/>
  <c r="X270" i="174"/>
  <c r="X258" i="174"/>
  <c r="X246" i="174"/>
  <c r="X234" i="174"/>
  <c r="T508" i="174"/>
  <c r="R508" i="174" s="1"/>
  <c r="W402" i="174"/>
  <c r="S348" i="174"/>
  <c r="S336" i="174"/>
  <c r="S324" i="174"/>
  <c r="S312" i="174"/>
  <c r="S300" i="174"/>
  <c r="U287" i="174"/>
  <c r="U275" i="174"/>
  <c r="U263" i="174"/>
  <c r="U251" i="174"/>
  <c r="U239" i="174"/>
  <c r="U227" i="174"/>
  <c r="U336" i="174"/>
  <c r="S233" i="174"/>
  <c r="X215" i="174"/>
  <c r="V204" i="174"/>
  <c r="T193" i="174"/>
  <c r="X183" i="174"/>
  <c r="V172" i="174"/>
  <c r="T161" i="174"/>
  <c r="X151" i="174"/>
  <c r="V140" i="174"/>
  <c r="T129" i="174"/>
  <c r="X119" i="174"/>
  <c r="V108" i="174"/>
  <c r="T97" i="174"/>
  <c r="R97" i="174" s="1"/>
  <c r="S325" i="174"/>
  <c r="U236" i="174"/>
  <c r="U216" i="174"/>
  <c r="S205" i="174"/>
  <c r="W195" i="174"/>
  <c r="U184" i="174"/>
  <c r="S173" i="174"/>
  <c r="W163" i="174"/>
  <c r="U152" i="174"/>
  <c r="S141" i="174"/>
  <c r="W131" i="174"/>
  <c r="U120" i="174"/>
  <c r="S109" i="174"/>
  <c r="U403" i="174"/>
  <c r="U264" i="174"/>
  <c r="T220" i="174"/>
  <c r="X210" i="174"/>
  <c r="V199" i="174"/>
  <c r="T188" i="174"/>
  <c r="Q188" i="174" s="1"/>
  <c r="X178" i="174"/>
  <c r="V167" i="174"/>
  <c r="T156" i="174"/>
  <c r="Q156" i="174" s="1"/>
  <c r="X146" i="174"/>
  <c r="V135" i="174"/>
  <c r="T124" i="174"/>
  <c r="X114" i="174"/>
  <c r="V103" i="174"/>
  <c r="W331" i="174"/>
  <c r="S253" i="174"/>
  <c r="S216" i="174"/>
  <c r="W206" i="174"/>
  <c r="U195" i="174"/>
  <c r="S184" i="174"/>
  <c r="W174" i="174"/>
  <c r="U163" i="174"/>
  <c r="S152" i="174"/>
  <c r="W142" i="174"/>
  <c r="U131" i="174"/>
  <c r="S120" i="174"/>
  <c r="W110" i="174"/>
  <c r="U99" i="174"/>
  <c r="S345" i="174"/>
  <c r="U256" i="174"/>
  <c r="T215" i="174"/>
  <c r="X205" i="174"/>
  <c r="V194" i="174"/>
  <c r="T183" i="174"/>
  <c r="X173" i="174"/>
  <c r="V162" i="174"/>
  <c r="T151" i="174"/>
  <c r="X141" i="174"/>
  <c r="V130" i="174"/>
  <c r="T119" i="174"/>
  <c r="X109" i="174"/>
  <c r="V98" i="174"/>
  <c r="W319" i="174"/>
  <c r="S241" i="174"/>
  <c r="V213" i="174"/>
  <c r="T202" i="174"/>
  <c r="X192" i="174"/>
  <c r="V181" i="174"/>
  <c r="T170" i="174"/>
  <c r="Y170" i="174" s="1"/>
  <c r="X160" i="174"/>
  <c r="V149" i="174"/>
  <c r="T138" i="174"/>
  <c r="X128" i="174"/>
  <c r="V117" i="174"/>
  <c r="T106" i="174"/>
  <c r="R106" i="174" s="1"/>
  <c r="X96" i="174"/>
  <c r="S333" i="174"/>
  <c r="U244" i="174"/>
  <c r="W216" i="174"/>
  <c r="U205" i="174"/>
  <c r="S194" i="174"/>
  <c r="W184" i="174"/>
  <c r="U173" i="174"/>
  <c r="S162" i="174"/>
  <c r="W152" i="174"/>
  <c r="U141" i="174"/>
  <c r="S130" i="174"/>
  <c r="W120" i="174"/>
  <c r="U109" i="174"/>
  <c r="S98" i="174"/>
  <c r="W209" i="174"/>
  <c r="S131" i="174"/>
  <c r="V89" i="174"/>
  <c r="T78" i="174"/>
  <c r="X68" i="174"/>
  <c r="V57" i="174"/>
  <c r="T46" i="174"/>
  <c r="T35" i="174"/>
  <c r="X25" i="174"/>
  <c r="U198" i="174"/>
  <c r="W109" i="174"/>
  <c r="S86" i="174"/>
  <c r="W76" i="174"/>
  <c r="U65" i="174"/>
  <c r="S54" i="174"/>
  <c r="W44" i="174"/>
  <c r="U34" i="174"/>
  <c r="S23" i="174"/>
  <c r="W201" i="174"/>
  <c r="S123" i="174"/>
  <c r="V84" i="174"/>
  <c r="T73" i="174"/>
  <c r="X63" i="174"/>
  <c r="V52" i="174"/>
  <c r="T41" i="174"/>
  <c r="T30" i="174"/>
  <c r="U19" i="174"/>
  <c r="U158" i="174"/>
  <c r="S89" i="174"/>
  <c r="W79" i="174"/>
  <c r="U68" i="174"/>
  <c r="S57" i="174"/>
  <c r="W47" i="174"/>
  <c r="W36" i="174"/>
  <c r="U25" i="174"/>
  <c r="S211" i="174"/>
  <c r="U122" i="174"/>
  <c r="T84" i="174"/>
  <c r="X74" i="174"/>
  <c r="V63" i="174"/>
  <c r="T52" i="174"/>
  <c r="X42" i="174"/>
  <c r="X31" i="174"/>
  <c r="U21" i="174"/>
  <c r="S203" i="174"/>
  <c r="U114" i="174"/>
  <c r="V86" i="174"/>
  <c r="T75" i="174"/>
  <c r="R75" i="174" s="1"/>
  <c r="X65" i="174"/>
  <c r="V54" i="174"/>
  <c r="T43" i="174"/>
  <c r="Y43" i="174" s="1"/>
  <c r="X34" i="174"/>
  <c r="V23" i="174"/>
  <c r="W181" i="174"/>
  <c r="S103" i="174"/>
  <c r="W89" i="174"/>
  <c r="U78" i="174"/>
  <c r="S67" i="174"/>
  <c r="W57" i="174"/>
  <c r="U46" i="174"/>
  <c r="U35" i="174"/>
  <c r="S24" i="174"/>
  <c r="W86" i="174"/>
  <c r="U118" i="174"/>
  <c r="S143" i="174"/>
  <c r="W93" i="174"/>
  <c r="X221" i="174"/>
  <c r="S18" i="174"/>
  <c r="W27" i="174"/>
  <c r="U51" i="174"/>
  <c r="W31" i="174"/>
  <c r="U514" i="174"/>
  <c r="U502" i="174"/>
  <c r="V517" i="174"/>
  <c r="V505" i="174"/>
  <c r="V493" i="174"/>
  <c r="U509" i="174"/>
  <c r="U497" i="174"/>
  <c r="T509" i="174"/>
  <c r="T497" i="174"/>
  <c r="R497" i="174" s="1"/>
  <c r="U512" i="174"/>
  <c r="U500" i="174"/>
  <c r="U515" i="174"/>
  <c r="U503" i="174"/>
  <c r="X517" i="174"/>
  <c r="T503" i="174"/>
  <c r="T490" i="174"/>
  <c r="T478" i="174"/>
  <c r="T466" i="174"/>
  <c r="T454" i="174"/>
  <c r="Y454" i="174" s="1"/>
  <c r="T442" i="174"/>
  <c r="R442" i="174" s="1"/>
  <c r="T430" i="174"/>
  <c r="V417" i="174"/>
  <c r="V405" i="174"/>
  <c r="V393" i="174"/>
  <c r="V381" i="174"/>
  <c r="V369" i="174"/>
  <c r="V357" i="174"/>
  <c r="W484" i="174"/>
  <c r="S470" i="174"/>
  <c r="S458" i="174"/>
  <c r="S446" i="174"/>
  <c r="S434" i="174"/>
  <c r="S422" i="174"/>
  <c r="S410" i="174"/>
  <c r="S398" i="174"/>
  <c r="U385" i="174"/>
  <c r="U373" i="174"/>
  <c r="X502" i="174"/>
  <c r="V480" i="174"/>
  <c r="V468" i="174"/>
  <c r="V456" i="174"/>
  <c r="V444" i="174"/>
  <c r="X431" i="174"/>
  <c r="X419" i="174"/>
  <c r="X407" i="174"/>
  <c r="X395" i="174"/>
  <c r="X383" i="174"/>
  <c r="X371" i="174"/>
  <c r="X359" i="174"/>
  <c r="W487" i="174"/>
  <c r="W475" i="174"/>
  <c r="W463" i="174"/>
  <c r="W451" i="174"/>
  <c r="W439" i="174"/>
  <c r="W427" i="174"/>
  <c r="W415" i="174"/>
  <c r="S401" i="174"/>
  <c r="S389" i="174"/>
  <c r="S377" i="174"/>
  <c r="S365" i="174"/>
  <c r="S353" i="174"/>
  <c r="X486" i="174"/>
  <c r="X474" i="174"/>
  <c r="T460" i="174"/>
  <c r="T448" i="174"/>
  <c r="T436" i="174"/>
  <c r="T424" i="174"/>
  <c r="R424" i="174" s="1"/>
  <c r="T412" i="174"/>
  <c r="R412" i="174" s="1"/>
  <c r="T400" i="174"/>
  <c r="T388" i="174"/>
  <c r="Y388" i="174" s="1"/>
  <c r="V375" i="174"/>
  <c r="V363" i="174"/>
  <c r="X518" i="174"/>
  <c r="V486" i="174"/>
  <c r="V474" i="174"/>
  <c r="V462" i="174"/>
  <c r="V450" i="174"/>
  <c r="X437" i="174"/>
  <c r="X425" i="174"/>
  <c r="X413" i="174"/>
  <c r="X401" i="174"/>
  <c r="X389" i="174"/>
  <c r="X377" i="174"/>
  <c r="X365" i="174"/>
  <c r="X514" i="174"/>
  <c r="U486" i="174"/>
  <c r="U474" i="174"/>
  <c r="U462" i="174"/>
  <c r="U450" i="174"/>
  <c r="U438" i="174"/>
  <c r="U426" i="174"/>
  <c r="W413" i="174"/>
  <c r="W401" i="174"/>
  <c r="W389" i="174"/>
  <c r="W377" i="174"/>
  <c r="W365" i="174"/>
  <c r="W353" i="174"/>
  <c r="W398" i="174"/>
  <c r="V350" i="174"/>
  <c r="V338" i="174"/>
  <c r="V326" i="174"/>
  <c r="V314" i="174"/>
  <c r="V302" i="174"/>
  <c r="V290" i="174"/>
  <c r="V278" i="174"/>
  <c r="X265" i="174"/>
  <c r="X253" i="174"/>
  <c r="X241" i="174"/>
  <c r="X229" i="174"/>
  <c r="S444" i="174"/>
  <c r="W358" i="174"/>
  <c r="W345" i="174"/>
  <c r="S331" i="174"/>
  <c r="S319" i="174"/>
  <c r="S307" i="174"/>
  <c r="S295" i="174"/>
  <c r="S283" i="174"/>
  <c r="S271" i="174"/>
  <c r="S259" i="174"/>
  <c r="U246" i="174"/>
  <c r="U234" i="174"/>
  <c r="S440" i="174"/>
  <c r="T353" i="174"/>
  <c r="T342" i="174"/>
  <c r="R342" i="174" s="1"/>
  <c r="T330" i="174"/>
  <c r="R330" i="174" s="1"/>
  <c r="T318" i="174"/>
  <c r="R318" i="174" s="1"/>
  <c r="V305" i="174"/>
  <c r="V293" i="174"/>
  <c r="V281" i="174"/>
  <c r="V269" i="174"/>
  <c r="V257" i="174"/>
  <c r="V245" i="174"/>
  <c r="V233" i="174"/>
  <c r="S468" i="174"/>
  <c r="S372" i="174"/>
  <c r="S342" i="174"/>
  <c r="S330" i="174"/>
  <c r="S318" i="174"/>
  <c r="S306" i="174"/>
  <c r="S294" i="174"/>
  <c r="U281" i="174"/>
  <c r="U269" i="174"/>
  <c r="U257" i="174"/>
  <c r="U245" i="174"/>
  <c r="U233" i="174"/>
  <c r="U471" i="174"/>
  <c r="U375" i="174"/>
  <c r="V340" i="174"/>
  <c r="V328" i="174"/>
  <c r="V316" i="174"/>
  <c r="V304" i="174"/>
  <c r="V292" i="174"/>
  <c r="V280" i="174"/>
  <c r="V268" i="174"/>
  <c r="X255" i="174"/>
  <c r="X243" i="174"/>
  <c r="X231" i="174"/>
  <c r="U463" i="174"/>
  <c r="U367" i="174"/>
  <c r="X342" i="174"/>
  <c r="X330" i="174"/>
  <c r="T316" i="174"/>
  <c r="T304" i="174"/>
  <c r="T292" i="174"/>
  <c r="Q292" i="174" s="1"/>
  <c r="T280" i="174"/>
  <c r="T268" i="174"/>
  <c r="Q268" i="174" s="1"/>
  <c r="T256" i="174"/>
  <c r="T244" i="174"/>
  <c r="V231" i="174"/>
  <c r="U491" i="174"/>
  <c r="U395" i="174"/>
  <c r="U347" i="174"/>
  <c r="U335" i="174"/>
  <c r="U323" i="174"/>
  <c r="U311" i="174"/>
  <c r="W298" i="174"/>
  <c r="W286" i="174"/>
  <c r="W274" i="174"/>
  <c r="W262" i="174"/>
  <c r="W250" i="174"/>
  <c r="W238" i="174"/>
  <c r="W226" i="174"/>
  <c r="W311" i="174"/>
  <c r="U224" i="174"/>
  <c r="T213" i="174"/>
  <c r="X203" i="174"/>
  <c r="V192" i="174"/>
  <c r="T181" i="174"/>
  <c r="X171" i="174"/>
  <c r="V160" i="174"/>
  <c r="T149" i="174"/>
  <c r="X139" i="174"/>
  <c r="V128" i="174"/>
  <c r="T117" i="174"/>
  <c r="R117" i="174" s="1"/>
  <c r="X107" i="174"/>
  <c r="V96" i="174"/>
  <c r="W307" i="174"/>
  <c r="W229" i="174"/>
  <c r="W215" i="174"/>
  <c r="U204" i="174"/>
  <c r="S193" i="174"/>
  <c r="W183" i="174"/>
  <c r="U172" i="174"/>
  <c r="S161" i="174"/>
  <c r="W151" i="174"/>
  <c r="U140" i="174"/>
  <c r="S129" i="174"/>
  <c r="W119" i="174"/>
  <c r="U108" i="174"/>
  <c r="W335" i="174"/>
  <c r="S257" i="174"/>
  <c r="V219" i="174"/>
  <c r="T208" i="174"/>
  <c r="X198" i="174"/>
  <c r="V187" i="174"/>
  <c r="T176" i="174"/>
  <c r="X166" i="174"/>
  <c r="V155" i="174"/>
  <c r="T144" i="174"/>
  <c r="R144" i="174" s="1"/>
  <c r="X134" i="174"/>
  <c r="V123" i="174"/>
  <c r="T112" i="174"/>
  <c r="Y112" i="174" s="1"/>
  <c r="X102" i="174"/>
  <c r="U324" i="174"/>
  <c r="W235" i="174"/>
  <c r="U215" i="174"/>
  <c r="S204" i="174"/>
  <c r="W194" i="174"/>
  <c r="U183" i="174"/>
  <c r="S172" i="174"/>
  <c r="W162" i="174"/>
  <c r="U151" i="174"/>
  <c r="S140" i="174"/>
  <c r="W130" i="174"/>
  <c r="U119" i="174"/>
  <c r="S108" i="174"/>
  <c r="W98" i="174"/>
  <c r="W327" i="174"/>
  <c r="S249" i="174"/>
  <c r="V214" i="174"/>
  <c r="T203" i="174"/>
  <c r="X193" i="174"/>
  <c r="V182" i="174"/>
  <c r="T171" i="174"/>
  <c r="X161" i="174"/>
  <c r="V150" i="174"/>
  <c r="T139" i="174"/>
  <c r="X129" i="174"/>
  <c r="V118" i="174"/>
  <c r="T107" i="174"/>
  <c r="X97" i="174"/>
  <c r="U312" i="174"/>
  <c r="U228" i="174"/>
  <c r="X212" i="174"/>
  <c r="V201" i="174"/>
  <c r="T190" i="174"/>
  <c r="X180" i="174"/>
  <c r="V169" i="174"/>
  <c r="T158" i="174"/>
  <c r="Q158" i="174" s="1"/>
  <c r="X148" i="174"/>
  <c r="V137" i="174"/>
  <c r="T126" i="174"/>
  <c r="Y126" i="174" s="1"/>
  <c r="X116" i="174"/>
  <c r="V105" i="174"/>
  <c r="T94" i="174"/>
  <c r="W315" i="174"/>
  <c r="S237" i="174"/>
  <c r="S214" i="174"/>
  <c r="W204" i="174"/>
  <c r="U193" i="174"/>
  <c r="S182" i="174"/>
  <c r="W172" i="174"/>
  <c r="U161" i="174"/>
  <c r="S150" i="174"/>
  <c r="W140" i="174"/>
  <c r="U129" i="174"/>
  <c r="S118" i="174"/>
  <c r="W108" i="174"/>
  <c r="U97" i="174"/>
  <c r="U202" i="174"/>
  <c r="W113" i="174"/>
  <c r="X88" i="174"/>
  <c r="V77" i="174"/>
  <c r="T66" i="174"/>
  <c r="X56" i="174"/>
  <c r="V45" i="174"/>
  <c r="V34" i="174"/>
  <c r="T23" i="174"/>
  <c r="S191" i="174"/>
  <c r="U102" i="174"/>
  <c r="U85" i="174"/>
  <c r="S74" i="174"/>
  <c r="W64" i="174"/>
  <c r="U53" i="174"/>
  <c r="S42" i="174"/>
  <c r="W33" i="174"/>
  <c r="V22" i="174"/>
  <c r="U194" i="174"/>
  <c r="W105" i="174"/>
  <c r="X83" i="174"/>
  <c r="V72" i="174"/>
  <c r="T61" i="174"/>
  <c r="R61" i="174" s="1"/>
  <c r="X51" i="174"/>
  <c r="W40" i="174"/>
  <c r="V29" i="174"/>
  <c r="V18" i="174"/>
  <c r="S151" i="174"/>
  <c r="U88" i="174"/>
  <c r="S77" i="174"/>
  <c r="W67" i="174"/>
  <c r="U56" i="174"/>
  <c r="S45" i="174"/>
  <c r="S34" i="174"/>
  <c r="W24" i="174"/>
  <c r="W193" i="174"/>
  <c r="S115" i="174"/>
  <c r="V83" i="174"/>
  <c r="T72" i="174"/>
  <c r="X62" i="174"/>
  <c r="V51" i="174"/>
  <c r="U40" i="174"/>
  <c r="T29" i="174"/>
  <c r="Y29" i="174" s="1"/>
  <c r="X20" i="174"/>
  <c r="W185" i="174"/>
  <c r="S107" i="174"/>
  <c r="X85" i="174"/>
  <c r="V74" i="174"/>
  <c r="T63" i="174"/>
  <c r="X53" i="174"/>
  <c r="V42" i="174"/>
  <c r="T32" i="174"/>
  <c r="S21" i="174"/>
  <c r="U174" i="174"/>
  <c r="U100" i="174"/>
  <c r="S87" i="174"/>
  <c r="W77" i="174"/>
  <c r="U66" i="174"/>
  <c r="S55" i="174"/>
  <c r="W45" i="174"/>
  <c r="W34" i="174"/>
  <c r="U23" i="174"/>
  <c r="U79" i="174"/>
  <c r="W82" i="174"/>
  <c r="W78" i="174"/>
  <c r="W74" i="174"/>
  <c r="S88" i="174"/>
  <c r="U214" i="174"/>
  <c r="U348" i="174"/>
  <c r="S44" i="174"/>
  <c r="S52" i="174"/>
  <c r="W513" i="174"/>
  <c r="W501" i="174"/>
  <c r="X516" i="174"/>
  <c r="X504" i="174"/>
  <c r="X492" i="174"/>
  <c r="W508" i="174"/>
  <c r="S494" i="174"/>
  <c r="V508" i="174"/>
  <c r="V496" i="174"/>
  <c r="W511" i="174"/>
  <c r="W499" i="174"/>
  <c r="W514" i="174"/>
  <c r="W502" i="174"/>
  <c r="V514" i="174"/>
  <c r="V502" i="174"/>
  <c r="V489" i="174"/>
  <c r="V477" i="174"/>
  <c r="V465" i="174"/>
  <c r="V453" i="174"/>
  <c r="V441" i="174"/>
  <c r="X428" i="174"/>
  <c r="X416" i="174"/>
  <c r="X404" i="174"/>
  <c r="X392" i="174"/>
  <c r="X380" i="174"/>
  <c r="X368" i="174"/>
  <c r="X356" i="174"/>
  <c r="U481" i="174"/>
  <c r="U469" i="174"/>
  <c r="U457" i="174"/>
  <c r="U445" i="174"/>
  <c r="U433" i="174"/>
  <c r="U421" i="174"/>
  <c r="U409" i="174"/>
  <c r="W396" i="174"/>
  <c r="W384" i="174"/>
  <c r="W372" i="174"/>
  <c r="X491" i="174"/>
  <c r="X479" i="174"/>
  <c r="X467" i="174"/>
  <c r="X455" i="174"/>
  <c r="T441" i="174"/>
  <c r="T429" i="174"/>
  <c r="T417" i="174"/>
  <c r="Q417" i="174" s="1"/>
  <c r="T405" i="174"/>
  <c r="Q405" i="174" s="1"/>
  <c r="T393" i="174"/>
  <c r="R393" i="174" s="1"/>
  <c r="T381" i="174"/>
  <c r="T369" i="174"/>
  <c r="R369" i="174" s="1"/>
  <c r="V356" i="174"/>
  <c r="S485" i="174"/>
  <c r="S473" i="174"/>
  <c r="S461" i="174"/>
  <c r="S449" i="174"/>
  <c r="S437" i="174"/>
  <c r="S425" i="174"/>
  <c r="U412" i="174"/>
  <c r="U400" i="174"/>
  <c r="U388" i="174"/>
  <c r="U376" i="174"/>
  <c r="U364" i="174"/>
  <c r="U352" i="174"/>
  <c r="T484" i="174"/>
  <c r="V471" i="174"/>
  <c r="V459" i="174"/>
  <c r="V447" i="174"/>
  <c r="V435" i="174"/>
  <c r="V423" i="174"/>
  <c r="V411" i="174"/>
  <c r="V399" i="174"/>
  <c r="X386" i="174"/>
  <c r="X374" i="174"/>
  <c r="X362" i="174"/>
  <c r="V511" i="174"/>
  <c r="X485" i="174"/>
  <c r="X473" i="174"/>
  <c r="X461" i="174"/>
  <c r="T447" i="174"/>
  <c r="R447" i="174" s="1"/>
  <c r="T435" i="174"/>
  <c r="T423" i="174"/>
  <c r="T411" i="174"/>
  <c r="Y411" i="174" s="1"/>
  <c r="T399" i="174"/>
  <c r="Q399" i="174" s="1"/>
  <c r="T387" i="174"/>
  <c r="T375" i="174"/>
  <c r="V362" i="174"/>
  <c r="V507" i="174"/>
  <c r="W485" i="174"/>
  <c r="W473" i="174"/>
  <c r="W461" i="174"/>
  <c r="W449" i="174"/>
  <c r="W437" i="174"/>
  <c r="S423" i="174"/>
  <c r="S411" i="174"/>
  <c r="S399" i="174"/>
  <c r="S387" i="174"/>
  <c r="S375" i="174"/>
  <c r="S363" i="174"/>
  <c r="U487" i="174"/>
  <c r="S384" i="174"/>
  <c r="X349" i="174"/>
  <c r="X337" i="174"/>
  <c r="X325" i="174"/>
  <c r="X313" i="174"/>
  <c r="X301" i="174"/>
  <c r="X289" i="174"/>
  <c r="T275" i="174"/>
  <c r="T263" i="174"/>
  <c r="T251" i="174"/>
  <c r="T239" i="174"/>
  <c r="T227" i="174"/>
  <c r="Y227" i="174" s="1"/>
  <c r="W426" i="174"/>
  <c r="S354" i="174"/>
  <c r="U342" i="174"/>
  <c r="U330" i="174"/>
  <c r="U318" i="174"/>
  <c r="U306" i="174"/>
  <c r="U294" i="174"/>
  <c r="U282" i="174"/>
  <c r="U270" i="174"/>
  <c r="W257" i="174"/>
  <c r="W245" i="174"/>
  <c r="W233" i="174"/>
  <c r="W422" i="174"/>
  <c r="V352" i="174"/>
  <c r="V341" i="174"/>
  <c r="V329" i="174"/>
  <c r="X316" i="174"/>
  <c r="X304" i="174"/>
  <c r="X292" i="174"/>
  <c r="X280" i="174"/>
  <c r="X268" i="174"/>
  <c r="X256" i="174"/>
  <c r="X244" i="174"/>
  <c r="T230" i="174"/>
  <c r="Y230" i="174" s="1"/>
  <c r="W450" i="174"/>
  <c r="S356" i="174"/>
  <c r="U341" i="174"/>
  <c r="U329" i="174"/>
  <c r="U317" i="174"/>
  <c r="U305" i="174"/>
  <c r="W292" i="174"/>
  <c r="W280" i="174"/>
  <c r="W268" i="174"/>
  <c r="W256" i="174"/>
  <c r="W244" i="174"/>
  <c r="W232" i="174"/>
  <c r="S464" i="174"/>
  <c r="U361" i="174"/>
  <c r="X339" i="174"/>
  <c r="X327" i="174"/>
  <c r="X315" i="174"/>
  <c r="X303" i="174"/>
  <c r="X291" i="174"/>
  <c r="X279" i="174"/>
  <c r="T265" i="174"/>
  <c r="T253" i="174"/>
  <c r="T241" i="174"/>
  <c r="R241" i="174" s="1"/>
  <c r="T229" i="174"/>
  <c r="Q229" i="174" s="1"/>
  <c r="S456" i="174"/>
  <c r="U357" i="174"/>
  <c r="T340" i="174"/>
  <c r="R340" i="174" s="1"/>
  <c r="V327" i="174"/>
  <c r="V315" i="174"/>
  <c r="V303" i="174"/>
  <c r="V291" i="174"/>
  <c r="V279" i="174"/>
  <c r="V267" i="174"/>
  <c r="V255" i="174"/>
  <c r="X242" i="174"/>
  <c r="X230" i="174"/>
  <c r="S484" i="174"/>
  <c r="S388" i="174"/>
  <c r="W346" i="174"/>
  <c r="W334" i="174"/>
  <c r="W322" i="174"/>
  <c r="S308" i="174"/>
  <c r="S296" i="174"/>
  <c r="S284" i="174"/>
  <c r="S272" i="174"/>
  <c r="S260" i="174"/>
  <c r="S248" i="174"/>
  <c r="S236" i="174"/>
  <c r="U223" i="174"/>
  <c r="U304" i="174"/>
  <c r="T223" i="174"/>
  <c r="R223" i="174" s="1"/>
  <c r="V212" i="174"/>
  <c r="T201" i="174"/>
  <c r="X191" i="174"/>
  <c r="V180" i="174"/>
  <c r="T169" i="174"/>
  <c r="R169" i="174" s="1"/>
  <c r="X159" i="174"/>
  <c r="V148" i="174"/>
  <c r="T137" i="174"/>
  <c r="X127" i="174"/>
  <c r="V116" i="174"/>
  <c r="T105" i="174"/>
  <c r="X95" i="174"/>
  <c r="U300" i="174"/>
  <c r="S223" i="174"/>
  <c r="S213" i="174"/>
  <c r="W203" i="174"/>
  <c r="U192" i="174"/>
  <c r="S181" i="174"/>
  <c r="W171" i="174"/>
  <c r="U160" i="174"/>
  <c r="S149" i="174"/>
  <c r="W139" i="174"/>
  <c r="U128" i="174"/>
  <c r="S117" i="174"/>
  <c r="W107" i="174"/>
  <c r="U328" i="174"/>
  <c r="W239" i="174"/>
  <c r="X218" i="174"/>
  <c r="V207" i="174"/>
  <c r="T196" i="174"/>
  <c r="R196" i="174" s="1"/>
  <c r="X186" i="174"/>
  <c r="V175" i="174"/>
  <c r="T164" i="174"/>
  <c r="X154" i="174"/>
  <c r="V143" i="174"/>
  <c r="T132" i="174"/>
  <c r="Q132" i="174" s="1"/>
  <c r="X122" i="174"/>
  <c r="V111" i="174"/>
  <c r="T100" i="174"/>
  <c r="Y100" i="174" s="1"/>
  <c r="S317" i="174"/>
  <c r="S227" i="174"/>
  <c r="W214" i="174"/>
  <c r="U203" i="174"/>
  <c r="S192" i="174"/>
  <c r="W182" i="174"/>
  <c r="U171" i="174"/>
  <c r="S160" i="174"/>
  <c r="W150" i="174"/>
  <c r="U139" i="174"/>
  <c r="S128" i="174"/>
  <c r="W118" i="174"/>
  <c r="U107" i="174"/>
  <c r="S96" i="174"/>
  <c r="U320" i="174"/>
  <c r="W231" i="174"/>
  <c r="X213" i="174"/>
  <c r="V202" i="174"/>
  <c r="T191" i="174"/>
  <c r="X181" i="174"/>
  <c r="V170" i="174"/>
  <c r="T159" i="174"/>
  <c r="R159" i="174" s="1"/>
  <c r="X149" i="174"/>
  <c r="V138" i="174"/>
  <c r="T127" i="174"/>
  <c r="Q127" i="174" s="1"/>
  <c r="X117" i="174"/>
  <c r="V106" i="174"/>
  <c r="T95" i="174"/>
  <c r="S305" i="174"/>
  <c r="W221" i="174"/>
  <c r="T210" i="174"/>
  <c r="Q210" i="174" s="1"/>
  <c r="X200" i="174"/>
  <c r="V189" i="174"/>
  <c r="T178" i="174"/>
  <c r="X168" i="174"/>
  <c r="V157" i="174"/>
  <c r="T146" i="174"/>
  <c r="X136" i="174"/>
  <c r="V125" i="174"/>
  <c r="T114" i="174"/>
  <c r="X104" i="174"/>
  <c r="V93" i="174"/>
  <c r="U308" i="174"/>
  <c r="U226" i="174"/>
  <c r="U213" i="174"/>
  <c r="S202" i="174"/>
  <c r="W192" i="174"/>
  <c r="U181" i="174"/>
  <c r="S170" i="174"/>
  <c r="W160" i="174"/>
  <c r="U149" i="174"/>
  <c r="S138" i="174"/>
  <c r="W128" i="174"/>
  <c r="U117" i="174"/>
  <c r="S106" i="174"/>
  <c r="W96" i="174"/>
  <c r="S195" i="174"/>
  <c r="U106" i="174"/>
  <c r="T86" i="174"/>
  <c r="Q86" i="174" s="1"/>
  <c r="X76" i="174"/>
  <c r="V65" i="174"/>
  <c r="T54" i="174"/>
  <c r="Y54" i="174" s="1"/>
  <c r="X44" i="174"/>
  <c r="X33" i="174"/>
  <c r="W22" i="174"/>
  <c r="W173" i="174"/>
  <c r="U96" i="174"/>
  <c r="W84" i="174"/>
  <c r="U73" i="174"/>
  <c r="S62" i="174"/>
  <c r="W52" i="174"/>
  <c r="U41" i="174"/>
  <c r="S31" i="174"/>
  <c r="X21" i="174"/>
  <c r="S187" i="174"/>
  <c r="T96" i="174"/>
  <c r="T81" i="174"/>
  <c r="X71" i="174"/>
  <c r="V60" i="174"/>
  <c r="T49" i="174"/>
  <c r="T38" i="174"/>
  <c r="Y38" i="174" s="1"/>
  <c r="X28" i="174"/>
  <c r="S364" i="174"/>
  <c r="W133" i="174"/>
  <c r="W87" i="174"/>
  <c r="U76" i="174"/>
  <c r="S65" i="174"/>
  <c r="W55" i="174"/>
  <c r="U44" i="174"/>
  <c r="U33" i="174"/>
  <c r="T22" i="174"/>
  <c r="U186" i="174"/>
  <c r="S99" i="174"/>
  <c r="X82" i="174"/>
  <c r="V71" i="174"/>
  <c r="T60" i="174"/>
  <c r="X50" i="174"/>
  <c r="X39" i="174"/>
  <c r="V28" i="174"/>
  <c r="S19" i="174"/>
  <c r="U178" i="174"/>
  <c r="X94" i="174"/>
  <c r="T83" i="174"/>
  <c r="R83" i="174" s="1"/>
  <c r="X73" i="174"/>
  <c r="V62" i="174"/>
  <c r="T51" i="174"/>
  <c r="X41" i="174"/>
  <c r="V31" i="174"/>
  <c r="V20" i="174"/>
  <c r="S167" i="174"/>
  <c r="W95" i="174"/>
  <c r="U86" i="174"/>
  <c r="S75" i="174"/>
  <c r="W65" i="174"/>
  <c r="U54" i="174"/>
  <c r="S43" i="174"/>
  <c r="S32" i="174"/>
  <c r="X22" i="174"/>
  <c r="S72" i="174"/>
  <c r="U75" i="174"/>
  <c r="U71" i="174"/>
  <c r="U67" i="174"/>
  <c r="W70" i="174"/>
  <c r="W157" i="174"/>
  <c r="U182" i="174"/>
  <c r="W23" i="174"/>
  <c r="U59" i="174"/>
  <c r="S507" i="174"/>
  <c r="V509" i="174"/>
  <c r="U513" i="174"/>
  <c r="X515" i="174"/>
  <c r="S517" i="174"/>
  <c r="U492" i="174"/>
  <c r="U495" i="174"/>
  <c r="X510" i="174"/>
  <c r="T470" i="174"/>
  <c r="T446" i="174"/>
  <c r="T422" i="174"/>
  <c r="T398" i="174"/>
  <c r="V373" i="174"/>
  <c r="W488" i="174"/>
  <c r="W464" i="174"/>
  <c r="S438" i="174"/>
  <c r="S414" i="174"/>
  <c r="S390" i="174"/>
  <c r="S366" i="174"/>
  <c r="V472" i="174"/>
  <c r="V448" i="174"/>
  <c r="V424" i="174"/>
  <c r="X399" i="174"/>
  <c r="X375" i="174"/>
  <c r="X494" i="174"/>
  <c r="U468" i="174"/>
  <c r="W443" i="174"/>
  <c r="W419" i="174"/>
  <c r="W395" i="174"/>
  <c r="S369" i="174"/>
  <c r="X490" i="174"/>
  <c r="X466" i="174"/>
  <c r="X442" i="174"/>
  <c r="T392" i="174"/>
  <c r="Y392" i="174" s="1"/>
  <c r="T368" i="174"/>
  <c r="V490" i="174"/>
  <c r="V466" i="174"/>
  <c r="V442" i="174"/>
  <c r="V418" i="174"/>
  <c r="X393" i="174"/>
  <c r="X369" i="174"/>
  <c r="S491" i="174"/>
  <c r="U466" i="174"/>
  <c r="U442" i="174"/>
  <c r="U418" i="174"/>
  <c r="U394" i="174"/>
  <c r="W369" i="174"/>
  <c r="W430" i="174"/>
  <c r="T343" i="174"/>
  <c r="V318" i="174"/>
  <c r="V294" i="174"/>
  <c r="V270" i="174"/>
  <c r="V246" i="174"/>
  <c r="S476" i="174"/>
  <c r="W349" i="174"/>
  <c r="W325" i="174"/>
  <c r="S299" i="174"/>
  <c r="S275" i="174"/>
  <c r="S251" i="174"/>
  <c r="U479" i="174"/>
  <c r="T346" i="174"/>
  <c r="T322" i="174"/>
  <c r="Y322" i="174" s="1"/>
  <c r="T298" i="174"/>
  <c r="R298" i="174" s="1"/>
  <c r="V273" i="174"/>
  <c r="V249" i="174"/>
  <c r="V225" i="174"/>
  <c r="W348" i="174"/>
  <c r="S322" i="174"/>
  <c r="S298" i="174"/>
  <c r="S274" i="174"/>
  <c r="U249" i="174"/>
  <c r="U225" i="174"/>
  <c r="T345" i="174"/>
  <c r="T321" i="174"/>
  <c r="Y321" i="174" s="1"/>
  <c r="V296" i="174"/>
  <c r="V272" i="174"/>
  <c r="V248" i="174"/>
  <c r="X223" i="174"/>
  <c r="X346" i="174"/>
  <c r="X322" i="174"/>
  <c r="X298" i="174"/>
  <c r="T272" i="174"/>
  <c r="R272" i="174" s="1"/>
  <c r="T248" i="174"/>
  <c r="R248" i="174" s="1"/>
  <c r="T224" i="174"/>
  <c r="R224" i="174" s="1"/>
  <c r="V351" i="174"/>
  <c r="U327" i="174"/>
  <c r="U303" i="174"/>
  <c r="U279" i="174"/>
  <c r="W254" i="174"/>
  <c r="W230" i="174"/>
  <c r="S265" i="174"/>
  <c r="X207" i="174"/>
  <c r="T185" i="174"/>
  <c r="V164" i="174"/>
  <c r="X143" i="174"/>
  <c r="T121" i="174"/>
  <c r="V100" i="174"/>
  <c r="S261" i="174"/>
  <c r="U208" i="174"/>
  <c r="W187" i="174"/>
  <c r="S165" i="174"/>
  <c r="U144" i="174"/>
  <c r="W123" i="174"/>
  <c r="S101" i="174"/>
  <c r="U222" i="174"/>
  <c r="X202" i="174"/>
  <c r="T180" i="174"/>
  <c r="V159" i="174"/>
  <c r="X138" i="174"/>
  <c r="T116" i="174"/>
  <c r="U371" i="174"/>
  <c r="U219" i="174"/>
  <c r="W198" i="174"/>
  <c r="S176" i="174"/>
  <c r="U155" i="174"/>
  <c r="W134" i="174"/>
  <c r="S112" i="174"/>
  <c r="U91" i="174"/>
  <c r="V218" i="174"/>
  <c r="X197" i="174"/>
  <c r="T175" i="174"/>
  <c r="V154" i="174"/>
  <c r="T111" i="174"/>
  <c r="U344" i="174"/>
  <c r="X216" i="174"/>
  <c r="T194" i="174"/>
  <c r="V173" i="174"/>
  <c r="X152" i="174"/>
  <c r="T130" i="174"/>
  <c r="V109" i="174"/>
  <c r="W347" i="174"/>
  <c r="S218" i="174"/>
  <c r="U197" i="174"/>
  <c r="W176" i="174"/>
  <c r="S154" i="174"/>
  <c r="U133" i="174"/>
  <c r="W112" i="174"/>
  <c r="S309" i="174"/>
  <c r="W91" i="174"/>
  <c r="T70" i="174"/>
  <c r="V49" i="174"/>
  <c r="T27" i="174"/>
  <c r="Y27" i="174" s="1"/>
  <c r="U134" i="174"/>
  <c r="U57" i="174"/>
  <c r="W37" i="174"/>
  <c r="S245" i="174"/>
  <c r="X87" i="174"/>
  <c r="V44" i="174"/>
  <c r="S49" i="174"/>
  <c r="W217" i="174"/>
  <c r="W38" i="174"/>
  <c r="U150" i="174"/>
  <c r="T40" i="174"/>
  <c r="R40" i="174" s="1"/>
  <c r="U32" i="174"/>
  <c r="U55" i="174"/>
  <c r="W66" i="174"/>
  <c r="S71" i="174"/>
  <c r="T434" i="174"/>
  <c r="Q434" i="174" s="1"/>
  <c r="W410" i="174"/>
  <c r="W49" i="174"/>
  <c r="S499" i="174"/>
  <c r="T502" i="174"/>
  <c r="R502" i="174" s="1"/>
  <c r="U505" i="174"/>
  <c r="X507" i="174"/>
  <c r="S509" i="174"/>
  <c r="S512" i="174"/>
  <c r="X513" i="174"/>
  <c r="X488" i="174"/>
  <c r="X464" i="174"/>
  <c r="T438" i="174"/>
  <c r="T414" i="174"/>
  <c r="T390" i="174"/>
  <c r="T366" i="174"/>
  <c r="W480" i="174"/>
  <c r="W456" i="174"/>
  <c r="W432" i="174"/>
  <c r="S406" i="174"/>
  <c r="S382" i="174"/>
  <c r="T489" i="174"/>
  <c r="T465" i="174"/>
  <c r="V440" i="174"/>
  <c r="V416" i="174"/>
  <c r="V392" i="174"/>
  <c r="X367" i="174"/>
  <c r="U484" i="174"/>
  <c r="U460" i="174"/>
  <c r="U436" i="174"/>
  <c r="W411" i="174"/>
  <c r="W387" i="174"/>
  <c r="W363" i="174"/>
  <c r="X482" i="174"/>
  <c r="X458" i="174"/>
  <c r="X434" i="174"/>
  <c r="X410" i="174"/>
  <c r="T384" i="174"/>
  <c r="Y384" i="174" s="1"/>
  <c r="T360" i="174"/>
  <c r="T483" i="174"/>
  <c r="V458" i="174"/>
  <c r="V434" i="174"/>
  <c r="V410" i="174"/>
  <c r="V386" i="174"/>
  <c r="X361" i="174"/>
  <c r="S483" i="174"/>
  <c r="S459" i="174"/>
  <c r="U434" i="174"/>
  <c r="U410" i="174"/>
  <c r="U386" i="174"/>
  <c r="U362" i="174"/>
  <c r="W366" i="174"/>
  <c r="T335" i="174"/>
  <c r="R335" i="174" s="1"/>
  <c r="T311" i="174"/>
  <c r="V286" i="174"/>
  <c r="V262" i="174"/>
  <c r="V238" i="174"/>
  <c r="U419" i="174"/>
  <c r="W341" i="174"/>
  <c r="W317" i="174"/>
  <c r="W293" i="174"/>
  <c r="S267" i="174"/>
  <c r="S243" i="174"/>
  <c r="U415" i="174"/>
  <c r="X340" i="174"/>
  <c r="T314" i="174"/>
  <c r="Q314" i="174" s="1"/>
  <c r="T290" i="174"/>
  <c r="T266" i="174"/>
  <c r="Y266" i="174" s="1"/>
  <c r="V241" i="174"/>
  <c r="U443" i="174"/>
  <c r="W340" i="174"/>
  <c r="W316" i="174"/>
  <c r="S290" i="174"/>
  <c r="S266" i="174"/>
  <c r="S242" i="174"/>
  <c r="U439" i="174"/>
  <c r="T337" i="174"/>
  <c r="R337" i="174" s="1"/>
  <c r="T313" i="174"/>
  <c r="Q313" i="174" s="1"/>
  <c r="T289" i="174"/>
  <c r="V264" i="174"/>
  <c r="V240" i="174"/>
  <c r="W438" i="174"/>
  <c r="X338" i="174"/>
  <c r="X314" i="174"/>
  <c r="X290" i="174"/>
  <c r="X266" i="174"/>
  <c r="T240" i="174"/>
  <c r="W466" i="174"/>
  <c r="S344" i="174"/>
  <c r="U319" i="174"/>
  <c r="U295" i="174"/>
  <c r="U271" i="174"/>
  <c r="U247" i="174"/>
  <c r="W222" i="174"/>
  <c r="U221" i="174"/>
  <c r="V200" i="174"/>
  <c r="X179" i="174"/>
  <c r="T157" i="174"/>
  <c r="Y157" i="174" s="1"/>
  <c r="V136" i="174"/>
  <c r="X115" i="174"/>
  <c r="W492" i="174"/>
  <c r="V222" i="174"/>
  <c r="S201" i="174"/>
  <c r="U180" i="174"/>
  <c r="W159" i="174"/>
  <c r="S137" i="174"/>
  <c r="U116" i="174"/>
  <c r="S321" i="174"/>
  <c r="T216" i="174"/>
  <c r="Q216" i="174" s="1"/>
  <c r="V195" i="174"/>
  <c r="X174" i="174"/>
  <c r="T152" i="174"/>
  <c r="V131" i="174"/>
  <c r="X110" i="174"/>
  <c r="W299" i="174"/>
  <c r="S212" i="174"/>
  <c r="U191" i="174"/>
  <c r="W170" i="174"/>
  <c r="S148" i="174"/>
  <c r="U127" i="174"/>
  <c r="W106" i="174"/>
  <c r="S313" i="174"/>
  <c r="T211" i="174"/>
  <c r="Q211" i="174" s="1"/>
  <c r="V190" i="174"/>
  <c r="X169" i="174"/>
  <c r="T147" i="174"/>
  <c r="Y147" i="174" s="1"/>
  <c r="V126" i="174"/>
  <c r="X105" i="174"/>
  <c r="W287" i="174"/>
  <c r="V209" i="174"/>
  <c r="X188" i="174"/>
  <c r="T166" i="174"/>
  <c r="V145" i="174"/>
  <c r="X124" i="174"/>
  <c r="T102" i="174"/>
  <c r="R102" i="174" s="1"/>
  <c r="S301" i="174"/>
  <c r="W212" i="174"/>
  <c r="S190" i="174"/>
  <c r="U169" i="174"/>
  <c r="W148" i="174"/>
  <c r="S126" i="174"/>
  <c r="U105" i="174"/>
  <c r="W177" i="174"/>
  <c r="V85" i="174"/>
  <c r="X64" i="174"/>
  <c r="T42" i="174"/>
  <c r="R42" i="174" s="1"/>
  <c r="T20" i="174"/>
  <c r="S95" i="174"/>
  <c r="W72" i="174"/>
  <c r="S50" i="174"/>
  <c r="U30" i="174"/>
  <c r="W169" i="174"/>
  <c r="V80" i="174"/>
  <c r="X59" i="174"/>
  <c r="V37" i="174"/>
  <c r="S215" i="174"/>
  <c r="S85" i="174"/>
  <c r="U64" i="174"/>
  <c r="W43" i="174"/>
  <c r="V21" i="174"/>
  <c r="W97" i="174"/>
  <c r="X70" i="174"/>
  <c r="T48" i="174"/>
  <c r="X27" i="174"/>
  <c r="S171" i="174"/>
  <c r="V82" i="174"/>
  <c r="X61" i="174"/>
  <c r="S40" i="174"/>
  <c r="S341" i="174"/>
  <c r="U94" i="174"/>
  <c r="U74" i="174"/>
  <c r="W53" i="174"/>
  <c r="U31" i="174"/>
  <c r="W54" i="174"/>
  <c r="S64" i="174"/>
  <c r="U63" i="174"/>
  <c r="W125" i="174"/>
  <c r="S502" i="174"/>
  <c r="S457" i="174"/>
  <c r="T283" i="174"/>
  <c r="U337" i="174"/>
  <c r="S340" i="174"/>
  <c r="W378" i="174"/>
  <c r="T128" i="174"/>
  <c r="V166" i="174"/>
  <c r="V121" i="174"/>
  <c r="S102" i="174"/>
  <c r="X18" i="174"/>
  <c r="S155" i="174"/>
  <c r="T34" i="174"/>
  <c r="V40" i="174"/>
  <c r="V67" i="174"/>
  <c r="U146" i="174"/>
  <c r="X38" i="174"/>
  <c r="U50" i="174"/>
  <c r="U36" i="174"/>
  <c r="U83" i="174"/>
  <c r="X405" i="174"/>
  <c r="U315" i="174"/>
  <c r="S269" i="174"/>
  <c r="U498" i="174"/>
  <c r="V501" i="174"/>
  <c r="W504" i="174"/>
  <c r="T505" i="174"/>
  <c r="U508" i="174"/>
  <c r="W510" i="174"/>
  <c r="T511" i="174"/>
  <c r="T486" i="174"/>
  <c r="T462" i="174"/>
  <c r="V437" i="174"/>
  <c r="V413" i="174"/>
  <c r="V389" i="174"/>
  <c r="X364" i="174"/>
  <c r="S478" i="174"/>
  <c r="S454" i="174"/>
  <c r="S430" i="174"/>
  <c r="U405" i="174"/>
  <c r="U381" i="174"/>
  <c r="V488" i="174"/>
  <c r="X463" i="174"/>
  <c r="X439" i="174"/>
  <c r="X415" i="174"/>
  <c r="X391" i="174"/>
  <c r="T365" i="174"/>
  <c r="W483" i="174"/>
  <c r="W459" i="174"/>
  <c r="S433" i="174"/>
  <c r="S409" i="174"/>
  <c r="S385" i="174"/>
  <c r="S361" i="174"/>
  <c r="T480" i="174"/>
  <c r="T456" i="174"/>
  <c r="T432" i="174"/>
  <c r="V407" i="174"/>
  <c r="V383" i="174"/>
  <c r="V359" i="174"/>
  <c r="V482" i="174"/>
  <c r="X457" i="174"/>
  <c r="X433" i="174"/>
  <c r="X409" i="174"/>
  <c r="T383" i="174"/>
  <c r="Q383" i="174" s="1"/>
  <c r="T359" i="174"/>
  <c r="R359" i="174" s="1"/>
  <c r="U482" i="174"/>
  <c r="U458" i="174"/>
  <c r="W433" i="174"/>
  <c r="W409" i="174"/>
  <c r="W385" i="174"/>
  <c r="S359" i="174"/>
  <c r="W360" i="174"/>
  <c r="V334" i="174"/>
  <c r="V310" i="174"/>
  <c r="X285" i="174"/>
  <c r="X261" i="174"/>
  <c r="X237" i="174"/>
  <c r="W394" i="174"/>
  <c r="S339" i="174"/>
  <c r="S315" i="174"/>
  <c r="S291" i="174"/>
  <c r="U266" i="174"/>
  <c r="U242" i="174"/>
  <c r="S408" i="174"/>
  <c r="V337" i="174"/>
  <c r="V313" i="174"/>
  <c r="V289" i="174"/>
  <c r="V265" i="174"/>
  <c r="X240" i="174"/>
  <c r="S436" i="174"/>
  <c r="S338" i="174"/>
  <c r="U313" i="174"/>
  <c r="U289" i="174"/>
  <c r="U265" i="174"/>
  <c r="U241" i="174"/>
  <c r="S432" i="174"/>
  <c r="V336" i="174"/>
  <c r="V312" i="174"/>
  <c r="X287" i="174"/>
  <c r="X263" i="174"/>
  <c r="X239" i="174"/>
  <c r="U431" i="174"/>
  <c r="T336" i="174"/>
  <c r="T312" i="174"/>
  <c r="Y312" i="174" s="1"/>
  <c r="T288" i="174"/>
  <c r="R288" i="174" s="1"/>
  <c r="V263" i="174"/>
  <c r="V239" i="174"/>
  <c r="U459" i="174"/>
  <c r="U343" i="174"/>
  <c r="W318" i="174"/>
  <c r="W294" i="174"/>
  <c r="W270" i="174"/>
  <c r="S244" i="174"/>
  <c r="V515" i="174"/>
  <c r="V220" i="174"/>
  <c r="X199" i="174"/>
  <c r="T177" i="174"/>
  <c r="V156" i="174"/>
  <c r="X135" i="174"/>
  <c r="T113" i="174"/>
  <c r="U435" i="174"/>
  <c r="T221" i="174"/>
  <c r="Y221" i="174" s="1"/>
  <c r="U200" i="174"/>
  <c r="W179" i="174"/>
  <c r="S157" i="174"/>
  <c r="U136" i="174"/>
  <c r="W115" i="174"/>
  <c r="W303" i="174"/>
  <c r="V215" i="174"/>
  <c r="X194" i="174"/>
  <c r="T172" i="174"/>
  <c r="V151" i="174"/>
  <c r="X130" i="174"/>
  <c r="T108" i="174"/>
  <c r="U292" i="174"/>
  <c r="U211" i="174"/>
  <c r="W190" i="174"/>
  <c r="S168" i="174"/>
  <c r="U147" i="174"/>
  <c r="W126" i="174"/>
  <c r="S104" i="174"/>
  <c r="W295" i="174"/>
  <c r="V210" i="174"/>
  <c r="X189" i="174"/>
  <c r="T167" i="174"/>
  <c r="V146" i="174"/>
  <c r="X125" i="174"/>
  <c r="T103" i="174"/>
  <c r="U280" i="174"/>
  <c r="X208" i="174"/>
  <c r="T186" i="174"/>
  <c r="V165" i="174"/>
  <c r="X144" i="174"/>
  <c r="T122" i="174"/>
  <c r="R122" i="174" s="1"/>
  <c r="V101" i="174"/>
  <c r="W283" i="174"/>
  <c r="S210" i="174"/>
  <c r="U189" i="174"/>
  <c r="W168" i="174"/>
  <c r="S146" i="174"/>
  <c r="U125" i="174"/>
  <c r="W104" i="174"/>
  <c r="U170" i="174"/>
  <c r="X84" i="174"/>
  <c r="T62" i="174"/>
  <c r="V41" i="174"/>
  <c r="W19" i="174"/>
  <c r="V91" i="174"/>
  <c r="S70" i="174"/>
  <c r="U49" i="174"/>
  <c r="W29" i="174"/>
  <c r="U162" i="174"/>
  <c r="X79" i="174"/>
  <c r="T57" i="174"/>
  <c r="X36" i="174"/>
  <c r="W197" i="174"/>
  <c r="U84" i="174"/>
  <c r="W63" i="174"/>
  <c r="S41" i="174"/>
  <c r="T19" i="174"/>
  <c r="X90" i="174"/>
  <c r="T68" i="174"/>
  <c r="R68" i="174" s="1"/>
  <c r="V47" i="174"/>
  <c r="T25" i="174"/>
  <c r="W153" i="174"/>
  <c r="X81" i="174"/>
  <c r="T59" i="174"/>
  <c r="V39" i="174"/>
  <c r="U284" i="174"/>
  <c r="S93" i="174"/>
  <c r="W73" i="174"/>
  <c r="S51" i="174"/>
  <c r="W30" i="174"/>
  <c r="U47" i="174"/>
  <c r="W46" i="174"/>
  <c r="S56" i="174"/>
  <c r="W90" i="174"/>
  <c r="T498" i="174"/>
  <c r="V504" i="174"/>
  <c r="W507" i="174"/>
  <c r="S508" i="174"/>
  <c r="V510" i="174"/>
  <c r="V485" i="174"/>
  <c r="X460" i="174"/>
  <c r="X412" i="174"/>
  <c r="X388" i="174"/>
  <c r="T362" i="174"/>
  <c r="U477" i="174"/>
  <c r="U453" i="174"/>
  <c r="W428" i="174"/>
  <c r="W380" i="174"/>
  <c r="X487" i="174"/>
  <c r="T461" i="174"/>
  <c r="T437" i="174"/>
  <c r="T413" i="174"/>
  <c r="V364" i="174"/>
  <c r="S481" i="174"/>
  <c r="U432" i="174"/>
  <c r="U384" i="174"/>
  <c r="W359" i="174"/>
  <c r="V479" i="174"/>
  <c r="V431" i="174"/>
  <c r="X406" i="174"/>
  <c r="X358" i="174"/>
  <c r="T455" i="174"/>
  <c r="T407" i="174"/>
  <c r="Y407" i="174" s="1"/>
  <c r="V358" i="174"/>
  <c r="S455" i="174"/>
  <c r="S407" i="174"/>
  <c r="U358" i="174"/>
  <c r="X333" i="174"/>
  <c r="T259" i="174"/>
  <c r="U387" i="174"/>
  <c r="W289" i="174"/>
  <c r="W241" i="174"/>
  <c r="X312" i="174"/>
  <c r="T238" i="174"/>
  <c r="W288" i="174"/>
  <c r="W414" i="174"/>
  <c r="T285" i="174"/>
  <c r="W406" i="174"/>
  <c r="V311" i="174"/>
  <c r="X238" i="174"/>
  <c r="S292" i="174"/>
  <c r="U467" i="174"/>
  <c r="V176" i="174"/>
  <c r="T133" i="174"/>
  <c r="U220" i="174"/>
  <c r="U156" i="174"/>
  <c r="U296" i="174"/>
  <c r="V171" i="174"/>
  <c r="S285" i="174"/>
  <c r="W146" i="174"/>
  <c r="X209" i="174"/>
  <c r="S273" i="174"/>
  <c r="U276" i="174"/>
  <c r="T82" i="174"/>
  <c r="R82" i="174" s="1"/>
  <c r="U69" i="174"/>
  <c r="W83" i="174"/>
  <c r="T79" i="174"/>
  <c r="Q79" i="174" s="1"/>
  <c r="S495" i="174"/>
  <c r="V497" i="174"/>
  <c r="U501" i="174"/>
  <c r="U504" i="174"/>
  <c r="U507" i="174"/>
  <c r="X509" i="174"/>
  <c r="X484" i="174"/>
  <c r="T458" i="174"/>
  <c r="T410" i="174"/>
  <c r="V361" i="174"/>
  <c r="W476" i="174"/>
  <c r="W452" i="174"/>
  <c r="S426" i="174"/>
  <c r="S402" i="174"/>
  <c r="V484" i="174"/>
  <c r="V460" i="174"/>
  <c r="V436" i="174"/>
  <c r="V412" i="174"/>
  <c r="X387" i="174"/>
  <c r="X363" i="174"/>
  <c r="W455" i="174"/>
  <c r="W431" i="174"/>
  <c r="W407" i="174"/>
  <c r="S357" i="174"/>
  <c r="X478" i="174"/>
  <c r="X454" i="174"/>
  <c r="T404" i="174"/>
  <c r="T380" i="174"/>
  <c r="Q380" i="174" s="1"/>
  <c r="T356" i="174"/>
  <c r="R356" i="174" s="1"/>
  <c r="V454" i="174"/>
  <c r="V430" i="174"/>
  <c r="X357" i="174"/>
  <c r="S479" i="174"/>
  <c r="U430" i="174"/>
  <c r="U406" i="174"/>
  <c r="W357" i="174"/>
  <c r="T354" i="174"/>
  <c r="R354" i="174" s="1"/>
  <c r="V306" i="174"/>
  <c r="V282" i="174"/>
  <c r="X233" i="174"/>
  <c r="W337" i="174"/>
  <c r="S287" i="174"/>
  <c r="S239" i="174"/>
  <c r="T334" i="174"/>
  <c r="T286" i="174"/>
  <c r="Y286" i="174" s="1"/>
  <c r="V237" i="174"/>
  <c r="S334" i="174"/>
  <c r="S286" i="174"/>
  <c r="U237" i="174"/>
  <c r="T333" i="174"/>
  <c r="V284" i="174"/>
  <c r="V236" i="174"/>
  <c r="X334" i="174"/>
  <c r="T284" i="174"/>
  <c r="W434" i="174"/>
  <c r="W266" i="174"/>
  <c r="T217" i="174"/>
  <c r="X175" i="174"/>
  <c r="V132" i="174"/>
  <c r="W339" i="174"/>
  <c r="U176" i="174"/>
  <c r="U112" i="174"/>
  <c r="V191" i="174"/>
  <c r="V127" i="174"/>
  <c r="S208" i="174"/>
  <c r="S144" i="174"/>
  <c r="T207" i="174"/>
  <c r="V122" i="174"/>
  <c r="X184" i="174"/>
  <c r="S186" i="174"/>
  <c r="W145" i="174"/>
  <c r="V38" i="174"/>
  <c r="W68" i="174"/>
  <c r="W137" i="174"/>
  <c r="S183" i="174"/>
  <c r="W323" i="174"/>
  <c r="X23" i="174"/>
  <c r="U206" i="174"/>
  <c r="U28" i="174"/>
  <c r="W509" i="174"/>
  <c r="X512" i="174"/>
  <c r="S514" i="174"/>
  <c r="V516" i="174"/>
  <c r="V492" i="174"/>
  <c r="S493" i="174"/>
  <c r="S496" i="174"/>
  <c r="V498" i="174"/>
  <c r="V473" i="174"/>
  <c r="X448" i="174"/>
  <c r="X424" i="174"/>
  <c r="X400" i="174"/>
  <c r="T374" i="174"/>
  <c r="U489" i="174"/>
  <c r="U465" i="174"/>
  <c r="U441" i="174"/>
  <c r="W416" i="174"/>
  <c r="W392" i="174"/>
  <c r="W368" i="174"/>
  <c r="T473" i="174"/>
  <c r="T449" i="174"/>
  <c r="T425" i="174"/>
  <c r="R425" i="174" s="1"/>
  <c r="T401" i="174"/>
  <c r="Q401" i="174" s="1"/>
  <c r="V376" i="174"/>
  <c r="T496" i="174"/>
  <c r="R496" i="174" s="1"/>
  <c r="S469" i="174"/>
  <c r="U444" i="174"/>
  <c r="U420" i="174"/>
  <c r="U396" i="174"/>
  <c r="U372" i="174"/>
  <c r="V491" i="174"/>
  <c r="V467" i="174"/>
  <c r="V443" i="174"/>
  <c r="X418" i="174"/>
  <c r="X394" i="174"/>
  <c r="X370" i="174"/>
  <c r="T492" i="174"/>
  <c r="T467" i="174"/>
  <c r="R467" i="174" s="1"/>
  <c r="T443" i="174"/>
  <c r="T419" i="174"/>
  <c r="V394" i="174"/>
  <c r="V370" i="174"/>
  <c r="S492" i="174"/>
  <c r="W469" i="174"/>
  <c r="S443" i="174"/>
  <c r="S419" i="174"/>
  <c r="S395" i="174"/>
  <c r="U370" i="174"/>
  <c r="S448" i="174"/>
  <c r="X345" i="174"/>
  <c r="X321" i="174"/>
  <c r="T295" i="174"/>
  <c r="T271" i="174"/>
  <c r="T247" i="174"/>
  <c r="Q247" i="174" s="1"/>
  <c r="U483" i="174"/>
  <c r="U350" i="174"/>
  <c r="U326" i="174"/>
  <c r="U302" i="174"/>
  <c r="W277" i="174"/>
  <c r="W253" i="174"/>
  <c r="W486" i="174"/>
  <c r="X348" i="174"/>
  <c r="X324" i="174"/>
  <c r="X300" i="174"/>
  <c r="X276" i="174"/>
  <c r="T250" i="174"/>
  <c r="T226" i="174"/>
  <c r="R226" i="174" s="1"/>
  <c r="U349" i="174"/>
  <c r="W324" i="174"/>
  <c r="W300" i="174"/>
  <c r="W276" i="174"/>
  <c r="W252" i="174"/>
  <c r="S226" i="174"/>
  <c r="X347" i="174"/>
  <c r="X323" i="174"/>
  <c r="T297" i="174"/>
  <c r="T273" i="174"/>
  <c r="Y273" i="174" s="1"/>
  <c r="T249" i="174"/>
  <c r="Y249" i="174" s="1"/>
  <c r="T225" i="174"/>
  <c r="Q225" i="174" s="1"/>
  <c r="V347" i="174"/>
  <c r="V323" i="174"/>
  <c r="V299" i="174"/>
  <c r="X274" i="174"/>
  <c r="X250" i="174"/>
  <c r="X226" i="174"/>
  <c r="X355" i="174"/>
  <c r="S328" i="174"/>
  <c r="S304" i="174"/>
  <c r="S280" i="174"/>
  <c r="U255" i="174"/>
  <c r="U231" i="174"/>
  <c r="U272" i="174"/>
  <c r="V208" i="174"/>
  <c r="X187" i="174"/>
  <c r="T165" i="174"/>
  <c r="R165" i="174" s="1"/>
  <c r="V144" i="174"/>
  <c r="X123" i="174"/>
  <c r="T101" i="174"/>
  <c r="U268" i="174"/>
  <c r="S209" i="174"/>
  <c r="U188" i="174"/>
  <c r="W167" i="174"/>
  <c r="S145" i="174"/>
  <c r="U124" i="174"/>
  <c r="W103" i="174"/>
  <c r="W227" i="174"/>
  <c r="V203" i="174"/>
  <c r="X182" i="174"/>
  <c r="T160" i="174"/>
  <c r="V139" i="174"/>
  <c r="X118" i="174"/>
  <c r="S428" i="174"/>
  <c r="S220" i="174"/>
  <c r="U199" i="174"/>
  <c r="W178" i="174"/>
  <c r="S156" i="174"/>
  <c r="U135" i="174"/>
  <c r="W114" i="174"/>
  <c r="S92" i="174"/>
  <c r="T219" i="174"/>
  <c r="V198" i="174"/>
  <c r="X177" i="174"/>
  <c r="T155" i="174"/>
  <c r="V134" i="174"/>
  <c r="X113" i="174"/>
  <c r="W474" i="174"/>
  <c r="V217" i="174"/>
  <c r="X196" i="174"/>
  <c r="T174" i="174"/>
  <c r="Q174" i="174" s="1"/>
  <c r="V153" i="174"/>
  <c r="X132" i="174"/>
  <c r="T110" i="174"/>
  <c r="U359" i="174"/>
  <c r="W220" i="174"/>
  <c r="S198" i="174"/>
  <c r="U177" i="174"/>
  <c r="W156" i="174"/>
  <c r="S134" i="174"/>
  <c r="U113" i="174"/>
  <c r="W92" i="174"/>
  <c r="T92" i="174"/>
  <c r="Q92" i="174" s="1"/>
  <c r="X72" i="174"/>
  <c r="T50" i="174"/>
  <c r="R50" i="174" s="1"/>
  <c r="X29" i="174"/>
  <c r="W141" i="174"/>
  <c r="W80" i="174"/>
  <c r="S58" i="174"/>
  <c r="U38" i="174"/>
  <c r="W18" i="174"/>
  <c r="V88" i="174"/>
  <c r="X67" i="174"/>
  <c r="T45" i="174"/>
  <c r="X24" i="174"/>
  <c r="W101" i="174"/>
  <c r="U72" i="174"/>
  <c r="W51" i="174"/>
  <c r="U29" i="174"/>
  <c r="U154" i="174"/>
  <c r="X78" i="174"/>
  <c r="T56" i="174"/>
  <c r="Q56" i="174" s="1"/>
  <c r="X35" i="174"/>
  <c r="W259" i="174"/>
  <c r="V90" i="174"/>
  <c r="X69" i="174"/>
  <c r="T47" i="174"/>
  <c r="V27" i="174"/>
  <c r="S135" i="174"/>
  <c r="U82" i="174"/>
  <c r="W61" i="174"/>
  <c r="U39" i="174"/>
  <c r="S207" i="174"/>
  <c r="U43" i="174"/>
  <c r="W39" i="174"/>
  <c r="W62" i="174"/>
  <c r="U24" i="174"/>
  <c r="T416" i="174"/>
  <c r="X133" i="174"/>
  <c r="S78" i="174"/>
  <c r="T65" i="174"/>
  <c r="U22" i="174"/>
  <c r="W99" i="174"/>
  <c r="W71" i="174"/>
  <c r="W28" i="174"/>
  <c r="S147" i="174"/>
  <c r="T76" i="174"/>
  <c r="R76" i="174" s="1"/>
  <c r="V55" i="174"/>
  <c r="T33" i="174"/>
  <c r="X89" i="174"/>
  <c r="T67" i="174"/>
  <c r="Q67" i="174" s="1"/>
  <c r="V46" i="174"/>
  <c r="X26" i="174"/>
  <c r="W117" i="174"/>
  <c r="W81" i="174"/>
  <c r="S59" i="174"/>
  <c r="W497" i="174"/>
  <c r="X436" i="174"/>
  <c r="W404" i="174"/>
  <c r="V388" i="174"/>
  <c r="U408" i="174"/>
  <c r="V455" i="174"/>
  <c r="X382" i="174"/>
  <c r="T479" i="174"/>
  <c r="T431" i="174"/>
  <c r="V382" i="174"/>
  <c r="W481" i="174"/>
  <c r="S431" i="174"/>
  <c r="S383" i="174"/>
  <c r="U355" i="174"/>
  <c r="T307" i="174"/>
  <c r="T235" i="174"/>
  <c r="U338" i="174"/>
  <c r="U314" i="174"/>
  <c r="W265" i="174"/>
  <c r="W390" i="174"/>
  <c r="X336" i="174"/>
  <c r="X288" i="174"/>
  <c r="T262" i="174"/>
  <c r="W418" i="174"/>
  <c r="W312" i="174"/>
  <c r="W264" i="174"/>
  <c r="S238" i="174"/>
  <c r="X335" i="174"/>
  <c r="X311" i="174"/>
  <c r="T261" i="174"/>
  <c r="T237" i="174"/>
  <c r="R237" i="174" s="1"/>
  <c r="V335" i="174"/>
  <c r="V287" i="174"/>
  <c r="X262" i="174"/>
  <c r="S452" i="174"/>
  <c r="S316" i="174"/>
  <c r="S268" i="174"/>
  <c r="U243" i="174"/>
  <c r="X219" i="174"/>
  <c r="T197" i="174"/>
  <c r="X155" i="174"/>
  <c r="V112" i="174"/>
  <c r="W199" i="174"/>
  <c r="S177" i="174"/>
  <c r="W135" i="174"/>
  <c r="S113" i="174"/>
  <c r="X214" i="174"/>
  <c r="T192" i="174"/>
  <c r="R192" i="174" s="1"/>
  <c r="X150" i="174"/>
  <c r="V107" i="174"/>
  <c r="W210" i="174"/>
  <c r="S188" i="174"/>
  <c r="U167" i="174"/>
  <c r="S124" i="174"/>
  <c r="U103" i="174"/>
  <c r="U288" i="174"/>
  <c r="T187" i="174"/>
  <c r="X145" i="174"/>
  <c r="T123" i="174"/>
  <c r="R123" i="174" s="1"/>
  <c r="V102" i="174"/>
  <c r="T206" i="174"/>
  <c r="V185" i="174"/>
  <c r="X164" i="174"/>
  <c r="T142" i="174"/>
  <c r="Q142" i="174" s="1"/>
  <c r="X100" i="174"/>
  <c r="U209" i="174"/>
  <c r="W188" i="174"/>
  <c r="S166" i="174"/>
  <c r="U145" i="174"/>
  <c r="W124" i="174"/>
  <c r="S163" i="174"/>
  <c r="V61" i="174"/>
  <c r="T39" i="174"/>
  <c r="S90" i="174"/>
  <c r="W48" i="174"/>
  <c r="S27" i="174"/>
  <c r="T77" i="174"/>
  <c r="Y77" i="174" s="1"/>
  <c r="V56" i="174"/>
  <c r="U190" i="174"/>
  <c r="S61" i="174"/>
  <c r="U18" i="174"/>
  <c r="T88" i="174"/>
  <c r="X46" i="174"/>
  <c r="V24" i="174"/>
  <c r="V58" i="174"/>
  <c r="W213" i="174"/>
  <c r="U92" i="174"/>
  <c r="S28" i="174"/>
  <c r="S37" i="174"/>
  <c r="W35" i="174"/>
  <c r="X503" i="174"/>
  <c r="V385" i="174"/>
  <c r="S378" i="174"/>
  <c r="U480" i="174"/>
  <c r="W383" i="174"/>
  <c r="T428" i="174"/>
  <c r="V478" i="174"/>
  <c r="X381" i="174"/>
  <c r="U454" i="174"/>
  <c r="W381" i="174"/>
  <c r="T331" i="174"/>
  <c r="R331" i="174" s="1"/>
  <c r="V258" i="174"/>
  <c r="S380" i="174"/>
  <c r="W313" i="174"/>
  <c r="S263" i="174"/>
  <c r="S376" i="174"/>
  <c r="T310" i="174"/>
  <c r="Y310" i="174" s="1"/>
  <c r="V261" i="174"/>
  <c r="U411" i="174"/>
  <c r="S310" i="174"/>
  <c r="S262" i="174"/>
  <c r="U407" i="174"/>
  <c r="V308" i="174"/>
  <c r="V260" i="174"/>
  <c r="U399" i="174"/>
  <c r="X310" i="174"/>
  <c r="T260" i="174"/>
  <c r="Q260" i="174" s="1"/>
  <c r="T236" i="174"/>
  <c r="U339" i="174"/>
  <c r="U291" i="174"/>
  <c r="W242" i="174"/>
  <c r="V196" i="174"/>
  <c r="T153" i="174"/>
  <c r="Q153" i="174" s="1"/>
  <c r="X111" i="174"/>
  <c r="W219" i="174"/>
  <c r="S197" i="174"/>
  <c r="W155" i="174"/>
  <c r="S133" i="174"/>
  <c r="S289" i="174"/>
  <c r="T212" i="174"/>
  <c r="X170" i="174"/>
  <c r="T148" i="174"/>
  <c r="X106" i="174"/>
  <c r="W267" i="174"/>
  <c r="U187" i="174"/>
  <c r="W166" i="174"/>
  <c r="U123" i="174"/>
  <c r="W102" i="174"/>
  <c r="S281" i="174"/>
  <c r="V186" i="174"/>
  <c r="X165" i="174"/>
  <c r="T143" i="174"/>
  <c r="X101" i="174"/>
  <c r="W255" i="174"/>
  <c r="V205" i="174"/>
  <c r="T162" i="174"/>
  <c r="V141" i="174"/>
  <c r="X120" i="174"/>
  <c r="T98" i="174"/>
  <c r="R98" i="174" s="1"/>
  <c r="W208" i="174"/>
  <c r="U165" i="174"/>
  <c r="W144" i="174"/>
  <c r="S122" i="174"/>
  <c r="U101" i="174"/>
  <c r="V81" i="174"/>
  <c r="X60" i="174"/>
  <c r="S277" i="174"/>
  <c r="U89" i="174"/>
  <c r="S46" i="174"/>
  <c r="U26" i="174"/>
  <c r="V76" i="174"/>
  <c r="X55" i="174"/>
  <c r="V33" i="174"/>
  <c r="S81" i="174"/>
  <c r="U60" i="174"/>
  <c r="S38" i="174"/>
  <c r="V87" i="174"/>
  <c r="X66" i="174"/>
  <c r="T44" i="174"/>
  <c r="S139" i="174"/>
  <c r="V78" i="174"/>
  <c r="X57" i="174"/>
  <c r="T36" i="174"/>
  <c r="Y36" i="174" s="1"/>
  <c r="X91" i="174"/>
  <c r="U70" i="174"/>
  <c r="U27" i="174"/>
  <c r="W291" i="174"/>
  <c r="S29" i="174"/>
  <c r="S76" i="174"/>
  <c r="U510" i="174"/>
  <c r="T493" i="174"/>
  <c r="Y493" i="174" s="1"/>
  <c r="T474" i="174"/>
  <c r="V377" i="174"/>
  <c r="U417" i="174"/>
  <c r="X451" i="174"/>
  <c r="X498" i="174"/>
  <c r="S397" i="174"/>
  <c r="T444" i="174"/>
  <c r="Q444" i="174" s="1"/>
  <c r="X497" i="174"/>
  <c r="X397" i="174"/>
  <c r="W445" i="174"/>
  <c r="U455" i="174"/>
  <c r="X273" i="174"/>
  <c r="S327" i="174"/>
  <c r="U230" i="174"/>
  <c r="V277" i="174"/>
  <c r="S326" i="174"/>
  <c r="W228" i="174"/>
  <c r="X275" i="174"/>
  <c r="T324" i="174"/>
  <c r="Q324" i="174" s="1"/>
  <c r="V227" i="174"/>
  <c r="W282" i="174"/>
  <c r="T209" i="174"/>
  <c r="V124" i="174"/>
  <c r="S189" i="174"/>
  <c r="U104" i="174"/>
  <c r="X162" i="174"/>
  <c r="T222" i="174"/>
  <c r="S136" i="174"/>
  <c r="T199" i="174"/>
  <c r="V114" i="174"/>
  <c r="X176" i="174"/>
  <c r="W442" i="174"/>
  <c r="U157" i="174"/>
  <c r="V95" i="174"/>
  <c r="S159" i="174"/>
  <c r="V19" i="174"/>
  <c r="V25" i="174"/>
  <c r="S30" i="174"/>
  <c r="V36" i="174"/>
  <c r="X49" i="174"/>
  <c r="U62" i="174"/>
  <c r="W42" i="174"/>
  <c r="V274" i="174"/>
  <c r="T514" i="174"/>
  <c r="S497" i="174"/>
  <c r="X452" i="174"/>
  <c r="V499" i="174"/>
  <c r="S394" i="174"/>
  <c r="V428" i="174"/>
  <c r="U472" i="174"/>
  <c r="W375" i="174"/>
  <c r="X422" i="174"/>
  <c r="T471" i="174"/>
  <c r="X373" i="174"/>
  <c r="U422" i="174"/>
  <c r="T347" i="174"/>
  <c r="V250" i="174"/>
  <c r="W305" i="174"/>
  <c r="S351" i="174"/>
  <c r="T254" i="174"/>
  <c r="S302" i="174"/>
  <c r="T349" i="174"/>
  <c r="V252" i="174"/>
  <c r="X302" i="174"/>
  <c r="W370" i="174"/>
  <c r="U259" i="174"/>
  <c r="T189" i="174"/>
  <c r="V104" i="174"/>
  <c r="S169" i="174"/>
  <c r="U232" i="174"/>
  <c r="X142" i="174"/>
  <c r="W202" i="174"/>
  <c r="S116" i="174"/>
  <c r="T179" i="174"/>
  <c r="V94" i="174"/>
  <c r="X156" i="174"/>
  <c r="W223" i="174"/>
  <c r="U137" i="174"/>
  <c r="T74" i="174"/>
  <c r="S82" i="174"/>
  <c r="T91" i="174"/>
  <c r="U126" i="174"/>
  <c r="S179" i="174"/>
  <c r="T18" i="174"/>
  <c r="X30" i="174"/>
  <c r="U42" i="174"/>
  <c r="U87" i="174"/>
  <c r="U283" i="174"/>
  <c r="V513" i="174"/>
  <c r="U496" i="174"/>
  <c r="V449" i="174"/>
  <c r="S490" i="174"/>
  <c r="U393" i="174"/>
  <c r="X427" i="174"/>
  <c r="W471" i="174"/>
  <c r="S373" i="174"/>
  <c r="T420" i="174"/>
  <c r="X469" i="174"/>
  <c r="T371" i="174"/>
  <c r="W421" i="174"/>
  <c r="V346" i="174"/>
  <c r="X249" i="174"/>
  <c r="S303" i="174"/>
  <c r="T350" i="174"/>
  <c r="R350" i="174" s="1"/>
  <c r="X252" i="174"/>
  <c r="U301" i="174"/>
  <c r="V348" i="174"/>
  <c r="X251" i="174"/>
  <c r="T300" i="174"/>
  <c r="U363" i="174"/>
  <c r="W258" i="174"/>
  <c r="V188" i="174"/>
  <c r="X103" i="174"/>
  <c r="U168" i="174"/>
  <c r="S229" i="174"/>
  <c r="T140" i="174"/>
  <c r="S200" i="174"/>
  <c r="U115" i="174"/>
  <c r="V178" i="174"/>
  <c r="X93" i="174"/>
  <c r="T154" i="174"/>
  <c r="V221" i="174"/>
  <c r="W136" i="174"/>
  <c r="V73" i="174"/>
  <c r="U81" i="174"/>
  <c r="T89" i="174"/>
  <c r="Y89" i="174" s="1"/>
  <c r="S119" i="174"/>
  <c r="W161" i="174"/>
  <c r="U316" i="174"/>
  <c r="T28" i="174"/>
  <c r="W41" i="174"/>
  <c r="S80" i="174"/>
  <c r="S511" i="174"/>
  <c r="X495" i="174"/>
  <c r="X476" i="174"/>
  <c r="T378" i="174"/>
  <c r="Y378" i="174" s="1"/>
  <c r="W420" i="174"/>
  <c r="V452" i="174"/>
  <c r="T516" i="174"/>
  <c r="W399" i="174"/>
  <c r="X446" i="174"/>
  <c r="T504" i="174"/>
  <c r="V398" i="174"/>
  <c r="S447" i="174"/>
  <c r="W462" i="174"/>
  <c r="W329" i="174"/>
  <c r="S231" i="174"/>
  <c r="T278" i="174"/>
  <c r="W328" i="174"/>
  <c r="S230" i="174"/>
  <c r="V276" i="174"/>
  <c r="X326" i="174"/>
  <c r="T228" i="174"/>
  <c r="X211" i="174"/>
  <c r="T125" i="174"/>
  <c r="W191" i="174"/>
  <c r="S105" i="174"/>
  <c r="V163" i="174"/>
  <c r="W225" i="174"/>
  <c r="W138" i="174"/>
  <c r="X201" i="174"/>
  <c r="T115" i="174"/>
  <c r="Y115" i="174" s="1"/>
  <c r="V177" i="174"/>
  <c r="X92" i="174"/>
  <c r="S158" i="174"/>
  <c r="U98" i="174"/>
  <c r="U166" i="174"/>
  <c r="S20" i="174"/>
  <c r="T26" i="174"/>
  <c r="W32" i="174"/>
  <c r="T37" i="174"/>
  <c r="V50" i="174"/>
  <c r="S63" i="174"/>
  <c r="S60" i="174"/>
  <c r="S518" i="174"/>
  <c r="U499" i="174"/>
  <c r="T426" i="174"/>
  <c r="W468" i="174"/>
  <c r="S370" i="174"/>
  <c r="V404" i="174"/>
  <c r="U448" i="174"/>
  <c r="W351" i="174"/>
  <c r="T396" i="174"/>
  <c r="R396" i="174" s="1"/>
  <c r="V446" i="174"/>
  <c r="T500" i="174"/>
  <c r="U398" i="174"/>
  <c r="T323" i="174"/>
  <c r="V226" i="174"/>
  <c r="W281" i="174"/>
  <c r="T326" i="174"/>
  <c r="Q326" i="174" s="1"/>
  <c r="V229" i="174"/>
  <c r="S278" i="174"/>
  <c r="T325" i="174"/>
  <c r="V228" i="174"/>
  <c r="X278" i="174"/>
  <c r="S332" i="174"/>
  <c r="W234" i="174"/>
  <c r="V168" i="174"/>
  <c r="S293" i="174"/>
  <c r="U148" i="174"/>
  <c r="X206" i="174"/>
  <c r="T120" i="174"/>
  <c r="R120" i="174" s="1"/>
  <c r="S180" i="174"/>
  <c r="U95" i="174"/>
  <c r="V158" i="174"/>
  <c r="X220" i="174"/>
  <c r="T134" i="174"/>
  <c r="U201" i="174"/>
  <c r="W116" i="174"/>
  <c r="V53" i="174"/>
  <c r="U61" i="174"/>
  <c r="T69" i="174"/>
  <c r="Y69" i="174" s="1"/>
  <c r="W75" i="174"/>
  <c r="T80" i="174"/>
  <c r="R80" i="174" s="1"/>
  <c r="T93" i="174"/>
  <c r="R93" i="174" s="1"/>
  <c r="W149" i="174"/>
  <c r="U20" i="174"/>
  <c r="W20" i="174"/>
  <c r="W516" i="174"/>
  <c r="W498" i="174"/>
  <c r="V425" i="174"/>
  <c r="S466" i="174"/>
  <c r="U369" i="174"/>
  <c r="X403" i="174"/>
  <c r="W447" i="174"/>
  <c r="V494" i="174"/>
  <c r="V395" i="174"/>
  <c r="X445" i="174"/>
  <c r="V495" i="174"/>
  <c r="W397" i="174"/>
  <c r="V322" i="174"/>
  <c r="X225" i="174"/>
  <c r="U278" i="174"/>
  <c r="V325" i="174"/>
  <c r="X228" i="174"/>
  <c r="U277" i="174"/>
  <c r="V324" i="174"/>
  <c r="X227" i="174"/>
  <c r="T276" i="174"/>
  <c r="Q276" i="174" s="1"/>
  <c r="W330" i="174"/>
  <c r="S232" i="174"/>
  <c r="X167" i="174"/>
  <c r="W275" i="174"/>
  <c r="W147" i="174"/>
  <c r="T204" i="174"/>
  <c r="V119" i="174"/>
  <c r="U179" i="174"/>
  <c r="W94" i="174"/>
  <c r="X157" i="174"/>
  <c r="T218" i="174"/>
  <c r="R218" i="174" s="1"/>
  <c r="V133" i="174"/>
  <c r="W200" i="174"/>
  <c r="S114" i="174"/>
  <c r="X52" i="174"/>
  <c r="W60" i="174"/>
  <c r="V68" i="174"/>
  <c r="S73" i="174"/>
  <c r="V79" i="174"/>
  <c r="V92" i="174"/>
  <c r="U142" i="174"/>
  <c r="X19" i="174"/>
  <c r="W189" i="174"/>
  <c r="U493" i="174"/>
  <c r="X501" i="174"/>
  <c r="T402" i="174"/>
  <c r="W444" i="174"/>
  <c r="T477" i="174"/>
  <c r="V380" i="174"/>
  <c r="W423" i="174"/>
  <c r="X470" i="174"/>
  <c r="T372" i="174"/>
  <c r="Y372" i="174" s="1"/>
  <c r="V422" i="174"/>
  <c r="S471" i="174"/>
  <c r="U374" i="174"/>
  <c r="T299" i="174"/>
  <c r="W352" i="174"/>
  <c r="S255" i="174"/>
  <c r="T302" i="174"/>
  <c r="S352" i="174"/>
  <c r="S254" i="174"/>
  <c r="T301" i="174"/>
  <c r="X351" i="174"/>
  <c r="T252" i="174"/>
  <c r="U307" i="174"/>
  <c r="S297" i="174"/>
  <c r="X147" i="174"/>
  <c r="U212" i="174"/>
  <c r="W127" i="174"/>
  <c r="T184" i="174"/>
  <c r="V99" i="174"/>
  <c r="U159" i="174"/>
  <c r="S225" i="174"/>
  <c r="X137" i="174"/>
  <c r="T198" i="174"/>
  <c r="V113" i="174"/>
  <c r="W180" i="174"/>
  <c r="S94" i="174"/>
  <c r="T31" i="174"/>
  <c r="Y31" i="174" s="1"/>
  <c r="X40" i="174"/>
  <c r="V48" i="174"/>
  <c r="S53" i="174"/>
  <c r="V59" i="174"/>
  <c r="T71" i="174"/>
  <c r="Q71" i="174" s="1"/>
  <c r="W85" i="174"/>
  <c r="S68" i="174"/>
  <c r="T517" i="174"/>
  <c r="R517" i="174" s="1"/>
  <c r="T499" i="174"/>
  <c r="Q499" i="174" s="1"/>
  <c r="V401" i="174"/>
  <c r="S442" i="174"/>
  <c r="V476" i="174"/>
  <c r="T377" i="174"/>
  <c r="S421" i="174"/>
  <c r="T468" i="174"/>
  <c r="Q468" i="174" s="1"/>
  <c r="V371" i="174"/>
  <c r="X421" i="174"/>
  <c r="U470" i="174"/>
  <c r="W373" i="174"/>
  <c r="X297" i="174"/>
  <c r="T351" i="174"/>
  <c r="U254" i="174"/>
  <c r="V301" i="174"/>
  <c r="S350" i="174"/>
  <c r="U253" i="174"/>
  <c r="V300" i="174"/>
  <c r="T348" i="174"/>
  <c r="V251" i="174"/>
  <c r="W306" i="174"/>
  <c r="W279" i="174"/>
  <c r="T145" i="174"/>
  <c r="W211" i="174"/>
  <c r="S125" i="174"/>
  <c r="V183" i="174"/>
  <c r="X98" i="174"/>
  <c r="W158" i="174"/>
  <c r="S222" i="174"/>
  <c r="T135" i="174"/>
  <c r="R135" i="174" s="1"/>
  <c r="V197" i="174"/>
  <c r="X112" i="174"/>
  <c r="S178" i="174"/>
  <c r="U93" i="174"/>
  <c r="V30" i="174"/>
  <c r="S39" i="174"/>
  <c r="X47" i="174"/>
  <c r="U52" i="174"/>
  <c r="X58" i="174"/>
  <c r="V70" i="174"/>
  <c r="S83" i="174"/>
  <c r="W50" i="174"/>
  <c r="K515" i="170"/>
  <c r="I504" i="170"/>
  <c r="G504" i="170" s="1"/>
  <c r="M494" i="170"/>
  <c r="K483" i="170"/>
  <c r="I472" i="170"/>
  <c r="M462" i="170"/>
  <c r="K451" i="170"/>
  <c r="I440" i="170"/>
  <c r="N440" i="170" s="1"/>
  <c r="J515" i="170"/>
  <c r="H504" i="170"/>
  <c r="L494" i="170"/>
  <c r="J483" i="170"/>
  <c r="H472" i="170"/>
  <c r="L462" i="170"/>
  <c r="M517" i="170"/>
  <c r="K506" i="170"/>
  <c r="I495" i="170"/>
  <c r="N495" i="170" s="1"/>
  <c r="M485" i="170"/>
  <c r="K474" i="170"/>
  <c r="I463" i="170"/>
  <c r="M453" i="170"/>
  <c r="K442" i="170"/>
  <c r="J510" i="170"/>
  <c r="H499" i="170"/>
  <c r="L489" i="170"/>
  <c r="J478" i="170"/>
  <c r="H467" i="170"/>
  <c r="L457" i="170"/>
  <c r="J446" i="170"/>
  <c r="H435" i="170"/>
  <c r="M512" i="170"/>
  <c r="J517" i="170"/>
  <c r="H506" i="170"/>
  <c r="L496" i="170"/>
  <c r="J485" i="170"/>
  <c r="H474" i="170"/>
  <c r="L464" i="170"/>
  <c r="J453" i="170"/>
  <c r="H442" i="170"/>
  <c r="L432" i="170"/>
  <c r="K508" i="170"/>
  <c r="I497" i="170"/>
  <c r="F497" i="170" s="1"/>
  <c r="M487" i="170"/>
  <c r="K476" i="170"/>
  <c r="I465" i="170"/>
  <c r="M455" i="170"/>
  <c r="K444" i="170"/>
  <c r="I433" i="170"/>
  <c r="F433" i="170" s="1"/>
  <c r="H509" i="170"/>
  <c r="L499" i="170"/>
  <c r="J488" i="170"/>
  <c r="H477" i="170"/>
  <c r="L467" i="170"/>
  <c r="J456" i="170"/>
  <c r="H445" i="170"/>
  <c r="L435" i="170"/>
  <c r="L446" i="170"/>
  <c r="I423" i="170"/>
  <c r="G423" i="170" s="1"/>
  <c r="M413" i="170"/>
  <c r="K402" i="170"/>
  <c r="I391" i="170"/>
  <c r="M381" i="170"/>
  <c r="K370" i="170"/>
  <c r="I359" i="170"/>
  <c r="M349" i="170"/>
  <c r="K338" i="170"/>
  <c r="I327" i="170"/>
  <c r="M317" i="170"/>
  <c r="K306" i="170"/>
  <c r="I295" i="170"/>
  <c r="F295" i="170" s="1"/>
  <c r="M285" i="170"/>
  <c r="K274" i="170"/>
  <c r="I263" i="170"/>
  <c r="M253" i="170"/>
  <c r="K242" i="170"/>
  <c r="I231" i="170"/>
  <c r="M221" i="170"/>
  <c r="K210" i="170"/>
  <c r="I199" i="170"/>
  <c r="F199" i="170" s="1"/>
  <c r="M189" i="170"/>
  <c r="K178" i="170"/>
  <c r="I167" i="170"/>
  <c r="G167" i="170" s="1"/>
  <c r="M157" i="170"/>
  <c r="K493" i="170"/>
  <c r="I438" i="170"/>
  <c r="L425" i="170"/>
  <c r="J414" i="170"/>
  <c r="H403" i="170"/>
  <c r="L393" i="170"/>
  <c r="J382" i="170"/>
  <c r="H371" i="170"/>
  <c r="L361" i="170"/>
  <c r="J350" i="170"/>
  <c r="H339" i="170"/>
  <c r="L329" i="170"/>
  <c r="J318" i="170"/>
  <c r="H307" i="170"/>
  <c r="L297" i="170"/>
  <c r="J286" i="170"/>
  <c r="H275" i="170"/>
  <c r="L265" i="170"/>
  <c r="J254" i="170"/>
  <c r="H243" i="170"/>
  <c r="L233" i="170"/>
  <c r="J222" i="170"/>
  <c r="H211" i="170"/>
  <c r="L201" i="170"/>
  <c r="J190" i="170"/>
  <c r="H179" i="170"/>
  <c r="L169" i="170"/>
  <c r="J158" i="170"/>
  <c r="M464" i="170"/>
  <c r="J432" i="170"/>
  <c r="K421" i="170"/>
  <c r="I410" i="170"/>
  <c r="M400" i="170"/>
  <c r="K389" i="170"/>
  <c r="I378" i="170"/>
  <c r="M368" i="170"/>
  <c r="K357" i="170"/>
  <c r="I346" i="170"/>
  <c r="M336" i="170"/>
  <c r="K325" i="170"/>
  <c r="I314" i="170"/>
  <c r="M304" i="170"/>
  <c r="K293" i="170"/>
  <c r="I282" i="170"/>
  <c r="G282" i="170" s="1"/>
  <c r="M272" i="170"/>
  <c r="K261" i="170"/>
  <c r="I250" i="170"/>
  <c r="G250" i="170" s="1"/>
  <c r="M240" i="170"/>
  <c r="K229" i="170"/>
  <c r="I218" i="170"/>
  <c r="M208" i="170"/>
  <c r="K197" i="170"/>
  <c r="I186" i="170"/>
  <c r="F186" i="170" s="1"/>
  <c r="I478" i="170"/>
  <c r="H430" i="170"/>
  <c r="L420" i="170"/>
  <c r="J409" i="170"/>
  <c r="H398" i="170"/>
  <c r="L388" i="170"/>
  <c r="J377" i="170"/>
  <c r="H366" i="170"/>
  <c r="L356" i="170"/>
  <c r="J345" i="170"/>
  <c r="H334" i="170"/>
  <c r="L324" i="170"/>
  <c r="J313" i="170"/>
  <c r="H302" i="170"/>
  <c r="L292" i="170"/>
  <c r="J281" i="170"/>
  <c r="H270" i="170"/>
  <c r="L260" i="170"/>
  <c r="J249" i="170"/>
  <c r="H238" i="170"/>
  <c r="L228" i="170"/>
  <c r="J217" i="170"/>
  <c r="H206" i="170"/>
  <c r="L196" i="170"/>
  <c r="J185" i="170"/>
  <c r="M488" i="170"/>
  <c r="H432" i="170"/>
  <c r="I421" i="170"/>
  <c r="M411" i="170"/>
  <c r="K400" i="170"/>
  <c r="I389" i="170"/>
  <c r="F389" i="170" s="1"/>
  <c r="M379" i="170"/>
  <c r="K368" i="170"/>
  <c r="I357" i="170"/>
  <c r="F357" i="170" s="1"/>
  <c r="M347" i="170"/>
  <c r="K336" i="170"/>
  <c r="I325" i="170"/>
  <c r="M315" i="170"/>
  <c r="K304" i="170"/>
  <c r="I293" i="170"/>
  <c r="M283" i="170"/>
  <c r="K272" i="170"/>
  <c r="I261" i="170"/>
  <c r="M251" i="170"/>
  <c r="K240" i="170"/>
  <c r="I229" i="170"/>
  <c r="G229" i="170" s="1"/>
  <c r="M219" i="170"/>
  <c r="M484" i="170"/>
  <c r="H429" i="170"/>
  <c r="L419" i="170"/>
  <c r="J408" i="170"/>
  <c r="H397" i="170"/>
  <c r="L387" i="170"/>
  <c r="J376" i="170"/>
  <c r="H365" i="170"/>
  <c r="L355" i="170"/>
  <c r="J344" i="170"/>
  <c r="H333" i="170"/>
  <c r="L323" i="170"/>
  <c r="J312" i="170"/>
  <c r="H301" i="170"/>
  <c r="L291" i="170"/>
  <c r="J280" i="170"/>
  <c r="H269" i="170"/>
  <c r="L259" i="170"/>
  <c r="J248" i="170"/>
  <c r="H237" i="170"/>
  <c r="L227" i="170"/>
  <c r="J216" i="170"/>
  <c r="H205" i="170"/>
  <c r="H452" i="170"/>
  <c r="K427" i="170"/>
  <c r="I416" i="170"/>
  <c r="M406" i="170"/>
  <c r="K395" i="170"/>
  <c r="I384" i="170"/>
  <c r="M374" i="170"/>
  <c r="K363" i="170"/>
  <c r="I352" i="170"/>
  <c r="G352" i="170" s="1"/>
  <c r="M342" i="170"/>
  <c r="K331" i="170"/>
  <c r="I320" i="170"/>
  <c r="F320" i="170" s="1"/>
  <c r="M310" i="170"/>
  <c r="K299" i="170"/>
  <c r="I288" i="170"/>
  <c r="M278" i="170"/>
  <c r="K267" i="170"/>
  <c r="I256" i="170"/>
  <c r="M246" i="170"/>
  <c r="K235" i="170"/>
  <c r="I224" i="170"/>
  <c r="M214" i="170"/>
  <c r="K203" i="170"/>
  <c r="I192" i="170"/>
  <c r="M182" i="170"/>
  <c r="K171" i="170"/>
  <c r="I160" i="170"/>
  <c r="M150" i="170"/>
  <c r="J427" i="170"/>
  <c r="L338" i="170"/>
  <c r="H260" i="170"/>
  <c r="J188" i="170"/>
  <c r="L172" i="170"/>
  <c r="I153" i="170"/>
  <c r="F153" i="170" s="1"/>
  <c r="J144" i="170"/>
  <c r="M135" i="170"/>
  <c r="K124" i="170"/>
  <c r="I113" i="170"/>
  <c r="M103" i="170"/>
  <c r="K92" i="170"/>
  <c r="I81" i="170"/>
  <c r="F81" i="170" s="1"/>
  <c r="M71" i="170"/>
  <c r="K60" i="170"/>
  <c r="I49" i="170"/>
  <c r="I38" i="170"/>
  <c r="M28" i="170"/>
  <c r="I18" i="170"/>
  <c r="J391" i="170"/>
  <c r="L302" i="170"/>
  <c r="H224" i="170"/>
  <c r="H176" i="170"/>
  <c r="J160" i="170"/>
  <c r="I146" i="170"/>
  <c r="G146" i="170" s="1"/>
  <c r="H137" i="170"/>
  <c r="L127" i="170"/>
  <c r="J116" i="170"/>
  <c r="H105" i="170"/>
  <c r="L95" i="170"/>
  <c r="J84" i="170"/>
  <c r="H73" i="170"/>
  <c r="L63" i="170"/>
  <c r="J52" i="170"/>
  <c r="H41" i="170"/>
  <c r="H30" i="170"/>
  <c r="I19" i="170"/>
  <c r="F19" i="170" s="1"/>
  <c r="J387" i="170"/>
  <c r="L298" i="170"/>
  <c r="H220" i="170"/>
  <c r="J183" i="170"/>
  <c r="H160" i="170"/>
  <c r="H145" i="170"/>
  <c r="K131" i="170"/>
  <c r="I120" i="170"/>
  <c r="F120" i="170" s="1"/>
  <c r="M110" i="170"/>
  <c r="K99" i="170"/>
  <c r="I88" i="170"/>
  <c r="F88" i="170" s="1"/>
  <c r="M78" i="170"/>
  <c r="K67" i="170"/>
  <c r="I56" i="170"/>
  <c r="M46" i="170"/>
  <c r="M35" i="170"/>
  <c r="K24" i="170"/>
  <c r="H408" i="170"/>
  <c r="J319" i="170"/>
  <c r="L230" i="170"/>
  <c r="J184" i="170"/>
  <c r="L159" i="170"/>
  <c r="J139" i="170"/>
  <c r="H128" i="170"/>
  <c r="L118" i="170"/>
  <c r="J107" i="170"/>
  <c r="H96" i="170"/>
  <c r="L86" i="170"/>
  <c r="J75" i="170"/>
  <c r="H64" i="170"/>
  <c r="L54" i="170"/>
  <c r="J43" i="170"/>
  <c r="J32" i="170"/>
  <c r="I21" i="170"/>
  <c r="N21" i="170" s="1"/>
  <c r="H372" i="170"/>
  <c r="J283" i="170"/>
  <c r="K204" i="170"/>
  <c r="L179" i="170"/>
  <c r="J159" i="170"/>
  <c r="I139" i="170"/>
  <c r="M129" i="170"/>
  <c r="K118" i="170"/>
  <c r="I107" i="170"/>
  <c r="N107" i="170" s="1"/>
  <c r="M97" i="170"/>
  <c r="K86" i="170"/>
  <c r="I75" i="170"/>
  <c r="M65" i="170"/>
  <c r="K54" i="170"/>
  <c r="I43" i="170"/>
  <c r="M34" i="170"/>
  <c r="L23" i="170"/>
  <c r="L382" i="170"/>
  <c r="H304" i="170"/>
  <c r="J215" i="170"/>
  <c r="K180" i="170"/>
  <c r="H164" i="170"/>
  <c r="M144" i="170"/>
  <c r="J134" i="170"/>
  <c r="H123" i="170"/>
  <c r="L113" i="170"/>
  <c r="J102" i="170"/>
  <c r="H91" i="170"/>
  <c r="L81" i="170"/>
  <c r="J70" i="170"/>
  <c r="H59" i="170"/>
  <c r="L49" i="170"/>
  <c r="L38" i="170"/>
  <c r="J27" i="170"/>
  <c r="K441" i="170"/>
  <c r="L346" i="170"/>
  <c r="H268" i="170"/>
  <c r="K200" i="170"/>
  <c r="M176" i="170"/>
  <c r="J156" i="170"/>
  <c r="L144" i="170"/>
  <c r="I134" i="170"/>
  <c r="F134" i="170" s="1"/>
  <c r="M124" i="170"/>
  <c r="K113" i="170"/>
  <c r="I102" i="170"/>
  <c r="N102" i="170" s="1"/>
  <c r="M92" i="170"/>
  <c r="K81" i="170"/>
  <c r="I70" i="170"/>
  <c r="G70" i="170" s="1"/>
  <c r="M60" i="170"/>
  <c r="K49" i="170"/>
  <c r="K38" i="170"/>
  <c r="I27" i="170"/>
  <c r="H392" i="170"/>
  <c r="H118" i="170"/>
  <c r="L33" i="170"/>
  <c r="J168" i="170"/>
  <c r="L64" i="170"/>
  <c r="H180" i="170"/>
  <c r="L92" i="170"/>
  <c r="H296" i="170"/>
  <c r="J113" i="170"/>
  <c r="H39" i="170"/>
  <c r="H134" i="170"/>
  <c r="J45" i="170"/>
  <c r="K165" i="170"/>
  <c r="H66" i="170"/>
  <c r="K176" i="170"/>
  <c r="L108" i="170"/>
  <c r="H27" i="170"/>
  <c r="L136" i="170"/>
  <c r="H58" i="170"/>
  <c r="M514" i="170"/>
  <c r="K503" i="170"/>
  <c r="I492" i="170"/>
  <c r="G492" i="170" s="1"/>
  <c r="M482" i="170"/>
  <c r="K471" i="170"/>
  <c r="I460" i="170"/>
  <c r="N460" i="170" s="1"/>
  <c r="M450" i="170"/>
  <c r="K439" i="170"/>
  <c r="L514" i="170"/>
  <c r="J503" i="170"/>
  <c r="H492" i="170"/>
  <c r="L482" i="170"/>
  <c r="J471" i="170"/>
  <c r="H460" i="170"/>
  <c r="I515" i="170"/>
  <c r="N515" i="170" s="1"/>
  <c r="M505" i="170"/>
  <c r="K494" i="170"/>
  <c r="I483" i="170"/>
  <c r="G483" i="170" s="1"/>
  <c r="M473" i="170"/>
  <c r="K462" i="170"/>
  <c r="I451" i="170"/>
  <c r="M441" i="170"/>
  <c r="L509" i="170"/>
  <c r="J498" i="170"/>
  <c r="H487" i="170"/>
  <c r="L477" i="170"/>
  <c r="J466" i="170"/>
  <c r="H455" i="170"/>
  <c r="L445" i="170"/>
  <c r="J434" i="170"/>
  <c r="I510" i="170"/>
  <c r="L516" i="170"/>
  <c r="J505" i="170"/>
  <c r="H494" i="170"/>
  <c r="L484" i="170"/>
  <c r="J473" i="170"/>
  <c r="H462" i="170"/>
  <c r="L452" i="170"/>
  <c r="J441" i="170"/>
  <c r="I517" i="170"/>
  <c r="G517" i="170" s="1"/>
  <c r="M507" i="170"/>
  <c r="K496" i="170"/>
  <c r="I485" i="170"/>
  <c r="M475" i="170"/>
  <c r="K464" i="170"/>
  <c r="I453" i="170"/>
  <c r="M443" i="170"/>
  <c r="K432" i="170"/>
  <c r="J508" i="170"/>
  <c r="H497" i="170"/>
  <c r="L487" i="170"/>
  <c r="J476" i="170"/>
  <c r="H465" i="170"/>
  <c r="L455" i="170"/>
  <c r="J444" i="170"/>
  <c r="H433" i="170"/>
  <c r="K438" i="170"/>
  <c r="K422" i="170"/>
  <c r="I411" i="170"/>
  <c r="N411" i="170" s="1"/>
  <c r="M401" i="170"/>
  <c r="K390" i="170"/>
  <c r="I379" i="170"/>
  <c r="F379" i="170" s="1"/>
  <c r="M369" i="170"/>
  <c r="K358" i="170"/>
  <c r="I347" i="170"/>
  <c r="F347" i="170" s="1"/>
  <c r="M337" i="170"/>
  <c r="K326" i="170"/>
  <c r="I315" i="170"/>
  <c r="M305" i="170"/>
  <c r="K294" i="170"/>
  <c r="I283" i="170"/>
  <c r="F283" i="170" s="1"/>
  <c r="M273" i="170"/>
  <c r="K262" i="170"/>
  <c r="I251" i="170"/>
  <c r="G251" i="170" s="1"/>
  <c r="M241" i="170"/>
  <c r="K230" i="170"/>
  <c r="I219" i="170"/>
  <c r="M209" i="170"/>
  <c r="K198" i="170"/>
  <c r="I187" i="170"/>
  <c r="M177" i="170"/>
  <c r="K166" i="170"/>
  <c r="I155" i="170"/>
  <c r="F155" i="170" s="1"/>
  <c r="I486" i="170"/>
  <c r="M433" i="170"/>
  <c r="H423" i="170"/>
  <c r="L413" i="170"/>
  <c r="J402" i="170"/>
  <c r="H391" i="170"/>
  <c r="L381" i="170"/>
  <c r="J370" i="170"/>
  <c r="H359" i="170"/>
  <c r="L349" i="170"/>
  <c r="J338" i="170"/>
  <c r="H327" i="170"/>
  <c r="L317" i="170"/>
  <c r="J306" i="170"/>
  <c r="H295" i="170"/>
  <c r="L285" i="170"/>
  <c r="J274" i="170"/>
  <c r="H263" i="170"/>
  <c r="L253" i="170"/>
  <c r="J242" i="170"/>
  <c r="H231" i="170"/>
  <c r="L221" i="170"/>
  <c r="J210" i="170"/>
  <c r="H199" i="170"/>
  <c r="L189" i="170"/>
  <c r="J178" i="170"/>
  <c r="H167" i="170"/>
  <c r="L157" i="170"/>
  <c r="K457" i="170"/>
  <c r="I430" i="170"/>
  <c r="F430" i="170" s="1"/>
  <c r="M420" i="170"/>
  <c r="K409" i="170"/>
  <c r="I398" i="170"/>
  <c r="M388" i="170"/>
  <c r="K377" i="170"/>
  <c r="I366" i="170"/>
  <c r="F366" i="170" s="1"/>
  <c r="M356" i="170"/>
  <c r="K345" i="170"/>
  <c r="I334" i="170"/>
  <c r="G334" i="170" s="1"/>
  <c r="M324" i="170"/>
  <c r="K313" i="170"/>
  <c r="I302" i="170"/>
  <c r="M292" i="170"/>
  <c r="K281" i="170"/>
  <c r="I270" i="170"/>
  <c r="G270" i="170" s="1"/>
  <c r="M260" i="170"/>
  <c r="K249" i="170"/>
  <c r="I238" i="170"/>
  <c r="N238" i="170" s="1"/>
  <c r="M228" i="170"/>
  <c r="K217" i="170"/>
  <c r="I206" i="170"/>
  <c r="G206" i="170" s="1"/>
  <c r="M196" i="170"/>
  <c r="K185" i="170"/>
  <c r="M460" i="170"/>
  <c r="J429" i="170"/>
  <c r="H418" i="170"/>
  <c r="L408" i="170"/>
  <c r="J397" i="170"/>
  <c r="H386" i="170"/>
  <c r="L376" i="170"/>
  <c r="J365" i="170"/>
  <c r="H354" i="170"/>
  <c r="L344" i="170"/>
  <c r="J333" i="170"/>
  <c r="H322" i="170"/>
  <c r="L312" i="170"/>
  <c r="J301" i="170"/>
  <c r="H290" i="170"/>
  <c r="L280" i="170"/>
  <c r="J269" i="170"/>
  <c r="H258" i="170"/>
  <c r="L248" i="170"/>
  <c r="J237" i="170"/>
  <c r="H226" i="170"/>
  <c r="L216" i="170"/>
  <c r="J205" i="170"/>
  <c r="H194" i="170"/>
  <c r="L184" i="170"/>
  <c r="K481" i="170"/>
  <c r="M431" i="170"/>
  <c r="K420" i="170"/>
  <c r="I409" i="170"/>
  <c r="M399" i="170"/>
  <c r="K388" i="170"/>
  <c r="I377" i="170"/>
  <c r="M367" i="170"/>
  <c r="K356" i="170"/>
  <c r="I345" i="170"/>
  <c r="N345" i="170" s="1"/>
  <c r="M335" i="170"/>
  <c r="K324" i="170"/>
  <c r="I313" i="170"/>
  <c r="G313" i="170" s="1"/>
  <c r="M303" i="170"/>
  <c r="K292" i="170"/>
  <c r="I281" i="170"/>
  <c r="G281" i="170" s="1"/>
  <c r="M271" i="170"/>
  <c r="K260" i="170"/>
  <c r="I249" i="170"/>
  <c r="M239" i="170"/>
  <c r="K228" i="170"/>
  <c r="I217" i="170"/>
  <c r="K477" i="170"/>
  <c r="J428" i="170"/>
  <c r="H417" i="170"/>
  <c r="L407" i="170"/>
  <c r="J396" i="170"/>
  <c r="H385" i="170"/>
  <c r="L375" i="170"/>
  <c r="J364" i="170"/>
  <c r="H353" i="170"/>
  <c r="L343" i="170"/>
  <c r="J332" i="170"/>
  <c r="H321" i="170"/>
  <c r="L311" i="170"/>
  <c r="J300" i="170"/>
  <c r="H289" i="170"/>
  <c r="L279" i="170"/>
  <c r="J268" i="170"/>
  <c r="H257" i="170"/>
  <c r="L247" i="170"/>
  <c r="J236" i="170"/>
  <c r="H225" i="170"/>
  <c r="L215" i="170"/>
  <c r="J204" i="170"/>
  <c r="L450" i="170"/>
  <c r="M426" i="170"/>
  <c r="K415" i="170"/>
  <c r="I404" i="170"/>
  <c r="M394" i="170"/>
  <c r="K383" i="170"/>
  <c r="I372" i="170"/>
  <c r="M362" i="170"/>
  <c r="K351" i="170"/>
  <c r="I340" i="170"/>
  <c r="F340" i="170" s="1"/>
  <c r="M330" i="170"/>
  <c r="K319" i="170"/>
  <c r="I308" i="170"/>
  <c r="M298" i="170"/>
  <c r="K287" i="170"/>
  <c r="I276" i="170"/>
  <c r="G276" i="170" s="1"/>
  <c r="M266" i="170"/>
  <c r="K255" i="170"/>
  <c r="I244" i="170"/>
  <c r="G244" i="170" s="1"/>
  <c r="M234" i="170"/>
  <c r="K223" i="170"/>
  <c r="I212" i="170"/>
  <c r="M202" i="170"/>
  <c r="K191" i="170"/>
  <c r="I180" i="170"/>
  <c r="G180" i="170" s="1"/>
  <c r="M170" i="170"/>
  <c r="K159" i="170"/>
  <c r="I148" i="170"/>
  <c r="H420" i="170"/>
  <c r="J331" i="170"/>
  <c r="L242" i="170"/>
  <c r="M183" i="170"/>
  <c r="I170" i="170"/>
  <c r="G170" i="170" s="1"/>
  <c r="M152" i="170"/>
  <c r="I143" i="170"/>
  <c r="N143" i="170" s="1"/>
  <c r="I133" i="170"/>
  <c r="M123" i="170"/>
  <c r="K112" i="170"/>
  <c r="I101" i="170"/>
  <c r="M91" i="170"/>
  <c r="K80" i="170"/>
  <c r="I69" i="170"/>
  <c r="M59" i="170"/>
  <c r="K48" i="170"/>
  <c r="K37" i="170"/>
  <c r="I26" i="170"/>
  <c r="M476" i="170"/>
  <c r="H384" i="170"/>
  <c r="J295" i="170"/>
  <c r="L210" i="170"/>
  <c r="J175" i="170"/>
  <c r="K157" i="170"/>
  <c r="I145" i="170"/>
  <c r="G145" i="170" s="1"/>
  <c r="J136" i="170"/>
  <c r="H125" i="170"/>
  <c r="L115" i="170"/>
  <c r="J104" i="170"/>
  <c r="H93" i="170"/>
  <c r="L83" i="170"/>
  <c r="J72" i="170"/>
  <c r="H61" i="170"/>
  <c r="L51" i="170"/>
  <c r="K40" i="170"/>
  <c r="J29" i="170"/>
  <c r="H18" i="170"/>
  <c r="H380" i="170"/>
  <c r="J291" i="170"/>
  <c r="K208" i="170"/>
  <c r="L174" i="170"/>
  <c r="M159" i="170"/>
  <c r="I140" i="170"/>
  <c r="M130" i="170"/>
  <c r="K119" i="170"/>
  <c r="I108" i="170"/>
  <c r="M98" i="170"/>
  <c r="K87" i="170"/>
  <c r="I76" i="170"/>
  <c r="N76" i="170" s="1"/>
  <c r="M66" i="170"/>
  <c r="K55" i="170"/>
  <c r="I44" i="170"/>
  <c r="F44" i="170" s="1"/>
  <c r="I33" i="170"/>
  <c r="H22" i="170"/>
  <c r="L390" i="170"/>
  <c r="H312" i="170"/>
  <c r="J223" i="170"/>
  <c r="M179" i="170"/>
  <c r="I157" i="170"/>
  <c r="L138" i="170"/>
  <c r="J127" i="170"/>
  <c r="H116" i="170"/>
  <c r="L106" i="170"/>
  <c r="J95" i="170"/>
  <c r="H84" i="170"/>
  <c r="L74" i="170"/>
  <c r="J63" i="170"/>
  <c r="H52" i="170"/>
  <c r="L42" i="170"/>
  <c r="L31" i="170"/>
  <c r="L20" i="170"/>
  <c r="L354" i="170"/>
  <c r="H276" i="170"/>
  <c r="M199" i="170"/>
  <c r="H174" i="170"/>
  <c r="H157" i="170"/>
  <c r="K138" i="170"/>
  <c r="I127" i="170"/>
  <c r="M117" i="170"/>
  <c r="K106" i="170"/>
  <c r="I95" i="170"/>
  <c r="G95" i="170" s="1"/>
  <c r="M85" i="170"/>
  <c r="K74" i="170"/>
  <c r="I63" i="170"/>
  <c r="G63" i="170" s="1"/>
  <c r="M53" i="170"/>
  <c r="K42" i="170"/>
  <c r="I32" i="170"/>
  <c r="H21" i="170"/>
  <c r="J375" i="170"/>
  <c r="L286" i="170"/>
  <c r="H204" i="170"/>
  <c r="J179" i="170"/>
  <c r="M163" i="170"/>
  <c r="M143" i="170"/>
  <c r="L133" i="170"/>
  <c r="J122" i="170"/>
  <c r="H111" i="170"/>
  <c r="L101" i="170"/>
  <c r="J90" i="170"/>
  <c r="H79" i="170"/>
  <c r="L69" i="170"/>
  <c r="J58" i="170"/>
  <c r="H47" i="170"/>
  <c r="H36" i="170"/>
  <c r="L26" i="170"/>
  <c r="H428" i="170"/>
  <c r="J339" i="170"/>
  <c r="L250" i="170"/>
  <c r="J199" i="170"/>
  <c r="J173" i="170"/>
  <c r="K153" i="170"/>
  <c r="L143" i="170"/>
  <c r="K133" i="170"/>
  <c r="I122" i="170"/>
  <c r="M112" i="170"/>
  <c r="K101" i="170"/>
  <c r="I90" i="170"/>
  <c r="F90" i="170" s="1"/>
  <c r="M80" i="170"/>
  <c r="K69" i="170"/>
  <c r="I58" i="170"/>
  <c r="F58" i="170" s="1"/>
  <c r="M48" i="170"/>
  <c r="M37" i="170"/>
  <c r="K26" i="170"/>
  <c r="J335" i="170"/>
  <c r="L100" i="170"/>
  <c r="J26" i="170"/>
  <c r="J151" i="170"/>
  <c r="J57" i="170"/>
  <c r="I173" i="170"/>
  <c r="N173" i="170" s="1"/>
  <c r="J85" i="170"/>
  <c r="J239" i="170"/>
  <c r="H106" i="170"/>
  <c r="M21" i="170"/>
  <c r="L116" i="170"/>
  <c r="H35" i="170"/>
  <c r="J137" i="170"/>
  <c r="L48" i="170"/>
  <c r="L170" i="170"/>
  <c r="J101" i="170"/>
  <c r="H20" i="170"/>
  <c r="J129" i="170"/>
  <c r="L37" i="170"/>
  <c r="I512" i="170"/>
  <c r="M502" i="170"/>
  <c r="K491" i="170"/>
  <c r="I480" i="170"/>
  <c r="M470" i="170"/>
  <c r="K459" i="170"/>
  <c r="I448" i="170"/>
  <c r="M438" i="170"/>
  <c r="H512" i="170"/>
  <c r="L502" i="170"/>
  <c r="J491" i="170"/>
  <c r="H480" i="170"/>
  <c r="L470" i="170"/>
  <c r="J459" i="170"/>
  <c r="K514" i="170"/>
  <c r="I503" i="170"/>
  <c r="M493" i="170"/>
  <c r="K482" i="170"/>
  <c r="I471" i="170"/>
  <c r="F471" i="170" s="1"/>
  <c r="M461" i="170"/>
  <c r="K450" i="170"/>
  <c r="J518" i="170"/>
  <c r="H507" i="170"/>
  <c r="L497" i="170"/>
  <c r="J486" i="170"/>
  <c r="H475" i="170"/>
  <c r="L465" i="170"/>
  <c r="J454" i="170"/>
  <c r="H443" i="170"/>
  <c r="L433" i="170"/>
  <c r="K509" i="170"/>
  <c r="H514" i="170"/>
  <c r="L504" i="170"/>
  <c r="J493" i="170"/>
  <c r="H482" i="170"/>
  <c r="L472" i="170"/>
  <c r="J461" i="170"/>
  <c r="H450" i="170"/>
  <c r="L440" i="170"/>
  <c r="K516" i="170"/>
  <c r="I505" i="170"/>
  <c r="M495" i="170"/>
  <c r="K484" i="170"/>
  <c r="I473" i="170"/>
  <c r="G473" i="170" s="1"/>
  <c r="M463" i="170"/>
  <c r="K452" i="170"/>
  <c r="I441" i="170"/>
  <c r="H517" i="170"/>
  <c r="L507" i="170"/>
  <c r="J496" i="170"/>
  <c r="H485" i="170"/>
  <c r="L475" i="170"/>
  <c r="J464" i="170"/>
  <c r="H453" i="170"/>
  <c r="L443" i="170"/>
  <c r="K497" i="170"/>
  <c r="I431" i="170"/>
  <c r="M421" i="170"/>
  <c r="K410" i="170"/>
  <c r="I399" i="170"/>
  <c r="M389" i="170"/>
  <c r="K378" i="170"/>
  <c r="I367" i="170"/>
  <c r="N367" i="170" s="1"/>
  <c r="M357" i="170"/>
  <c r="K346" i="170"/>
  <c r="I335" i="170"/>
  <c r="G335" i="170" s="1"/>
  <c r="M325" i="170"/>
  <c r="K314" i="170"/>
  <c r="I303" i="170"/>
  <c r="M293" i="170"/>
  <c r="K282" i="170"/>
  <c r="I271" i="170"/>
  <c r="N271" i="170" s="1"/>
  <c r="M261" i="170"/>
  <c r="K250" i="170"/>
  <c r="I239" i="170"/>
  <c r="G239" i="170" s="1"/>
  <c r="M229" i="170"/>
  <c r="K218" i="170"/>
  <c r="I207" i="170"/>
  <c r="F207" i="170" s="1"/>
  <c r="M197" i="170"/>
  <c r="K186" i="170"/>
  <c r="I175" i="170"/>
  <c r="M165" i="170"/>
  <c r="K154" i="170"/>
  <c r="M468" i="170"/>
  <c r="M432" i="170"/>
  <c r="J422" i="170"/>
  <c r="H411" i="170"/>
  <c r="L401" i="170"/>
  <c r="J390" i="170"/>
  <c r="H379" i="170"/>
  <c r="L369" i="170"/>
  <c r="J358" i="170"/>
  <c r="H347" i="170"/>
  <c r="L337" i="170"/>
  <c r="J326" i="170"/>
  <c r="H315" i="170"/>
  <c r="L305" i="170"/>
  <c r="J294" i="170"/>
  <c r="H283" i="170"/>
  <c r="L273" i="170"/>
  <c r="J262" i="170"/>
  <c r="H251" i="170"/>
  <c r="L241" i="170"/>
  <c r="J230" i="170"/>
  <c r="H219" i="170"/>
  <c r="L209" i="170"/>
  <c r="J198" i="170"/>
  <c r="H187" i="170"/>
  <c r="L177" i="170"/>
  <c r="J166" i="170"/>
  <c r="H155" i="170"/>
  <c r="J451" i="170"/>
  <c r="K429" i="170"/>
  <c r="I418" i="170"/>
  <c r="G418" i="170" s="1"/>
  <c r="M408" i="170"/>
  <c r="K397" i="170"/>
  <c r="I386" i="170"/>
  <c r="G386" i="170" s="1"/>
  <c r="M376" i="170"/>
  <c r="K365" i="170"/>
  <c r="I354" i="170"/>
  <c r="M344" i="170"/>
  <c r="K333" i="170"/>
  <c r="I322" i="170"/>
  <c r="N322" i="170" s="1"/>
  <c r="M312" i="170"/>
  <c r="K301" i="170"/>
  <c r="I290" i="170"/>
  <c r="G290" i="170" s="1"/>
  <c r="M280" i="170"/>
  <c r="K269" i="170"/>
  <c r="I258" i="170"/>
  <c r="M248" i="170"/>
  <c r="K237" i="170"/>
  <c r="I226" i="170"/>
  <c r="M216" i="170"/>
  <c r="K205" i="170"/>
  <c r="I194" i="170"/>
  <c r="M184" i="170"/>
  <c r="K453" i="170"/>
  <c r="L428" i="170"/>
  <c r="J417" i="170"/>
  <c r="H406" i="170"/>
  <c r="L396" i="170"/>
  <c r="J385" i="170"/>
  <c r="H374" i="170"/>
  <c r="L364" i="170"/>
  <c r="J353" i="170"/>
  <c r="H342" i="170"/>
  <c r="L332" i="170"/>
  <c r="J321" i="170"/>
  <c r="H310" i="170"/>
  <c r="L300" i="170"/>
  <c r="J289" i="170"/>
  <c r="H278" i="170"/>
  <c r="L268" i="170"/>
  <c r="J257" i="170"/>
  <c r="H246" i="170"/>
  <c r="L236" i="170"/>
  <c r="J225" i="170"/>
  <c r="H214" i="170"/>
  <c r="L204" i="170"/>
  <c r="J193" i="170"/>
  <c r="H182" i="170"/>
  <c r="I474" i="170"/>
  <c r="I429" i="170"/>
  <c r="F429" i="170" s="1"/>
  <c r="M419" i="170"/>
  <c r="K408" i="170"/>
  <c r="I397" i="170"/>
  <c r="N397" i="170" s="1"/>
  <c r="M387" i="170"/>
  <c r="K376" i="170"/>
  <c r="I365" i="170"/>
  <c r="M355" i="170"/>
  <c r="K344" i="170"/>
  <c r="I333" i="170"/>
  <c r="G333" i="170" s="1"/>
  <c r="M323" i="170"/>
  <c r="K312" i="170"/>
  <c r="I301" i="170"/>
  <c r="M291" i="170"/>
  <c r="K280" i="170"/>
  <c r="I269" i="170"/>
  <c r="N269" i="170" s="1"/>
  <c r="M259" i="170"/>
  <c r="K248" i="170"/>
  <c r="I237" i="170"/>
  <c r="M227" i="170"/>
  <c r="K216" i="170"/>
  <c r="I470" i="170"/>
  <c r="L427" i="170"/>
  <c r="J416" i="170"/>
  <c r="H405" i="170"/>
  <c r="L395" i="170"/>
  <c r="J384" i="170"/>
  <c r="H373" i="170"/>
  <c r="L363" i="170"/>
  <c r="J352" i="170"/>
  <c r="H341" i="170"/>
  <c r="L331" i="170"/>
  <c r="J320" i="170"/>
  <c r="H309" i="170"/>
  <c r="L299" i="170"/>
  <c r="J288" i="170"/>
  <c r="H277" i="170"/>
  <c r="L267" i="170"/>
  <c r="J256" i="170"/>
  <c r="H245" i="170"/>
  <c r="L235" i="170"/>
  <c r="J224" i="170"/>
  <c r="H213" i="170"/>
  <c r="L203" i="170"/>
  <c r="J443" i="170"/>
  <c r="I424" i="170"/>
  <c r="F424" i="170" s="1"/>
  <c r="M414" i="170"/>
  <c r="K403" i="170"/>
  <c r="I392" i="170"/>
  <c r="G392" i="170" s="1"/>
  <c r="M382" i="170"/>
  <c r="K371" i="170"/>
  <c r="I360" i="170"/>
  <c r="N360" i="170" s="1"/>
  <c r="M350" i="170"/>
  <c r="K339" i="170"/>
  <c r="I328" i="170"/>
  <c r="M318" i="170"/>
  <c r="K307" i="170"/>
  <c r="I296" i="170"/>
  <c r="G296" i="170" s="1"/>
  <c r="M286" i="170"/>
  <c r="K275" i="170"/>
  <c r="I264" i="170"/>
  <c r="M254" i="170"/>
  <c r="K243" i="170"/>
  <c r="I232" i="170"/>
  <c r="F232" i="170" s="1"/>
  <c r="M222" i="170"/>
  <c r="K211" i="170"/>
  <c r="I200" i="170"/>
  <c r="G200" i="170" s="1"/>
  <c r="M190" i="170"/>
  <c r="K179" i="170"/>
  <c r="I168" i="170"/>
  <c r="G168" i="170" s="1"/>
  <c r="M158" i="170"/>
  <c r="K147" i="170"/>
  <c r="L402" i="170"/>
  <c r="H324" i="170"/>
  <c r="J235" i="170"/>
  <c r="L182" i="170"/>
  <c r="H168" i="170"/>
  <c r="H151" i="170"/>
  <c r="I142" i="170"/>
  <c r="K132" i="170"/>
  <c r="I121" i="170"/>
  <c r="N121" i="170" s="1"/>
  <c r="M111" i="170"/>
  <c r="K100" i="170"/>
  <c r="I89" i="170"/>
  <c r="N89" i="170" s="1"/>
  <c r="M79" i="170"/>
  <c r="K68" i="170"/>
  <c r="I57" i="170"/>
  <c r="M47" i="170"/>
  <c r="M36" i="170"/>
  <c r="K25" i="170"/>
  <c r="I450" i="170"/>
  <c r="L366" i="170"/>
  <c r="H288" i="170"/>
  <c r="J203" i="170"/>
  <c r="K172" i="170"/>
  <c r="J155" i="170"/>
  <c r="H144" i="170"/>
  <c r="L135" i="170"/>
  <c r="J124" i="170"/>
  <c r="H113" i="170"/>
  <c r="L103" i="170"/>
  <c r="J92" i="170"/>
  <c r="H81" i="170"/>
  <c r="L71" i="170"/>
  <c r="J60" i="170"/>
  <c r="H49" i="170"/>
  <c r="H38" i="170"/>
  <c r="L28" i="170"/>
  <c r="K501" i="170"/>
  <c r="L362" i="170"/>
  <c r="H284" i="170"/>
  <c r="I201" i="170"/>
  <c r="J172" i="170"/>
  <c r="J157" i="170"/>
  <c r="K139" i="170"/>
  <c r="I128" i="170"/>
  <c r="G128" i="170" s="1"/>
  <c r="M118" i="170"/>
  <c r="K107" i="170"/>
  <c r="I96" i="170"/>
  <c r="M86" i="170"/>
  <c r="K75" i="170"/>
  <c r="I64" i="170"/>
  <c r="F64" i="170" s="1"/>
  <c r="M54" i="170"/>
  <c r="K43" i="170"/>
  <c r="K32" i="170"/>
  <c r="J21" i="170"/>
  <c r="J383" i="170"/>
  <c r="L294" i="170"/>
  <c r="H216" i="170"/>
  <c r="I174" i="170"/>
  <c r="M156" i="170"/>
  <c r="H136" i="170"/>
  <c r="L126" i="170"/>
  <c r="J115" i="170"/>
  <c r="H104" i="170"/>
  <c r="L94" i="170"/>
  <c r="J83" i="170"/>
  <c r="H72" i="170"/>
  <c r="L62" i="170"/>
  <c r="J51" i="170"/>
  <c r="I40" i="170"/>
  <c r="H29" i="170"/>
  <c r="I494" i="170"/>
  <c r="J347" i="170"/>
  <c r="L258" i="170"/>
  <c r="L198" i="170"/>
  <c r="L171" i="170"/>
  <c r="L156" i="170"/>
  <c r="M137" i="170"/>
  <c r="K126" i="170"/>
  <c r="I115" i="170"/>
  <c r="M105" i="170"/>
  <c r="K94" i="170"/>
  <c r="I83" i="170"/>
  <c r="G83" i="170" s="1"/>
  <c r="M73" i="170"/>
  <c r="K62" i="170"/>
  <c r="I51" i="170"/>
  <c r="M41" i="170"/>
  <c r="K31" i="170"/>
  <c r="K20" i="170"/>
  <c r="H368" i="170"/>
  <c r="J279" i="170"/>
  <c r="L202" i="170"/>
  <c r="L178" i="170"/>
  <c r="J161" i="170"/>
  <c r="L142" i="170"/>
  <c r="H131" i="170"/>
  <c r="L121" i="170"/>
  <c r="J110" i="170"/>
  <c r="H99" i="170"/>
  <c r="L89" i="170"/>
  <c r="J78" i="170"/>
  <c r="H67" i="170"/>
  <c r="L57" i="170"/>
  <c r="J46" i="170"/>
  <c r="J35" i="170"/>
  <c r="H24" i="170"/>
  <c r="L410" i="170"/>
  <c r="H332" i="170"/>
  <c r="J243" i="170"/>
  <c r="I193" i="170"/>
  <c r="K168" i="170"/>
  <c r="L151" i="170"/>
  <c r="K142" i="170"/>
  <c r="M132" i="170"/>
  <c r="K121" i="170"/>
  <c r="I110" i="170"/>
  <c r="F110" i="170" s="1"/>
  <c r="M100" i="170"/>
  <c r="K89" i="170"/>
  <c r="I78" i="170"/>
  <c r="G78" i="170" s="1"/>
  <c r="M68" i="170"/>
  <c r="K57" i="170"/>
  <c r="I46" i="170"/>
  <c r="F46" i="170" s="1"/>
  <c r="I35" i="170"/>
  <c r="N35" i="170" s="1"/>
  <c r="M25" i="170"/>
  <c r="L278" i="170"/>
  <c r="J93" i="170"/>
  <c r="K19" i="170"/>
  <c r="L128" i="170"/>
  <c r="H50" i="170"/>
  <c r="H156" i="170"/>
  <c r="H78" i="170"/>
  <c r="K188" i="170"/>
  <c r="L88" i="170"/>
  <c r="L406" i="170"/>
  <c r="J109" i="170"/>
  <c r="J431" i="170"/>
  <c r="H130" i="170"/>
  <c r="J41" i="170"/>
  <c r="J153" i="170"/>
  <c r="H94" i="170"/>
  <c r="H424" i="170"/>
  <c r="H122" i="170"/>
  <c r="J30" i="170"/>
  <c r="I516" i="170"/>
  <c r="M506" i="170"/>
  <c r="K495" i="170"/>
  <c r="I484" i="170"/>
  <c r="M474" i="170"/>
  <c r="K463" i="170"/>
  <c r="I452" i="170"/>
  <c r="M442" i="170"/>
  <c r="H516" i="170"/>
  <c r="L506" i="170"/>
  <c r="J495" i="170"/>
  <c r="H484" i="170"/>
  <c r="L474" i="170"/>
  <c r="J463" i="170"/>
  <c r="K518" i="170"/>
  <c r="I507" i="170"/>
  <c r="N507" i="170" s="1"/>
  <c r="M497" i="170"/>
  <c r="K486" i="170"/>
  <c r="I475" i="170"/>
  <c r="N475" i="170" s="1"/>
  <c r="M465" i="170"/>
  <c r="K454" i="170"/>
  <c r="I443" i="170"/>
  <c r="N443" i="170" s="1"/>
  <c r="H511" i="170"/>
  <c r="L501" i="170"/>
  <c r="J490" i="170"/>
  <c r="H479" i="170"/>
  <c r="L469" i="170"/>
  <c r="J458" i="170"/>
  <c r="H447" i="170"/>
  <c r="L437" i="170"/>
  <c r="K513" i="170"/>
  <c r="H518" i="170"/>
  <c r="L508" i="170"/>
  <c r="J497" i="170"/>
  <c r="H486" i="170"/>
  <c r="L476" i="170"/>
  <c r="J465" i="170"/>
  <c r="H454" i="170"/>
  <c r="L444" i="170"/>
  <c r="J433" i="170"/>
  <c r="I509" i="170"/>
  <c r="M499" i="170"/>
  <c r="K488" i="170"/>
  <c r="I477" i="170"/>
  <c r="M467" i="170"/>
  <c r="K456" i="170"/>
  <c r="I445" i="170"/>
  <c r="G445" i="170" s="1"/>
  <c r="M435" i="170"/>
  <c r="L511" i="170"/>
  <c r="J500" i="170"/>
  <c r="H489" i="170"/>
  <c r="L479" i="170"/>
  <c r="J468" i="170"/>
  <c r="H457" i="170"/>
  <c r="L447" i="170"/>
  <c r="J436" i="170"/>
  <c r="H448" i="170"/>
  <c r="M425" i="170"/>
  <c r="K414" i="170"/>
  <c r="I403" i="170"/>
  <c r="M393" i="170"/>
  <c r="K511" i="170"/>
  <c r="M490" i="170"/>
  <c r="I468" i="170"/>
  <c r="F468" i="170" s="1"/>
  <c r="K447" i="170"/>
  <c r="J511" i="170"/>
  <c r="L490" i="170"/>
  <c r="H468" i="170"/>
  <c r="M513" i="170"/>
  <c r="I491" i="170"/>
  <c r="N491" i="170" s="1"/>
  <c r="K470" i="170"/>
  <c r="M449" i="170"/>
  <c r="J506" i="170"/>
  <c r="L485" i="170"/>
  <c r="H463" i="170"/>
  <c r="J442" i="170"/>
  <c r="M508" i="170"/>
  <c r="H502" i="170"/>
  <c r="J481" i="170"/>
  <c r="L460" i="170"/>
  <c r="H438" i="170"/>
  <c r="K504" i="170"/>
  <c r="M483" i="170"/>
  <c r="I461" i="170"/>
  <c r="G461" i="170" s="1"/>
  <c r="K440" i="170"/>
  <c r="H505" i="170"/>
  <c r="J484" i="170"/>
  <c r="L463" i="170"/>
  <c r="H441" i="170"/>
  <c r="K430" i="170"/>
  <c r="M409" i="170"/>
  <c r="I387" i="170"/>
  <c r="F387" i="170" s="1"/>
  <c r="M373" i="170"/>
  <c r="K354" i="170"/>
  <c r="I339" i="170"/>
  <c r="G339" i="170" s="1"/>
  <c r="M321" i="170"/>
  <c r="K302" i="170"/>
  <c r="I287" i="170"/>
  <c r="M269" i="170"/>
  <c r="K254" i="170"/>
  <c r="I235" i="170"/>
  <c r="M217" i="170"/>
  <c r="K202" i="170"/>
  <c r="I183" i="170"/>
  <c r="G183" i="170" s="1"/>
  <c r="M169" i="170"/>
  <c r="K150" i="170"/>
  <c r="H431" i="170"/>
  <c r="L417" i="170"/>
  <c r="J398" i="170"/>
  <c r="H383" i="170"/>
  <c r="L365" i="170"/>
  <c r="J346" i="170"/>
  <c r="H331" i="170"/>
  <c r="L313" i="170"/>
  <c r="J298" i="170"/>
  <c r="H279" i="170"/>
  <c r="L261" i="170"/>
  <c r="J246" i="170"/>
  <c r="H227" i="170"/>
  <c r="L213" i="170"/>
  <c r="J194" i="170"/>
  <c r="H175" i="170"/>
  <c r="L161" i="170"/>
  <c r="L442" i="170"/>
  <c r="I422" i="170"/>
  <c r="M404" i="170"/>
  <c r="K385" i="170"/>
  <c r="I370" i="170"/>
  <c r="N370" i="170" s="1"/>
  <c r="M352" i="170"/>
  <c r="K337" i="170"/>
  <c r="I318" i="170"/>
  <c r="M300" i="170"/>
  <c r="K285" i="170"/>
  <c r="I266" i="170"/>
  <c r="G266" i="170" s="1"/>
  <c r="M252" i="170"/>
  <c r="K233" i="170"/>
  <c r="I214" i="170"/>
  <c r="M200" i="170"/>
  <c r="K181" i="170"/>
  <c r="I432" i="170"/>
  <c r="J413" i="170"/>
  <c r="H394" i="170"/>
  <c r="L380" i="170"/>
  <c r="J361" i="170"/>
  <c r="H346" i="170"/>
  <c r="L328" i="170"/>
  <c r="J309" i="170"/>
  <c r="H294" i="170"/>
  <c r="L276" i="170"/>
  <c r="J261" i="170"/>
  <c r="H242" i="170"/>
  <c r="L224" i="170"/>
  <c r="J209" i="170"/>
  <c r="H190" i="170"/>
  <c r="L176" i="170"/>
  <c r="I425" i="170"/>
  <c r="M407" i="170"/>
  <c r="K392" i="170"/>
  <c r="I373" i="170"/>
  <c r="F373" i="170" s="1"/>
  <c r="M359" i="170"/>
  <c r="K340" i="170"/>
  <c r="I321" i="170"/>
  <c r="M307" i="170"/>
  <c r="K288" i="170"/>
  <c r="I273" i="170"/>
  <c r="M255" i="170"/>
  <c r="K236" i="170"/>
  <c r="I221" i="170"/>
  <c r="F221" i="170" s="1"/>
  <c r="K445" i="170"/>
  <c r="J420" i="170"/>
  <c r="H401" i="170"/>
  <c r="L383" i="170"/>
  <c r="J368" i="170"/>
  <c r="H349" i="170"/>
  <c r="L335" i="170"/>
  <c r="J316" i="170"/>
  <c r="H297" i="170"/>
  <c r="L283" i="170"/>
  <c r="J264" i="170"/>
  <c r="H249" i="170"/>
  <c r="L231" i="170"/>
  <c r="J212" i="170"/>
  <c r="K473" i="170"/>
  <c r="M422" i="170"/>
  <c r="K407" i="170"/>
  <c r="I388" i="170"/>
  <c r="M370" i="170"/>
  <c r="K355" i="170"/>
  <c r="I336" i="170"/>
  <c r="F336" i="170" s="1"/>
  <c r="M322" i="170"/>
  <c r="K303" i="170"/>
  <c r="I284" i="170"/>
  <c r="G284" i="170" s="1"/>
  <c r="M270" i="170"/>
  <c r="K251" i="170"/>
  <c r="I236" i="170"/>
  <c r="F236" i="170" s="1"/>
  <c r="M218" i="170"/>
  <c r="K199" i="170"/>
  <c r="I184" i="170"/>
  <c r="N184" i="170" s="1"/>
  <c r="M166" i="170"/>
  <c r="K151" i="170"/>
  <c r="L370" i="170"/>
  <c r="H228" i="170"/>
  <c r="L175" i="170"/>
  <c r="K148" i="170"/>
  <c r="K136" i="170"/>
  <c r="I117" i="170"/>
  <c r="G117" i="170" s="1"/>
  <c r="M99" i="170"/>
  <c r="K84" i="170"/>
  <c r="I65" i="170"/>
  <c r="M51" i="170"/>
  <c r="M32" i="170"/>
  <c r="K437" i="170"/>
  <c r="J327" i="170"/>
  <c r="J195" i="170"/>
  <c r="L162" i="170"/>
  <c r="H141" i="170"/>
  <c r="L123" i="170"/>
  <c r="J108" i="170"/>
  <c r="H89" i="170"/>
  <c r="L75" i="170"/>
  <c r="J56" i="170"/>
  <c r="J37" i="170"/>
  <c r="I22" i="170"/>
  <c r="G22" i="170" s="1"/>
  <c r="H348" i="170"/>
  <c r="J227" i="170"/>
  <c r="H165" i="170"/>
  <c r="M138" i="170"/>
  <c r="K123" i="170"/>
  <c r="I104" i="170"/>
  <c r="M90" i="170"/>
  <c r="K71" i="170"/>
  <c r="I52" i="170"/>
  <c r="G52" i="170" s="1"/>
  <c r="I37" i="170"/>
  <c r="H19" i="170"/>
  <c r="L326" i="170"/>
  <c r="I197" i="170"/>
  <c r="L154" i="170"/>
  <c r="J131" i="170"/>
  <c r="H112" i="170"/>
  <c r="L98" i="170"/>
  <c r="J79" i="170"/>
  <c r="H60" i="170"/>
  <c r="L46" i="170"/>
  <c r="L27" i="170"/>
  <c r="J379" i="170"/>
  <c r="L226" i="170"/>
  <c r="I169" i="170"/>
  <c r="G169" i="170" s="1"/>
  <c r="H149" i="170"/>
  <c r="I123" i="170"/>
  <c r="M109" i="170"/>
  <c r="K90" i="170"/>
  <c r="I71" i="170"/>
  <c r="G71" i="170" s="1"/>
  <c r="M57" i="170"/>
  <c r="K39" i="170"/>
  <c r="I24" i="170"/>
  <c r="G24" i="170" s="1"/>
  <c r="H336" i="170"/>
  <c r="L199" i="170"/>
  <c r="L168" i="170"/>
  <c r="H139" i="170"/>
  <c r="L125" i="170"/>
  <c r="J106" i="170"/>
  <c r="H87" i="170"/>
  <c r="L73" i="170"/>
  <c r="J54" i="170"/>
  <c r="J39" i="170"/>
  <c r="J20" i="170"/>
  <c r="L314" i="170"/>
  <c r="I209" i="170"/>
  <c r="L163" i="170"/>
  <c r="L145" i="170"/>
  <c r="M128" i="170"/>
  <c r="K109" i="170"/>
  <c r="I94" i="170"/>
  <c r="M76" i="170"/>
  <c r="K61" i="170"/>
  <c r="I42" i="170"/>
  <c r="J23" i="170"/>
  <c r="L132" i="170"/>
  <c r="J303" i="170"/>
  <c r="H82" i="170"/>
  <c r="L124" i="170"/>
  <c r="M172" i="170"/>
  <c r="J49" i="170"/>
  <c r="L84" i="170"/>
  <c r="I177" i="170"/>
  <c r="J399" i="170"/>
  <c r="L76" i="170"/>
  <c r="M175" i="170"/>
  <c r="M510" i="170"/>
  <c r="I488" i="170"/>
  <c r="K467" i="170"/>
  <c r="M446" i="170"/>
  <c r="L510" i="170"/>
  <c r="H488" i="170"/>
  <c r="J467" i="170"/>
  <c r="I511" i="170"/>
  <c r="G511" i="170" s="1"/>
  <c r="K490" i="170"/>
  <c r="M469" i="170"/>
  <c r="I447" i="170"/>
  <c r="G447" i="170" s="1"/>
  <c r="L505" i="170"/>
  <c r="H483" i="170"/>
  <c r="J462" i="170"/>
  <c r="L441" i="170"/>
  <c r="I506" i="170"/>
  <c r="F506" i="170" s="1"/>
  <c r="J501" i="170"/>
  <c r="L480" i="170"/>
  <c r="H458" i="170"/>
  <c r="J437" i="170"/>
  <c r="M503" i="170"/>
  <c r="I481" i="170"/>
  <c r="G481" i="170" s="1"/>
  <c r="K460" i="170"/>
  <c r="M439" i="170"/>
  <c r="J504" i="170"/>
  <c r="L483" i="170"/>
  <c r="H461" i="170"/>
  <c r="J440" i="170"/>
  <c r="M429" i="170"/>
  <c r="I407" i="170"/>
  <c r="G407" i="170" s="1"/>
  <c r="K386" i="170"/>
  <c r="I371" i="170"/>
  <c r="N371" i="170" s="1"/>
  <c r="M353" i="170"/>
  <c r="K334" i="170"/>
  <c r="I319" i="170"/>
  <c r="F319" i="170" s="1"/>
  <c r="M301" i="170"/>
  <c r="K286" i="170"/>
  <c r="I267" i="170"/>
  <c r="N267" i="170" s="1"/>
  <c r="M249" i="170"/>
  <c r="K234" i="170"/>
  <c r="I215" i="170"/>
  <c r="M201" i="170"/>
  <c r="K182" i="170"/>
  <c r="I163" i="170"/>
  <c r="M149" i="170"/>
  <c r="J430" i="170"/>
  <c r="H415" i="170"/>
  <c r="L397" i="170"/>
  <c r="J378" i="170"/>
  <c r="H363" i="170"/>
  <c r="L345" i="170"/>
  <c r="J330" i="170"/>
  <c r="H311" i="170"/>
  <c r="L293" i="170"/>
  <c r="J278" i="170"/>
  <c r="H259" i="170"/>
  <c r="L245" i="170"/>
  <c r="J226" i="170"/>
  <c r="H207" i="170"/>
  <c r="L193" i="170"/>
  <c r="J174" i="170"/>
  <c r="H159" i="170"/>
  <c r="I439" i="170"/>
  <c r="N439" i="170" s="1"/>
  <c r="K417" i="170"/>
  <c r="I402" i="170"/>
  <c r="G402" i="170" s="1"/>
  <c r="M384" i="170"/>
  <c r="K369" i="170"/>
  <c r="I350" i="170"/>
  <c r="M332" i="170"/>
  <c r="K317" i="170"/>
  <c r="I298" i="170"/>
  <c r="M284" i="170"/>
  <c r="K265" i="170"/>
  <c r="I246" i="170"/>
  <c r="F246" i="170" s="1"/>
  <c r="M232" i="170"/>
  <c r="K213" i="170"/>
  <c r="I198" i="170"/>
  <c r="M180" i="170"/>
  <c r="H426" i="170"/>
  <c r="L412" i="170"/>
  <c r="J393" i="170"/>
  <c r="H378" i="170"/>
  <c r="L360" i="170"/>
  <c r="J341" i="170"/>
  <c r="H326" i="170"/>
  <c r="L308" i="170"/>
  <c r="J293" i="170"/>
  <c r="H274" i="170"/>
  <c r="L256" i="170"/>
  <c r="J241" i="170"/>
  <c r="H222" i="170"/>
  <c r="L208" i="170"/>
  <c r="J189" i="170"/>
  <c r="M456" i="170"/>
  <c r="K424" i="170"/>
  <c r="I405" i="170"/>
  <c r="F405" i="170" s="1"/>
  <c r="M391" i="170"/>
  <c r="K372" i="170"/>
  <c r="I353" i="170"/>
  <c r="G353" i="170" s="1"/>
  <c r="M339" i="170"/>
  <c r="K320" i="170"/>
  <c r="I305" i="170"/>
  <c r="M287" i="170"/>
  <c r="K268" i="170"/>
  <c r="I253" i="170"/>
  <c r="M235" i="170"/>
  <c r="K220" i="170"/>
  <c r="M436" i="170"/>
  <c r="L415" i="170"/>
  <c r="J400" i="170"/>
  <c r="H381" i="170"/>
  <c r="L367" i="170"/>
  <c r="J348" i="170"/>
  <c r="H329" i="170"/>
  <c r="L315" i="170"/>
  <c r="J296" i="170"/>
  <c r="H281" i="170"/>
  <c r="L263" i="170"/>
  <c r="J244" i="170"/>
  <c r="H229" i="170"/>
  <c r="L211" i="170"/>
  <c r="I466" i="170"/>
  <c r="I420" i="170"/>
  <c r="G420" i="170" s="1"/>
  <c r="M402" i="170"/>
  <c r="K387" i="170"/>
  <c r="I368" i="170"/>
  <c r="G368" i="170" s="1"/>
  <c r="M354" i="170"/>
  <c r="K335" i="170"/>
  <c r="I316" i="170"/>
  <c r="M302" i="170"/>
  <c r="K283" i="170"/>
  <c r="I268" i="170"/>
  <c r="M250" i="170"/>
  <c r="K231" i="170"/>
  <c r="I216" i="170"/>
  <c r="F216" i="170" s="1"/>
  <c r="M198" i="170"/>
  <c r="K183" i="170"/>
  <c r="I164" i="170"/>
  <c r="G164" i="170" s="1"/>
  <c r="M146" i="170"/>
  <c r="J363" i="170"/>
  <c r="I205" i="170"/>
  <c r="G205" i="170" s="1"/>
  <c r="H173" i="170"/>
  <c r="J147" i="170"/>
  <c r="M131" i="170"/>
  <c r="K116" i="170"/>
  <c r="I97" i="170"/>
  <c r="M83" i="170"/>
  <c r="K64" i="170"/>
  <c r="I45" i="170"/>
  <c r="I30" i="170"/>
  <c r="G30" i="170" s="1"/>
  <c r="L430" i="170"/>
  <c r="H320" i="170"/>
  <c r="I189" i="170"/>
  <c r="H153" i="170"/>
  <c r="J140" i="170"/>
  <c r="H121" i="170"/>
  <c r="L107" i="170"/>
  <c r="J88" i="170"/>
  <c r="H69" i="170"/>
  <c r="L55" i="170"/>
  <c r="L36" i="170"/>
  <c r="K21" i="170"/>
  <c r="L330" i="170"/>
  <c r="J196" i="170"/>
  <c r="L164" i="170"/>
  <c r="I136" i="170"/>
  <c r="G136" i="170" s="1"/>
  <c r="M122" i="170"/>
  <c r="K103" i="170"/>
  <c r="I84" i="170"/>
  <c r="M70" i="170"/>
  <c r="K51" i="170"/>
  <c r="K36" i="170"/>
  <c r="K469" i="170"/>
  <c r="J287" i="170"/>
  <c r="H196" i="170"/>
  <c r="J152" i="170"/>
  <c r="L130" i="170"/>
  <c r="J111" i="170"/>
  <c r="H92" i="170"/>
  <c r="L78" i="170"/>
  <c r="J59" i="170"/>
  <c r="H44" i="170"/>
  <c r="H25" i="170"/>
  <c r="H340" i="170"/>
  <c r="J219" i="170"/>
  <c r="M168" i="170"/>
  <c r="M141" i="170"/>
  <c r="K122" i="170"/>
  <c r="I103" i="170"/>
  <c r="M89" i="170"/>
  <c r="K70" i="170"/>
  <c r="I55" i="170"/>
  <c r="G55" i="170" s="1"/>
  <c r="M38" i="170"/>
  <c r="M18" i="170"/>
  <c r="L318" i="170"/>
  <c r="J192" i="170"/>
  <c r="I166" i="170"/>
  <c r="J138" i="170"/>
  <c r="H119" i="170"/>
  <c r="L105" i="170"/>
  <c r="J86" i="170"/>
  <c r="H71" i="170"/>
  <c r="L53" i="170"/>
  <c r="L34" i="170"/>
  <c r="M19" i="170"/>
  <c r="J307" i="170"/>
  <c r="M207" i="170"/>
  <c r="I161" i="170"/>
  <c r="K141" i="170"/>
  <c r="I126" i="170"/>
  <c r="M108" i="170"/>
  <c r="K93" i="170"/>
  <c r="I74" i="170"/>
  <c r="M56" i="170"/>
  <c r="K41" i="170"/>
  <c r="L22" i="170"/>
  <c r="J125" i="170"/>
  <c r="L246" i="170"/>
  <c r="L29" i="170"/>
  <c r="J117" i="170"/>
  <c r="H161" i="170"/>
  <c r="H42" i="170"/>
  <c r="J77" i="170"/>
  <c r="L112" i="170"/>
  <c r="L342" i="170"/>
  <c r="J69" i="170"/>
  <c r="I158" i="170"/>
  <c r="G158" i="170" s="1"/>
  <c r="I508" i="170"/>
  <c r="K487" i="170"/>
  <c r="M466" i="170"/>
  <c r="I444" i="170"/>
  <c r="F444" i="170" s="1"/>
  <c r="H508" i="170"/>
  <c r="J487" i="170"/>
  <c r="L466" i="170"/>
  <c r="K510" i="170"/>
  <c r="M489" i="170"/>
  <c r="I467" i="170"/>
  <c r="K446" i="170"/>
  <c r="H503" i="170"/>
  <c r="J482" i="170"/>
  <c r="L461" i="170"/>
  <c r="H439" i="170"/>
  <c r="K505" i="170"/>
  <c r="L500" i="170"/>
  <c r="H478" i="170"/>
  <c r="J457" i="170"/>
  <c r="L436" i="170"/>
  <c r="I501" i="170"/>
  <c r="F501" i="170" s="1"/>
  <c r="K480" i="170"/>
  <c r="M459" i="170"/>
  <c r="I437" i="170"/>
  <c r="G437" i="170" s="1"/>
  <c r="L503" i="170"/>
  <c r="H481" i="170"/>
  <c r="J460" i="170"/>
  <c r="L439" i="170"/>
  <c r="I427" i="170"/>
  <c r="F427" i="170" s="1"/>
  <c r="K406" i="170"/>
  <c r="M385" i="170"/>
  <c r="K366" i="170"/>
  <c r="I351" i="170"/>
  <c r="M333" i="170"/>
  <c r="K318" i="170"/>
  <c r="I299" i="170"/>
  <c r="M281" i="170"/>
  <c r="K266" i="170"/>
  <c r="I247" i="170"/>
  <c r="M233" i="170"/>
  <c r="K214" i="170"/>
  <c r="I195" i="170"/>
  <c r="M181" i="170"/>
  <c r="K162" i="170"/>
  <c r="M500" i="170"/>
  <c r="L429" i="170"/>
  <c r="J410" i="170"/>
  <c r="H395" i="170"/>
  <c r="L377" i="170"/>
  <c r="J362" i="170"/>
  <c r="H343" i="170"/>
  <c r="L325" i="170"/>
  <c r="J310" i="170"/>
  <c r="H291" i="170"/>
  <c r="L277" i="170"/>
  <c r="J258" i="170"/>
  <c r="H239" i="170"/>
  <c r="L225" i="170"/>
  <c r="J206" i="170"/>
  <c r="H191" i="170"/>
  <c r="L173" i="170"/>
  <c r="J154" i="170"/>
  <c r="L434" i="170"/>
  <c r="M416" i="170"/>
  <c r="K401" i="170"/>
  <c r="I382" i="170"/>
  <c r="M364" i="170"/>
  <c r="K349" i="170"/>
  <c r="I330" i="170"/>
  <c r="N330" i="170" s="1"/>
  <c r="M316" i="170"/>
  <c r="K297" i="170"/>
  <c r="I278" i="170"/>
  <c r="M264" i="170"/>
  <c r="K245" i="170"/>
  <c r="I230" i="170"/>
  <c r="G230" i="170" s="1"/>
  <c r="M212" i="170"/>
  <c r="K193" i="170"/>
  <c r="M492" i="170"/>
  <c r="J425" i="170"/>
  <c r="H410" i="170"/>
  <c r="L392" i="170"/>
  <c r="J373" i="170"/>
  <c r="H358" i="170"/>
  <c r="L340" i="170"/>
  <c r="J325" i="170"/>
  <c r="H306" i="170"/>
  <c r="L288" i="170"/>
  <c r="J273" i="170"/>
  <c r="H254" i="170"/>
  <c r="L240" i="170"/>
  <c r="J221" i="170"/>
  <c r="H202" i="170"/>
  <c r="L188" i="170"/>
  <c r="J447" i="170"/>
  <c r="M423" i="170"/>
  <c r="K404" i="170"/>
  <c r="I385" i="170"/>
  <c r="G385" i="170" s="1"/>
  <c r="M371" i="170"/>
  <c r="K352" i="170"/>
  <c r="I337" i="170"/>
  <c r="G337" i="170" s="1"/>
  <c r="M319" i="170"/>
  <c r="K300" i="170"/>
  <c r="I285" i="170"/>
  <c r="G285" i="170" s="1"/>
  <c r="M267" i="170"/>
  <c r="K252" i="170"/>
  <c r="I233" i="170"/>
  <c r="M215" i="170"/>
  <c r="I435" i="170"/>
  <c r="H413" i="170"/>
  <c r="L399" i="170"/>
  <c r="J380" i="170"/>
  <c r="H361" i="170"/>
  <c r="L347" i="170"/>
  <c r="J328" i="170"/>
  <c r="H313" i="170"/>
  <c r="L295" i="170"/>
  <c r="J276" i="170"/>
  <c r="H261" i="170"/>
  <c r="L243" i="170"/>
  <c r="J228" i="170"/>
  <c r="H209" i="170"/>
  <c r="M437" i="170"/>
  <c r="K419" i="170"/>
  <c r="I400" i="170"/>
  <c r="G400" i="170" s="1"/>
  <c r="M386" i="170"/>
  <c r="K367" i="170"/>
  <c r="I348" i="170"/>
  <c r="M334" i="170"/>
  <c r="K315" i="170"/>
  <c r="I300" i="170"/>
  <c r="M282" i="170"/>
  <c r="K263" i="170"/>
  <c r="I248" i="170"/>
  <c r="M230" i="170"/>
  <c r="K215" i="170"/>
  <c r="I196" i="170"/>
  <c r="N196" i="170" s="1"/>
  <c r="M178" i="170"/>
  <c r="K163" i="170"/>
  <c r="I144" i="170"/>
  <c r="H356" i="170"/>
  <c r="M203" i="170"/>
  <c r="M167" i="170"/>
  <c r="J146" i="170"/>
  <c r="I129" i="170"/>
  <c r="M115" i="170"/>
  <c r="K96" i="170"/>
  <c r="I77" i="170"/>
  <c r="G77" i="170" s="1"/>
  <c r="M63" i="170"/>
  <c r="K44" i="170"/>
  <c r="K29" i="170"/>
  <c r="J423" i="170"/>
  <c r="L270" i="170"/>
  <c r="H188" i="170"/>
  <c r="L152" i="170"/>
  <c r="L139" i="170"/>
  <c r="J120" i="170"/>
  <c r="H101" i="170"/>
  <c r="L87" i="170"/>
  <c r="J68" i="170"/>
  <c r="H53" i="170"/>
  <c r="H34" i="170"/>
  <c r="M448" i="170"/>
  <c r="J323" i="170"/>
  <c r="M191" i="170"/>
  <c r="I162" i="170"/>
  <c r="N162" i="170" s="1"/>
  <c r="K135" i="170"/>
  <c r="I116" i="170"/>
  <c r="F116" i="170" s="1"/>
  <c r="M102" i="170"/>
  <c r="K83" i="170"/>
  <c r="I68" i="170"/>
  <c r="M50" i="170"/>
  <c r="M31" i="170"/>
  <c r="L422" i="170"/>
  <c r="H280" i="170"/>
  <c r="L191" i="170"/>
  <c r="L150" i="170"/>
  <c r="H124" i="170"/>
  <c r="L110" i="170"/>
  <c r="J91" i="170"/>
  <c r="H76" i="170"/>
  <c r="L58" i="170"/>
  <c r="L39" i="170"/>
  <c r="J24" i="170"/>
  <c r="L322" i="170"/>
  <c r="H212" i="170"/>
  <c r="L166" i="170"/>
  <c r="I135" i="170"/>
  <c r="G135" i="170" s="1"/>
  <c r="M121" i="170"/>
  <c r="K102" i="170"/>
  <c r="I87" i="170"/>
  <c r="M69" i="170"/>
  <c r="K50" i="170"/>
  <c r="I36" i="170"/>
  <c r="I462" i="170"/>
  <c r="J311" i="170"/>
  <c r="M187" i="170"/>
  <c r="K156" i="170"/>
  <c r="L137" i="170"/>
  <c r="J118" i="170"/>
  <c r="H103" i="170"/>
  <c r="L85" i="170"/>
  <c r="J66" i="170"/>
  <c r="H51" i="170"/>
  <c r="H32" i="170"/>
  <c r="L18" i="170"/>
  <c r="H300" i="170"/>
  <c r="H192" i="170"/>
  <c r="M160" i="170"/>
  <c r="M140" i="170"/>
  <c r="K125" i="170"/>
  <c r="I106" i="170"/>
  <c r="F106" i="170" s="1"/>
  <c r="M88" i="170"/>
  <c r="K73" i="170"/>
  <c r="I54" i="170"/>
  <c r="I39" i="170"/>
  <c r="I20" i="170"/>
  <c r="N20" i="170" s="1"/>
  <c r="H86" i="170"/>
  <c r="J200" i="170"/>
  <c r="K22" i="170"/>
  <c r="H110" i="170"/>
  <c r="M155" i="170"/>
  <c r="H264" i="170"/>
  <c r="H70" i="170"/>
  <c r="J105" i="170"/>
  <c r="L194" i="170"/>
  <c r="H62" i="170"/>
  <c r="L104" i="170"/>
  <c r="K507" i="170"/>
  <c r="M486" i="170"/>
  <c r="I464" i="170"/>
  <c r="F464" i="170" s="1"/>
  <c r="K443" i="170"/>
  <c r="J507" i="170"/>
  <c r="L486" i="170"/>
  <c r="H464" i="170"/>
  <c r="M509" i="170"/>
  <c r="I487" i="170"/>
  <c r="N487" i="170" s="1"/>
  <c r="K466" i="170"/>
  <c r="M445" i="170"/>
  <c r="J502" i="170"/>
  <c r="L481" i="170"/>
  <c r="H459" i="170"/>
  <c r="J438" i="170"/>
  <c r="M504" i="170"/>
  <c r="H498" i="170"/>
  <c r="J477" i="170"/>
  <c r="L456" i="170"/>
  <c r="H434" i="170"/>
  <c r="K500" i="170"/>
  <c r="M479" i="170"/>
  <c r="I457" i="170"/>
  <c r="K436" i="170"/>
  <c r="H501" i="170"/>
  <c r="J480" i="170"/>
  <c r="L459" i="170"/>
  <c r="H437" i="170"/>
  <c r="K426" i="170"/>
  <c r="M405" i="170"/>
  <c r="I383" i="170"/>
  <c r="M365" i="170"/>
  <c r="K350" i="170"/>
  <c r="I331" i="170"/>
  <c r="F331" i="170" s="1"/>
  <c r="M313" i="170"/>
  <c r="K298" i="170"/>
  <c r="I279" i="170"/>
  <c r="M265" i="170"/>
  <c r="K246" i="170"/>
  <c r="I227" i="170"/>
  <c r="N227" i="170" s="1"/>
  <c r="M213" i="170"/>
  <c r="K194" i="170"/>
  <c r="I179" i="170"/>
  <c r="M161" i="170"/>
  <c r="K461" i="170"/>
  <c r="H427" i="170"/>
  <c r="L409" i="170"/>
  <c r="J394" i="170"/>
  <c r="H375" i="170"/>
  <c r="L357" i="170"/>
  <c r="J342" i="170"/>
  <c r="H323" i="170"/>
  <c r="L309" i="170"/>
  <c r="J290" i="170"/>
  <c r="H271" i="170"/>
  <c r="L257" i="170"/>
  <c r="J238" i="170"/>
  <c r="H223" i="170"/>
  <c r="L205" i="170"/>
  <c r="J186" i="170"/>
  <c r="H171" i="170"/>
  <c r="L153" i="170"/>
  <c r="K433" i="170"/>
  <c r="I414" i="170"/>
  <c r="G414" i="170" s="1"/>
  <c r="M396" i="170"/>
  <c r="K381" i="170"/>
  <c r="I362" i="170"/>
  <c r="M348" i="170"/>
  <c r="K329" i="170"/>
  <c r="I310" i="170"/>
  <c r="G310" i="170" s="1"/>
  <c r="M296" i="170"/>
  <c r="K277" i="170"/>
  <c r="I262" i="170"/>
  <c r="G262" i="170" s="1"/>
  <c r="M244" i="170"/>
  <c r="K225" i="170"/>
  <c r="I210" i="170"/>
  <c r="M192" i="170"/>
  <c r="K485" i="170"/>
  <c r="L424" i="170"/>
  <c r="J405" i="170"/>
  <c r="H390" i="170"/>
  <c r="L372" i="170"/>
  <c r="J357" i="170"/>
  <c r="H338" i="170"/>
  <c r="L320" i="170"/>
  <c r="J305" i="170"/>
  <c r="H286" i="170"/>
  <c r="L272" i="170"/>
  <c r="J253" i="170"/>
  <c r="H234" i="170"/>
  <c r="L220" i="170"/>
  <c r="J201" i="170"/>
  <c r="H186" i="170"/>
  <c r="H440" i="170"/>
  <c r="I417" i="170"/>
  <c r="M403" i="170"/>
  <c r="K384" i="170"/>
  <c r="I369" i="170"/>
  <c r="F369" i="170" s="1"/>
  <c r="M351" i="170"/>
  <c r="K332" i="170"/>
  <c r="I317" i="170"/>
  <c r="M299" i="170"/>
  <c r="K284" i="170"/>
  <c r="I265" i="170"/>
  <c r="M247" i="170"/>
  <c r="K232" i="170"/>
  <c r="I213" i="170"/>
  <c r="L431" i="170"/>
  <c r="J412" i="170"/>
  <c r="H393" i="170"/>
  <c r="L379" i="170"/>
  <c r="J360" i="170"/>
  <c r="H345" i="170"/>
  <c r="L327" i="170"/>
  <c r="J308" i="170"/>
  <c r="H293" i="170"/>
  <c r="L275" i="170"/>
  <c r="J260" i="170"/>
  <c r="H241" i="170"/>
  <c r="L223" i="170"/>
  <c r="J208" i="170"/>
  <c r="H436" i="170"/>
  <c r="M418" i="170"/>
  <c r="K399" i="170"/>
  <c r="I380" i="170"/>
  <c r="F380" i="170" s="1"/>
  <c r="M366" i="170"/>
  <c r="K347" i="170"/>
  <c r="I332" i="170"/>
  <c r="M314" i="170"/>
  <c r="K295" i="170"/>
  <c r="I280" i="170"/>
  <c r="F280" i="170" s="1"/>
  <c r="M262" i="170"/>
  <c r="K247" i="170"/>
  <c r="I228" i="170"/>
  <c r="M210" i="170"/>
  <c r="K195" i="170"/>
  <c r="I176" i="170"/>
  <c r="M162" i="170"/>
  <c r="K143" i="170"/>
  <c r="L306" i="170"/>
  <c r="H200" i="170"/>
  <c r="J165" i="170"/>
  <c r="J145" i="170"/>
  <c r="K128" i="170"/>
  <c r="I109" i="170"/>
  <c r="M95" i="170"/>
  <c r="K76" i="170"/>
  <c r="I61" i="170"/>
  <c r="M43" i="170"/>
  <c r="M24" i="170"/>
  <c r="H416" i="170"/>
  <c r="J263" i="170"/>
  <c r="L183" i="170"/>
  <c r="K149" i="170"/>
  <c r="H133" i="170"/>
  <c r="L119" i="170"/>
  <c r="J100" i="170"/>
  <c r="H85" i="170"/>
  <c r="L67" i="170"/>
  <c r="J48" i="170"/>
  <c r="J33" i="170"/>
  <c r="L426" i="170"/>
  <c r="H316" i="170"/>
  <c r="L190" i="170"/>
  <c r="K152" i="170"/>
  <c r="M134" i="170"/>
  <c r="K115" i="170"/>
  <c r="I100" i="170"/>
  <c r="G100" i="170" s="1"/>
  <c r="M82" i="170"/>
  <c r="K63" i="170"/>
  <c r="I48" i="170"/>
  <c r="I29" i="170"/>
  <c r="J415" i="170"/>
  <c r="L262" i="170"/>
  <c r="H172" i="170"/>
  <c r="I149" i="170"/>
  <c r="F149" i="170" s="1"/>
  <c r="J123" i="170"/>
  <c r="H108" i="170"/>
  <c r="L90" i="170"/>
  <c r="J71" i="170"/>
  <c r="H56" i="170"/>
  <c r="H37" i="170"/>
  <c r="M23" i="170"/>
  <c r="J315" i="170"/>
  <c r="H197" i="170"/>
  <c r="J164" i="170"/>
  <c r="K134" i="170"/>
  <c r="I119" i="170"/>
  <c r="M101" i="170"/>
  <c r="K82" i="170"/>
  <c r="I67" i="170"/>
  <c r="M49" i="170"/>
  <c r="K35" i="170"/>
  <c r="L414" i="170"/>
  <c r="H272" i="170"/>
  <c r="L186" i="170"/>
  <c r="H154" i="170"/>
  <c r="H135" i="170"/>
  <c r="L117" i="170"/>
  <c r="J98" i="170"/>
  <c r="H83" i="170"/>
  <c r="L65" i="170"/>
  <c r="J50" i="170"/>
  <c r="J31" i="170"/>
  <c r="J403" i="170"/>
  <c r="L282" i="170"/>
  <c r="L187" i="170"/>
  <c r="L158" i="170"/>
  <c r="I138" i="170"/>
  <c r="M120" i="170"/>
  <c r="K105" i="170"/>
  <c r="I86" i="170"/>
  <c r="F86" i="170" s="1"/>
  <c r="M72" i="170"/>
  <c r="K53" i="170"/>
  <c r="K34" i="170"/>
  <c r="L19" i="170"/>
  <c r="L68" i="170"/>
  <c r="I181" i="170"/>
  <c r="H328" i="170"/>
  <c r="L60" i="170"/>
  <c r="H138" i="170"/>
  <c r="J187" i="170"/>
  <c r="L52" i="170"/>
  <c r="H98" i="170"/>
  <c r="L148" i="170"/>
  <c r="L44" i="170"/>
  <c r="J97" i="170"/>
  <c r="M478" i="170"/>
  <c r="K435" i="170"/>
  <c r="L478" i="170"/>
  <c r="M501" i="170"/>
  <c r="K458" i="170"/>
  <c r="J494" i="170"/>
  <c r="H451" i="170"/>
  <c r="L512" i="170"/>
  <c r="J469" i="170"/>
  <c r="I513" i="170"/>
  <c r="M471" i="170"/>
  <c r="L515" i="170"/>
  <c r="J472" i="170"/>
  <c r="M472" i="170"/>
  <c r="M397" i="170"/>
  <c r="K362" i="170"/>
  <c r="M329" i="170"/>
  <c r="I291" i="170"/>
  <c r="K258" i="170"/>
  <c r="M225" i="170"/>
  <c r="I191" i="170"/>
  <c r="F191" i="170" s="1"/>
  <c r="K158" i="170"/>
  <c r="L421" i="170"/>
  <c r="H387" i="170"/>
  <c r="J354" i="170"/>
  <c r="L321" i="170"/>
  <c r="H287" i="170"/>
  <c r="J250" i="170"/>
  <c r="L217" i="170"/>
  <c r="H183" i="170"/>
  <c r="K489" i="170"/>
  <c r="M412" i="170"/>
  <c r="I374" i="170"/>
  <c r="K341" i="170"/>
  <c r="M308" i="170"/>
  <c r="I274" i="170"/>
  <c r="K241" i="170"/>
  <c r="M204" i="170"/>
  <c r="I442" i="170"/>
  <c r="G442" i="170" s="1"/>
  <c r="H402" i="170"/>
  <c r="J369" i="170"/>
  <c r="L336" i="170"/>
  <c r="H298" i="170"/>
  <c r="J265" i="170"/>
  <c r="L232" i="170"/>
  <c r="H198" i="170"/>
  <c r="I434" i="170"/>
  <c r="K396" i="170"/>
  <c r="M363" i="170"/>
  <c r="I329" i="170"/>
  <c r="G329" i="170" s="1"/>
  <c r="K296" i="170"/>
  <c r="M263" i="170"/>
  <c r="I225" i="170"/>
  <c r="G225" i="170" s="1"/>
  <c r="J424" i="170"/>
  <c r="L391" i="170"/>
  <c r="H357" i="170"/>
  <c r="J324" i="170"/>
  <c r="L287" i="170"/>
  <c r="H253" i="170"/>
  <c r="J220" i="170"/>
  <c r="M430" i="170"/>
  <c r="I396" i="170"/>
  <c r="N396" i="170" s="1"/>
  <c r="K359" i="170"/>
  <c r="M326" i="170"/>
  <c r="I292" i="170"/>
  <c r="K259" i="170"/>
  <c r="M226" i="170"/>
  <c r="I188" i="170"/>
  <c r="K155" i="170"/>
  <c r="H292" i="170"/>
  <c r="H158" i="170"/>
  <c r="I125" i="170"/>
  <c r="K88" i="170"/>
  <c r="M55" i="170"/>
  <c r="J22" i="170"/>
  <c r="L238" i="170"/>
  <c r="I147" i="170"/>
  <c r="G147" i="170" s="1"/>
  <c r="J112" i="170"/>
  <c r="L79" i="170"/>
  <c r="H45" i="170"/>
  <c r="H412" i="170"/>
  <c r="K184" i="170"/>
  <c r="K127" i="170"/>
  <c r="M94" i="170"/>
  <c r="I60" i="170"/>
  <c r="G60" i="170" s="1"/>
  <c r="M27" i="170"/>
  <c r="H248" i="170"/>
  <c r="J135" i="170"/>
  <c r="L102" i="170"/>
  <c r="H68" i="170"/>
  <c r="L35" i="170"/>
  <c r="L290" i="170"/>
  <c r="I154" i="170"/>
  <c r="N154" i="170" s="1"/>
  <c r="M113" i="170"/>
  <c r="I79" i="170"/>
  <c r="N79" i="170" s="1"/>
  <c r="K46" i="170"/>
  <c r="H400" i="170"/>
  <c r="K173" i="170"/>
  <c r="L129" i="170"/>
  <c r="H95" i="170"/>
  <c r="J62" i="170"/>
  <c r="H28" i="170"/>
  <c r="H236" i="170"/>
  <c r="M148" i="170"/>
  <c r="K117" i="170"/>
  <c r="M84" i="170"/>
  <c r="I50" i="170"/>
  <c r="J163" i="170"/>
  <c r="H114" i="170"/>
  <c r="H46" i="170"/>
  <c r="K145" i="170"/>
  <c r="J73" i="170"/>
  <c r="J367" i="170"/>
  <c r="I476" i="170"/>
  <c r="M434" i="170"/>
  <c r="H476" i="170"/>
  <c r="I499" i="170"/>
  <c r="N499" i="170" s="1"/>
  <c r="M457" i="170"/>
  <c r="L493" i="170"/>
  <c r="J450" i="170"/>
  <c r="H510" i="170"/>
  <c r="L468" i="170"/>
  <c r="K512" i="170"/>
  <c r="I469" i="170"/>
  <c r="F469" i="170" s="1"/>
  <c r="H513" i="170"/>
  <c r="L471" i="170"/>
  <c r="K465" i="170"/>
  <c r="I395" i="170"/>
  <c r="M361" i="170"/>
  <c r="I323" i="170"/>
  <c r="G323" i="170" s="1"/>
  <c r="K290" i="170"/>
  <c r="M257" i="170"/>
  <c r="I223" i="170"/>
  <c r="K190" i="170"/>
  <c r="M153" i="170"/>
  <c r="H419" i="170"/>
  <c r="J386" i="170"/>
  <c r="L353" i="170"/>
  <c r="H319" i="170"/>
  <c r="J282" i="170"/>
  <c r="L249" i="170"/>
  <c r="H215" i="170"/>
  <c r="J182" i="170"/>
  <c r="I482" i="170"/>
  <c r="I406" i="170"/>
  <c r="K373" i="170"/>
  <c r="M340" i="170"/>
  <c r="I306" i="170"/>
  <c r="K273" i="170"/>
  <c r="M236" i="170"/>
  <c r="I202" i="170"/>
  <c r="N202" i="170" s="1"/>
  <c r="M440" i="170"/>
  <c r="J401" i="170"/>
  <c r="L368" i="170"/>
  <c r="H330" i="170"/>
  <c r="J297" i="170"/>
  <c r="L264" i="170"/>
  <c r="H230" i="170"/>
  <c r="J197" i="170"/>
  <c r="K428" i="170"/>
  <c r="M395" i="170"/>
  <c r="I361" i="170"/>
  <c r="N361" i="170" s="1"/>
  <c r="K328" i="170"/>
  <c r="M295" i="170"/>
  <c r="I257" i="170"/>
  <c r="N257" i="170" s="1"/>
  <c r="K224" i="170"/>
  <c r="L423" i="170"/>
  <c r="H389" i="170"/>
  <c r="J356" i="170"/>
  <c r="L319" i="170"/>
  <c r="H285" i="170"/>
  <c r="J252" i="170"/>
  <c r="L219" i="170"/>
  <c r="I428" i="170"/>
  <c r="K391" i="170"/>
  <c r="M358" i="170"/>
  <c r="I324" i="170"/>
  <c r="K291" i="170"/>
  <c r="M258" i="170"/>
  <c r="I220" i="170"/>
  <c r="K187" i="170"/>
  <c r="M154" i="170"/>
  <c r="L274" i="170"/>
  <c r="L155" i="170"/>
  <c r="K120" i="170"/>
  <c r="M87" i="170"/>
  <c r="I53" i="170"/>
  <c r="L21" i="170"/>
  <c r="J231" i="170"/>
  <c r="H143" i="170"/>
  <c r="L111" i="170"/>
  <c r="H77" i="170"/>
  <c r="J44" i="170"/>
  <c r="L394" i="170"/>
  <c r="K169" i="170"/>
  <c r="M126" i="170"/>
  <c r="I92" i="170"/>
  <c r="F92" i="170" s="1"/>
  <c r="K59" i="170"/>
  <c r="I25" i="170"/>
  <c r="N25" i="170" s="1"/>
  <c r="H208" i="170"/>
  <c r="L134" i="170"/>
  <c r="H100" i="170"/>
  <c r="J67" i="170"/>
  <c r="H33" i="170"/>
  <c r="J251" i="170"/>
  <c r="H152" i="170"/>
  <c r="I111" i="170"/>
  <c r="G111" i="170" s="1"/>
  <c r="K78" i="170"/>
  <c r="M45" i="170"/>
  <c r="L350" i="170"/>
  <c r="J171" i="170"/>
  <c r="H127" i="170"/>
  <c r="J94" i="170"/>
  <c r="L61" i="170"/>
  <c r="K23" i="170"/>
  <c r="L218" i="170"/>
  <c r="M147" i="170"/>
  <c r="M116" i="170"/>
  <c r="I82" i="170"/>
  <c r="K45" i="170"/>
  <c r="L147" i="170"/>
  <c r="L96" i="170"/>
  <c r="L25" i="170"/>
  <c r="J141" i="170"/>
  <c r="J38" i="170"/>
  <c r="L310" i="170"/>
  <c r="M518" i="170"/>
  <c r="K475" i="170"/>
  <c r="L518" i="170"/>
  <c r="J475" i="170"/>
  <c r="K498" i="170"/>
  <c r="I455" i="170"/>
  <c r="H491" i="170"/>
  <c r="L449" i="170"/>
  <c r="J509" i="170"/>
  <c r="H466" i="170"/>
  <c r="M511" i="170"/>
  <c r="K468" i="170"/>
  <c r="J512" i="170"/>
  <c r="H469" i="170"/>
  <c r="I458" i="170"/>
  <c r="K394" i="170"/>
  <c r="I355" i="170"/>
  <c r="F355" i="170" s="1"/>
  <c r="K322" i="170"/>
  <c r="M289" i="170"/>
  <c r="I255" i="170"/>
  <c r="K222" i="170"/>
  <c r="M185" i="170"/>
  <c r="I151" i="170"/>
  <c r="G151" i="170" s="1"/>
  <c r="J418" i="170"/>
  <c r="L385" i="170"/>
  <c r="H351" i="170"/>
  <c r="J314" i="170"/>
  <c r="L281" i="170"/>
  <c r="H247" i="170"/>
  <c r="J214" i="170"/>
  <c r="L181" i="170"/>
  <c r="H444" i="170"/>
  <c r="K405" i="170"/>
  <c r="M372" i="170"/>
  <c r="I338" i="170"/>
  <c r="K305" i="170"/>
  <c r="M268" i="170"/>
  <c r="I234" i="170"/>
  <c r="K201" i="170"/>
  <c r="K434" i="170"/>
  <c r="L400" i="170"/>
  <c r="H362" i="170"/>
  <c r="J329" i="170"/>
  <c r="L296" i="170"/>
  <c r="H262" i="170"/>
  <c r="J229" i="170"/>
  <c r="L192" i="170"/>
  <c r="M427" i="170"/>
  <c r="I393" i="170"/>
  <c r="K360" i="170"/>
  <c r="M327" i="170"/>
  <c r="I289" i="170"/>
  <c r="K256" i="170"/>
  <c r="M223" i="170"/>
  <c r="H421" i="170"/>
  <c r="J388" i="170"/>
  <c r="L351" i="170"/>
  <c r="H317" i="170"/>
  <c r="J284" i="170"/>
  <c r="L251" i="170"/>
  <c r="H217" i="170"/>
  <c r="K423" i="170"/>
  <c r="M390" i="170"/>
  <c r="I356" i="170"/>
  <c r="G356" i="170" s="1"/>
  <c r="K323" i="170"/>
  <c r="M290" i="170"/>
  <c r="I252" i="170"/>
  <c r="F252" i="170" s="1"/>
  <c r="K219" i="170"/>
  <c r="M186" i="170"/>
  <c r="I152" i="170"/>
  <c r="F152" i="170" s="1"/>
  <c r="J267" i="170"/>
  <c r="L149" i="170"/>
  <c r="M119" i="170"/>
  <c r="I85" i="170"/>
  <c r="K52" i="170"/>
  <c r="J19" i="170"/>
  <c r="K196" i="170"/>
  <c r="H142" i="170"/>
  <c r="H109" i="170"/>
  <c r="J76" i="170"/>
  <c r="L43" i="170"/>
  <c r="J355" i="170"/>
  <c r="J167" i="170"/>
  <c r="I124" i="170"/>
  <c r="N124" i="170" s="1"/>
  <c r="K91" i="170"/>
  <c r="M58" i="170"/>
  <c r="M20" i="170"/>
  <c r="L206" i="170"/>
  <c r="H132" i="170"/>
  <c r="J99" i="170"/>
  <c r="L66" i="170"/>
  <c r="J28" i="170"/>
  <c r="H244" i="170"/>
  <c r="J150" i="170"/>
  <c r="K110" i="170"/>
  <c r="M77" i="170"/>
  <c r="H40" i="170"/>
  <c r="J343" i="170"/>
  <c r="H169" i="170"/>
  <c r="J126" i="170"/>
  <c r="L93" i="170"/>
  <c r="H55" i="170"/>
  <c r="M22" i="170"/>
  <c r="J211" i="170"/>
  <c r="L146" i="170"/>
  <c r="I114" i="170"/>
  <c r="K77" i="170"/>
  <c r="M44" i="170"/>
  <c r="J143" i="170"/>
  <c r="J89" i="170"/>
  <c r="J18" i="170"/>
  <c r="H102" i="170"/>
  <c r="H31" i="170"/>
  <c r="H193" i="170"/>
  <c r="K479" i="170"/>
  <c r="I436" i="170"/>
  <c r="J479" i="170"/>
  <c r="K502" i="170"/>
  <c r="I459" i="170"/>
  <c r="F459" i="170" s="1"/>
  <c r="H495" i="170"/>
  <c r="L453" i="170"/>
  <c r="J513" i="170"/>
  <c r="H470" i="170"/>
  <c r="M515" i="170"/>
  <c r="K472" i="170"/>
  <c r="J516" i="170"/>
  <c r="H473" i="170"/>
  <c r="I490" i="170"/>
  <c r="G490" i="170" s="1"/>
  <c r="K398" i="170"/>
  <c r="I363" i="170"/>
  <c r="K330" i="170"/>
  <c r="M297" i="170"/>
  <c r="I259" i="170"/>
  <c r="G259" i="170" s="1"/>
  <c r="K226" i="170"/>
  <c r="M193" i="170"/>
  <c r="I159" i="170"/>
  <c r="G159" i="170" s="1"/>
  <c r="J426" i="170"/>
  <c r="L389" i="170"/>
  <c r="H355" i="170"/>
  <c r="J322" i="170"/>
  <c r="L289" i="170"/>
  <c r="H255" i="170"/>
  <c r="J218" i="170"/>
  <c r="L185" i="170"/>
  <c r="M496" i="170"/>
  <c r="K413" i="170"/>
  <c r="M380" i="170"/>
  <c r="I342" i="170"/>
  <c r="G342" i="170" s="1"/>
  <c r="K309" i="170"/>
  <c r="M276" i="170"/>
  <c r="I242" i="170"/>
  <c r="K209" i="170"/>
  <c r="K449" i="170"/>
  <c r="L404" i="170"/>
  <c r="H370" i="170"/>
  <c r="J337" i="170"/>
  <c r="L304" i="170"/>
  <c r="H266" i="170"/>
  <c r="J233" i="170"/>
  <c r="L200" i="170"/>
  <c r="J435" i="170"/>
  <c r="I401" i="170"/>
  <c r="K364" i="170"/>
  <c r="M331" i="170"/>
  <c r="I297" i="170"/>
  <c r="G297" i="170" s="1"/>
  <c r="K264" i="170"/>
  <c r="M231" i="170"/>
  <c r="H425" i="170"/>
  <c r="J392" i="170"/>
  <c r="L359" i="170"/>
  <c r="H325" i="170"/>
  <c r="J292" i="170"/>
  <c r="L255" i="170"/>
  <c r="H221" i="170"/>
  <c r="K431" i="170"/>
  <c r="M398" i="170"/>
  <c r="I364" i="170"/>
  <c r="K327" i="170"/>
  <c r="M294" i="170"/>
  <c r="I260" i="170"/>
  <c r="F260" i="170" s="1"/>
  <c r="K227" i="170"/>
  <c r="M194" i="170"/>
  <c r="I156" i="170"/>
  <c r="J299" i="170"/>
  <c r="K160" i="170"/>
  <c r="M127" i="170"/>
  <c r="I93" i="170"/>
  <c r="N93" i="170" s="1"/>
  <c r="K56" i="170"/>
  <c r="H23" i="170"/>
  <c r="H256" i="170"/>
  <c r="J148" i="170"/>
  <c r="H117" i="170"/>
  <c r="J80" i="170"/>
  <c r="L47" i="170"/>
  <c r="J419" i="170"/>
  <c r="H189" i="170"/>
  <c r="I132" i="170"/>
  <c r="K95" i="170"/>
  <c r="M62" i="170"/>
  <c r="K28" i="170"/>
  <c r="J255" i="170"/>
  <c r="H140" i="170"/>
  <c r="J103" i="170"/>
  <c r="L70" i="170"/>
  <c r="J36" i="170"/>
  <c r="H308" i="170"/>
  <c r="K161" i="170"/>
  <c r="K114" i="170"/>
  <c r="M81" i="170"/>
  <c r="I47" i="170"/>
  <c r="J407" i="170"/>
  <c r="H185" i="170"/>
  <c r="J130" i="170"/>
  <c r="L97" i="170"/>
  <c r="H63" i="170"/>
  <c r="L30" i="170"/>
  <c r="J275" i="170"/>
  <c r="H150" i="170"/>
  <c r="I118" i="170"/>
  <c r="F118" i="170" s="1"/>
  <c r="K85" i="170"/>
  <c r="M52" i="170"/>
  <c r="K18" i="170"/>
  <c r="J121" i="170"/>
  <c r="J53" i="170"/>
  <c r="L160" i="170"/>
  <c r="L80" i="170"/>
  <c r="J34" i="170"/>
  <c r="M458" i="170"/>
  <c r="L458" i="170"/>
  <c r="L517" i="170"/>
  <c r="I518" i="170"/>
  <c r="G518" i="170" s="1"/>
  <c r="J449" i="170"/>
  <c r="M451" i="170"/>
  <c r="J452" i="170"/>
  <c r="K382" i="170"/>
  <c r="I311" i="170"/>
  <c r="F311" i="170" s="1"/>
  <c r="M245" i="170"/>
  <c r="K174" i="170"/>
  <c r="H407" i="170"/>
  <c r="L341" i="170"/>
  <c r="J270" i="170"/>
  <c r="H203" i="170"/>
  <c r="M428" i="170"/>
  <c r="K361" i="170"/>
  <c r="I294" i="170"/>
  <c r="M224" i="170"/>
  <c r="H422" i="170"/>
  <c r="L352" i="170"/>
  <c r="J285" i="170"/>
  <c r="H218" i="170"/>
  <c r="K416" i="170"/>
  <c r="I349" i="170"/>
  <c r="N349" i="170" s="1"/>
  <c r="M279" i="170"/>
  <c r="K212" i="170"/>
  <c r="H377" i="170"/>
  <c r="L307" i="170"/>
  <c r="J240" i="170"/>
  <c r="I412" i="170"/>
  <c r="F412" i="170" s="1"/>
  <c r="M346" i="170"/>
  <c r="K279" i="170"/>
  <c r="I208" i="170"/>
  <c r="G208" i="170" s="1"/>
  <c r="M142" i="170"/>
  <c r="I141" i="170"/>
  <c r="M75" i="170"/>
  <c r="L398" i="170"/>
  <c r="J132" i="170"/>
  <c r="H65" i="170"/>
  <c r="L266" i="170"/>
  <c r="M114" i="170"/>
  <c r="K47" i="170"/>
  <c r="M171" i="170"/>
  <c r="H88" i="170"/>
  <c r="L418" i="170"/>
  <c r="M133" i="170"/>
  <c r="K66" i="170"/>
  <c r="L254" i="170"/>
  <c r="H115" i="170"/>
  <c r="L45" i="170"/>
  <c r="J180" i="170"/>
  <c r="M104" i="170"/>
  <c r="M33" i="170"/>
  <c r="J271" i="170"/>
  <c r="L374" i="170"/>
  <c r="H90" i="170"/>
  <c r="I456" i="170"/>
  <c r="G456" i="170" s="1"/>
  <c r="H456" i="170"/>
  <c r="H515" i="170"/>
  <c r="K517" i="170"/>
  <c r="L448" i="170"/>
  <c r="I449" i="170"/>
  <c r="L451" i="170"/>
  <c r="M377" i="170"/>
  <c r="K310" i="170"/>
  <c r="I243" i="170"/>
  <c r="F243" i="170" s="1"/>
  <c r="M173" i="170"/>
  <c r="J406" i="170"/>
  <c r="H335" i="170"/>
  <c r="L269" i="170"/>
  <c r="J202" i="170"/>
  <c r="I426" i="170"/>
  <c r="M360" i="170"/>
  <c r="K289" i="170"/>
  <c r="I222" i="170"/>
  <c r="J421" i="170"/>
  <c r="H350" i="170"/>
  <c r="L284" i="170"/>
  <c r="J213" i="170"/>
  <c r="M415" i="170"/>
  <c r="K348" i="170"/>
  <c r="I277" i="170"/>
  <c r="M211" i="170"/>
  <c r="J372" i="170"/>
  <c r="H305" i="170"/>
  <c r="L239" i="170"/>
  <c r="K411" i="170"/>
  <c r="I344" i="170"/>
  <c r="F344" i="170" s="1"/>
  <c r="M274" i="170"/>
  <c r="K207" i="170"/>
  <c r="L438" i="170"/>
  <c r="K140" i="170"/>
  <c r="I73" i="170"/>
  <c r="J359" i="170"/>
  <c r="L131" i="170"/>
  <c r="J64" i="170"/>
  <c r="J259" i="170"/>
  <c r="I112" i="170"/>
  <c r="M42" i="170"/>
  <c r="J169" i="170"/>
  <c r="J87" i="170"/>
  <c r="J411" i="170"/>
  <c r="I131" i="170"/>
  <c r="G131" i="170" s="1"/>
  <c r="M61" i="170"/>
  <c r="J247" i="170"/>
  <c r="J114" i="170"/>
  <c r="H43" i="170"/>
  <c r="I178" i="170"/>
  <c r="N178" i="170" s="1"/>
  <c r="I98" i="170"/>
  <c r="I31" i="170"/>
  <c r="L214" i="170"/>
  <c r="H232" i="170"/>
  <c r="L72" i="170"/>
  <c r="K455" i="170"/>
  <c r="J455" i="170"/>
  <c r="J514" i="170"/>
  <c r="M516" i="170"/>
  <c r="H446" i="170"/>
  <c r="K448" i="170"/>
  <c r="H449" i="170"/>
  <c r="I375" i="170"/>
  <c r="G375" i="170" s="1"/>
  <c r="M309" i="170"/>
  <c r="K238" i="170"/>
  <c r="I171" i="170"/>
  <c r="F171" i="170" s="1"/>
  <c r="L405" i="170"/>
  <c r="J334" i="170"/>
  <c r="H267" i="170"/>
  <c r="L197" i="170"/>
  <c r="K425" i="170"/>
  <c r="I358" i="170"/>
  <c r="M288" i="170"/>
  <c r="K221" i="170"/>
  <c r="L416" i="170"/>
  <c r="J349" i="170"/>
  <c r="H282" i="170"/>
  <c r="L212" i="170"/>
  <c r="I413" i="170"/>
  <c r="N413" i="170" s="1"/>
  <c r="M343" i="170"/>
  <c r="K276" i="170"/>
  <c r="I502" i="170"/>
  <c r="G502" i="170" s="1"/>
  <c r="L371" i="170"/>
  <c r="J304" i="170"/>
  <c r="H233" i="170"/>
  <c r="M410" i="170"/>
  <c r="K343" i="170"/>
  <c r="I272" i="170"/>
  <c r="M206" i="170"/>
  <c r="J395" i="170"/>
  <c r="M139" i="170"/>
  <c r="K72" i="170"/>
  <c r="H352" i="170"/>
  <c r="H129" i="170"/>
  <c r="L59" i="170"/>
  <c r="H252" i="170"/>
  <c r="K111" i="170"/>
  <c r="J40" i="170"/>
  <c r="K164" i="170"/>
  <c r="L82" i="170"/>
  <c r="H404" i="170"/>
  <c r="K130" i="170"/>
  <c r="I59" i="170"/>
  <c r="H240" i="170"/>
  <c r="L109" i="170"/>
  <c r="J42" i="170"/>
  <c r="K177" i="170"/>
  <c r="K97" i="170"/>
  <c r="K30" i="170"/>
  <c r="K146" i="170"/>
  <c r="J207" i="170"/>
  <c r="J65" i="170"/>
  <c r="M454" i="170"/>
  <c r="L454" i="170"/>
  <c r="L513" i="170"/>
  <c r="I514" i="170"/>
  <c r="J445" i="170"/>
  <c r="M447" i="170"/>
  <c r="J448" i="170"/>
  <c r="K374" i="170"/>
  <c r="I307" i="170"/>
  <c r="M237" i="170"/>
  <c r="K170" i="170"/>
  <c r="H399" i="170"/>
  <c r="L333" i="170"/>
  <c r="J266" i="170"/>
  <c r="H195" i="170"/>
  <c r="M424" i="170"/>
  <c r="K353" i="170"/>
  <c r="I286" i="170"/>
  <c r="M220" i="170"/>
  <c r="H414" i="170"/>
  <c r="L348" i="170"/>
  <c r="J277" i="170"/>
  <c r="H210" i="170"/>
  <c r="K412" i="170"/>
  <c r="I341" i="170"/>
  <c r="M275" i="170"/>
  <c r="M452" i="170"/>
  <c r="H369" i="170"/>
  <c r="L303" i="170"/>
  <c r="J232" i="170"/>
  <c r="I408" i="170"/>
  <c r="F408" i="170" s="1"/>
  <c r="M338" i="170"/>
  <c r="K271" i="170"/>
  <c r="I204" i="170"/>
  <c r="G204" i="170" s="1"/>
  <c r="H388" i="170"/>
  <c r="I137" i="170"/>
  <c r="M67" i="170"/>
  <c r="L334" i="170"/>
  <c r="J128" i="170"/>
  <c r="H57" i="170"/>
  <c r="L234" i="170"/>
  <c r="M106" i="170"/>
  <c r="M39" i="170"/>
  <c r="H162" i="170"/>
  <c r="H80" i="170"/>
  <c r="L386" i="170"/>
  <c r="M125" i="170"/>
  <c r="K58" i="170"/>
  <c r="L222" i="170"/>
  <c r="H107" i="170"/>
  <c r="L41" i="170"/>
  <c r="H166" i="170"/>
  <c r="M96" i="170"/>
  <c r="M29" i="170"/>
  <c r="J142" i="170"/>
  <c r="M195" i="170"/>
  <c r="I23" i="170"/>
  <c r="I496" i="170"/>
  <c r="N496" i="170" s="1"/>
  <c r="M477" i="170"/>
  <c r="L488" i="170"/>
  <c r="L491" i="170"/>
  <c r="M341" i="170"/>
  <c r="I203" i="170"/>
  <c r="J366" i="170"/>
  <c r="L229" i="170"/>
  <c r="I390" i="170"/>
  <c r="G390" i="170" s="1"/>
  <c r="K253" i="170"/>
  <c r="J381" i="170"/>
  <c r="L244" i="170"/>
  <c r="M375" i="170"/>
  <c r="I241" i="170"/>
  <c r="G241" i="170" s="1"/>
  <c r="J336" i="170"/>
  <c r="M480" i="170"/>
  <c r="I304" i="170"/>
  <c r="K167" i="170"/>
  <c r="K104" i="170"/>
  <c r="M164" i="170"/>
  <c r="L24" i="170"/>
  <c r="I72" i="170"/>
  <c r="G72" i="170" s="1"/>
  <c r="L114" i="170"/>
  <c r="H184" i="170"/>
  <c r="M26" i="170"/>
  <c r="J74" i="170"/>
  <c r="K129" i="170"/>
  <c r="H360" i="170"/>
  <c r="H126" i="170"/>
  <c r="K308" i="170"/>
  <c r="H500" i="170"/>
  <c r="J474" i="170"/>
  <c r="I493" i="170"/>
  <c r="I419" i="170"/>
  <c r="K278" i="170"/>
  <c r="I454" i="170"/>
  <c r="N454" i="170" s="1"/>
  <c r="H303" i="170"/>
  <c r="J170" i="170"/>
  <c r="M328" i="170"/>
  <c r="I190" i="170"/>
  <c r="H318" i="170"/>
  <c r="J181" i="170"/>
  <c r="K316" i="170"/>
  <c r="L411" i="170"/>
  <c r="H273" i="170"/>
  <c r="K379" i="170"/>
  <c r="M242" i="170"/>
  <c r="L195" i="170"/>
  <c r="I41" i="170"/>
  <c r="G41" i="170" s="1"/>
  <c r="L99" i="170"/>
  <c r="J149" i="170"/>
  <c r="H376" i="170"/>
  <c r="J55" i="170"/>
  <c r="I99" i="170"/>
  <c r="G99" i="170" s="1"/>
  <c r="M151" i="170"/>
  <c r="H396" i="170"/>
  <c r="I66" i="170"/>
  <c r="G66" i="170" s="1"/>
  <c r="L120" i="170"/>
  <c r="K33" i="170"/>
  <c r="J499" i="170"/>
  <c r="L473" i="170"/>
  <c r="K492" i="170"/>
  <c r="K418" i="170"/>
  <c r="M277" i="170"/>
  <c r="I446" i="170"/>
  <c r="J302" i="170"/>
  <c r="L165" i="170"/>
  <c r="I326" i="170"/>
  <c r="G326" i="170" s="1"/>
  <c r="K189" i="170"/>
  <c r="J317" i="170"/>
  <c r="L180" i="170"/>
  <c r="M311" i="170"/>
  <c r="H409" i="170"/>
  <c r="J272" i="170"/>
  <c r="M378" i="170"/>
  <c r="I240" i="170"/>
  <c r="G240" i="170" s="1"/>
  <c r="H181" i="170"/>
  <c r="L40" i="170"/>
  <c r="H97" i="170"/>
  <c r="H148" i="170"/>
  <c r="L358" i="170"/>
  <c r="L50" i="170"/>
  <c r="K98" i="170"/>
  <c r="I150" i="170"/>
  <c r="L378" i="170"/>
  <c r="K65" i="170"/>
  <c r="J81" i="170"/>
  <c r="H471" i="170"/>
  <c r="M491" i="170"/>
  <c r="I275" i="170"/>
  <c r="M444" i="170"/>
  <c r="H163" i="170"/>
  <c r="K321" i="170"/>
  <c r="L316" i="170"/>
  <c r="H178" i="170"/>
  <c r="J404" i="170"/>
  <c r="L271" i="170"/>
  <c r="K239" i="170"/>
  <c r="H177" i="170"/>
  <c r="J96" i="170"/>
  <c r="H147" i="170"/>
  <c r="H48" i="170"/>
  <c r="M93" i="170"/>
  <c r="J371" i="170"/>
  <c r="M64" i="170"/>
  <c r="H496" i="170"/>
  <c r="J470" i="170"/>
  <c r="I415" i="170"/>
  <c r="N415" i="170" s="1"/>
  <c r="K270" i="170"/>
  <c r="J439" i="170"/>
  <c r="H299" i="170"/>
  <c r="J162" i="170"/>
  <c r="M320" i="170"/>
  <c r="I182" i="170"/>
  <c r="H314" i="170"/>
  <c r="J177" i="170"/>
  <c r="L403" i="170"/>
  <c r="H265" i="170"/>
  <c r="K375" i="170"/>
  <c r="M238" i="170"/>
  <c r="J176" i="170"/>
  <c r="L91" i="170"/>
  <c r="H146" i="170"/>
  <c r="H344" i="170"/>
  <c r="J47" i="170"/>
  <c r="I91" i="170"/>
  <c r="G91" i="170" s="1"/>
  <c r="L141" i="170"/>
  <c r="H364" i="170"/>
  <c r="I62" i="170"/>
  <c r="L56" i="170"/>
  <c r="M498" i="170"/>
  <c r="K478" i="170"/>
  <c r="J489" i="170"/>
  <c r="J492" i="170"/>
  <c r="K342" i="170"/>
  <c r="M205" i="170"/>
  <c r="H367" i="170"/>
  <c r="J234" i="170"/>
  <c r="M392" i="170"/>
  <c r="I254" i="170"/>
  <c r="H382" i="170"/>
  <c r="J245" i="170"/>
  <c r="K380" i="170"/>
  <c r="M243" i="170"/>
  <c r="H337" i="170"/>
  <c r="I498" i="170"/>
  <c r="M306" i="170"/>
  <c r="I172" i="170"/>
  <c r="I105" i="170"/>
  <c r="F105" i="170" s="1"/>
  <c r="I165" i="170"/>
  <c r="G165" i="170" s="1"/>
  <c r="J25" i="170"/>
  <c r="M74" i="170"/>
  <c r="J119" i="170"/>
  <c r="I185" i="170"/>
  <c r="K27" i="170"/>
  <c r="H75" i="170"/>
  <c r="I130" i="170"/>
  <c r="N130" i="170" s="1"/>
  <c r="M40" i="170"/>
  <c r="J133" i="170"/>
  <c r="L498" i="170"/>
  <c r="M417" i="170"/>
  <c r="L301" i="170"/>
  <c r="M188" i="170"/>
  <c r="I309" i="170"/>
  <c r="G309" i="170" s="1"/>
  <c r="I376" i="170"/>
  <c r="N376" i="170" s="1"/>
  <c r="I34" i="170"/>
  <c r="G34" i="170" s="1"/>
  <c r="J351" i="170"/>
  <c r="M145" i="170"/>
  <c r="H74" i="170"/>
  <c r="I489" i="170"/>
  <c r="F489" i="170" s="1"/>
  <c r="L495" i="170"/>
  <c r="L237" i="170"/>
  <c r="L252" i="170"/>
  <c r="L207" i="170"/>
  <c r="H170" i="170"/>
  <c r="K192" i="170"/>
  <c r="J61" i="170"/>
  <c r="H493" i="170"/>
  <c r="H235" i="170"/>
  <c r="H250" i="170"/>
  <c r="H201" i="170"/>
  <c r="L167" i="170"/>
  <c r="J191" i="170"/>
  <c r="H54" i="170"/>
  <c r="I500" i="170"/>
  <c r="G500" i="170" s="1"/>
  <c r="M345" i="170"/>
  <c r="I394" i="170"/>
  <c r="M383" i="170"/>
  <c r="I312" i="170"/>
  <c r="F312" i="170" s="1"/>
  <c r="L32" i="170"/>
  <c r="M30" i="170"/>
  <c r="K144" i="170"/>
  <c r="M174" i="170"/>
  <c r="H490" i="170"/>
  <c r="L373" i="170"/>
  <c r="L384" i="170"/>
  <c r="L339" i="170"/>
  <c r="M107" i="170"/>
  <c r="H120" i="170"/>
  <c r="M136" i="170"/>
  <c r="K499" i="170"/>
  <c r="I343" i="170"/>
  <c r="K393" i="170"/>
  <c r="I381" i="170"/>
  <c r="K311" i="170"/>
  <c r="H26" i="170"/>
  <c r="I28" i="170"/>
  <c r="L140" i="170"/>
  <c r="M481" i="170"/>
  <c r="I211" i="170"/>
  <c r="K257" i="170"/>
  <c r="I245" i="170"/>
  <c r="K175" i="170"/>
  <c r="I80" i="170"/>
  <c r="F80" i="170" s="1"/>
  <c r="J82" i="170"/>
  <c r="I479" i="170"/>
  <c r="K206" i="170"/>
  <c r="M256" i="170"/>
  <c r="K244" i="170"/>
  <c r="K79" i="170"/>
  <c r="L77" i="170"/>
  <c r="L492" i="170"/>
  <c r="J374" i="170"/>
  <c r="J389" i="170"/>
  <c r="J340" i="170"/>
  <c r="K108" i="170"/>
  <c r="L122" i="170"/>
  <c r="K137" i="170"/>
  <c r="G291" i="174"/>
  <c r="N291" i="174"/>
  <c r="Y210" i="174"/>
  <c r="Q487" i="174"/>
  <c r="G197" i="171"/>
  <c r="Y41" i="171"/>
  <c r="F33" i="174"/>
  <c r="G33" i="174"/>
  <c r="N150" i="174"/>
  <c r="F150" i="174"/>
  <c r="N148" i="174"/>
  <c r="G289" i="174"/>
  <c r="G129" i="174"/>
  <c r="F129" i="174"/>
  <c r="N233" i="174"/>
  <c r="N244" i="174"/>
  <c r="F244" i="174"/>
  <c r="G455" i="174"/>
  <c r="N455" i="174"/>
  <c r="N437" i="174"/>
  <c r="G482" i="174"/>
  <c r="N482" i="174"/>
  <c r="G512" i="174"/>
  <c r="N512" i="174"/>
  <c r="Q166" i="174"/>
  <c r="Q293" i="174"/>
  <c r="Q322" i="174"/>
  <c r="Q469" i="174"/>
  <c r="Y434" i="174"/>
  <c r="G478" i="171"/>
  <c r="N44" i="171"/>
  <c r="F76" i="171"/>
  <c r="N140" i="171"/>
  <c r="G121" i="171"/>
  <c r="N153" i="171"/>
  <c r="G277" i="171"/>
  <c r="G23" i="171"/>
  <c r="G59" i="171"/>
  <c r="N249" i="171"/>
  <c r="N375" i="171"/>
  <c r="F440" i="171"/>
  <c r="G513" i="171"/>
  <c r="R80" i="171"/>
  <c r="Y72" i="171"/>
  <c r="R72" i="171"/>
  <c r="R147" i="171"/>
  <c r="Q125" i="171"/>
  <c r="R125" i="171"/>
  <c r="Y170" i="171"/>
  <c r="Q170" i="171"/>
  <c r="Y326" i="171"/>
  <c r="R426" i="171"/>
  <c r="Q426" i="171"/>
  <c r="R480" i="171"/>
  <c r="Y129" i="170"/>
  <c r="Q129" i="170"/>
  <c r="Q126" i="170"/>
  <c r="R215" i="170"/>
  <c r="Y215" i="170"/>
  <c r="Q148" i="170"/>
  <c r="R145" i="170"/>
  <c r="Y19" i="170"/>
  <c r="Q19" i="170"/>
  <c r="Y224" i="170"/>
  <c r="Q224" i="170"/>
  <c r="R233" i="170"/>
  <c r="Y233" i="170"/>
  <c r="Q362" i="170"/>
  <c r="R500" i="170"/>
  <c r="Q473" i="170"/>
  <c r="R473" i="170"/>
  <c r="N90" i="170"/>
  <c r="N32" i="170"/>
  <c r="G33" i="170"/>
  <c r="F170" i="170"/>
  <c r="N170" i="170"/>
  <c r="N180" i="170"/>
  <c r="F180" i="170"/>
  <c r="N366" i="170"/>
  <c r="N283" i="170"/>
  <c r="F510" i="170"/>
  <c r="G515" i="170"/>
  <c r="F515" i="170"/>
  <c r="N63" i="163"/>
  <c r="F222" i="163"/>
  <c r="N33" i="163"/>
  <c r="F33" i="163"/>
  <c r="F76" i="163"/>
  <c r="G76" i="163"/>
  <c r="F236" i="163"/>
  <c r="F426" i="163"/>
  <c r="F490" i="163"/>
  <c r="F507" i="163"/>
  <c r="G457" i="163"/>
  <c r="R157" i="163"/>
  <c r="Y157" i="163"/>
  <c r="Q157" i="163"/>
  <c r="Q306" i="163"/>
  <c r="R29" i="163"/>
  <c r="Q29" i="163"/>
  <c r="Y72" i="163"/>
  <c r="R296" i="163"/>
  <c r="Q337" i="163"/>
  <c r="R358" i="163"/>
  <c r="Q486" i="163"/>
  <c r="Y331" i="163"/>
  <c r="Y363" i="163"/>
  <c r="R400" i="163"/>
  <c r="Y400" i="163"/>
  <c r="R464" i="163"/>
  <c r="N128" i="174"/>
  <c r="F128" i="174"/>
  <c r="Q127" i="171"/>
  <c r="R150" i="171"/>
  <c r="Q150" i="171"/>
  <c r="Y477" i="171"/>
  <c r="R460" i="171"/>
  <c r="Y460" i="171"/>
  <c r="Y113" i="170"/>
  <c r="R303" i="170"/>
  <c r="Y339" i="170"/>
  <c r="R40" i="170"/>
  <c r="Y40" i="170"/>
  <c r="R291" i="170"/>
  <c r="Y291" i="170"/>
  <c r="R204" i="170"/>
  <c r="Y364" i="170"/>
  <c r="Y213" i="170"/>
  <c r="Q213" i="170"/>
  <c r="Y405" i="170"/>
  <c r="Q342" i="170"/>
  <c r="R480" i="170"/>
  <c r="Q453" i="170"/>
  <c r="R453" i="170"/>
  <c r="N19" i="170"/>
  <c r="G81" i="170"/>
  <c r="N81" i="170"/>
  <c r="N160" i="170"/>
  <c r="N352" i="170"/>
  <c r="N416" i="170"/>
  <c r="N389" i="170"/>
  <c r="N478" i="170"/>
  <c r="N282" i="170"/>
  <c r="F282" i="170"/>
  <c r="F346" i="170"/>
  <c r="N199" i="170"/>
  <c r="F263" i="170"/>
  <c r="G115" i="163"/>
  <c r="N115" i="163"/>
  <c r="G283" i="163"/>
  <c r="N289" i="163"/>
  <c r="G138" i="163"/>
  <c r="F321" i="163"/>
  <c r="G248" i="163"/>
  <c r="N405" i="163"/>
  <c r="F405" i="163"/>
  <c r="G501" i="163"/>
  <c r="R20" i="163"/>
  <c r="Q201" i="163"/>
  <c r="R94" i="163"/>
  <c r="Q286" i="163"/>
  <c r="Y159" i="163"/>
  <c r="Y223" i="163"/>
  <c r="Q287" i="163"/>
  <c r="Q308" i="163"/>
  <c r="R381" i="163"/>
  <c r="Q381" i="163"/>
  <c r="R434" i="163"/>
  <c r="Q375" i="163"/>
  <c r="R439" i="163"/>
  <c r="R444" i="163"/>
  <c r="N37" i="174"/>
  <c r="N242" i="174"/>
  <c r="F242" i="174"/>
  <c r="F481" i="174"/>
  <c r="G481" i="174"/>
  <c r="Y86" i="171"/>
  <c r="G44" i="174"/>
  <c r="F40" i="174"/>
  <c r="N41" i="174"/>
  <c r="G159" i="174"/>
  <c r="G20" i="174"/>
  <c r="N20" i="174"/>
  <c r="G42" i="174"/>
  <c r="N42" i="174"/>
  <c r="N140" i="174"/>
  <c r="N333" i="174"/>
  <c r="F333" i="174"/>
  <c r="G300" i="174"/>
  <c r="F254" i="174"/>
  <c r="G254" i="174"/>
  <c r="N239" i="174"/>
  <c r="G303" i="174"/>
  <c r="F303" i="174"/>
  <c r="N415" i="174"/>
  <c r="F415" i="174"/>
  <c r="F479" i="174"/>
  <c r="G499" i="174"/>
  <c r="F499" i="174"/>
  <c r="Q66" i="174"/>
  <c r="R208" i="174"/>
  <c r="R213" i="174"/>
  <c r="Y285" i="174"/>
  <c r="Q426" i="174"/>
  <c r="Y458" i="174"/>
  <c r="G217" i="171"/>
  <c r="F217" i="171"/>
  <c r="N145" i="171"/>
  <c r="F209" i="171"/>
  <c r="G150" i="171"/>
  <c r="N147" i="171"/>
  <c r="G233" i="171"/>
  <c r="N481" i="171"/>
  <c r="G515" i="171"/>
  <c r="N464" i="171"/>
  <c r="F464" i="171"/>
  <c r="G518" i="171"/>
  <c r="R75" i="171"/>
  <c r="R139" i="171"/>
  <c r="Y139" i="171"/>
  <c r="Y241" i="171"/>
  <c r="Q241" i="171"/>
  <c r="Y130" i="171"/>
  <c r="Y292" i="171"/>
  <c r="Q292" i="171"/>
  <c r="R350" i="171"/>
  <c r="R275" i="171"/>
  <c r="Q275" i="171"/>
  <c r="Q423" i="171"/>
  <c r="R408" i="171"/>
  <c r="Q408" i="171"/>
  <c r="R183" i="170"/>
  <c r="Y65" i="170"/>
  <c r="Q65" i="170"/>
  <c r="R69" i="170"/>
  <c r="R43" i="170"/>
  <c r="Y43" i="170"/>
  <c r="Q139" i="170"/>
  <c r="R165" i="170"/>
  <c r="R315" i="170"/>
  <c r="R415" i="170"/>
  <c r="Y415" i="170"/>
  <c r="Q96" i="170"/>
  <c r="R147" i="170"/>
  <c r="Y147" i="170"/>
  <c r="Q344" i="170"/>
  <c r="R162" i="170"/>
  <c r="Q162" i="170"/>
  <c r="Y290" i="170"/>
  <c r="R460" i="170"/>
  <c r="Q460" i="170"/>
  <c r="Y497" i="170"/>
  <c r="Q497" i="170"/>
  <c r="R497" i="170"/>
  <c r="G396" i="170"/>
  <c r="G428" i="170"/>
  <c r="N337" i="170"/>
  <c r="F337" i="170"/>
  <c r="N262" i="170"/>
  <c r="F262" i="170"/>
  <c r="G243" i="170"/>
  <c r="N243" i="170"/>
  <c r="F339" i="170"/>
  <c r="N445" i="170"/>
  <c r="F445" i="170"/>
  <c r="G509" i="170"/>
  <c r="F452" i="170"/>
  <c r="N516" i="170"/>
  <c r="F36" i="163"/>
  <c r="F203" i="163"/>
  <c r="F79" i="163"/>
  <c r="G34" i="163"/>
  <c r="G237" i="163"/>
  <c r="F269" i="163"/>
  <c r="F54" i="163"/>
  <c r="N278" i="163"/>
  <c r="N164" i="163"/>
  <c r="F354" i="163"/>
  <c r="F418" i="163"/>
  <c r="G450" i="163"/>
  <c r="N450" i="163"/>
  <c r="N403" i="163"/>
  <c r="N499" i="163"/>
  <c r="F512" i="163"/>
  <c r="G417" i="163"/>
  <c r="F417" i="163"/>
  <c r="Q117" i="163"/>
  <c r="Q213" i="163"/>
  <c r="R31" i="163"/>
  <c r="Q31" i="163"/>
  <c r="R75" i="163"/>
  <c r="Y75" i="163"/>
  <c r="Y160" i="163"/>
  <c r="R224" i="163"/>
  <c r="Y224" i="163"/>
  <c r="Q329" i="163"/>
  <c r="R350" i="163"/>
  <c r="Y478" i="163"/>
  <c r="Q478" i="163"/>
  <c r="R483" i="163"/>
  <c r="Y483" i="163"/>
  <c r="R360" i="163"/>
  <c r="Q228" i="174"/>
  <c r="G199" i="171"/>
  <c r="N199" i="171"/>
  <c r="G337" i="171"/>
  <c r="Q172" i="171"/>
  <c r="R172" i="171"/>
  <c r="G120" i="170"/>
  <c r="N120" i="170"/>
  <c r="N88" i="174"/>
  <c r="F88" i="174"/>
  <c r="G186" i="174"/>
  <c r="N186" i="174"/>
  <c r="G133" i="174"/>
  <c r="G197" i="174"/>
  <c r="N197" i="174"/>
  <c r="F280" i="174"/>
  <c r="N456" i="174"/>
  <c r="G456" i="174"/>
  <c r="G395" i="174"/>
  <c r="F473" i="174"/>
  <c r="G473" i="174"/>
  <c r="N390" i="174"/>
  <c r="G454" i="174"/>
  <c r="N454" i="174"/>
  <c r="R78" i="174"/>
  <c r="Q202" i="174"/>
  <c r="R188" i="174"/>
  <c r="Y97" i="174"/>
  <c r="Y193" i="174"/>
  <c r="R406" i="174"/>
  <c r="G48" i="171"/>
  <c r="N144" i="171"/>
  <c r="G208" i="171"/>
  <c r="F194" i="171"/>
  <c r="G95" i="171"/>
  <c r="G347" i="171"/>
  <c r="N438" i="171"/>
  <c r="F236" i="171"/>
  <c r="N411" i="171"/>
  <c r="G411" i="171"/>
  <c r="F475" i="171"/>
  <c r="Y112" i="171"/>
  <c r="Q112" i="171"/>
  <c r="Q151" i="171"/>
  <c r="Y329" i="171"/>
  <c r="R329" i="171"/>
  <c r="Q78" i="171"/>
  <c r="R142" i="171"/>
  <c r="Q298" i="171"/>
  <c r="R373" i="171"/>
  <c r="Y373" i="171"/>
  <c r="R366" i="171"/>
  <c r="Q398" i="171"/>
  <c r="Y435" i="171"/>
  <c r="R452" i="171"/>
  <c r="Q452" i="171"/>
  <c r="R513" i="171"/>
  <c r="Y125" i="170"/>
  <c r="R49" i="170"/>
  <c r="Y49" i="170"/>
  <c r="R23" i="170" a="1"/>
  <c r="R23" i="170" s="1"/>
  <c r="R247" i="170"/>
  <c r="Q247" i="170"/>
  <c r="Q119" i="170"/>
  <c r="R255" i="170"/>
  <c r="Q255" i="170"/>
  <c r="R76" i="170"/>
  <c r="Y140" i="170"/>
  <c r="R227" i="170"/>
  <c r="Y227" i="170"/>
  <c r="Y141" i="170"/>
  <c r="R141" i="170"/>
  <c r="R238" i="170"/>
  <c r="Y238" i="170"/>
  <c r="R334" i="170"/>
  <c r="Y334" i="170"/>
  <c r="R440" i="170"/>
  <c r="R502" i="170"/>
  <c r="Q502" i="170"/>
  <c r="R463" i="170"/>
  <c r="N48" i="170"/>
  <c r="F112" i="170"/>
  <c r="N22" i="170"/>
  <c r="N105" i="170"/>
  <c r="G152" i="170"/>
  <c r="N152" i="170"/>
  <c r="G216" i="170"/>
  <c r="N216" i="170"/>
  <c r="N312" i="170"/>
  <c r="G376" i="170"/>
  <c r="F376" i="170"/>
  <c r="N435" i="170"/>
  <c r="G349" i="170"/>
  <c r="F349" i="170"/>
  <c r="N402" i="170"/>
  <c r="G255" i="170"/>
  <c r="G487" i="170"/>
  <c r="G464" i="170"/>
  <c r="N299" i="163"/>
  <c r="G307" i="163"/>
  <c r="G55" i="163"/>
  <c r="F130" i="163"/>
  <c r="G194" i="163"/>
  <c r="F226" i="163"/>
  <c r="G226" i="163"/>
  <c r="F315" i="163"/>
  <c r="N323" i="163"/>
  <c r="G80" i="163"/>
  <c r="N272" i="163"/>
  <c r="G334" i="163"/>
  <c r="N334" i="163"/>
  <c r="G430" i="163"/>
  <c r="F415" i="163"/>
  <c r="N447" i="163"/>
  <c r="F460" i="163"/>
  <c r="N492" i="163"/>
  <c r="F493" i="163"/>
  <c r="Y316" i="163"/>
  <c r="Y161" i="163"/>
  <c r="R118" i="163"/>
  <c r="Y118" i="163"/>
  <c r="Q246" i="163"/>
  <c r="R278" i="163"/>
  <c r="R55" i="163"/>
  <c r="R33" i="163"/>
  <c r="Y33" i="163"/>
  <c r="Q76" i="163"/>
  <c r="Y172" i="163"/>
  <c r="Q204" i="163"/>
  <c r="Q405" i="163"/>
  <c r="Y330" i="163"/>
  <c r="Q330" i="163"/>
  <c r="Y394" i="163"/>
  <c r="R394" i="163"/>
  <c r="R399" i="163"/>
  <c r="Y399" i="163"/>
  <c r="R463" i="163"/>
  <c r="Y463" i="163"/>
  <c r="R340" i="163"/>
  <c r="Q404" i="163"/>
  <c r="N237" i="174"/>
  <c r="F237" i="174"/>
  <c r="G237" i="174"/>
  <c r="N288" i="174"/>
  <c r="R417" i="174"/>
  <c r="G74" i="171"/>
  <c r="N74" i="171"/>
  <c r="F74" i="171"/>
  <c r="G202" i="171"/>
  <c r="N259" i="171"/>
  <c r="G340" i="171"/>
  <c r="N340" i="171"/>
  <c r="F340" i="171"/>
  <c r="G405" i="171"/>
  <c r="N405" i="171"/>
  <c r="F405" i="171"/>
  <c r="N452" i="171"/>
  <c r="F452" i="171"/>
  <c r="Y352" i="171"/>
  <c r="R341" i="171"/>
  <c r="Y105" i="171"/>
  <c r="F68" i="174"/>
  <c r="G68" i="174"/>
  <c r="N107" i="174"/>
  <c r="G107" i="174"/>
  <c r="N167" i="174"/>
  <c r="N102" i="174"/>
  <c r="G166" i="174"/>
  <c r="N166" i="174"/>
  <c r="G198" i="174"/>
  <c r="N198" i="174"/>
  <c r="F285" i="174"/>
  <c r="G164" i="174"/>
  <c r="N113" i="174"/>
  <c r="F113" i="174"/>
  <c r="N145" i="174"/>
  <c r="F246" i="174"/>
  <c r="G246" i="174"/>
  <c r="F278" i="174"/>
  <c r="G278" i="174"/>
  <c r="F342" i="174"/>
  <c r="G342" i="174"/>
  <c r="G295" i="174"/>
  <c r="F327" i="174"/>
  <c r="N389" i="174"/>
  <c r="F421" i="174"/>
  <c r="G370" i="174"/>
  <c r="N370" i="174"/>
  <c r="N496" i="174"/>
  <c r="G502" i="174"/>
  <c r="Q55" i="174"/>
  <c r="Y90" i="174"/>
  <c r="Q90" i="174"/>
  <c r="Q214" i="174"/>
  <c r="Q131" i="174"/>
  <c r="R163" i="174"/>
  <c r="Y163" i="174"/>
  <c r="Q163" i="174"/>
  <c r="Y195" i="174"/>
  <c r="Q195" i="174"/>
  <c r="Y168" i="174"/>
  <c r="R200" i="174"/>
  <c r="R141" i="174"/>
  <c r="Y173" i="174"/>
  <c r="Y205" i="174"/>
  <c r="Q205" i="174"/>
  <c r="Y328" i="174"/>
  <c r="Y277" i="174"/>
  <c r="R242" i="174"/>
  <c r="Q242" i="174"/>
  <c r="R274" i="174"/>
  <c r="Q274" i="174"/>
  <c r="R255" i="174"/>
  <c r="R287" i="174"/>
  <c r="Q319" i="174"/>
  <c r="R363" i="174"/>
  <c r="Y427" i="174"/>
  <c r="R459" i="174"/>
  <c r="Y459" i="174"/>
  <c r="Q357" i="174"/>
  <c r="R453" i="174"/>
  <c r="R386" i="174"/>
  <c r="Y386" i="174"/>
  <c r="R515" i="174"/>
  <c r="G60" i="171"/>
  <c r="N60" i="171"/>
  <c r="F60" i="171"/>
  <c r="G124" i="171"/>
  <c r="G188" i="171"/>
  <c r="N370" i="171"/>
  <c r="F370" i="171"/>
  <c r="G30" i="171"/>
  <c r="N30" i="171"/>
  <c r="F30" i="171"/>
  <c r="G201" i="171"/>
  <c r="N201" i="171"/>
  <c r="F201" i="171"/>
  <c r="N35" i="171"/>
  <c r="F35" i="171"/>
  <c r="G78" i="171"/>
  <c r="F78" i="171"/>
  <c r="N78" i="171"/>
  <c r="F174" i="171"/>
  <c r="G206" i="171"/>
  <c r="F206" i="171"/>
  <c r="N286" i="171"/>
  <c r="G286" i="171"/>
  <c r="F286" i="171"/>
  <c r="N75" i="171"/>
  <c r="F75" i="171"/>
  <c r="G203" i="171"/>
  <c r="N203" i="171"/>
  <c r="F203" i="171"/>
  <c r="G345" i="171"/>
  <c r="N345" i="171"/>
  <c r="F345" i="171"/>
  <c r="G263" i="171"/>
  <c r="F263" i="171"/>
  <c r="N466" i="171"/>
  <c r="G344" i="171"/>
  <c r="N344" i="171"/>
  <c r="F344" i="171"/>
  <c r="G409" i="171"/>
  <c r="N409" i="171"/>
  <c r="F409" i="171"/>
  <c r="F391" i="171"/>
  <c r="G391" i="171"/>
  <c r="N456" i="171"/>
  <c r="F456" i="171"/>
  <c r="F511" i="171"/>
  <c r="G511" i="171"/>
  <c r="F510" i="171"/>
  <c r="R344" i="171"/>
  <c r="Y344" i="171"/>
  <c r="R152" i="171"/>
  <c r="R248" i="171"/>
  <c r="Y248" i="171"/>
  <c r="Q36" i="171"/>
  <c r="Y349" i="171"/>
  <c r="R349" i="171"/>
  <c r="R40" i="171"/>
  <c r="Q40" i="171"/>
  <c r="Y77" i="171"/>
  <c r="Q173" i="171"/>
  <c r="R173" i="171"/>
  <c r="Y225" i="171"/>
  <c r="R225" i="171"/>
  <c r="Y58" i="171"/>
  <c r="Q186" i="171"/>
  <c r="R340" i="171"/>
  <c r="Q340" i="171"/>
  <c r="Q278" i="171"/>
  <c r="Y278" i="171"/>
  <c r="Y442" i="171"/>
  <c r="Q442" i="171"/>
  <c r="R415" i="171"/>
  <c r="Q415" i="171"/>
  <c r="Y432" i="171"/>
  <c r="Q432" i="171"/>
  <c r="Y494" i="171"/>
  <c r="Q494" i="171"/>
  <c r="R335" i="170"/>
  <c r="Y335" i="170"/>
  <c r="Q78" i="170"/>
  <c r="R78" i="170"/>
  <c r="Y207" i="170"/>
  <c r="Q207" i="170"/>
  <c r="Y99" i="170"/>
  <c r="Q99" i="170"/>
  <c r="R142" i="170"/>
  <c r="Q142" i="170"/>
  <c r="R400" i="170"/>
  <c r="Y377" i="170"/>
  <c r="Q377" i="170"/>
  <c r="R447" i="170"/>
  <c r="Y447" i="170"/>
  <c r="R186" i="170"/>
  <c r="R250" i="170"/>
  <c r="Q250" i="170"/>
  <c r="R282" i="170"/>
  <c r="Q431" i="170"/>
  <c r="Y431" i="170"/>
  <c r="R516" i="170"/>
  <c r="Q516" i="170"/>
  <c r="Y482" i="170"/>
  <c r="Q482" i="170"/>
  <c r="Y475" i="170"/>
  <c r="Q475" i="170"/>
  <c r="Q507" i="170"/>
  <c r="F138" i="170"/>
  <c r="G124" i="170"/>
  <c r="F124" i="170"/>
  <c r="G189" i="170"/>
  <c r="N189" i="170"/>
  <c r="F189" i="170"/>
  <c r="N117" i="170"/>
  <c r="N260" i="170"/>
  <c r="N329" i="170"/>
  <c r="F439" i="170"/>
  <c r="G439" i="170"/>
  <c r="G299" i="170"/>
  <c r="G395" i="170"/>
  <c r="N395" i="170"/>
  <c r="F395" i="170"/>
  <c r="F499" i="170"/>
  <c r="G444" i="170"/>
  <c r="N444" i="170"/>
  <c r="G195" i="163"/>
  <c r="G167" i="163"/>
  <c r="N167" i="163"/>
  <c r="G147" i="163"/>
  <c r="N147" i="163"/>
  <c r="F147" i="163"/>
  <c r="N59" i="163"/>
  <c r="G69" i="163"/>
  <c r="N69" i="163"/>
  <c r="N229" i="163"/>
  <c r="F229" i="163"/>
  <c r="G293" i="163"/>
  <c r="N293" i="163"/>
  <c r="F293" i="163"/>
  <c r="N331" i="163"/>
  <c r="N46" i="163"/>
  <c r="F46" i="163"/>
  <c r="N110" i="163"/>
  <c r="F110" i="163"/>
  <c r="G110" i="163"/>
  <c r="N142" i="163"/>
  <c r="G142" i="163"/>
  <c r="G174" i="163"/>
  <c r="N302" i="163"/>
  <c r="N60" i="163"/>
  <c r="N252" i="163"/>
  <c r="F252" i="163"/>
  <c r="G252" i="163"/>
  <c r="F284" i="163"/>
  <c r="G284" i="163"/>
  <c r="G506" i="163"/>
  <c r="N506" i="163"/>
  <c r="F506" i="163"/>
  <c r="N459" i="163"/>
  <c r="F459" i="163"/>
  <c r="G344" i="163"/>
  <c r="N344" i="163"/>
  <c r="F344" i="163"/>
  <c r="G376" i="163"/>
  <c r="N376" i="163"/>
  <c r="F376" i="163"/>
  <c r="N408" i="163"/>
  <c r="F377" i="163"/>
  <c r="G473" i="163"/>
  <c r="N473" i="163"/>
  <c r="F473" i="163"/>
  <c r="G505" i="163"/>
  <c r="N505" i="163"/>
  <c r="F505" i="163"/>
  <c r="R34" i="163"/>
  <c r="R109" i="163"/>
  <c r="Y109" i="163"/>
  <c r="Q109" i="163"/>
  <c r="R173" i="163"/>
  <c r="Q173" i="163"/>
  <c r="R237" i="163"/>
  <c r="Y237" i="163"/>
  <c r="R66" i="163"/>
  <c r="Y66" i="163"/>
  <c r="R194" i="163"/>
  <c r="Y194" i="163"/>
  <c r="Q194" i="163"/>
  <c r="R258" i="163"/>
  <c r="Q258" i="163"/>
  <c r="Q323" i="163"/>
  <c r="R323" i="163"/>
  <c r="R67" i="163"/>
  <c r="Y67" i="163"/>
  <c r="Q67" i="163"/>
  <c r="Q131" i="163"/>
  <c r="R195" i="163"/>
  <c r="Q195" i="163"/>
  <c r="R291" i="163"/>
  <c r="R152" i="163"/>
  <c r="Y152" i="163"/>
  <c r="Q152" i="163"/>
  <c r="R216" i="163"/>
  <c r="Y321" i="163"/>
  <c r="R321" i="163"/>
  <c r="R353" i="163"/>
  <c r="Y353" i="163"/>
  <c r="R481" i="163"/>
  <c r="Y481" i="163"/>
  <c r="Q481" i="163"/>
  <c r="Y342" i="163"/>
  <c r="Q342" i="163"/>
  <c r="R342" i="163"/>
  <c r="Y406" i="163"/>
  <c r="Q406" i="163"/>
  <c r="Y470" i="163"/>
  <c r="R470" i="163"/>
  <c r="R347" i="163"/>
  <c r="Y443" i="163"/>
  <c r="R475" i="163"/>
  <c r="Y475" i="163"/>
  <c r="Q475" i="163"/>
  <c r="R352" i="163"/>
  <c r="Y352" i="163"/>
  <c r="Q352" i="163"/>
  <c r="Q448" i="163"/>
  <c r="Y480" i="163"/>
  <c r="Q480" i="163"/>
  <c r="K39" i="118"/>
  <c r="F61" i="174"/>
  <c r="G61" i="174"/>
  <c r="F130" i="174"/>
  <c r="N384" i="174"/>
  <c r="R96" i="174"/>
  <c r="Y96" i="174"/>
  <c r="Q96" i="174"/>
  <c r="R468" i="174"/>
  <c r="Y468" i="174"/>
  <c r="R478" i="174"/>
  <c r="Y478" i="174"/>
  <c r="Q478" i="174"/>
  <c r="G56" i="171"/>
  <c r="N56" i="171"/>
  <c r="F56" i="171"/>
  <c r="G237" i="171"/>
  <c r="N237" i="171"/>
  <c r="F237" i="171"/>
  <c r="G42" i="171"/>
  <c r="N42" i="171"/>
  <c r="F42" i="171"/>
  <c r="N387" i="171"/>
  <c r="F387" i="171"/>
  <c r="G76" i="174"/>
  <c r="G63" i="174"/>
  <c r="F63" i="174"/>
  <c r="G22" i="174"/>
  <c r="N34" i="174"/>
  <c r="G34" i="174"/>
  <c r="G223" i="174"/>
  <c r="N223" i="174"/>
  <c r="F223" i="174"/>
  <c r="N46" i="174"/>
  <c r="F46" i="174"/>
  <c r="G91" i="174"/>
  <c r="F91" i="174"/>
  <c r="G146" i="174"/>
  <c r="F176" i="174"/>
  <c r="G176" i="174"/>
  <c r="N208" i="174"/>
  <c r="G208" i="174"/>
  <c r="N125" i="174"/>
  <c r="F125" i="174"/>
  <c r="F221" i="174"/>
  <c r="G240" i="174"/>
  <c r="N240" i="174"/>
  <c r="F336" i="174"/>
  <c r="N392" i="174"/>
  <c r="F440" i="174"/>
  <c r="N444" i="174"/>
  <c r="F444" i="174"/>
  <c r="G275" i="174"/>
  <c r="N452" i="174"/>
  <c r="F452" i="174"/>
  <c r="G419" i="174"/>
  <c r="N419" i="174"/>
  <c r="N369" i="174"/>
  <c r="F369" i="174"/>
  <c r="N414" i="174"/>
  <c r="F414" i="174"/>
  <c r="G503" i="174"/>
  <c r="Y40" i="174"/>
  <c r="Q40" i="174"/>
  <c r="Y76" i="174"/>
  <c r="R27" i="174"/>
  <c r="R130" i="174"/>
  <c r="Y130" i="174"/>
  <c r="Q130" i="174"/>
  <c r="R162" i="174"/>
  <c r="Y162" i="174"/>
  <c r="Q162" i="174"/>
  <c r="R207" i="174"/>
  <c r="Y207" i="174"/>
  <c r="Q207" i="174"/>
  <c r="R212" i="174"/>
  <c r="Y212" i="174"/>
  <c r="Q212" i="174"/>
  <c r="Y121" i="174"/>
  <c r="R153" i="174"/>
  <c r="R185" i="174"/>
  <c r="Y185" i="174"/>
  <c r="Q185" i="174"/>
  <c r="Y340" i="174"/>
  <c r="Q340" i="174"/>
  <c r="R321" i="174"/>
  <c r="Q321" i="174"/>
  <c r="Q331" i="174"/>
  <c r="R375" i="174"/>
  <c r="Y375" i="174"/>
  <c r="Q375" i="174"/>
  <c r="R471" i="174"/>
  <c r="Y471" i="174"/>
  <c r="Q471" i="174"/>
  <c r="R492" i="174"/>
  <c r="R388" i="174"/>
  <c r="Q388" i="174"/>
  <c r="Q452" i="174"/>
  <c r="Q369" i="174"/>
  <c r="R401" i="174"/>
  <c r="R433" i="174"/>
  <c r="R366" i="174"/>
  <c r="Y366" i="174"/>
  <c r="Q366" i="174"/>
  <c r="Q430" i="174"/>
  <c r="G200" i="171"/>
  <c r="N200" i="171"/>
  <c r="G53" i="171"/>
  <c r="N53" i="171"/>
  <c r="F53" i="171"/>
  <c r="N149" i="171"/>
  <c r="G269" i="171"/>
  <c r="N269" i="171"/>
  <c r="F269" i="171"/>
  <c r="G58" i="171"/>
  <c r="N58" i="171"/>
  <c r="N122" i="171"/>
  <c r="F122" i="171"/>
  <c r="F154" i="171"/>
  <c r="N310" i="171"/>
  <c r="G310" i="171"/>
  <c r="F310" i="171"/>
  <c r="G223" i="171"/>
  <c r="F151" i="171"/>
  <c r="F183" i="171"/>
  <c r="G241" i="171"/>
  <c r="N241" i="171"/>
  <c r="F241" i="171"/>
  <c r="N275" i="171"/>
  <c r="G275" i="171"/>
  <c r="F275" i="171"/>
  <c r="N339" i="171"/>
  <c r="G339" i="171"/>
  <c r="F339" i="171"/>
  <c r="G374" i="171"/>
  <c r="G324" i="171"/>
  <c r="F324" i="171"/>
  <c r="G357" i="171"/>
  <c r="F357" i="171"/>
  <c r="N357" i="171"/>
  <c r="G453" i="171"/>
  <c r="N453" i="171"/>
  <c r="F453" i="171"/>
  <c r="N487" i="171"/>
  <c r="G487" i="171"/>
  <c r="G372" i="171"/>
  <c r="N372" i="171"/>
  <c r="N404" i="171"/>
  <c r="N504" i="171"/>
  <c r="Y128" i="171"/>
  <c r="Q128" i="171"/>
  <c r="Q37" i="171"/>
  <c r="Y89" i="171"/>
  <c r="Q153" i="171"/>
  <c r="R153" i="171"/>
  <c r="Y70" i="171"/>
  <c r="Q70" i="171"/>
  <c r="Q134" i="171"/>
  <c r="Y236" i="171"/>
  <c r="Q236" i="171"/>
  <c r="Y226" i="171"/>
  <c r="Q226" i="171"/>
  <c r="R247" i="171"/>
  <c r="Y247" i="171"/>
  <c r="Q247" i="171"/>
  <c r="Y311" i="171"/>
  <c r="R343" i="171"/>
  <c r="Y461" i="171"/>
  <c r="Q461" i="171"/>
  <c r="R390" i="171"/>
  <c r="Q390" i="171"/>
  <c r="R486" i="171"/>
  <c r="Y459" i="171"/>
  <c r="R444" i="171"/>
  <c r="Q444" i="171"/>
  <c r="Y476" i="171"/>
  <c r="R506" i="171"/>
  <c r="Q506" i="171"/>
  <c r="R504" i="171"/>
  <c r="Y504" i="171"/>
  <c r="R505" i="171"/>
  <c r="R235" i="170"/>
  <c r="Y235" i="170"/>
  <c r="Q235" i="170"/>
  <c r="R90" i="170"/>
  <c r="Y160" i="170"/>
  <c r="R132" i="170"/>
  <c r="Y419" i="170"/>
  <c r="Y143" i="170"/>
  <c r="R295" i="170"/>
  <c r="Y295" i="170"/>
  <c r="Q284" i="170"/>
  <c r="Y316" i="170"/>
  <c r="Q348" i="170"/>
  <c r="R348" i="170"/>
  <c r="R443" i="170"/>
  <c r="Y197" i="170"/>
  <c r="Y293" i="170"/>
  <c r="Q293" i="170"/>
  <c r="Q325" i="170"/>
  <c r="Q389" i="170"/>
  <c r="Q294" i="170"/>
  <c r="R326" i="170"/>
  <c r="Y326" i="170"/>
  <c r="R422" i="170"/>
  <c r="Q469" i="170"/>
  <c r="G54" i="170"/>
  <c r="N54" i="170"/>
  <c r="F54" i="170"/>
  <c r="G28" i="170"/>
  <c r="N28" i="170"/>
  <c r="G123" i="170"/>
  <c r="N123" i="170"/>
  <c r="F123" i="170"/>
  <c r="N136" i="170"/>
  <c r="G65" i="170"/>
  <c r="N65" i="170"/>
  <c r="F65" i="170"/>
  <c r="F176" i="170"/>
  <c r="N240" i="170"/>
  <c r="G272" i="170"/>
  <c r="N272" i="170"/>
  <c r="F272" i="170"/>
  <c r="N400" i="170"/>
  <c r="F400" i="170"/>
  <c r="G213" i="170"/>
  <c r="N213" i="170"/>
  <c r="F213" i="170"/>
  <c r="G277" i="170"/>
  <c r="N277" i="170"/>
  <c r="F277" i="170"/>
  <c r="G373" i="170"/>
  <c r="N373" i="170"/>
  <c r="G234" i="170"/>
  <c r="N234" i="170"/>
  <c r="F234" i="170"/>
  <c r="F298" i="170"/>
  <c r="G362" i="170"/>
  <c r="N362" i="170"/>
  <c r="F362" i="170"/>
  <c r="G426" i="170"/>
  <c r="G215" i="170"/>
  <c r="N215" i="170"/>
  <c r="F215" i="170"/>
  <c r="G311" i="170"/>
  <c r="N311" i="170"/>
  <c r="N407" i="170"/>
  <c r="G263" i="163"/>
  <c r="G243" i="163"/>
  <c r="N243" i="163"/>
  <c r="G155" i="163"/>
  <c r="N155" i="163"/>
  <c r="F155" i="163"/>
  <c r="G49" i="163"/>
  <c r="N49" i="163"/>
  <c r="F49" i="163"/>
  <c r="N209" i="163"/>
  <c r="G241" i="163"/>
  <c r="N241" i="163"/>
  <c r="F241" i="163"/>
  <c r="G273" i="163"/>
  <c r="N273" i="163"/>
  <c r="F273" i="163"/>
  <c r="G305" i="163"/>
  <c r="N305" i="163"/>
  <c r="F305" i="163"/>
  <c r="N186" i="163"/>
  <c r="N314" i="163"/>
  <c r="F314" i="163"/>
  <c r="G314" i="163"/>
  <c r="G72" i="163"/>
  <c r="N104" i="163"/>
  <c r="F104" i="163"/>
  <c r="N168" i="163"/>
  <c r="F168" i="163"/>
  <c r="G168" i="163"/>
  <c r="G326" i="163"/>
  <c r="G454" i="163"/>
  <c r="N454" i="163"/>
  <c r="F454" i="163"/>
  <c r="G486" i="163"/>
  <c r="G518" i="163"/>
  <c r="N518" i="163"/>
  <c r="F518" i="163"/>
  <c r="G407" i="163"/>
  <c r="N407" i="163"/>
  <c r="F407" i="163"/>
  <c r="F471" i="163"/>
  <c r="G452" i="163"/>
  <c r="N452" i="163"/>
  <c r="N325" i="163"/>
  <c r="G325" i="163"/>
  <c r="F325" i="163"/>
  <c r="G389" i="163"/>
  <c r="N389" i="163"/>
  <c r="F389" i="163"/>
  <c r="F453" i="163"/>
  <c r="G485" i="163"/>
  <c r="N485" i="163"/>
  <c r="F485" i="163"/>
  <c r="Q121" i="163"/>
  <c r="R153" i="163"/>
  <c r="Y153" i="163"/>
  <c r="Q153" i="163"/>
  <c r="Y217" i="163"/>
  <c r="Q217" i="163"/>
  <c r="Y249" i="163"/>
  <c r="Q249" i="163"/>
  <c r="R78" i="163"/>
  <c r="Y78" i="163"/>
  <c r="Q78" i="163"/>
  <c r="R110" i="163"/>
  <c r="Y110" i="163"/>
  <c r="Q206" i="163"/>
  <c r="R238" i="163"/>
  <c r="Y238" i="163"/>
  <c r="Q238" i="163"/>
  <c r="Y270" i="163"/>
  <c r="Q270" i="163"/>
  <c r="R47" i="163"/>
  <c r="Y47" i="163"/>
  <c r="R79" i="163"/>
  <c r="Q143" i="163"/>
  <c r="Y175" i="163"/>
  <c r="Q175" i="163"/>
  <c r="R239" i="163"/>
  <c r="Y239" i="163"/>
  <c r="Q239" i="163"/>
  <c r="R303" i="163"/>
  <c r="Y303" i="163"/>
  <c r="Y25" i="163"/>
  <c r="R25" i="163"/>
  <c r="Y68" i="163"/>
  <c r="Y132" i="163"/>
  <c r="Q164" i="163"/>
  <c r="R292" i="163"/>
  <c r="Y292" i="163"/>
  <c r="R365" i="163"/>
  <c r="Y365" i="163"/>
  <c r="Q365" i="163"/>
  <c r="R397" i="163"/>
  <c r="Y397" i="163"/>
  <c r="Q397" i="163"/>
  <c r="R461" i="163"/>
  <c r="Y461" i="163"/>
  <c r="Q461" i="163"/>
  <c r="Y493" i="163"/>
  <c r="Q418" i="163"/>
  <c r="R418" i="163"/>
  <c r="Y482" i="163"/>
  <c r="Q482" i="163"/>
  <c r="R482" i="163"/>
  <c r="Y327" i="163"/>
  <c r="R359" i="163"/>
  <c r="Y359" i="163"/>
  <c r="R391" i="163"/>
  <c r="Y391" i="163"/>
  <c r="Q391" i="163"/>
  <c r="R455" i="163"/>
  <c r="Y455" i="163"/>
  <c r="Q455" i="163"/>
  <c r="Y487" i="163"/>
  <c r="Y332" i="163"/>
  <c r="Q364" i="163"/>
  <c r="Y428" i="163"/>
  <c r="R460" i="163"/>
  <c r="Y460" i="163"/>
  <c r="Q492" i="163"/>
  <c r="N403" i="174"/>
  <c r="N467" i="174"/>
  <c r="F467" i="174"/>
  <c r="R100" i="174"/>
  <c r="Q100" i="174"/>
  <c r="Y196" i="174"/>
  <c r="R260" i="174"/>
  <c r="R404" i="174"/>
  <c r="Y404" i="174"/>
  <c r="Q404" i="174"/>
  <c r="R481" i="174"/>
  <c r="Q481" i="174"/>
  <c r="Y481" i="174"/>
  <c r="F88" i="171"/>
  <c r="G120" i="171"/>
  <c r="N69" i="171"/>
  <c r="F69" i="171"/>
  <c r="N165" i="171"/>
  <c r="F165" i="171"/>
  <c r="N48" i="174"/>
  <c r="G48" i="174"/>
  <c r="G75" i="174"/>
  <c r="F75" i="174"/>
  <c r="F143" i="174"/>
  <c r="G143" i="174"/>
  <c r="G90" i="174"/>
  <c r="F163" i="174"/>
  <c r="N94" i="174"/>
  <c r="G94" i="174"/>
  <c r="F94" i="174"/>
  <c r="N354" i="174"/>
  <c r="F222" i="174"/>
  <c r="G105" i="174"/>
  <c r="N105" i="174"/>
  <c r="N297" i="174"/>
  <c r="N252" i="174"/>
  <c r="F252" i="174"/>
  <c r="G358" i="174"/>
  <c r="F358" i="174"/>
  <c r="G238" i="174"/>
  <c r="N360" i="174"/>
  <c r="G360" i="174"/>
  <c r="G255" i="174"/>
  <c r="G399" i="174"/>
  <c r="N399" i="174"/>
  <c r="F431" i="174"/>
  <c r="F381" i="174"/>
  <c r="N477" i="174"/>
  <c r="G477" i="174"/>
  <c r="N490" i="174"/>
  <c r="F490" i="174"/>
  <c r="R79" i="174"/>
  <c r="Y79" i="174"/>
  <c r="R56" i="174"/>
  <c r="Y56" i="174"/>
  <c r="R88" i="174"/>
  <c r="Y88" i="174"/>
  <c r="Q88" i="174"/>
  <c r="R45" i="174"/>
  <c r="R77" i="174"/>
  <c r="R110" i="174"/>
  <c r="Y110" i="174"/>
  <c r="Q110" i="174"/>
  <c r="R174" i="174"/>
  <c r="Y174" i="174"/>
  <c r="R219" i="174"/>
  <c r="Y219" i="174"/>
  <c r="Q219" i="174"/>
  <c r="R128" i="174"/>
  <c r="Y128" i="174"/>
  <c r="Q128" i="174"/>
  <c r="R133" i="174"/>
  <c r="Y133" i="174"/>
  <c r="Q133" i="174"/>
  <c r="Q165" i="174"/>
  <c r="R320" i="174"/>
  <c r="Y237" i="174"/>
  <c r="Q237" i="174"/>
  <c r="Y269" i="174"/>
  <c r="Q269" i="174"/>
  <c r="R301" i="174"/>
  <c r="Y301" i="174"/>
  <c r="Q301" i="174"/>
  <c r="R266" i="174"/>
  <c r="Q266" i="174"/>
  <c r="Q330" i="174"/>
  <c r="Y330" i="174"/>
  <c r="R343" i="174"/>
  <c r="Y343" i="174"/>
  <c r="Q343" i="174"/>
  <c r="R355" i="174"/>
  <c r="Q355" i="174"/>
  <c r="Y355" i="174"/>
  <c r="R419" i="174"/>
  <c r="Y419" i="174"/>
  <c r="Q419" i="174"/>
  <c r="R483" i="174"/>
  <c r="Y483" i="174"/>
  <c r="Q483" i="174"/>
  <c r="R464" i="174"/>
  <c r="Y464" i="174"/>
  <c r="Q381" i="174"/>
  <c r="R413" i="174"/>
  <c r="Y413" i="174"/>
  <c r="Q413" i="174"/>
  <c r="Y445" i="174"/>
  <c r="Q445" i="174"/>
  <c r="Q442" i="174"/>
  <c r="R474" i="174"/>
  <c r="Y513" i="174"/>
  <c r="Q513" i="174"/>
  <c r="Y502" i="174"/>
  <c r="Q502" i="174"/>
  <c r="G258" i="171"/>
  <c r="F258" i="171"/>
  <c r="G322" i="171"/>
  <c r="F322" i="171"/>
  <c r="G426" i="171"/>
  <c r="G97" i="171"/>
  <c r="F97" i="171"/>
  <c r="G161" i="171"/>
  <c r="N161" i="171"/>
  <c r="F161" i="171"/>
  <c r="N193" i="171"/>
  <c r="F193" i="171"/>
  <c r="G293" i="171"/>
  <c r="N293" i="171"/>
  <c r="F293" i="171"/>
  <c r="G486" i="171"/>
  <c r="G70" i="171"/>
  <c r="N166" i="171"/>
  <c r="F198" i="171"/>
  <c r="N446" i="171"/>
  <c r="F446" i="171"/>
  <c r="G446" i="171"/>
  <c r="G67" i="171"/>
  <c r="G99" i="171"/>
  <c r="N99" i="171"/>
  <c r="G195" i="171"/>
  <c r="N195" i="171"/>
  <c r="G255" i="171"/>
  <c r="F255" i="171"/>
  <c r="N255" i="171"/>
  <c r="G287" i="171"/>
  <c r="F287" i="171"/>
  <c r="N287" i="171"/>
  <c r="G240" i="171"/>
  <c r="N272" i="171"/>
  <c r="F272" i="171"/>
  <c r="F383" i="171"/>
  <c r="G383" i="171"/>
  <c r="N415" i="171"/>
  <c r="F415" i="171"/>
  <c r="G415" i="171"/>
  <c r="F448" i="171"/>
  <c r="G480" i="171"/>
  <c r="N480" i="171"/>
  <c r="F480" i="171"/>
  <c r="F507" i="171"/>
  <c r="F502" i="171"/>
  <c r="Y140" i="171"/>
  <c r="Q140" i="171"/>
  <c r="Y144" i="171"/>
  <c r="R59" i="171"/>
  <c r="Y59" i="171"/>
  <c r="R123" i="171"/>
  <c r="Q123" i="171"/>
  <c r="Y333" i="171"/>
  <c r="Q333" i="171"/>
  <c r="Y69" i="171"/>
  <c r="Q69" i="171"/>
  <c r="R101" i="171"/>
  <c r="Q273" i="171"/>
  <c r="R273" i="171"/>
  <c r="Y50" i="171"/>
  <c r="R114" i="171"/>
  <c r="Y114" i="171"/>
  <c r="R223" i="171"/>
  <c r="Y223" i="171"/>
  <c r="Y324" i="171"/>
  <c r="Q324" i="171"/>
  <c r="R270" i="171"/>
  <c r="R323" i="171"/>
  <c r="Q323" i="171"/>
  <c r="R441" i="171"/>
  <c r="Y370" i="171"/>
  <c r="Q370" i="171"/>
  <c r="Y402" i="171"/>
  <c r="Q487" i="171"/>
  <c r="Y487" i="171"/>
  <c r="Y439" i="171"/>
  <c r="Q471" i="171"/>
  <c r="R360" i="171"/>
  <c r="Y360" i="171"/>
  <c r="R424" i="171"/>
  <c r="Q424" i="171"/>
  <c r="Q395" i="170"/>
  <c r="Y363" i="170"/>
  <c r="Q363" i="170"/>
  <c r="Q70" i="170"/>
  <c r="R102" i="170"/>
  <c r="Q134" i="170"/>
  <c r="R134" i="170"/>
  <c r="Y59" i="170"/>
  <c r="R91" i="170"/>
  <c r="Y91" i="170"/>
  <c r="R199" i="170"/>
  <c r="Q112" i="170"/>
  <c r="R191" i="170"/>
  <c r="Q191" i="170"/>
  <c r="R259" i="170"/>
  <c r="Y259" i="170"/>
  <c r="Q200" i="170"/>
  <c r="Y328" i="170"/>
  <c r="Q328" i="170"/>
  <c r="Q360" i="170"/>
  <c r="Y424" i="170"/>
  <c r="Q424" i="170"/>
  <c r="R177" i="170"/>
  <c r="R209" i="170"/>
  <c r="Q209" i="170"/>
  <c r="Y337" i="170"/>
  <c r="Y369" i="170"/>
  <c r="Q369" i="170"/>
  <c r="Q210" i="170"/>
  <c r="Y242" i="170"/>
  <c r="R306" i="170"/>
  <c r="Y306" i="170"/>
  <c r="Y370" i="170"/>
  <c r="Y444" i="170"/>
  <c r="R444" i="170"/>
  <c r="Q508" i="170"/>
  <c r="Y513" i="170"/>
  <c r="R474" i="170"/>
  <c r="Y474" i="170"/>
  <c r="Y506" i="170"/>
  <c r="R467" i="170"/>
  <c r="Q467" i="170"/>
  <c r="R499" i="170"/>
  <c r="F66" i="170"/>
  <c r="G130" i="170"/>
  <c r="F130" i="170"/>
  <c r="N71" i="170"/>
  <c r="F71" i="170"/>
  <c r="G103" i="170"/>
  <c r="N169" i="170"/>
  <c r="F169" i="170"/>
  <c r="G84" i="170"/>
  <c r="N84" i="170"/>
  <c r="F84" i="170"/>
  <c r="G316" i="170"/>
  <c r="N316" i="170"/>
  <c r="F316" i="170"/>
  <c r="F225" i="170"/>
  <c r="G214" i="170"/>
  <c r="N214" i="170"/>
  <c r="F214" i="170"/>
  <c r="N246" i="170"/>
  <c r="N342" i="170"/>
  <c r="F342" i="170"/>
  <c r="G406" i="170"/>
  <c r="F195" i="170"/>
  <c r="N490" i="170"/>
  <c r="F490" i="170"/>
  <c r="N436" i="170"/>
  <c r="G131" i="163"/>
  <c r="N131" i="163"/>
  <c r="F131" i="163"/>
  <c r="G103" i="163"/>
  <c r="N103" i="163"/>
  <c r="F103" i="163"/>
  <c r="G19" i="163"/>
  <c r="N19" i="163"/>
  <c r="F19" i="163"/>
  <c r="G251" i="163"/>
  <c r="N251" i="163"/>
  <c r="F251" i="163"/>
  <c r="G93" i="163"/>
  <c r="G157" i="163"/>
  <c r="N157" i="163"/>
  <c r="F157" i="163"/>
  <c r="G221" i="163"/>
  <c r="N221" i="163"/>
  <c r="F221" i="163"/>
  <c r="G253" i="163"/>
  <c r="N253" i="163"/>
  <c r="F253" i="163"/>
  <c r="G23" i="163"/>
  <c r="N23" i="163"/>
  <c r="N324" i="163"/>
  <c r="G134" i="163"/>
  <c r="N230" i="163"/>
  <c r="F230" i="163"/>
  <c r="G230" i="163"/>
  <c r="N294" i="163"/>
  <c r="F294" i="163"/>
  <c r="G294" i="163"/>
  <c r="G52" i="163"/>
  <c r="N84" i="163"/>
  <c r="F84" i="163"/>
  <c r="G84" i="163"/>
  <c r="N180" i="163"/>
  <c r="F180" i="163"/>
  <c r="G180" i="163"/>
  <c r="F212" i="163"/>
  <c r="N276" i="163"/>
  <c r="F276" i="163"/>
  <c r="G276" i="163"/>
  <c r="G370" i="163"/>
  <c r="N370" i="163"/>
  <c r="F370" i="163"/>
  <c r="G402" i="163"/>
  <c r="N402" i="163"/>
  <c r="F402" i="163"/>
  <c r="G434" i="163"/>
  <c r="N434" i="163"/>
  <c r="F434" i="163"/>
  <c r="F498" i="163"/>
  <c r="G387" i="163"/>
  <c r="N387" i="163"/>
  <c r="F387" i="163"/>
  <c r="G451" i="163"/>
  <c r="N451" i="163"/>
  <c r="F451" i="163"/>
  <c r="G483" i="163"/>
  <c r="N483" i="163"/>
  <c r="F483" i="163"/>
  <c r="G515" i="163"/>
  <c r="N368" i="163"/>
  <c r="F368" i="163"/>
  <c r="G464" i="163"/>
  <c r="N464" i="163"/>
  <c r="F464" i="163"/>
  <c r="G369" i="163"/>
  <c r="N369" i="163"/>
  <c r="F369" i="163"/>
  <c r="G401" i="163"/>
  <c r="N401" i="163"/>
  <c r="F401" i="163"/>
  <c r="F433" i="163"/>
  <c r="N465" i="163"/>
  <c r="Y326" i="163"/>
  <c r="Q326" i="163"/>
  <c r="R326" i="163"/>
  <c r="R69" i="163"/>
  <c r="Y69" i="163"/>
  <c r="R165" i="163"/>
  <c r="Y261" i="163"/>
  <c r="Q261" i="163"/>
  <c r="R58" i="163"/>
  <c r="R90" i="163"/>
  <c r="Y90" i="163"/>
  <c r="Q90" i="163"/>
  <c r="Y122" i="163"/>
  <c r="Y186" i="163"/>
  <c r="Q186" i="163"/>
  <c r="R250" i="163"/>
  <c r="Y250" i="163"/>
  <c r="R282" i="163"/>
  <c r="Y282" i="163"/>
  <c r="R91" i="163"/>
  <c r="Q91" i="163"/>
  <c r="R123" i="163"/>
  <c r="Y155" i="163"/>
  <c r="R219" i="163"/>
  <c r="Y219" i="163"/>
  <c r="Q219" i="163"/>
  <c r="Q37" i="163"/>
  <c r="R80" i="163"/>
  <c r="Y144" i="163"/>
  <c r="Q144" i="163"/>
  <c r="R208" i="163"/>
  <c r="Y208" i="163"/>
  <c r="R304" i="163"/>
  <c r="Y304" i="163"/>
  <c r="Q304" i="163"/>
  <c r="Y409" i="163"/>
  <c r="Y473" i="163"/>
  <c r="Q473" i="163"/>
  <c r="Q505" i="163"/>
  <c r="Y398" i="163"/>
  <c r="Q398" i="163"/>
  <c r="R398" i="163"/>
  <c r="Y494" i="163"/>
  <c r="R494" i="163"/>
  <c r="R435" i="163"/>
  <c r="Y435" i="163"/>
  <c r="Q435" i="163"/>
  <c r="R467" i="163"/>
  <c r="Y467" i="163"/>
  <c r="R376" i="163"/>
  <c r="Q376" i="163"/>
  <c r="R408" i="163"/>
  <c r="Y440" i="163"/>
  <c r="Q440" i="163"/>
  <c r="R504" i="163"/>
  <c r="Y504" i="163"/>
  <c r="Q504" i="163"/>
  <c r="N24" i="174"/>
  <c r="G55" i="174"/>
  <c r="N55" i="174"/>
  <c r="N139" i="174"/>
  <c r="F139" i="174"/>
  <c r="G139" i="174"/>
  <c r="G26" i="174"/>
  <c r="G70" i="174"/>
  <c r="N70" i="174"/>
  <c r="N199" i="174"/>
  <c r="F199" i="174"/>
  <c r="G202" i="174"/>
  <c r="F202" i="174"/>
  <c r="N241" i="174"/>
  <c r="F241" i="174"/>
  <c r="N225" i="174"/>
  <c r="F225" i="174"/>
  <c r="G225" i="174"/>
  <c r="F104" i="174"/>
  <c r="G104" i="174"/>
  <c r="N168" i="174"/>
  <c r="G168" i="174"/>
  <c r="F325" i="174"/>
  <c r="G325" i="174"/>
  <c r="G149" i="174"/>
  <c r="N149" i="174"/>
  <c r="F149" i="174"/>
  <c r="N213" i="174"/>
  <c r="G301" i="174"/>
  <c r="N232" i="174"/>
  <c r="F232" i="174"/>
  <c r="G328" i="174"/>
  <c r="N328" i="174"/>
  <c r="G396" i="174"/>
  <c r="N372" i="174"/>
  <c r="F372" i="174"/>
  <c r="G372" i="174"/>
  <c r="G376" i="174"/>
  <c r="G267" i="174"/>
  <c r="N267" i="174"/>
  <c r="F267" i="174"/>
  <c r="G331" i="174"/>
  <c r="N331" i="174"/>
  <c r="F331" i="174"/>
  <c r="G352" i="174"/>
  <c r="F352" i="174"/>
  <c r="F379" i="174"/>
  <c r="N361" i="174"/>
  <c r="G361" i="174"/>
  <c r="N393" i="174"/>
  <c r="N425" i="174"/>
  <c r="F425" i="174"/>
  <c r="G406" i="174"/>
  <c r="N406" i="174"/>
  <c r="F406" i="174"/>
  <c r="N470" i="174"/>
  <c r="G506" i="174"/>
  <c r="N506" i="174"/>
  <c r="F506" i="174"/>
  <c r="R28" i="174"/>
  <c r="Y28" i="174"/>
  <c r="R59" i="174"/>
  <c r="Y59" i="174"/>
  <c r="Q59" i="174"/>
  <c r="Y19" i="174"/>
  <c r="Q19" i="174"/>
  <c r="Q20" i="174" s="1"/>
  <c r="R19" i="174"/>
  <c r="Y122" i="174"/>
  <c r="R154" i="174"/>
  <c r="Y154" i="174"/>
  <c r="Q154" i="174"/>
  <c r="R186" i="174"/>
  <c r="Y186" i="174"/>
  <c r="Q186" i="174"/>
  <c r="R103" i="174"/>
  <c r="Y103" i="174"/>
  <c r="Q103" i="174"/>
  <c r="Q135" i="174"/>
  <c r="R199" i="174"/>
  <c r="Y199" i="174"/>
  <c r="Q199" i="174"/>
  <c r="R172" i="174"/>
  <c r="Y172" i="174"/>
  <c r="Q172" i="174"/>
  <c r="R204" i="174"/>
  <c r="Y204" i="174"/>
  <c r="Q204" i="174"/>
  <c r="R145" i="174"/>
  <c r="Y145" i="174"/>
  <c r="Q145" i="174"/>
  <c r="R236" i="174"/>
  <c r="Y236" i="174"/>
  <c r="Q236" i="174"/>
  <c r="Y268" i="174"/>
  <c r="R300" i="174"/>
  <c r="Y300" i="174"/>
  <c r="Q300" i="174"/>
  <c r="R332" i="174"/>
  <c r="Y332" i="174"/>
  <c r="Q332" i="174"/>
  <c r="R345" i="174"/>
  <c r="Y345" i="174"/>
  <c r="Q345" i="174"/>
  <c r="Y246" i="174"/>
  <c r="Q246" i="174"/>
  <c r="R291" i="174"/>
  <c r="Y291" i="174"/>
  <c r="Y463" i="174"/>
  <c r="R504" i="174"/>
  <c r="Y412" i="174"/>
  <c r="R361" i="174"/>
  <c r="Y361" i="174"/>
  <c r="Q361" i="174"/>
  <c r="R358" i="174"/>
  <c r="Y358" i="174"/>
  <c r="Q358" i="174"/>
  <c r="Q422" i="174"/>
  <c r="R486" i="174"/>
  <c r="Y486" i="174"/>
  <c r="Q486" i="174"/>
  <c r="Q493" i="174"/>
  <c r="K28" i="118"/>
  <c r="N21" i="171"/>
  <c r="N128" i="171"/>
  <c r="G192" i="171"/>
  <c r="N192" i="171"/>
  <c r="G282" i="171"/>
  <c r="F282" i="171"/>
  <c r="G346" i="171"/>
  <c r="F346" i="171"/>
  <c r="N346" i="171"/>
  <c r="G34" i="171"/>
  <c r="N34" i="171"/>
  <c r="F34" i="171"/>
  <c r="G77" i="171"/>
  <c r="N109" i="171"/>
  <c r="F109" i="171"/>
  <c r="G205" i="171"/>
  <c r="G317" i="171"/>
  <c r="G50" i="171"/>
  <c r="N50" i="171"/>
  <c r="F50" i="171"/>
  <c r="G82" i="171"/>
  <c r="N82" i="171"/>
  <c r="F82" i="171"/>
  <c r="N230" i="171"/>
  <c r="N294" i="171"/>
  <c r="G294" i="171"/>
  <c r="F294" i="171"/>
  <c r="G225" i="171"/>
  <c r="F225" i="171"/>
  <c r="G111" i="171"/>
  <c r="N111" i="171"/>
  <c r="G143" i="171"/>
  <c r="N143" i="171"/>
  <c r="G175" i="171"/>
  <c r="N175" i="171"/>
  <c r="F175" i="171"/>
  <c r="G207" i="171"/>
  <c r="N207" i="171"/>
  <c r="F207" i="171"/>
  <c r="G353" i="171"/>
  <c r="G299" i="171"/>
  <c r="F299" i="171"/>
  <c r="G331" i="171"/>
  <c r="F331" i="171"/>
  <c r="G284" i="171"/>
  <c r="N284" i="171"/>
  <c r="F284" i="171"/>
  <c r="G316" i="171"/>
  <c r="N316" i="171"/>
  <c r="F316" i="171"/>
  <c r="G348" i="171"/>
  <c r="N348" i="171"/>
  <c r="F348" i="171"/>
  <c r="G413" i="171"/>
  <c r="N413" i="171"/>
  <c r="F413" i="171"/>
  <c r="G445" i="171"/>
  <c r="N445" i="171"/>
  <c r="F445" i="171"/>
  <c r="N395" i="171"/>
  <c r="F395" i="171"/>
  <c r="G395" i="171"/>
  <c r="F459" i="171"/>
  <c r="N503" i="171"/>
  <c r="F503" i="171"/>
  <c r="G503" i="171"/>
  <c r="N460" i="171"/>
  <c r="G501" i="171"/>
  <c r="N501" i="171"/>
  <c r="F501" i="171"/>
  <c r="Y212" i="171"/>
  <c r="Q184" i="171"/>
  <c r="R184" i="171"/>
  <c r="Q64" i="171"/>
  <c r="R64" i="171"/>
  <c r="R103" i="171"/>
  <c r="Y103" i="171"/>
  <c r="Q103" i="171"/>
  <c r="R135" i="171"/>
  <c r="Y135" i="171"/>
  <c r="Q135" i="171"/>
  <c r="R199" i="171"/>
  <c r="Y199" i="171"/>
  <c r="R229" i="171"/>
  <c r="Y113" i="171"/>
  <c r="Q113" i="171"/>
  <c r="R113" i="171"/>
  <c r="Q145" i="171"/>
  <c r="Y209" i="171"/>
  <c r="Q209" i="171"/>
  <c r="R209" i="171"/>
  <c r="Q62" i="171"/>
  <c r="R158" i="171"/>
  <c r="Y158" i="171"/>
  <c r="Q158" i="171"/>
  <c r="R284" i="171"/>
  <c r="Y284" i="171"/>
  <c r="Q284" i="171"/>
  <c r="R220" i="171"/>
  <c r="Q220" i="171"/>
  <c r="Y220" i="171"/>
  <c r="R218" i="171"/>
  <c r="Q218" i="171"/>
  <c r="Y218" i="171"/>
  <c r="Y250" i="171"/>
  <c r="R250" i="171"/>
  <c r="Y314" i="171"/>
  <c r="R314" i="171"/>
  <c r="Q314" i="171"/>
  <c r="Y346" i="171"/>
  <c r="R271" i="171"/>
  <c r="Y271" i="171"/>
  <c r="Q271" i="171"/>
  <c r="Y303" i="171"/>
  <c r="Q303" i="171"/>
  <c r="R389" i="171"/>
  <c r="Y389" i="171"/>
  <c r="Q389" i="171"/>
  <c r="R421" i="171"/>
  <c r="Y421" i="171"/>
  <c r="R414" i="171"/>
  <c r="Y414" i="171"/>
  <c r="Q414" i="171"/>
  <c r="R419" i="171"/>
  <c r="Y419" i="171"/>
  <c r="Q419" i="171"/>
  <c r="R483" i="171"/>
  <c r="R468" i="171"/>
  <c r="Y468" i="171"/>
  <c r="Q468" i="171"/>
  <c r="R499" i="171"/>
  <c r="Y499" i="171"/>
  <c r="Q499" i="171"/>
  <c r="Y497" i="171"/>
  <c r="R30" i="170"/>
  <c r="Y30" i="170"/>
  <c r="R34" i="170"/>
  <c r="Y34" i="170"/>
  <c r="R299" i="170"/>
  <c r="Y299" i="170"/>
  <c r="Q299" i="170"/>
  <c r="Q57" i="170"/>
  <c r="Y169" i="170"/>
  <c r="Q169" i="170"/>
  <c r="Y39" i="170"/>
  <c r="Q39" i="170"/>
  <c r="R39" i="170"/>
  <c r="Y114" i="170"/>
  <c r="Q114" i="170"/>
  <c r="R114" i="170"/>
  <c r="R403" i="170"/>
  <c r="Y403" i="170"/>
  <c r="Q403" i="170"/>
  <c r="Q149" i="170"/>
  <c r="R149" i="170"/>
  <c r="R375" i="170"/>
  <c r="Y375" i="170"/>
  <c r="Q375" i="170"/>
  <c r="R283" i="170"/>
  <c r="Y283" i="170"/>
  <c r="Q283" i="170"/>
  <c r="R383" i="170"/>
  <c r="Y383" i="170"/>
  <c r="R60" i="170"/>
  <c r="Y60" i="170"/>
  <c r="Q60" i="170"/>
  <c r="R92" i="170"/>
  <c r="Q92" i="170"/>
  <c r="R144" i="170"/>
  <c r="Q144" i="170"/>
  <c r="Y144" i="170"/>
  <c r="Y161" i="170"/>
  <c r="Q161" i="170"/>
  <c r="R439" i="170"/>
  <c r="Q439" i="170"/>
  <c r="Y244" i="170"/>
  <c r="Q244" i="170"/>
  <c r="R244" i="170"/>
  <c r="Q276" i="170"/>
  <c r="R276" i="170"/>
  <c r="Y404" i="170"/>
  <c r="Q404" i="170"/>
  <c r="R404" i="170"/>
  <c r="Q189" i="170"/>
  <c r="R189" i="170"/>
  <c r="R253" i="170"/>
  <c r="Y253" i="170"/>
  <c r="Q253" i="170"/>
  <c r="Y285" i="170"/>
  <c r="Q285" i="170"/>
  <c r="R413" i="170"/>
  <c r="Y413" i="170"/>
  <c r="Q413" i="170"/>
  <c r="Y158" i="170"/>
  <c r="R286" i="170"/>
  <c r="Y286" i="170"/>
  <c r="Q286" i="170"/>
  <c r="Y318" i="170"/>
  <c r="Q318" i="170"/>
  <c r="R382" i="170"/>
  <c r="Y382" i="170"/>
  <c r="Q382" i="170"/>
  <c r="Y414" i="170"/>
  <c r="Q414" i="170"/>
  <c r="R488" i="170"/>
  <c r="Y488" i="170"/>
  <c r="Q488" i="170"/>
  <c r="Y493" i="170"/>
  <c r="Q493" i="170"/>
  <c r="R493" i="170"/>
  <c r="G35" i="170"/>
  <c r="F35" i="170"/>
  <c r="G46" i="170"/>
  <c r="N46" i="170"/>
  <c r="G193" i="170"/>
  <c r="F193" i="170"/>
  <c r="N193" i="170"/>
  <c r="G51" i="170"/>
  <c r="N51" i="170"/>
  <c r="F51" i="170"/>
  <c r="G115" i="170"/>
  <c r="N115" i="170"/>
  <c r="F115" i="170"/>
  <c r="G494" i="170"/>
  <c r="N494" i="170"/>
  <c r="F494" i="170"/>
  <c r="G40" i="170"/>
  <c r="N40" i="170"/>
  <c r="F40" i="170"/>
  <c r="G96" i="170"/>
  <c r="N96" i="170"/>
  <c r="F96" i="170"/>
  <c r="G57" i="170"/>
  <c r="N57" i="170"/>
  <c r="F57" i="170"/>
  <c r="F89" i="170"/>
  <c r="G142" i="170"/>
  <c r="F142" i="170"/>
  <c r="N142" i="170"/>
  <c r="G264" i="170"/>
  <c r="N264" i="170"/>
  <c r="F264" i="170"/>
  <c r="F296" i="170"/>
  <c r="G328" i="170"/>
  <c r="N328" i="170"/>
  <c r="F328" i="170"/>
  <c r="G301" i="170"/>
  <c r="N301" i="170"/>
  <c r="F301" i="170"/>
  <c r="G365" i="170"/>
  <c r="N365" i="170"/>
  <c r="F365" i="170"/>
  <c r="G194" i="170"/>
  <c r="F194" i="170"/>
  <c r="N194" i="170"/>
  <c r="G258" i="170"/>
  <c r="N258" i="170"/>
  <c r="F258" i="170"/>
  <c r="F290" i="170"/>
  <c r="N175" i="170"/>
  <c r="F175" i="170"/>
  <c r="G175" i="170"/>
  <c r="G207" i="170"/>
  <c r="F239" i="170"/>
  <c r="G367" i="170"/>
  <c r="F367" i="170"/>
  <c r="N431" i="170"/>
  <c r="G431" i="170"/>
  <c r="F431" i="170"/>
  <c r="G441" i="170"/>
  <c r="F441" i="170"/>
  <c r="N441" i="170"/>
  <c r="G505" i="170"/>
  <c r="N505" i="170"/>
  <c r="F505" i="170"/>
  <c r="G448" i="170"/>
  <c r="N448" i="170"/>
  <c r="F448" i="170"/>
  <c r="G512" i="170"/>
  <c r="N512" i="170"/>
  <c r="F512" i="170"/>
  <c r="G227" i="163"/>
  <c r="G32" i="163"/>
  <c r="N32" i="163"/>
  <c r="F32" i="163"/>
  <c r="G199" i="163"/>
  <c r="N199" i="163"/>
  <c r="F199" i="163"/>
  <c r="F91" i="163"/>
  <c r="N30" i="163"/>
  <c r="G41" i="163"/>
  <c r="N41" i="163"/>
  <c r="F41" i="163"/>
  <c r="G73" i="163"/>
  <c r="N73" i="163"/>
  <c r="F73" i="163"/>
  <c r="G137" i="163"/>
  <c r="N137" i="163"/>
  <c r="F137" i="163"/>
  <c r="G169" i="163"/>
  <c r="N169" i="163"/>
  <c r="F169" i="163"/>
  <c r="N233" i="163"/>
  <c r="F233" i="163"/>
  <c r="N39" i="163"/>
  <c r="F39" i="163"/>
  <c r="G39" i="163"/>
  <c r="N114" i="163"/>
  <c r="F114" i="163"/>
  <c r="G114" i="163"/>
  <c r="N146" i="163"/>
  <c r="F146" i="163"/>
  <c r="G146" i="163"/>
  <c r="N210" i="163"/>
  <c r="F210" i="163"/>
  <c r="G210" i="163"/>
  <c r="N242" i="163"/>
  <c r="F242" i="163"/>
  <c r="G242" i="163"/>
  <c r="G274" i="163"/>
  <c r="N306" i="163"/>
  <c r="F306" i="163"/>
  <c r="G306" i="163"/>
  <c r="N96" i="163"/>
  <c r="F96" i="163"/>
  <c r="G96" i="163"/>
  <c r="N192" i="163"/>
  <c r="N256" i="163"/>
  <c r="F256" i="163"/>
  <c r="G256" i="163"/>
  <c r="N288" i="163"/>
  <c r="F288" i="163"/>
  <c r="G288" i="163"/>
  <c r="G320" i="163"/>
  <c r="N320" i="163"/>
  <c r="F320" i="163"/>
  <c r="F318" i="163"/>
  <c r="G350" i="163"/>
  <c r="N350" i="163"/>
  <c r="F350" i="163"/>
  <c r="G382" i="163"/>
  <c r="N382" i="163"/>
  <c r="F382" i="163"/>
  <c r="G414" i="163"/>
  <c r="F478" i="163"/>
  <c r="G367" i="163"/>
  <c r="N367" i="163"/>
  <c r="F367" i="163"/>
  <c r="G399" i="163"/>
  <c r="N399" i="163"/>
  <c r="F399" i="163"/>
  <c r="N431" i="163"/>
  <c r="G463" i="163"/>
  <c r="N463" i="163"/>
  <c r="G495" i="163"/>
  <c r="N495" i="163"/>
  <c r="F495" i="163"/>
  <c r="G348" i="163"/>
  <c r="N348" i="163"/>
  <c r="F348" i="163"/>
  <c r="G380" i="163"/>
  <c r="N380" i="163"/>
  <c r="F380" i="163"/>
  <c r="G412" i="163"/>
  <c r="N412" i="163"/>
  <c r="F412" i="163"/>
  <c r="G444" i="163"/>
  <c r="N444" i="163"/>
  <c r="F444" i="163"/>
  <c r="G476" i="163"/>
  <c r="N476" i="163"/>
  <c r="F476" i="163"/>
  <c r="F381" i="163"/>
  <c r="G413" i="163"/>
  <c r="N413" i="163"/>
  <c r="F413" i="163"/>
  <c r="G509" i="163"/>
  <c r="N509" i="163"/>
  <c r="F509" i="163"/>
  <c r="R49" i="163"/>
  <c r="Y49" i="163"/>
  <c r="Q49" i="163"/>
  <c r="R81" i="163"/>
  <c r="Y81" i="163"/>
  <c r="Q81" i="163"/>
  <c r="R113" i="163"/>
  <c r="Y113" i="163"/>
  <c r="Q113" i="163"/>
  <c r="R177" i="163"/>
  <c r="Y177" i="163"/>
  <c r="Q177" i="163"/>
  <c r="R241" i="163"/>
  <c r="Y241" i="163"/>
  <c r="R273" i="163"/>
  <c r="Y273" i="163"/>
  <c r="Q273" i="163"/>
  <c r="Y315" i="163"/>
  <c r="Q315" i="163"/>
  <c r="R315" i="163"/>
  <c r="R102" i="163"/>
  <c r="Y102" i="163"/>
  <c r="Q102" i="163"/>
  <c r="R134" i="163"/>
  <c r="Y134" i="163"/>
  <c r="Q134" i="163"/>
  <c r="R166" i="163"/>
  <c r="Y166" i="163"/>
  <c r="Q166" i="163"/>
  <c r="Y198" i="163"/>
  <c r="R262" i="163"/>
  <c r="Y262" i="163"/>
  <c r="Q262" i="163"/>
  <c r="R71" i="163"/>
  <c r="Y71" i="163"/>
  <c r="R135" i="163"/>
  <c r="Y135" i="163"/>
  <c r="Q135" i="163"/>
  <c r="R199" i="163"/>
  <c r="Y199" i="163"/>
  <c r="Q199" i="163"/>
  <c r="R231" i="163"/>
  <c r="Y231" i="163"/>
  <c r="Q231" i="163"/>
  <c r="R295" i="163"/>
  <c r="Y295" i="163"/>
  <c r="Q295" i="163"/>
  <c r="R92" i="163"/>
  <c r="Q92" i="163"/>
  <c r="R124" i="163"/>
  <c r="Y124" i="163"/>
  <c r="Q124" i="163"/>
  <c r="R220" i="163"/>
  <c r="Y220" i="163"/>
  <c r="Q220" i="163"/>
  <c r="R284" i="163"/>
  <c r="Y284" i="163"/>
  <c r="Q284" i="163"/>
  <c r="Y325" i="163"/>
  <c r="Q325" i="163"/>
  <c r="Y357" i="163"/>
  <c r="Q357" i="163"/>
  <c r="R389" i="163"/>
  <c r="Y421" i="163"/>
  <c r="R453" i="163"/>
  <c r="Y453" i="163"/>
  <c r="Q453" i="163"/>
  <c r="R485" i="163"/>
  <c r="Y378" i="163"/>
  <c r="R442" i="163"/>
  <c r="Y506" i="163"/>
  <c r="Q506" i="163"/>
  <c r="R383" i="163"/>
  <c r="Y383" i="163"/>
  <c r="Q383" i="163"/>
  <c r="R447" i="163"/>
  <c r="Y447" i="163"/>
  <c r="Q447" i="163"/>
  <c r="R479" i="163"/>
  <c r="Y479" i="163"/>
  <c r="Q479" i="163"/>
  <c r="R420" i="163"/>
  <c r="Y420" i="163"/>
  <c r="Q420" i="163"/>
  <c r="R484" i="163"/>
  <c r="Y484" i="163"/>
  <c r="Q484" i="163"/>
  <c r="R516" i="163"/>
  <c r="Y516" i="163"/>
  <c r="Q516" i="163"/>
  <c r="U11" i="184"/>
  <c r="U8" i="184"/>
  <c r="BX18" i="181"/>
  <c r="I21" i="157"/>
  <c r="BX17" i="180"/>
  <c r="CA18" i="159"/>
  <c r="BZ21" i="181"/>
  <c r="T18" i="104"/>
  <c r="V18" i="104"/>
  <c r="U18" i="104"/>
  <c r="Q18" i="104"/>
  <c r="BY20" i="179"/>
  <c r="BZ11" i="167"/>
  <c r="I18" i="155"/>
  <c r="BY13" i="178"/>
  <c r="CA15" i="167"/>
  <c r="V11" i="124"/>
  <c r="Q11" i="124"/>
  <c r="T11" i="124"/>
  <c r="U11" i="124"/>
  <c r="R11" i="124"/>
  <c r="BY14" i="181"/>
  <c r="BZ17" i="179"/>
  <c r="CA8" i="167"/>
  <c r="BX15" i="180"/>
  <c r="BX19" i="178"/>
  <c r="Q16" i="124"/>
  <c r="V16" i="124"/>
  <c r="T16" i="124"/>
  <c r="R16" i="124"/>
  <c r="U16" i="124"/>
  <c r="BY18" i="168"/>
  <c r="BX10" i="180"/>
  <c r="BX9" i="178"/>
  <c r="BZ7" i="168"/>
  <c r="BY23" i="180"/>
  <c r="V14" i="104"/>
  <c r="T14" i="104"/>
  <c r="U14" i="104"/>
  <c r="Q14" i="104"/>
  <c r="R14" i="104"/>
  <c r="BZ15" i="169"/>
  <c r="S11" i="184"/>
  <c r="J18" i="156"/>
  <c r="V15" i="124"/>
  <c r="Q15" i="124"/>
  <c r="T15" i="124"/>
  <c r="U15" i="124"/>
  <c r="R15" i="124"/>
  <c r="BY7" i="180"/>
  <c r="T22" i="104"/>
  <c r="BY20" i="169"/>
  <c r="R19" i="124"/>
  <c r="T13" i="123"/>
  <c r="S17" i="124"/>
  <c r="U9" i="123"/>
  <c r="CQ7" i="194"/>
  <c r="CQ18" i="194"/>
  <c r="J21" i="154"/>
  <c r="Q7" i="125"/>
  <c r="BY20" i="168"/>
  <c r="E40" i="118"/>
  <c r="V19" i="104"/>
  <c r="V12" i="124"/>
  <c r="Q12" i="124"/>
  <c r="V17" i="124"/>
  <c r="T11" i="104"/>
  <c r="BY11" i="169"/>
  <c r="U17" i="124"/>
  <c r="C8" i="198"/>
  <c r="B6" i="191" a="1"/>
  <c r="CA12" i="167"/>
  <c r="T6" i="124"/>
  <c r="T12" i="125"/>
  <c r="C14" i="198"/>
  <c r="BX16" i="179"/>
  <c r="Q21" i="125"/>
  <c r="U20" i="125"/>
  <c r="R9" i="124"/>
  <c r="F18" i="157"/>
  <c r="T10" i="124"/>
  <c r="T11" i="125"/>
  <c r="E29" i="184"/>
  <c r="V20" i="125"/>
  <c r="CQ17" i="194"/>
  <c r="V7" i="125"/>
  <c r="BY17" i="179"/>
  <c r="R12" i="125"/>
  <c r="E9" i="139"/>
  <c r="Q18" i="124"/>
  <c r="V11" i="125"/>
  <c r="R10" i="124"/>
  <c r="BY8" i="169"/>
  <c r="V8" i="123"/>
  <c r="BZ12" i="180"/>
  <c r="BZ13" i="180"/>
  <c r="R11" i="104"/>
  <c r="V19" i="125"/>
  <c r="CU18" i="194"/>
  <c r="V7" i="104"/>
  <c r="R20" i="104"/>
  <c r="BZ13" i="178"/>
  <c r="Q17" i="124"/>
  <c r="T23" i="184"/>
  <c r="BY21" i="169"/>
  <c r="U15" i="104"/>
  <c r="R15" i="104"/>
  <c r="V15" i="104"/>
  <c r="Q15" i="104"/>
  <c r="C9" i="198"/>
  <c r="V22" i="104"/>
  <c r="H18" i="155"/>
  <c r="CU12" i="194"/>
  <c r="Q8" i="124"/>
  <c r="BY21" i="168"/>
  <c r="T9" i="123"/>
  <c r="Q10" i="123"/>
  <c r="T17" i="125"/>
  <c r="K21" i="157"/>
  <c r="B24" i="189" a="1"/>
  <c r="BX21" i="179"/>
  <c r="U20" i="104"/>
  <c r="BZ13" i="168"/>
  <c r="R7" i="125"/>
  <c r="V13" i="125"/>
  <c r="BY16" i="168"/>
  <c r="Q11" i="104"/>
  <c r="CB20" i="159"/>
  <c r="R6" i="104"/>
  <c r="BZ8" i="167"/>
  <c r="R9" i="104"/>
  <c r="BY9" i="180"/>
  <c r="BZ21" i="169"/>
  <c r="T13" i="125"/>
  <c r="S10" i="123"/>
  <c r="G4" i="195"/>
  <c r="G14" i="195" s="1"/>
  <c r="R20" i="125"/>
  <c r="Q14" i="125"/>
  <c r="T9" i="124"/>
  <c r="V6" i="104"/>
  <c r="V10" i="124"/>
  <c r="U17" i="125"/>
  <c r="C18" i="198"/>
  <c r="U19" i="104"/>
  <c r="BY15" i="168"/>
  <c r="Q13" i="124"/>
  <c r="BZ16" i="168"/>
  <c r="G15" i="195"/>
  <c r="Q10" i="124"/>
  <c r="V13" i="124"/>
  <c r="H14" i="195"/>
  <c r="CB17" i="159"/>
  <c r="R22" i="104"/>
  <c r="Q8" i="104"/>
  <c r="V8" i="124"/>
  <c r="R9" i="123"/>
  <c r="R19" i="104"/>
  <c r="T19" i="125"/>
  <c r="BY6" i="180"/>
  <c r="BZ12" i="167"/>
  <c r="F18" i="154"/>
  <c r="BY19" i="169"/>
  <c r="C19" i="198"/>
  <c r="F21" i="154"/>
  <c r="B24" i="191" a="1"/>
  <c r="C10" i="198"/>
  <c r="Q14" i="124"/>
  <c r="CA11" i="167"/>
  <c r="BY10" i="180"/>
  <c r="BZ10" i="168"/>
  <c r="BY8" i="179"/>
  <c r="U14" i="125"/>
  <c r="T7" i="123"/>
  <c r="U12" i="125"/>
  <c r="V7" i="123"/>
  <c r="T10" i="125"/>
  <c r="Q13" i="123"/>
  <c r="BZ10" i="179"/>
  <c r="BZ12" i="181"/>
  <c r="C13" i="198"/>
  <c r="U19" i="125"/>
  <c r="U11" i="104"/>
  <c r="U10" i="125"/>
  <c r="BZ13" i="169"/>
  <c r="C7" i="198"/>
  <c r="T14" i="125"/>
  <c r="U10" i="124"/>
  <c r="BY7" i="181"/>
  <c r="T19" i="104"/>
  <c r="CU17" i="194"/>
  <c r="K21" i="155"/>
  <c r="Q10" i="125"/>
  <c r="V13" i="123"/>
  <c r="BZ16" i="167"/>
  <c r="V18" i="124"/>
  <c r="V10" i="104"/>
  <c r="BZ8" i="179"/>
  <c r="V11" i="104"/>
  <c r="BX21" i="180"/>
  <c r="BZ21" i="178"/>
  <c r="T6" i="104"/>
  <c r="CQ16" i="194"/>
  <c r="U7" i="125"/>
  <c r="C22" i="198"/>
  <c r="CA20" i="159"/>
  <c r="CA14" i="167"/>
  <c r="H21" i="157"/>
  <c r="BX20" i="180"/>
  <c r="R10" i="104"/>
  <c r="CQ9" i="194"/>
  <c r="C11" i="198"/>
  <c r="BX16" i="178"/>
  <c r="T17" i="124"/>
  <c r="CB18" i="159"/>
  <c r="BY18" i="181"/>
  <c r="T6" i="125"/>
  <c r="BZ17" i="168"/>
  <c r="BZ22" i="179"/>
  <c r="U15" i="123"/>
  <c r="BY12" i="168"/>
  <c r="U22" i="104"/>
  <c r="R8" i="104"/>
  <c r="V10" i="123"/>
  <c r="U8" i="124"/>
  <c r="BZ17" i="169"/>
  <c r="V9" i="123"/>
  <c r="R10" i="123"/>
  <c r="CQ20" i="194"/>
  <c r="Q12" i="125"/>
  <c r="CB6" i="159"/>
  <c r="R18" i="104"/>
  <c r="BX19" i="179"/>
  <c r="U6" i="125"/>
  <c r="CQ14" i="194"/>
  <c r="CQ10" i="194"/>
  <c r="CA7" i="167"/>
  <c r="CB13" i="159"/>
  <c r="U13" i="125"/>
  <c r="G18" i="154"/>
  <c r="C15" i="198"/>
  <c r="E29" i="118"/>
  <c r="BZ10" i="167"/>
  <c r="K18" i="157"/>
  <c r="C12" i="198"/>
  <c r="R14" i="124"/>
  <c r="BZ10" i="181"/>
  <c r="CQ19" i="194"/>
  <c r="R6" i="124"/>
  <c r="C17" i="198"/>
  <c r="I18" i="154"/>
  <c r="P20" i="184"/>
  <c r="M10" i="198"/>
  <c r="V20" i="104"/>
  <c r="BZ8" i="169"/>
  <c r="BY9" i="178"/>
  <c r="CV14" i="194"/>
  <c r="BZ9" i="168"/>
  <c r="R17" i="125"/>
  <c r="T12" i="124"/>
  <c r="Q7" i="104"/>
  <c r="CV16" i="194"/>
  <c r="V21" i="125"/>
  <c r="BX20" i="181"/>
  <c r="R10" i="125"/>
  <c r="BY16" i="178"/>
  <c r="R8" i="123"/>
  <c r="U10" i="123"/>
  <c r="U12" i="124"/>
  <c r="U10" i="104"/>
  <c r="T20" i="125"/>
  <c r="B6" i="189" a="1"/>
  <c r="T20" i="104"/>
  <c r="M9" i="198"/>
  <c r="CQ6" i="194"/>
  <c r="BY10" i="179"/>
  <c r="U13" i="124"/>
  <c r="Q6" i="125"/>
  <c r="R11" i="125"/>
  <c r="V14" i="125"/>
  <c r="S26" i="184"/>
  <c r="U14" i="124"/>
  <c r="C20" i="198"/>
  <c r="BY19" i="168"/>
  <c r="CB15" i="159"/>
  <c r="BX23" i="178"/>
  <c r="Q19" i="125"/>
  <c r="T20" i="184"/>
  <c r="H21" i="154"/>
  <c r="Q8" i="123"/>
  <c r="Q9" i="104"/>
  <c r="Q10" i="104"/>
  <c r="P32" i="184"/>
  <c r="T32" i="184" s="1"/>
  <c r="Q20" i="125"/>
  <c r="BX20" i="178"/>
  <c r="BZ14" i="168"/>
  <c r="CA21" i="159"/>
  <c r="BZ10" i="180"/>
  <c r="U9" i="124"/>
  <c r="BY22" i="179"/>
  <c r="U9" i="104"/>
  <c r="BY15" i="180"/>
  <c r="CQ8" i="194"/>
  <c r="BZ13" i="179"/>
  <c r="Q20" i="104"/>
  <c r="BY23" i="181"/>
  <c r="BY11" i="168"/>
  <c r="T8" i="123"/>
  <c r="I21" i="154"/>
  <c r="R21" i="125"/>
  <c r="BZ6" i="167"/>
  <c r="R13" i="125"/>
  <c r="Q7" i="123"/>
  <c r="V14" i="124"/>
  <c r="U6" i="104"/>
  <c r="V9" i="124"/>
  <c r="R17" i="124"/>
  <c r="P14" i="184"/>
  <c r="S14" i="184" s="1"/>
  <c r="R12" i="124"/>
  <c r="V17" i="125"/>
  <c r="T13" i="124"/>
  <c r="Q6" i="124"/>
  <c r="BY21" i="178"/>
  <c r="Q22" i="104"/>
  <c r="K21" i="154"/>
  <c r="C6" i="190"/>
  <c r="U7" i="123"/>
  <c r="BZ20" i="181"/>
  <c r="BZ8" i="178"/>
  <c r="BZ18" i="168"/>
  <c r="Q9" i="124"/>
  <c r="U11" i="125"/>
  <c r="CB16" i="159"/>
  <c r="CQ15" i="194"/>
  <c r="P17" i="184"/>
  <c r="BX12" i="180"/>
  <c r="BY8" i="168"/>
  <c r="V10" i="125"/>
  <c r="V11" i="184"/>
  <c r="T8" i="104"/>
  <c r="U13" i="123"/>
  <c r="T8" i="124"/>
  <c r="U8" i="123"/>
  <c r="Q9" i="123"/>
  <c r="T10" i="123"/>
  <c r="BZ9" i="169"/>
  <c r="Q6" i="104"/>
  <c r="BY9" i="169"/>
  <c r="T10" i="104"/>
  <c r="CA13" i="167"/>
  <c r="R18" i="124"/>
  <c r="Q11" i="125"/>
  <c r="BY15" i="169"/>
  <c r="BZ19" i="169"/>
  <c r="H18" i="154"/>
  <c r="R6" i="125"/>
  <c r="T21" i="125"/>
  <c r="CU14" i="194"/>
  <c r="Q17" i="125"/>
  <c r="P5" i="184"/>
  <c r="CV7" i="194"/>
  <c r="CQ11" i="194"/>
  <c r="U8" i="104"/>
  <c r="T18" i="124"/>
  <c r="BX8" i="180"/>
  <c r="J18" i="154"/>
  <c r="C16" i="198"/>
  <c r="C21" i="198"/>
  <c r="V6" i="125"/>
  <c r="M11" i="198"/>
  <c r="CA17" i="159"/>
  <c r="R13" i="124"/>
  <c r="BZ11" i="168"/>
  <c r="BX19" i="181"/>
  <c r="CQ13" i="194"/>
  <c r="CV13" i="194" s="1"/>
  <c r="U6" i="124"/>
  <c r="V6" i="124"/>
  <c r="BY6" i="169"/>
  <c r="BY19" i="178"/>
  <c r="T9" i="104"/>
  <c r="CV11" i="194"/>
  <c r="C4" i="195"/>
  <c r="S20" i="184"/>
  <c r="T15" i="104"/>
  <c r="BX7" i="181"/>
  <c r="V8" i="104"/>
  <c r="R8" i="124"/>
  <c r="T7" i="104"/>
  <c r="BY7" i="168"/>
  <c r="R7" i="123"/>
  <c r="R14" i="125"/>
  <c r="BZ13" i="167"/>
  <c r="T14" i="124"/>
  <c r="U21" i="125"/>
  <c r="O12" i="55"/>
  <c r="J21" i="156"/>
  <c r="K18" i="154"/>
  <c r="CB11" i="159"/>
  <c r="V8" i="184"/>
  <c r="CA8" i="159"/>
  <c r="BZ19" i="180"/>
  <c r="BY13" i="181"/>
  <c r="R19" i="125"/>
  <c r="U18" i="124"/>
  <c r="BZ20" i="167"/>
  <c r="G13" i="195"/>
  <c r="U7" i="104"/>
  <c r="S32" i="184"/>
  <c r="J18" i="157"/>
  <c r="P12" i="55"/>
  <c r="T26" i="184"/>
  <c r="Q13" i="125"/>
  <c r="CA9" i="159"/>
  <c r="V21" i="124"/>
  <c r="R21" i="124"/>
  <c r="Q21" i="124"/>
  <c r="T21" i="124"/>
  <c r="U21" i="124"/>
  <c r="CA14" i="159"/>
  <c r="R13" i="123"/>
  <c r="BZ21" i="167"/>
  <c r="Q19" i="104"/>
  <c r="V9" i="104"/>
  <c r="BZ11" i="178"/>
  <c r="R7" i="104"/>
  <c r="BZ21" i="168"/>
  <c r="CV6" i="194"/>
  <c r="T7" i="125"/>
  <c r="CU20" i="194"/>
  <c r="M14" i="198"/>
  <c r="CU9" i="194"/>
  <c r="CU19" i="194"/>
  <c r="CU6" i="194"/>
  <c r="DC6" i="194" a="1"/>
  <c r="CU15" i="194"/>
  <c r="CV15" i="194"/>
  <c r="S17" i="184"/>
  <c r="S5" i="184"/>
  <c r="T5" i="184"/>
  <c r="D14" i="195"/>
  <c r="C13" i="195"/>
  <c r="C14" i="195"/>
  <c r="CE16" i="168" l="1"/>
  <c r="CF14" i="167"/>
  <c r="K22" i="155"/>
  <c r="CG17" i="159"/>
  <c r="U23" i="184"/>
  <c r="CE15" i="169"/>
  <c r="CE7" i="168"/>
  <c r="CF8" i="167"/>
  <c r="CF15" i="167"/>
  <c r="I22" i="157"/>
  <c r="F62" i="170"/>
  <c r="G62" i="170"/>
  <c r="F446" i="170"/>
  <c r="G446" i="170"/>
  <c r="G493" i="170"/>
  <c r="N493" i="170"/>
  <c r="G304" i="170"/>
  <c r="N304" i="170"/>
  <c r="F304" i="170"/>
  <c r="G286" i="170"/>
  <c r="F286" i="170"/>
  <c r="G476" i="170"/>
  <c r="N476" i="170"/>
  <c r="F476" i="170"/>
  <c r="F291" i="170"/>
  <c r="G291" i="170"/>
  <c r="N291" i="170"/>
  <c r="F513" i="170"/>
  <c r="G513" i="170"/>
  <c r="N317" i="170"/>
  <c r="G317" i="170"/>
  <c r="G279" i="170"/>
  <c r="F279" i="170"/>
  <c r="F129" i="170"/>
  <c r="G129" i="170"/>
  <c r="G278" i="170"/>
  <c r="N278" i="170"/>
  <c r="F278" i="170"/>
  <c r="G318" i="170"/>
  <c r="F318" i="170"/>
  <c r="R218" i="163"/>
  <c r="Y218" i="163"/>
  <c r="Q218" i="163"/>
  <c r="Y319" i="163"/>
  <c r="Q319" i="163"/>
  <c r="R319" i="163"/>
  <c r="Y185" i="163"/>
  <c r="Q185" i="163"/>
  <c r="R228" i="163"/>
  <c r="Y228" i="163"/>
  <c r="Q228" i="163"/>
  <c r="R101" i="163"/>
  <c r="Y101" i="163"/>
  <c r="R59" i="163"/>
  <c r="Y59" i="163"/>
  <c r="R344" i="163"/>
  <c r="Y344" i="163"/>
  <c r="Y34" i="163"/>
  <c r="Q34" i="163"/>
  <c r="R205" i="163"/>
  <c r="Y205" i="163"/>
  <c r="Q205" i="163"/>
  <c r="Y290" i="163"/>
  <c r="Q290" i="163"/>
  <c r="R163" i="163"/>
  <c r="Y163" i="163"/>
  <c r="Y438" i="163"/>
  <c r="Q438" i="163"/>
  <c r="N120" i="171"/>
  <c r="F120" i="171"/>
  <c r="G252" i="171"/>
  <c r="N252" i="171"/>
  <c r="F252" i="171"/>
  <c r="G468" i="171"/>
  <c r="N468" i="171"/>
  <c r="F390" i="171"/>
  <c r="G390" i="171"/>
  <c r="N246" i="171"/>
  <c r="G246" i="171"/>
  <c r="F246" i="171"/>
  <c r="N36" i="171"/>
  <c r="F36" i="171"/>
  <c r="N156" i="171"/>
  <c r="G156" i="171"/>
  <c r="G41" i="171"/>
  <c r="F41" i="171"/>
  <c r="G231" i="171"/>
  <c r="F231" i="171"/>
  <c r="N231" i="171"/>
  <c r="F424" i="171"/>
  <c r="G424" i="171"/>
  <c r="N424" i="171"/>
  <c r="Q421" i="170"/>
  <c r="R421" i="170"/>
  <c r="G61" i="163"/>
  <c r="N61" i="163"/>
  <c r="F61" i="163"/>
  <c r="G497" i="163"/>
  <c r="N497" i="163"/>
  <c r="F497" i="163"/>
  <c r="N232" i="163"/>
  <c r="F232" i="163"/>
  <c r="G232" i="163"/>
  <c r="F262" i="163"/>
  <c r="G262" i="163"/>
  <c r="F338" i="163"/>
  <c r="G338" i="163"/>
  <c r="G247" i="163"/>
  <c r="N247" i="163"/>
  <c r="F247" i="163"/>
  <c r="G357" i="163"/>
  <c r="F357" i="163"/>
  <c r="N52" i="163"/>
  <c r="F52" i="163"/>
  <c r="F133" i="163"/>
  <c r="N133" i="163"/>
  <c r="G35" i="163"/>
  <c r="F35" i="163"/>
  <c r="N92" i="163"/>
  <c r="G92" i="163"/>
  <c r="F395" i="163"/>
  <c r="G395" i="163"/>
  <c r="F436" i="163"/>
  <c r="G436" i="163"/>
  <c r="Q421" i="163"/>
  <c r="F431" i="163"/>
  <c r="G459" i="171"/>
  <c r="N317" i="171"/>
  <c r="F128" i="171"/>
  <c r="Q344" i="163"/>
  <c r="Q154" i="163"/>
  <c r="G189" i="163"/>
  <c r="F70" i="171"/>
  <c r="F367" i="174"/>
  <c r="R428" i="163"/>
  <c r="Y143" i="163"/>
  <c r="N357" i="163"/>
  <c r="G209" i="163"/>
  <c r="F468" i="171"/>
  <c r="Y448" i="163"/>
  <c r="Q248" i="163"/>
  <c r="R290" i="163"/>
  <c r="N395" i="163"/>
  <c r="N356" i="170"/>
  <c r="F374" i="170"/>
  <c r="N374" i="170"/>
  <c r="R113" i="174"/>
  <c r="Q113" i="174"/>
  <c r="R432" i="174"/>
  <c r="Q432" i="174"/>
  <c r="Y462" i="174"/>
  <c r="Q462" i="174"/>
  <c r="Y194" i="174"/>
  <c r="R194" i="174"/>
  <c r="Y116" i="174"/>
  <c r="R116" i="174"/>
  <c r="Q116" i="174"/>
  <c r="Q81" i="174"/>
  <c r="R81" i="174"/>
  <c r="Y81" i="174"/>
  <c r="Y146" i="174"/>
  <c r="R146" i="174"/>
  <c r="Y107" i="174"/>
  <c r="R107" i="174"/>
  <c r="Q436" i="174"/>
  <c r="R436" i="174"/>
  <c r="Y436" i="174"/>
  <c r="R52" i="174"/>
  <c r="Y52" i="174"/>
  <c r="Q52" i="174"/>
  <c r="Q364" i="174"/>
  <c r="Y364" i="174"/>
  <c r="Y87" i="174"/>
  <c r="R87" i="174"/>
  <c r="Y214" i="174"/>
  <c r="R214" i="174"/>
  <c r="Y488" i="174"/>
  <c r="Q488" i="174"/>
  <c r="Q397" i="174"/>
  <c r="R397" i="174"/>
  <c r="Q363" i="174"/>
  <c r="Y363" i="174"/>
  <c r="R472" i="174"/>
  <c r="Y472" i="174"/>
  <c r="Q472" i="174"/>
  <c r="Y515" i="174"/>
  <c r="Q515" i="174"/>
  <c r="Y396" i="163"/>
  <c r="R396" i="163"/>
  <c r="Y92" i="171"/>
  <c r="R92" i="171"/>
  <c r="R178" i="171"/>
  <c r="Q178" i="171"/>
  <c r="R427" i="170"/>
  <c r="Y427" i="170"/>
  <c r="R232" i="170"/>
  <c r="Y232" i="170"/>
  <c r="G27" i="174"/>
  <c r="N27" i="174"/>
  <c r="F446" i="174"/>
  <c r="G446" i="174"/>
  <c r="F215" i="174"/>
  <c r="G215" i="174"/>
  <c r="F287" i="174"/>
  <c r="G287" i="174"/>
  <c r="N134" i="163"/>
  <c r="F134" i="163"/>
  <c r="F486" i="163"/>
  <c r="N486" i="163"/>
  <c r="G212" i="163"/>
  <c r="N212" i="163"/>
  <c r="F113" i="163"/>
  <c r="G113" i="163"/>
  <c r="N113" i="163"/>
  <c r="G465" i="163"/>
  <c r="F465" i="163"/>
  <c r="G442" i="163"/>
  <c r="N442" i="163"/>
  <c r="F442" i="163"/>
  <c r="F141" i="163"/>
  <c r="G141" i="163"/>
  <c r="N141" i="163"/>
  <c r="G354" i="163"/>
  <c r="N354" i="163"/>
  <c r="G403" i="163"/>
  <c r="F403" i="163"/>
  <c r="G130" i="163"/>
  <c r="N130" i="163"/>
  <c r="R346" i="163"/>
  <c r="Q156" i="163"/>
  <c r="Y248" i="163"/>
  <c r="Q163" i="163"/>
  <c r="Q346" i="163"/>
  <c r="Y156" i="163"/>
  <c r="Q60" i="163"/>
  <c r="N478" i="163"/>
  <c r="N429" i="170"/>
  <c r="F392" i="170"/>
  <c r="F96" i="171"/>
  <c r="Q133" i="163"/>
  <c r="N262" i="163"/>
  <c r="N500" i="170"/>
  <c r="F336" i="171"/>
  <c r="G36" i="171"/>
  <c r="R260" i="163"/>
  <c r="F447" i="170"/>
  <c r="G404" i="171"/>
  <c r="N183" i="171"/>
  <c r="N154" i="171"/>
  <c r="N104" i="171"/>
  <c r="G260" i="170"/>
  <c r="G174" i="171"/>
  <c r="F156" i="171"/>
  <c r="F487" i="170"/>
  <c r="G105" i="170"/>
  <c r="N339" i="170"/>
  <c r="F396" i="170"/>
  <c r="G389" i="170"/>
  <c r="G19" i="170"/>
  <c r="G283" i="170"/>
  <c r="R108" i="174"/>
  <c r="Y108" i="174"/>
  <c r="Q108" i="174"/>
  <c r="R264" i="163"/>
  <c r="Q264" i="163"/>
  <c r="Y464" i="163"/>
  <c r="Q464" i="163"/>
  <c r="R371" i="163"/>
  <c r="Y371" i="163"/>
  <c r="Q371" i="163"/>
  <c r="R207" i="163"/>
  <c r="Y207" i="163"/>
  <c r="Q207" i="163"/>
  <c r="R492" i="163"/>
  <c r="Y492" i="163"/>
  <c r="Y165" i="163"/>
  <c r="Q165" i="163"/>
  <c r="Y123" i="163"/>
  <c r="Q123" i="163"/>
  <c r="R37" i="163"/>
  <c r="Y37" i="163"/>
  <c r="Y408" i="163"/>
  <c r="Q408" i="163"/>
  <c r="R82" i="163"/>
  <c r="Q82" i="163"/>
  <c r="Q369" i="163"/>
  <c r="Y369" i="163"/>
  <c r="R280" i="163"/>
  <c r="Y280" i="163"/>
  <c r="Q280" i="163"/>
  <c r="Y347" i="163"/>
  <c r="Q347" i="163"/>
  <c r="R161" i="163"/>
  <c r="Q161" i="163"/>
  <c r="R246" i="163"/>
  <c r="Y246" i="163"/>
  <c r="Y119" i="163"/>
  <c r="R119" i="163"/>
  <c r="Q119" i="163"/>
  <c r="F144" i="171"/>
  <c r="G144" i="171"/>
  <c r="N77" i="171"/>
  <c r="F77" i="171"/>
  <c r="G198" i="171"/>
  <c r="N198" i="171"/>
  <c r="G448" i="171"/>
  <c r="N448" i="171"/>
  <c r="N482" i="171"/>
  <c r="F482" i="171"/>
  <c r="G482" i="171"/>
  <c r="G502" i="171"/>
  <c r="N502" i="171"/>
  <c r="G230" i="171"/>
  <c r="F230" i="171"/>
  <c r="G84" i="171"/>
  <c r="N84" i="171"/>
  <c r="F84" i="171"/>
  <c r="G22" i="171"/>
  <c r="N22" i="171"/>
  <c r="N374" i="171"/>
  <c r="F374" i="171"/>
  <c r="N467" i="171"/>
  <c r="F467" i="171"/>
  <c r="G467" i="171"/>
  <c r="G160" i="171"/>
  <c r="N160" i="171"/>
  <c r="F160" i="171"/>
  <c r="N240" i="171"/>
  <c r="F240" i="171"/>
  <c r="G181" i="171"/>
  <c r="N181" i="171"/>
  <c r="F181" i="171"/>
  <c r="G20" i="171"/>
  <c r="N20" i="171"/>
  <c r="N353" i="171"/>
  <c r="F353" i="171"/>
  <c r="N188" i="171"/>
  <c r="F188" i="171"/>
  <c r="N73" i="171"/>
  <c r="G73" i="171"/>
  <c r="F202" i="171"/>
  <c r="N202" i="171"/>
  <c r="G71" i="171"/>
  <c r="N71" i="171"/>
  <c r="F71" i="171"/>
  <c r="G335" i="171"/>
  <c r="F335" i="171"/>
  <c r="N335" i="171"/>
  <c r="F463" i="171"/>
  <c r="N463" i="171"/>
  <c r="G98" i="171"/>
  <c r="N98" i="171"/>
  <c r="F98" i="171"/>
  <c r="F429" i="171"/>
  <c r="G429" i="171"/>
  <c r="Y513" i="171"/>
  <c r="Q513" i="171"/>
  <c r="Y80" i="171"/>
  <c r="Q80" i="171"/>
  <c r="Y147" i="171"/>
  <c r="Q147" i="171"/>
  <c r="R36" i="171"/>
  <c r="Y36" i="171"/>
  <c r="R127" i="171"/>
  <c r="Y127" i="171"/>
  <c r="R423" i="171"/>
  <c r="Y423" i="171"/>
  <c r="R110" i="171"/>
  <c r="Y110" i="171"/>
  <c r="Q110" i="171"/>
  <c r="Y366" i="171"/>
  <c r="Q366" i="171"/>
  <c r="R151" i="171"/>
  <c r="Y151" i="171"/>
  <c r="Q230" i="171"/>
  <c r="Y230" i="171"/>
  <c r="R230" i="171"/>
  <c r="Y480" i="171"/>
  <c r="Q480" i="171"/>
  <c r="Q105" i="171"/>
  <c r="R105" i="171"/>
  <c r="Y345" i="171"/>
  <c r="Q345" i="171"/>
  <c r="R345" i="171"/>
  <c r="R406" i="171"/>
  <c r="Y406" i="171"/>
  <c r="Q406" i="171"/>
  <c r="Y76" i="170"/>
  <c r="Q76" i="170"/>
  <c r="R205" i="170"/>
  <c r="Y205" i="170"/>
  <c r="Q205" i="170"/>
  <c r="R77" i="170"/>
  <c r="Y77" i="170"/>
  <c r="Q77" i="170"/>
  <c r="Y132" i="170"/>
  <c r="Q132" i="170"/>
  <c r="Q316" i="170"/>
  <c r="R316" i="170"/>
  <c r="R325" i="170"/>
  <c r="Y325" i="170"/>
  <c r="Y183" i="170"/>
  <c r="Q183" i="170"/>
  <c r="R139" i="170"/>
  <c r="Y139" i="170"/>
  <c r="R258" i="170"/>
  <c r="Y258" i="170"/>
  <c r="Q258" i="170"/>
  <c r="R119" i="170"/>
  <c r="Y119" i="170"/>
  <c r="Y440" i="170"/>
  <c r="Q440" i="170"/>
  <c r="R218" i="170"/>
  <c r="Y218" i="170"/>
  <c r="Q218" i="170"/>
  <c r="Y177" i="170"/>
  <c r="Q177" i="170"/>
  <c r="R508" i="170"/>
  <c r="Y508" i="170"/>
  <c r="Y148" i="170"/>
  <c r="R148" i="170"/>
  <c r="R327" i="170"/>
  <c r="Y327" i="170"/>
  <c r="Q327" i="170"/>
  <c r="R362" i="170"/>
  <c r="Y362" i="170"/>
  <c r="Y303" i="170"/>
  <c r="Q303" i="170"/>
  <c r="Y204" i="170"/>
  <c r="Q204" i="170"/>
  <c r="R342" i="170"/>
  <c r="Y342" i="170"/>
  <c r="R491" i="170"/>
  <c r="Y491" i="170"/>
  <c r="Q491" i="170"/>
  <c r="N115" i="174"/>
  <c r="F115" i="174"/>
  <c r="G115" i="174"/>
  <c r="N289" i="174"/>
  <c r="F289" i="174"/>
  <c r="F233" i="174"/>
  <c r="G233" i="174"/>
  <c r="G379" i="174"/>
  <c r="N379" i="174"/>
  <c r="N76" i="174"/>
  <c r="F76" i="174"/>
  <c r="N413" i="174"/>
  <c r="F413" i="174"/>
  <c r="G413" i="174"/>
  <c r="G78" i="174"/>
  <c r="N78" i="174"/>
  <c r="F78" i="174"/>
  <c r="G336" i="174"/>
  <c r="N336" i="174"/>
  <c r="N92" i="174"/>
  <c r="F92" i="174"/>
  <c r="G92" i="174"/>
  <c r="N396" i="174"/>
  <c r="F396" i="174"/>
  <c r="N255" i="174"/>
  <c r="F255" i="174"/>
  <c r="G386" i="174"/>
  <c r="N386" i="174"/>
  <c r="F386" i="174"/>
  <c r="F41" i="174"/>
  <c r="G41" i="174"/>
  <c r="F140" i="174"/>
  <c r="G140" i="174"/>
  <c r="N412" i="174"/>
  <c r="F412" i="174"/>
  <c r="G412" i="174"/>
  <c r="G479" i="174"/>
  <c r="N479" i="174"/>
  <c r="G71" i="174"/>
  <c r="N71" i="174"/>
  <c r="F71" i="174"/>
  <c r="G280" i="174"/>
  <c r="N280" i="174"/>
  <c r="N395" i="174"/>
  <c r="F395" i="174"/>
  <c r="F167" i="174"/>
  <c r="G167" i="174"/>
  <c r="F389" i="174"/>
  <c r="G389" i="174"/>
  <c r="G419" i="163"/>
  <c r="N419" i="163"/>
  <c r="Q59" i="163"/>
  <c r="Y154" i="163"/>
  <c r="F500" i="170"/>
  <c r="G380" i="170"/>
  <c r="Y260" i="163"/>
  <c r="Q389" i="163"/>
  <c r="Y60" i="163"/>
  <c r="G349" i="163"/>
  <c r="G429" i="170"/>
  <c r="N392" i="170"/>
  <c r="R267" i="170"/>
  <c r="N96" i="171"/>
  <c r="R133" i="163"/>
  <c r="N338" i="163"/>
  <c r="N336" i="171"/>
  <c r="Q386" i="163"/>
  <c r="N447" i="170"/>
  <c r="F117" i="171"/>
  <c r="G104" i="171"/>
  <c r="R438" i="163"/>
  <c r="G133" i="163"/>
  <c r="N41" i="171"/>
  <c r="G344" i="170"/>
  <c r="N344" i="170"/>
  <c r="N426" i="170"/>
  <c r="F426" i="170"/>
  <c r="F436" i="170"/>
  <c r="G436" i="170"/>
  <c r="G289" i="170"/>
  <c r="N289" i="170"/>
  <c r="F289" i="170"/>
  <c r="N255" i="170"/>
  <c r="F255" i="170"/>
  <c r="N428" i="170"/>
  <c r="F428" i="170"/>
  <c r="G138" i="170"/>
  <c r="N138" i="170"/>
  <c r="G109" i="170"/>
  <c r="N109" i="170"/>
  <c r="F109" i="170"/>
  <c r="G176" i="170"/>
  <c r="N176" i="170"/>
  <c r="F435" i="170"/>
  <c r="G435" i="170"/>
  <c r="N299" i="170"/>
  <c r="F299" i="170"/>
  <c r="G298" i="170"/>
  <c r="N298" i="170"/>
  <c r="G452" i="170"/>
  <c r="N452" i="170"/>
  <c r="N33" i="170"/>
  <c r="F33" i="170"/>
  <c r="G217" i="170"/>
  <c r="N217" i="170"/>
  <c r="F217" i="170"/>
  <c r="G510" i="170"/>
  <c r="N510" i="170"/>
  <c r="G139" i="170"/>
  <c r="N139" i="170"/>
  <c r="F139" i="170"/>
  <c r="R477" i="174"/>
  <c r="Y477" i="174"/>
  <c r="R68" i="163"/>
  <c r="Q68" i="163"/>
  <c r="Q302" i="163"/>
  <c r="R302" i="163"/>
  <c r="R176" i="163"/>
  <c r="Y176" i="163"/>
  <c r="Q176" i="163"/>
  <c r="Y334" i="163"/>
  <c r="Q334" i="163"/>
  <c r="R334" i="163"/>
  <c r="Q291" i="163"/>
  <c r="Y291" i="163"/>
  <c r="Q443" i="163"/>
  <c r="R443" i="163"/>
  <c r="Q257" i="163"/>
  <c r="R257" i="163"/>
  <c r="Y257" i="163"/>
  <c r="N486" i="171"/>
  <c r="F486" i="171"/>
  <c r="N507" i="171"/>
  <c r="G507" i="171"/>
  <c r="G362" i="171"/>
  <c r="N362" i="171"/>
  <c r="F362" i="171"/>
  <c r="G47" i="171"/>
  <c r="N47" i="171"/>
  <c r="F47" i="171"/>
  <c r="G504" i="171"/>
  <c r="F504" i="171"/>
  <c r="G166" i="171"/>
  <c r="F166" i="171"/>
  <c r="G88" i="171"/>
  <c r="N88" i="171"/>
  <c r="N426" i="171"/>
  <c r="F426" i="171"/>
  <c r="F171" i="171"/>
  <c r="G171" i="171"/>
  <c r="N171" i="171"/>
  <c r="Y272" i="170"/>
  <c r="R272" i="170"/>
  <c r="G265" i="163"/>
  <c r="Y212" i="170"/>
  <c r="Q367" i="170"/>
  <c r="N390" i="171"/>
  <c r="Y505" i="163"/>
  <c r="Q155" i="163"/>
  <c r="Q101" i="163"/>
  <c r="F493" i="170"/>
  <c r="G246" i="170"/>
  <c r="Q327" i="163"/>
  <c r="Y386" i="163"/>
  <c r="Y302" i="163"/>
  <c r="R185" i="163"/>
  <c r="F223" i="171"/>
  <c r="G117" i="171"/>
  <c r="G346" i="163"/>
  <c r="N35" i="163"/>
  <c r="N446" i="170"/>
  <c r="G397" i="163"/>
  <c r="G312" i="170"/>
  <c r="N24" i="170"/>
  <c r="G199" i="170"/>
  <c r="F352" i="170"/>
  <c r="G366" i="170"/>
  <c r="G90" i="170"/>
  <c r="CE19" i="169"/>
  <c r="CF7" i="167"/>
  <c r="CE17" i="169"/>
  <c r="K22" i="154"/>
  <c r="H22" i="157"/>
  <c r="CG11" i="159"/>
  <c r="H22" i="154"/>
  <c r="F141" i="170"/>
  <c r="N141" i="170"/>
  <c r="F242" i="170"/>
  <c r="N242" i="170"/>
  <c r="N292" i="170"/>
  <c r="F292" i="170"/>
  <c r="G292" i="170"/>
  <c r="N201" i="170"/>
  <c r="F201" i="170"/>
  <c r="R209" i="174"/>
  <c r="Y209" i="174"/>
  <c r="Q209" i="174"/>
  <c r="R271" i="174"/>
  <c r="Y271" i="174"/>
  <c r="Q271" i="174"/>
  <c r="Y374" i="174"/>
  <c r="Q374" i="174"/>
  <c r="R374" i="174"/>
  <c r="Y380" i="174"/>
  <c r="R310" i="174"/>
  <c r="F518" i="170"/>
  <c r="G141" i="170"/>
  <c r="G201" i="170"/>
  <c r="R380" i="174"/>
  <c r="N518" i="170"/>
  <c r="Y153" i="174"/>
  <c r="F341" i="170"/>
  <c r="G341" i="170"/>
  <c r="G86" i="170"/>
  <c r="N86" i="170"/>
  <c r="G29" i="170"/>
  <c r="F29" i="170"/>
  <c r="G321" i="170"/>
  <c r="F321" i="170"/>
  <c r="G474" i="170"/>
  <c r="N474" i="170"/>
  <c r="F474" i="170"/>
  <c r="Q302" i="174"/>
  <c r="R302" i="174"/>
  <c r="Y302" i="174"/>
  <c r="Q47" i="174"/>
  <c r="R47" i="174"/>
  <c r="Y47" i="174"/>
  <c r="Q492" i="174"/>
  <c r="Y492" i="174"/>
  <c r="Q449" i="174"/>
  <c r="R449" i="174"/>
  <c r="Q285" i="174"/>
  <c r="R285" i="174"/>
  <c r="R259" i="174"/>
  <c r="Y259" i="174"/>
  <c r="Q259" i="174"/>
  <c r="F418" i="170"/>
  <c r="Q273" i="174"/>
  <c r="N29" i="170"/>
  <c r="F335" i="170"/>
  <c r="N418" i="170"/>
  <c r="F269" i="170"/>
  <c r="G459" i="170"/>
  <c r="G242" i="170"/>
  <c r="R273" i="174"/>
  <c r="G496" i="163"/>
  <c r="F496" i="163"/>
  <c r="F224" i="163"/>
  <c r="N224" i="163"/>
  <c r="N406" i="170"/>
  <c r="F406" i="170"/>
  <c r="G232" i="170"/>
  <c r="N232" i="170"/>
  <c r="N88" i="170"/>
  <c r="G88" i="170"/>
  <c r="Q198" i="174"/>
  <c r="R198" i="174"/>
  <c r="Y198" i="174"/>
  <c r="Y80" i="174"/>
  <c r="Q80" i="174"/>
  <c r="Y326" i="174"/>
  <c r="R326" i="174"/>
  <c r="Y504" i="174"/>
  <c r="Q504" i="174"/>
  <c r="Q89" i="174"/>
  <c r="R89" i="174"/>
  <c r="R349" i="174"/>
  <c r="Y349" i="174"/>
  <c r="Q349" i="174"/>
  <c r="Y123" i="174"/>
  <c r="Q123" i="174"/>
  <c r="R67" i="174"/>
  <c r="Y67" i="174"/>
  <c r="Y92" i="174"/>
  <c r="R92" i="174"/>
  <c r="R160" i="174"/>
  <c r="Y160" i="174"/>
  <c r="Q160" i="174"/>
  <c r="R334" i="174"/>
  <c r="Y334" i="174"/>
  <c r="Q334" i="174"/>
  <c r="R25" i="174"/>
  <c r="Y25" i="174"/>
  <c r="Y113" i="174"/>
  <c r="G374" i="170"/>
  <c r="N341" i="170"/>
  <c r="N335" i="170"/>
  <c r="G269" i="170"/>
  <c r="Q310" i="174"/>
  <c r="N459" i="170"/>
  <c r="N321" i="170"/>
  <c r="Y449" i="174"/>
  <c r="Q312" i="174"/>
  <c r="R312" i="174"/>
  <c r="R383" i="174"/>
  <c r="Y383" i="174"/>
  <c r="Y241" i="174"/>
  <c r="Q241" i="174"/>
  <c r="Y239" i="174"/>
  <c r="Q239" i="174"/>
  <c r="Q29" i="174"/>
  <c r="R29" i="174"/>
  <c r="Y316" i="174"/>
  <c r="Q316" i="174"/>
  <c r="Y466" i="174"/>
  <c r="Q466" i="174"/>
  <c r="Y41" i="174"/>
  <c r="R41" i="174"/>
  <c r="Q215" i="174"/>
  <c r="R215" i="174"/>
  <c r="R293" i="174"/>
  <c r="Y293" i="174"/>
  <c r="R469" i="174"/>
  <c r="Y469" i="174"/>
  <c r="Y394" i="174"/>
  <c r="Q394" i="174"/>
  <c r="Y161" i="171"/>
  <c r="Q161" i="171"/>
  <c r="Q440" i="171"/>
  <c r="R440" i="171"/>
  <c r="Y388" i="170"/>
  <c r="R388" i="170"/>
  <c r="Y228" i="170"/>
  <c r="Q228" i="170"/>
  <c r="N480" i="174"/>
  <c r="G480" i="174"/>
  <c r="H13" i="117"/>
  <c r="Y12" i="54" s="1"/>
  <c r="R198" i="163"/>
  <c r="R308" i="170"/>
  <c r="R497" i="171"/>
  <c r="Y145" i="171"/>
  <c r="G460" i="171"/>
  <c r="R463" i="174"/>
  <c r="R268" i="174"/>
  <c r="G470" i="174"/>
  <c r="F296" i="174"/>
  <c r="G213" i="174"/>
  <c r="R409" i="163"/>
  <c r="Q48" i="163"/>
  <c r="R122" i="163"/>
  <c r="R506" i="170"/>
  <c r="R242" i="170"/>
  <c r="Y360" i="170"/>
  <c r="Y70" i="170"/>
  <c r="R50" i="171"/>
  <c r="G403" i="174"/>
  <c r="R332" i="163"/>
  <c r="R493" i="163"/>
  <c r="R132" i="163"/>
  <c r="R419" i="170"/>
  <c r="R476" i="171"/>
  <c r="R311" i="171"/>
  <c r="Q76" i="174"/>
  <c r="F508" i="174"/>
  <c r="F329" i="170"/>
  <c r="G196" i="170"/>
  <c r="R514" i="170"/>
  <c r="R357" i="174"/>
  <c r="R328" i="174"/>
  <c r="N285" i="174"/>
  <c r="G102" i="174"/>
  <c r="G288" i="174"/>
  <c r="Y55" i="163"/>
  <c r="Y23" i="163"/>
  <c r="Y463" i="170"/>
  <c r="Q125" i="170"/>
  <c r="F347" i="171"/>
  <c r="R364" i="174"/>
  <c r="Q97" i="174"/>
  <c r="Q41" i="174"/>
  <c r="G390" i="174"/>
  <c r="Y344" i="170"/>
  <c r="Y315" i="170"/>
  <c r="R130" i="171"/>
  <c r="R126" i="174"/>
  <c r="G239" i="174"/>
  <c r="Y83" i="174"/>
  <c r="Q159" i="163"/>
  <c r="F249" i="171"/>
  <c r="R434" i="174"/>
  <c r="R322" i="174"/>
  <c r="G358" i="170"/>
  <c r="N358" i="170"/>
  <c r="F358" i="170"/>
  <c r="F125" i="170"/>
  <c r="G125" i="170"/>
  <c r="N125" i="170"/>
  <c r="F48" i="170"/>
  <c r="G48" i="170"/>
  <c r="G179" i="170"/>
  <c r="F179" i="170"/>
  <c r="F37" i="170"/>
  <c r="G37" i="170"/>
  <c r="N37" i="170"/>
  <c r="G516" i="170"/>
  <c r="F516" i="170"/>
  <c r="Y432" i="174"/>
  <c r="R488" i="174"/>
  <c r="R307" i="174"/>
  <c r="Y307" i="174"/>
  <c r="Y358" i="163"/>
  <c r="Q358" i="163"/>
  <c r="Y498" i="163"/>
  <c r="Q498" i="163"/>
  <c r="R498" i="163"/>
  <c r="Q182" i="163"/>
  <c r="R182" i="163"/>
  <c r="N94" i="171"/>
  <c r="G94" i="171"/>
  <c r="Y469" i="171"/>
  <c r="Q469" i="171"/>
  <c r="Q350" i="171"/>
  <c r="Y350" i="171"/>
  <c r="Y75" i="171"/>
  <c r="Q75" i="171"/>
  <c r="Q193" i="171"/>
  <c r="R193" i="171"/>
  <c r="R87" i="171"/>
  <c r="Y87" i="171"/>
  <c r="Q87" i="171"/>
  <c r="R180" i="170"/>
  <c r="Q180" i="170"/>
  <c r="Q442" i="163"/>
  <c r="Q317" i="170"/>
  <c r="Y57" i="170"/>
  <c r="Q446" i="171"/>
  <c r="Q190" i="171"/>
  <c r="Y293" i="171"/>
  <c r="F499" i="171"/>
  <c r="F267" i="171"/>
  <c r="Q218" i="174"/>
  <c r="G457" i="174"/>
  <c r="F301" i="174"/>
  <c r="Q283" i="163"/>
  <c r="Y26" i="163"/>
  <c r="Q123" i="170"/>
  <c r="Y471" i="171"/>
  <c r="Q238" i="171"/>
  <c r="Y133" i="171"/>
  <c r="Q155" i="171"/>
  <c r="Q288" i="171"/>
  <c r="Y364" i="163"/>
  <c r="Y164" i="163"/>
  <c r="Y206" i="163"/>
  <c r="Q35" i="163"/>
  <c r="Y121" i="163"/>
  <c r="Q143" i="170"/>
  <c r="Y100" i="170"/>
  <c r="Y61" i="170"/>
  <c r="Q395" i="171"/>
  <c r="Q258" i="171"/>
  <c r="F292" i="171"/>
  <c r="G149" i="171"/>
  <c r="R462" i="174"/>
  <c r="Y369" i="174"/>
  <c r="Q318" i="174"/>
  <c r="Q416" i="163"/>
  <c r="Y131" i="163"/>
  <c r="R457" i="170"/>
  <c r="Q131" i="170"/>
  <c r="Q400" i="171"/>
  <c r="Y186" i="171"/>
  <c r="Q152" i="171"/>
  <c r="N510" i="171"/>
  <c r="R485" i="174"/>
  <c r="R491" i="174"/>
  <c r="Y319" i="174"/>
  <c r="R309" i="174"/>
  <c r="N327" i="174"/>
  <c r="F164" i="174"/>
  <c r="G65" i="174"/>
  <c r="Q506" i="174"/>
  <c r="Q469" i="163"/>
  <c r="Q311" i="163"/>
  <c r="R398" i="171"/>
  <c r="R78" i="171"/>
  <c r="Q336" i="171"/>
  <c r="Q294" i="174"/>
  <c r="Q414" i="163"/>
  <c r="Q139" i="163"/>
  <c r="Y96" i="170"/>
  <c r="F214" i="171"/>
  <c r="Y117" i="174"/>
  <c r="G408" i="174"/>
  <c r="Q63" i="171"/>
  <c r="Y375" i="163"/>
  <c r="Y52" i="163"/>
  <c r="Y265" i="163"/>
  <c r="R113" i="170"/>
  <c r="R337" i="163"/>
  <c r="Q242" i="163"/>
  <c r="Y83" i="171"/>
  <c r="Y215" i="174"/>
  <c r="Q117" i="174"/>
  <c r="R72" i="174"/>
  <c r="Q72" i="174"/>
  <c r="R508" i="163"/>
  <c r="Y508" i="163"/>
  <c r="Y424" i="163"/>
  <c r="Q424" i="163"/>
  <c r="R140" i="163"/>
  <c r="Y140" i="163"/>
  <c r="Q140" i="163"/>
  <c r="Q206" i="171"/>
  <c r="R206" i="171"/>
  <c r="Y386" i="171"/>
  <c r="Q386" i="171"/>
  <c r="Y298" i="171"/>
  <c r="R298" i="171"/>
  <c r="Y165" i="170"/>
  <c r="Q165" i="170"/>
  <c r="Y465" i="170"/>
  <c r="Q465" i="170"/>
  <c r="R465" i="170"/>
  <c r="Y280" i="170"/>
  <c r="Q280" i="170"/>
  <c r="R280" i="170"/>
  <c r="R239" i="170"/>
  <c r="Y239" i="170"/>
  <c r="Q239" i="170"/>
  <c r="R477" i="170"/>
  <c r="Y477" i="170"/>
  <c r="R133" i="170"/>
  <c r="Y133" i="170"/>
  <c r="Y500" i="170"/>
  <c r="Q500" i="170"/>
  <c r="Y503" i="170"/>
  <c r="Q503" i="170"/>
  <c r="F326" i="174"/>
  <c r="G326" i="174"/>
  <c r="N230" i="174"/>
  <c r="G230" i="174"/>
  <c r="F205" i="174"/>
  <c r="G205" i="174"/>
  <c r="F462" i="174"/>
  <c r="G462" i="174"/>
  <c r="N462" i="174"/>
  <c r="N44" i="174"/>
  <c r="F44" i="174"/>
  <c r="N300" i="174"/>
  <c r="F300" i="174"/>
  <c r="G474" i="174"/>
  <c r="N474" i="174"/>
  <c r="F474" i="174"/>
  <c r="G97" i="174"/>
  <c r="N97" i="174"/>
  <c r="N133" i="174"/>
  <c r="F133" i="174"/>
  <c r="G409" i="174"/>
  <c r="N409" i="174"/>
  <c r="N21" i="117"/>
  <c r="AE20" i="54" s="1"/>
  <c r="N16" i="117"/>
  <c r="AE15" i="54" s="1"/>
  <c r="F42" i="195"/>
  <c r="E42" i="195"/>
  <c r="Y446" i="171"/>
  <c r="Y190" i="171"/>
  <c r="N499" i="171"/>
  <c r="G267" i="171"/>
  <c r="Y218" i="174"/>
  <c r="Q80" i="163"/>
  <c r="Y283" i="163"/>
  <c r="Y123" i="170"/>
  <c r="Q441" i="171"/>
  <c r="Y155" i="171"/>
  <c r="R144" i="171"/>
  <c r="G433" i="171"/>
  <c r="F67" i="171"/>
  <c r="Q320" i="174"/>
  <c r="N124" i="174"/>
  <c r="F90" i="174"/>
  <c r="R169" i="171"/>
  <c r="Q146" i="174"/>
  <c r="Q79" i="163"/>
  <c r="Y35" i="163"/>
  <c r="Q422" i="170"/>
  <c r="R197" i="170"/>
  <c r="R160" i="170"/>
  <c r="Q505" i="171"/>
  <c r="Q486" i="171"/>
  <c r="R258" i="171"/>
  <c r="Y198" i="171"/>
  <c r="N292" i="171"/>
  <c r="Y318" i="174"/>
  <c r="Q194" i="174"/>
  <c r="F465" i="174"/>
  <c r="F275" i="174"/>
  <c r="F146" i="174"/>
  <c r="Y416" i="163"/>
  <c r="Q216" i="163"/>
  <c r="Q457" i="170"/>
  <c r="Y346" i="170"/>
  <c r="Q186" i="170"/>
  <c r="Y131" i="170"/>
  <c r="Y400" i="171"/>
  <c r="R385" i="171"/>
  <c r="R77" i="171"/>
  <c r="Q510" i="174"/>
  <c r="Q200" i="174"/>
  <c r="Q87" i="174"/>
  <c r="F65" i="174"/>
  <c r="N60" i="174"/>
  <c r="Y417" i="174"/>
  <c r="Q340" i="163"/>
  <c r="Y469" i="163"/>
  <c r="Y311" i="163"/>
  <c r="Y182" i="163"/>
  <c r="Y97" i="163"/>
  <c r="Q477" i="170"/>
  <c r="Y514" i="171"/>
  <c r="Q142" i="171"/>
  <c r="R336" i="171"/>
  <c r="Y294" i="174"/>
  <c r="Q106" i="174"/>
  <c r="R424" i="163"/>
  <c r="Y414" i="163"/>
  <c r="R139" i="163"/>
  <c r="R394" i="174"/>
  <c r="N408" i="174"/>
  <c r="Y63" i="171"/>
  <c r="Q52" i="163"/>
  <c r="R265" i="163"/>
  <c r="Y180" i="170"/>
  <c r="N205" i="174"/>
  <c r="Y242" i="163"/>
  <c r="R83" i="171"/>
  <c r="F230" i="174"/>
  <c r="Y132" i="174"/>
  <c r="Q200" i="163"/>
  <c r="R200" i="163"/>
  <c r="Y200" i="163"/>
  <c r="R221" i="163"/>
  <c r="Y221" i="163"/>
  <c r="Y306" i="163"/>
  <c r="R306" i="163"/>
  <c r="R331" i="163"/>
  <c r="Q331" i="163"/>
  <c r="R253" i="163"/>
  <c r="Y253" i="163"/>
  <c r="Q253" i="163"/>
  <c r="R211" i="163"/>
  <c r="Y211" i="163"/>
  <c r="Q211" i="163"/>
  <c r="R363" i="163"/>
  <c r="Q363" i="163"/>
  <c r="Q496" i="163"/>
  <c r="R496" i="163"/>
  <c r="Y496" i="163"/>
  <c r="Q30" i="163"/>
  <c r="R30" i="163"/>
  <c r="Y30" i="163"/>
  <c r="R286" i="163"/>
  <c r="Y286" i="163"/>
  <c r="R317" i="163"/>
  <c r="Q317" i="163"/>
  <c r="Y317" i="163"/>
  <c r="Q434" i="163"/>
  <c r="Y434" i="163"/>
  <c r="Q444" i="163"/>
  <c r="Y444" i="163"/>
  <c r="R117" i="163"/>
  <c r="Y117" i="163"/>
  <c r="Q160" i="163"/>
  <c r="R160" i="163"/>
  <c r="Q489" i="163"/>
  <c r="R489" i="163"/>
  <c r="Y489" i="163"/>
  <c r="Q360" i="163"/>
  <c r="Y360" i="163"/>
  <c r="N491" i="171"/>
  <c r="F491" i="171"/>
  <c r="G491" i="171"/>
  <c r="F140" i="171"/>
  <c r="G140" i="171"/>
  <c r="F49" i="171"/>
  <c r="G49" i="171"/>
  <c r="N49" i="171"/>
  <c r="N208" i="171"/>
  <c r="F208" i="171"/>
  <c r="G242" i="171"/>
  <c r="F242" i="171"/>
  <c r="N242" i="171"/>
  <c r="F145" i="171"/>
  <c r="G145" i="171"/>
  <c r="F337" i="171"/>
  <c r="N337" i="171"/>
  <c r="N150" i="171"/>
  <c r="F150" i="171"/>
  <c r="G481" i="171"/>
  <c r="F481" i="171"/>
  <c r="G400" i="171"/>
  <c r="N400" i="171"/>
  <c r="F400" i="171"/>
  <c r="F95" i="171"/>
  <c r="N95" i="171"/>
  <c r="G236" i="171"/>
  <c r="N236" i="171"/>
  <c r="G222" i="163"/>
  <c r="N222" i="163"/>
  <c r="G236" i="163"/>
  <c r="N236" i="163"/>
  <c r="F63" i="163"/>
  <c r="G63" i="163"/>
  <c r="G204" i="163"/>
  <c r="N204" i="163"/>
  <c r="F204" i="163"/>
  <c r="G507" i="163"/>
  <c r="N507" i="163"/>
  <c r="F425" i="163"/>
  <c r="G425" i="163"/>
  <c r="N425" i="163"/>
  <c r="G289" i="163"/>
  <c r="F289" i="163"/>
  <c r="N106" i="163"/>
  <c r="F106" i="163"/>
  <c r="G106" i="163"/>
  <c r="F248" i="163"/>
  <c r="N248" i="163"/>
  <c r="G340" i="163"/>
  <c r="N340" i="163"/>
  <c r="F340" i="163"/>
  <c r="N203" i="163"/>
  <c r="G203" i="163"/>
  <c r="F34" i="163"/>
  <c r="N34" i="163"/>
  <c r="F164" i="163"/>
  <c r="G164" i="163"/>
  <c r="G512" i="163"/>
  <c r="N512" i="163"/>
  <c r="F121" i="163"/>
  <c r="G121" i="163"/>
  <c r="N121" i="163"/>
  <c r="F194" i="163"/>
  <c r="N194" i="163"/>
  <c r="N80" i="163"/>
  <c r="F80" i="163"/>
  <c r="N428" i="163"/>
  <c r="G428" i="163"/>
  <c r="F428" i="163"/>
  <c r="Q72" i="163"/>
  <c r="R72" i="163"/>
  <c r="R491" i="163"/>
  <c r="Y491" i="163"/>
  <c r="Y94" i="163"/>
  <c r="Q94" i="163"/>
  <c r="Q223" i="163"/>
  <c r="R223" i="163"/>
  <c r="Y308" i="163"/>
  <c r="R308" i="163"/>
  <c r="R181" i="163"/>
  <c r="Y181" i="163"/>
  <c r="Q181" i="163"/>
  <c r="Y266" i="163"/>
  <c r="Q266" i="163"/>
  <c r="R316" i="163"/>
  <c r="Q316" i="163"/>
  <c r="N101" i="171"/>
  <c r="F101" i="171"/>
  <c r="F100" i="171"/>
  <c r="G100" i="171"/>
  <c r="G469" i="171"/>
  <c r="F469" i="171"/>
  <c r="G475" i="171"/>
  <c r="N475" i="171"/>
  <c r="G517" i="171"/>
  <c r="F517" i="171"/>
  <c r="R98" i="171"/>
  <c r="Y98" i="171"/>
  <c r="Q98" i="171"/>
  <c r="Q86" i="171"/>
  <c r="R86" i="171"/>
  <c r="R407" i="170"/>
  <c r="Y407" i="170"/>
  <c r="Q407" i="170"/>
  <c r="R405" i="170"/>
  <c r="Q405" i="170"/>
  <c r="G217" i="174"/>
  <c r="N217" i="174"/>
  <c r="R124" i="170"/>
  <c r="R357" i="170"/>
  <c r="F466" i="171"/>
  <c r="Y510" i="174"/>
  <c r="F453" i="174"/>
  <c r="R97" i="163"/>
  <c r="R514" i="171"/>
  <c r="R316" i="174"/>
  <c r="Y106" i="174"/>
  <c r="R386" i="171"/>
  <c r="Y397" i="174"/>
  <c r="Q107" i="174"/>
  <c r="F37" i="174"/>
  <c r="R503" i="170"/>
  <c r="Q339" i="170"/>
  <c r="R466" i="174"/>
  <c r="R239" i="174"/>
  <c r="R132" i="174"/>
  <c r="F41" i="170"/>
  <c r="N41" i="170"/>
  <c r="F308" i="170"/>
  <c r="N308" i="170"/>
  <c r="R171" i="163"/>
  <c r="Y171" i="163"/>
  <c r="Q171" i="163"/>
  <c r="R446" i="163"/>
  <c r="Q446" i="163"/>
  <c r="G66" i="171"/>
  <c r="N66" i="171"/>
  <c r="G181" i="163"/>
  <c r="N181" i="163"/>
  <c r="F181" i="163"/>
  <c r="G299" i="163"/>
  <c r="F299" i="163"/>
  <c r="G290" i="163"/>
  <c r="N290" i="163"/>
  <c r="G176" i="163"/>
  <c r="N176" i="163"/>
  <c r="F176" i="163"/>
  <c r="H18" i="117"/>
  <c r="Y17" i="54" s="1"/>
  <c r="Q9" i="54"/>
  <c r="R45" i="200"/>
  <c r="U14" i="198" s="1"/>
  <c r="U5" i="184"/>
  <c r="U32" i="184"/>
  <c r="S2" i="123"/>
  <c r="CG6" i="159"/>
  <c r="U26" i="184"/>
  <c r="CF11" i="167"/>
  <c r="DA7" i="194"/>
  <c r="C26" i="195"/>
  <c r="B60" i="195"/>
  <c r="S2" i="104"/>
  <c r="J22" i="154"/>
  <c r="CE8" i="169"/>
  <c r="J22" i="156"/>
  <c r="CE11" i="168"/>
  <c r="CE21" i="169"/>
  <c r="CE9" i="169"/>
  <c r="CE13" i="168"/>
  <c r="CG18" i="159"/>
  <c r="CE10" i="168"/>
  <c r="CG20" i="159"/>
  <c r="CE14" i="168"/>
  <c r="CE9" i="168"/>
  <c r="F22" i="154"/>
  <c r="CF13" i="167"/>
  <c r="CE17" i="168"/>
  <c r="CF12" i="167"/>
  <c r="CG13" i="159"/>
  <c r="Q393" i="174"/>
  <c r="Y135" i="174"/>
  <c r="Y442" i="174"/>
  <c r="R451" i="171"/>
  <c r="R346" i="171"/>
  <c r="R348" i="171"/>
  <c r="Q212" i="171"/>
  <c r="R221" i="174"/>
  <c r="G500" i="174"/>
  <c r="G443" i="174"/>
  <c r="R338" i="170"/>
  <c r="R146" i="171"/>
  <c r="Q337" i="171"/>
  <c r="Y116" i="171"/>
  <c r="Q77" i="174"/>
  <c r="G284" i="174"/>
  <c r="Y260" i="174"/>
  <c r="R496" i="170"/>
  <c r="Q380" i="170"/>
  <c r="Y401" i="174"/>
  <c r="R407" i="174"/>
  <c r="R225" i="174"/>
  <c r="R36" i="174"/>
  <c r="G178" i="174"/>
  <c r="F249" i="174"/>
  <c r="Y282" i="170"/>
  <c r="N502" i="174"/>
  <c r="G421" i="174"/>
  <c r="B22" i="117"/>
  <c r="M21" i="54" s="1"/>
  <c r="N21" i="54" s="1"/>
  <c r="Y350" i="174"/>
  <c r="Q350" i="174"/>
  <c r="R347" i="174"/>
  <c r="Q347" i="174"/>
  <c r="R206" i="174"/>
  <c r="Q206" i="174"/>
  <c r="Q443" i="174"/>
  <c r="R443" i="174"/>
  <c r="Y443" i="174"/>
  <c r="R284" i="174"/>
  <c r="Y284" i="174"/>
  <c r="Y48" i="174"/>
  <c r="Q48" i="174"/>
  <c r="R48" i="174"/>
  <c r="R20" i="174"/>
  <c r="Y20" i="174"/>
  <c r="Q290" i="174"/>
  <c r="Y290" i="174"/>
  <c r="R121" i="174"/>
  <c r="Q121" i="174"/>
  <c r="R435" i="174"/>
  <c r="Q435" i="174"/>
  <c r="R484" i="174"/>
  <c r="Y484" i="174"/>
  <c r="Q484" i="174"/>
  <c r="R66" i="174"/>
  <c r="Y66" i="174"/>
  <c r="R171" i="174"/>
  <c r="Y171" i="174"/>
  <c r="Q171" i="174"/>
  <c r="R181" i="174"/>
  <c r="Y181" i="174"/>
  <c r="Q181" i="174"/>
  <c r="Q43" i="174"/>
  <c r="R43" i="174"/>
  <c r="Y156" i="174"/>
  <c r="R156" i="174"/>
  <c r="Y508" i="174"/>
  <c r="Q508" i="174"/>
  <c r="Y270" i="174"/>
  <c r="R270" i="174"/>
  <c r="R267" i="174"/>
  <c r="Q267" i="174"/>
  <c r="Y370" i="174"/>
  <c r="Q370" i="174"/>
  <c r="R370" i="174"/>
  <c r="Y141" i="174"/>
  <c r="Q141" i="174"/>
  <c r="R344" i="174"/>
  <c r="Y344" i="174"/>
  <c r="Q344" i="174"/>
  <c r="R415" i="174"/>
  <c r="Q415" i="174"/>
  <c r="R373" i="174"/>
  <c r="Y373" i="174"/>
  <c r="R245" i="174"/>
  <c r="Y245" i="174"/>
  <c r="Q245" i="174"/>
  <c r="R421" i="174"/>
  <c r="Y421" i="174"/>
  <c r="Q421" i="174"/>
  <c r="R495" i="174"/>
  <c r="Y495" i="174"/>
  <c r="Q495" i="174"/>
  <c r="R462" i="171"/>
  <c r="Y462" i="171"/>
  <c r="Q352" i="171"/>
  <c r="R352" i="171"/>
  <c r="R417" i="171"/>
  <c r="Y417" i="171"/>
  <c r="R402" i="171"/>
  <c r="Q402" i="171"/>
  <c r="R456" i="171"/>
  <c r="Q456" i="171"/>
  <c r="Y220" i="170"/>
  <c r="R220" i="170"/>
  <c r="R111" i="170"/>
  <c r="Y111" i="170"/>
  <c r="Q111" i="170"/>
  <c r="Y230" i="170"/>
  <c r="Q230" i="170"/>
  <c r="Y90" i="170"/>
  <c r="Q90" i="170"/>
  <c r="Q484" i="170"/>
  <c r="R484" i="170"/>
  <c r="R271" i="170"/>
  <c r="Q271" i="170"/>
  <c r="Y200" i="170"/>
  <c r="R200" i="170"/>
  <c r="Y449" i="170"/>
  <c r="R449" i="170"/>
  <c r="N203" i="174"/>
  <c r="F203" i="174"/>
  <c r="G203" i="174"/>
  <c r="N77" i="174"/>
  <c r="F77" i="174"/>
  <c r="G77" i="174"/>
  <c r="G304" i="174"/>
  <c r="N304" i="174"/>
  <c r="N440" i="174"/>
  <c r="G440" i="174"/>
  <c r="G243" i="174"/>
  <c r="N243" i="174"/>
  <c r="F243" i="174"/>
  <c r="F392" i="174"/>
  <c r="G392" i="174"/>
  <c r="F251" i="174"/>
  <c r="G251" i="174"/>
  <c r="N251" i="174"/>
  <c r="N368" i="174"/>
  <c r="F368" i="174"/>
  <c r="F145" i="174"/>
  <c r="G145" i="174"/>
  <c r="G402" i="174"/>
  <c r="F402" i="174"/>
  <c r="N432" i="163"/>
  <c r="G432" i="163"/>
  <c r="G400" i="163"/>
  <c r="N400" i="163"/>
  <c r="N15" i="117"/>
  <c r="AE14" i="54" s="1"/>
  <c r="G223" i="163"/>
  <c r="R493" i="174"/>
  <c r="Q412" i="174"/>
  <c r="Q122" i="174"/>
  <c r="Y165" i="174"/>
  <c r="Y206" i="174"/>
  <c r="G297" i="174"/>
  <c r="Q196" i="174"/>
  <c r="R389" i="170"/>
  <c r="R134" i="171"/>
  <c r="R37" i="171"/>
  <c r="N503" i="174"/>
  <c r="Y484" i="170"/>
  <c r="Q427" i="174"/>
  <c r="Q255" i="174"/>
  <c r="N402" i="174"/>
  <c r="Q284" i="174"/>
  <c r="Y435" i="174"/>
  <c r="Q83" i="174"/>
  <c r="R487" i="174"/>
  <c r="R210" i="174"/>
  <c r="H15" i="117"/>
  <c r="Y14" i="54" s="1"/>
  <c r="Q50" i="174"/>
  <c r="Y331" i="174"/>
  <c r="Y98" i="174"/>
  <c r="Y292" i="174"/>
  <c r="Y415" i="174"/>
  <c r="Y211" i="174"/>
  <c r="G82" i="163"/>
  <c r="Q158" i="170"/>
  <c r="Q451" i="171"/>
  <c r="Q348" i="171"/>
  <c r="Q229" i="171"/>
  <c r="Y393" i="174"/>
  <c r="Y342" i="174"/>
  <c r="Q221" i="174"/>
  <c r="F500" i="174"/>
  <c r="G346" i="174"/>
  <c r="N496" i="163"/>
  <c r="N308" i="163"/>
  <c r="Y456" i="171"/>
  <c r="Q146" i="171"/>
  <c r="Q101" i="171"/>
  <c r="Q378" i="174"/>
  <c r="Y50" i="174"/>
  <c r="F284" i="174"/>
  <c r="Y469" i="170"/>
  <c r="R25" i="170"/>
  <c r="Q101" i="170"/>
  <c r="Q98" i="174"/>
  <c r="F304" i="174"/>
  <c r="F257" i="174"/>
  <c r="F178" i="174"/>
  <c r="R292" i="174"/>
  <c r="Q170" i="174"/>
  <c r="R290" i="174"/>
  <c r="R211" i="174"/>
  <c r="R102" i="171"/>
  <c r="Y102" i="171"/>
  <c r="Q102" i="171"/>
  <c r="R89" i="171"/>
  <c r="Q89" i="171"/>
  <c r="Q443" i="170"/>
  <c r="Y443" i="170"/>
  <c r="R294" i="170"/>
  <c r="Y294" i="170"/>
  <c r="Q337" i="170"/>
  <c r="R337" i="170"/>
  <c r="N163" i="174"/>
  <c r="G163" i="174"/>
  <c r="G381" i="174"/>
  <c r="N381" i="174"/>
  <c r="G221" i="174"/>
  <c r="N221" i="174"/>
  <c r="G431" i="174"/>
  <c r="N431" i="174"/>
  <c r="G261" i="174"/>
  <c r="N261" i="174"/>
  <c r="F261" i="174"/>
  <c r="Q342" i="174"/>
  <c r="R131" i="174"/>
  <c r="B13" i="117"/>
  <c r="M12" i="54" s="1"/>
  <c r="O12" i="54" s="1"/>
  <c r="P12" i="54" s="1"/>
  <c r="B18" i="117"/>
  <c r="M17" i="54" s="1"/>
  <c r="Q17" i="54" s="1"/>
  <c r="H19" i="117"/>
  <c r="Y18" i="54" s="1"/>
  <c r="B12" i="117"/>
  <c r="M11" i="54" s="1"/>
  <c r="O11" i="54" s="1"/>
  <c r="P11" i="54" s="1"/>
  <c r="H16" i="117"/>
  <c r="Y15" i="54" s="1"/>
  <c r="B19" i="117"/>
  <c r="M18" i="54" s="1"/>
  <c r="N18" i="54" s="1"/>
  <c r="H10" i="117"/>
  <c r="Y9" i="54" s="1"/>
  <c r="N17" i="117"/>
  <c r="AE16" i="54" s="1"/>
  <c r="B21" i="117"/>
  <c r="M20" i="54" s="1"/>
  <c r="N20" i="54" s="1"/>
  <c r="B16" i="117"/>
  <c r="M15" i="54" s="1"/>
  <c r="N15" i="54" s="1"/>
  <c r="F82" i="163"/>
  <c r="F443" i="174"/>
  <c r="N346" i="174"/>
  <c r="Q449" i="170"/>
  <c r="Y338" i="170"/>
  <c r="R337" i="171"/>
  <c r="R116" i="171"/>
  <c r="R378" i="174"/>
  <c r="Y347" i="174"/>
  <c r="Q496" i="170"/>
  <c r="R380" i="170"/>
  <c r="R101" i="170"/>
  <c r="Q407" i="174"/>
  <c r="Y267" i="174"/>
  <c r="Y225" i="174"/>
  <c r="Q36" i="174"/>
  <c r="N257" i="174"/>
  <c r="G249" i="174"/>
  <c r="R170" i="174"/>
  <c r="G245" i="170"/>
  <c r="N245" i="170"/>
  <c r="G332" i="170"/>
  <c r="F332" i="170"/>
  <c r="F144" i="170"/>
  <c r="N144" i="170"/>
  <c r="H14" i="117"/>
  <c r="Y13" i="54" s="1"/>
  <c r="Q453" i="174"/>
  <c r="Q277" i="174"/>
  <c r="N464" i="170"/>
  <c r="F402" i="170"/>
  <c r="Q406" i="174"/>
  <c r="N179" i="170"/>
  <c r="G21" i="170"/>
  <c r="G112" i="170"/>
  <c r="N112" i="170"/>
  <c r="N455" i="170"/>
  <c r="F455" i="170"/>
  <c r="G455" i="170"/>
  <c r="G482" i="170"/>
  <c r="N482" i="170"/>
  <c r="F482" i="170"/>
  <c r="G280" i="170"/>
  <c r="N280" i="170"/>
  <c r="G87" i="170"/>
  <c r="N87" i="170"/>
  <c r="F87" i="170"/>
  <c r="G253" i="170"/>
  <c r="F253" i="170"/>
  <c r="N253" i="170"/>
  <c r="G94" i="170"/>
  <c r="N94" i="170"/>
  <c r="F94" i="170"/>
  <c r="N509" i="170"/>
  <c r="F509" i="170"/>
  <c r="G32" i="170"/>
  <c r="F32" i="170"/>
  <c r="G495" i="170"/>
  <c r="F495" i="170"/>
  <c r="R395" i="163"/>
  <c r="Y395" i="163"/>
  <c r="Q395" i="163"/>
  <c r="Y115" i="163"/>
  <c r="Q115" i="163"/>
  <c r="Y296" i="163"/>
  <c r="Q296" i="163"/>
  <c r="R201" i="163"/>
  <c r="Y201" i="163"/>
  <c r="R244" i="163"/>
  <c r="Q244" i="163"/>
  <c r="Y244" i="163"/>
  <c r="Y202" i="163"/>
  <c r="Q202" i="163"/>
  <c r="Y350" i="163"/>
  <c r="Q350" i="163"/>
  <c r="R289" i="163"/>
  <c r="Y289" i="163"/>
  <c r="Q289" i="163"/>
  <c r="R247" i="163"/>
  <c r="Y247" i="163"/>
  <c r="R76" i="163"/>
  <c r="Y76" i="163"/>
  <c r="R405" i="163"/>
  <c r="Y405" i="163"/>
  <c r="N277" i="171"/>
  <c r="F277" i="171"/>
  <c r="N513" i="171"/>
  <c r="F513" i="171"/>
  <c r="N197" i="171"/>
  <c r="F197" i="171"/>
  <c r="G209" i="171"/>
  <c r="N209" i="171"/>
  <c r="N478" i="171"/>
  <c r="F478" i="171"/>
  <c r="G349" i="171"/>
  <c r="N349" i="171"/>
  <c r="F349" i="171"/>
  <c r="N425" i="171"/>
  <c r="F425" i="171"/>
  <c r="N59" i="171"/>
  <c r="F59" i="171"/>
  <c r="N278" i="171"/>
  <c r="G278" i="171"/>
  <c r="F278" i="171"/>
  <c r="N518" i="171"/>
  <c r="F518" i="171"/>
  <c r="N382" i="171"/>
  <c r="F382" i="171"/>
  <c r="G382" i="171"/>
  <c r="G283" i="171"/>
  <c r="F283" i="171"/>
  <c r="G476" i="171"/>
  <c r="N476" i="171"/>
  <c r="N10" i="117"/>
  <c r="AE9" i="54" s="1"/>
  <c r="H17" i="117"/>
  <c r="Y16" i="54" s="1"/>
  <c r="H21" i="117"/>
  <c r="Y20" i="54" s="1"/>
  <c r="B17" i="117"/>
  <c r="M16" i="54" s="1"/>
  <c r="N13" i="117"/>
  <c r="AE12" i="54" s="1"/>
  <c r="N14" i="117"/>
  <c r="AE13" i="54" s="1"/>
  <c r="B14" i="117"/>
  <c r="M13" i="54" s="1"/>
  <c r="O13" i="54" s="1"/>
  <c r="P13" i="54" s="1"/>
  <c r="N11" i="117"/>
  <c r="AE10" i="54" s="1"/>
  <c r="B15" i="117"/>
  <c r="M14" i="54" s="1"/>
  <c r="N14" i="54" s="1"/>
  <c r="N19" i="117"/>
  <c r="AE18" i="54" s="1"/>
  <c r="H12" i="117"/>
  <c r="Y11" i="54" s="1"/>
  <c r="B11" i="117"/>
  <c r="M10" i="54" s="1"/>
  <c r="O10" i="54" s="1"/>
  <c r="P10" i="54" s="1"/>
  <c r="N12" i="117"/>
  <c r="AE11" i="54" s="1"/>
  <c r="N20" i="117"/>
  <c r="AE19" i="54" s="1"/>
  <c r="H11" i="117"/>
  <c r="Y10" i="54" s="1"/>
  <c r="B23" i="117"/>
  <c r="M22" i="54" s="1"/>
  <c r="O22" i="54" s="1"/>
  <c r="P22" i="54" s="1"/>
  <c r="H20" i="117"/>
  <c r="Y19" i="54" s="1"/>
  <c r="N18" i="117"/>
  <c r="AE17" i="54" s="1"/>
  <c r="R231" i="171"/>
  <c r="Q231" i="171"/>
  <c r="R470" i="171"/>
  <c r="Y470" i="171"/>
  <c r="R172" i="170"/>
  <c r="Y172" i="170"/>
  <c r="R445" i="170"/>
  <c r="Y445" i="170"/>
  <c r="R44" i="170"/>
  <c r="Y44" i="170"/>
  <c r="R237" i="170"/>
  <c r="Y237" i="170"/>
  <c r="R366" i="170"/>
  <c r="Q366" i="170"/>
  <c r="G365" i="174"/>
  <c r="N365" i="174"/>
  <c r="G459" i="174"/>
  <c r="N459" i="174"/>
  <c r="N328" i="163"/>
  <c r="G328" i="163"/>
  <c r="F328" i="163"/>
  <c r="G426" i="163"/>
  <c r="N426" i="163"/>
  <c r="G143" i="163"/>
  <c r="N143" i="163"/>
  <c r="F143" i="163"/>
  <c r="N62" i="163"/>
  <c r="F62" i="163"/>
  <c r="G62" i="163"/>
  <c r="N502" i="163"/>
  <c r="F502" i="163"/>
  <c r="G469" i="163"/>
  <c r="N469" i="163"/>
  <c r="F469" i="163"/>
  <c r="G259" i="163"/>
  <c r="N259" i="163"/>
  <c r="F259" i="163"/>
  <c r="G123" i="163"/>
  <c r="N123" i="163"/>
  <c r="F123" i="163"/>
  <c r="G205" i="163"/>
  <c r="N205" i="163"/>
  <c r="F205" i="163"/>
  <c r="F278" i="163"/>
  <c r="G278" i="163"/>
  <c r="G418" i="163"/>
  <c r="N418" i="163"/>
  <c r="G467" i="163"/>
  <c r="N467" i="163"/>
  <c r="F467" i="163"/>
  <c r="G385" i="163"/>
  <c r="N385" i="163"/>
  <c r="F385" i="163"/>
  <c r="N383" i="163"/>
  <c r="F383" i="163"/>
  <c r="B20" i="117"/>
  <c r="M19" i="54" s="1"/>
  <c r="O19" i="54" s="1"/>
  <c r="P19" i="54" s="1"/>
  <c r="N9" i="54"/>
  <c r="J42" i="195"/>
  <c r="I42" i="195"/>
  <c r="DA15" i="194"/>
  <c r="DA13" i="194"/>
  <c r="DA16" i="194"/>
  <c r="DL57" i="194"/>
  <c r="DN46" i="194"/>
  <c r="DL39" i="194"/>
  <c r="DO57" i="194"/>
  <c r="DL51" i="194"/>
  <c r="DJ25" i="194"/>
  <c r="DQ17" i="194"/>
  <c r="DD57" i="194"/>
  <c r="DF46" i="194"/>
  <c r="DD39" i="194"/>
  <c r="DG57" i="194"/>
  <c r="DD51" i="194"/>
  <c r="DR24" i="194"/>
  <c r="DI17" i="194"/>
  <c r="DM56" i="194"/>
  <c r="DO45" i="194"/>
  <c r="DM38" i="194"/>
  <c r="DP56" i="194"/>
  <c r="DM50" i="194"/>
  <c r="DJ24" i="194"/>
  <c r="DQ16" i="194"/>
  <c r="DJ59" i="194"/>
  <c r="DL48" i="194"/>
  <c r="DJ41" i="194"/>
  <c r="DM59" i="194"/>
  <c r="DJ53" i="194"/>
  <c r="DI27" i="194"/>
  <c r="DQ19" i="194"/>
  <c r="DQ51" i="194"/>
  <c r="DL38" i="194"/>
  <c r="DN30" i="194"/>
  <c r="DD30" i="194"/>
  <c r="DO24" i="194"/>
  <c r="DF18" i="194"/>
  <c r="DE33" i="194"/>
  <c r="DS24" i="194"/>
  <c r="DF16" i="194"/>
  <c r="DQ14" i="194"/>
  <c r="DO8" i="194"/>
  <c r="DG54" i="194"/>
  <c r="DF60" i="194"/>
  <c r="DG48" i="194"/>
  <c r="DE52" i="194"/>
  <c r="DF35" i="194"/>
  <c r="DC29" i="194"/>
  <c r="DM21" i="194"/>
  <c r="DK34" i="194"/>
  <c r="DL15" i="194"/>
  <c r="DR12" i="194"/>
  <c r="DP6" i="194"/>
  <c r="DD50" i="194"/>
  <c r="DC56" i="194"/>
  <c r="DD44" i="194"/>
  <c r="DQ34" i="194"/>
  <c r="DH20" i="194"/>
  <c r="DN43" i="194"/>
  <c r="DG32" i="194"/>
  <c r="DL23" i="194"/>
  <c r="DM15" i="194"/>
  <c r="DK9" i="194"/>
  <c r="DS17" i="194"/>
  <c r="DF11" i="194"/>
  <c r="DG44" i="194"/>
  <c r="DR23" i="194"/>
  <c r="DH33" i="194"/>
  <c r="DP31" i="194"/>
  <c r="DK26" i="194"/>
  <c r="DJ17" i="194"/>
  <c r="DC18" i="194"/>
  <c r="DD55" i="194"/>
  <c r="DS33" i="194"/>
  <c r="DN39" i="194"/>
  <c r="DJ37" i="194"/>
  <c r="DE32" i="194"/>
  <c r="DS8" i="194"/>
  <c r="DG10" i="194"/>
  <c r="DK41" i="194"/>
  <c r="DF41" i="194"/>
  <c r="DP18" i="194"/>
  <c r="DF19" i="194"/>
  <c r="DS59" i="194"/>
  <c r="DP53" i="194"/>
  <c r="DR42" i="194"/>
  <c r="DO59" i="194"/>
  <c r="DS53" i="194"/>
  <c r="DP47" i="194"/>
  <c r="DJ21" i="194"/>
  <c r="DK59" i="194"/>
  <c r="DH53" i="194"/>
  <c r="DJ42" i="194"/>
  <c r="DG59" i="194"/>
  <c r="DK53" i="194"/>
  <c r="DH47" i="194"/>
  <c r="DR20" i="194"/>
  <c r="DC59" i="194"/>
  <c r="DQ52" i="194"/>
  <c r="DS41" i="194"/>
  <c r="DP58" i="194"/>
  <c r="DC53" i="194"/>
  <c r="DQ46" i="194"/>
  <c r="DJ20" i="194"/>
  <c r="DQ61" i="194"/>
  <c r="DN55" i="194"/>
  <c r="DP44" i="194"/>
  <c r="DM61" i="194"/>
  <c r="DQ55" i="194"/>
  <c r="DN49" i="194"/>
  <c r="DJ23" i="194"/>
  <c r="DI61" i="194"/>
  <c r="DH44" i="194"/>
  <c r="DI55" i="194"/>
  <c r="DR22" i="194"/>
  <c r="DH26" i="194"/>
  <c r="DO20" i="194"/>
  <c r="DS37" i="194"/>
  <c r="DI29" i="194"/>
  <c r="DC22" i="194"/>
  <c r="DK13" i="194"/>
  <c r="DQ10" i="194"/>
  <c r="DN17" i="194"/>
  <c r="DO46" i="194"/>
  <c r="DN52" i="194"/>
  <c r="DO40" i="194"/>
  <c r="DN36" i="194"/>
  <c r="DJ31" i="194"/>
  <c r="DF25" i="194"/>
  <c r="DK46" i="194"/>
  <c r="DO30" i="194"/>
  <c r="DL11" i="194"/>
  <c r="DR8" i="194"/>
  <c r="DO15" i="194"/>
  <c r="DL42" i="194"/>
  <c r="DK48" i="194"/>
  <c r="DK60" i="194"/>
  <c r="DH27" i="194"/>
  <c r="DH16" i="194"/>
  <c r="DM35" i="194"/>
  <c r="DK28" i="194"/>
  <c r="DH57" i="194"/>
  <c r="DM11" i="194"/>
  <c r="DS6" i="194"/>
  <c r="DP13" i="194"/>
  <c r="DF7" i="194"/>
  <c r="DJ56" i="194"/>
  <c r="DI34" i="194"/>
  <c r="DF27" i="194"/>
  <c r="DE26" i="194"/>
  <c r="DK22" i="194"/>
  <c r="DR10" i="194"/>
  <c r="DN10" i="194"/>
  <c r="DR41" i="194"/>
  <c r="DJ22" i="194"/>
  <c r="DQ32" i="194"/>
  <c r="DH31" i="194"/>
  <c r="DS25" i="194"/>
  <c r="DE16" i="194"/>
  <c r="DC17" i="194"/>
  <c r="DF53" i="194"/>
  <c r="DK33" i="194"/>
  <c r="DL37" i="194"/>
  <c r="DK36" i="194"/>
  <c r="DJ52" i="194"/>
  <c r="DG46" i="194"/>
  <c r="DI58" i="194"/>
  <c r="DF52" i="194"/>
  <c r="DJ46" i="194"/>
  <c r="DG40" i="194"/>
  <c r="DF37" i="194"/>
  <c r="DS51" i="194"/>
  <c r="DP45" i="194"/>
  <c r="DR57" i="194"/>
  <c r="DO51" i="194"/>
  <c r="DS45" i="194"/>
  <c r="DP39" i="194"/>
  <c r="DO36" i="194"/>
  <c r="DK51" i="194"/>
  <c r="DH45" i="194"/>
  <c r="DJ57" i="194"/>
  <c r="DG51" i="194"/>
  <c r="DK45" i="194"/>
  <c r="DH39" i="194"/>
  <c r="DG36" i="194"/>
  <c r="DH54" i="194"/>
  <c r="DE48" i="194"/>
  <c r="DG60" i="194"/>
  <c r="DD54" i="194"/>
  <c r="DH48" i="194"/>
  <c r="DE42" i="194"/>
  <c r="DC42" i="194"/>
  <c r="DH46" i="194"/>
  <c r="DG52" i="194"/>
  <c r="DH40" i="194"/>
  <c r="DD31" i="194"/>
  <c r="DH18" i="194"/>
  <c r="DK37" i="194"/>
  <c r="DI30" i="194"/>
  <c r="DL21" i="194"/>
  <c r="DM13" i="194"/>
  <c r="DC8" i="194"/>
  <c r="DP15" i="194"/>
  <c r="DF9" i="194"/>
  <c r="DR50" i="194"/>
  <c r="DS61" i="194"/>
  <c r="DO29" i="194"/>
  <c r="DE29" i="194"/>
  <c r="DO23" i="194"/>
  <c r="DK54" i="194"/>
  <c r="DF32" i="194"/>
  <c r="DC24" i="194"/>
  <c r="DK15" i="194"/>
  <c r="DQ13" i="194"/>
  <c r="DO7" i="194"/>
  <c r="DJ51" i="194"/>
  <c r="DI57" i="194"/>
  <c r="DJ45" i="194"/>
  <c r="DM44" i="194"/>
  <c r="DG34" i="194"/>
  <c r="DD28" i="194"/>
  <c r="DM20" i="194"/>
  <c r="DL33" i="194"/>
  <c r="DL14" i="194"/>
  <c r="DR11" i="194"/>
  <c r="DL6" i="194"/>
  <c r="DH38" i="194"/>
  <c r="DH56" i="194"/>
  <c r="DR39" i="194"/>
  <c r="DH41" i="194"/>
  <c r="DK35" i="194"/>
  <c r="DE9" i="194"/>
  <c r="DI11" i="194"/>
  <c r="DE49" i="194"/>
  <c r="DQ41" i="194"/>
  <c r="DI20" i="194"/>
  <c r="DG20" i="194"/>
  <c r="DP57" i="194"/>
  <c r="DM14" i="194"/>
  <c r="DD16" i="194"/>
  <c r="DL58" i="194"/>
  <c r="DE53" i="194"/>
  <c r="DC32" i="194"/>
  <c r="DO25" i="194"/>
  <c r="DN48" i="194"/>
  <c r="DO61" i="194"/>
  <c r="DM54" i="194"/>
  <c r="DJ48" i="194"/>
  <c r="DN42" i="194"/>
  <c r="DD53" i="194"/>
  <c r="DJ33" i="194"/>
  <c r="DF48" i="194"/>
  <c r="DG61" i="194"/>
  <c r="DE54" i="194"/>
  <c r="DS47" i="194"/>
  <c r="DF42" i="194"/>
  <c r="DH49" i="194"/>
  <c r="DS32" i="194"/>
  <c r="DO47" i="194"/>
  <c r="DP60" i="194"/>
  <c r="DN53" i="194"/>
  <c r="DK47" i="194"/>
  <c r="DO41" i="194"/>
  <c r="DL45" i="194"/>
  <c r="DK32" i="194"/>
  <c r="DL50" i="194"/>
  <c r="DI44" i="194"/>
  <c r="DK56" i="194"/>
  <c r="DH50" i="194"/>
  <c r="DL44" i="194"/>
  <c r="DI38" i="194"/>
  <c r="DH35" i="194"/>
  <c r="DP38" i="194"/>
  <c r="DO44" i="194"/>
  <c r="DO56" i="194"/>
  <c r="DI23" i="194"/>
  <c r="DR47" i="194"/>
  <c r="DO33" i="194"/>
  <c r="DM26" i="194"/>
  <c r="DK42" i="194"/>
  <c r="DM9" i="194"/>
  <c r="DL18" i="194"/>
  <c r="DP11" i="194"/>
  <c r="DJ60" i="194"/>
  <c r="DI43" i="194"/>
  <c r="DJ54" i="194"/>
  <c r="DR21" i="194"/>
  <c r="DH25" i="194"/>
  <c r="DO19" i="194"/>
  <c r="DS36" i="194"/>
  <c r="DJ28" i="194"/>
  <c r="DK21" i="194"/>
  <c r="DS12" i="194"/>
  <c r="DQ9" i="194"/>
  <c r="DK16" i="194"/>
  <c r="DR43" i="194"/>
  <c r="DQ49" i="194"/>
  <c r="DR37" i="194"/>
  <c r="DO35" i="194"/>
  <c r="DK30" i="194"/>
  <c r="DF24" i="194"/>
  <c r="DQ40" i="194"/>
  <c r="DP29" i="194"/>
  <c r="DL10" i="194"/>
  <c r="DR7" i="194"/>
  <c r="DO14" i="194"/>
  <c r="DK50" i="194"/>
  <c r="DM43" i="194"/>
  <c r="DJ32" i="194"/>
  <c r="DG33" i="194"/>
  <c r="DQ29" i="194"/>
  <c r="DL13" i="194"/>
  <c r="DE17" i="194"/>
  <c r="DR59" i="194"/>
  <c r="DR54" i="194"/>
  <c r="DG38" i="194"/>
  <c r="DJ39" i="194"/>
  <c r="DL34" i="194"/>
  <c r="DE8" i="194"/>
  <c r="DI10" i="194"/>
  <c r="DG47" i="194"/>
  <c r="DI41" i="194"/>
  <c r="DQ18" i="194"/>
  <c r="DG19" i="194"/>
  <c r="DG50" i="194"/>
  <c r="DJ50" i="194"/>
  <c r="DK61" i="194"/>
  <c r="DG29" i="194"/>
  <c r="DQ60" i="194"/>
  <c r="DQ42" i="194"/>
  <c r="DQ54" i="194"/>
  <c r="DI21" i="194"/>
  <c r="DK49" i="194"/>
  <c r="DL60" i="194"/>
  <c r="DH28" i="194"/>
  <c r="DG39" i="194"/>
  <c r="DF45" i="194"/>
  <c r="DF57" i="194"/>
  <c r="DQ23" i="194"/>
  <c r="DD46" i="194"/>
  <c r="DQ33" i="194"/>
  <c r="DF22" i="194"/>
  <c r="DR27" i="194"/>
  <c r="DD20" i="194"/>
  <c r="DP61" i="194"/>
  <c r="DP55" i="194"/>
  <c r="DL41" i="194"/>
  <c r="DM25" i="194"/>
  <c r="DM8" i="194"/>
  <c r="DP10" i="194"/>
  <c r="DL40" i="194"/>
  <c r="DR18" i="194"/>
  <c r="DO18" i="194"/>
  <c r="DK27" i="194"/>
  <c r="DC12" i="194"/>
  <c r="DF15" i="194"/>
  <c r="DI35" i="194"/>
  <c r="DF39" i="194"/>
  <c r="DC9" i="194"/>
  <c r="DQ43" i="194"/>
  <c r="DH19" i="194"/>
  <c r="DP37" i="194"/>
  <c r="DR17" i="194"/>
  <c r="DK52" i="194"/>
  <c r="DN25" i="194"/>
  <c r="DK25" i="194"/>
  <c r="DJ15" i="194"/>
  <c r="DN15" i="194"/>
  <c r="DN45" i="194"/>
  <c r="DR25" i="194"/>
  <c r="DP33" i="194"/>
  <c r="DO32" i="194"/>
  <c r="DJ27" i="194"/>
  <c r="DM19" i="194"/>
  <c r="DE6" i="194"/>
  <c r="DN50" i="194"/>
  <c r="DD36" i="194"/>
  <c r="DL17" i="194"/>
  <c r="DP54" i="194"/>
  <c r="DQ26" i="194"/>
  <c r="DE22" i="194"/>
  <c r="DR6" i="194"/>
  <c r="DL47" i="194"/>
  <c r="DO34" i="194"/>
  <c r="DI28" i="194"/>
  <c r="DG6" i="194"/>
  <c r="DQ38" i="194"/>
  <c r="DN18" i="194"/>
  <c r="DS11" i="194"/>
  <c r="DC60" i="194"/>
  <c r="DL9" i="194"/>
  <c r="DO27" i="194"/>
  <c r="DP12" i="194"/>
  <c r="DG25" i="194"/>
  <c r="DN8" i="194"/>
  <c r="DS28" i="194"/>
  <c r="DD60" i="194"/>
  <c r="DI48" i="194"/>
  <c r="DF36" i="194"/>
  <c r="DP16" i="194"/>
  <c r="DS34" i="194"/>
  <c r="DM31" i="194"/>
  <c r="DJ55" i="194"/>
  <c r="DF56" i="194"/>
  <c r="DE39" i="194"/>
  <c r="DF50" i="194"/>
  <c r="DI56" i="194"/>
  <c r="DL49" i="194"/>
  <c r="DK55" i="194"/>
  <c r="DL43" i="194"/>
  <c r="DG55" i="194"/>
  <c r="DF61" i="194"/>
  <c r="DG49" i="194"/>
  <c r="DQ48" i="194"/>
  <c r="DR51" i="194"/>
  <c r="DQ57" i="194"/>
  <c r="DR45" i="194"/>
  <c r="DQ53" i="194"/>
  <c r="DQ47" i="194"/>
  <c r="DH22" i="194"/>
  <c r="DE34" i="194"/>
  <c r="DK19" i="194"/>
  <c r="DQ6" i="194"/>
  <c r="DJ58" i="194"/>
  <c r="DG37" i="194"/>
  <c r="DN27" i="194"/>
  <c r="DS35" i="194"/>
  <c r="DL7" i="194"/>
  <c r="DO11" i="194"/>
  <c r="DS40" i="194"/>
  <c r="DI19" i="194"/>
  <c r="DQ31" i="194"/>
  <c r="DH37" i="194"/>
  <c r="DR15" i="194"/>
  <c r="DM49" i="194"/>
  <c r="DQ22" i="194"/>
  <c r="DL61" i="194"/>
  <c r="DF17" i="194"/>
  <c r="DL54" i="194"/>
  <c r="DG26" i="194"/>
  <c r="DS21" i="194"/>
  <c r="DF10" i="194"/>
  <c r="DR19" i="194"/>
  <c r="DQ30" i="194"/>
  <c r="DC21" i="194"/>
  <c r="DJ9" i="194"/>
  <c r="DN9" i="194"/>
  <c r="DR56" i="194"/>
  <c r="DP35" i="194"/>
  <c r="DE28" i="194"/>
  <c r="DD27" i="194"/>
  <c r="DS22" i="194"/>
  <c r="DJ11" i="194"/>
  <c r="DN11" i="194"/>
  <c r="DE50" i="194"/>
  <c r="DN23" i="194"/>
  <c r="DS15" i="194"/>
  <c r="DO54" i="194"/>
  <c r="DP34" i="194"/>
  <c r="DO31" i="194"/>
  <c r="DI7" i="194"/>
  <c r="DC47" i="194"/>
  <c r="DG22" i="194"/>
  <c r="DC19" i="194"/>
  <c r="DF6" i="194"/>
  <c r="DJ18" i="194"/>
  <c r="DR29" i="194"/>
  <c r="DR14" i="194"/>
  <c r="DD45" i="194"/>
  <c r="DJ13" i="194"/>
  <c r="DD29" i="194"/>
  <c r="DN12" i="194"/>
  <c r="DN24" i="194"/>
  <c r="DJ43" i="194"/>
  <c r="DL26" i="194"/>
  <c r="DR55" i="194"/>
  <c r="DS54" i="194"/>
  <c r="DC37" i="194"/>
  <c r="DG58" i="194"/>
  <c r="DO13" i="194"/>
  <c r="DC34" i="194"/>
  <c r="DS7" i="194"/>
  <c r="DE41" i="194"/>
  <c r="DD47" i="194"/>
  <c r="DD59" i="194"/>
  <c r="DQ25" i="194"/>
  <c r="DO53" i="194"/>
  <c r="DJ40" i="194"/>
  <c r="DL32" i="194"/>
  <c r="DF40" i="194"/>
  <c r="DE46" i="194"/>
  <c r="DE58" i="194"/>
  <c r="DQ24" i="194"/>
  <c r="DD56" i="194"/>
  <c r="DP42" i="194"/>
  <c r="DR34" i="194"/>
  <c r="DN47" i="194"/>
  <c r="DN41" i="194"/>
  <c r="DI32" i="194"/>
  <c r="DC54" i="194"/>
  <c r="DL12" i="194"/>
  <c r="DD17" i="194"/>
  <c r="DH51" i="194"/>
  <c r="DE30" i="194"/>
  <c r="DL36" i="194"/>
  <c r="DL20" i="194"/>
  <c r="DK7" i="194"/>
  <c r="DF8" i="194"/>
  <c r="DE59" i="194"/>
  <c r="DF28" i="194"/>
  <c r="DS46" i="194"/>
  <c r="DK23" i="194"/>
  <c r="DQ12" i="194"/>
  <c r="DG45" i="194"/>
  <c r="DP19" i="194"/>
  <c r="DM40" i="194"/>
  <c r="DD18" i="194"/>
  <c r="DR53" i="194"/>
  <c r="DN26" i="194"/>
  <c r="DM18" i="194"/>
  <c r="DF47" i="194"/>
  <c r="DC31" i="194"/>
  <c r="DD34" i="194"/>
  <c r="DE7" i="194"/>
  <c r="DI9" i="194"/>
  <c r="DO39" i="194"/>
  <c r="DF58" i="194"/>
  <c r="DP41" i="194"/>
  <c r="DJ47" i="194"/>
  <c r="DJ36" i="194"/>
  <c r="DE10" i="194"/>
  <c r="DQ11" i="194"/>
  <c r="DN56" i="194"/>
  <c r="DG28" i="194"/>
  <c r="DE23" i="194"/>
  <c r="DJ7" i="194"/>
  <c r="DC48" i="194"/>
  <c r="DN35" i="194"/>
  <c r="DQ28" i="194"/>
  <c r="DG7" i="194"/>
  <c r="DI46" i="194"/>
  <c r="DN22" i="194"/>
  <c r="DK14" i="194"/>
  <c r="DQ44" i="194"/>
  <c r="DL30" i="194"/>
  <c r="DC27" i="194"/>
  <c r="DH15" i="194"/>
  <c r="DL29" i="194"/>
  <c r="DN13" i="194"/>
  <c r="DL27" i="194"/>
  <c r="DP52" i="194"/>
  <c r="DD21" i="194"/>
  <c r="DJ61" i="194"/>
  <c r="DD10" i="194"/>
  <c r="DQ37" i="194"/>
  <c r="DM10" i="194"/>
  <c r="DS18" i="194"/>
  <c r="DK11" i="194"/>
  <c r="DL35" i="194"/>
  <c r="DE12" i="194"/>
  <c r="DK43" i="194"/>
  <c r="DH61" i="194"/>
  <c r="DH43" i="194"/>
  <c r="DH55" i="194"/>
  <c r="DQ21" i="194"/>
  <c r="DS49" i="194"/>
  <c r="DC61" i="194"/>
  <c r="DP28" i="194"/>
  <c r="DI60" i="194"/>
  <c r="DI42" i="194"/>
  <c r="DI54" i="194"/>
  <c r="DQ20" i="194"/>
  <c r="DH52" i="194"/>
  <c r="DC39" i="194"/>
  <c r="DE31" i="194"/>
  <c r="DI59" i="194"/>
  <c r="DN38" i="194"/>
  <c r="DM28" i="194"/>
  <c r="DR36" i="194"/>
  <c r="DL8" i="194"/>
  <c r="DO12" i="194"/>
  <c r="DP43" i="194"/>
  <c r="DI22" i="194"/>
  <c r="DP32" i="194"/>
  <c r="DO38" i="194"/>
  <c r="DO16" i="194"/>
  <c r="DM57" i="194"/>
  <c r="DM51" i="194"/>
  <c r="DH24" i="194"/>
  <c r="DC36" i="194"/>
  <c r="DS20" i="194"/>
  <c r="DQ8" i="194"/>
  <c r="DL55" i="194"/>
  <c r="DE44" i="194"/>
  <c r="DM32" i="194"/>
  <c r="DG11" i="194"/>
  <c r="DM42" i="194"/>
  <c r="DN19" i="194"/>
  <c r="DC13" i="194"/>
  <c r="DN54" i="194"/>
  <c r="DP24" i="194"/>
  <c r="DS27" i="194"/>
  <c r="DD12" i="194"/>
  <c r="DC16" i="194"/>
  <c r="DS50" i="194"/>
  <c r="DC45" i="194"/>
  <c r="DI33" i="194"/>
  <c r="DF34" i="194"/>
  <c r="DH30" i="194"/>
  <c r="DD14" i="194"/>
  <c r="DE18" i="194"/>
  <c r="DE56" i="194"/>
  <c r="DG35" i="194"/>
  <c r="DN32" i="194"/>
  <c r="DQ7" i="194"/>
  <c r="DR48" i="194"/>
  <c r="DG23" i="194"/>
  <c r="DS19" i="194"/>
  <c r="DN6" i="194"/>
  <c r="DJ26" i="194"/>
  <c r="DN33" i="194"/>
  <c r="DC6" i="194"/>
  <c r="DD40" i="194"/>
  <c r="DP17" i="194"/>
  <c r="DI36" i="194"/>
  <c r="DG15" i="194"/>
  <c r="DK29" i="194"/>
  <c r="DH60" i="194"/>
  <c r="DD25" i="194"/>
  <c r="DP50" i="194"/>
  <c r="DK20" i="194"/>
  <c r="DE60" i="194"/>
  <c r="DJ14" i="194"/>
  <c r="DE11" i="194"/>
  <c r="DI12" i="194"/>
  <c r="DI8" i="194"/>
  <c r="DG14" i="194"/>
  <c r="DG13" i="194"/>
  <c r="DP51" i="194"/>
  <c r="DH59" i="194"/>
  <c r="DS55" i="194"/>
  <c r="DO55" i="194"/>
  <c r="DO49" i="194"/>
  <c r="DD49" i="194"/>
  <c r="DD43" i="194"/>
  <c r="DC41" i="194"/>
  <c r="DJ19" i="194"/>
  <c r="DE40" i="194"/>
  <c r="DL25" i="194"/>
  <c r="DF13" i="194"/>
  <c r="DR32" i="194"/>
  <c r="DS26" i="194"/>
  <c r="DS58" i="194"/>
  <c r="DF38" i="194"/>
  <c r="DM7" i="194"/>
  <c r="DG43" i="194"/>
  <c r="DE15" i="194"/>
  <c r="DR33" i="194"/>
  <c r="DJ10" i="194"/>
  <c r="DR31" i="194"/>
  <c r="DK17" i="194"/>
  <c r="DR58" i="194"/>
  <c r="DG27" i="194"/>
  <c r="DD24" i="194"/>
  <c r="DH12" i="194"/>
  <c r="DH23" i="194"/>
  <c r="DH8" i="194"/>
  <c r="DE35" i="194"/>
  <c r="DI53" i="194"/>
  <c r="DE21" i="194"/>
  <c r="DC40" i="194"/>
  <c r="DC25" i="194"/>
  <c r="DC28" i="194"/>
  <c r="DC23" i="194"/>
  <c r="DR16" i="194"/>
  <c r="DH14" i="194"/>
  <c r="DC11" i="194"/>
  <c r="DO60" i="194"/>
  <c r="DF43" i="194"/>
  <c r="DS57" i="194"/>
  <c r="DP36" i="194"/>
  <c r="DI50" i="194"/>
  <c r="DF29" i="194"/>
  <c r="DO43" i="194"/>
  <c r="DP46" i="194"/>
  <c r="DP40" i="194"/>
  <c r="DE61" i="194"/>
  <c r="DS29" i="194"/>
  <c r="DR13" i="194"/>
  <c r="DR46" i="194"/>
  <c r="DF33" i="194"/>
  <c r="DC35" i="194"/>
  <c r="DO10" i="194"/>
  <c r="DE27" i="194"/>
  <c r="DM48" i="194"/>
  <c r="DR28" i="194"/>
  <c r="DL52" i="194"/>
  <c r="DQ36" i="194"/>
  <c r="DL16" i="194"/>
  <c r="DS44" i="194"/>
  <c r="DN21" i="194"/>
  <c r="DC14" i="194"/>
  <c r="DJ49" i="194"/>
  <c r="DH29" i="194"/>
  <c r="DO48" i="194"/>
  <c r="DC15" i="194"/>
  <c r="DH34" i="194"/>
  <c r="DI6" i="194"/>
  <c r="DL59" i="194"/>
  <c r="DM30" i="194"/>
  <c r="DC30" i="194"/>
  <c r="DM41" i="194"/>
  <c r="DM39" i="194"/>
  <c r="DO17" i="194"/>
  <c r="DN44" i="194"/>
  <c r="DJ44" i="194"/>
  <c r="DJ38" i="194"/>
  <c r="DC57" i="194"/>
  <c r="DQ35" i="194"/>
  <c r="DO52" i="194"/>
  <c r="DL31" i="194"/>
  <c r="DN59" i="194"/>
  <c r="DJ35" i="194"/>
  <c r="DR52" i="194"/>
  <c r="DH21" i="194"/>
  <c r="DM17" i="194"/>
  <c r="DM55" i="194"/>
  <c r="DO26" i="194"/>
  <c r="DD6" i="194"/>
  <c r="DG56" i="194"/>
  <c r="DD7" i="194"/>
  <c r="DK31" i="194"/>
  <c r="DM16" i="194"/>
  <c r="DC38" i="194"/>
  <c r="DK12" i="194"/>
  <c r="DE47" i="194"/>
  <c r="DP20" i="194"/>
  <c r="DC46" i="194"/>
  <c r="DD19" i="194"/>
  <c r="DM36" i="194"/>
  <c r="DG8" i="194"/>
  <c r="DF23" i="194"/>
  <c r="DI52" i="194"/>
  <c r="DP30" i="194"/>
  <c r="DK39" i="194"/>
  <c r="DE13" i="194"/>
  <c r="DD26" i="194"/>
  <c r="DD9" i="194"/>
  <c r="DJ8" i="194"/>
  <c r="DF14" i="194"/>
  <c r="DC58" i="194"/>
  <c r="DQ56" i="194"/>
  <c r="DI14" i="194"/>
  <c r="DE19" i="194"/>
  <c r="DG18" i="194"/>
  <c r="DR40" i="194"/>
  <c r="DN40" i="194"/>
  <c r="DM58" i="194"/>
  <c r="DG53" i="194"/>
  <c r="DD32" i="194"/>
  <c r="DS48" i="194"/>
  <c r="DP27" i="194"/>
  <c r="DM37" i="194"/>
  <c r="DN31" i="194"/>
  <c r="DI45" i="194"/>
  <c r="DH17" i="194"/>
  <c r="DM12" i="194"/>
  <c r="DD48" i="194"/>
  <c r="DO22" i="194"/>
  <c r="DS14" i="194"/>
  <c r="DK44" i="194"/>
  <c r="DS13" i="194"/>
  <c r="DP25" i="194"/>
  <c r="DH10" i="194"/>
  <c r="DI31" i="194"/>
  <c r="DK8" i="194"/>
  <c r="DS56" i="194"/>
  <c r="DN51" i="194"/>
  <c r="DD33" i="194"/>
  <c r="DG12" i="194"/>
  <c r="DG24" i="194"/>
  <c r="DN7" i="194"/>
  <c r="DM34" i="194"/>
  <c r="DM47" i="194"/>
  <c r="DP49" i="194"/>
  <c r="DQ39" i="194"/>
  <c r="DD11" i="194"/>
  <c r="DS23" i="194"/>
  <c r="DJ12" i="194"/>
  <c r="DP8" i="194"/>
  <c r="DD42" i="194"/>
  <c r="DE51" i="194"/>
  <c r="DF59" i="194"/>
  <c r="DI16" i="194"/>
  <c r="DC50" i="194"/>
  <c r="DC44" i="194"/>
  <c r="DN61" i="194"/>
  <c r="DM52" i="194"/>
  <c r="DC55" i="194"/>
  <c r="DD58" i="194"/>
  <c r="DD52" i="194"/>
  <c r="DP59" i="194"/>
  <c r="DO58" i="194"/>
  <c r="DS10" i="194"/>
  <c r="DE45" i="194"/>
  <c r="DF21" i="194"/>
  <c r="DK18" i="194"/>
  <c r="DS52" i="194"/>
  <c r="DM24" i="194"/>
  <c r="DP9" i="194"/>
  <c r="DG21" i="194"/>
  <c r="DR60" i="194"/>
  <c r="DE25" i="194"/>
  <c r="DK40" i="194"/>
  <c r="DD22" i="194"/>
  <c r="DH9" i="194"/>
  <c r="DN57" i="194"/>
  <c r="DM27" i="194"/>
  <c r="DD8" i="194"/>
  <c r="DI51" i="194"/>
  <c r="DD61" i="194"/>
  <c r="DP48" i="194"/>
  <c r="DG16" i="194"/>
  <c r="DI26" i="194"/>
  <c r="DJ6" i="194"/>
  <c r="DS30" i="194"/>
  <c r="DN14" i="194"/>
  <c r="DH58" i="194"/>
  <c r="DC52" i="194"/>
  <c r="DM29" i="194"/>
  <c r="DI13" i="194"/>
  <c r="DO50" i="194"/>
  <c r="DG42" i="194"/>
  <c r="DD37" i="194"/>
  <c r="DJ34" i="194"/>
  <c r="DS42" i="194"/>
  <c r="DF54" i="194"/>
  <c r="DC33" i="194"/>
  <c r="DM46" i="194"/>
  <c r="DI25" i="194"/>
  <c r="DS39" i="194"/>
  <c r="DC43" i="194"/>
  <c r="DS60" i="194"/>
  <c r="DM53" i="194"/>
  <c r="DF26" i="194"/>
  <c r="DR9" i="194"/>
  <c r="DI39" i="194"/>
  <c r="DJ29" i="194"/>
  <c r="DP14" i="194"/>
  <c r="DR26" i="194"/>
  <c r="DG31" i="194"/>
  <c r="DO6" i="194"/>
  <c r="DN20" i="194"/>
  <c r="DE55" i="194"/>
  <c r="DL22" i="194"/>
  <c r="DG41" i="194"/>
  <c r="DF31" i="194"/>
  <c r="DO9" i="194"/>
  <c r="DO37" i="194"/>
  <c r="DD41" i="194"/>
  <c r="DS9" i="194"/>
  <c r="DI49" i="194"/>
  <c r="DC20" i="194"/>
  <c r="DK6" i="194"/>
  <c r="DP21" i="194"/>
  <c r="DH6" i="194"/>
  <c r="DR30" i="194"/>
  <c r="DN60" i="194"/>
  <c r="DK38" i="194"/>
  <c r="DP23" i="194"/>
  <c r="DJ30" i="194"/>
  <c r="DN58" i="194"/>
  <c r="DM60" i="194"/>
  <c r="DR44" i="194"/>
  <c r="DR38" i="194"/>
  <c r="DK57" i="194"/>
  <c r="DH36" i="194"/>
  <c r="DR49" i="194"/>
  <c r="DO28" i="194"/>
  <c r="DL46" i="194"/>
  <c r="DF55" i="194"/>
  <c r="DE36" i="194"/>
  <c r="DS16" i="194"/>
  <c r="DQ58" i="194"/>
  <c r="DF51" i="194"/>
  <c r="DC10" i="194"/>
  <c r="DH42" i="194"/>
  <c r="DF20" i="194"/>
  <c r="DN16" i="194"/>
  <c r="DP26" i="194"/>
  <c r="DH11" i="194"/>
  <c r="DH32" i="194"/>
  <c r="DK58" i="194"/>
  <c r="DE24" i="194"/>
  <c r="DQ15" i="194"/>
  <c r="DM45" i="194"/>
  <c r="DO21" i="194"/>
  <c r="DJ16" i="194"/>
  <c r="DM6" i="194"/>
  <c r="DD35" i="194"/>
  <c r="DC49" i="194"/>
  <c r="DL53" i="194"/>
  <c r="DI47" i="194"/>
  <c r="DD15" i="194"/>
  <c r="DI18" i="194"/>
  <c r="DI15" i="194"/>
  <c r="DH13" i="194"/>
  <c r="DE57" i="194"/>
  <c r="DE38" i="194"/>
  <c r="DG17" i="194"/>
  <c r="DM33" i="194"/>
  <c r="DD38" i="194"/>
  <c r="DK10" i="194"/>
  <c r="DS38" i="194"/>
  <c r="DI40" i="194"/>
  <c r="DC26" i="194"/>
  <c r="DI24" i="194"/>
  <c r="DN34" i="194"/>
  <c r="DR35" i="194"/>
  <c r="DQ50" i="194"/>
  <c r="DD23" i="194"/>
  <c r="DO42" i="194"/>
  <c r="DF49" i="194"/>
  <c r="DL56" i="194"/>
  <c r="DE20" i="194"/>
  <c r="DQ45" i="194"/>
  <c r="DG9" i="194"/>
  <c r="DM22" i="194"/>
  <c r="DL19" i="194"/>
  <c r="DG30" i="194"/>
  <c r="DN29" i="194"/>
  <c r="DP7" i="194"/>
  <c r="DE43" i="194"/>
  <c r="DF30" i="194"/>
  <c r="DN28" i="194"/>
  <c r="DR61" i="194"/>
  <c r="DE14" i="194"/>
  <c r="DK24" i="194"/>
  <c r="DQ59" i="194"/>
  <c r="DS31" i="194"/>
  <c r="DH7" i="194"/>
  <c r="DI37" i="194"/>
  <c r="DF44" i="194"/>
  <c r="DN37" i="194"/>
  <c r="DD13" i="194"/>
  <c r="DC7" i="194"/>
  <c r="DL28" i="194"/>
  <c r="DS43" i="194"/>
  <c r="DL24" i="194"/>
  <c r="DE37" i="194"/>
  <c r="DQ27" i="194"/>
  <c r="DM23" i="194"/>
  <c r="DF12" i="194"/>
  <c r="DP22" i="194"/>
  <c r="DC51" i="194"/>
  <c r="DA6" i="194"/>
  <c r="DA11" i="194"/>
  <c r="DA14" i="194"/>
  <c r="CE20" i="168"/>
  <c r="CE13" i="169"/>
  <c r="DG4" i="194"/>
  <c r="CG15" i="159"/>
  <c r="K22" i="157"/>
  <c r="CG16" i="159"/>
  <c r="S2" i="124"/>
  <c r="S2" i="125"/>
  <c r="G423" i="171"/>
  <c r="F423" i="171"/>
  <c r="G363" i="171"/>
  <c r="F363" i="171"/>
  <c r="F248" i="170"/>
  <c r="N248" i="170"/>
  <c r="F161" i="170"/>
  <c r="N161" i="170"/>
  <c r="Q457" i="174"/>
  <c r="Y457" i="174"/>
  <c r="Y188" i="163"/>
  <c r="R474" i="163"/>
  <c r="Q517" i="163"/>
  <c r="F202" i="170"/>
  <c r="F402" i="171"/>
  <c r="N402" i="171"/>
  <c r="F116" i="171"/>
  <c r="N116" i="171"/>
  <c r="N243" i="171"/>
  <c r="F243" i="171"/>
  <c r="F105" i="171"/>
  <c r="G105" i="171"/>
  <c r="G103" i="171"/>
  <c r="N103" i="171"/>
  <c r="F434" i="170"/>
  <c r="N434" i="170"/>
  <c r="F470" i="170"/>
  <c r="N470" i="170"/>
  <c r="Y167" i="174"/>
  <c r="Q167" i="174"/>
  <c r="G330" i="170"/>
  <c r="G107" i="171"/>
  <c r="Y423" i="163"/>
  <c r="R423" i="163"/>
  <c r="Y229" i="163"/>
  <c r="R229" i="163"/>
  <c r="Q477" i="163"/>
  <c r="R477" i="163"/>
  <c r="F203" i="170"/>
  <c r="G203" i="170"/>
  <c r="F503" i="170"/>
  <c r="G503" i="170"/>
  <c r="N173" i="171"/>
  <c r="F295" i="171"/>
  <c r="R187" i="171"/>
  <c r="Q187" i="171"/>
  <c r="R300" i="171"/>
  <c r="Y300" i="171"/>
  <c r="Y466" i="171"/>
  <c r="R466" i="171"/>
  <c r="R501" i="170"/>
  <c r="Y501" i="170"/>
  <c r="Q80" i="170"/>
  <c r="Y80" i="170"/>
  <c r="Q451" i="170"/>
  <c r="R451" i="170"/>
  <c r="F170" i="174"/>
  <c r="N170" i="174"/>
  <c r="G334" i="174"/>
  <c r="N334" i="174"/>
  <c r="F292" i="174"/>
  <c r="N292" i="174"/>
  <c r="G145" i="163"/>
  <c r="N145" i="163"/>
  <c r="F145" i="163"/>
  <c r="N148" i="163"/>
  <c r="F148" i="163"/>
  <c r="G148" i="163"/>
  <c r="G267" i="163"/>
  <c r="N267" i="163"/>
  <c r="F267" i="163"/>
  <c r="N517" i="163"/>
  <c r="F517" i="163"/>
  <c r="G517" i="163"/>
  <c r="F127" i="163"/>
  <c r="G127" i="163"/>
  <c r="N127" i="163"/>
  <c r="F70" i="163"/>
  <c r="G70" i="163"/>
  <c r="G510" i="163"/>
  <c r="N510" i="163"/>
  <c r="F510" i="163"/>
  <c r="F186" i="163"/>
  <c r="G186" i="163"/>
  <c r="F326" i="163"/>
  <c r="N326" i="163"/>
  <c r="G420" i="163"/>
  <c r="N420" i="163"/>
  <c r="F420" i="163"/>
  <c r="G83" i="163"/>
  <c r="N83" i="163"/>
  <c r="F83" i="163"/>
  <c r="N102" i="163"/>
  <c r="G102" i="163"/>
  <c r="F102" i="163"/>
  <c r="N244" i="163"/>
  <c r="F244" i="163"/>
  <c r="G244" i="163"/>
  <c r="N336" i="163"/>
  <c r="F336" i="163"/>
  <c r="G171" i="163"/>
  <c r="N171" i="163"/>
  <c r="F171" i="163"/>
  <c r="G91" i="163"/>
  <c r="N91" i="163"/>
  <c r="N160" i="163"/>
  <c r="F160" i="163"/>
  <c r="G160" i="163"/>
  <c r="G381" i="163"/>
  <c r="N381" i="163"/>
  <c r="F302" i="163"/>
  <c r="G302" i="163"/>
  <c r="F188" i="163"/>
  <c r="N188" i="163"/>
  <c r="G491" i="163"/>
  <c r="N491" i="163"/>
  <c r="F491" i="163"/>
  <c r="N409" i="163"/>
  <c r="G409" i="163"/>
  <c r="F409" i="163"/>
  <c r="N184" i="163"/>
  <c r="F184" i="163"/>
  <c r="G438" i="163"/>
  <c r="N438" i="163"/>
  <c r="F438" i="163"/>
  <c r="N214" i="163"/>
  <c r="F214" i="163"/>
  <c r="G214" i="163"/>
  <c r="F100" i="163"/>
  <c r="G100" i="163"/>
  <c r="G448" i="163"/>
  <c r="N448" i="163"/>
  <c r="F71" i="163"/>
  <c r="G71" i="163"/>
  <c r="N71" i="163"/>
  <c r="N307" i="163"/>
  <c r="F307" i="163"/>
  <c r="N57" i="163"/>
  <c r="G57" i="163"/>
  <c r="F57" i="163"/>
  <c r="N313" i="163"/>
  <c r="F313" i="163"/>
  <c r="G313" i="163"/>
  <c r="F272" i="163"/>
  <c r="G272" i="163"/>
  <c r="N364" i="163"/>
  <c r="F364" i="163"/>
  <c r="G364" i="163"/>
  <c r="G493" i="163"/>
  <c r="N493" i="163"/>
  <c r="Y236" i="163"/>
  <c r="R236" i="163"/>
  <c r="F59" i="170"/>
  <c r="G59" i="170"/>
  <c r="F354" i="170"/>
  <c r="N354" i="170"/>
  <c r="N477" i="171"/>
  <c r="Q294" i="163"/>
  <c r="F303" i="163"/>
  <c r="Y48" i="163"/>
  <c r="R459" i="171"/>
  <c r="G308" i="170"/>
  <c r="Y294" i="163"/>
  <c r="F386" i="170"/>
  <c r="N110" i="170"/>
  <c r="Q184" i="170"/>
  <c r="F427" i="171"/>
  <c r="F138" i="174"/>
  <c r="N422" i="163"/>
  <c r="N287" i="163"/>
  <c r="R446" i="174"/>
  <c r="Y446" i="174"/>
  <c r="Q446" i="174"/>
  <c r="Y209" i="163"/>
  <c r="G110" i="170"/>
  <c r="Y184" i="170"/>
  <c r="N138" i="174"/>
  <c r="G198" i="163"/>
  <c r="F93" i="163"/>
  <c r="Y127" i="174"/>
  <c r="Q272" i="174"/>
  <c r="Y72" i="174"/>
  <c r="R369" i="163"/>
  <c r="Y264" i="163"/>
  <c r="Y82" i="163"/>
  <c r="N76" i="171"/>
  <c r="F198" i="163"/>
  <c r="R127" i="174"/>
  <c r="Y272" i="174"/>
  <c r="Q126" i="174"/>
  <c r="R20" i="200"/>
  <c r="R43" i="200"/>
  <c r="U12" i="198" s="1"/>
  <c r="R11" i="200"/>
  <c r="R16" i="200"/>
  <c r="R17" i="200"/>
  <c r="R5" i="200"/>
  <c r="R51" i="200"/>
  <c r="U20" i="198" s="1"/>
  <c r="R47" i="200"/>
  <c r="U16" i="198" s="1"/>
  <c r="R42" i="200"/>
  <c r="U11" i="198" s="1"/>
  <c r="R10" i="200"/>
  <c r="R49" i="200"/>
  <c r="U18" i="198" s="1"/>
  <c r="R12" i="200"/>
  <c r="R14" i="200"/>
  <c r="R54" i="200"/>
  <c r="B62" i="195"/>
  <c r="G26" i="195"/>
  <c r="I22" i="154"/>
  <c r="F165" i="170"/>
  <c r="N165" i="170"/>
  <c r="G294" i="170"/>
  <c r="F294" i="170"/>
  <c r="F181" i="170"/>
  <c r="N181" i="170"/>
  <c r="G181" i="170"/>
  <c r="N55" i="170"/>
  <c r="F55" i="170"/>
  <c r="N187" i="170"/>
  <c r="F187" i="170"/>
  <c r="G187" i="170"/>
  <c r="N359" i="170"/>
  <c r="F359" i="170"/>
  <c r="Q53" i="174"/>
  <c r="R53" i="174"/>
  <c r="Q271" i="163"/>
  <c r="R271" i="163"/>
  <c r="Y320" i="163"/>
  <c r="R320" i="163"/>
  <c r="Q193" i="163"/>
  <c r="Y193" i="163"/>
  <c r="N471" i="171"/>
  <c r="F471" i="171"/>
  <c r="G471" i="171"/>
  <c r="G68" i="171"/>
  <c r="N68" i="171"/>
  <c r="F68" i="171"/>
  <c r="F422" i="171"/>
  <c r="G422" i="171"/>
  <c r="G330" i="171"/>
  <c r="F330" i="171"/>
  <c r="G196" i="171"/>
  <c r="N196" i="171"/>
  <c r="F196" i="171"/>
  <c r="N454" i="171"/>
  <c r="F454" i="171"/>
  <c r="G454" i="171"/>
  <c r="G218" i="171"/>
  <c r="F218" i="171"/>
  <c r="N133" i="171"/>
  <c r="F133" i="171"/>
  <c r="G311" i="171"/>
  <c r="N311" i="171"/>
  <c r="G291" i="171"/>
  <c r="F291" i="171"/>
  <c r="N291" i="171"/>
  <c r="G244" i="171"/>
  <c r="N244" i="171"/>
  <c r="G179" i="171"/>
  <c r="N179" i="171"/>
  <c r="F179" i="171"/>
  <c r="G320" i="171"/>
  <c r="N320" i="171"/>
  <c r="F320" i="171"/>
  <c r="F385" i="171"/>
  <c r="G385" i="171"/>
  <c r="N500" i="171"/>
  <c r="F500" i="171"/>
  <c r="R131" i="171"/>
  <c r="Y131" i="171"/>
  <c r="Y149" i="171"/>
  <c r="R149" i="171"/>
  <c r="Q254" i="171"/>
  <c r="R254" i="171"/>
  <c r="Y254" i="171"/>
  <c r="Q501" i="171"/>
  <c r="R501" i="171"/>
  <c r="Y501" i="171"/>
  <c r="Q410" i="171"/>
  <c r="R410" i="171"/>
  <c r="Y410" i="171"/>
  <c r="Q401" i="171"/>
  <c r="R401" i="171"/>
  <c r="Y401" i="171"/>
  <c r="Q511" i="171"/>
  <c r="R511" i="171"/>
  <c r="Q306" i="171"/>
  <c r="Y306" i="171"/>
  <c r="R306" i="171"/>
  <c r="G155" i="174"/>
  <c r="N155" i="174"/>
  <c r="F155" i="174"/>
  <c r="F121" i="174"/>
  <c r="G121" i="174"/>
  <c r="N121" i="174"/>
  <c r="N152" i="174"/>
  <c r="G152" i="174"/>
  <c r="F152" i="174"/>
  <c r="Y388" i="163"/>
  <c r="G173" i="171"/>
  <c r="R444" i="174"/>
  <c r="F52" i="170"/>
  <c r="R80" i="170"/>
  <c r="Y187" i="171"/>
  <c r="G169" i="174"/>
  <c r="G89" i="174"/>
  <c r="G243" i="171"/>
  <c r="N298" i="171"/>
  <c r="Y240" i="170"/>
  <c r="Q203" i="170"/>
  <c r="N174" i="174"/>
  <c r="N330" i="171"/>
  <c r="N503" i="170"/>
  <c r="Q103" i="170"/>
  <c r="R152" i="170"/>
  <c r="Y281" i="174"/>
  <c r="F259" i="170"/>
  <c r="F284" i="170"/>
  <c r="F34" i="170"/>
  <c r="N52" i="170"/>
  <c r="Q273" i="170"/>
  <c r="Q287" i="170"/>
  <c r="Y375" i="171"/>
  <c r="Y39" i="171"/>
  <c r="R165" i="171"/>
  <c r="Y21" i="171"/>
  <c r="F163" i="171"/>
  <c r="Q298" i="174"/>
  <c r="Y288" i="174"/>
  <c r="Q82" i="174"/>
  <c r="F302" i="174"/>
  <c r="F188" i="174"/>
  <c r="F89" i="174"/>
  <c r="R382" i="174"/>
  <c r="G506" i="170"/>
  <c r="N442" i="170"/>
  <c r="F208" i="170"/>
  <c r="F436" i="171"/>
  <c r="N386" i="171"/>
  <c r="F298" i="171"/>
  <c r="F322" i="174"/>
  <c r="Q512" i="163"/>
  <c r="F297" i="170"/>
  <c r="Y410" i="170"/>
  <c r="R418" i="174"/>
  <c r="R376" i="174"/>
  <c r="Y53" i="174"/>
  <c r="N407" i="174"/>
  <c r="R151" i="163"/>
  <c r="F413" i="170"/>
  <c r="N408" i="170"/>
  <c r="N80" i="170"/>
  <c r="F99" i="170"/>
  <c r="N422" i="171"/>
  <c r="R153" i="170"/>
  <c r="R237" i="171"/>
  <c r="N385" i="171"/>
  <c r="N238" i="171"/>
  <c r="G174" i="174"/>
  <c r="G419" i="171"/>
  <c r="F244" i="171"/>
  <c r="Q356" i="163"/>
  <c r="Y145" i="163"/>
  <c r="F271" i="170"/>
  <c r="N424" i="170"/>
  <c r="N296" i="170"/>
  <c r="N168" i="170"/>
  <c r="Y103" i="170"/>
  <c r="Q152" i="170"/>
  <c r="Y267" i="170"/>
  <c r="R38" i="171"/>
  <c r="R454" i="174"/>
  <c r="R281" i="174"/>
  <c r="G127" i="174"/>
  <c r="R240" i="163"/>
  <c r="Y314" i="163"/>
  <c r="N259" i="170"/>
  <c r="N284" i="170"/>
  <c r="N34" i="170"/>
  <c r="Y273" i="170"/>
  <c r="R264" i="170"/>
  <c r="Y287" i="170"/>
  <c r="R39" i="171"/>
  <c r="N163" i="171"/>
  <c r="G426" i="174"/>
  <c r="G367" i="174"/>
  <c r="N405" i="170"/>
  <c r="N208" i="170"/>
  <c r="Y421" i="170"/>
  <c r="Y151" i="170"/>
  <c r="N436" i="171"/>
  <c r="F29" i="171"/>
  <c r="N322" i="174"/>
  <c r="Y512" i="163"/>
  <c r="R24" i="163"/>
  <c r="N297" i="170"/>
  <c r="R157" i="170"/>
  <c r="F248" i="171"/>
  <c r="F466" i="174"/>
  <c r="G407" i="174"/>
  <c r="F269" i="174"/>
  <c r="G72" i="174"/>
  <c r="Q328" i="171"/>
  <c r="G338" i="174"/>
  <c r="G413" i="170"/>
  <c r="G408" i="170"/>
  <c r="G80" i="170"/>
  <c r="N99" i="170"/>
  <c r="Q301" i="170"/>
  <c r="R292" i="170"/>
  <c r="Q153" i="170"/>
  <c r="Y237" i="171"/>
  <c r="F419" i="171"/>
  <c r="F440" i="170"/>
  <c r="G177" i="163"/>
  <c r="N177" i="163"/>
  <c r="G127" i="170"/>
  <c r="N127" i="170"/>
  <c r="N69" i="170"/>
  <c r="F69" i="170"/>
  <c r="G69" i="170"/>
  <c r="G43" i="170"/>
  <c r="F43" i="170"/>
  <c r="G433" i="170"/>
  <c r="N433" i="170"/>
  <c r="Q377" i="174"/>
  <c r="Y377" i="174"/>
  <c r="Y455" i="174"/>
  <c r="Q455" i="174"/>
  <c r="Y32" i="174"/>
  <c r="Q32" i="174"/>
  <c r="R158" i="174"/>
  <c r="Y158" i="174"/>
  <c r="Y30" i="174"/>
  <c r="R30" i="174"/>
  <c r="Q30" i="174"/>
  <c r="Q352" i="174"/>
  <c r="R352" i="174"/>
  <c r="Y352" i="174"/>
  <c r="Y64" i="174"/>
  <c r="Q64" i="174"/>
  <c r="Q281" i="163"/>
  <c r="Y281" i="163"/>
  <c r="Y318" i="163"/>
  <c r="Q318" i="163"/>
  <c r="G189" i="171"/>
  <c r="N189" i="171"/>
  <c r="G112" i="171"/>
  <c r="N112" i="171"/>
  <c r="N484" i="171"/>
  <c r="F484" i="171"/>
  <c r="Y261" i="171"/>
  <c r="Q261" i="171"/>
  <c r="R261" i="171"/>
  <c r="R492" i="171"/>
  <c r="Y492" i="171"/>
  <c r="Q492" i="171"/>
  <c r="Q321" i="170"/>
  <c r="R321" i="170"/>
  <c r="G514" i="174"/>
  <c r="N514" i="174"/>
  <c r="N195" i="174"/>
  <c r="G195" i="174"/>
  <c r="N135" i="174"/>
  <c r="F135" i="174"/>
  <c r="F109" i="174"/>
  <c r="G109" i="174"/>
  <c r="N109" i="174"/>
  <c r="G227" i="174"/>
  <c r="N227" i="174"/>
  <c r="F227" i="174"/>
  <c r="F315" i="174"/>
  <c r="G315" i="174"/>
  <c r="G470" i="170"/>
  <c r="Y382" i="174"/>
  <c r="N506" i="170"/>
  <c r="G161" i="170"/>
  <c r="Y376" i="174"/>
  <c r="Y151" i="163"/>
  <c r="Q425" i="174"/>
  <c r="Q103" i="163"/>
  <c r="F127" i="174"/>
  <c r="Q187" i="163"/>
  <c r="N27" i="171"/>
  <c r="Y279" i="171"/>
  <c r="F32" i="174"/>
  <c r="F72" i="174"/>
  <c r="Y328" i="171"/>
  <c r="Y301" i="170"/>
  <c r="G500" i="171"/>
  <c r="G133" i="171"/>
  <c r="Y103" i="163"/>
  <c r="G271" i="170"/>
  <c r="N78" i="170"/>
  <c r="R511" i="170"/>
  <c r="Y367" i="170"/>
  <c r="Y38" i="170"/>
  <c r="Y404" i="171"/>
  <c r="F514" i="171"/>
  <c r="G235" i="171"/>
  <c r="F394" i="171"/>
  <c r="Q227" i="174"/>
  <c r="N374" i="174"/>
  <c r="G380" i="174"/>
  <c r="F317" i="174"/>
  <c r="F69" i="174"/>
  <c r="Y187" i="163"/>
  <c r="N468" i="170"/>
  <c r="N387" i="170"/>
  <c r="R28" i="170"/>
  <c r="F304" i="171"/>
  <c r="F131" i="171"/>
  <c r="Y279" i="174"/>
  <c r="F515" i="174"/>
  <c r="F351" i="174"/>
  <c r="Y159" i="174"/>
  <c r="R450" i="163"/>
  <c r="N511" i="170"/>
  <c r="F375" i="170"/>
  <c r="F91" i="170"/>
  <c r="R279" i="171"/>
  <c r="R57" i="171"/>
  <c r="G371" i="171"/>
  <c r="F186" i="171"/>
  <c r="Y276" i="174"/>
  <c r="G460" i="174"/>
  <c r="R379" i="163"/>
  <c r="G501" i="170"/>
  <c r="F111" i="170"/>
  <c r="Q88" i="170"/>
  <c r="Q495" i="171"/>
  <c r="R276" i="171"/>
  <c r="R216" i="171"/>
  <c r="G466" i="174"/>
  <c r="Y324" i="163"/>
  <c r="G221" i="170"/>
  <c r="Q270" i="170"/>
  <c r="Y292" i="170"/>
  <c r="G484" i="171"/>
  <c r="G440" i="170"/>
  <c r="N439" i="171"/>
  <c r="N456" i="170"/>
  <c r="F456" i="170"/>
  <c r="N132" i="170"/>
  <c r="F132" i="170"/>
  <c r="G132" i="170"/>
  <c r="G331" i="170"/>
  <c r="N331" i="170"/>
  <c r="N377" i="170"/>
  <c r="F377" i="170"/>
  <c r="G377" i="170"/>
  <c r="N517" i="170"/>
  <c r="F517" i="170"/>
  <c r="N256" i="170"/>
  <c r="F256" i="170"/>
  <c r="G256" i="170"/>
  <c r="Q351" i="174"/>
  <c r="Y351" i="174"/>
  <c r="Q148" i="174"/>
  <c r="R148" i="174"/>
  <c r="Y148" i="174"/>
  <c r="Q286" i="174"/>
  <c r="R286" i="174"/>
  <c r="Y304" i="174"/>
  <c r="Q304" i="174"/>
  <c r="R304" i="174"/>
  <c r="R119" i="174"/>
  <c r="Y119" i="174"/>
  <c r="Q119" i="174"/>
  <c r="Q129" i="174"/>
  <c r="R129" i="174"/>
  <c r="Q46" i="163"/>
  <c r="R46" i="163"/>
  <c r="R433" i="163"/>
  <c r="Q433" i="163"/>
  <c r="Q235" i="163"/>
  <c r="R235" i="163"/>
  <c r="Y510" i="163"/>
  <c r="Q510" i="163"/>
  <c r="R510" i="163"/>
  <c r="G250" i="171"/>
  <c r="N250" i="171"/>
  <c r="N359" i="171"/>
  <c r="F359" i="171"/>
  <c r="G185" i="171"/>
  <c r="N185" i="171"/>
  <c r="F185" i="171"/>
  <c r="G301" i="171"/>
  <c r="F301" i="171"/>
  <c r="N301" i="171"/>
  <c r="G461" i="171"/>
  <c r="F461" i="171"/>
  <c r="N461" i="171"/>
  <c r="G380" i="171"/>
  <c r="F380" i="171"/>
  <c r="R166" i="171"/>
  <c r="Q166" i="171"/>
  <c r="Q388" i="171"/>
  <c r="R388" i="171"/>
  <c r="Y68" i="171"/>
  <c r="R68" i="171"/>
  <c r="Y120" i="171"/>
  <c r="R120" i="171"/>
  <c r="R201" i="171"/>
  <c r="Q201" i="171"/>
  <c r="R312" i="170"/>
  <c r="Y312" i="170"/>
  <c r="R430" i="170"/>
  <c r="Y430" i="170"/>
  <c r="Q136" i="170"/>
  <c r="R136" i="170"/>
  <c r="Y136" i="170"/>
  <c r="G378" i="174"/>
  <c r="N378" i="174"/>
  <c r="F378" i="174"/>
  <c r="F53" i="174"/>
  <c r="G53" i="174"/>
  <c r="G281" i="174"/>
  <c r="F281" i="174"/>
  <c r="F511" i="174"/>
  <c r="G511" i="174"/>
  <c r="G83" i="174"/>
  <c r="N83" i="174"/>
  <c r="F83" i="174"/>
  <c r="F209" i="174"/>
  <c r="G209" i="174"/>
  <c r="N209" i="174"/>
  <c r="G231" i="174"/>
  <c r="F231" i="174"/>
  <c r="Y517" i="163"/>
  <c r="R188" i="163"/>
  <c r="Q263" i="163"/>
  <c r="R457" i="174"/>
  <c r="G116" i="171"/>
  <c r="Y298" i="174"/>
  <c r="Q288" i="174"/>
  <c r="G302" i="174"/>
  <c r="F442" i="170"/>
  <c r="Q385" i="163"/>
  <c r="Q410" i="170"/>
  <c r="N423" i="171"/>
  <c r="G248" i="170"/>
  <c r="N218" i="171"/>
  <c r="G434" i="170"/>
  <c r="G238" i="171"/>
  <c r="G359" i="170"/>
  <c r="Q145" i="163"/>
  <c r="Q339" i="163"/>
  <c r="G424" i="170"/>
  <c r="F78" i="170"/>
  <c r="F235" i="171"/>
  <c r="G394" i="171"/>
  <c r="F374" i="174"/>
  <c r="G317" i="174"/>
  <c r="R281" i="163"/>
  <c r="G405" i="170"/>
  <c r="R412" i="170"/>
  <c r="Q151" i="170"/>
  <c r="G29" i="171"/>
  <c r="N111" i="170"/>
  <c r="Y276" i="171"/>
  <c r="F338" i="174"/>
  <c r="N221" i="170"/>
  <c r="N294" i="170"/>
  <c r="Q471" i="163"/>
  <c r="N473" i="170"/>
  <c r="Y486" i="170"/>
  <c r="Y451" i="170"/>
  <c r="R222" i="170"/>
  <c r="R404" i="171"/>
  <c r="Y387" i="171"/>
  <c r="N514" i="171"/>
  <c r="Y354" i="174"/>
  <c r="F380" i="174"/>
  <c r="N181" i="174"/>
  <c r="N69" i="174"/>
  <c r="Y462" i="163"/>
  <c r="Q229" i="163"/>
  <c r="G468" i="170"/>
  <c r="G387" i="170"/>
  <c r="Q466" i="171"/>
  <c r="Y227" i="171"/>
  <c r="N304" i="171"/>
  <c r="G402" i="171"/>
  <c r="N131" i="171"/>
  <c r="R279" i="174"/>
  <c r="N515" i="174"/>
  <c r="G351" i="174"/>
  <c r="N375" i="170"/>
  <c r="F330" i="170"/>
  <c r="F72" i="170"/>
  <c r="N91" i="170"/>
  <c r="Q57" i="171"/>
  <c r="F371" i="171"/>
  <c r="G186" i="171"/>
  <c r="R276" i="174"/>
  <c r="F460" i="174"/>
  <c r="N427" i="170"/>
  <c r="F79" i="170"/>
  <c r="Q281" i="170"/>
  <c r="Y88" i="170"/>
  <c r="R495" i="171"/>
  <c r="Q378" i="171"/>
  <c r="R205" i="171"/>
  <c r="Q131" i="171"/>
  <c r="R426" i="163"/>
  <c r="R324" i="163"/>
  <c r="R193" i="163"/>
  <c r="F370" i="170"/>
  <c r="Q470" i="170"/>
  <c r="Y270" i="170"/>
  <c r="Y108" i="170"/>
  <c r="R356" i="171"/>
  <c r="Y22" i="171"/>
  <c r="F189" i="171"/>
  <c r="F112" i="171"/>
  <c r="G321" i="174"/>
  <c r="Q467" i="174"/>
  <c r="N31" i="174"/>
  <c r="R318" i="163"/>
  <c r="N241" i="170"/>
  <c r="F241" i="170"/>
  <c r="G369" i="170"/>
  <c r="N369" i="170"/>
  <c r="G162" i="170"/>
  <c r="F162" i="170"/>
  <c r="F371" i="170"/>
  <c r="G371" i="170"/>
  <c r="N183" i="170"/>
  <c r="F183" i="170"/>
  <c r="G507" i="170"/>
  <c r="F507" i="170"/>
  <c r="N108" i="170"/>
  <c r="F108" i="170"/>
  <c r="G108" i="170"/>
  <c r="G340" i="170"/>
  <c r="N340" i="170"/>
  <c r="N270" i="170"/>
  <c r="F270" i="170"/>
  <c r="N153" i="170"/>
  <c r="G153" i="170"/>
  <c r="G293" i="170"/>
  <c r="F293" i="170"/>
  <c r="N293" i="170"/>
  <c r="N186" i="170"/>
  <c r="G186" i="170"/>
  <c r="R372" i="174"/>
  <c r="Q372" i="174"/>
  <c r="Y134" i="174"/>
  <c r="Q134" i="174"/>
  <c r="R134" i="174"/>
  <c r="R314" i="174"/>
  <c r="Y314" i="174"/>
  <c r="Q269" i="163"/>
  <c r="R269" i="163"/>
  <c r="Y269" i="163"/>
  <c r="Q148" i="163"/>
  <c r="Y148" i="163"/>
  <c r="R338" i="163"/>
  <c r="Q338" i="163"/>
  <c r="N54" i="171"/>
  <c r="F54" i="171"/>
  <c r="G54" i="171"/>
  <c r="N297" i="171"/>
  <c r="F297" i="171"/>
  <c r="N130" i="171"/>
  <c r="F130" i="171"/>
  <c r="N498" i="171"/>
  <c r="F498" i="171"/>
  <c r="R425" i="171"/>
  <c r="Y425" i="171"/>
  <c r="Q425" i="171"/>
  <c r="R122" i="171"/>
  <c r="Y122" i="171"/>
  <c r="Q111" i="171"/>
  <c r="R111" i="171"/>
  <c r="Y111" i="171"/>
  <c r="Q435" i="171"/>
  <c r="R435" i="171"/>
  <c r="R355" i="171"/>
  <c r="Q355" i="171"/>
  <c r="Y52" i="171"/>
  <c r="Q52" i="171"/>
  <c r="R52" i="171"/>
  <c r="R104" i="171"/>
  <c r="Q104" i="171"/>
  <c r="Y104" i="171"/>
  <c r="Y54" i="170"/>
  <c r="Q54" i="170"/>
  <c r="R54" i="170"/>
  <c r="Y73" i="170"/>
  <c r="Q73" i="170"/>
  <c r="R263" i="170"/>
  <c r="Y263" i="170"/>
  <c r="Q263" i="170"/>
  <c r="Q347" i="170"/>
  <c r="R347" i="170"/>
  <c r="Y347" i="170"/>
  <c r="R164" i="170"/>
  <c r="Y164" i="170"/>
  <c r="N385" i="174"/>
  <c r="F385" i="174"/>
  <c r="G354" i="170"/>
  <c r="Y233" i="171"/>
  <c r="G477" i="171"/>
  <c r="Q454" i="174"/>
  <c r="G170" i="174"/>
  <c r="G188" i="174"/>
  <c r="R30" i="171"/>
  <c r="F386" i="171"/>
  <c r="G292" i="174"/>
  <c r="N363" i="171"/>
  <c r="Q149" i="171"/>
  <c r="R388" i="163"/>
  <c r="Y263" i="163"/>
  <c r="F168" i="170"/>
  <c r="Y240" i="163"/>
  <c r="Q249" i="174"/>
  <c r="R314" i="163"/>
  <c r="Q159" i="174"/>
  <c r="F511" i="170"/>
  <c r="F514" i="174"/>
  <c r="N501" i="170"/>
  <c r="Y216" i="171"/>
  <c r="N248" i="171"/>
  <c r="N269" i="174"/>
  <c r="N53" i="174"/>
  <c r="G25" i="170"/>
  <c r="G397" i="174"/>
  <c r="F439" i="171"/>
  <c r="N309" i="174"/>
  <c r="G309" i="174"/>
  <c r="R305" i="163"/>
  <c r="R486" i="170"/>
  <c r="R350" i="170"/>
  <c r="R387" i="171"/>
  <c r="R485" i="171"/>
  <c r="G181" i="174"/>
  <c r="F310" i="170"/>
  <c r="Q513" i="170"/>
  <c r="Q227" i="171"/>
  <c r="G445" i="174"/>
  <c r="F319" i="174"/>
  <c r="F334" i="174"/>
  <c r="F354" i="174"/>
  <c r="Q423" i="163"/>
  <c r="G202" i="170"/>
  <c r="N72" i="170"/>
  <c r="N59" i="170"/>
  <c r="Q300" i="171"/>
  <c r="R98" i="163"/>
  <c r="G427" i="170"/>
  <c r="N203" i="170"/>
  <c r="G79" i="170"/>
  <c r="Q56" i="170"/>
  <c r="Y378" i="171"/>
  <c r="Q205" i="171"/>
  <c r="N295" i="171"/>
  <c r="F107" i="171"/>
  <c r="N105" i="171"/>
  <c r="R341" i="174"/>
  <c r="F103" i="171"/>
  <c r="R455" i="174"/>
  <c r="Q426" i="163"/>
  <c r="Q236" i="163"/>
  <c r="G370" i="170"/>
  <c r="Y470" i="170"/>
  <c r="Q430" i="170"/>
  <c r="R108" i="170"/>
  <c r="Q356" i="171"/>
  <c r="R319" i="171"/>
  <c r="Q230" i="174"/>
  <c r="F321" i="174"/>
  <c r="G31" i="174"/>
  <c r="Y338" i="163"/>
  <c r="N43" i="170"/>
  <c r="Q63" i="170"/>
  <c r="G135" i="174"/>
  <c r="F127" i="170"/>
  <c r="F311" i="171"/>
  <c r="G358" i="163"/>
  <c r="N358" i="163"/>
  <c r="F358" i="163"/>
  <c r="G411" i="163"/>
  <c r="F411" i="163"/>
  <c r="G490" i="163"/>
  <c r="N490" i="163"/>
  <c r="G85" i="163"/>
  <c r="N85" i="163"/>
  <c r="G282" i="163"/>
  <c r="N282" i="163"/>
  <c r="F516" i="163"/>
  <c r="N516" i="163"/>
  <c r="N136" i="163"/>
  <c r="F136" i="163"/>
  <c r="F439" i="163"/>
  <c r="N439" i="163"/>
  <c r="F129" i="163"/>
  <c r="G129" i="163"/>
  <c r="N129" i="163"/>
  <c r="N88" i="163"/>
  <c r="G88" i="163"/>
  <c r="G342" i="163"/>
  <c r="N342" i="163"/>
  <c r="N118" i="163"/>
  <c r="G118" i="163"/>
  <c r="N260" i="163"/>
  <c r="F260" i="163"/>
  <c r="G260" i="163"/>
  <c r="G514" i="163"/>
  <c r="N514" i="163"/>
  <c r="F514" i="163"/>
  <c r="F481" i="163"/>
  <c r="N481" i="163"/>
  <c r="G481" i="163"/>
  <c r="F219" i="163"/>
  <c r="G219" i="163"/>
  <c r="N219" i="163"/>
  <c r="G217" i="163"/>
  <c r="N217" i="163"/>
  <c r="N430" i="163"/>
  <c r="F430" i="163"/>
  <c r="G319" i="170"/>
  <c r="R8" i="200"/>
  <c r="R44" i="200"/>
  <c r="U13" i="198" s="1"/>
  <c r="R7" i="200"/>
  <c r="N502" i="170"/>
  <c r="F502" i="170"/>
  <c r="G236" i="170"/>
  <c r="N236" i="170"/>
  <c r="G475" i="170"/>
  <c r="F475" i="170"/>
  <c r="F327" i="170"/>
  <c r="G327" i="170"/>
  <c r="N327" i="170"/>
  <c r="Q115" i="174"/>
  <c r="R115" i="174"/>
  <c r="R179" i="174"/>
  <c r="Y179" i="174"/>
  <c r="Q179" i="174"/>
  <c r="R262" i="174"/>
  <c r="Y262" i="174"/>
  <c r="Y496" i="174"/>
  <c r="Q496" i="174"/>
  <c r="R458" i="174"/>
  <c r="Q458" i="174"/>
  <c r="Y337" i="174"/>
  <c r="Q337" i="174"/>
  <c r="R438" i="174"/>
  <c r="Q438" i="174"/>
  <c r="R38" i="174"/>
  <c r="Q38" i="174"/>
  <c r="R137" i="174"/>
  <c r="Y137" i="174"/>
  <c r="Y223" i="174"/>
  <c r="Q223" i="174"/>
  <c r="R411" i="174"/>
  <c r="Q411" i="174"/>
  <c r="Y61" i="174"/>
  <c r="Q61" i="174"/>
  <c r="R112" i="174"/>
  <c r="Q112" i="174"/>
  <c r="R220" i="174"/>
  <c r="Y220" i="174"/>
  <c r="Y339" i="174"/>
  <c r="Q339" i="174"/>
  <c r="R73" i="163"/>
  <c r="Y73" i="163"/>
  <c r="R116" i="163"/>
  <c r="Q116" i="163"/>
  <c r="Y116" i="163"/>
  <c r="Y445" i="163"/>
  <c r="Q445" i="163"/>
  <c r="Y439" i="163"/>
  <c r="Q439" i="163"/>
  <c r="R245" i="163"/>
  <c r="Y245" i="163"/>
  <c r="R203" i="163"/>
  <c r="Y203" i="163"/>
  <c r="R288" i="163"/>
  <c r="Y288" i="163"/>
  <c r="Y361" i="163"/>
  <c r="Q361" i="163"/>
  <c r="Y355" i="163"/>
  <c r="Q355" i="163"/>
  <c r="Y488" i="163"/>
  <c r="Q488" i="163"/>
  <c r="G361" i="171"/>
  <c r="F361" i="171"/>
  <c r="N204" i="171"/>
  <c r="F204" i="171"/>
  <c r="N48" i="171"/>
  <c r="F48" i="171"/>
  <c r="G153" i="171"/>
  <c r="F153" i="171"/>
  <c r="F450" i="171"/>
  <c r="G450" i="171"/>
  <c r="G190" i="171"/>
  <c r="F190" i="171"/>
  <c r="F247" i="171"/>
  <c r="N247" i="171"/>
  <c r="F375" i="171"/>
  <c r="G375" i="171"/>
  <c r="G440" i="171"/>
  <c r="N440" i="171"/>
  <c r="G147" i="171"/>
  <c r="F147" i="171"/>
  <c r="N233" i="171"/>
  <c r="F233" i="171"/>
  <c r="G288" i="171"/>
  <c r="N288" i="171"/>
  <c r="G505" i="171"/>
  <c r="N505" i="171"/>
  <c r="N326" i="171"/>
  <c r="G326" i="171"/>
  <c r="F410" i="171"/>
  <c r="G410" i="171"/>
  <c r="Y85" i="171"/>
  <c r="Q85" i="171"/>
  <c r="Y399" i="171"/>
  <c r="Q399" i="171"/>
  <c r="R426" i="170"/>
  <c r="Q426" i="170"/>
  <c r="N318" i="174"/>
  <c r="G318" i="174"/>
  <c r="F344" i="174"/>
  <c r="G344" i="174"/>
  <c r="F234" i="174"/>
  <c r="G234" i="174"/>
  <c r="F330" i="163"/>
  <c r="G330" i="163"/>
  <c r="R18" i="200"/>
  <c r="N437" i="170"/>
  <c r="N171" i="170"/>
  <c r="N318" i="170"/>
  <c r="F196" i="170"/>
  <c r="F73" i="171"/>
  <c r="Q485" i="174"/>
  <c r="Q491" i="174"/>
  <c r="Q309" i="174"/>
  <c r="F259" i="171"/>
  <c r="Y506" i="174"/>
  <c r="Y404" i="163"/>
  <c r="Y204" i="163"/>
  <c r="R252" i="171"/>
  <c r="N221" i="171"/>
  <c r="F326" i="171"/>
  <c r="R339" i="174"/>
  <c r="Q220" i="174"/>
  <c r="R191" i="171"/>
  <c r="Q137" i="174"/>
  <c r="R355" i="163"/>
  <c r="Q203" i="163"/>
  <c r="Y74" i="163"/>
  <c r="G463" i="171"/>
  <c r="N113" i="171"/>
  <c r="R445" i="163"/>
  <c r="G247" i="171"/>
  <c r="N190" i="171"/>
  <c r="F356" i="170"/>
  <c r="N429" i="171"/>
  <c r="F221" i="171"/>
  <c r="Y438" i="174"/>
  <c r="Q307" i="174"/>
  <c r="Q262" i="174"/>
  <c r="Q288" i="163"/>
  <c r="R74" i="163"/>
  <c r="Y162" i="171"/>
  <c r="G113" i="171"/>
  <c r="R39" i="200"/>
  <c r="U8" i="198" s="1"/>
  <c r="R9" i="200"/>
  <c r="R52" i="200"/>
  <c r="U21" i="198" s="1"/>
  <c r="R50" i="200"/>
  <c r="U19" i="198" s="1"/>
  <c r="R13" i="200"/>
  <c r="R46" i="200"/>
  <c r="U15" i="198" s="1"/>
  <c r="R48" i="200"/>
  <c r="U17" i="198" s="1"/>
  <c r="R15" i="200"/>
  <c r="R19" i="200"/>
  <c r="R40" i="200"/>
  <c r="U9" i="198" s="1"/>
  <c r="R55" i="200"/>
  <c r="R38" i="200"/>
  <c r="U7" i="198" s="1"/>
  <c r="R41" i="200"/>
  <c r="U10" i="198" s="1"/>
  <c r="R53" i="200"/>
  <c r="U22" i="198" s="1"/>
  <c r="R6" i="200"/>
  <c r="R21" i="200"/>
  <c r="R4" i="200"/>
  <c r="N137" i="170"/>
  <c r="G137" i="170"/>
  <c r="F137" i="170"/>
  <c r="G514" i="170"/>
  <c r="F514" i="170"/>
  <c r="N514" i="170"/>
  <c r="G31" i="170"/>
  <c r="F31" i="170"/>
  <c r="N31" i="170"/>
  <c r="F449" i="170"/>
  <c r="G449" i="170"/>
  <c r="N449" i="170"/>
  <c r="N401" i="170"/>
  <c r="G401" i="170"/>
  <c r="F401" i="170"/>
  <c r="N363" i="170"/>
  <c r="G363" i="170"/>
  <c r="G114" i="170"/>
  <c r="F114" i="170"/>
  <c r="N114" i="170"/>
  <c r="N85" i="170"/>
  <c r="G85" i="170"/>
  <c r="F85" i="170"/>
  <c r="F220" i="170"/>
  <c r="N220" i="170"/>
  <c r="N306" i="170"/>
  <c r="G306" i="170"/>
  <c r="F306" i="170"/>
  <c r="N188" i="170"/>
  <c r="G188" i="170"/>
  <c r="G274" i="170"/>
  <c r="N274" i="170"/>
  <c r="F274" i="170"/>
  <c r="N67" i="170"/>
  <c r="F67" i="170"/>
  <c r="G67" i="170"/>
  <c r="G417" i="170"/>
  <c r="N417" i="170"/>
  <c r="F417" i="170"/>
  <c r="G383" i="170"/>
  <c r="N383" i="170"/>
  <c r="F383" i="170"/>
  <c r="F457" i="170"/>
  <c r="G457" i="170"/>
  <c r="F462" i="170"/>
  <c r="G462" i="170"/>
  <c r="G68" i="170"/>
  <c r="F68" i="170"/>
  <c r="N68" i="170"/>
  <c r="N300" i="170"/>
  <c r="F300" i="170"/>
  <c r="G300" i="170"/>
  <c r="F233" i="170"/>
  <c r="G233" i="170"/>
  <c r="N233" i="170"/>
  <c r="G382" i="170"/>
  <c r="N382" i="170"/>
  <c r="F382" i="170"/>
  <c r="G195" i="170"/>
  <c r="N195" i="170"/>
  <c r="G74" i="170"/>
  <c r="F74" i="170"/>
  <c r="N74" i="170"/>
  <c r="N166" i="170"/>
  <c r="G166" i="170"/>
  <c r="F166" i="170"/>
  <c r="N198" i="170"/>
  <c r="G198" i="170"/>
  <c r="F198" i="170"/>
  <c r="G104" i="170"/>
  <c r="N104" i="170"/>
  <c r="G273" i="170"/>
  <c r="N273" i="170"/>
  <c r="F273" i="170"/>
  <c r="G422" i="170"/>
  <c r="N422" i="170"/>
  <c r="F422" i="170"/>
  <c r="G235" i="170"/>
  <c r="F235" i="170"/>
  <c r="N450" i="170"/>
  <c r="F450" i="170"/>
  <c r="N237" i="170"/>
  <c r="G237" i="170"/>
  <c r="G303" i="170"/>
  <c r="N303" i="170"/>
  <c r="F303" i="170"/>
  <c r="G157" i="170"/>
  <c r="F157" i="170"/>
  <c r="N157" i="170"/>
  <c r="G140" i="170"/>
  <c r="F140" i="170"/>
  <c r="N140" i="170"/>
  <c r="G101" i="170"/>
  <c r="F101" i="170"/>
  <c r="N101" i="170"/>
  <c r="F372" i="170"/>
  <c r="N372" i="170"/>
  <c r="G372" i="170"/>
  <c r="N302" i="170"/>
  <c r="F302" i="170"/>
  <c r="G302" i="170"/>
  <c r="N219" i="170"/>
  <c r="F219" i="170"/>
  <c r="G219" i="170"/>
  <c r="N451" i="170"/>
  <c r="F451" i="170"/>
  <c r="G451" i="170"/>
  <c r="G27" i="170"/>
  <c r="N27" i="170"/>
  <c r="N75" i="170"/>
  <c r="G75" i="170"/>
  <c r="F75" i="170"/>
  <c r="N56" i="170"/>
  <c r="F56" i="170"/>
  <c r="G56" i="170"/>
  <c r="G288" i="170"/>
  <c r="F288" i="170"/>
  <c r="N288" i="170"/>
  <c r="G325" i="170"/>
  <c r="F325" i="170"/>
  <c r="N325" i="170"/>
  <c r="F218" i="170"/>
  <c r="G218" i="170"/>
  <c r="N218" i="170"/>
  <c r="G391" i="170"/>
  <c r="F391" i="170"/>
  <c r="N391" i="170"/>
  <c r="N465" i="170"/>
  <c r="G465" i="170"/>
  <c r="F465" i="170"/>
  <c r="G472" i="170"/>
  <c r="N472" i="170"/>
  <c r="F472" i="170"/>
  <c r="Y278" i="174"/>
  <c r="Q278" i="174"/>
  <c r="Y140" i="174"/>
  <c r="Q140" i="174"/>
  <c r="Q254" i="174"/>
  <c r="Y254" i="174"/>
  <c r="R254" i="174"/>
  <c r="Y514" i="174"/>
  <c r="Q514" i="174"/>
  <c r="R44" i="174"/>
  <c r="Q44" i="174"/>
  <c r="Y44" i="174"/>
  <c r="Q39" i="174"/>
  <c r="R39" i="174"/>
  <c r="Y39" i="174"/>
  <c r="R187" i="174"/>
  <c r="Y187" i="174"/>
  <c r="Q187" i="174"/>
  <c r="R431" i="174"/>
  <c r="Y431" i="174"/>
  <c r="Q431" i="174"/>
  <c r="Y33" i="174"/>
  <c r="Q33" i="174"/>
  <c r="R33" i="174"/>
  <c r="R65" i="174"/>
  <c r="Q65" i="174"/>
  <c r="Y65" i="174"/>
  <c r="Q155" i="174"/>
  <c r="R155" i="174"/>
  <c r="Y155" i="174"/>
  <c r="Y333" i="174"/>
  <c r="Q333" i="174"/>
  <c r="R333" i="174"/>
  <c r="Q437" i="174"/>
  <c r="R437" i="174"/>
  <c r="Y437" i="174"/>
  <c r="R498" i="174"/>
  <c r="Q498" i="174"/>
  <c r="Y498" i="174"/>
  <c r="R57" i="174"/>
  <c r="Y57" i="174"/>
  <c r="Q57" i="174"/>
  <c r="R480" i="174"/>
  <c r="Y480" i="174"/>
  <c r="Q480" i="174"/>
  <c r="Y511" i="174"/>
  <c r="Q511" i="174"/>
  <c r="R511" i="174"/>
  <c r="R240" i="174"/>
  <c r="Q240" i="174"/>
  <c r="Y240" i="174"/>
  <c r="R289" i="174"/>
  <c r="Y289" i="174"/>
  <c r="Q289" i="174"/>
  <c r="Q360" i="174"/>
  <c r="R360" i="174"/>
  <c r="Y360" i="174"/>
  <c r="R465" i="174"/>
  <c r="Y465" i="174"/>
  <c r="Q465" i="174"/>
  <c r="R390" i="174"/>
  <c r="Y390" i="174"/>
  <c r="Q390" i="174"/>
  <c r="Q70" i="174"/>
  <c r="R70" i="174"/>
  <c r="Y70" i="174"/>
  <c r="Y398" i="174"/>
  <c r="Q398" i="174"/>
  <c r="R398" i="174"/>
  <c r="Y22" i="174"/>
  <c r="R22" i="174"/>
  <c r="Q201" i="174"/>
  <c r="R201" i="174"/>
  <c r="Y201" i="174"/>
  <c r="Y265" i="174"/>
  <c r="Q265" i="174"/>
  <c r="R387" i="174"/>
  <c r="Y387" i="174"/>
  <c r="Q387" i="174"/>
  <c r="R441" i="174"/>
  <c r="Y441" i="174"/>
  <c r="Q441" i="174"/>
  <c r="R63" i="174"/>
  <c r="Y63" i="174"/>
  <c r="Q63" i="174"/>
  <c r="R23" i="174" a="1"/>
  <c r="R23" i="174" s="1"/>
  <c r="Y23" i="174"/>
  <c r="Y176" i="174"/>
  <c r="Q176" i="174"/>
  <c r="R176" i="174"/>
  <c r="Y244" i="174"/>
  <c r="Q244" i="174"/>
  <c r="R244" i="174"/>
  <c r="R460" i="174"/>
  <c r="Y460" i="174"/>
  <c r="Q460" i="174"/>
  <c r="Y490" i="174"/>
  <c r="Q490" i="174"/>
  <c r="R490" i="174"/>
  <c r="Y509" i="174"/>
  <c r="Q509" i="174"/>
  <c r="R509" i="174"/>
  <c r="R46" i="174"/>
  <c r="Q46" i="174"/>
  <c r="Y46" i="174"/>
  <c r="Q151" i="174"/>
  <c r="R151" i="174"/>
  <c r="Y151" i="174"/>
  <c r="R317" i="174"/>
  <c r="Y317" i="174"/>
  <c r="Q317" i="174"/>
  <c r="R243" i="174"/>
  <c r="Q243" i="174"/>
  <c r="Y243" i="174"/>
  <c r="Y367" i="174"/>
  <c r="R367" i="174"/>
  <c r="R264" i="174"/>
  <c r="Y264" i="174"/>
  <c r="Q264" i="174"/>
  <c r="R338" i="174"/>
  <c r="Y338" i="174"/>
  <c r="Q408" i="174"/>
  <c r="R408" i="174"/>
  <c r="Y408" i="174"/>
  <c r="R450" i="174"/>
  <c r="Y450" i="174"/>
  <c r="R225" i="163"/>
  <c r="Q225" i="163"/>
  <c r="Y225" i="163"/>
  <c r="Y168" i="171"/>
  <c r="R168" i="171"/>
  <c r="Q168" i="171"/>
  <c r="R395" i="170"/>
  <c r="Y395" i="170"/>
  <c r="G347" i="174"/>
  <c r="F347" i="174"/>
  <c r="N347" i="174"/>
  <c r="N40" i="163"/>
  <c r="F40" i="163"/>
  <c r="G40" i="163"/>
  <c r="G200" i="174"/>
  <c r="F343" i="170"/>
  <c r="N343" i="170"/>
  <c r="G343" i="170"/>
  <c r="G182" i="170"/>
  <c r="F182" i="170"/>
  <c r="N182" i="170"/>
  <c r="N351" i="170"/>
  <c r="F351" i="170"/>
  <c r="G351" i="170"/>
  <c r="G197" i="170"/>
  <c r="N197" i="170"/>
  <c r="F197" i="170"/>
  <c r="N83" i="170"/>
  <c r="F83" i="170"/>
  <c r="R189" i="174"/>
  <c r="Y189" i="174"/>
  <c r="Q189" i="174"/>
  <c r="R217" i="174"/>
  <c r="Y217" i="174"/>
  <c r="Q217" i="174"/>
  <c r="R311" i="174"/>
  <c r="Y311" i="174"/>
  <c r="Q311" i="174"/>
  <c r="Y275" i="174"/>
  <c r="R275" i="174"/>
  <c r="Q275" i="174"/>
  <c r="R112" i="163"/>
  <c r="Q112" i="163"/>
  <c r="Y112" i="163"/>
  <c r="Y70" i="163"/>
  <c r="R70" i="163"/>
  <c r="Q57" i="163"/>
  <c r="R57" i="163"/>
  <c r="R429" i="163"/>
  <c r="Y429" i="163"/>
  <c r="Q429" i="163"/>
  <c r="N178" i="171"/>
  <c r="F178" i="171"/>
  <c r="G232" i="171"/>
  <c r="N232" i="171"/>
  <c r="F232" i="171"/>
  <c r="N24" i="171"/>
  <c r="G24" i="171"/>
  <c r="G489" i="171"/>
  <c r="N489" i="171"/>
  <c r="F489" i="171"/>
  <c r="G55" i="171"/>
  <c r="N55" i="171"/>
  <c r="F55" i="171"/>
  <c r="F265" i="171"/>
  <c r="N265" i="171"/>
  <c r="G470" i="171"/>
  <c r="F470" i="171"/>
  <c r="N479" i="171"/>
  <c r="F479" i="171"/>
  <c r="G479" i="171"/>
  <c r="G64" i="171"/>
  <c r="N64" i="171"/>
  <c r="F64" i="171"/>
  <c r="G396" i="171"/>
  <c r="N396" i="171"/>
  <c r="F396" i="171"/>
  <c r="G314" i="171"/>
  <c r="N314" i="171"/>
  <c r="F314" i="171"/>
  <c r="N92" i="171"/>
  <c r="F92" i="171"/>
  <c r="G92" i="171"/>
  <c r="G110" i="171"/>
  <c r="N110" i="171"/>
  <c r="F110" i="171"/>
  <c r="F350" i="171"/>
  <c r="N350" i="171"/>
  <c r="G350" i="171"/>
  <c r="N441" i="171"/>
  <c r="F441" i="171"/>
  <c r="G441" i="171"/>
  <c r="F360" i="171"/>
  <c r="N360" i="171"/>
  <c r="G360" i="171"/>
  <c r="F342" i="171"/>
  <c r="G342" i="171"/>
  <c r="N342" i="171"/>
  <c r="F437" i="171"/>
  <c r="G437" i="171"/>
  <c r="N437" i="171"/>
  <c r="F220" i="171"/>
  <c r="N220" i="171"/>
  <c r="G220" i="171"/>
  <c r="F127" i="171"/>
  <c r="N127" i="171"/>
  <c r="G127" i="171"/>
  <c r="R266" i="171"/>
  <c r="Q266" i="171"/>
  <c r="Y266" i="171"/>
  <c r="Q269" i="171"/>
  <c r="Y269" i="171"/>
  <c r="Q307" i="171"/>
  <c r="Y307" i="171"/>
  <c r="R307" i="171"/>
  <c r="R472" i="171"/>
  <c r="Y472" i="171"/>
  <c r="Q472" i="171"/>
  <c r="R228" i="171"/>
  <c r="Y228" i="171"/>
  <c r="Q228" i="171"/>
  <c r="R243" i="171"/>
  <c r="Q243" i="171"/>
  <c r="Y243" i="171"/>
  <c r="Q482" i="171"/>
  <c r="R482" i="171"/>
  <c r="Y482" i="171"/>
  <c r="R500" i="171"/>
  <c r="Y500" i="171"/>
  <c r="Q500" i="171"/>
  <c r="Y368" i="171"/>
  <c r="Q368" i="171"/>
  <c r="R368" i="171"/>
  <c r="Q160" i="171"/>
  <c r="Y160" i="171"/>
  <c r="R160" i="171"/>
  <c r="R412" i="171"/>
  <c r="Y412" i="171"/>
  <c r="Q412" i="171"/>
  <c r="Y200" i="171"/>
  <c r="R200" i="171"/>
  <c r="Q200" i="171"/>
  <c r="Y322" i="171"/>
  <c r="R322" i="171"/>
  <c r="Q322" i="171"/>
  <c r="Y397" i="171"/>
  <c r="Q397" i="171"/>
  <c r="R397" i="171"/>
  <c r="Q507" i="171"/>
  <c r="R507" i="171"/>
  <c r="Y507" i="171"/>
  <c r="R232" i="171"/>
  <c r="Y232" i="171"/>
  <c r="Q232" i="171"/>
  <c r="Y256" i="171"/>
  <c r="Q256" i="171"/>
  <c r="R256" i="171"/>
  <c r="Y95" i="171"/>
  <c r="Q95" i="171"/>
  <c r="R95" i="171"/>
  <c r="R23" i="171" a="1"/>
  <c r="R23" i="171" s="1"/>
  <c r="Y23" i="171"/>
  <c r="R194" i="171"/>
  <c r="Y194" i="171"/>
  <c r="Q194" i="171"/>
  <c r="Y450" i="171"/>
  <c r="Q450" i="171"/>
  <c r="R450" i="171"/>
  <c r="Q156" i="171"/>
  <c r="R156" i="171"/>
  <c r="Y156" i="171"/>
  <c r="Y107" i="171"/>
  <c r="Q107" i="171"/>
  <c r="R107" i="171"/>
  <c r="Q46" i="171"/>
  <c r="Y46" i="171"/>
  <c r="R46" i="171"/>
  <c r="Y108" i="171"/>
  <c r="Q108" i="171"/>
  <c r="R108" i="171"/>
  <c r="R119" i="171"/>
  <c r="Y119" i="171"/>
  <c r="Q119" i="171"/>
  <c r="R109" i="171"/>
  <c r="Y109" i="171"/>
  <c r="Q109" i="171"/>
  <c r="Q353" i="171"/>
  <c r="R353" i="171"/>
  <c r="Y353" i="171"/>
  <c r="R82" i="171"/>
  <c r="Y82" i="171"/>
  <c r="Q82" i="171"/>
  <c r="Y177" i="171"/>
  <c r="Q177" i="171"/>
  <c r="R177" i="171"/>
  <c r="R478" i="171"/>
  <c r="Y478" i="171"/>
  <c r="Q281" i="171"/>
  <c r="R281" i="171"/>
  <c r="R118" i="171"/>
  <c r="Q118" i="171"/>
  <c r="R229" i="170"/>
  <c r="Y229" i="170"/>
  <c r="Q229" i="170"/>
  <c r="R206" i="170"/>
  <c r="Q206" i="170"/>
  <c r="Y206" i="170"/>
  <c r="Y249" i="170"/>
  <c r="Q249" i="170"/>
  <c r="R249" i="170"/>
  <c r="Q261" i="170"/>
  <c r="Y261" i="170"/>
  <c r="R261" i="170"/>
  <c r="N200" i="170"/>
  <c r="F428" i="171"/>
  <c r="F56" i="174"/>
  <c r="Q293" i="163"/>
  <c r="G116" i="163"/>
  <c r="N412" i="170"/>
  <c r="N477" i="163"/>
  <c r="F178" i="163"/>
  <c r="R49" i="171"/>
  <c r="Q312" i="171"/>
  <c r="N496" i="171"/>
  <c r="N428" i="171"/>
  <c r="R399" i="174"/>
  <c r="Y313" i="174"/>
  <c r="G314" i="174"/>
  <c r="N56" i="174"/>
  <c r="Y377" i="163"/>
  <c r="Y293" i="163"/>
  <c r="F116" i="163"/>
  <c r="G412" i="170"/>
  <c r="G220" i="170"/>
  <c r="N369" i="171"/>
  <c r="N470" i="171"/>
  <c r="G334" i="171"/>
  <c r="G102" i="171"/>
  <c r="Q224" i="174"/>
  <c r="Q192" i="174"/>
  <c r="Q40" i="163"/>
  <c r="F104" i="170"/>
  <c r="Y487" i="170"/>
  <c r="R122" i="170"/>
  <c r="Y507" i="163"/>
  <c r="N497" i="171"/>
  <c r="F103" i="170"/>
  <c r="N103" i="170"/>
  <c r="G438" i="170"/>
  <c r="F438" i="170"/>
  <c r="N438" i="170"/>
  <c r="Q263" i="174"/>
  <c r="Y263" i="174"/>
  <c r="R263" i="174"/>
  <c r="Y161" i="174"/>
  <c r="Q161" i="174"/>
  <c r="R161" i="174"/>
  <c r="R24" i="174"/>
  <c r="Y24" i="174"/>
  <c r="Y197" i="163"/>
  <c r="R197" i="163"/>
  <c r="Q430" i="163"/>
  <c r="Y430" i="163"/>
  <c r="R285" i="163"/>
  <c r="Y285" i="163"/>
  <c r="Q285" i="163"/>
  <c r="Q111" i="163"/>
  <c r="Y111" i="163"/>
  <c r="R111" i="163"/>
  <c r="Q196" i="163"/>
  <c r="Y196" i="163"/>
  <c r="Q351" i="163"/>
  <c r="R351" i="163"/>
  <c r="Y351" i="163"/>
  <c r="R454" i="163"/>
  <c r="Q454" i="163"/>
  <c r="Y454" i="163"/>
  <c r="R174" i="163"/>
  <c r="Y174" i="163"/>
  <c r="Q174" i="163"/>
  <c r="Y410" i="163"/>
  <c r="Q410" i="163"/>
  <c r="R410" i="163"/>
  <c r="R354" i="163"/>
  <c r="Y354" i="163"/>
  <c r="Q354" i="163"/>
  <c r="Y251" i="163"/>
  <c r="R251" i="163"/>
  <c r="R403" i="163"/>
  <c r="Y403" i="163"/>
  <c r="Q403" i="163"/>
  <c r="Q38" i="163"/>
  <c r="R38" i="163"/>
  <c r="Y38" i="163"/>
  <c r="R167" i="163"/>
  <c r="Y167" i="163"/>
  <c r="Q167" i="163"/>
  <c r="R252" i="163"/>
  <c r="Y252" i="163"/>
  <c r="Q252" i="163"/>
  <c r="Q452" i="163"/>
  <c r="R452" i="163"/>
  <c r="Y452" i="163"/>
  <c r="Y125" i="163"/>
  <c r="R125" i="163"/>
  <c r="Q125" i="163"/>
  <c r="R168" i="163"/>
  <c r="Y168" i="163"/>
  <c r="Q168" i="163"/>
  <c r="R368" i="163"/>
  <c r="Q368" i="163"/>
  <c r="Y368" i="163"/>
  <c r="R45" i="163"/>
  <c r="Y45" i="163"/>
  <c r="Q45" i="163"/>
  <c r="R301" i="163"/>
  <c r="Y301" i="163"/>
  <c r="Q301" i="163"/>
  <c r="R259" i="163"/>
  <c r="Y259" i="163"/>
  <c r="Q259" i="163"/>
  <c r="Q417" i="163"/>
  <c r="Y417" i="163"/>
  <c r="R411" i="163"/>
  <c r="Y411" i="163"/>
  <c r="Q411" i="163"/>
  <c r="Q95" i="163"/>
  <c r="Y95" i="163"/>
  <c r="R95" i="163"/>
  <c r="R509" i="163"/>
  <c r="Y509" i="163"/>
  <c r="Q509" i="163"/>
  <c r="Y370" i="163"/>
  <c r="R370" i="163"/>
  <c r="Q370" i="163"/>
  <c r="Y380" i="163"/>
  <c r="R380" i="163"/>
  <c r="Q380" i="163"/>
  <c r="R53" i="163"/>
  <c r="Y53" i="163"/>
  <c r="Q53" i="163"/>
  <c r="R309" i="163"/>
  <c r="Q309" i="163"/>
  <c r="Y309" i="163"/>
  <c r="Q138" i="163"/>
  <c r="R138" i="163"/>
  <c r="Y138" i="163"/>
  <c r="Y267" i="163"/>
  <c r="Q267" i="163"/>
  <c r="R267" i="163"/>
  <c r="R96" i="163"/>
  <c r="Y96" i="163"/>
  <c r="R425" i="163"/>
  <c r="Y425" i="163"/>
  <c r="Q425" i="163"/>
  <c r="R419" i="163"/>
  <c r="Y419" i="163"/>
  <c r="Q419" i="163"/>
  <c r="Y21" i="163"/>
  <c r="R21" i="163"/>
  <c r="Y54" i="163"/>
  <c r="R54" i="163"/>
  <c r="Q54" i="163"/>
  <c r="R310" i="163"/>
  <c r="Y310" i="163"/>
  <c r="Y183" i="163"/>
  <c r="Q183" i="163"/>
  <c r="R183" i="163"/>
  <c r="Q268" i="163"/>
  <c r="Y268" i="163"/>
  <c r="Q341" i="163"/>
  <c r="R341" i="163"/>
  <c r="Y341" i="163"/>
  <c r="Q458" i="163"/>
  <c r="R458" i="163"/>
  <c r="Y458" i="163"/>
  <c r="R468" i="163"/>
  <c r="Y468" i="163"/>
  <c r="Q468" i="163"/>
  <c r="F364" i="171"/>
  <c r="G364" i="171"/>
  <c r="N343" i="171"/>
  <c r="G343" i="171"/>
  <c r="F343" i="171"/>
  <c r="G168" i="171"/>
  <c r="N168" i="171"/>
  <c r="F168" i="171"/>
  <c r="N125" i="171"/>
  <c r="F125" i="171"/>
  <c r="G125" i="171"/>
  <c r="G325" i="171"/>
  <c r="N325" i="171"/>
  <c r="F325" i="171"/>
  <c r="N134" i="171"/>
  <c r="F134" i="171"/>
  <c r="G134" i="171"/>
  <c r="F490" i="171"/>
  <c r="N490" i="171"/>
  <c r="G490" i="171"/>
  <c r="N414" i="171"/>
  <c r="F414" i="171"/>
  <c r="G414" i="171"/>
  <c r="F40" i="171"/>
  <c r="N40" i="171"/>
  <c r="G40" i="171"/>
  <c r="G215" i="171"/>
  <c r="F215" i="171"/>
  <c r="N215" i="171"/>
  <c r="N421" i="171"/>
  <c r="F421" i="171"/>
  <c r="G421" i="171"/>
  <c r="G403" i="171"/>
  <c r="F403" i="171"/>
  <c r="N403" i="171"/>
  <c r="G38" i="171"/>
  <c r="N38" i="171"/>
  <c r="F38" i="171"/>
  <c r="N319" i="171"/>
  <c r="G319" i="171"/>
  <c r="F319" i="171"/>
  <c r="F384" i="171"/>
  <c r="N384" i="171"/>
  <c r="G384" i="171"/>
  <c r="N65" i="171"/>
  <c r="F65" i="171"/>
  <c r="G65" i="171"/>
  <c r="G289" i="171"/>
  <c r="N289" i="171"/>
  <c r="F289" i="171"/>
  <c r="G318" i="171"/>
  <c r="N318" i="171"/>
  <c r="F318" i="171"/>
  <c r="G87" i="171"/>
  <c r="N87" i="171"/>
  <c r="F87" i="171"/>
  <c r="G509" i="171"/>
  <c r="N509" i="171"/>
  <c r="F129" i="171"/>
  <c r="G129" i="171"/>
  <c r="N129" i="171"/>
  <c r="G307" i="171"/>
  <c r="F307" i="171"/>
  <c r="N307" i="171"/>
  <c r="N435" i="171"/>
  <c r="F435" i="171"/>
  <c r="G435" i="171"/>
  <c r="N19" i="171"/>
  <c r="F19" i="171"/>
  <c r="F20" i="171" s="1"/>
  <c r="F21" i="171" s="1"/>
  <c r="F22" i="171" s="1"/>
  <c r="F23" i="171" s="1"/>
  <c r="F24" i="171" s="1"/>
  <c r="F25" i="171" s="1"/>
  <c r="F26" i="171" s="1"/>
  <c r="F27" i="171" s="1"/>
  <c r="F28" i="171" s="1"/>
  <c r="G19" i="171"/>
  <c r="G37" i="171"/>
  <c r="N37" i="171"/>
  <c r="F37" i="171"/>
  <c r="G136" i="171"/>
  <c r="N136" i="171"/>
  <c r="G45" i="171"/>
  <c r="N45" i="171"/>
  <c r="F45" i="171"/>
  <c r="N442" i="171"/>
  <c r="F442" i="171"/>
  <c r="G442" i="171"/>
  <c r="N52" i="171"/>
  <c r="F52" i="171"/>
  <c r="G52" i="171"/>
  <c r="G285" i="171"/>
  <c r="N285" i="171"/>
  <c r="G79" i="171"/>
  <c r="N79" i="171"/>
  <c r="F79" i="171"/>
  <c r="G290" i="171"/>
  <c r="N290" i="171"/>
  <c r="F290" i="171"/>
  <c r="F393" i="171"/>
  <c r="G393" i="171"/>
  <c r="N393" i="171"/>
  <c r="N508" i="171"/>
  <c r="F508" i="171"/>
  <c r="G508" i="171"/>
  <c r="G274" i="171"/>
  <c r="F274" i="171"/>
  <c r="N274" i="171"/>
  <c r="N137" i="171"/>
  <c r="F137" i="171"/>
  <c r="G139" i="171"/>
  <c r="F139" i="171"/>
  <c r="N139" i="171"/>
  <c r="F222" i="171"/>
  <c r="G222" i="171"/>
  <c r="N222" i="171"/>
  <c r="G327" i="171"/>
  <c r="F327" i="171"/>
  <c r="N327" i="171"/>
  <c r="G280" i="171"/>
  <c r="N280" i="171"/>
  <c r="F280" i="171"/>
  <c r="N219" i="171"/>
  <c r="F219" i="171"/>
  <c r="G219" i="171"/>
  <c r="F323" i="171"/>
  <c r="N323" i="171"/>
  <c r="G323" i="171"/>
  <c r="G276" i="171"/>
  <c r="N276" i="171"/>
  <c r="F276" i="171"/>
  <c r="G451" i="171"/>
  <c r="F451" i="171"/>
  <c r="G86" i="171"/>
  <c r="F86" i="171"/>
  <c r="N86" i="171"/>
  <c r="N302" i="171"/>
  <c r="F302" i="171"/>
  <c r="G302" i="171"/>
  <c r="G211" i="171"/>
  <c r="N211" i="171"/>
  <c r="F211" i="171"/>
  <c r="G418" i="171"/>
  <c r="N418" i="171"/>
  <c r="F418" i="171"/>
  <c r="F352" i="171"/>
  <c r="G352" i="171"/>
  <c r="N352" i="171"/>
  <c r="F162" i="171"/>
  <c r="G162" i="171"/>
  <c r="G32" i="171"/>
  <c r="N32" i="171"/>
  <c r="F32" i="171"/>
  <c r="N462" i="171"/>
  <c r="G462" i="171"/>
  <c r="F462" i="171"/>
  <c r="G412" i="171"/>
  <c r="F412" i="171"/>
  <c r="N412" i="171"/>
  <c r="R310" i="171"/>
  <c r="Q310" i="171"/>
  <c r="Y310" i="171"/>
  <c r="Y35" i="171"/>
  <c r="Q35" i="171"/>
  <c r="R35" i="171"/>
  <c r="R371" i="171"/>
  <c r="Q371" i="171"/>
  <c r="Y371" i="171"/>
  <c r="Y289" i="171"/>
  <c r="Q289" i="171"/>
  <c r="R289" i="171"/>
  <c r="Q124" i="171"/>
  <c r="R124" i="171"/>
  <c r="Y124" i="171"/>
  <c r="Q79" i="171"/>
  <c r="R79" i="171"/>
  <c r="Y79" i="171"/>
  <c r="Q175" i="171"/>
  <c r="Y175" i="171"/>
  <c r="R175" i="171"/>
  <c r="Y53" i="171"/>
  <c r="R53" i="171"/>
  <c r="Q53" i="171"/>
  <c r="Q97" i="171"/>
  <c r="R97" i="171"/>
  <c r="Y97" i="171"/>
  <c r="Y141" i="171"/>
  <c r="Q141" i="171"/>
  <c r="R141" i="171"/>
  <c r="Q246" i="171"/>
  <c r="Y246" i="171"/>
  <c r="R246" i="171"/>
  <c r="Y493" i="171"/>
  <c r="Q493" i="171"/>
  <c r="R493" i="171"/>
  <c r="R253" i="171"/>
  <c r="Q253" i="171"/>
  <c r="Y253" i="171"/>
  <c r="Q185" i="171"/>
  <c r="R185" i="171"/>
  <c r="Y185" i="171"/>
  <c r="Y290" i="171"/>
  <c r="R290" i="171"/>
  <c r="Q290" i="171"/>
  <c r="Y208" i="171"/>
  <c r="Q208" i="171"/>
  <c r="R208" i="171"/>
  <c r="Y29" i="171"/>
  <c r="Q29" i="171"/>
  <c r="R29" i="171"/>
  <c r="Q163" i="171"/>
  <c r="R163" i="171"/>
  <c r="Y163" i="171"/>
  <c r="Q380" i="171"/>
  <c r="Y380" i="171"/>
  <c r="Y188" i="171"/>
  <c r="Q188" i="171"/>
  <c r="R188" i="171"/>
  <c r="R277" i="171"/>
  <c r="Y277" i="171"/>
  <c r="Q277" i="171"/>
  <c r="Q213" i="171"/>
  <c r="R213" i="171"/>
  <c r="Y213" i="171"/>
  <c r="Y318" i="171"/>
  <c r="Q318" i="171"/>
  <c r="R318" i="171"/>
  <c r="R393" i="171"/>
  <c r="Y393" i="171"/>
  <c r="Q393" i="171"/>
  <c r="Y503" i="171"/>
  <c r="Q503" i="171"/>
  <c r="R503" i="171"/>
  <c r="R296" i="171"/>
  <c r="Y296" i="171"/>
  <c r="Q296" i="171"/>
  <c r="Q301" i="171"/>
  <c r="R301" i="171"/>
  <c r="Y301" i="171"/>
  <c r="Y65" i="171"/>
  <c r="Q65" i="171"/>
  <c r="R65" i="171"/>
  <c r="Q265" i="171"/>
  <c r="R265" i="171"/>
  <c r="Y265" i="171"/>
  <c r="Y420" i="171"/>
  <c r="Q420" i="171"/>
  <c r="R420" i="171"/>
  <c r="Y304" i="171"/>
  <c r="R304" i="171"/>
  <c r="Q304" i="171"/>
  <c r="R24" i="171"/>
  <c r="Y24" i="171"/>
  <c r="Y325" i="171"/>
  <c r="Q325" i="171"/>
  <c r="R325" i="171"/>
  <c r="R474" i="171"/>
  <c r="Y474" i="171"/>
  <c r="Q474" i="171"/>
  <c r="R26" i="171"/>
  <c r="Y26" i="171"/>
  <c r="R197" i="171"/>
  <c r="Q197" i="171"/>
  <c r="R260" i="171"/>
  <c r="Y260" i="171"/>
  <c r="Q219" i="171"/>
  <c r="Y219" i="171"/>
  <c r="R219" i="171"/>
  <c r="R259" i="171"/>
  <c r="Q259" i="171"/>
  <c r="Y259" i="171"/>
  <c r="Q377" i="171"/>
  <c r="Y377" i="171"/>
  <c r="Q407" i="171"/>
  <c r="Y407" i="171"/>
  <c r="R407" i="171"/>
  <c r="Q518" i="171"/>
  <c r="R518" i="171"/>
  <c r="Y518" i="171"/>
  <c r="Q81" i="171"/>
  <c r="R81" i="171"/>
  <c r="Q297" i="171"/>
  <c r="R297" i="171"/>
  <c r="Y126" i="171"/>
  <c r="R126" i="171"/>
  <c r="R382" i="171"/>
  <c r="Y382" i="171"/>
  <c r="Q382" i="171"/>
  <c r="Y436" i="171"/>
  <c r="R436" i="171"/>
  <c r="R42" i="171"/>
  <c r="Y42" i="171"/>
  <c r="Q42" i="171"/>
  <c r="R315" i="171"/>
  <c r="Q315" i="171"/>
  <c r="Y315" i="171"/>
  <c r="Q488" i="171"/>
  <c r="Y488" i="171"/>
  <c r="R488" i="171"/>
  <c r="R433" i="171"/>
  <c r="Y433" i="171"/>
  <c r="Q433" i="171"/>
  <c r="R463" i="171"/>
  <c r="Q463" i="171"/>
  <c r="Y463" i="171"/>
  <c r="R332" i="171"/>
  <c r="Y332" i="171"/>
  <c r="Q332" i="171"/>
  <c r="Y338" i="171"/>
  <c r="R338" i="171"/>
  <c r="Q338" i="171"/>
  <c r="Y295" i="171"/>
  <c r="Q295" i="171"/>
  <c r="R295" i="171"/>
  <c r="Q413" i="171"/>
  <c r="Y413" i="171"/>
  <c r="R413" i="171"/>
  <c r="Y443" i="171"/>
  <c r="R443" i="171"/>
  <c r="Q443" i="171"/>
  <c r="Y67" i="170"/>
  <c r="Q67" i="170"/>
  <c r="Y313" i="170"/>
  <c r="R313" i="170"/>
  <c r="Q313" i="170"/>
  <c r="R98" i="170"/>
  <c r="Q98" i="170"/>
  <c r="Y98" i="170"/>
  <c r="Y33" i="170"/>
  <c r="R33" i="170"/>
  <c r="R397" i="170"/>
  <c r="Y397" i="170"/>
  <c r="Q397" i="170"/>
  <c r="R507" i="170"/>
  <c r="Y507" i="170"/>
  <c r="R226" i="170"/>
  <c r="Y226" i="170"/>
  <c r="Q226" i="170"/>
  <c r="Y260" i="170"/>
  <c r="Q260" i="170"/>
  <c r="R260" i="170"/>
  <c r="Y185" i="170"/>
  <c r="R185" i="170"/>
  <c r="Q185" i="170"/>
  <c r="R314" i="170"/>
  <c r="Y314" i="170"/>
  <c r="Q314" i="170"/>
  <c r="R399" i="170"/>
  <c r="Y399" i="170"/>
  <c r="Q399" i="170"/>
  <c r="Q171" i="170"/>
  <c r="Y171" i="170"/>
  <c r="R171" i="170"/>
  <c r="R368" i="170"/>
  <c r="Y368" i="170"/>
  <c r="Q368" i="170"/>
  <c r="Y47" i="170"/>
  <c r="R47" i="170"/>
  <c r="Y166" i="170"/>
  <c r="Q166" i="170"/>
  <c r="R166" i="170"/>
  <c r="Y79" i="170"/>
  <c r="Q79" i="170"/>
  <c r="R79" i="170"/>
  <c r="R198" i="170"/>
  <c r="Q198" i="170"/>
  <c r="Y198" i="170"/>
  <c r="Q462" i="170"/>
  <c r="R462" i="170"/>
  <c r="Y462" i="170"/>
  <c r="Y86" i="170"/>
  <c r="Q86" i="170"/>
  <c r="R86" i="170"/>
  <c r="Q376" i="170"/>
  <c r="Y376" i="170"/>
  <c r="R376" i="170"/>
  <c r="Y385" i="170"/>
  <c r="R385" i="170"/>
  <c r="Q385" i="170"/>
  <c r="Y66" i="170"/>
  <c r="R66" i="170"/>
  <c r="Q66" i="170"/>
  <c r="R21" i="170"/>
  <c r="Y21" i="170"/>
  <c r="Y356" i="170"/>
  <c r="R356" i="170"/>
  <c r="Q356" i="170"/>
  <c r="Q365" i="170"/>
  <c r="Y365" i="170"/>
  <c r="R365" i="170"/>
  <c r="R455" i="170"/>
  <c r="Y455" i="170"/>
  <c r="Q455" i="170"/>
  <c r="R159" i="170"/>
  <c r="Q159" i="170"/>
  <c r="Y159" i="170"/>
  <c r="Y46" i="170"/>
  <c r="R46" i="170"/>
  <c r="Q46" i="170"/>
  <c r="Q192" i="170"/>
  <c r="Y192" i="170"/>
  <c r="Q336" i="170"/>
  <c r="R336" i="170"/>
  <c r="Y336" i="170"/>
  <c r="Q345" i="170"/>
  <c r="R345" i="170"/>
  <c r="Y345" i="170"/>
  <c r="R176" i="170"/>
  <c r="Q176" i="170"/>
  <c r="Y176" i="170"/>
  <c r="R59" i="170"/>
  <c r="Q59" i="170"/>
  <c r="Y296" i="170"/>
  <c r="R296" i="170"/>
  <c r="Q296" i="170"/>
  <c r="R305" i="170"/>
  <c r="Y305" i="170"/>
  <c r="Q305" i="170"/>
  <c r="Y178" i="170"/>
  <c r="Q178" i="170"/>
  <c r="R178" i="170"/>
  <c r="R435" i="170"/>
  <c r="Y435" i="170"/>
  <c r="R442" i="170"/>
  <c r="Q442" i="170"/>
  <c r="Y442" i="170"/>
  <c r="Y109" i="170"/>
  <c r="R109" i="170"/>
  <c r="Y372" i="170"/>
  <c r="Q372" i="170"/>
  <c r="R372" i="170"/>
  <c r="Y456" i="170"/>
  <c r="R456" i="170"/>
  <c r="R518" i="170"/>
  <c r="Y518" i="170"/>
  <c r="Q518" i="170"/>
  <c r="R483" i="170"/>
  <c r="Y483" i="170"/>
  <c r="Q483" i="170"/>
  <c r="Y115" i="170"/>
  <c r="Q115" i="170"/>
  <c r="R115" i="170"/>
  <c r="Q173" i="170"/>
  <c r="R173" i="170"/>
  <c r="Y173" i="170"/>
  <c r="Y352" i="170"/>
  <c r="Q352" i="170"/>
  <c r="R352" i="170"/>
  <c r="Y361" i="170"/>
  <c r="R361" i="170"/>
  <c r="Q361" i="170"/>
  <c r="Y234" i="170"/>
  <c r="R234" i="170"/>
  <c r="Q234" i="170"/>
  <c r="Y436" i="170"/>
  <c r="Q436" i="170"/>
  <c r="R436" i="170"/>
  <c r="Y498" i="170"/>
  <c r="R498" i="170"/>
  <c r="Q498" i="170"/>
  <c r="R117" i="170"/>
  <c r="Y117" i="170"/>
  <c r="Q117" i="170"/>
  <c r="Q42" i="170"/>
  <c r="Y42" i="170"/>
  <c r="R42" i="170"/>
  <c r="R95" i="170"/>
  <c r="Q95" i="170"/>
  <c r="Y95" i="170"/>
  <c r="Q146" i="170"/>
  <c r="Y146" i="170"/>
  <c r="R146" i="170"/>
  <c r="Q341" i="170"/>
  <c r="R341" i="170"/>
  <c r="Y341" i="170"/>
  <c r="Y214" i="170"/>
  <c r="Q214" i="170"/>
  <c r="R214" i="170"/>
  <c r="R478" i="170"/>
  <c r="Q478" i="170"/>
  <c r="Y478" i="170"/>
  <c r="N93" i="174"/>
  <c r="F93" i="174"/>
  <c r="G93" i="174"/>
  <c r="G106" i="174"/>
  <c r="F106" i="174"/>
  <c r="N106" i="174"/>
  <c r="F388" i="174"/>
  <c r="N388" i="174"/>
  <c r="G50" i="174"/>
  <c r="N50" i="174"/>
  <c r="F50" i="174"/>
  <c r="N151" i="174"/>
  <c r="F151" i="174"/>
  <c r="G151" i="174"/>
  <c r="F359" i="174"/>
  <c r="N359" i="174"/>
  <c r="G359" i="174"/>
  <c r="G264" i="174"/>
  <c r="N264" i="174"/>
  <c r="F264" i="174"/>
  <c r="N505" i="174"/>
  <c r="F505" i="174"/>
  <c r="F382" i="174"/>
  <c r="N382" i="174"/>
  <c r="N362" i="174"/>
  <c r="F362" i="174"/>
  <c r="G362" i="174"/>
  <c r="G67" i="174"/>
  <c r="F67" i="174"/>
  <c r="N67" i="174"/>
  <c r="N157" i="174"/>
  <c r="F157" i="174"/>
  <c r="G157" i="174"/>
  <c r="N436" i="174"/>
  <c r="F436" i="174"/>
  <c r="G436" i="174"/>
  <c r="G478" i="174"/>
  <c r="F478" i="174"/>
  <c r="N478" i="174"/>
  <c r="G190" i="174"/>
  <c r="N190" i="174"/>
  <c r="F190" i="174"/>
  <c r="N137" i="174"/>
  <c r="G137" i="174"/>
  <c r="G394" i="174"/>
  <c r="N394" i="174"/>
  <c r="G494" i="174"/>
  <c r="F494" i="174"/>
  <c r="N494" i="174"/>
  <c r="G189" i="174"/>
  <c r="N189" i="174"/>
  <c r="F189" i="174"/>
  <c r="G226" i="174"/>
  <c r="F226" i="174"/>
  <c r="N448" i="174"/>
  <c r="F448" i="174"/>
  <c r="G448" i="174"/>
  <c r="G35" i="174"/>
  <c r="N35" i="174"/>
  <c r="F35" i="174"/>
  <c r="F493" i="174"/>
  <c r="N493" i="174"/>
  <c r="G493" i="174"/>
  <c r="N405" i="174"/>
  <c r="G405" i="174"/>
  <c r="F405" i="174"/>
  <c r="G179" i="174"/>
  <c r="F179" i="174"/>
  <c r="N179" i="174"/>
  <c r="G194" i="174"/>
  <c r="N194" i="174"/>
  <c r="G141" i="174"/>
  <c r="N141" i="174"/>
  <c r="F141" i="174"/>
  <c r="N224" i="174"/>
  <c r="F224" i="174"/>
  <c r="G224" i="174"/>
  <c r="N417" i="174"/>
  <c r="F417" i="174"/>
  <c r="G417" i="174"/>
  <c r="G398" i="174"/>
  <c r="N398" i="174"/>
  <c r="F398" i="174"/>
  <c r="G498" i="174"/>
  <c r="N498" i="174"/>
  <c r="F498" i="174"/>
  <c r="G28" i="174"/>
  <c r="N28" i="174"/>
  <c r="F95" i="174"/>
  <c r="G95" i="174"/>
  <c r="N95" i="174"/>
  <c r="F206" i="174"/>
  <c r="G206" i="174"/>
  <c r="N206" i="174"/>
  <c r="N153" i="174"/>
  <c r="F153" i="174"/>
  <c r="G153" i="174"/>
  <c r="G236" i="174"/>
  <c r="N236" i="174"/>
  <c r="F236" i="174"/>
  <c r="F404" i="174"/>
  <c r="G404" i="174"/>
  <c r="N404" i="174"/>
  <c r="F429" i="174"/>
  <c r="G429" i="174"/>
  <c r="N429" i="174"/>
  <c r="N410" i="174"/>
  <c r="F410" i="174"/>
  <c r="F504" i="174"/>
  <c r="G504" i="174"/>
  <c r="N504" i="174"/>
  <c r="N510" i="174"/>
  <c r="F510" i="174"/>
  <c r="G510" i="174"/>
  <c r="F85" i="174"/>
  <c r="N85" i="174"/>
  <c r="G85" i="174"/>
  <c r="G122" i="174"/>
  <c r="N122" i="174"/>
  <c r="F122" i="174"/>
  <c r="N277" i="174"/>
  <c r="G277" i="174"/>
  <c r="F277" i="174"/>
  <c r="N184" i="174"/>
  <c r="G184" i="174"/>
  <c r="F184" i="174"/>
  <c r="N298" i="174"/>
  <c r="F298" i="174"/>
  <c r="G298" i="174"/>
  <c r="G21" i="174"/>
  <c r="N21" i="174"/>
  <c r="N207" i="174"/>
  <c r="F207" i="174"/>
  <c r="N66" i="174"/>
  <c r="F66" i="174"/>
  <c r="G66" i="174"/>
  <c r="F100" i="174"/>
  <c r="G100" i="174"/>
  <c r="N100" i="174"/>
  <c r="F356" i="174"/>
  <c r="G356" i="174"/>
  <c r="N356" i="174"/>
  <c r="N324" i="174"/>
  <c r="F324" i="174"/>
  <c r="G324" i="174"/>
  <c r="G439" i="174"/>
  <c r="N439" i="174"/>
  <c r="F439" i="174"/>
  <c r="G47" i="163"/>
  <c r="N47" i="163"/>
  <c r="F47" i="163"/>
  <c r="N50" i="163"/>
  <c r="F50" i="163"/>
  <c r="G50" i="163"/>
  <c r="G75" i="163"/>
  <c r="N75" i="163"/>
  <c r="F75" i="163"/>
  <c r="G105" i="163"/>
  <c r="N105" i="163"/>
  <c r="F105" i="163"/>
  <c r="N94" i="163"/>
  <c r="G94" i="163"/>
  <c r="F94" i="163"/>
  <c r="F213" i="163"/>
  <c r="G213" i="163"/>
  <c r="N213" i="163"/>
  <c r="N286" i="163"/>
  <c r="G286" i="163"/>
  <c r="F286" i="163"/>
  <c r="G343" i="163"/>
  <c r="N343" i="163"/>
  <c r="G111" i="163"/>
  <c r="N111" i="163"/>
  <c r="F111" i="163"/>
  <c r="G427" i="163"/>
  <c r="N427" i="163"/>
  <c r="F427" i="163"/>
  <c r="G513" i="163"/>
  <c r="F513" i="163"/>
  <c r="N513" i="163"/>
  <c r="N386" i="170"/>
  <c r="F200" i="170"/>
  <c r="F136" i="171"/>
  <c r="N235" i="170"/>
  <c r="G211" i="170"/>
  <c r="N211" i="170"/>
  <c r="F211" i="170"/>
  <c r="G489" i="170"/>
  <c r="N489" i="170"/>
  <c r="G185" i="170"/>
  <c r="N185" i="170"/>
  <c r="F185" i="170"/>
  <c r="N275" i="170"/>
  <c r="F275" i="170"/>
  <c r="G275" i="170"/>
  <c r="G419" i="170"/>
  <c r="N419" i="170"/>
  <c r="F419" i="170"/>
  <c r="N98" i="170"/>
  <c r="F98" i="170"/>
  <c r="G73" i="170"/>
  <c r="F73" i="170"/>
  <c r="N73" i="170"/>
  <c r="N364" i="170"/>
  <c r="F364" i="170"/>
  <c r="G364" i="170"/>
  <c r="N355" i="170"/>
  <c r="G355" i="170"/>
  <c r="N82" i="170"/>
  <c r="F82" i="170"/>
  <c r="G82" i="170"/>
  <c r="G53" i="170"/>
  <c r="N53" i="170"/>
  <c r="F53" i="170"/>
  <c r="G50" i="170"/>
  <c r="N50" i="170"/>
  <c r="F50" i="170"/>
  <c r="G228" i="170"/>
  <c r="N228" i="170"/>
  <c r="F228" i="170"/>
  <c r="G36" i="170"/>
  <c r="N36" i="170"/>
  <c r="F36" i="170"/>
  <c r="G163" i="170"/>
  <c r="F163" i="170"/>
  <c r="N163" i="170"/>
  <c r="G209" i="170"/>
  <c r="N209" i="170"/>
  <c r="F209" i="170"/>
  <c r="N425" i="170"/>
  <c r="G425" i="170"/>
  <c r="F425" i="170"/>
  <c r="G477" i="170"/>
  <c r="N477" i="170"/>
  <c r="F477" i="170"/>
  <c r="F484" i="170"/>
  <c r="N484" i="170"/>
  <c r="G484" i="170"/>
  <c r="F226" i="170"/>
  <c r="G226" i="170"/>
  <c r="N226" i="170"/>
  <c r="N399" i="170"/>
  <c r="G399" i="170"/>
  <c r="G480" i="170"/>
  <c r="N480" i="170"/>
  <c r="F480" i="170"/>
  <c r="G122" i="170"/>
  <c r="N122" i="170"/>
  <c r="F122" i="170"/>
  <c r="N212" i="170"/>
  <c r="F212" i="170"/>
  <c r="G212" i="170"/>
  <c r="G249" i="170"/>
  <c r="N249" i="170"/>
  <c r="F249" i="170"/>
  <c r="G398" i="170"/>
  <c r="F398" i="170"/>
  <c r="N398" i="170"/>
  <c r="F486" i="170"/>
  <c r="N486" i="170"/>
  <c r="G486" i="170"/>
  <c r="G315" i="170"/>
  <c r="N315" i="170"/>
  <c r="F315" i="170"/>
  <c r="N113" i="170"/>
  <c r="G113" i="170"/>
  <c r="F113" i="170"/>
  <c r="N384" i="170"/>
  <c r="G384" i="170"/>
  <c r="F384" i="170"/>
  <c r="N314" i="170"/>
  <c r="F314" i="170"/>
  <c r="G314" i="170"/>
  <c r="N231" i="170"/>
  <c r="G231" i="170"/>
  <c r="F231" i="170"/>
  <c r="N463" i="170"/>
  <c r="F463" i="170"/>
  <c r="G463" i="170"/>
  <c r="R252" i="174"/>
  <c r="Y252" i="174"/>
  <c r="Q252" i="174"/>
  <c r="Y299" i="174"/>
  <c r="Q299" i="174"/>
  <c r="R299" i="174"/>
  <c r="Y323" i="174"/>
  <c r="Q323" i="174"/>
  <c r="Q37" i="174"/>
  <c r="Y37" i="174"/>
  <c r="R37" i="174"/>
  <c r="Q125" i="174"/>
  <c r="R125" i="174"/>
  <c r="Y125" i="174"/>
  <c r="R516" i="174"/>
  <c r="Y516" i="174"/>
  <c r="Q516" i="174"/>
  <c r="Q371" i="174"/>
  <c r="Y371" i="174"/>
  <c r="R371" i="174"/>
  <c r="Y222" i="174"/>
  <c r="Q222" i="174"/>
  <c r="R222" i="174"/>
  <c r="R324" i="174"/>
  <c r="Y324" i="174"/>
  <c r="R142" i="174"/>
  <c r="Y142" i="174"/>
  <c r="R197" i="174"/>
  <c r="Y197" i="174"/>
  <c r="Q197" i="174"/>
  <c r="R235" i="174"/>
  <c r="Y235" i="174"/>
  <c r="Q235" i="174"/>
  <c r="R479" i="174"/>
  <c r="Y479" i="174"/>
  <c r="Q479" i="174"/>
  <c r="R250" i="174"/>
  <c r="Q250" i="174"/>
  <c r="Y250" i="174"/>
  <c r="R410" i="174"/>
  <c r="Y410" i="174"/>
  <c r="Q410" i="174"/>
  <c r="R238" i="174"/>
  <c r="Y238" i="174"/>
  <c r="Q238" i="174"/>
  <c r="R62" i="174"/>
  <c r="Y62" i="174"/>
  <c r="Q62" i="174"/>
  <c r="R177" i="174"/>
  <c r="Y177" i="174"/>
  <c r="Q177" i="174"/>
  <c r="R34" i="174"/>
  <c r="Y34" i="174"/>
  <c r="R384" i="174"/>
  <c r="Q384" i="174"/>
  <c r="Q489" i="174"/>
  <c r="R489" i="174"/>
  <c r="Y489" i="174"/>
  <c r="Q414" i="174"/>
  <c r="Y414" i="174"/>
  <c r="R414" i="174"/>
  <c r="R111" i="174"/>
  <c r="Y111" i="174"/>
  <c r="Q111" i="174"/>
  <c r="Q368" i="174"/>
  <c r="Y368" i="174"/>
  <c r="Y422" i="174"/>
  <c r="R422" i="174"/>
  <c r="R51" i="174"/>
  <c r="Y51" i="174"/>
  <c r="Q51" i="174"/>
  <c r="R178" i="174"/>
  <c r="Q178" i="174"/>
  <c r="Q164" i="174"/>
  <c r="R164" i="174"/>
  <c r="Y164" i="174"/>
  <c r="R149" i="174"/>
  <c r="Y149" i="174"/>
  <c r="Q149" i="174"/>
  <c r="Q256" i="174"/>
  <c r="Y256" i="174"/>
  <c r="R256" i="174"/>
  <c r="Q503" i="174"/>
  <c r="Y503" i="174"/>
  <c r="R503" i="174"/>
  <c r="R84" i="174"/>
  <c r="Y84" i="174"/>
  <c r="Q84" i="174"/>
  <c r="R73" i="174"/>
  <c r="Y73" i="174"/>
  <c r="Q73" i="174"/>
  <c r="Q124" i="174"/>
  <c r="Y124" i="174"/>
  <c r="R124" i="174"/>
  <c r="R234" i="174"/>
  <c r="Y234" i="174"/>
  <c r="R327" i="174"/>
  <c r="Q327" i="174"/>
  <c r="Y327" i="174"/>
  <c r="Y451" i="174"/>
  <c r="Q451" i="174"/>
  <c r="R451" i="174"/>
  <c r="Q494" i="174"/>
  <c r="R494" i="174"/>
  <c r="Y494" i="174"/>
  <c r="Y21" i="174"/>
  <c r="R21" i="174"/>
  <c r="Y99" i="174"/>
  <c r="Q99" i="174"/>
  <c r="Y308" i="174"/>
  <c r="Q308" i="174"/>
  <c r="R308" i="174"/>
  <c r="R389" i="174"/>
  <c r="Q389" i="174"/>
  <c r="Y389" i="174"/>
  <c r="Y514" i="163"/>
  <c r="Q514" i="163"/>
  <c r="R514" i="163"/>
  <c r="R415" i="163"/>
  <c r="Y415" i="163"/>
  <c r="Q415" i="163"/>
  <c r="R141" i="163"/>
  <c r="Q141" i="163"/>
  <c r="Y226" i="163"/>
  <c r="Q226" i="163"/>
  <c r="R226" i="163"/>
  <c r="R384" i="163"/>
  <c r="Y384" i="163"/>
  <c r="Q384" i="163"/>
  <c r="R349" i="163"/>
  <c r="Y349" i="163"/>
  <c r="Q349" i="163"/>
  <c r="Q466" i="163"/>
  <c r="R466" i="163"/>
  <c r="Y466" i="163"/>
  <c r="Y343" i="163"/>
  <c r="Q343" i="163"/>
  <c r="R343" i="163"/>
  <c r="Q149" i="163"/>
  <c r="Y149" i="163"/>
  <c r="R149" i="163"/>
  <c r="Y382" i="163"/>
  <c r="Q382" i="163"/>
  <c r="R382" i="163"/>
  <c r="R515" i="163"/>
  <c r="Q515" i="163"/>
  <c r="Y515" i="163"/>
  <c r="R392" i="163"/>
  <c r="Y392" i="163"/>
  <c r="Q392" i="163"/>
  <c r="R65" i="163"/>
  <c r="Y65" i="163"/>
  <c r="Q65" i="163"/>
  <c r="R279" i="163"/>
  <c r="Y279" i="163"/>
  <c r="Q279" i="163"/>
  <c r="Y437" i="163"/>
  <c r="Q437" i="163"/>
  <c r="R437" i="163"/>
  <c r="N39" i="171"/>
  <c r="G39" i="171"/>
  <c r="N447" i="171"/>
  <c r="F447" i="171"/>
  <c r="G447" i="171"/>
  <c r="G224" i="171"/>
  <c r="F224" i="171"/>
  <c r="N224" i="171"/>
  <c r="F401" i="171"/>
  <c r="N401" i="171"/>
  <c r="G401" i="171"/>
  <c r="N516" i="171"/>
  <c r="F516" i="171"/>
  <c r="G516" i="171"/>
  <c r="G180" i="171"/>
  <c r="N180" i="171"/>
  <c r="F485" i="171"/>
  <c r="N485" i="171"/>
  <c r="Y100" i="171"/>
  <c r="Q100" i="171"/>
  <c r="R100" i="171"/>
  <c r="Y88" i="171"/>
  <c r="R88" i="171"/>
  <c r="Q88" i="171"/>
  <c r="R464" i="171"/>
  <c r="Y464" i="171"/>
  <c r="Q464" i="171"/>
  <c r="Q93" i="171"/>
  <c r="Y93" i="171"/>
  <c r="R93" i="171"/>
  <c r="Y448" i="171"/>
  <c r="R448" i="171"/>
  <c r="Q448" i="171"/>
  <c r="Y374" i="171"/>
  <c r="Q374" i="171"/>
  <c r="R374" i="171"/>
  <c r="R120" i="170"/>
  <c r="Y120" i="170"/>
  <c r="Q120" i="170"/>
  <c r="R275" i="170"/>
  <c r="Y275" i="170"/>
  <c r="Q275" i="170"/>
  <c r="Q494" i="170"/>
  <c r="Y494" i="170"/>
  <c r="R494" i="170"/>
  <c r="Y216" i="170"/>
  <c r="Q216" i="170"/>
  <c r="R216" i="170"/>
  <c r="R408" i="170"/>
  <c r="Y408" i="170"/>
  <c r="Q408" i="170"/>
  <c r="F496" i="171"/>
  <c r="N310" i="170"/>
  <c r="N102" i="171"/>
  <c r="Y224" i="174"/>
  <c r="Q507" i="163"/>
  <c r="G469" i="170"/>
  <c r="F363" i="170"/>
  <c r="R265" i="174"/>
  <c r="Y254" i="170"/>
  <c r="Q135" i="170"/>
  <c r="Q436" i="171"/>
  <c r="R282" i="171"/>
  <c r="Q49" i="171"/>
  <c r="Y312" i="171"/>
  <c r="F381" i="171"/>
  <c r="G178" i="171"/>
  <c r="Q367" i="174"/>
  <c r="R278" i="174"/>
  <c r="R313" i="174"/>
  <c r="F314" i="174"/>
  <c r="R366" i="163"/>
  <c r="R377" i="163"/>
  <c r="F466" i="163"/>
  <c r="F188" i="170"/>
  <c r="Q260" i="171"/>
  <c r="Y28" i="171"/>
  <c r="G369" i="171"/>
  <c r="N334" i="171"/>
  <c r="Y192" i="174"/>
  <c r="Y100" i="163"/>
  <c r="Y40" i="163"/>
  <c r="N336" i="170"/>
  <c r="N205" i="170"/>
  <c r="N462" i="170"/>
  <c r="Q122" i="170"/>
  <c r="F194" i="174"/>
  <c r="R67" i="170"/>
  <c r="Q383" i="171"/>
  <c r="Y235" i="171"/>
  <c r="R268" i="163"/>
  <c r="N457" i="170"/>
  <c r="G410" i="174"/>
  <c r="G394" i="170"/>
  <c r="N394" i="170"/>
  <c r="F394" i="170"/>
  <c r="F47" i="170"/>
  <c r="G47" i="170"/>
  <c r="N47" i="170"/>
  <c r="N45" i="170"/>
  <c r="F45" i="170"/>
  <c r="G45" i="170"/>
  <c r="F177" i="170"/>
  <c r="N177" i="170"/>
  <c r="G177" i="170"/>
  <c r="N409" i="170"/>
  <c r="G409" i="170"/>
  <c r="F409" i="170"/>
  <c r="Y191" i="174"/>
  <c r="Q191" i="174"/>
  <c r="R191" i="174"/>
  <c r="Q439" i="174"/>
  <c r="Y439" i="174"/>
  <c r="R439" i="174"/>
  <c r="R85" i="174"/>
  <c r="Q85" i="174"/>
  <c r="Q150" i="174"/>
  <c r="R150" i="174"/>
  <c r="Y150" i="174"/>
  <c r="Y136" i="174"/>
  <c r="R136" i="174"/>
  <c r="Q136" i="174"/>
  <c r="Y88" i="163"/>
  <c r="Q88" i="163"/>
  <c r="R88" i="163"/>
  <c r="R335" i="163"/>
  <c r="Y335" i="163"/>
  <c r="Q335" i="163"/>
  <c r="Q82" i="170"/>
  <c r="Y82" i="170"/>
  <c r="Y332" i="170"/>
  <c r="R332" i="170"/>
  <c r="Q332" i="170"/>
  <c r="G337" i="163"/>
  <c r="N337" i="163"/>
  <c r="F337" i="163"/>
  <c r="G245" i="163"/>
  <c r="N245" i="163"/>
  <c r="F245" i="163"/>
  <c r="N458" i="163"/>
  <c r="F458" i="163"/>
  <c r="G458" i="163"/>
  <c r="G151" i="163"/>
  <c r="F151" i="163"/>
  <c r="N151" i="163"/>
  <c r="N165" i="163"/>
  <c r="F165" i="163"/>
  <c r="G165" i="163"/>
  <c r="F238" i="163"/>
  <c r="G238" i="163"/>
  <c r="N238" i="163"/>
  <c r="G327" i="163"/>
  <c r="N327" i="163"/>
  <c r="F327" i="163"/>
  <c r="F378" i="163"/>
  <c r="G378" i="163"/>
  <c r="N378" i="163"/>
  <c r="G472" i="163"/>
  <c r="N472" i="163"/>
  <c r="F472" i="163"/>
  <c r="F345" i="163"/>
  <c r="G345" i="163"/>
  <c r="N345" i="163"/>
  <c r="G119" i="163"/>
  <c r="F119" i="163"/>
  <c r="N119" i="163"/>
  <c r="N234" i="163"/>
  <c r="F234" i="163"/>
  <c r="G234" i="163"/>
  <c r="N374" i="163"/>
  <c r="G374" i="163"/>
  <c r="F374" i="163"/>
  <c r="G423" i="163"/>
  <c r="F423" i="163"/>
  <c r="N423" i="163"/>
  <c r="G468" i="163"/>
  <c r="F468" i="163"/>
  <c r="N468" i="163"/>
  <c r="G341" i="163"/>
  <c r="F341" i="163"/>
  <c r="N341" i="163"/>
  <c r="G231" i="163"/>
  <c r="F231" i="163"/>
  <c r="N231" i="163"/>
  <c r="F77" i="163"/>
  <c r="N77" i="163"/>
  <c r="G77" i="163"/>
  <c r="N150" i="163"/>
  <c r="G150" i="163"/>
  <c r="F150" i="163"/>
  <c r="N292" i="163"/>
  <c r="F292" i="163"/>
  <c r="G292" i="163"/>
  <c r="N339" i="163"/>
  <c r="G339" i="163"/>
  <c r="F339" i="163"/>
  <c r="F175" i="163"/>
  <c r="G175" i="163"/>
  <c r="N175" i="163"/>
  <c r="G95" i="163"/>
  <c r="N95" i="163"/>
  <c r="F95" i="163"/>
  <c r="G249" i="163"/>
  <c r="F249" i="163"/>
  <c r="G66" i="163"/>
  <c r="N66" i="163"/>
  <c r="F66" i="163"/>
  <c r="N37" i="163"/>
  <c r="F37" i="163"/>
  <c r="N208" i="163"/>
  <c r="F208" i="163"/>
  <c r="G208" i="163"/>
  <c r="G462" i="163"/>
  <c r="N462" i="163"/>
  <c r="N511" i="163"/>
  <c r="F511" i="163"/>
  <c r="G511" i="163"/>
  <c r="F509" i="171"/>
  <c r="N162" i="171"/>
  <c r="G498" i="170"/>
  <c r="F498" i="170"/>
  <c r="N498" i="170"/>
  <c r="G393" i="170"/>
  <c r="N393" i="170"/>
  <c r="F393" i="170"/>
  <c r="F385" i="170"/>
  <c r="N385" i="170"/>
  <c r="G268" i="170"/>
  <c r="N268" i="170"/>
  <c r="F268" i="170"/>
  <c r="G350" i="170"/>
  <c r="N350" i="170"/>
  <c r="F350" i="170"/>
  <c r="N432" i="170"/>
  <c r="F432" i="170"/>
  <c r="G432" i="170"/>
  <c r="N461" i="170"/>
  <c r="F461" i="170"/>
  <c r="G174" i="170"/>
  <c r="N174" i="170"/>
  <c r="N421" i="170"/>
  <c r="F421" i="170"/>
  <c r="G421" i="170"/>
  <c r="Y101" i="174"/>
  <c r="Q101" i="174"/>
  <c r="R101" i="174"/>
  <c r="R139" i="174"/>
  <c r="Y139" i="174"/>
  <c r="Q139" i="174"/>
  <c r="Q329" i="174"/>
  <c r="Y329" i="174"/>
  <c r="R329" i="174"/>
  <c r="R109" i="174"/>
  <c r="Q109" i="174"/>
  <c r="Y109" i="174"/>
  <c r="Q142" i="163"/>
  <c r="Y142" i="163"/>
  <c r="R142" i="163"/>
  <c r="R511" i="163"/>
  <c r="Y511" i="163"/>
  <c r="Q511" i="163"/>
  <c r="Y99" i="163"/>
  <c r="Q99" i="163"/>
  <c r="R99" i="163"/>
  <c r="Q513" i="163"/>
  <c r="R513" i="163"/>
  <c r="Y374" i="163"/>
  <c r="Q374" i="163"/>
  <c r="R374" i="163"/>
  <c r="R476" i="163"/>
  <c r="Y476" i="163"/>
  <c r="Q476" i="163"/>
  <c r="Q107" i="163"/>
  <c r="R107" i="163"/>
  <c r="Y107" i="163"/>
  <c r="R192" i="163"/>
  <c r="Q192" i="163"/>
  <c r="Y192" i="163"/>
  <c r="R431" i="163"/>
  <c r="Q431" i="163"/>
  <c r="Y431" i="163"/>
  <c r="G176" i="171"/>
  <c r="N176" i="171"/>
  <c r="F176" i="171"/>
  <c r="G89" i="171"/>
  <c r="F89" i="171"/>
  <c r="N89" i="171"/>
  <c r="G141" i="171"/>
  <c r="N141" i="171"/>
  <c r="F141" i="171"/>
  <c r="G148" i="171"/>
  <c r="N148" i="171"/>
  <c r="F148" i="171"/>
  <c r="G351" i="171"/>
  <c r="F351" i="171"/>
  <c r="N351" i="171"/>
  <c r="N85" i="171"/>
  <c r="F85" i="171"/>
  <c r="G85" i="171"/>
  <c r="F474" i="171"/>
  <c r="G474" i="171"/>
  <c r="N474" i="171"/>
  <c r="R167" i="171"/>
  <c r="Y167" i="171"/>
  <c r="Q167" i="171"/>
  <c r="Y422" i="171"/>
  <c r="Q422" i="171"/>
  <c r="Y455" i="171"/>
  <c r="Q455" i="171"/>
  <c r="R455" i="171"/>
  <c r="R316" i="171"/>
  <c r="Y316" i="171"/>
  <c r="Q316" i="171"/>
  <c r="R71" i="171"/>
  <c r="Y71" i="171"/>
  <c r="Q71" i="171"/>
  <c r="Y249" i="171"/>
  <c r="Q249" i="171"/>
  <c r="R249" i="171"/>
  <c r="R437" i="171"/>
  <c r="Y437" i="171"/>
  <c r="Q437" i="171"/>
  <c r="Q473" i="171"/>
  <c r="Y473" i="171"/>
  <c r="R473" i="171"/>
  <c r="R392" i="171"/>
  <c r="Y392" i="171"/>
  <c r="Q392" i="171"/>
  <c r="R357" i="171"/>
  <c r="Y357" i="171"/>
  <c r="Q357" i="171"/>
  <c r="Y496" i="171"/>
  <c r="Q496" i="171"/>
  <c r="R138" i="171"/>
  <c r="Y138" i="171"/>
  <c r="Q138" i="171"/>
  <c r="Y428" i="171"/>
  <c r="Q428" i="171"/>
  <c r="R428" i="171"/>
  <c r="R87" i="170"/>
  <c r="Y87" i="170"/>
  <c r="Q87" i="170"/>
  <c r="Y150" i="170"/>
  <c r="R150" i="170"/>
  <c r="Q150" i="170"/>
  <c r="Y399" i="174"/>
  <c r="F200" i="174"/>
  <c r="Q197" i="163"/>
  <c r="R112" i="170"/>
  <c r="Y197" i="171"/>
  <c r="Y57" i="163"/>
  <c r="Q487" i="170"/>
  <c r="F497" i="171"/>
  <c r="G137" i="171"/>
  <c r="Q450" i="174"/>
  <c r="Q338" i="174"/>
  <c r="F237" i="170"/>
  <c r="N64" i="170"/>
  <c r="G450" i="170"/>
  <c r="Q381" i="170"/>
  <c r="Y135" i="170"/>
  <c r="Y282" i="171"/>
  <c r="Y224" i="171"/>
  <c r="N364" i="171"/>
  <c r="N381" i="171"/>
  <c r="F146" i="171"/>
  <c r="F39" i="171"/>
  <c r="Q68" i="174"/>
  <c r="Q366" i="163"/>
  <c r="N466" i="163"/>
  <c r="G98" i="170"/>
  <c r="R302" i="171"/>
  <c r="G265" i="171"/>
  <c r="R368" i="174"/>
  <c r="Q396" i="163"/>
  <c r="R196" i="163"/>
  <c r="R100" i="163"/>
  <c r="N503" i="163"/>
  <c r="F343" i="163"/>
  <c r="G336" i="170"/>
  <c r="F205" i="170"/>
  <c r="R422" i="171"/>
  <c r="G382" i="174"/>
  <c r="Y178" i="174"/>
  <c r="R417" i="163"/>
  <c r="R192" i="170"/>
  <c r="Y383" i="171"/>
  <c r="Q235" i="171"/>
  <c r="Y118" i="171"/>
  <c r="R73" i="171"/>
  <c r="F467" i="170"/>
  <c r="N467" i="170"/>
  <c r="G467" i="170"/>
  <c r="Q190" i="174"/>
  <c r="R190" i="174"/>
  <c r="Y190" i="174"/>
  <c r="R315" i="174"/>
  <c r="Y315" i="174"/>
  <c r="Q315" i="174"/>
  <c r="Q512" i="174"/>
  <c r="R512" i="174"/>
  <c r="R89" i="163"/>
  <c r="Y89" i="163"/>
  <c r="Q89" i="163"/>
  <c r="R130" i="163"/>
  <c r="Q130" i="163"/>
  <c r="Y130" i="163"/>
  <c r="Q503" i="163"/>
  <c r="R503" i="163"/>
  <c r="Y503" i="163"/>
  <c r="N455" i="171"/>
  <c r="F455" i="171"/>
  <c r="G455" i="171"/>
  <c r="N417" i="171"/>
  <c r="G417" i="171"/>
  <c r="F417" i="171"/>
  <c r="R365" i="171"/>
  <c r="Y365" i="171"/>
  <c r="Q516" i="171"/>
  <c r="Y516" i="171"/>
  <c r="R62" i="170"/>
  <c r="Y62" i="170"/>
  <c r="Q62" i="170"/>
  <c r="G263" i="174"/>
  <c r="F263" i="174"/>
  <c r="N263" i="174"/>
  <c r="N58" i="163"/>
  <c r="F58" i="163"/>
  <c r="N200" i="163"/>
  <c r="F200" i="163"/>
  <c r="G200" i="163"/>
  <c r="F421" i="163"/>
  <c r="N421" i="163"/>
  <c r="G421" i="163"/>
  <c r="G87" i="163"/>
  <c r="N87" i="163"/>
  <c r="F87" i="163"/>
  <c r="G335" i="163"/>
  <c r="N335" i="163"/>
  <c r="F335" i="163"/>
  <c r="N124" i="163"/>
  <c r="F124" i="163"/>
  <c r="G124" i="163"/>
  <c r="F161" i="163"/>
  <c r="G161" i="163"/>
  <c r="N161" i="163"/>
  <c r="F120" i="163"/>
  <c r="G120" i="163"/>
  <c r="N120" i="163"/>
  <c r="G384" i="163"/>
  <c r="N384" i="163"/>
  <c r="F384" i="163"/>
  <c r="G429" i="163"/>
  <c r="F429" i="163"/>
  <c r="N429" i="163"/>
  <c r="G505" i="174"/>
  <c r="F394" i="174"/>
  <c r="N469" i="170"/>
  <c r="G508" i="170"/>
  <c r="N508" i="170"/>
  <c r="F508" i="170"/>
  <c r="N42" i="170"/>
  <c r="F42" i="170"/>
  <c r="G42" i="170"/>
  <c r="N403" i="170"/>
  <c r="F403" i="170"/>
  <c r="G403" i="170"/>
  <c r="N26" i="170"/>
  <c r="G26" i="170"/>
  <c r="R428" i="174"/>
  <c r="Q428" i="174"/>
  <c r="Y428" i="174"/>
  <c r="R461" i="174"/>
  <c r="Y461" i="174"/>
  <c r="Q461" i="174"/>
  <c r="R180" i="174"/>
  <c r="Y180" i="174"/>
  <c r="Q180" i="174"/>
  <c r="Y138" i="174"/>
  <c r="R138" i="174"/>
  <c r="Q138" i="174"/>
  <c r="R395" i="174"/>
  <c r="Y395" i="174"/>
  <c r="Q395" i="174"/>
  <c r="R333" i="163"/>
  <c r="Y333" i="163"/>
  <c r="Q333" i="163"/>
  <c r="R19" i="163"/>
  <c r="Q19" i="163"/>
  <c r="Q20" i="163" s="1"/>
  <c r="Q21" i="163" s="1"/>
  <c r="Q22" i="163" s="1"/>
  <c r="Q23" i="163" s="1"/>
  <c r="Q24" i="163" s="1"/>
  <c r="Q25" i="163" s="1"/>
  <c r="Q26" i="163" s="1"/>
  <c r="Q27" i="163" s="1"/>
  <c r="Q28" i="163" s="1"/>
  <c r="Y19" i="163"/>
  <c r="Y58" i="163"/>
  <c r="Q58" i="163"/>
  <c r="Y345" i="163"/>
  <c r="R345" i="163"/>
  <c r="R184" i="163"/>
  <c r="Y184" i="163"/>
  <c r="Q184" i="163"/>
  <c r="R233" i="163"/>
  <c r="Q233" i="163"/>
  <c r="Y233" i="163"/>
  <c r="Y234" i="163"/>
  <c r="Q234" i="163"/>
  <c r="R234" i="163"/>
  <c r="R150" i="163"/>
  <c r="Q150" i="163"/>
  <c r="Y108" i="163"/>
  <c r="Q108" i="163"/>
  <c r="R108" i="163"/>
  <c r="G329" i="171"/>
  <c r="N329" i="171"/>
  <c r="F329" i="171"/>
  <c r="N234" i="171"/>
  <c r="F234" i="171"/>
  <c r="G234" i="171"/>
  <c r="F245" i="171"/>
  <c r="G245" i="171"/>
  <c r="N245" i="171"/>
  <c r="N367" i="171"/>
  <c r="G367" i="171"/>
  <c r="F367" i="171"/>
  <c r="G106" i="171"/>
  <c r="N106" i="171"/>
  <c r="N182" i="171"/>
  <c r="G182" i="171"/>
  <c r="F182" i="171"/>
  <c r="F51" i="171"/>
  <c r="N51" i="171"/>
  <c r="G51" i="171"/>
  <c r="F239" i="171"/>
  <c r="N239" i="171"/>
  <c r="G239" i="171"/>
  <c r="G495" i="171"/>
  <c r="N495" i="171"/>
  <c r="F495" i="171"/>
  <c r="G432" i="171"/>
  <c r="F432" i="171"/>
  <c r="N432" i="171"/>
  <c r="G315" i="171"/>
  <c r="N315" i="171"/>
  <c r="F315" i="171"/>
  <c r="G268" i="171"/>
  <c r="N268" i="171"/>
  <c r="F268" i="171"/>
  <c r="N443" i="171"/>
  <c r="F443" i="171"/>
  <c r="G443" i="171"/>
  <c r="R351" i="171"/>
  <c r="Y351" i="171"/>
  <c r="Q351" i="171"/>
  <c r="R287" i="171"/>
  <c r="Y287" i="171"/>
  <c r="Q287" i="171"/>
  <c r="R331" i="171"/>
  <c r="Q331" i="171"/>
  <c r="Y331" i="171"/>
  <c r="Q285" i="171"/>
  <c r="R285" i="171"/>
  <c r="Y285" i="171"/>
  <c r="R359" i="171"/>
  <c r="Y359" i="171"/>
  <c r="Q359" i="171"/>
  <c r="Y239" i="171"/>
  <c r="Q239" i="171"/>
  <c r="R498" i="171"/>
  <c r="Y498" i="171"/>
  <c r="Q498" i="171"/>
  <c r="Q321" i="171"/>
  <c r="Y321" i="171"/>
  <c r="R321" i="171"/>
  <c r="Y394" i="171"/>
  <c r="R394" i="171"/>
  <c r="Q394" i="171"/>
  <c r="Y53" i="170"/>
  <c r="Q53" i="170"/>
  <c r="R53" i="170"/>
  <c r="R378" i="170"/>
  <c r="Q378" i="170"/>
  <c r="Y378" i="170"/>
  <c r="F477" i="163"/>
  <c r="G178" i="163"/>
  <c r="F180" i="171"/>
  <c r="F333" i="170"/>
  <c r="R378" i="163"/>
  <c r="Q485" i="163"/>
  <c r="Q305" i="163"/>
  <c r="N179" i="163"/>
  <c r="N333" i="170"/>
  <c r="G64" i="170"/>
  <c r="R254" i="170"/>
  <c r="R496" i="171"/>
  <c r="Q126" i="171"/>
  <c r="Q209" i="163"/>
  <c r="G179" i="163"/>
  <c r="F473" i="170"/>
  <c r="F399" i="170"/>
  <c r="F174" i="170"/>
  <c r="Y381" i="170"/>
  <c r="R82" i="170"/>
  <c r="Q224" i="171"/>
  <c r="G427" i="171"/>
  <c r="N146" i="171"/>
  <c r="R514" i="174"/>
  <c r="R323" i="174"/>
  <c r="R140" i="174"/>
  <c r="Y68" i="174"/>
  <c r="Q462" i="163"/>
  <c r="F419" i="163"/>
  <c r="Y302" i="171"/>
  <c r="Q477" i="174"/>
  <c r="Q34" i="174"/>
  <c r="Q487" i="163"/>
  <c r="G503" i="163"/>
  <c r="Q47" i="170"/>
  <c r="R380" i="171"/>
  <c r="Y343" i="171"/>
  <c r="G207" i="174"/>
  <c r="Y281" i="171"/>
  <c r="Q73" i="171"/>
  <c r="R154" i="170"/>
  <c r="Y154" i="170"/>
  <c r="Q154" i="170"/>
  <c r="Q167" i="170"/>
  <c r="Y167" i="170"/>
  <c r="R167" i="170"/>
  <c r="N191" i="174"/>
  <c r="F191" i="174"/>
  <c r="G191" i="174"/>
  <c r="F387" i="174"/>
  <c r="N387" i="174"/>
  <c r="N320" i="174"/>
  <c r="F320" i="174"/>
  <c r="G320" i="174"/>
  <c r="G74" i="174"/>
  <c r="N74" i="174"/>
  <c r="F74" i="174"/>
  <c r="N447" i="174"/>
  <c r="F447" i="174"/>
  <c r="G447" i="174"/>
  <c r="G123" i="174"/>
  <c r="N123" i="174"/>
  <c r="N516" i="174"/>
  <c r="F516" i="174"/>
  <c r="G516" i="174"/>
  <c r="G317" i="163"/>
  <c r="N317" i="163"/>
  <c r="G38" i="163"/>
  <c r="N38" i="163"/>
  <c r="F38" i="163"/>
  <c r="N250" i="163"/>
  <c r="F250" i="163"/>
  <c r="G390" i="163"/>
  <c r="F390" i="163"/>
  <c r="G484" i="163"/>
  <c r="N484" i="163"/>
  <c r="F484" i="163"/>
  <c r="N140" i="163"/>
  <c r="G140" i="163"/>
  <c r="G25" i="163"/>
  <c r="F25" i="163"/>
  <c r="N25" i="163"/>
  <c r="G191" i="163"/>
  <c r="N191" i="163"/>
  <c r="F191" i="163"/>
  <c r="N78" i="163"/>
  <c r="F78" i="163"/>
  <c r="G78" i="163"/>
  <c r="G215" i="163"/>
  <c r="F215" i="163"/>
  <c r="N215" i="163"/>
  <c r="G64" i="163"/>
  <c r="R392" i="170"/>
  <c r="F309" i="174"/>
  <c r="F445" i="163"/>
  <c r="F64" i="163"/>
  <c r="F183" i="163"/>
  <c r="G303" i="163"/>
  <c r="R461" i="170"/>
  <c r="Y221" i="170"/>
  <c r="Q231" i="170"/>
  <c r="G166" i="163"/>
  <c r="Q392" i="170"/>
  <c r="Y102" i="170"/>
  <c r="N390" i="163"/>
  <c r="G250" i="163"/>
  <c r="Y390" i="170"/>
  <c r="G401" i="174"/>
  <c r="F479" i="170"/>
  <c r="G479" i="170"/>
  <c r="N479" i="170"/>
  <c r="F190" i="170"/>
  <c r="N190" i="170"/>
  <c r="G190" i="170"/>
  <c r="G23" i="170"/>
  <c r="N23" i="170"/>
  <c r="G307" i="170"/>
  <c r="F307" i="170"/>
  <c r="N307" i="170"/>
  <c r="G222" i="170"/>
  <c r="N222" i="170"/>
  <c r="F222" i="170"/>
  <c r="G156" i="170"/>
  <c r="N156" i="170"/>
  <c r="F156" i="170"/>
  <c r="N151" i="170"/>
  <c r="F151" i="170"/>
  <c r="N458" i="170"/>
  <c r="G458" i="170"/>
  <c r="F458" i="170"/>
  <c r="F324" i="170"/>
  <c r="G324" i="170"/>
  <c r="N324" i="170"/>
  <c r="G119" i="170"/>
  <c r="N119" i="170"/>
  <c r="F119" i="170"/>
  <c r="F61" i="170"/>
  <c r="N61" i="170"/>
  <c r="G61" i="170"/>
  <c r="N210" i="170"/>
  <c r="G210" i="170"/>
  <c r="F210" i="170"/>
  <c r="G39" i="170"/>
  <c r="N39" i="170"/>
  <c r="F39" i="170"/>
  <c r="G116" i="170"/>
  <c r="N116" i="170"/>
  <c r="N348" i="170"/>
  <c r="F348" i="170"/>
  <c r="G348" i="170"/>
  <c r="F285" i="170"/>
  <c r="N285" i="170"/>
  <c r="N247" i="170"/>
  <c r="F247" i="170"/>
  <c r="G247" i="170"/>
  <c r="G126" i="170"/>
  <c r="N126" i="170"/>
  <c r="F126" i="170"/>
  <c r="G97" i="170"/>
  <c r="N97" i="170"/>
  <c r="F97" i="170"/>
  <c r="N164" i="170"/>
  <c r="F164" i="170"/>
  <c r="G466" i="170"/>
  <c r="N466" i="170"/>
  <c r="F466" i="170"/>
  <c r="G488" i="170"/>
  <c r="N488" i="170"/>
  <c r="F488" i="170"/>
  <c r="N388" i="170"/>
  <c r="G388" i="170"/>
  <c r="F388" i="170"/>
  <c r="G287" i="170"/>
  <c r="N287" i="170"/>
  <c r="F287" i="170"/>
  <c r="N133" i="170"/>
  <c r="F133" i="170"/>
  <c r="G133" i="170"/>
  <c r="N148" i="170"/>
  <c r="G148" i="170"/>
  <c r="F148" i="170"/>
  <c r="F404" i="170"/>
  <c r="G404" i="170"/>
  <c r="N404" i="170"/>
  <c r="N49" i="170"/>
  <c r="G49" i="170"/>
  <c r="F49" i="170"/>
  <c r="Q184" i="174"/>
  <c r="Y184" i="174"/>
  <c r="R184" i="174"/>
  <c r="R402" i="174"/>
  <c r="Y402" i="174"/>
  <c r="Q402" i="174"/>
  <c r="Y325" i="174"/>
  <c r="Q325" i="174"/>
  <c r="R325" i="174"/>
  <c r="Q500" i="174"/>
  <c r="Y500" i="174"/>
  <c r="R500" i="174"/>
  <c r="R426" i="174"/>
  <c r="Y426" i="174"/>
  <c r="Y26" i="174"/>
  <c r="R26" i="174"/>
  <c r="R228" i="174"/>
  <c r="Y228" i="174"/>
  <c r="Y420" i="174"/>
  <c r="Q420" i="174"/>
  <c r="R420" i="174"/>
  <c r="R91" i="174"/>
  <c r="Q91" i="174"/>
  <c r="Y91" i="174"/>
  <c r="Q474" i="174"/>
  <c r="Y474" i="174"/>
  <c r="Y143" i="174"/>
  <c r="Q143" i="174"/>
  <c r="R143" i="174"/>
  <c r="R261" i="174"/>
  <c r="Y261" i="174"/>
  <c r="Q261" i="174"/>
  <c r="R416" i="174"/>
  <c r="Y416" i="174"/>
  <c r="Q416" i="174"/>
  <c r="Q45" i="174"/>
  <c r="Y45" i="174"/>
  <c r="Y505" i="174"/>
  <c r="R505" i="174"/>
  <c r="Q505" i="174"/>
  <c r="R283" i="174"/>
  <c r="Y283" i="174"/>
  <c r="Q283" i="174"/>
  <c r="R166" i="174"/>
  <c r="Y166" i="174"/>
  <c r="R175" i="174"/>
  <c r="Y175" i="174"/>
  <c r="Q175" i="174"/>
  <c r="Y470" i="174"/>
  <c r="R470" i="174"/>
  <c r="Q470" i="174"/>
  <c r="R60" i="174"/>
  <c r="Y60" i="174"/>
  <c r="Q60" i="174"/>
  <c r="R49" i="174"/>
  <c r="Y49" i="174"/>
  <c r="Q49" i="174"/>
  <c r="Y114" i="174"/>
  <c r="Q114" i="174"/>
  <c r="R114" i="174"/>
  <c r="R423" i="174"/>
  <c r="Y423" i="174"/>
  <c r="Q423" i="174"/>
  <c r="R381" i="174"/>
  <c r="Y381" i="174"/>
  <c r="Y208" i="174"/>
  <c r="Q208" i="174"/>
  <c r="Y280" i="174"/>
  <c r="Q280" i="174"/>
  <c r="R280" i="174"/>
  <c r="R400" i="174"/>
  <c r="Y400" i="174"/>
  <c r="Q400" i="174"/>
  <c r="R430" i="174"/>
  <c r="Y430" i="174"/>
  <c r="Y78" i="174"/>
  <c r="Q78" i="174"/>
  <c r="R183" i="174"/>
  <c r="Y183" i="174"/>
  <c r="Q183" i="174"/>
  <c r="R193" i="174"/>
  <c r="Q193" i="174"/>
  <c r="R257" i="174"/>
  <c r="Y257" i="174"/>
  <c r="Q257" i="174"/>
  <c r="Q258" i="174"/>
  <c r="R258" i="174"/>
  <c r="Y258" i="174"/>
  <c r="Q475" i="174"/>
  <c r="R475" i="174"/>
  <c r="Y475" i="174"/>
  <c r="Q433" i="174"/>
  <c r="Y433" i="174"/>
  <c r="Y518" i="174"/>
  <c r="R518" i="174"/>
  <c r="Q518" i="174"/>
  <c r="R55" i="174"/>
  <c r="Y55" i="174"/>
  <c r="R182" i="174"/>
  <c r="Y182" i="174"/>
  <c r="Q182" i="174"/>
  <c r="Q168" i="174"/>
  <c r="R168" i="174"/>
  <c r="Y403" i="174"/>
  <c r="Q403" i="174"/>
  <c r="R403" i="174"/>
  <c r="R452" i="174"/>
  <c r="Y452" i="174"/>
  <c r="Y501" i="174"/>
  <c r="Q501" i="174"/>
  <c r="R501" i="174"/>
  <c r="Y296" i="174"/>
  <c r="R296" i="174"/>
  <c r="Q296" i="174"/>
  <c r="R440" i="174"/>
  <c r="Y440" i="174"/>
  <c r="Q440" i="174"/>
  <c r="R482" i="174"/>
  <c r="Y482" i="174"/>
  <c r="Q482" i="174"/>
  <c r="R328" i="163"/>
  <c r="Y328" i="163"/>
  <c r="R114" i="163"/>
  <c r="Y114" i="163"/>
  <c r="Q114" i="163"/>
  <c r="Y518" i="163"/>
  <c r="Q518" i="163"/>
  <c r="R518" i="163"/>
  <c r="R93" i="163"/>
  <c r="Y93" i="163"/>
  <c r="Q93" i="163"/>
  <c r="R178" i="163"/>
  <c r="Y178" i="163"/>
  <c r="Q178" i="163"/>
  <c r="R189" i="163"/>
  <c r="Y189" i="163"/>
  <c r="Q189" i="163"/>
  <c r="Y274" i="163"/>
  <c r="Q274" i="163"/>
  <c r="R274" i="163"/>
  <c r="R147" i="163"/>
  <c r="Y147" i="163"/>
  <c r="Q147" i="163"/>
  <c r="R232" i="163"/>
  <c r="Y232" i="163"/>
  <c r="Q232" i="163"/>
  <c r="R432" i="163"/>
  <c r="Q432" i="163"/>
  <c r="Y432" i="163"/>
  <c r="Y77" i="163"/>
  <c r="Q77" i="163"/>
  <c r="R162" i="163"/>
  <c r="Y162" i="163"/>
  <c r="Y36" i="163"/>
  <c r="Q36" i="163"/>
  <c r="R36" i="163"/>
  <c r="R120" i="163"/>
  <c r="Y120" i="163"/>
  <c r="Q120" i="163"/>
  <c r="Q449" i="163"/>
  <c r="R449" i="163"/>
  <c r="Y449" i="163"/>
  <c r="R169" i="163"/>
  <c r="Q169" i="163"/>
  <c r="Y169" i="163"/>
  <c r="R254" i="163"/>
  <c r="Q254" i="163"/>
  <c r="Y254" i="163"/>
  <c r="R127" i="163"/>
  <c r="Q127" i="163"/>
  <c r="Y127" i="163"/>
  <c r="R212" i="163"/>
  <c r="Q212" i="163"/>
  <c r="Y212" i="163"/>
  <c r="Y402" i="163"/>
  <c r="Q402" i="163"/>
  <c r="R402" i="163"/>
  <c r="Q196" i="170"/>
  <c r="R196" i="170"/>
  <c r="Y196" i="170"/>
  <c r="F64" i="174"/>
  <c r="G64" i="174"/>
  <c r="F373" i="174"/>
  <c r="G373" i="174"/>
  <c r="N373" i="174"/>
  <c r="N468" i="174"/>
  <c r="G468" i="174"/>
  <c r="F468" i="174"/>
  <c r="G84" i="174"/>
  <c r="N84" i="174"/>
  <c r="F84" i="174"/>
  <c r="G165" i="174"/>
  <c r="N165" i="174"/>
  <c r="F165" i="174"/>
  <c r="F422" i="174"/>
  <c r="N422" i="174"/>
  <c r="G422" i="174"/>
  <c r="G218" i="163"/>
  <c r="F218" i="163"/>
  <c r="G362" i="163"/>
  <c r="N362" i="163"/>
  <c r="F362" i="163"/>
  <c r="N361" i="163"/>
  <c r="F361" i="163"/>
  <c r="G361" i="163"/>
  <c r="G261" i="163"/>
  <c r="N261" i="163"/>
  <c r="G470" i="163"/>
  <c r="F470" i="163"/>
  <c r="N470" i="163"/>
  <c r="Q390" i="170"/>
  <c r="N445" i="163"/>
  <c r="G128" i="163"/>
  <c r="N183" i="163"/>
  <c r="Q461" i="170"/>
  <c r="R221" i="170"/>
  <c r="Y231" i="170"/>
  <c r="Q355" i="170"/>
  <c r="F166" i="163"/>
  <c r="F125" i="163"/>
  <c r="Q401" i="170"/>
  <c r="Q307" i="170"/>
  <c r="N158" i="174"/>
  <c r="N218" i="163"/>
  <c r="F401" i="174"/>
  <c r="F259" i="174"/>
  <c r="F220" i="163"/>
  <c r="R68" i="170"/>
  <c r="Y68" i="170"/>
  <c r="Q252" i="170"/>
  <c r="R252" i="170"/>
  <c r="Y252" i="170"/>
  <c r="R75" i="170"/>
  <c r="Q75" i="170"/>
  <c r="Y75" i="170"/>
  <c r="R22" i="170"/>
  <c r="Y22" i="170"/>
  <c r="R194" i="170"/>
  <c r="Y194" i="170"/>
  <c r="Q194" i="170"/>
  <c r="R458" i="170"/>
  <c r="Q458" i="170"/>
  <c r="Y458" i="170"/>
  <c r="R55" i="170"/>
  <c r="Q55" i="170"/>
  <c r="Y55" i="170"/>
  <c r="Y174" i="170"/>
  <c r="R174" i="170"/>
  <c r="Q174" i="170"/>
  <c r="Y438" i="170"/>
  <c r="Q438" i="170"/>
  <c r="R438" i="170"/>
  <c r="R36" i="170"/>
  <c r="Y36" i="170"/>
  <c r="Q351" i="170"/>
  <c r="Y351" i="170"/>
  <c r="Y432" i="170"/>
  <c r="R432" i="170"/>
  <c r="Q432" i="170"/>
  <c r="Y37" i="170"/>
  <c r="R37" i="170"/>
  <c r="Y274" i="170"/>
  <c r="Q274" i="170"/>
  <c r="R274" i="170"/>
  <c r="R515" i="170"/>
  <c r="Y515" i="170"/>
  <c r="Q515" i="170"/>
  <c r="R93" i="170"/>
  <c r="Q93" i="170"/>
  <c r="Y93" i="170"/>
  <c r="Q441" i="170"/>
  <c r="R441" i="170"/>
  <c r="Y441" i="170"/>
  <c r="Q428" i="170"/>
  <c r="R428" i="170"/>
  <c r="Y428" i="170"/>
  <c r="Y181" i="170"/>
  <c r="Q181" i="170"/>
  <c r="R181" i="170"/>
  <c r="Q310" i="170"/>
  <c r="Y310" i="170"/>
  <c r="R310" i="170"/>
  <c r="Y512" i="170"/>
  <c r="R512" i="170"/>
  <c r="Q512" i="170"/>
  <c r="Q459" i="170"/>
  <c r="R459" i="170"/>
  <c r="Y459" i="170"/>
  <c r="N214" i="174"/>
  <c r="F214" i="174"/>
  <c r="G161" i="174"/>
  <c r="N161" i="174"/>
  <c r="F161" i="174"/>
  <c r="F58" i="174"/>
  <c r="N58" i="174"/>
  <c r="N211" i="174"/>
  <c r="G211" i="174"/>
  <c r="G119" i="174"/>
  <c r="N119" i="174"/>
  <c r="G210" i="174"/>
  <c r="N210" i="174"/>
  <c r="F210" i="174"/>
  <c r="N307" i="174"/>
  <c r="F307" i="174"/>
  <c r="G307" i="174"/>
  <c r="G272" i="174"/>
  <c r="N272" i="174"/>
  <c r="F272" i="174"/>
  <c r="G339" i="174"/>
  <c r="N339" i="174"/>
  <c r="F339" i="174"/>
  <c r="F103" i="174"/>
  <c r="G103" i="174"/>
  <c r="N103" i="174"/>
  <c r="N180" i="174"/>
  <c r="F180" i="174"/>
  <c r="G180" i="174"/>
  <c r="N294" i="174"/>
  <c r="F294" i="174"/>
  <c r="G294" i="174"/>
  <c r="N343" i="174"/>
  <c r="F343" i="174"/>
  <c r="G343" i="174"/>
  <c r="N484" i="174"/>
  <c r="F484" i="174"/>
  <c r="G484" i="174"/>
  <c r="G112" i="174"/>
  <c r="F112" i="174"/>
  <c r="N80" i="174"/>
  <c r="F80" i="174"/>
  <c r="N313" i="174"/>
  <c r="F313" i="174"/>
  <c r="G313" i="174"/>
  <c r="N175" i="174"/>
  <c r="G175" i="174"/>
  <c r="F175" i="174"/>
  <c r="F62" i="174"/>
  <c r="N62" i="174"/>
  <c r="G62" i="174"/>
  <c r="F329" i="174"/>
  <c r="N329" i="174"/>
  <c r="G329" i="174"/>
  <c r="F435" i="174"/>
  <c r="N435" i="174"/>
  <c r="G435" i="174"/>
  <c r="F108" i="174"/>
  <c r="N108" i="174"/>
  <c r="G108" i="174"/>
  <c r="G332" i="174"/>
  <c r="N332" i="174"/>
  <c r="F332" i="174"/>
  <c r="N271" i="174"/>
  <c r="G271" i="174"/>
  <c r="F271" i="174"/>
  <c r="G19" i="174"/>
  <c r="F19" i="174"/>
  <c r="F20" i="174" s="1"/>
  <c r="F21" i="174" s="1"/>
  <c r="F22" i="174" s="1"/>
  <c r="F23" i="174" s="1"/>
  <c r="F24" i="174" s="1"/>
  <c r="F25" i="174" s="1"/>
  <c r="F26" i="174" s="1"/>
  <c r="F27" i="174" s="1"/>
  <c r="F28" i="174" s="1"/>
  <c r="G183" i="174"/>
  <c r="N183" i="174"/>
  <c r="G218" i="174"/>
  <c r="F218" i="174"/>
  <c r="N218" i="174"/>
  <c r="G248" i="174"/>
  <c r="F248" i="174"/>
  <c r="N248" i="174"/>
  <c r="G363" i="174"/>
  <c r="N363" i="174"/>
  <c r="F363" i="174"/>
  <c r="G441" i="174"/>
  <c r="N441" i="174"/>
  <c r="F441" i="174"/>
  <c r="N196" i="174"/>
  <c r="F196" i="174"/>
  <c r="G196" i="174"/>
  <c r="N364" i="174"/>
  <c r="G364" i="174"/>
  <c r="F364" i="174"/>
  <c r="F310" i="174"/>
  <c r="N310" i="174"/>
  <c r="G310" i="174"/>
  <c r="F416" i="174"/>
  <c r="N416" i="174"/>
  <c r="F357" i="174"/>
  <c r="G357" i="174"/>
  <c r="N357" i="174"/>
  <c r="G90" i="163"/>
  <c r="N90" i="163"/>
  <c r="N474" i="163"/>
  <c r="F474" i="163"/>
  <c r="N441" i="163"/>
  <c r="F441" i="163"/>
  <c r="G441" i="163"/>
  <c r="G239" i="163"/>
  <c r="F239" i="163"/>
  <c r="N239" i="163"/>
  <c r="N159" i="163"/>
  <c r="G159" i="163"/>
  <c r="F159" i="163"/>
  <c r="G257" i="163"/>
  <c r="N257" i="163"/>
  <c r="F257" i="163"/>
  <c r="N74" i="163"/>
  <c r="F74" i="163"/>
  <c r="G74" i="163"/>
  <c r="N216" i="163"/>
  <c r="G216" i="163"/>
  <c r="F216" i="163"/>
  <c r="N437" i="163"/>
  <c r="G437" i="163"/>
  <c r="F437" i="163"/>
  <c r="G20" i="163"/>
  <c r="N20" i="163"/>
  <c r="N173" i="163"/>
  <c r="G173" i="163"/>
  <c r="F173" i="163"/>
  <c r="F246" i="163"/>
  <c r="G246" i="163"/>
  <c r="N246" i="163"/>
  <c r="N132" i="163"/>
  <c r="F132" i="163"/>
  <c r="G132" i="163"/>
  <c r="F386" i="163"/>
  <c r="G386" i="163"/>
  <c r="N386" i="163"/>
  <c r="G480" i="163"/>
  <c r="N480" i="163"/>
  <c r="N353" i="163"/>
  <c r="F353" i="163"/>
  <c r="G353" i="163"/>
  <c r="G89" i="163"/>
  <c r="F89" i="163"/>
  <c r="F162" i="163"/>
  <c r="G162" i="163"/>
  <c r="N162" i="163"/>
  <c r="N304" i="163"/>
  <c r="F304" i="163"/>
  <c r="G304" i="163"/>
  <c r="N351" i="163"/>
  <c r="G351" i="163"/>
  <c r="F351" i="163"/>
  <c r="F396" i="163"/>
  <c r="N396" i="163"/>
  <c r="G396" i="163"/>
  <c r="G422" i="163"/>
  <c r="G287" i="163"/>
  <c r="N19" i="174"/>
  <c r="G224" i="163"/>
  <c r="F128" i="163"/>
  <c r="F223" i="163"/>
  <c r="Q350" i="170"/>
  <c r="R212" i="170"/>
  <c r="Y355" i="170"/>
  <c r="F432" i="163"/>
  <c r="G308" i="163"/>
  <c r="N125" i="163"/>
  <c r="F20" i="163"/>
  <c r="F21" i="163" s="1"/>
  <c r="F22" i="163" s="1"/>
  <c r="F23" i="163" s="1"/>
  <c r="Y401" i="170"/>
  <c r="Y307" i="170"/>
  <c r="Y81" i="170"/>
  <c r="F316" i="174"/>
  <c r="G158" i="174"/>
  <c r="F291" i="163"/>
  <c r="G387" i="174"/>
  <c r="N64" i="174"/>
  <c r="G259" i="174"/>
  <c r="N220" i="163"/>
  <c r="F261" i="163"/>
  <c r="G416" i="174"/>
  <c r="F123" i="174"/>
  <c r="Y476" i="170"/>
  <c r="Q476" i="170"/>
  <c r="R476" i="170"/>
  <c r="Y201" i="170"/>
  <c r="Q201" i="170"/>
  <c r="R201" i="170"/>
  <c r="R330" i="170"/>
  <c r="Q330" i="170"/>
  <c r="Y330" i="170"/>
  <c r="Y138" i="170"/>
  <c r="Q138" i="170"/>
  <c r="R138" i="170"/>
  <c r="G418" i="174"/>
  <c r="N418" i="174"/>
  <c r="F418" i="174"/>
  <c r="F483" i="174"/>
  <c r="N483" i="174"/>
  <c r="F96" i="174"/>
  <c r="G96" i="174"/>
  <c r="N96" i="174"/>
  <c r="G134" i="174"/>
  <c r="N134" i="174"/>
  <c r="F134" i="174"/>
  <c r="N279" i="163"/>
  <c r="F279" i="163"/>
  <c r="G279" i="163"/>
  <c r="G443" i="163"/>
  <c r="N443" i="163"/>
  <c r="F443" i="163"/>
  <c r="G271" i="163"/>
  <c r="N271" i="163"/>
  <c r="F271" i="163"/>
  <c r="G435" i="163"/>
  <c r="N435" i="163"/>
  <c r="F435" i="163"/>
  <c r="N48" i="163"/>
  <c r="G48" i="163"/>
  <c r="F48" i="163"/>
  <c r="Q21" i="174"/>
  <c r="Q22" i="174" s="1"/>
  <c r="Q23" i="174" s="1"/>
  <c r="Q24" i="174" s="1"/>
  <c r="Q25" i="174" s="1"/>
  <c r="Q26" i="174" s="1"/>
  <c r="Q27" i="174" s="1"/>
  <c r="Q28" i="174" s="1"/>
  <c r="R81" i="170"/>
  <c r="N426" i="174"/>
  <c r="N316" i="174"/>
  <c r="F177" i="163"/>
  <c r="N291" i="163"/>
  <c r="F211" i="174"/>
  <c r="G80" i="174"/>
  <c r="F480" i="163"/>
  <c r="R412" i="163"/>
  <c r="Y412" i="163"/>
  <c r="Q412" i="163"/>
  <c r="R85" i="163"/>
  <c r="Y85" i="163"/>
  <c r="Q85" i="163"/>
  <c r="R170" i="163"/>
  <c r="Y170" i="163"/>
  <c r="Q170" i="163"/>
  <c r="R43" i="163"/>
  <c r="Y43" i="163"/>
  <c r="Q43" i="163"/>
  <c r="Q299" i="163"/>
  <c r="R299" i="163"/>
  <c r="Y299" i="163"/>
  <c r="R128" i="163"/>
  <c r="Y128" i="163"/>
  <c r="Q128" i="163"/>
  <c r="Y457" i="163"/>
  <c r="Q457" i="163"/>
  <c r="R457" i="163"/>
  <c r="R451" i="163"/>
  <c r="Y451" i="163"/>
  <c r="Q451" i="163"/>
  <c r="Q86" i="163"/>
  <c r="R86" i="163"/>
  <c r="Y86" i="163"/>
  <c r="R215" i="163"/>
  <c r="Q215" i="163"/>
  <c r="Y215" i="163"/>
  <c r="R44" i="163"/>
  <c r="Y44" i="163"/>
  <c r="Q44" i="163"/>
  <c r="R300" i="163"/>
  <c r="Y300" i="163"/>
  <c r="Q300" i="163"/>
  <c r="R373" i="163"/>
  <c r="Y373" i="163"/>
  <c r="Q373" i="163"/>
  <c r="R490" i="163"/>
  <c r="Y490" i="163"/>
  <c r="Q490" i="163"/>
  <c r="R367" i="163"/>
  <c r="Y367" i="163"/>
  <c r="Q367" i="163"/>
  <c r="Y500" i="163"/>
  <c r="Q500" i="163"/>
  <c r="R500" i="163"/>
  <c r="F229" i="171"/>
  <c r="N229" i="171"/>
  <c r="N72" i="171"/>
  <c r="F72" i="171"/>
  <c r="G155" i="171"/>
  <c r="N155" i="171"/>
  <c r="F155" i="171"/>
  <c r="N270" i="171"/>
  <c r="G270" i="171"/>
  <c r="F270" i="171"/>
  <c r="N354" i="171"/>
  <c r="F354" i="171"/>
  <c r="G354" i="171"/>
  <c r="G90" i="171"/>
  <c r="N90" i="171"/>
  <c r="G228" i="171"/>
  <c r="N228" i="171"/>
  <c r="F228" i="171"/>
  <c r="G33" i="171"/>
  <c r="N33" i="171"/>
  <c r="F33" i="171"/>
  <c r="F226" i="171"/>
  <c r="G226" i="171"/>
  <c r="N226" i="171"/>
  <c r="N108" i="171"/>
  <c r="F108" i="171"/>
  <c r="G108" i="171"/>
  <c r="G213" i="171"/>
  <c r="N213" i="171"/>
  <c r="F213" i="171"/>
  <c r="F279" i="171"/>
  <c r="N279" i="171"/>
  <c r="G279" i="171"/>
  <c r="G398" i="171"/>
  <c r="F398" i="171"/>
  <c r="N398" i="171"/>
  <c r="G305" i="171"/>
  <c r="N305" i="171"/>
  <c r="F305" i="171"/>
  <c r="N389" i="171"/>
  <c r="F389" i="171"/>
  <c r="G389" i="171"/>
  <c r="G172" i="171"/>
  <c r="N172" i="171"/>
  <c r="F172" i="171"/>
  <c r="N81" i="171"/>
  <c r="G81" i="171"/>
  <c r="F81" i="171"/>
  <c r="G333" i="171"/>
  <c r="N333" i="171"/>
  <c r="F333" i="171"/>
  <c r="G416" i="171"/>
  <c r="N416" i="171"/>
  <c r="G457" i="171"/>
  <c r="N457" i="171"/>
  <c r="F457" i="171"/>
  <c r="F494" i="171"/>
  <c r="G494" i="171"/>
  <c r="N494" i="171"/>
  <c r="G338" i="171"/>
  <c r="F338" i="171"/>
  <c r="N338" i="171"/>
  <c r="G169" i="171"/>
  <c r="N169" i="171"/>
  <c r="F169" i="171"/>
  <c r="G46" i="171"/>
  <c r="F46" i="171"/>
  <c r="N46" i="171"/>
  <c r="F281" i="171"/>
  <c r="G281" i="171"/>
  <c r="N312" i="171"/>
  <c r="G312" i="171"/>
  <c r="F312" i="171"/>
  <c r="G377" i="171"/>
  <c r="N377" i="171"/>
  <c r="F377" i="171"/>
  <c r="N492" i="171"/>
  <c r="F492" i="171"/>
  <c r="N167" i="171"/>
  <c r="F167" i="171"/>
  <c r="G167" i="171"/>
  <c r="N273" i="171"/>
  <c r="F273" i="171"/>
  <c r="G273" i="171"/>
  <c r="F356" i="171"/>
  <c r="N356" i="171"/>
  <c r="G356" i="171"/>
  <c r="N308" i="171"/>
  <c r="G308" i="171"/>
  <c r="F308" i="171"/>
  <c r="G373" i="171"/>
  <c r="F373" i="171"/>
  <c r="N373" i="171"/>
  <c r="G493" i="171"/>
  <c r="N493" i="171"/>
  <c r="F493" i="171"/>
  <c r="F483" i="171"/>
  <c r="N483" i="171"/>
  <c r="G483" i="171"/>
  <c r="G488" i="171"/>
  <c r="F488" i="171"/>
  <c r="N118" i="171"/>
  <c r="F118" i="171"/>
  <c r="G118" i="171"/>
  <c r="N458" i="171"/>
  <c r="F458" i="171"/>
  <c r="G458" i="171"/>
  <c r="F449" i="171"/>
  <c r="G449" i="171"/>
  <c r="N449" i="171"/>
  <c r="G368" i="171"/>
  <c r="N368" i="171"/>
  <c r="F368" i="171"/>
  <c r="G194" i="171"/>
  <c r="N194" i="171"/>
  <c r="G63" i="171"/>
  <c r="N63" i="171"/>
  <c r="F63" i="171"/>
  <c r="F251" i="171"/>
  <c r="N251" i="171"/>
  <c r="G379" i="171"/>
  <c r="F379" i="171"/>
  <c r="N379" i="171"/>
  <c r="N444" i="171"/>
  <c r="F444" i="171"/>
  <c r="G444" i="171"/>
  <c r="Y121" i="171"/>
  <c r="Q121" i="171"/>
  <c r="R121" i="171"/>
  <c r="Y136" i="171"/>
  <c r="Q136" i="171"/>
  <c r="R136" i="171"/>
  <c r="Y429" i="171"/>
  <c r="Q429" i="171"/>
  <c r="R429" i="171"/>
  <c r="Q207" i="171"/>
  <c r="R207" i="171"/>
  <c r="Y207" i="171"/>
  <c r="R117" i="171"/>
  <c r="Y117" i="171"/>
  <c r="Q117" i="171"/>
  <c r="Y245" i="171"/>
  <c r="Q245" i="171"/>
  <c r="R245" i="171"/>
  <c r="Y181" i="171"/>
  <c r="R181" i="171"/>
  <c r="Q181" i="171"/>
  <c r="Q286" i="171"/>
  <c r="Y286" i="171"/>
  <c r="R286" i="171"/>
  <c r="R361" i="171"/>
  <c r="Y361" i="171"/>
  <c r="Q361" i="171"/>
  <c r="R91" i="171"/>
  <c r="Y91" i="171"/>
  <c r="Q91" i="171"/>
  <c r="Q330" i="171"/>
  <c r="Y330" i="171"/>
  <c r="R330" i="171"/>
  <c r="R405" i="171"/>
  <c r="Q405" i="171"/>
  <c r="Y405" i="171"/>
  <c r="Q489" i="171"/>
  <c r="R489" i="171"/>
  <c r="Y489" i="171"/>
  <c r="R58" i="171"/>
  <c r="Q58" i="171"/>
  <c r="Y449" i="171"/>
  <c r="Q449" i="171"/>
  <c r="R449" i="171"/>
  <c r="Q358" i="171"/>
  <c r="Y358" i="171"/>
  <c r="Q180" i="171"/>
  <c r="Y180" i="171"/>
  <c r="R180" i="171"/>
  <c r="R195" i="171"/>
  <c r="Y195" i="171"/>
  <c r="Q195" i="171"/>
  <c r="R313" i="171"/>
  <c r="Q313" i="171"/>
  <c r="R280" i="171"/>
  <c r="Q280" i="171"/>
  <c r="Y280" i="171"/>
  <c r="Y33" i="171"/>
  <c r="Q33" i="171"/>
  <c r="R33" i="171"/>
  <c r="Y32" i="171"/>
  <c r="R32" i="171"/>
  <c r="Q32" i="171"/>
  <c r="Y341" i="171"/>
  <c r="Q341" i="171"/>
  <c r="Y66" i="171"/>
  <c r="Q66" i="171"/>
  <c r="R66" i="171"/>
  <c r="R457" i="171"/>
  <c r="Y457" i="171"/>
  <c r="Q457" i="171"/>
  <c r="R43" i="171"/>
  <c r="Y43" i="171"/>
  <c r="Q43" i="171"/>
  <c r="R129" i="171"/>
  <c r="Y129" i="171"/>
  <c r="Q129" i="171"/>
  <c r="Y234" i="171"/>
  <c r="R234" i="171"/>
  <c r="Q234" i="171"/>
  <c r="R484" i="171"/>
  <c r="Y484" i="171"/>
  <c r="Q484" i="171"/>
  <c r="R55" i="171"/>
  <c r="Q55" i="171"/>
  <c r="Y55" i="171"/>
  <c r="R299" i="171"/>
  <c r="Y299" i="171"/>
  <c r="Q299" i="171"/>
  <c r="R447" i="171"/>
  <c r="Q447" i="171"/>
  <c r="Y447" i="171"/>
  <c r="Y334" i="171"/>
  <c r="R334" i="171"/>
  <c r="Q334" i="171"/>
  <c r="Q291" i="171"/>
  <c r="Y291" i="171"/>
  <c r="R291" i="171"/>
  <c r="R409" i="171"/>
  <c r="Y409" i="171"/>
  <c r="Q409" i="171"/>
  <c r="R439" i="171"/>
  <c r="Q439" i="171"/>
  <c r="R74" i="171"/>
  <c r="Q74" i="171"/>
  <c r="Y74" i="171"/>
  <c r="R221" i="171"/>
  <c r="Q221" i="171"/>
  <c r="Y221" i="171"/>
  <c r="R347" i="171"/>
  <c r="Y347" i="171"/>
  <c r="Q347" i="171"/>
  <c r="Y465" i="171"/>
  <c r="Q465" i="171"/>
  <c r="R465" i="171"/>
  <c r="Y384" i="171"/>
  <c r="Q384" i="171"/>
  <c r="R384" i="171"/>
  <c r="R354" i="171"/>
  <c r="Q354" i="171"/>
  <c r="Y54" i="171"/>
  <c r="Q54" i="171"/>
  <c r="R327" i="171"/>
  <c r="Q327" i="171"/>
  <c r="Y327" i="171"/>
  <c r="R445" i="171"/>
  <c r="Y445" i="171"/>
  <c r="Q445" i="171"/>
  <c r="R475" i="171"/>
  <c r="Y475" i="171"/>
  <c r="Q475" i="171"/>
  <c r="Y364" i="171"/>
  <c r="R364" i="171"/>
  <c r="Q364" i="171"/>
  <c r="Y304" i="170"/>
  <c r="Q304" i="170"/>
  <c r="R304" i="170"/>
  <c r="R358" i="170"/>
  <c r="Y358" i="170"/>
  <c r="Q358" i="170"/>
  <c r="Y411" i="170"/>
  <c r="R411" i="170"/>
  <c r="R472" i="170"/>
  <c r="Q472" i="170"/>
  <c r="Y472" i="170"/>
  <c r="R353" i="170"/>
  <c r="Y353" i="170"/>
  <c r="Q353" i="170"/>
  <c r="Q269" i="170"/>
  <c r="R269" i="170"/>
  <c r="Y269" i="170"/>
  <c r="Y509" i="170"/>
  <c r="R509" i="170"/>
  <c r="Q509" i="170"/>
  <c r="R387" i="170"/>
  <c r="Q387" i="170"/>
  <c r="Y387" i="170"/>
  <c r="Q69" i="170"/>
  <c r="Y69" i="170"/>
  <c r="Q492" i="170"/>
  <c r="R492" i="170"/>
  <c r="Y492" i="170"/>
  <c r="R140" i="170"/>
  <c r="Q140" i="170"/>
  <c r="Q324" i="170"/>
  <c r="R324" i="170"/>
  <c r="Y324" i="170"/>
  <c r="Y35" i="170"/>
  <c r="R35" i="170"/>
  <c r="R343" i="170"/>
  <c r="Q343" i="170"/>
  <c r="Y343" i="170"/>
  <c r="Q211" i="170"/>
  <c r="Y211" i="170"/>
  <c r="Y262" i="170"/>
  <c r="Q262" i="170"/>
  <c r="R262" i="170"/>
  <c r="R464" i="170"/>
  <c r="Y464" i="170"/>
  <c r="R89" i="170"/>
  <c r="Y89" i="170"/>
  <c r="Y433" i="170"/>
  <c r="Q433" i="170"/>
  <c r="R433" i="170"/>
  <c r="Y130" i="170"/>
  <c r="Q130" i="170"/>
  <c r="R130" i="170"/>
  <c r="R420" i="170"/>
  <c r="Y420" i="170"/>
  <c r="Q420" i="170"/>
  <c r="R429" i="170"/>
  <c r="Y429" i="170"/>
  <c r="Q429" i="170"/>
  <c r="Y110" i="170"/>
  <c r="Q110" i="170"/>
  <c r="R110" i="170"/>
  <c r="Y400" i="170"/>
  <c r="Q400" i="170"/>
  <c r="R409" i="170"/>
  <c r="Q409" i="170"/>
  <c r="R85" i="170"/>
  <c r="Y85" i="170"/>
  <c r="Q85" i="170"/>
  <c r="R210" i="170"/>
  <c r="Y210" i="170"/>
  <c r="Y94" i="170"/>
  <c r="Q94" i="170"/>
  <c r="R94" i="170"/>
  <c r="R243" i="170"/>
  <c r="Y243" i="170"/>
  <c r="Q243" i="170"/>
  <c r="R29" i="170"/>
  <c r="Y29" i="170"/>
  <c r="Q384" i="170"/>
  <c r="R384" i="170"/>
  <c r="Y384" i="170"/>
  <c r="Q393" i="170"/>
  <c r="R393" i="170"/>
  <c r="Y393" i="170"/>
  <c r="Q266" i="170"/>
  <c r="R266" i="170"/>
  <c r="Y266" i="170"/>
  <c r="Q468" i="170"/>
  <c r="R468" i="170"/>
  <c r="Y468" i="170"/>
  <c r="Q499" i="170"/>
  <c r="Y499" i="170"/>
  <c r="Y45" i="170"/>
  <c r="Q45" i="170"/>
  <c r="R45" i="170"/>
  <c r="Y74" i="170"/>
  <c r="R74" i="170"/>
  <c r="Q74" i="170"/>
  <c r="Y127" i="170"/>
  <c r="Q127" i="170"/>
  <c r="R127" i="170"/>
  <c r="Q364" i="170"/>
  <c r="R364" i="170"/>
  <c r="Y373" i="170"/>
  <c r="R373" i="170"/>
  <c r="Q373" i="170"/>
  <c r="R246" i="170"/>
  <c r="Q246" i="170"/>
  <c r="Y246" i="170"/>
  <c r="Y448" i="170"/>
  <c r="Q448" i="170"/>
  <c r="R448" i="170"/>
  <c r="Y510" i="170"/>
  <c r="Q510" i="170"/>
  <c r="R510" i="170"/>
  <c r="Q471" i="170"/>
  <c r="Y471" i="170"/>
  <c r="R471" i="170"/>
  <c r="G311" i="174"/>
  <c r="F311" i="174"/>
  <c r="N311" i="174"/>
  <c r="G507" i="174"/>
  <c r="F507" i="174"/>
  <c r="N507" i="174"/>
  <c r="F49" i="174"/>
  <c r="G49" i="174"/>
  <c r="N49" i="174"/>
  <c r="G423" i="174"/>
  <c r="N423" i="174"/>
  <c r="F423" i="174"/>
  <c r="N492" i="174"/>
  <c r="G492" i="174"/>
  <c r="F492" i="174"/>
  <c r="N114" i="174"/>
  <c r="F114" i="174"/>
  <c r="G114" i="174"/>
  <c r="F57" i="174"/>
  <c r="G57" i="174"/>
  <c r="N57" i="174"/>
  <c r="N25" i="174"/>
  <c r="G25" i="174"/>
  <c r="N38" i="174"/>
  <c r="F38" i="174"/>
  <c r="G38" i="174"/>
  <c r="G39" i="174"/>
  <c r="F39" i="174"/>
  <c r="N39" i="174"/>
  <c r="F45" i="174"/>
  <c r="G45" i="174"/>
  <c r="N45" i="174"/>
  <c r="G144" i="174"/>
  <c r="N144" i="174"/>
  <c r="F144" i="174"/>
  <c r="N355" i="174"/>
  <c r="F355" i="174"/>
  <c r="G355" i="174"/>
  <c r="N201" i="174"/>
  <c r="F201" i="174"/>
  <c r="G201" i="174"/>
  <c r="G488" i="174"/>
  <c r="F488" i="174"/>
  <c r="G458" i="174"/>
  <c r="N458" i="174"/>
  <c r="F458" i="174"/>
  <c r="G290" i="174"/>
  <c r="N290" i="174"/>
  <c r="F290" i="174"/>
  <c r="N276" i="174"/>
  <c r="F276" i="174"/>
  <c r="G276" i="174"/>
  <c r="F391" i="174"/>
  <c r="G391" i="174"/>
  <c r="N391" i="174"/>
  <c r="G469" i="174"/>
  <c r="F469" i="174"/>
  <c r="N517" i="174"/>
  <c r="F517" i="174"/>
  <c r="G517" i="174"/>
  <c r="G451" i="174"/>
  <c r="N451" i="174"/>
  <c r="G47" i="174"/>
  <c r="F47" i="174"/>
  <c r="N47" i="174"/>
  <c r="N187" i="174"/>
  <c r="F187" i="174"/>
  <c r="G187" i="174"/>
  <c r="N173" i="174"/>
  <c r="F173" i="174"/>
  <c r="G173" i="174"/>
  <c r="G256" i="174"/>
  <c r="N256" i="174"/>
  <c r="F256" i="174"/>
  <c r="G371" i="174"/>
  <c r="N371" i="174"/>
  <c r="F371" i="174"/>
  <c r="G449" i="174"/>
  <c r="N449" i="174"/>
  <c r="F449" i="174"/>
  <c r="G430" i="174"/>
  <c r="F430" i="174"/>
  <c r="N430" i="174"/>
  <c r="F497" i="174"/>
  <c r="N497" i="174"/>
  <c r="G497" i="174"/>
  <c r="F29" i="174"/>
  <c r="G29" i="174"/>
  <c r="N29" i="174"/>
  <c r="N59" i="174"/>
  <c r="F59" i="174"/>
  <c r="G59" i="174"/>
  <c r="N30" i="174"/>
  <c r="F30" i="174"/>
  <c r="G30" i="174"/>
  <c r="N159" i="174"/>
  <c r="F159" i="174"/>
  <c r="N185" i="174"/>
  <c r="G185" i="174"/>
  <c r="F185" i="174"/>
  <c r="F268" i="174"/>
  <c r="G268" i="174"/>
  <c r="N268" i="174"/>
  <c r="N383" i="174"/>
  <c r="F383" i="174"/>
  <c r="G383" i="174"/>
  <c r="N461" i="174"/>
  <c r="F461" i="174"/>
  <c r="G461" i="174"/>
  <c r="G442" i="174"/>
  <c r="N442" i="174"/>
  <c r="F442" i="174"/>
  <c r="G509" i="174"/>
  <c r="F509" i="174"/>
  <c r="N509" i="174"/>
  <c r="N131" i="174"/>
  <c r="F131" i="174"/>
  <c r="G131" i="174"/>
  <c r="G154" i="174"/>
  <c r="N154" i="174"/>
  <c r="F154" i="174"/>
  <c r="N216" i="174"/>
  <c r="G216" i="174"/>
  <c r="F216" i="174"/>
  <c r="F432" i="174"/>
  <c r="N432" i="174"/>
  <c r="G432" i="174"/>
  <c r="F330" i="174"/>
  <c r="G330" i="174"/>
  <c r="F377" i="174"/>
  <c r="G377" i="174"/>
  <c r="N377" i="174"/>
  <c r="G23" i="174"/>
  <c r="N23" i="174"/>
  <c r="N132" i="174"/>
  <c r="G132" i="174"/>
  <c r="F132" i="174"/>
  <c r="N295" i="174"/>
  <c r="F295" i="174"/>
  <c r="G471" i="174"/>
  <c r="F471" i="174"/>
  <c r="N471" i="174"/>
  <c r="N108" i="163"/>
  <c r="F108" i="163"/>
  <c r="G108" i="163"/>
  <c r="G453" i="163"/>
  <c r="N453" i="163"/>
  <c r="G277" i="163"/>
  <c r="F277" i="163"/>
  <c r="N277" i="163"/>
  <c r="G347" i="163"/>
  <c r="N347" i="163"/>
  <c r="F347" i="163"/>
  <c r="N235" i="163"/>
  <c r="F235" i="163"/>
  <c r="G235" i="163"/>
  <c r="G471" i="163"/>
  <c r="N471" i="163"/>
  <c r="N122" i="163"/>
  <c r="F122" i="163"/>
  <c r="G122" i="163"/>
  <c r="F264" i="163"/>
  <c r="G264" i="163"/>
  <c r="N264" i="163"/>
  <c r="N356" i="163"/>
  <c r="F356" i="163"/>
  <c r="G356" i="163"/>
  <c r="N21" i="163"/>
  <c r="G21" i="163"/>
  <c r="N309" i="163"/>
  <c r="F309" i="163"/>
  <c r="G309" i="163"/>
  <c r="N195" i="163"/>
  <c r="F195" i="163"/>
  <c r="G139" i="163"/>
  <c r="N139" i="163"/>
  <c r="F139" i="163"/>
  <c r="G59" i="163"/>
  <c r="F59" i="163"/>
  <c r="N26" i="163"/>
  <c r="F26" i="163"/>
  <c r="G26" i="163"/>
  <c r="F197" i="163"/>
  <c r="G197" i="163"/>
  <c r="N197" i="163"/>
  <c r="G319" i="163"/>
  <c r="N319" i="163"/>
  <c r="F319" i="163"/>
  <c r="N270" i="163"/>
  <c r="G270" i="163"/>
  <c r="F270" i="163"/>
  <c r="N156" i="163"/>
  <c r="F156" i="163"/>
  <c r="G156" i="163"/>
  <c r="G410" i="163"/>
  <c r="N410" i="163"/>
  <c r="F410" i="163"/>
  <c r="N504" i="163"/>
  <c r="F504" i="163"/>
  <c r="G504" i="163"/>
  <c r="G377" i="163"/>
  <c r="N377" i="163"/>
  <c r="N163" i="163"/>
  <c r="F163" i="163"/>
  <c r="G163" i="163"/>
  <c r="N107" i="163"/>
  <c r="F107" i="163"/>
  <c r="G107" i="163"/>
  <c r="N24" i="163"/>
  <c r="G24" i="163"/>
  <c r="F24" i="163"/>
  <c r="G193" i="163"/>
  <c r="F193" i="163"/>
  <c r="N193" i="163"/>
  <c r="N266" i="163"/>
  <c r="G266" i="163"/>
  <c r="N152" i="163"/>
  <c r="G152" i="163"/>
  <c r="F152" i="163"/>
  <c r="G406" i="163"/>
  <c r="F406" i="163"/>
  <c r="N406" i="163"/>
  <c r="N455" i="163"/>
  <c r="G455" i="163"/>
  <c r="F455" i="163"/>
  <c r="N500" i="163"/>
  <c r="G500" i="163"/>
  <c r="F500" i="163"/>
  <c r="G373" i="163"/>
  <c r="N373" i="163"/>
  <c r="F373" i="163"/>
  <c r="N29" i="163"/>
  <c r="G29" i="163"/>
  <c r="F29" i="163"/>
  <c r="N109" i="163"/>
  <c r="G109" i="163"/>
  <c r="F109" i="163"/>
  <c r="F316" i="163"/>
  <c r="N316" i="163"/>
  <c r="G316" i="163"/>
  <c r="N182" i="163"/>
  <c r="F182" i="163"/>
  <c r="G182" i="163"/>
  <c r="F68" i="163"/>
  <c r="N68" i="163"/>
  <c r="N322" i="163"/>
  <c r="F322" i="163"/>
  <c r="G322" i="163"/>
  <c r="G371" i="163"/>
  <c r="N371" i="163"/>
  <c r="F371" i="163"/>
  <c r="N416" i="163"/>
  <c r="G416" i="163"/>
  <c r="F416" i="163"/>
  <c r="G51" i="163"/>
  <c r="N51" i="163"/>
  <c r="F51" i="163"/>
  <c r="G281" i="163"/>
  <c r="N281" i="163"/>
  <c r="F281" i="163"/>
  <c r="N98" i="163"/>
  <c r="F98" i="163"/>
  <c r="G98" i="163"/>
  <c r="N315" i="163"/>
  <c r="G315" i="163"/>
  <c r="F240" i="163"/>
  <c r="N240" i="163"/>
  <c r="G240" i="163"/>
  <c r="G494" i="163"/>
  <c r="N494" i="163"/>
  <c r="F494" i="163"/>
  <c r="G332" i="163"/>
  <c r="N332" i="163"/>
  <c r="F332" i="163"/>
  <c r="N461" i="163"/>
  <c r="F461" i="163"/>
  <c r="G461" i="163"/>
  <c r="G381" i="170"/>
  <c r="N381" i="170"/>
  <c r="G172" i="170"/>
  <c r="N172" i="170"/>
  <c r="F254" i="170"/>
  <c r="G254" i="170"/>
  <c r="F150" i="170"/>
  <c r="N150" i="170"/>
  <c r="F338" i="170"/>
  <c r="G338" i="170"/>
  <c r="G223" i="170"/>
  <c r="N223" i="170"/>
  <c r="F265" i="170"/>
  <c r="G265" i="170"/>
  <c r="G305" i="170"/>
  <c r="F305" i="170"/>
  <c r="G453" i="170"/>
  <c r="N453" i="170"/>
  <c r="G192" i="170"/>
  <c r="N192" i="170"/>
  <c r="F378" i="170"/>
  <c r="G378" i="170"/>
  <c r="R348" i="174"/>
  <c r="Y348" i="174"/>
  <c r="Q348" i="174"/>
  <c r="R297" i="174"/>
  <c r="Q297" i="174"/>
  <c r="Y297" i="174"/>
  <c r="R295" i="174"/>
  <c r="Q295" i="174"/>
  <c r="Y295" i="174"/>
  <c r="Q473" i="174"/>
  <c r="Y473" i="174"/>
  <c r="Y362" i="174"/>
  <c r="R362" i="174"/>
  <c r="Q362" i="174"/>
  <c r="Y336" i="174"/>
  <c r="R336" i="174"/>
  <c r="Q336" i="174"/>
  <c r="Y456" i="174"/>
  <c r="R456" i="174"/>
  <c r="Q456" i="174"/>
  <c r="Y365" i="174"/>
  <c r="R365" i="174"/>
  <c r="Q365" i="174"/>
  <c r="Y152" i="174"/>
  <c r="R152" i="174"/>
  <c r="Q152" i="174"/>
  <c r="Q346" i="174"/>
  <c r="R346" i="174"/>
  <c r="Y346" i="174"/>
  <c r="R95" i="174"/>
  <c r="Y95" i="174"/>
  <c r="Q95" i="174"/>
  <c r="R105" i="174"/>
  <c r="Y105" i="174"/>
  <c r="Q105" i="174"/>
  <c r="R253" i="174"/>
  <c r="Q253" i="174"/>
  <c r="Y251" i="174"/>
  <c r="Q251" i="174"/>
  <c r="R251" i="174"/>
  <c r="Y429" i="174"/>
  <c r="Q429" i="174"/>
  <c r="R429" i="174"/>
  <c r="R94" i="174"/>
  <c r="Q94" i="174"/>
  <c r="Y94" i="174"/>
  <c r="R203" i="174"/>
  <c r="Q203" i="174"/>
  <c r="Y203" i="174"/>
  <c r="Q213" i="174"/>
  <c r="Y213" i="174"/>
  <c r="R448" i="174"/>
  <c r="Q448" i="174"/>
  <c r="Y448" i="174"/>
  <c r="Y497" i="174"/>
  <c r="Q497" i="174"/>
  <c r="Q75" i="174"/>
  <c r="Y75" i="174"/>
  <c r="Y35" i="174"/>
  <c r="Q35" i="174"/>
  <c r="R35" i="174"/>
  <c r="R202" i="174"/>
  <c r="Y202" i="174"/>
  <c r="Y305" i="174"/>
  <c r="R305" i="174"/>
  <c r="R303" i="174"/>
  <c r="Q303" i="174"/>
  <c r="Y303" i="174"/>
  <c r="R58" i="174"/>
  <c r="Y58" i="174"/>
  <c r="Q58" i="174"/>
  <c r="R173" i="174"/>
  <c r="Q173" i="174"/>
  <c r="R233" i="174"/>
  <c r="Y233" i="174"/>
  <c r="Q233" i="174"/>
  <c r="R231" i="174"/>
  <c r="Y231" i="174"/>
  <c r="Q231" i="174"/>
  <c r="R409" i="174"/>
  <c r="Q409" i="174"/>
  <c r="Y409" i="174"/>
  <c r="Y287" i="174"/>
  <c r="Q287" i="174"/>
  <c r="Y243" i="163"/>
  <c r="Q243" i="163"/>
  <c r="R243" i="163"/>
  <c r="Y401" i="163"/>
  <c r="Q401" i="163"/>
  <c r="R401" i="163"/>
  <c r="R51" i="163"/>
  <c r="Y51" i="163"/>
  <c r="Q51" i="163"/>
  <c r="R136" i="163"/>
  <c r="Y136" i="163"/>
  <c r="Q136" i="163"/>
  <c r="Y465" i="163"/>
  <c r="R465" i="163"/>
  <c r="Q465" i="163"/>
  <c r="R336" i="163"/>
  <c r="Q336" i="163"/>
  <c r="Y336" i="163"/>
  <c r="Q422" i="163"/>
  <c r="Y422" i="163"/>
  <c r="R422" i="163"/>
  <c r="R41" i="163"/>
  <c r="Q41" i="163"/>
  <c r="Y41" i="163"/>
  <c r="R297" i="163"/>
  <c r="Y297" i="163"/>
  <c r="Q297" i="163"/>
  <c r="Q126" i="163"/>
  <c r="R126" i="163"/>
  <c r="Y126" i="163"/>
  <c r="R255" i="163"/>
  <c r="Q255" i="163"/>
  <c r="Y255" i="163"/>
  <c r="Q84" i="163"/>
  <c r="R84" i="163"/>
  <c r="R413" i="163"/>
  <c r="Q413" i="163"/>
  <c r="Y413" i="163"/>
  <c r="Y407" i="163"/>
  <c r="R407" i="163"/>
  <c r="Q407" i="163"/>
  <c r="R213" i="163"/>
  <c r="Y213" i="163"/>
  <c r="R42" i="163"/>
  <c r="Y42" i="163"/>
  <c r="Q42" i="163"/>
  <c r="R298" i="163"/>
  <c r="Q298" i="163"/>
  <c r="R256" i="163"/>
  <c r="Y256" i="163"/>
  <c r="Q256" i="163"/>
  <c r="R329" i="163"/>
  <c r="Y329" i="163"/>
  <c r="Q456" i="163"/>
  <c r="R456" i="163"/>
  <c r="R129" i="163"/>
  <c r="Q129" i="163"/>
  <c r="R214" i="163"/>
  <c r="Q214" i="163"/>
  <c r="Y214" i="163"/>
  <c r="Y87" i="163"/>
  <c r="Q87" i="163"/>
  <c r="R87" i="163"/>
  <c r="R172" i="163"/>
  <c r="Q172" i="163"/>
  <c r="R501" i="163"/>
  <c r="Q501" i="163"/>
  <c r="Q362" i="163"/>
  <c r="Y362" i="163"/>
  <c r="R362" i="163"/>
  <c r="R495" i="163"/>
  <c r="Y495" i="163"/>
  <c r="Q495" i="163"/>
  <c r="Q372" i="163"/>
  <c r="R372" i="163"/>
  <c r="Y372" i="163"/>
  <c r="G61" i="171"/>
  <c r="N61" i="171"/>
  <c r="F61" i="171"/>
  <c r="N80" i="171"/>
  <c r="G80" i="171"/>
  <c r="G407" i="171"/>
  <c r="N407" i="171"/>
  <c r="F407" i="171"/>
  <c r="N164" i="171"/>
  <c r="G164" i="171"/>
  <c r="N216" i="171"/>
  <c r="F216" i="171"/>
  <c r="G25" i="171"/>
  <c r="N25" i="171"/>
  <c r="N261" i="171"/>
  <c r="F261" i="171"/>
  <c r="G261" i="171"/>
  <c r="F266" i="171"/>
  <c r="N266" i="171"/>
  <c r="G266" i="171"/>
  <c r="F157" i="171"/>
  <c r="N157" i="171"/>
  <c r="F376" i="171"/>
  <c r="N376" i="171"/>
  <c r="G376" i="171"/>
  <c r="G43" i="171"/>
  <c r="N43" i="171"/>
  <c r="G170" i="171"/>
  <c r="N170" i="171"/>
  <c r="F170" i="171"/>
  <c r="N366" i="171"/>
  <c r="F366" i="171"/>
  <c r="G366" i="171"/>
  <c r="G227" i="171"/>
  <c r="N227" i="171"/>
  <c r="F227" i="171"/>
  <c r="F420" i="171"/>
  <c r="N420" i="171"/>
  <c r="N115" i="171"/>
  <c r="G115" i="171"/>
  <c r="F115" i="171"/>
  <c r="G303" i="171"/>
  <c r="F303" i="171"/>
  <c r="N303" i="171"/>
  <c r="G256" i="171"/>
  <c r="N256" i="171"/>
  <c r="F256" i="171"/>
  <c r="N515" i="171"/>
  <c r="F515" i="171"/>
  <c r="G431" i="171"/>
  <c r="N431" i="171"/>
  <c r="F431" i="171"/>
  <c r="N262" i="171"/>
  <c r="G262" i="171"/>
  <c r="F262" i="171"/>
  <c r="G191" i="171"/>
  <c r="N191" i="171"/>
  <c r="F191" i="171"/>
  <c r="N321" i="171"/>
  <c r="F321" i="171"/>
  <c r="G321" i="171"/>
  <c r="N332" i="171"/>
  <c r="F332" i="171"/>
  <c r="G397" i="171"/>
  <c r="F397" i="171"/>
  <c r="N512" i="171"/>
  <c r="F512" i="171"/>
  <c r="G512" i="171"/>
  <c r="Q267" i="171"/>
  <c r="Y267" i="171"/>
  <c r="R222" i="171"/>
  <c r="Y222" i="171"/>
  <c r="Q222" i="171"/>
  <c r="R502" i="171"/>
  <c r="Q502" i="171"/>
  <c r="Y515" i="171"/>
  <c r="Q515" i="171"/>
  <c r="R515" i="171"/>
  <c r="R67" i="171"/>
  <c r="Y67" i="171"/>
  <c r="Q67" i="171"/>
  <c r="Y60" i="171"/>
  <c r="Q60" i="171"/>
  <c r="R60" i="171"/>
  <c r="Q176" i="171"/>
  <c r="R176" i="171"/>
  <c r="Q159" i="171"/>
  <c r="Y159" i="171"/>
  <c r="R19" i="171"/>
  <c r="Y19" i="171"/>
  <c r="Q19" i="171"/>
  <c r="Q20" i="171" s="1"/>
  <c r="Q21" i="171" s="1"/>
  <c r="Q22" i="171" s="1"/>
  <c r="Q23" i="171" s="1"/>
  <c r="Q24" i="171" s="1"/>
  <c r="Q25" i="171" s="1"/>
  <c r="Q26" i="171" s="1"/>
  <c r="Q27" i="171" s="1"/>
  <c r="Q28" i="171" s="1"/>
  <c r="R339" i="171"/>
  <c r="Y339" i="171"/>
  <c r="R376" i="171"/>
  <c r="Q376" i="171"/>
  <c r="Y376" i="171"/>
  <c r="Y25" i="171"/>
  <c r="R25" i="171"/>
  <c r="Y96" i="171"/>
  <c r="R96" i="171"/>
  <c r="R171" i="171"/>
  <c r="Y171" i="171"/>
  <c r="Q171" i="171"/>
  <c r="Y45" i="171"/>
  <c r="Q45" i="171"/>
  <c r="R45" i="171"/>
  <c r="R174" i="171"/>
  <c r="Q174" i="171"/>
  <c r="Y174" i="171"/>
  <c r="R430" i="171"/>
  <c r="Y430" i="171"/>
  <c r="Q430" i="171"/>
  <c r="Y84" i="171"/>
  <c r="Q84" i="171"/>
  <c r="Y192" i="171"/>
  <c r="Q192" i="171"/>
  <c r="R192" i="171"/>
  <c r="Q183" i="171"/>
  <c r="Y183" i="171"/>
  <c r="Q342" i="171"/>
  <c r="Y342" i="171"/>
  <c r="Y157" i="171"/>
  <c r="Q157" i="171"/>
  <c r="R157" i="171"/>
  <c r="R202" i="171"/>
  <c r="Y202" i="171"/>
  <c r="Q202" i="171"/>
  <c r="R509" i="171"/>
  <c r="Y509" i="171"/>
  <c r="Q509" i="171"/>
  <c r="Y137" i="171"/>
  <c r="R137" i="171"/>
  <c r="Q182" i="171"/>
  <c r="R182" i="171"/>
  <c r="Q242" i="171"/>
  <c r="Y242" i="171"/>
  <c r="R242" i="171"/>
  <c r="R331" i="170"/>
  <c r="Q331" i="170"/>
  <c r="R398" i="170"/>
  <c r="Q398" i="170"/>
  <c r="Y398" i="170"/>
  <c r="R225" i="170"/>
  <c r="Y225" i="170"/>
  <c r="Q225" i="170"/>
  <c r="R354" i="170"/>
  <c r="Y354" i="170"/>
  <c r="Q354" i="170"/>
  <c r="R290" i="170"/>
  <c r="Q290" i="170"/>
  <c r="Y333" i="170"/>
  <c r="R333" i="170"/>
  <c r="R251" i="170"/>
  <c r="Y251" i="170"/>
  <c r="Q251" i="170"/>
  <c r="Q489" i="170"/>
  <c r="R489" i="170"/>
  <c r="R495" i="170"/>
  <c r="Q495" i="170"/>
  <c r="Y495" i="170"/>
  <c r="Y193" i="170"/>
  <c r="Q193" i="170"/>
  <c r="R193" i="170"/>
  <c r="R322" i="170"/>
  <c r="Y322" i="170"/>
  <c r="Q322" i="170"/>
  <c r="Y302" i="170"/>
  <c r="Q302" i="170"/>
  <c r="R504" i="170"/>
  <c r="Y504" i="170"/>
  <c r="Q504" i="170"/>
  <c r="Y371" i="170"/>
  <c r="Q371" i="170"/>
  <c r="R505" i="170"/>
  <c r="Y505" i="170"/>
  <c r="Q505" i="170"/>
  <c r="R31" i="170"/>
  <c r="Y31" i="170"/>
  <c r="Y311" i="170"/>
  <c r="R311" i="170"/>
  <c r="Q311" i="170"/>
  <c r="Y52" i="170"/>
  <c r="R52" i="170"/>
  <c r="Q52" i="170"/>
  <c r="R423" i="170"/>
  <c r="Q423" i="170"/>
  <c r="Y423" i="170"/>
  <c r="R245" i="170"/>
  <c r="Q245" i="170"/>
  <c r="Y245" i="170"/>
  <c r="G308" i="174"/>
  <c r="F308" i="174"/>
  <c r="N308" i="174"/>
  <c r="F247" i="174"/>
  <c r="N247" i="174"/>
  <c r="G247" i="174"/>
  <c r="N116" i="174"/>
  <c r="F116" i="174"/>
  <c r="G116" i="174"/>
  <c r="F450" i="174"/>
  <c r="N450" i="174"/>
  <c r="G450" i="174"/>
  <c r="N98" i="174"/>
  <c r="F98" i="174"/>
  <c r="F253" i="174"/>
  <c r="G253" i="174"/>
  <c r="N160" i="174"/>
  <c r="F160" i="174"/>
  <c r="G160" i="174"/>
  <c r="N274" i="174"/>
  <c r="G274" i="174"/>
  <c r="F274" i="174"/>
  <c r="N323" i="174"/>
  <c r="G323" i="174"/>
  <c r="F323" i="174"/>
  <c r="N171" i="174"/>
  <c r="F171" i="174"/>
  <c r="G171" i="174"/>
  <c r="G99" i="174"/>
  <c r="F99" i="174"/>
  <c r="G73" i="174"/>
  <c r="F73" i="174"/>
  <c r="N73" i="174"/>
  <c r="G110" i="174"/>
  <c r="F110" i="174"/>
  <c r="N110" i="174"/>
  <c r="N349" i="174"/>
  <c r="G349" i="174"/>
  <c r="F349" i="174"/>
  <c r="F172" i="174"/>
  <c r="N172" i="174"/>
  <c r="G172" i="174"/>
  <c r="N286" i="174"/>
  <c r="G286" i="174"/>
  <c r="F286" i="174"/>
  <c r="G335" i="174"/>
  <c r="N335" i="174"/>
  <c r="N420" i="174"/>
  <c r="F420" i="174"/>
  <c r="G420" i="174"/>
  <c r="F111" i="174"/>
  <c r="G111" i="174"/>
  <c r="N111" i="174"/>
  <c r="G54" i="174"/>
  <c r="N54" i="174"/>
  <c r="F54" i="174"/>
  <c r="F265" i="174"/>
  <c r="G265" i="174"/>
  <c r="N265" i="174"/>
  <c r="G312" i="174"/>
  <c r="N312" i="174"/>
  <c r="F312" i="174"/>
  <c r="N427" i="174"/>
  <c r="F427" i="174"/>
  <c r="G486" i="174"/>
  <c r="N486" i="174"/>
  <c r="N228" i="174"/>
  <c r="F228" i="174"/>
  <c r="G496" i="174"/>
  <c r="F496" i="174"/>
  <c r="G275" i="163"/>
  <c r="N275" i="163"/>
  <c r="F275" i="163"/>
  <c r="G360" i="163"/>
  <c r="F360" i="163"/>
  <c r="N360" i="163"/>
  <c r="G331" i="163"/>
  <c r="F331" i="163"/>
  <c r="G135" i="163"/>
  <c r="N135" i="163"/>
  <c r="F135" i="163"/>
  <c r="N138" i="163"/>
  <c r="F138" i="163"/>
  <c r="N321" i="163"/>
  <c r="G321" i="163"/>
  <c r="G280" i="163"/>
  <c r="N280" i="163"/>
  <c r="F280" i="163"/>
  <c r="F501" i="163"/>
  <c r="N501" i="163"/>
  <c r="N79" i="163"/>
  <c r="G79" i="163"/>
  <c r="N237" i="163"/>
  <c r="F237" i="163"/>
  <c r="N54" i="163"/>
  <c r="G54" i="163"/>
  <c r="F310" i="163"/>
  <c r="N310" i="163"/>
  <c r="G310" i="163"/>
  <c r="N196" i="163"/>
  <c r="G196" i="163"/>
  <c r="F196" i="163"/>
  <c r="G499" i="163"/>
  <c r="F499" i="163"/>
  <c r="N55" i="163"/>
  <c r="F55" i="163"/>
  <c r="G153" i="163"/>
  <c r="N153" i="163"/>
  <c r="F153" i="163"/>
  <c r="F323" i="163"/>
  <c r="G323" i="163"/>
  <c r="N112" i="163"/>
  <c r="G112" i="163"/>
  <c r="F112" i="163"/>
  <c r="N366" i="163"/>
  <c r="F366" i="163"/>
  <c r="G366" i="163"/>
  <c r="G415" i="163"/>
  <c r="N415" i="163"/>
  <c r="G460" i="163"/>
  <c r="N460" i="163"/>
  <c r="G333" i="163"/>
  <c r="N333" i="163"/>
  <c r="F333" i="163"/>
  <c r="N414" i="170"/>
  <c r="Y188" i="174"/>
  <c r="Y253" i="174"/>
  <c r="R473" i="174"/>
  <c r="Q305" i="174"/>
  <c r="Q32" i="189"/>
  <c r="H43" i="189"/>
  <c r="N44" i="189"/>
  <c r="G39" i="189"/>
  <c r="F28" i="189"/>
  <c r="M47" i="189"/>
  <c r="M42" i="189"/>
  <c r="I32" i="189"/>
  <c r="P42" i="189"/>
  <c r="F43" i="189"/>
  <c r="O37" i="189"/>
  <c r="F27" i="189"/>
  <c r="M43" i="189"/>
  <c r="K41" i="189"/>
  <c r="Q35" i="189"/>
  <c r="H46" i="189"/>
  <c r="O25" i="189"/>
  <c r="J24" i="189"/>
  <c r="F34" i="189"/>
  <c r="M35" i="189"/>
  <c r="M50" i="189"/>
  <c r="I35" i="189"/>
  <c r="P45" i="189"/>
  <c r="G24" i="189"/>
  <c r="B24" i="189"/>
  <c r="F33" i="189"/>
  <c r="M33" i="189"/>
  <c r="K49" i="189"/>
  <c r="Q34" i="189"/>
  <c r="H45" i="189"/>
  <c r="Q24" i="189"/>
  <c r="H35" i="189"/>
  <c r="J45" i="189"/>
  <c r="N43" i="189"/>
  <c r="E36" i="189"/>
  <c r="K40" i="189"/>
  <c r="M27" i="189"/>
  <c r="I24" i="189"/>
  <c r="P34" i="189"/>
  <c r="B45" i="189"/>
  <c r="F42" i="189"/>
  <c r="E34" i="189"/>
  <c r="D39" i="189"/>
  <c r="M24" i="189"/>
  <c r="Q27" i="189"/>
  <c r="H38" i="189"/>
  <c r="J48" i="189"/>
  <c r="O24" i="189"/>
  <c r="L44" i="189"/>
  <c r="K48" i="189"/>
  <c r="C48" i="189"/>
  <c r="I27" i="189"/>
  <c r="P37" i="189"/>
  <c r="B48" i="189"/>
  <c r="F51" i="189"/>
  <c r="E43" i="189"/>
  <c r="D47" i="189"/>
  <c r="C44" i="189"/>
  <c r="Q26" i="189"/>
  <c r="Q48" i="189"/>
  <c r="O32" i="189"/>
  <c r="H27" i="189"/>
  <c r="J37" i="189"/>
  <c r="K36" i="189"/>
  <c r="M26" i="189"/>
  <c r="D24" i="189"/>
  <c r="I48" i="189"/>
  <c r="G31" i="189"/>
  <c r="P26" i="189"/>
  <c r="B37" i="189"/>
  <c r="K35" i="189"/>
  <c r="M51" i="189"/>
  <c r="C51" i="189"/>
  <c r="Q51" i="189"/>
  <c r="O41" i="189"/>
  <c r="H30" i="189"/>
  <c r="J40" i="189"/>
  <c r="L43" i="189"/>
  <c r="L50" i="189"/>
  <c r="D30" i="189"/>
  <c r="I51" i="189"/>
  <c r="G40" i="189"/>
  <c r="P29" i="189"/>
  <c r="B40" i="189"/>
  <c r="E42" i="189"/>
  <c r="G44" i="189"/>
  <c r="O28" i="189"/>
  <c r="K28" i="189"/>
  <c r="D51" i="189"/>
  <c r="I40" i="189"/>
  <c r="P30" i="189"/>
  <c r="B25" i="189"/>
  <c r="F35" i="189"/>
  <c r="N24" i="189"/>
  <c r="N45" i="189"/>
  <c r="J44" i="189"/>
  <c r="M44" i="189"/>
  <c r="L49" i="189"/>
  <c r="I31" i="189"/>
  <c r="G47" i="189"/>
  <c r="F39" i="189"/>
  <c r="E35" i="189"/>
  <c r="N38" i="189"/>
  <c r="O38" i="189"/>
  <c r="H25" i="189"/>
  <c r="J35" i="189"/>
  <c r="K32" i="189"/>
  <c r="L38" i="189"/>
  <c r="C47" i="189"/>
  <c r="Q45" i="189"/>
  <c r="N51" i="189"/>
  <c r="H24" i="189"/>
  <c r="J34" i="189"/>
  <c r="K30" i="189"/>
  <c r="L32" i="189"/>
  <c r="E44" i="189"/>
  <c r="I45" i="189"/>
  <c r="F50" i="189"/>
  <c r="O51" i="189"/>
  <c r="B34" i="189"/>
  <c r="K29" i="189"/>
  <c r="L29" i="189"/>
  <c r="C43" i="189"/>
  <c r="P32" i="189"/>
  <c r="I30" i="189"/>
  <c r="K44" i="189"/>
  <c r="D27" i="189"/>
  <c r="C28" i="189"/>
  <c r="P24" i="189"/>
  <c r="P48" i="189"/>
  <c r="N48" i="189"/>
  <c r="J49" i="189"/>
  <c r="K47" i="189"/>
  <c r="D32" i="189"/>
  <c r="I36" i="189"/>
  <c r="G49" i="189"/>
  <c r="G26" i="189"/>
  <c r="N37" i="189"/>
  <c r="L25" i="189"/>
  <c r="H50" i="189"/>
  <c r="J36" i="189"/>
  <c r="F26" i="189"/>
  <c r="C39" i="189"/>
  <c r="O49" i="189"/>
  <c r="O36" i="189"/>
  <c r="K33" i="189"/>
  <c r="N30" i="189"/>
  <c r="D45" i="189"/>
  <c r="O26" i="189"/>
  <c r="G46" i="189"/>
  <c r="J31" i="189"/>
  <c r="K24" i="189"/>
  <c r="E32" i="189"/>
  <c r="C37" i="189"/>
  <c r="Q41" i="189"/>
  <c r="N39" i="189"/>
  <c r="O43" i="189"/>
  <c r="J30" i="189"/>
  <c r="D50" i="189"/>
  <c r="E28" i="189"/>
  <c r="C35" i="189"/>
  <c r="I41" i="189"/>
  <c r="P51" i="189"/>
  <c r="O42" i="189"/>
  <c r="B30" i="189"/>
  <c r="M48" i="189"/>
  <c r="E27" i="189"/>
  <c r="C34" i="189"/>
  <c r="B43" i="189"/>
  <c r="G32" i="189"/>
  <c r="M36" i="189"/>
  <c r="I42" i="189"/>
  <c r="P44" i="189"/>
  <c r="B35" i="189"/>
  <c r="B27" i="189"/>
  <c r="H51" i="189"/>
  <c r="J41" i="189"/>
  <c r="F37" i="189"/>
  <c r="L41" i="189"/>
  <c r="I28" i="189"/>
  <c r="O39" i="189"/>
  <c r="C45" i="189"/>
  <c r="M38" i="189"/>
  <c r="Q47" i="189"/>
  <c r="H42" i="189"/>
  <c r="J32" i="189"/>
  <c r="E33" i="189"/>
  <c r="C31" i="189"/>
  <c r="G28" i="189"/>
  <c r="F40" i="189"/>
  <c r="K25" i="189"/>
  <c r="L36" i="189"/>
  <c r="Q50" i="189"/>
  <c r="N42" i="189"/>
  <c r="O34" i="189"/>
  <c r="J27" i="189"/>
  <c r="D42" i="189"/>
  <c r="N28" i="189"/>
  <c r="C29" i="189"/>
  <c r="Q37" i="189"/>
  <c r="H48" i="189"/>
  <c r="O31" i="189"/>
  <c r="J26" i="189"/>
  <c r="K39" i="189"/>
  <c r="E49" i="189"/>
  <c r="C27" i="189"/>
  <c r="I37" i="189"/>
  <c r="P47" i="189"/>
  <c r="G30" i="189"/>
  <c r="B26" i="189"/>
  <c r="F38" i="189"/>
  <c r="L46" i="189"/>
  <c r="C26" i="189"/>
  <c r="E50" i="189"/>
  <c r="L30" i="189"/>
  <c r="I50" i="189"/>
  <c r="G45" i="189"/>
  <c r="O44" i="189"/>
  <c r="K31" i="189"/>
  <c r="N25" i="189"/>
  <c r="Q28" i="189"/>
  <c r="G41" i="189"/>
  <c r="E46" i="189"/>
  <c r="L42" i="189"/>
  <c r="I44" i="189"/>
  <c r="P38" i="189"/>
  <c r="B29" i="189"/>
  <c r="N27" i="189"/>
  <c r="C24" i="189"/>
  <c r="O29" i="189"/>
  <c r="N41" i="189"/>
  <c r="K26" i="189"/>
  <c r="D38" i="189"/>
  <c r="I39" i="189"/>
  <c r="P25" i="189"/>
  <c r="G35" i="189"/>
  <c r="K42" i="189"/>
  <c r="C30" i="189"/>
  <c r="O48" i="189"/>
  <c r="H29" i="189"/>
  <c r="J39" i="189"/>
  <c r="C41" i="189"/>
  <c r="E41" i="189"/>
  <c r="D28" i="189"/>
  <c r="Q49" i="189"/>
  <c r="O35" i="189"/>
  <c r="H28" i="189"/>
  <c r="J38" i="189"/>
  <c r="K38" i="189"/>
  <c r="M34" i="189"/>
  <c r="D26" i="189"/>
  <c r="I49" i="189"/>
  <c r="G34" i="189"/>
  <c r="P27" i="189"/>
  <c r="B38" i="189"/>
  <c r="K37" i="189"/>
  <c r="M30" i="189"/>
  <c r="D25" i="189"/>
  <c r="O47" i="189"/>
  <c r="M28" i="189"/>
  <c r="E39" i="189"/>
  <c r="M37" i="189"/>
  <c r="M40" i="189"/>
  <c r="G25" i="189"/>
  <c r="E30" i="189"/>
  <c r="Q44" i="189"/>
  <c r="J29" i="189"/>
  <c r="C25" i="189"/>
  <c r="B49" i="189"/>
  <c r="D31" i="189"/>
  <c r="H26" i="189"/>
  <c r="L40" i="189"/>
  <c r="P49" i="189"/>
  <c r="F25" i="189"/>
  <c r="Q42" i="189"/>
  <c r="J51" i="189"/>
  <c r="F24" i="189"/>
  <c r="N36" i="189"/>
  <c r="H40" i="189"/>
  <c r="O30" i="189"/>
  <c r="L27" i="189"/>
  <c r="I29" i="189"/>
  <c r="B50" i="189"/>
  <c r="L48" i="189"/>
  <c r="N29" i="189"/>
  <c r="I26" i="189"/>
  <c r="C36" i="189"/>
  <c r="L45" i="189"/>
  <c r="Q40" i="189"/>
  <c r="J25" i="189"/>
  <c r="N26" i="189"/>
  <c r="B41" i="189"/>
  <c r="E40" i="189"/>
  <c r="G48" i="189"/>
  <c r="N33" i="189"/>
  <c r="P41" i="189"/>
  <c r="E31" i="189"/>
  <c r="Q38" i="189"/>
  <c r="J47" i="189"/>
  <c r="C42" i="189"/>
  <c r="C40" i="189"/>
  <c r="H36" i="189"/>
  <c r="N46" i="189"/>
  <c r="D43" i="189"/>
  <c r="I25" i="189"/>
  <c r="B46" i="189"/>
  <c r="E37" i="189"/>
  <c r="M29" i="189"/>
  <c r="B47" i="189"/>
  <c r="I38" i="189"/>
  <c r="F41" i="189"/>
  <c r="Q36" i="189"/>
  <c r="O27" i="189"/>
  <c r="L28" i="189"/>
  <c r="B33" i="189"/>
  <c r="C32" i="189"/>
  <c r="G38" i="189"/>
  <c r="M39" i="189"/>
  <c r="P33" i="189"/>
  <c r="E45" i="189"/>
  <c r="Q30" i="189"/>
  <c r="J43" i="189"/>
  <c r="E29" i="189"/>
  <c r="D41" i="189"/>
  <c r="H32" i="189"/>
  <c r="C49" i="189"/>
  <c r="D34" i="189"/>
  <c r="O45" i="189"/>
  <c r="B42" i="189"/>
  <c r="N35" i="189"/>
  <c r="L31" i="189"/>
  <c r="F48" i="189"/>
  <c r="G33" i="189"/>
  <c r="B31" i="189"/>
  <c r="H47" i="189"/>
  <c r="E47" i="189"/>
  <c r="G43" i="189"/>
  <c r="K27" i="189"/>
  <c r="Q43" i="189"/>
  <c r="J28" i="189"/>
  <c r="D40" i="189"/>
  <c r="B44" i="189"/>
  <c r="D37" i="189"/>
  <c r="H49" i="189"/>
  <c r="O50" i="189"/>
  <c r="M31" i="189"/>
  <c r="Q33" i="189"/>
  <c r="N47" i="189"/>
  <c r="F30" i="189"/>
  <c r="K45" i="189"/>
  <c r="P43" i="189"/>
  <c r="O40" i="189"/>
  <c r="K50" i="189"/>
  <c r="E26" i="189"/>
  <c r="G37" i="189"/>
  <c r="F31" i="189"/>
  <c r="F49" i="189"/>
  <c r="H31" i="189"/>
  <c r="P50" i="189"/>
  <c r="Q31" i="189"/>
  <c r="I47" i="189"/>
  <c r="E48" i="189"/>
  <c r="N49" i="189"/>
  <c r="Q25" i="189"/>
  <c r="E38" i="189"/>
  <c r="P35" i="189"/>
  <c r="M41" i="189"/>
  <c r="B39" i="189"/>
  <c r="B51" i="189"/>
  <c r="G50" i="189"/>
  <c r="P46" i="189"/>
  <c r="G51" i="189"/>
  <c r="I43" i="189"/>
  <c r="C38" i="189"/>
  <c r="L51" i="189"/>
  <c r="O46" i="189"/>
  <c r="E24" i="189"/>
  <c r="P31" i="189"/>
  <c r="D33" i="189"/>
  <c r="L39" i="189"/>
  <c r="P36" i="189"/>
  <c r="J33" i="189"/>
  <c r="G27" i="189"/>
  <c r="H34" i="189"/>
  <c r="F44" i="189"/>
  <c r="Q46" i="189"/>
  <c r="F32" i="189"/>
  <c r="H44" i="189"/>
  <c r="M25" i="189"/>
  <c r="F46" i="189"/>
  <c r="D44" i="189"/>
  <c r="K51" i="189"/>
  <c r="H39" i="189"/>
  <c r="F47" i="189"/>
  <c r="Q39" i="189"/>
  <c r="D49" i="189"/>
  <c r="D29" i="189"/>
  <c r="O33" i="189"/>
  <c r="Q29" i="189"/>
  <c r="C50" i="189"/>
  <c r="P39" i="189"/>
  <c r="L24" i="189"/>
  <c r="P28" i="189"/>
  <c r="M46" i="189"/>
  <c r="L26" i="189"/>
  <c r="N40" i="189"/>
  <c r="H37" i="189"/>
  <c r="J46" i="189"/>
  <c r="F45" i="189"/>
  <c r="E51" i="189"/>
  <c r="E25" i="189"/>
  <c r="K34" i="189"/>
  <c r="H33" i="189"/>
  <c r="J42" i="189"/>
  <c r="L47" i="189"/>
  <c r="I46" i="189"/>
  <c r="C33" i="189"/>
  <c r="K46" i="189"/>
  <c r="N50" i="189"/>
  <c r="G42" i="189"/>
  <c r="F29" i="189"/>
  <c r="L35" i="189"/>
  <c r="D46" i="189"/>
  <c r="B36" i="189"/>
  <c r="L33" i="189"/>
  <c r="N32" i="189"/>
  <c r="D35" i="189"/>
  <c r="F36" i="189"/>
  <c r="B32" i="189"/>
  <c r="M45" i="189"/>
  <c r="M32" i="189"/>
  <c r="L37" i="189"/>
  <c r="K43" i="189"/>
  <c r="I34" i="189"/>
  <c r="D48" i="189"/>
  <c r="H41" i="189"/>
  <c r="N34" i="189"/>
  <c r="D36" i="189"/>
  <c r="P40" i="189"/>
  <c r="C46" i="189"/>
  <c r="J50" i="189"/>
  <c r="B28" i="189"/>
  <c r="G29" i="189"/>
  <c r="N31" i="189"/>
  <c r="M49" i="189"/>
  <c r="G36" i="189"/>
  <c r="L34" i="189"/>
  <c r="I33" i="189"/>
  <c r="O13" i="189"/>
  <c r="P10" i="189"/>
  <c r="C21" i="189"/>
  <c r="I14" i="189"/>
  <c r="L19" i="189"/>
  <c r="N8" i="189"/>
  <c r="D16" i="189"/>
  <c r="N19" i="189"/>
  <c r="O21" i="189"/>
  <c r="C16" i="189"/>
  <c r="I9" i="189"/>
  <c r="H17" i="189"/>
  <c r="M15" i="189"/>
  <c r="L9" i="189"/>
  <c r="O17" i="189"/>
  <c r="P12" i="189"/>
  <c r="E6" i="189"/>
  <c r="B15" i="189"/>
  <c r="O15" i="189"/>
  <c r="P11" i="189"/>
  <c r="D20" i="189"/>
  <c r="B7" i="189"/>
  <c r="F6" i="189"/>
  <c r="G10" i="189"/>
  <c r="K9" i="189"/>
  <c r="G12" i="189"/>
  <c r="D18" i="189"/>
  <c r="E15" i="189"/>
  <c r="B18" i="189"/>
  <c r="H8" i="189"/>
  <c r="I12" i="189"/>
  <c r="O8" i="189"/>
  <c r="F13" i="189"/>
  <c r="G17" i="189"/>
  <c r="C13" i="189"/>
  <c r="I6" i="189"/>
  <c r="H14" i="189"/>
  <c r="M9" i="189"/>
  <c r="Q21" i="189"/>
  <c r="M18" i="189"/>
  <c r="G7" i="189"/>
  <c r="C8" i="189"/>
  <c r="O10" i="189"/>
  <c r="H9" i="189"/>
  <c r="K19" i="189"/>
  <c r="J12" i="189"/>
  <c r="F17" i="189"/>
  <c r="G20" i="189"/>
  <c r="C15" i="189"/>
  <c r="B20" i="189"/>
  <c r="F15" i="189"/>
  <c r="O18" i="189"/>
  <c r="C14" i="189"/>
  <c r="I15" i="189"/>
  <c r="L21" i="189"/>
  <c r="N10" i="189"/>
  <c r="J6" i="189"/>
  <c r="D9" i="189"/>
  <c r="D12" i="189"/>
  <c r="K6" i="189"/>
  <c r="H16" i="189"/>
  <c r="I16" i="189"/>
  <c r="J16" i="189"/>
  <c r="O19" i="189"/>
  <c r="Q18" i="189"/>
  <c r="E12" i="189"/>
  <c r="N17" i="189"/>
  <c r="L16" i="189"/>
  <c r="N20" i="189"/>
  <c r="H6" i="189"/>
  <c r="K16" i="189"/>
  <c r="Q13" i="189"/>
  <c r="P21" i="189"/>
  <c r="N7" i="189"/>
  <c r="D14" i="189"/>
  <c r="F10" i="189"/>
  <c r="G14" i="189"/>
  <c r="K11" i="189"/>
  <c r="Q20" i="189"/>
  <c r="E16" i="189"/>
  <c r="F21" i="189"/>
  <c r="C7" i="189"/>
  <c r="Q19" i="189"/>
  <c r="E14" i="189"/>
  <c r="F19" i="189"/>
  <c r="C6" i="189"/>
  <c r="I7" i="189"/>
  <c r="H15" i="189"/>
  <c r="M11" i="189"/>
  <c r="J7" i="189"/>
  <c r="D19" i="189"/>
  <c r="K14" i="189"/>
  <c r="B12" i="189"/>
  <c r="L7" i="189"/>
  <c r="N12" i="189"/>
  <c r="I8" i="189"/>
  <c r="E21" i="189"/>
  <c r="M10" i="189"/>
  <c r="F12" i="189"/>
  <c r="M17" i="189"/>
  <c r="G21" i="189"/>
  <c r="N15" i="189"/>
  <c r="I13" i="189"/>
  <c r="G6" i="189"/>
  <c r="B19" i="189"/>
  <c r="P20" i="189"/>
  <c r="C11" i="189"/>
  <c r="Q7" i="189"/>
  <c r="N11" i="189"/>
  <c r="I19" i="189"/>
  <c r="H7" i="189"/>
  <c r="B10" i="189"/>
  <c r="H12" i="189"/>
  <c r="D11" i="189"/>
  <c r="D17" i="189"/>
  <c r="D21" i="189"/>
  <c r="L20" i="189"/>
  <c r="C17" i="189"/>
  <c r="M19" i="189"/>
  <c r="K20" i="189"/>
  <c r="O11" i="189"/>
  <c r="M16" i="189"/>
  <c r="G19" i="189"/>
  <c r="N14" i="189"/>
  <c r="B8" i="189"/>
  <c r="P16" i="189"/>
  <c r="L8" i="189"/>
  <c r="O7" i="189"/>
  <c r="E20" i="189"/>
  <c r="I11" i="189"/>
  <c r="G18" i="189"/>
  <c r="J21" i="189"/>
  <c r="K18" i="189"/>
  <c r="D7" i="189"/>
  <c r="M7" i="189"/>
  <c r="J17" i="189"/>
  <c r="P18" i="189"/>
  <c r="C9" i="189"/>
  <c r="E11" i="189"/>
  <c r="K12" i="189"/>
  <c r="F11" i="189"/>
  <c r="M8" i="189"/>
  <c r="F18" i="189"/>
  <c r="N6" i="189"/>
  <c r="Q16" i="189"/>
  <c r="P8" i="189"/>
  <c r="D6" i="189"/>
  <c r="F7" i="189"/>
  <c r="M12" i="189"/>
  <c r="O14" i="189"/>
  <c r="N18" i="189"/>
  <c r="D8" i="189"/>
  <c r="F16" i="189"/>
  <c r="H20" i="189"/>
  <c r="L6" i="189"/>
  <c r="J13" i="189"/>
  <c r="N21" i="189"/>
  <c r="E18" i="189"/>
  <c r="O12" i="189"/>
  <c r="N16" i="189"/>
  <c r="Q9" i="189"/>
  <c r="G15" i="189"/>
  <c r="I17" i="189"/>
  <c r="O20" i="189"/>
  <c r="D10" i="189"/>
  <c r="E8" i="189"/>
  <c r="C19" i="189"/>
  <c r="Q11" i="189"/>
  <c r="G11" i="189"/>
  <c r="J11" i="189"/>
  <c r="H11" i="189"/>
  <c r="L18" i="189"/>
  <c r="B13" i="189"/>
  <c r="B11" i="189"/>
  <c r="B9" i="189"/>
  <c r="J14" i="189"/>
  <c r="Q14" i="189"/>
  <c r="B6" i="189"/>
  <c r="L14" i="189"/>
  <c r="C12" i="189"/>
  <c r="K15" i="189"/>
  <c r="N13" i="189"/>
  <c r="P19" i="189"/>
  <c r="F14" i="189"/>
  <c r="K10" i="189"/>
  <c r="L13" i="189"/>
  <c r="Q10" i="189"/>
  <c r="I18" i="189"/>
  <c r="L17" i="189"/>
  <c r="L12" i="189"/>
  <c r="K7" i="189"/>
  <c r="M21" i="189"/>
  <c r="P15" i="189"/>
  <c r="E13" i="189"/>
  <c r="B16" i="189"/>
  <c r="O16" i="189"/>
  <c r="Q6" i="189"/>
  <c r="I10" i="189"/>
  <c r="Q17" i="189"/>
  <c r="I21" i="189"/>
  <c r="L10" i="189"/>
  <c r="M14" i="189"/>
  <c r="P7" i="189"/>
  <c r="H19" i="189"/>
  <c r="M13" i="189"/>
  <c r="J15" i="189"/>
  <c r="P14" i="189"/>
  <c r="H18" i="189"/>
  <c r="E10" i="189"/>
  <c r="E17" i="189"/>
  <c r="Q12" i="189"/>
  <c r="J19" i="189"/>
  <c r="C18" i="189"/>
  <c r="E19" i="189"/>
  <c r="D13" i="189"/>
  <c r="J18" i="189"/>
  <c r="G9" i="189"/>
  <c r="P13" i="189"/>
  <c r="O9" i="189"/>
  <c r="J10" i="189"/>
  <c r="I20" i="189"/>
  <c r="N9" i="189"/>
  <c r="P9" i="189"/>
  <c r="F9" i="189"/>
  <c r="B14" i="189"/>
  <c r="F20" i="189"/>
  <c r="B21" i="189"/>
  <c r="C20" i="189"/>
  <c r="G13" i="189"/>
  <c r="O6" i="189"/>
  <c r="L11" i="189"/>
  <c r="P6" i="189"/>
  <c r="P17" i="189"/>
  <c r="Q8" i="189"/>
  <c r="C10" i="189"/>
  <c r="J9" i="189"/>
  <c r="H21" i="189"/>
  <c r="K17" i="189"/>
  <c r="D15" i="189"/>
  <c r="H13" i="189"/>
  <c r="K13" i="189"/>
  <c r="E7" i="189"/>
  <c r="F8" i="189"/>
  <c r="H10" i="189"/>
  <c r="J8" i="189"/>
  <c r="L15" i="189"/>
  <c r="G16" i="189"/>
  <c r="M20" i="189"/>
  <c r="K21" i="189"/>
  <c r="B17" i="189"/>
  <c r="J20" i="189"/>
  <c r="G8" i="189"/>
  <c r="K8" i="189"/>
  <c r="M6" i="189"/>
  <c r="E9" i="189"/>
  <c r="Q15" i="189"/>
  <c r="I33" i="191"/>
  <c r="P43" i="191"/>
  <c r="G26" i="191"/>
  <c r="M47" i="191"/>
  <c r="D50" i="191"/>
  <c r="F33" i="191"/>
  <c r="D27" i="191"/>
  <c r="Q32" i="191"/>
  <c r="H43" i="191"/>
  <c r="O24" i="191"/>
  <c r="M46" i="191"/>
  <c r="D46" i="191"/>
  <c r="F31" i="191"/>
  <c r="D24" i="191"/>
  <c r="I32" i="191"/>
  <c r="P42" i="191"/>
  <c r="N51" i="191"/>
  <c r="M45" i="191"/>
  <c r="D43" i="191"/>
  <c r="F29" i="191"/>
  <c r="C49" i="191"/>
  <c r="Q35" i="191"/>
  <c r="H46" i="191"/>
  <c r="G31" i="191"/>
  <c r="B24" i="191"/>
  <c r="E32" i="191"/>
  <c r="F43" i="191"/>
  <c r="D49" i="191"/>
  <c r="I35" i="191"/>
  <c r="P45" i="191"/>
  <c r="G30" i="191"/>
  <c r="M51" i="191"/>
  <c r="E30" i="191"/>
  <c r="F41" i="191"/>
  <c r="D42" i="191"/>
  <c r="Q33" i="191"/>
  <c r="H44" i="191"/>
  <c r="G27" i="191"/>
  <c r="M48" i="191"/>
  <c r="E24" i="191"/>
  <c r="F35" i="191"/>
  <c r="D30" i="191"/>
  <c r="B43" i="191"/>
  <c r="C31" i="191"/>
  <c r="I34" i="191"/>
  <c r="E26" i="191"/>
  <c r="P48" i="191"/>
  <c r="K24" i="191"/>
  <c r="B39" i="191"/>
  <c r="O33" i="191"/>
  <c r="J50" i="191"/>
  <c r="B47" i="191"/>
  <c r="C43" i="191"/>
  <c r="I42" i="191"/>
  <c r="F30" i="191"/>
  <c r="M42" i="191"/>
  <c r="I29" i="191"/>
  <c r="P39" i="191"/>
  <c r="J49" i="191"/>
  <c r="M39" i="191"/>
  <c r="D26" i="191"/>
  <c r="E45" i="191"/>
  <c r="C37" i="191"/>
  <c r="Q28" i="191"/>
  <c r="H39" i="191"/>
  <c r="B49" i="191"/>
  <c r="M38" i="191"/>
  <c r="C51" i="191"/>
  <c r="E43" i="191"/>
  <c r="C29" i="191"/>
  <c r="I28" i="191"/>
  <c r="P38" i="191"/>
  <c r="J48" i="191"/>
  <c r="M37" i="191"/>
  <c r="C48" i="191"/>
  <c r="E41" i="191"/>
  <c r="C44" i="191"/>
  <c r="Q31" i="191"/>
  <c r="H42" i="191"/>
  <c r="O35" i="191"/>
  <c r="M44" i="191"/>
  <c r="D40" i="191"/>
  <c r="F27" i="191"/>
  <c r="C46" i="191"/>
  <c r="I31" i="191"/>
  <c r="P41" i="191"/>
  <c r="J51" i="191"/>
  <c r="M43" i="191"/>
  <c r="D38" i="191"/>
  <c r="F25" i="191"/>
  <c r="C47" i="191"/>
  <c r="Q29" i="191"/>
  <c r="H40" i="191"/>
  <c r="B50" i="191"/>
  <c r="M40" i="191"/>
  <c r="D29" i="191"/>
  <c r="E47" i="191"/>
  <c r="C45" i="191"/>
  <c r="B27" i="191"/>
  <c r="Q50" i="191"/>
  <c r="O41" i="191"/>
  <c r="L32" i="191"/>
  <c r="P32" i="191"/>
  <c r="D45" i="191"/>
  <c r="K38" i="191"/>
  <c r="H41" i="191"/>
  <c r="F46" i="191"/>
  <c r="B31" i="191"/>
  <c r="C38" i="191"/>
  <c r="I26" i="191"/>
  <c r="L48" i="191"/>
  <c r="D35" i="191"/>
  <c r="I25" i="191"/>
  <c r="P35" i="191"/>
  <c r="J45" i="191"/>
  <c r="M31" i="191"/>
  <c r="L46" i="191"/>
  <c r="E29" i="191"/>
  <c r="C42" i="191"/>
  <c r="Q24" i="191"/>
  <c r="H35" i="191"/>
  <c r="B45" i="191"/>
  <c r="M30" i="191"/>
  <c r="L45" i="191"/>
  <c r="E27" i="191"/>
  <c r="C34" i="191"/>
  <c r="I24" i="191"/>
  <c r="P34" i="191"/>
  <c r="J44" i="191"/>
  <c r="M29" i="191"/>
  <c r="L44" i="191"/>
  <c r="E25" i="191"/>
  <c r="C41" i="191"/>
  <c r="Q27" i="191"/>
  <c r="H38" i="191"/>
  <c r="B48" i="191"/>
  <c r="M36" i="191"/>
  <c r="L51" i="191"/>
  <c r="E39" i="191"/>
  <c r="C36" i="191"/>
  <c r="I27" i="191"/>
  <c r="P37" i="191"/>
  <c r="J47" i="191"/>
  <c r="M35" i="191"/>
  <c r="L50" i="191"/>
  <c r="E37" i="191"/>
  <c r="C28" i="191"/>
  <c r="Q25" i="191"/>
  <c r="H36" i="191"/>
  <c r="B46" i="191"/>
  <c r="M32" i="191"/>
  <c r="L47" i="191"/>
  <c r="E31" i="191"/>
  <c r="C27" i="191"/>
  <c r="M26" i="191"/>
  <c r="G29" i="191"/>
  <c r="P44" i="191"/>
  <c r="F37" i="191"/>
  <c r="G36" i="191"/>
  <c r="N28" i="191"/>
  <c r="L33" i="191"/>
  <c r="H25" i="191"/>
  <c r="N44" i="191"/>
  <c r="M34" i="191"/>
  <c r="O32" i="191"/>
  <c r="G25" i="191"/>
  <c r="K39" i="191"/>
  <c r="L25" i="191"/>
  <c r="I37" i="191"/>
  <c r="P47" i="191"/>
  <c r="G34" i="191"/>
  <c r="J25" i="191"/>
  <c r="E38" i="191"/>
  <c r="F49" i="191"/>
  <c r="N26" i="191"/>
  <c r="Q36" i="191"/>
  <c r="H47" i="191"/>
  <c r="G33" i="191"/>
  <c r="B25" i="191"/>
  <c r="E36" i="191"/>
  <c r="F47" i="191"/>
  <c r="N25" i="191"/>
  <c r="I36" i="191"/>
  <c r="P46" i="191"/>
  <c r="G32" i="191"/>
  <c r="J24" i="191"/>
  <c r="E34" i="191"/>
  <c r="F45" i="191"/>
  <c r="N24" i="191"/>
  <c r="Q39" i="191"/>
  <c r="H50" i="191"/>
  <c r="G39" i="191"/>
  <c r="B28" i="191"/>
  <c r="E48" i="191"/>
  <c r="K30" i="191"/>
  <c r="N31" i="191"/>
  <c r="I39" i="191"/>
  <c r="P49" i="191"/>
  <c r="G38" i="191"/>
  <c r="J27" i="191"/>
  <c r="E46" i="191"/>
  <c r="K28" i="191"/>
  <c r="N30" i="191"/>
  <c r="Q37" i="191"/>
  <c r="H48" i="191"/>
  <c r="G35" i="191"/>
  <c r="B26" i="191"/>
  <c r="E40" i="191"/>
  <c r="F50" i="191"/>
  <c r="N27" i="191"/>
  <c r="G37" i="191"/>
  <c r="N29" i="191"/>
  <c r="I50" i="191"/>
  <c r="K36" i="191"/>
  <c r="O49" i="191"/>
  <c r="L40" i="191"/>
  <c r="H29" i="191"/>
  <c r="Q46" i="191"/>
  <c r="P40" i="191"/>
  <c r="G45" i="191"/>
  <c r="N37" i="191"/>
  <c r="C30" i="191"/>
  <c r="M33" i="191"/>
  <c r="B51" i="191"/>
  <c r="O47" i="191"/>
  <c r="J41" i="191"/>
  <c r="L38" i="191"/>
  <c r="C40" i="191"/>
  <c r="H31" i="191"/>
  <c r="K47" i="191"/>
  <c r="D39" i="191"/>
  <c r="O45" i="191"/>
  <c r="J40" i="191"/>
  <c r="L36" i="191"/>
  <c r="C39" i="191"/>
  <c r="H34" i="191"/>
  <c r="M28" i="191"/>
  <c r="D51" i="191"/>
  <c r="G51" i="191"/>
  <c r="J43" i="191"/>
  <c r="L42" i="191"/>
  <c r="C32" i="191"/>
  <c r="H32" i="191"/>
  <c r="M24" i="191"/>
  <c r="D44" i="191"/>
  <c r="E44" i="191"/>
  <c r="P28" i="191"/>
  <c r="J42" i="191"/>
  <c r="D28" i="191"/>
  <c r="Q42" i="191"/>
  <c r="P24" i="191"/>
  <c r="E33" i="191"/>
  <c r="O39" i="191"/>
  <c r="J37" i="191"/>
  <c r="L30" i="191"/>
  <c r="Q48" i="191"/>
  <c r="H27" i="191"/>
  <c r="K29" i="191"/>
  <c r="N49" i="191"/>
  <c r="O37" i="191"/>
  <c r="J36" i="191"/>
  <c r="L28" i="191"/>
  <c r="Q51" i="191"/>
  <c r="H30" i="191"/>
  <c r="K43" i="191"/>
  <c r="D34" i="191"/>
  <c r="O43" i="191"/>
  <c r="J39" i="191"/>
  <c r="L34" i="191"/>
  <c r="Q49" i="191"/>
  <c r="H28" i="191"/>
  <c r="K33" i="191"/>
  <c r="C50" i="191"/>
  <c r="L41" i="191"/>
  <c r="G28" i="191"/>
  <c r="J26" i="191"/>
  <c r="C33" i="191"/>
  <c r="Q26" i="191"/>
  <c r="M41" i="191"/>
  <c r="N36" i="191"/>
  <c r="O30" i="191"/>
  <c r="J33" i="191"/>
  <c r="K49" i="191"/>
  <c r="Q44" i="191"/>
  <c r="G49" i="191"/>
  <c r="F40" i="191"/>
  <c r="N41" i="191"/>
  <c r="O28" i="191"/>
  <c r="J32" i="191"/>
  <c r="K46" i="191"/>
  <c r="Q47" i="191"/>
  <c r="H26" i="191"/>
  <c r="K25" i="191"/>
  <c r="N47" i="191"/>
  <c r="O34" i="191"/>
  <c r="J35" i="191"/>
  <c r="L26" i="191"/>
  <c r="Q45" i="191"/>
  <c r="O51" i="191"/>
  <c r="F44" i="191"/>
  <c r="N43" i="191"/>
  <c r="K26" i="191"/>
  <c r="J38" i="191"/>
  <c r="M25" i="191"/>
  <c r="I30" i="191"/>
  <c r="O25" i="191"/>
  <c r="D32" i="191"/>
  <c r="C35" i="191"/>
  <c r="P51" i="191"/>
  <c r="J29" i="191"/>
  <c r="K35" i="191"/>
  <c r="Q40" i="191"/>
  <c r="G41" i="191"/>
  <c r="F24" i="191"/>
  <c r="N33" i="191"/>
  <c r="P50" i="191"/>
  <c r="J28" i="191"/>
  <c r="K32" i="191"/>
  <c r="Q43" i="191"/>
  <c r="G47" i="191"/>
  <c r="F36" i="191"/>
  <c r="N39" i="191"/>
  <c r="O26" i="191"/>
  <c r="J31" i="191"/>
  <c r="K42" i="191"/>
  <c r="Q41" i="191"/>
  <c r="G43" i="191"/>
  <c r="F28" i="191"/>
  <c r="N35" i="191"/>
  <c r="D47" i="191"/>
  <c r="M49" i="191"/>
  <c r="E42" i="191"/>
  <c r="L24" i="191"/>
  <c r="H37" i="191"/>
  <c r="E49" i="191"/>
  <c r="Q30" i="191"/>
  <c r="I49" i="191"/>
  <c r="K31" i="191"/>
  <c r="O38" i="191"/>
  <c r="L29" i="191"/>
  <c r="P26" i="191"/>
  <c r="N48" i="191"/>
  <c r="B40" i="191"/>
  <c r="I51" i="191"/>
  <c r="K41" i="191"/>
  <c r="O40" i="191"/>
  <c r="L31" i="191"/>
  <c r="E28" i="191"/>
  <c r="Q34" i="191"/>
  <c r="L49" i="191"/>
  <c r="I45" i="191"/>
  <c r="F42" i="191"/>
  <c r="O29" i="191"/>
  <c r="K48" i="191"/>
  <c r="G48" i="191"/>
  <c r="N40" i="191"/>
  <c r="B36" i="191"/>
  <c r="I47" i="191"/>
  <c r="F51" i="191"/>
  <c r="O31" i="191"/>
  <c r="K51" i="191"/>
  <c r="F39" i="191"/>
  <c r="O42" i="191"/>
  <c r="K40" i="191"/>
  <c r="I41" i="191"/>
  <c r="F26" i="191"/>
  <c r="H51" i="191"/>
  <c r="K34" i="191"/>
  <c r="G40" i="191"/>
  <c r="N32" i="191"/>
  <c r="B32" i="191"/>
  <c r="I43" i="191"/>
  <c r="F34" i="191"/>
  <c r="G24" i="191"/>
  <c r="K37" i="191"/>
  <c r="D37" i="191"/>
  <c r="H45" i="191"/>
  <c r="E35" i="191"/>
  <c r="K50" i="191"/>
  <c r="O46" i="191"/>
  <c r="L37" i="191"/>
  <c r="P30" i="191"/>
  <c r="D36" i="191"/>
  <c r="B44" i="191"/>
  <c r="C25" i="191"/>
  <c r="M27" i="191"/>
  <c r="O48" i="191"/>
  <c r="L39" i="191"/>
  <c r="M50" i="191"/>
  <c r="C26" i="191"/>
  <c r="F32" i="191"/>
  <c r="N45" i="191"/>
  <c r="D41" i="191"/>
  <c r="C24" i="191"/>
  <c r="H24" i="191"/>
  <c r="P33" i="191"/>
  <c r="B42" i="191"/>
  <c r="D25" i="191"/>
  <c r="P36" i="191"/>
  <c r="N50" i="191"/>
  <c r="I48" i="191"/>
  <c r="O44" i="191"/>
  <c r="P29" i="191"/>
  <c r="B38" i="191"/>
  <c r="D33" i="191"/>
  <c r="G44" i="191"/>
  <c r="N42" i="191"/>
  <c r="I44" i="191"/>
  <c r="O36" i="191"/>
  <c r="P25" i="191"/>
  <c r="B34" i="191"/>
  <c r="J34" i="191"/>
  <c r="J46" i="191"/>
  <c r="N34" i="191"/>
  <c r="I40" i="191"/>
  <c r="O27" i="191"/>
  <c r="G46" i="191"/>
  <c r="B30" i="191"/>
  <c r="I38" i="191"/>
  <c r="J30" i="191"/>
  <c r="B29" i="191"/>
  <c r="K44" i="191"/>
  <c r="H33" i="191"/>
  <c r="P31" i="191"/>
  <c r="K45" i="191"/>
  <c r="D48" i="191"/>
  <c r="B35" i="191"/>
  <c r="P27" i="191"/>
  <c r="K27" i="191"/>
  <c r="D31" i="191"/>
  <c r="F48" i="191"/>
  <c r="F38" i="191"/>
  <c r="N46" i="191"/>
  <c r="G42" i="191"/>
  <c r="E50" i="191"/>
  <c r="N38" i="191"/>
  <c r="I46" i="191"/>
  <c r="B33" i="191"/>
  <c r="L27" i="191"/>
  <c r="H49" i="191"/>
  <c r="G50" i="191"/>
  <c r="E51" i="191"/>
  <c r="B41" i="191"/>
  <c r="B37" i="191"/>
  <c r="L43" i="191"/>
  <c r="L35" i="191"/>
  <c r="Q38" i="191"/>
  <c r="O50" i="191"/>
  <c r="O17" i="191"/>
  <c r="Q12" i="191"/>
  <c r="F17" i="191"/>
  <c r="J18" i="191"/>
  <c r="E10" i="191"/>
  <c r="H12" i="191"/>
  <c r="B14" i="191"/>
  <c r="D11" i="191"/>
  <c r="P7" i="191"/>
  <c r="C16" i="191"/>
  <c r="O14" i="191"/>
  <c r="I11" i="191"/>
  <c r="N13" i="191"/>
  <c r="B21" i="191"/>
  <c r="M17" i="191"/>
  <c r="P14" i="191"/>
  <c r="D10" i="191"/>
  <c r="L16" i="191"/>
  <c r="N11" i="191"/>
  <c r="F11" i="191"/>
  <c r="I21" i="191"/>
  <c r="N6" i="191"/>
  <c r="N10" i="191"/>
  <c r="C10" i="191"/>
  <c r="D16" i="191"/>
  <c r="N8" i="191"/>
  <c r="J7" i="191"/>
  <c r="K21" i="191"/>
  <c r="K14" i="191"/>
  <c r="F19" i="191"/>
  <c r="K12" i="191"/>
  <c r="P13" i="191"/>
  <c r="O9" i="191"/>
  <c r="Q8" i="191"/>
  <c r="F7" i="191"/>
  <c r="J14" i="191"/>
  <c r="L12" i="191"/>
  <c r="H8" i="191"/>
  <c r="B10" i="191"/>
  <c r="Q19" i="191"/>
  <c r="G16" i="191"/>
  <c r="C12" i="191"/>
  <c r="O6" i="191"/>
  <c r="I7" i="191"/>
  <c r="E18" i="191"/>
  <c r="B17" i="191"/>
  <c r="D21" i="191"/>
  <c r="P10" i="191"/>
  <c r="C19" i="191"/>
  <c r="Q13" i="191"/>
  <c r="M15" i="191"/>
  <c r="K17" i="191"/>
  <c r="Q9" i="191"/>
  <c r="E11" i="191"/>
  <c r="L6" i="191"/>
  <c r="N9" i="191"/>
  <c r="K9" i="191"/>
  <c r="M21" i="191"/>
  <c r="N19" i="191"/>
  <c r="K13" i="191"/>
  <c r="L13" i="191"/>
  <c r="D18" i="191"/>
  <c r="F14" i="191"/>
  <c r="L8" i="191"/>
  <c r="N17" i="191"/>
  <c r="P20" i="191"/>
  <c r="M10" i="191"/>
  <c r="J10" i="191"/>
  <c r="I20" i="191"/>
  <c r="G17" i="191"/>
  <c r="B6" i="191"/>
  <c r="Q15" i="191"/>
  <c r="G8" i="191"/>
  <c r="C8" i="191"/>
  <c r="N14" i="191"/>
  <c r="H19" i="191"/>
  <c r="E6" i="191"/>
  <c r="B13" i="191"/>
  <c r="D8" i="191"/>
  <c r="P6" i="191"/>
  <c r="C15" i="191"/>
  <c r="H18" i="191"/>
  <c r="D20" i="191"/>
  <c r="F8" i="191"/>
  <c r="H14" i="191"/>
  <c r="D15" i="191"/>
  <c r="I13" i="191"/>
  <c r="E14" i="191"/>
  <c r="M12" i="191"/>
  <c r="J19" i="191"/>
  <c r="L19" i="191"/>
  <c r="N18" i="191"/>
  <c r="N20" i="191"/>
  <c r="I14" i="191"/>
  <c r="E17" i="191"/>
  <c r="K6" i="191"/>
  <c r="B7" i="191"/>
  <c r="Q16" i="191"/>
  <c r="G10" i="191"/>
  <c r="C9" i="191"/>
  <c r="F6" i="191"/>
  <c r="H16" i="191"/>
  <c r="B18" i="191"/>
  <c r="M8" i="191"/>
  <c r="P11" i="191"/>
  <c r="C20" i="191"/>
  <c r="H6" i="191"/>
  <c r="I15" i="191"/>
  <c r="G7" i="191"/>
  <c r="K7" i="191"/>
  <c r="F13" i="191"/>
  <c r="P18" i="191"/>
  <c r="L20" i="191"/>
  <c r="F12" i="191"/>
  <c r="K10" i="191"/>
  <c r="H17" i="191"/>
  <c r="E16" i="191"/>
  <c r="K8" i="191"/>
  <c r="O18" i="191"/>
  <c r="C18" i="191"/>
  <c r="G20" i="191"/>
  <c r="I18" i="191"/>
  <c r="J16" i="191"/>
  <c r="M13" i="191"/>
  <c r="G13" i="191"/>
  <c r="O20" i="191"/>
  <c r="K20" i="191"/>
  <c r="M14" i="191"/>
  <c r="N7" i="191"/>
  <c r="L15" i="191"/>
  <c r="I16" i="191"/>
  <c r="O15" i="191"/>
  <c r="F15" i="191"/>
  <c r="E19" i="191"/>
  <c r="L11" i="191"/>
  <c r="Q18" i="191"/>
  <c r="C11" i="191"/>
  <c r="L7" i="191"/>
  <c r="G19" i="191"/>
  <c r="P17" i="191"/>
  <c r="B8" i="191"/>
  <c r="I17" i="191"/>
  <c r="I6" i="191"/>
  <c r="L21" i="191"/>
  <c r="M11" i="191"/>
  <c r="C21" i="191"/>
  <c r="I12" i="191"/>
  <c r="O7" i="191"/>
  <c r="M19" i="191"/>
  <c r="E7" i="191"/>
  <c r="K19" i="191"/>
  <c r="Q14" i="191"/>
  <c r="C7" i="191"/>
  <c r="B12" i="191"/>
  <c r="F10" i="191"/>
  <c r="G21" i="191"/>
  <c r="H13" i="191"/>
  <c r="P21" i="191"/>
  <c r="D7" i="191"/>
  <c r="D9" i="191"/>
  <c r="D14" i="191"/>
  <c r="C17" i="191"/>
  <c r="I8" i="191"/>
  <c r="N15" i="191"/>
  <c r="M7" i="191"/>
  <c r="L9" i="191"/>
  <c r="K15" i="191"/>
  <c r="Q10" i="191"/>
  <c r="J15" i="191"/>
  <c r="F9" i="191"/>
  <c r="L14" i="191"/>
  <c r="F18" i="191"/>
  <c r="C6" i="191"/>
  <c r="H10" i="191"/>
  <c r="E8" i="191"/>
  <c r="B20" i="191"/>
  <c r="Q20" i="191"/>
  <c r="C13" i="191"/>
  <c r="H20" i="191"/>
  <c r="M20" i="191"/>
  <c r="D13" i="191"/>
  <c r="I19" i="191"/>
  <c r="K11" i="191"/>
  <c r="Q6" i="191"/>
  <c r="O19" i="191"/>
  <c r="Q21" i="191"/>
  <c r="K16" i="191"/>
  <c r="L17" i="191"/>
  <c r="J8" i="191"/>
  <c r="G11" i="191"/>
  <c r="B16" i="191"/>
  <c r="O10" i="191"/>
  <c r="B19" i="191"/>
  <c r="O16" i="191"/>
  <c r="Q7" i="191"/>
  <c r="H11" i="191"/>
  <c r="G6" i="191"/>
  <c r="J20" i="191"/>
  <c r="D6" i="191"/>
  <c r="M6" i="191"/>
  <c r="B15" i="191"/>
  <c r="O8" i="191"/>
  <c r="P19" i="191"/>
  <c r="H7" i="191"/>
  <c r="N12" i="191"/>
  <c r="J11" i="191"/>
  <c r="O12" i="191"/>
  <c r="L10" i="191"/>
  <c r="B11" i="191"/>
  <c r="N16" i="191"/>
  <c r="P15" i="191"/>
  <c r="G15" i="191"/>
  <c r="M16" i="191"/>
  <c r="O11" i="191"/>
  <c r="I10" i="191"/>
  <c r="I9" i="191"/>
  <c r="J6" i="191"/>
  <c r="Q11" i="191"/>
  <c r="H15" i="191"/>
  <c r="G14" i="191"/>
  <c r="D17" i="191"/>
  <c r="L18" i="191"/>
  <c r="M18" i="191"/>
  <c r="M9" i="191"/>
  <c r="G9" i="191"/>
  <c r="B9" i="191"/>
  <c r="E13" i="191"/>
  <c r="H21" i="191"/>
  <c r="F16" i="191"/>
  <c r="O21" i="191"/>
  <c r="E15" i="191"/>
  <c r="P9" i="191"/>
  <c r="E21" i="191"/>
  <c r="O13" i="191"/>
  <c r="E20" i="191"/>
  <c r="F21" i="191"/>
  <c r="E9" i="191"/>
  <c r="N21" i="191"/>
  <c r="J12" i="191"/>
  <c r="E12" i="191"/>
  <c r="G18" i="191"/>
  <c r="K18" i="191"/>
  <c r="J21" i="191"/>
  <c r="Q17" i="191"/>
  <c r="J17" i="191"/>
  <c r="G12" i="191"/>
  <c r="J13" i="191"/>
  <c r="C14" i="191"/>
  <c r="J9" i="191"/>
  <c r="D12" i="191"/>
  <c r="P8" i="191"/>
  <c r="D19" i="191"/>
  <c r="H9" i="191"/>
  <c r="F20" i="191"/>
  <c r="P12" i="191"/>
  <c r="P16" i="191"/>
  <c r="G318" i="163"/>
  <c r="F274" i="163"/>
  <c r="N290" i="170"/>
  <c r="F376" i="174"/>
  <c r="G491" i="170"/>
  <c r="F154" i="170"/>
  <c r="Y288" i="171"/>
  <c r="F348" i="174"/>
  <c r="N222" i="174"/>
  <c r="F481" i="170"/>
  <c r="F309" i="170"/>
  <c r="R100" i="170"/>
  <c r="Q175" i="170"/>
  <c r="R198" i="171"/>
  <c r="G408" i="163"/>
  <c r="F174" i="163"/>
  <c r="R346" i="170"/>
  <c r="Q92" i="171"/>
  <c r="Q190" i="170"/>
  <c r="R317" i="170"/>
  <c r="F411" i="174"/>
  <c r="G433" i="163"/>
  <c r="F491" i="170"/>
  <c r="R481" i="170"/>
  <c r="N238" i="174"/>
  <c r="N215" i="174"/>
  <c r="F454" i="170"/>
  <c r="N309" i="170"/>
  <c r="G144" i="170"/>
  <c r="Q48" i="171"/>
  <c r="G130" i="174"/>
  <c r="Y217" i="170"/>
  <c r="Q323" i="170"/>
  <c r="N283" i="174"/>
  <c r="N234" i="174"/>
  <c r="F326" i="170"/>
  <c r="Q406" i="170"/>
  <c r="Q268" i="170"/>
  <c r="G187" i="171"/>
  <c r="F187" i="171"/>
  <c r="Q474" i="163"/>
  <c r="G508" i="163"/>
  <c r="R190" i="170"/>
  <c r="Q71" i="170"/>
  <c r="G400" i="174"/>
  <c r="N252" i="170"/>
  <c r="Q241" i="170"/>
  <c r="Y163" i="170"/>
  <c r="F465" i="171"/>
  <c r="Q450" i="163"/>
  <c r="F388" i="163"/>
  <c r="F81" i="163"/>
  <c r="F368" i="170"/>
  <c r="Y217" i="171"/>
  <c r="Q312" i="163"/>
  <c r="G106" i="170"/>
  <c r="Y323" i="170"/>
  <c r="Q90" i="171"/>
  <c r="Q104" i="174"/>
  <c r="Q118" i="174"/>
  <c r="N501" i="174"/>
  <c r="N311" i="163"/>
  <c r="N191" i="170"/>
  <c r="F131" i="170"/>
  <c r="Y403" i="171"/>
  <c r="Q215" i="171"/>
  <c r="R56" i="171"/>
  <c r="Q396" i="174"/>
  <c r="Q387" i="163"/>
  <c r="F255" i="163"/>
  <c r="N326" i="170"/>
  <c r="Q203" i="171"/>
  <c r="N456" i="163"/>
  <c r="N349" i="163"/>
  <c r="N414" i="163"/>
  <c r="F192" i="163"/>
  <c r="N265" i="163"/>
  <c r="G30" i="163"/>
  <c r="N227" i="163"/>
  <c r="N471" i="170"/>
  <c r="N207" i="170"/>
  <c r="G322" i="170"/>
  <c r="G360" i="170"/>
  <c r="G121" i="170"/>
  <c r="Y511" i="170"/>
  <c r="Y222" i="170"/>
  <c r="R349" i="170"/>
  <c r="Y340" i="170"/>
  <c r="Y124" i="170"/>
  <c r="Y50" i="170"/>
  <c r="Y483" i="171"/>
  <c r="Y485" i="171"/>
  <c r="R335" i="171"/>
  <c r="R94" i="171"/>
  <c r="Q233" i="171"/>
  <c r="Q293" i="171"/>
  <c r="N205" i="171"/>
  <c r="Y444" i="174"/>
  <c r="Q354" i="174"/>
  <c r="G495" i="174"/>
  <c r="N489" i="174"/>
  <c r="F393" i="174"/>
  <c r="G117" i="174"/>
  <c r="N229" i="174"/>
  <c r="G87" i="174"/>
  <c r="R441" i="163"/>
  <c r="N515" i="163"/>
  <c r="G355" i="163"/>
  <c r="N27" i="163"/>
  <c r="G285" i="163"/>
  <c r="N189" i="163"/>
  <c r="G227" i="170"/>
  <c r="G257" i="170"/>
  <c r="N380" i="170"/>
  <c r="Q370" i="170"/>
  <c r="Q232" i="170"/>
  <c r="Y199" i="170"/>
  <c r="Y27" i="170"/>
  <c r="Q427" i="170"/>
  <c r="R517" i="171"/>
  <c r="Y238" i="171"/>
  <c r="R210" i="171"/>
  <c r="Q133" i="171"/>
  <c r="Y164" i="171"/>
  <c r="N433" i="171"/>
  <c r="N287" i="174"/>
  <c r="N270" i="174"/>
  <c r="N464" i="174"/>
  <c r="N169" i="174"/>
  <c r="N220" i="174"/>
  <c r="F124" i="174"/>
  <c r="G126" i="174"/>
  <c r="R385" i="174"/>
  <c r="N192" i="174"/>
  <c r="Y271" i="163"/>
  <c r="Y46" i="163"/>
  <c r="G375" i="163"/>
  <c r="F282" i="163"/>
  <c r="N263" i="163"/>
  <c r="N513" i="170"/>
  <c r="F407" i="170"/>
  <c r="F245" i="170"/>
  <c r="F240" i="170"/>
  <c r="N129" i="170"/>
  <c r="F136" i="170"/>
  <c r="Q501" i="170"/>
  <c r="Y357" i="170"/>
  <c r="R284" i="170"/>
  <c r="R195" i="170"/>
  <c r="Q61" i="170"/>
  <c r="R427" i="171"/>
  <c r="R27" i="171"/>
  <c r="Y309" i="171"/>
  <c r="R47" i="171"/>
  <c r="G119" i="171"/>
  <c r="G513" i="174"/>
  <c r="N446" i="174"/>
  <c r="G465" i="174"/>
  <c r="N258" i="174"/>
  <c r="F384" i="174"/>
  <c r="Y379" i="163"/>
  <c r="Y98" i="163"/>
  <c r="N346" i="163"/>
  <c r="F60" i="163"/>
  <c r="N206" i="163"/>
  <c r="G499" i="170"/>
  <c r="G267" i="170"/>
  <c r="G171" i="170"/>
  <c r="F414" i="170"/>
  <c r="N254" i="170"/>
  <c r="G361" i="170"/>
  <c r="N265" i="170"/>
  <c r="F117" i="170"/>
  <c r="G20" i="170"/>
  <c r="Y514" i="170"/>
  <c r="Q240" i="170"/>
  <c r="R479" i="171"/>
  <c r="R481" i="171"/>
  <c r="Y385" i="171"/>
  <c r="R154" i="171"/>
  <c r="R320" i="171"/>
  <c r="Y204" i="171"/>
  <c r="G392" i="171"/>
  <c r="G142" i="171"/>
  <c r="N124" i="171"/>
  <c r="Y418" i="174"/>
  <c r="R306" i="174"/>
  <c r="Y341" i="174"/>
  <c r="G453" i="174"/>
  <c r="G51" i="174"/>
  <c r="F60" i="174"/>
  <c r="R436" i="163"/>
  <c r="Y278" i="163"/>
  <c r="N397" i="163"/>
  <c r="F492" i="163"/>
  <c r="F447" i="163"/>
  <c r="G185" i="163"/>
  <c r="G496" i="170"/>
  <c r="G415" i="170"/>
  <c r="N319" i="170"/>
  <c r="F223" i="170"/>
  <c r="N159" i="170"/>
  <c r="N338" i="170"/>
  <c r="F317" i="170"/>
  <c r="G149" i="170"/>
  <c r="G150" i="170"/>
  <c r="F178" i="170"/>
  <c r="N62" i="170"/>
  <c r="Q445" i="170"/>
  <c r="Q237" i="170"/>
  <c r="R228" i="170"/>
  <c r="Q44" i="170"/>
  <c r="R24" i="170"/>
  <c r="Q172" i="170"/>
  <c r="Y388" i="171"/>
  <c r="Y319" i="171"/>
  <c r="Y252" i="171"/>
  <c r="R161" i="171"/>
  <c r="G300" i="171"/>
  <c r="F438" i="171"/>
  <c r="G93" i="171"/>
  <c r="Y129" i="174"/>
  <c r="N511" i="174"/>
  <c r="F459" i="174"/>
  <c r="N315" i="174"/>
  <c r="N266" i="174"/>
  <c r="N344" i="174"/>
  <c r="N120" i="174"/>
  <c r="G86" i="174"/>
  <c r="Y191" i="171"/>
  <c r="R54" i="174"/>
  <c r="Y322" i="163"/>
  <c r="R64" i="163"/>
  <c r="Y235" i="163"/>
  <c r="R106" i="163"/>
  <c r="G352" i="163"/>
  <c r="G482" i="163"/>
  <c r="N228" i="163"/>
  <c r="G301" i="163"/>
  <c r="G45" i="163"/>
  <c r="F172" i="170"/>
  <c r="G93" i="170"/>
  <c r="R490" i="170"/>
  <c r="R386" i="170"/>
  <c r="R417" i="170"/>
  <c r="Y321" i="170"/>
  <c r="Q312" i="170"/>
  <c r="R128" i="170"/>
  <c r="R107" i="170"/>
  <c r="Q164" i="170"/>
  <c r="Y440" i="171"/>
  <c r="R391" i="171"/>
  <c r="Q162" i="171"/>
  <c r="Y305" i="171"/>
  <c r="R85" i="171"/>
  <c r="G271" i="171"/>
  <c r="G177" i="171"/>
  <c r="N100" i="171"/>
  <c r="F365" i="174"/>
  <c r="N350" i="174"/>
  <c r="Y477" i="163"/>
  <c r="Y190" i="163"/>
  <c r="N436" i="163"/>
  <c r="G359" i="163"/>
  <c r="F342" i="163"/>
  <c r="N378" i="170"/>
  <c r="N229" i="170"/>
  <c r="F192" i="170"/>
  <c r="Q470" i="171"/>
  <c r="R307" i="163"/>
  <c r="N330" i="163"/>
  <c r="N254" i="163"/>
  <c r="F85" i="163"/>
  <c r="N492" i="170"/>
  <c r="F453" i="170"/>
  <c r="G345" i="170"/>
  <c r="Y288" i="170"/>
  <c r="Y511" i="171"/>
  <c r="Q251" i="171"/>
  <c r="F94" i="171"/>
  <c r="Y517" i="174"/>
  <c r="Q517" i="174"/>
  <c r="R31" i="174"/>
  <c r="Q31" i="174"/>
  <c r="Y120" i="174"/>
  <c r="Q120" i="174"/>
  <c r="R216" i="174"/>
  <c r="Y216" i="174"/>
  <c r="Y335" i="174"/>
  <c r="Q335" i="174"/>
  <c r="R392" i="174"/>
  <c r="Q392" i="174"/>
  <c r="Y391" i="174"/>
  <c r="Q391" i="174"/>
  <c r="R179" i="163"/>
  <c r="Q179" i="163"/>
  <c r="Y486" i="163"/>
  <c r="R486" i="163"/>
  <c r="R158" i="163"/>
  <c r="Q158" i="163"/>
  <c r="R32" i="163"/>
  <c r="Y32" i="163"/>
  <c r="R287" i="163"/>
  <c r="Y287" i="163"/>
  <c r="G28" i="171"/>
  <c r="N28" i="171"/>
  <c r="N406" i="171"/>
  <c r="G406" i="171"/>
  <c r="F430" i="171"/>
  <c r="G430" i="171"/>
  <c r="G341" i="171"/>
  <c r="N341" i="171"/>
  <c r="G91" i="171"/>
  <c r="N91" i="171"/>
  <c r="G57" i="171"/>
  <c r="F57" i="171"/>
  <c r="G123" i="171"/>
  <c r="N123" i="171"/>
  <c r="N264" i="171"/>
  <c r="F264" i="171"/>
  <c r="Y479" i="170"/>
  <c r="Q308" i="170"/>
  <c r="Q453" i="171"/>
  <c r="Y62" i="171"/>
  <c r="N225" i="170"/>
  <c r="Y178" i="171"/>
  <c r="R48" i="171"/>
  <c r="G345" i="174"/>
  <c r="R208" i="170"/>
  <c r="Q388" i="170"/>
  <c r="F283" i="174"/>
  <c r="N332" i="170"/>
  <c r="Q289" i="170"/>
  <c r="F318" i="174"/>
  <c r="G273" i="174"/>
  <c r="R268" i="170"/>
  <c r="Q214" i="171"/>
  <c r="Y426" i="170"/>
  <c r="Q170" i="170"/>
  <c r="R399" i="171"/>
  <c r="F397" i="170"/>
  <c r="G89" i="170"/>
  <c r="Q454" i="170"/>
  <c r="N457" i="174"/>
  <c r="F282" i="174"/>
  <c r="G324" i="163"/>
  <c r="G154" i="170"/>
  <c r="N43" i="174"/>
  <c r="Y169" i="171"/>
  <c r="Y454" i="171"/>
  <c r="G508" i="174"/>
  <c r="F101" i="163"/>
  <c r="N92" i="170"/>
  <c r="N106" i="170"/>
  <c r="Q208" i="170"/>
  <c r="F177" i="174"/>
  <c r="G36" i="163"/>
  <c r="G443" i="170"/>
  <c r="Q418" i="170"/>
  <c r="Y289" i="170"/>
  <c r="G204" i="174"/>
  <c r="F102" i="170"/>
  <c r="Y214" i="171"/>
  <c r="F456" i="163"/>
  <c r="R170" i="170"/>
  <c r="Q294" i="171"/>
  <c r="G212" i="174"/>
  <c r="R71" i="174"/>
  <c r="Y71" i="174"/>
  <c r="Y93" i="174"/>
  <c r="Q93" i="174"/>
  <c r="Y74" i="174"/>
  <c r="Q74" i="174"/>
  <c r="R157" i="174"/>
  <c r="Q157" i="174"/>
  <c r="R229" i="174"/>
  <c r="Y229" i="174"/>
  <c r="R405" i="174"/>
  <c r="Y405" i="174"/>
  <c r="R353" i="174"/>
  <c r="Q353" i="174"/>
  <c r="Y390" i="163"/>
  <c r="Q390" i="163"/>
  <c r="Y61" i="163"/>
  <c r="Q61" i="163"/>
  <c r="R146" i="163"/>
  <c r="Y146" i="163"/>
  <c r="R27" i="163"/>
  <c r="Y27" i="163"/>
  <c r="R105" i="163"/>
  <c r="Y105" i="163"/>
  <c r="R63" i="163"/>
  <c r="Y63" i="163"/>
  <c r="G44" i="171"/>
  <c r="F44" i="171"/>
  <c r="N378" i="171"/>
  <c r="F378" i="171"/>
  <c r="G31" i="171"/>
  <c r="N31" i="171"/>
  <c r="N121" i="171"/>
  <c r="F121" i="171"/>
  <c r="G254" i="171"/>
  <c r="F254" i="171"/>
  <c r="Y356" i="163"/>
  <c r="F446" i="163"/>
  <c r="R453" i="171"/>
  <c r="Y425" i="174"/>
  <c r="N411" i="174"/>
  <c r="N235" i="174"/>
  <c r="Q481" i="170"/>
  <c r="Y82" i="174"/>
  <c r="G118" i="170"/>
  <c r="Q121" i="170"/>
  <c r="Q363" i="171"/>
  <c r="Q356" i="174"/>
  <c r="F433" i="174"/>
  <c r="G305" i="174"/>
  <c r="Y385" i="163"/>
  <c r="N101" i="163"/>
  <c r="G92" i="170"/>
  <c r="Q452" i="170"/>
  <c r="R217" i="170"/>
  <c r="Q232" i="174"/>
  <c r="F260" i="174"/>
  <c r="G293" i="174"/>
  <c r="G365" i="163"/>
  <c r="Q132" i="171"/>
  <c r="N517" i="171"/>
  <c r="F506" i="171"/>
  <c r="F443" i="170"/>
  <c r="Q64" i="170"/>
  <c r="R418" i="171"/>
  <c r="F83" i="171"/>
  <c r="Y467" i="174"/>
  <c r="Q144" i="174"/>
  <c r="Q230" i="163"/>
  <c r="N446" i="163"/>
  <c r="N297" i="163"/>
  <c r="F201" i="163"/>
  <c r="N239" i="170"/>
  <c r="G397" i="170"/>
  <c r="F128" i="170"/>
  <c r="R454" i="170"/>
  <c r="Y71" i="170"/>
  <c r="Y372" i="171"/>
  <c r="Q38" i="171"/>
  <c r="N210" i="171"/>
  <c r="F114" i="171"/>
  <c r="N253" i="171"/>
  <c r="Y476" i="174"/>
  <c r="R227" i="174"/>
  <c r="R249" i="174"/>
  <c r="R167" i="174"/>
  <c r="F438" i="174"/>
  <c r="F475" i="174"/>
  <c r="F299" i="174"/>
  <c r="G235" i="174"/>
  <c r="G250" i="174"/>
  <c r="F400" i="174"/>
  <c r="G136" i="174"/>
  <c r="Q472" i="163"/>
  <c r="Y499" i="163"/>
  <c r="R339" i="163"/>
  <c r="Q272" i="163"/>
  <c r="F207" i="163"/>
  <c r="F323" i="170"/>
  <c r="F353" i="170"/>
  <c r="G252" i="170"/>
  <c r="F77" i="170"/>
  <c r="F135" i="170"/>
  <c r="N66" i="170"/>
  <c r="Q402" i="170"/>
  <c r="Y241" i="170"/>
  <c r="Q264" i="170"/>
  <c r="Q391" i="170"/>
  <c r="Y48" i="170"/>
  <c r="Q163" i="170"/>
  <c r="Q279" i="170"/>
  <c r="Q105" i="170"/>
  <c r="Q375" i="171"/>
  <c r="Q434" i="171"/>
  <c r="Y270" i="171"/>
  <c r="Q165" i="171"/>
  <c r="Q264" i="171"/>
  <c r="N465" i="171"/>
  <c r="F212" i="171"/>
  <c r="Q507" i="174"/>
  <c r="Y247" i="174"/>
  <c r="F445" i="174"/>
  <c r="F463" i="174"/>
  <c r="N319" i="174"/>
  <c r="F156" i="174"/>
  <c r="Q30" i="171"/>
  <c r="F138" i="171"/>
  <c r="N184" i="171"/>
  <c r="Y359" i="174"/>
  <c r="Q320" i="163"/>
  <c r="Q313" i="163"/>
  <c r="N388" i="163"/>
  <c r="F296" i="163"/>
  <c r="N154" i="163"/>
  <c r="N81" i="163"/>
  <c r="N279" i="170"/>
  <c r="G454" i="170"/>
  <c r="F266" i="170"/>
  <c r="N368" i="170"/>
  <c r="R437" i="170"/>
  <c r="Q412" i="170"/>
  <c r="Y58" i="170"/>
  <c r="Y121" i="170"/>
  <c r="Q97" i="170"/>
  <c r="Y363" i="171"/>
  <c r="Q217" i="171"/>
  <c r="Q143" i="171"/>
  <c r="Q68" i="171"/>
  <c r="R44" i="171"/>
  <c r="N260" i="171"/>
  <c r="G151" i="171"/>
  <c r="Y356" i="174"/>
  <c r="N433" i="174"/>
  <c r="F305" i="174"/>
  <c r="N32" i="174"/>
  <c r="F101" i="174"/>
  <c r="F195" i="174"/>
  <c r="R502" i="163"/>
  <c r="Y312" i="163"/>
  <c r="Y56" i="163"/>
  <c r="Q227" i="163"/>
  <c r="F440" i="163"/>
  <c r="F363" i="163"/>
  <c r="F92" i="163"/>
  <c r="F437" i="170"/>
  <c r="N286" i="170"/>
  <c r="F420" i="170"/>
  <c r="F60" i="170"/>
  <c r="Q450" i="170"/>
  <c r="Y452" i="170"/>
  <c r="Y281" i="170"/>
  <c r="Q272" i="170"/>
  <c r="Y56" i="170"/>
  <c r="Q157" i="170"/>
  <c r="Y90" i="171"/>
  <c r="R34" i="171"/>
  <c r="Q99" i="171"/>
  <c r="F473" i="171"/>
  <c r="F309" i="171"/>
  <c r="Y232" i="174"/>
  <c r="Y104" i="174"/>
  <c r="Y118" i="174"/>
  <c r="R64" i="174"/>
  <c r="G501" i="174"/>
  <c r="N434" i="174"/>
  <c r="G485" i="174"/>
  <c r="F375" i="174"/>
  <c r="N231" i="174"/>
  <c r="N260" i="174"/>
  <c r="G177" i="174"/>
  <c r="F293" i="174"/>
  <c r="G219" i="174"/>
  <c r="R196" i="171"/>
  <c r="F388" i="171"/>
  <c r="G353" i="174"/>
  <c r="F479" i="163"/>
  <c r="F398" i="163"/>
  <c r="G144" i="163"/>
  <c r="G258" i="163"/>
  <c r="G311" i="163"/>
  <c r="F43" i="163"/>
  <c r="G99" i="163"/>
  <c r="G191" i="170"/>
  <c r="G184" i="170"/>
  <c r="F30" i="170"/>
  <c r="N131" i="170"/>
  <c r="R359" i="170"/>
  <c r="Y203" i="170"/>
  <c r="Q512" i="171"/>
  <c r="Q467" i="171"/>
  <c r="R403" i="171"/>
  <c r="Q255" i="171"/>
  <c r="Y215" i="171"/>
  <c r="Y132" i="171"/>
  <c r="Q56" i="171"/>
  <c r="F365" i="171"/>
  <c r="N257" i="171"/>
  <c r="F159" i="171"/>
  <c r="R377" i="174"/>
  <c r="Y396" i="174"/>
  <c r="Q447" i="174"/>
  <c r="R230" i="174"/>
  <c r="F491" i="174"/>
  <c r="R148" i="171"/>
  <c r="N506" i="171"/>
  <c r="G434" i="171"/>
  <c r="Y387" i="163"/>
  <c r="Q393" i="163"/>
  <c r="Q277" i="163"/>
  <c r="G449" i="163"/>
  <c r="G86" i="163"/>
  <c r="N255" i="163"/>
  <c r="F211" i="163"/>
  <c r="F390" i="170"/>
  <c r="N230" i="170"/>
  <c r="F204" i="170"/>
  <c r="F147" i="170"/>
  <c r="F100" i="170"/>
  <c r="N158" i="170"/>
  <c r="R418" i="170"/>
  <c r="Q257" i="170"/>
  <c r="R248" i="170"/>
  <c r="Y64" i="170"/>
  <c r="R118" i="170"/>
  <c r="Y203" i="171"/>
  <c r="F399" i="171"/>
  <c r="G358" i="171"/>
  <c r="N83" i="171"/>
  <c r="G214" i="171"/>
  <c r="N132" i="171"/>
  <c r="R351" i="174"/>
  <c r="Y282" i="174"/>
  <c r="Y144" i="174"/>
  <c r="R32" i="174"/>
  <c r="F397" i="174"/>
  <c r="G428" i="174"/>
  <c r="N204" i="174"/>
  <c r="G142" i="174"/>
  <c r="Q120" i="171"/>
  <c r="G101" i="171"/>
  <c r="Q348" i="163"/>
  <c r="R471" i="163"/>
  <c r="R148" i="163"/>
  <c r="R28" i="163"/>
  <c r="F88" i="163"/>
  <c r="G102" i="170"/>
  <c r="Y63" i="170"/>
  <c r="R61" i="163"/>
  <c r="N411" i="163"/>
  <c r="G158" i="163"/>
  <c r="N44" i="170"/>
  <c r="Q466" i="170"/>
  <c r="Y297" i="170"/>
  <c r="N328" i="171"/>
  <c r="N158" i="171"/>
  <c r="F306" i="171"/>
  <c r="R74" i="174"/>
  <c r="N212" i="174"/>
  <c r="F337" i="174"/>
  <c r="Q169" i="174"/>
  <c r="F341" i="174"/>
  <c r="G58" i="170"/>
  <c r="N58" i="170"/>
  <c r="N334" i="170"/>
  <c r="F334" i="170"/>
  <c r="N251" i="170"/>
  <c r="F251" i="170"/>
  <c r="N483" i="170"/>
  <c r="F483" i="170"/>
  <c r="G107" i="170"/>
  <c r="F107" i="170"/>
  <c r="G320" i="170"/>
  <c r="N320" i="170"/>
  <c r="G357" i="170"/>
  <c r="N357" i="170"/>
  <c r="N250" i="170"/>
  <c r="F250" i="170"/>
  <c r="F167" i="170"/>
  <c r="N167" i="170"/>
  <c r="N423" i="170"/>
  <c r="F423" i="170"/>
  <c r="G497" i="170"/>
  <c r="N497" i="170"/>
  <c r="N504" i="170"/>
  <c r="F504" i="170"/>
  <c r="Y61" i="171"/>
  <c r="Q61" i="171"/>
  <c r="Q257" i="171"/>
  <c r="R257" i="171"/>
  <c r="R20" i="171"/>
  <c r="Y20" i="171"/>
  <c r="R106" i="171"/>
  <c r="Y106" i="171"/>
  <c r="Y362" i="171"/>
  <c r="Q362" i="171"/>
  <c r="Y416" i="171"/>
  <c r="Q416" i="171"/>
  <c r="Q41" i="171"/>
  <c r="R41" i="171"/>
  <c r="R477" i="171"/>
  <c r="Q477" i="171"/>
  <c r="Y396" i="171"/>
  <c r="Q396" i="171"/>
  <c r="Y126" i="170"/>
  <c r="R126" i="170"/>
  <c r="Y179" i="170"/>
  <c r="Q179" i="170"/>
  <c r="Y145" i="170"/>
  <c r="Q145" i="170"/>
  <c r="Y416" i="170"/>
  <c r="R416" i="170"/>
  <c r="R425" i="170"/>
  <c r="Q425" i="170"/>
  <c r="R298" i="170"/>
  <c r="Y298" i="170"/>
  <c r="Q20" i="170"/>
  <c r="Q21" i="170" s="1"/>
  <c r="Q22" i="170" s="1"/>
  <c r="Q23" i="170" s="1"/>
  <c r="Q24" i="170" s="1"/>
  <c r="Q25" i="170" s="1"/>
  <c r="Q26" i="170" s="1"/>
  <c r="Q27" i="170" s="1"/>
  <c r="Q28" i="170" s="1"/>
  <c r="Q29" i="170" s="1"/>
  <c r="Q30" i="170" s="1"/>
  <c r="Q31" i="170" s="1"/>
  <c r="Q32" i="170" s="1"/>
  <c r="Q33" i="170" s="1"/>
  <c r="Q34" i="170" s="1"/>
  <c r="Q35" i="170" s="1"/>
  <c r="Q36" i="170" s="1"/>
  <c r="Q37" i="170" s="1"/>
  <c r="Q38" i="170" s="1"/>
  <c r="R20" i="170"/>
  <c r="Y106" i="170"/>
  <c r="Q106" i="170"/>
  <c r="Y396" i="170"/>
  <c r="R396" i="170"/>
  <c r="R278" i="170"/>
  <c r="Y278" i="170"/>
  <c r="Y480" i="170"/>
  <c r="Q480" i="170"/>
  <c r="F437" i="174"/>
  <c r="G437" i="174"/>
  <c r="F148" i="174"/>
  <c r="G148" i="174"/>
  <c r="N118" i="174"/>
  <c r="F118" i="174"/>
  <c r="N245" i="174"/>
  <c r="G245" i="174"/>
  <c r="G340" i="174"/>
  <c r="N340" i="174"/>
  <c r="G279" i="174"/>
  <c r="F279" i="174"/>
  <c r="G79" i="174"/>
  <c r="F79" i="174"/>
  <c r="N149" i="163"/>
  <c r="F149" i="163"/>
  <c r="G329" i="163"/>
  <c r="N329" i="163"/>
  <c r="G475" i="163"/>
  <c r="N475" i="163"/>
  <c r="G393" i="163"/>
  <c r="F393" i="163"/>
  <c r="N379" i="163"/>
  <c r="F379" i="163"/>
  <c r="N283" i="163"/>
  <c r="F283" i="163"/>
  <c r="N225" i="163"/>
  <c r="F225" i="163"/>
  <c r="N42" i="163"/>
  <c r="F42" i="163"/>
  <c r="N298" i="163"/>
  <c r="F298" i="163"/>
  <c r="N487" i="163"/>
  <c r="F487" i="163"/>
  <c r="N63" i="170"/>
  <c r="F63" i="170"/>
  <c r="N276" i="170"/>
  <c r="F276" i="170"/>
  <c r="N313" i="170"/>
  <c r="F313" i="170"/>
  <c r="G460" i="170"/>
  <c r="F460" i="170"/>
  <c r="G295" i="170"/>
  <c r="N295" i="170"/>
  <c r="Y76" i="171"/>
  <c r="Q76" i="171"/>
  <c r="R115" i="171"/>
  <c r="Q115" i="171"/>
  <c r="Q189" i="171"/>
  <c r="R189" i="171"/>
  <c r="Y244" i="171"/>
  <c r="Q244" i="171"/>
  <c r="R369" i="171"/>
  <c r="Y369" i="171"/>
  <c r="R510" i="171"/>
  <c r="Y510" i="171"/>
  <c r="R508" i="171"/>
  <c r="Y508" i="171"/>
  <c r="Y274" i="171"/>
  <c r="Q274" i="171"/>
  <c r="R379" i="171"/>
  <c r="Y379" i="171"/>
  <c r="R490" i="171"/>
  <c r="Q490" i="171"/>
  <c r="Q188" i="170"/>
  <c r="R188" i="170"/>
  <c r="Y104" i="170"/>
  <c r="Q104" i="170"/>
  <c r="R434" i="170"/>
  <c r="Q434" i="170"/>
  <c r="R137" i="170"/>
  <c r="Y137" i="170"/>
  <c r="R32" i="170"/>
  <c r="Y32" i="170"/>
  <c r="Y319" i="170"/>
  <c r="Q319" i="170"/>
  <c r="R84" i="170"/>
  <c r="Y84" i="170"/>
  <c r="R277" i="170"/>
  <c r="Y277" i="170"/>
  <c r="N476" i="174"/>
  <c r="F476" i="174"/>
  <c r="N52" i="174"/>
  <c r="G52" i="174"/>
  <c r="N306" i="174"/>
  <c r="F306" i="174"/>
  <c r="N457" i="163"/>
  <c r="F457" i="163"/>
  <c r="G187" i="163"/>
  <c r="N187" i="163"/>
  <c r="N117" i="163"/>
  <c r="F117" i="163"/>
  <c r="N190" i="163"/>
  <c r="F190" i="163"/>
  <c r="N424" i="163"/>
  <c r="F424" i="163"/>
  <c r="G28" i="163"/>
  <c r="N28" i="163"/>
  <c r="G97" i="163"/>
  <c r="N97" i="163"/>
  <c r="F170" i="163"/>
  <c r="G170" i="163"/>
  <c r="N56" i="163"/>
  <c r="G56" i="163"/>
  <c r="N312" i="163"/>
  <c r="G312" i="163"/>
  <c r="G404" i="163"/>
  <c r="N404" i="163"/>
  <c r="G282" i="174"/>
  <c r="N296" i="174"/>
  <c r="F72" i="163"/>
  <c r="Q454" i="171"/>
  <c r="F365" i="163"/>
  <c r="Y366" i="170"/>
  <c r="N269" i="163"/>
  <c r="N305" i="170"/>
  <c r="Q155" i="170"/>
  <c r="Q418" i="171"/>
  <c r="F480" i="174"/>
  <c r="N508" i="163"/>
  <c r="Q479" i="170"/>
  <c r="G498" i="163"/>
  <c r="G154" i="163"/>
  <c r="N481" i="170"/>
  <c r="N118" i="170"/>
  <c r="R58" i="170"/>
  <c r="R395" i="171"/>
  <c r="F345" i="174"/>
  <c r="F99" i="163"/>
  <c r="Q359" i="170"/>
  <c r="F449" i="163"/>
  <c r="Y155" i="170"/>
  <c r="F142" i="174"/>
  <c r="G40" i="174"/>
  <c r="R26" i="170"/>
  <c r="R104" i="170"/>
  <c r="G62" i="171"/>
  <c r="F62" i="171"/>
  <c r="F297" i="163"/>
  <c r="F210" i="171"/>
  <c r="Q476" i="174"/>
  <c r="G348" i="174"/>
  <c r="F184" i="171"/>
  <c r="Q359" i="174"/>
  <c r="R175" i="170"/>
  <c r="F260" i="171"/>
  <c r="Q56" i="163"/>
  <c r="F257" i="171"/>
  <c r="F230" i="170"/>
  <c r="N147" i="170"/>
  <c r="G399" i="171"/>
  <c r="F132" i="171"/>
  <c r="Q282" i="174"/>
  <c r="N273" i="174"/>
  <c r="Y406" i="170"/>
  <c r="G190" i="163"/>
  <c r="Q297" i="170"/>
  <c r="Q369" i="171"/>
  <c r="R244" i="171"/>
  <c r="Y115" i="171"/>
  <c r="F328" i="171"/>
  <c r="N187" i="171"/>
  <c r="G341" i="174"/>
  <c r="G173" i="170"/>
  <c r="F173" i="170"/>
  <c r="N95" i="170"/>
  <c r="F95" i="170"/>
  <c r="G76" i="170"/>
  <c r="F76" i="170"/>
  <c r="F145" i="170"/>
  <c r="N145" i="170"/>
  <c r="G238" i="170"/>
  <c r="F238" i="170"/>
  <c r="G155" i="170"/>
  <c r="N155" i="170"/>
  <c r="G411" i="170"/>
  <c r="F411" i="170"/>
  <c r="N485" i="170"/>
  <c r="F485" i="170"/>
  <c r="G134" i="170"/>
  <c r="N134" i="170"/>
  <c r="F146" i="170"/>
  <c r="N146" i="170"/>
  <c r="N38" i="170"/>
  <c r="F38" i="170"/>
  <c r="N224" i="170"/>
  <c r="F224" i="170"/>
  <c r="N261" i="170"/>
  <c r="F261" i="170"/>
  <c r="G410" i="170"/>
  <c r="F410" i="170"/>
  <c r="R272" i="171"/>
  <c r="Q272" i="171"/>
  <c r="Y179" i="171"/>
  <c r="Q179" i="171"/>
  <c r="Y308" i="171"/>
  <c r="Q308" i="171"/>
  <c r="Q326" i="171"/>
  <c r="R326" i="171"/>
  <c r="Q283" i="171"/>
  <c r="Y283" i="171"/>
  <c r="R431" i="171"/>
  <c r="Y431" i="171"/>
  <c r="R268" i="171"/>
  <c r="Y268" i="171"/>
  <c r="Y263" i="171"/>
  <c r="Q263" i="171"/>
  <c r="R381" i="171"/>
  <c r="Y381" i="171"/>
  <c r="R411" i="171"/>
  <c r="Y411" i="171"/>
  <c r="R491" i="171"/>
  <c r="Y491" i="171"/>
  <c r="R83" i="170"/>
  <c r="Y83" i="170"/>
  <c r="Y320" i="170"/>
  <c r="Q320" i="170"/>
  <c r="R329" i="170"/>
  <c r="Y329" i="170"/>
  <c r="Y202" i="170"/>
  <c r="Q202" i="170"/>
  <c r="R187" i="170"/>
  <c r="Y187" i="170"/>
  <c r="R116" i="170"/>
  <c r="Y116" i="170"/>
  <c r="Y300" i="170"/>
  <c r="Q300" i="170"/>
  <c r="R309" i="170"/>
  <c r="Y309" i="170"/>
  <c r="Y182" i="170"/>
  <c r="Q182" i="170"/>
  <c r="R446" i="170"/>
  <c r="Q446" i="170"/>
  <c r="N472" i="174"/>
  <c r="F472" i="174"/>
  <c r="F518" i="174"/>
  <c r="N518" i="174"/>
  <c r="N147" i="174"/>
  <c r="G147" i="174"/>
  <c r="N81" i="174"/>
  <c r="F81" i="174"/>
  <c r="N82" i="174"/>
  <c r="F82" i="174"/>
  <c r="N162" i="174"/>
  <c r="F162" i="174"/>
  <c r="G366" i="174"/>
  <c r="N366" i="174"/>
  <c r="N295" i="163"/>
  <c r="F295" i="163"/>
  <c r="F300" i="163"/>
  <c r="G300" i="163"/>
  <c r="N392" i="163"/>
  <c r="F392" i="163"/>
  <c r="N67" i="163"/>
  <c r="F67" i="163"/>
  <c r="G394" i="163"/>
  <c r="N394" i="163"/>
  <c r="G488" i="163"/>
  <c r="N488" i="163"/>
  <c r="N31" i="163"/>
  <c r="F31" i="163"/>
  <c r="F202" i="163"/>
  <c r="G202" i="163"/>
  <c r="G391" i="163"/>
  <c r="F391" i="163"/>
  <c r="Y230" i="163"/>
  <c r="N201" i="163"/>
  <c r="G22" i="163"/>
  <c r="G471" i="170"/>
  <c r="F322" i="170"/>
  <c r="F360" i="170"/>
  <c r="F121" i="170"/>
  <c r="N128" i="170"/>
  <c r="Q349" i="170"/>
  <c r="R340" i="170"/>
  <c r="R50" i="170"/>
  <c r="R372" i="171"/>
  <c r="Q335" i="171"/>
  <c r="Q94" i="171"/>
  <c r="N114" i="171"/>
  <c r="G253" i="171"/>
  <c r="F495" i="174"/>
  <c r="N438" i="174"/>
  <c r="G489" i="174"/>
  <c r="N475" i="174"/>
  <c r="N299" i="174"/>
  <c r="F250" i="174"/>
  <c r="F117" i="174"/>
  <c r="F136" i="174"/>
  <c r="G229" i="174"/>
  <c r="F87" i="174"/>
  <c r="Y472" i="163"/>
  <c r="R499" i="163"/>
  <c r="Q441" i="163"/>
  <c r="Y272" i="163"/>
  <c r="F355" i="163"/>
  <c r="G27" i="163"/>
  <c r="F285" i="163"/>
  <c r="N207" i="163"/>
  <c r="N323" i="170"/>
  <c r="F227" i="170"/>
  <c r="N353" i="170"/>
  <c r="F257" i="170"/>
  <c r="N77" i="170"/>
  <c r="N135" i="170"/>
  <c r="Y402" i="170"/>
  <c r="Y391" i="170"/>
  <c r="R48" i="170"/>
  <c r="Y279" i="170"/>
  <c r="Y105" i="170"/>
  <c r="Q517" i="171"/>
  <c r="Y434" i="171"/>
  <c r="Q210" i="171"/>
  <c r="R164" i="171"/>
  <c r="Y264" i="171"/>
  <c r="N212" i="171"/>
  <c r="Y507" i="174"/>
  <c r="R247" i="174"/>
  <c r="N463" i="174"/>
  <c r="G270" i="174"/>
  <c r="G464" i="174"/>
  <c r="G220" i="174"/>
  <c r="N156" i="174"/>
  <c r="F126" i="174"/>
  <c r="N138" i="171"/>
  <c r="Y385" i="174"/>
  <c r="G192" i="174"/>
  <c r="Y313" i="163"/>
  <c r="F375" i="163"/>
  <c r="N296" i="163"/>
  <c r="N266" i="170"/>
  <c r="Q437" i="170"/>
  <c r="Q195" i="170"/>
  <c r="Y97" i="170"/>
  <c r="Q427" i="171"/>
  <c r="R309" i="171"/>
  <c r="Y143" i="171"/>
  <c r="Q47" i="171"/>
  <c r="Q44" i="171"/>
  <c r="F119" i="171"/>
  <c r="F513" i="174"/>
  <c r="G258" i="174"/>
  <c r="N101" i="174"/>
  <c r="Q502" i="163"/>
  <c r="Y227" i="163"/>
  <c r="N440" i="163"/>
  <c r="N363" i="163"/>
  <c r="G206" i="163"/>
  <c r="F267" i="170"/>
  <c r="F361" i="170"/>
  <c r="N420" i="170"/>
  <c r="N60" i="170"/>
  <c r="F20" i="170"/>
  <c r="F21" i="170" s="1"/>
  <c r="F22" i="170" s="1"/>
  <c r="F23" i="170" s="1"/>
  <c r="F24" i="170" s="1"/>
  <c r="F25" i="170" s="1"/>
  <c r="F26" i="170" s="1"/>
  <c r="F27" i="170" s="1"/>
  <c r="F28" i="170" s="1"/>
  <c r="Y450" i="170"/>
  <c r="Q479" i="171"/>
  <c r="Q481" i="171"/>
  <c r="Q154" i="171"/>
  <c r="Q34" i="171"/>
  <c r="Y99" i="171"/>
  <c r="Q320" i="171"/>
  <c r="R204" i="171"/>
  <c r="F392" i="171"/>
  <c r="N473" i="171"/>
  <c r="N142" i="171"/>
  <c r="N309" i="171"/>
  <c r="Q306" i="174"/>
  <c r="G434" i="174"/>
  <c r="F485" i="174"/>
  <c r="N375" i="174"/>
  <c r="F219" i="174"/>
  <c r="F51" i="174"/>
  <c r="Q196" i="171"/>
  <c r="N388" i="171"/>
  <c r="F353" i="174"/>
  <c r="Q436" i="163"/>
  <c r="N479" i="163"/>
  <c r="N398" i="163"/>
  <c r="F144" i="163"/>
  <c r="F258" i="163"/>
  <c r="F185" i="163"/>
  <c r="N43" i="163"/>
  <c r="F496" i="170"/>
  <c r="F415" i="170"/>
  <c r="F159" i="170"/>
  <c r="N30" i="170"/>
  <c r="N149" i="170"/>
  <c r="G178" i="170"/>
  <c r="Y512" i="171"/>
  <c r="Y467" i="171"/>
  <c r="Y255" i="171"/>
  <c r="N365" i="171"/>
  <c r="F300" i="171"/>
  <c r="N159" i="171"/>
  <c r="F93" i="171"/>
  <c r="Y447" i="174"/>
  <c r="N491" i="174"/>
  <c r="G266" i="174"/>
  <c r="G120" i="174"/>
  <c r="F86" i="174"/>
  <c r="Q148" i="171"/>
  <c r="F434" i="171"/>
  <c r="Q54" i="174"/>
  <c r="Y393" i="163"/>
  <c r="R322" i="163"/>
  <c r="Q64" i="163"/>
  <c r="Q106" i="163"/>
  <c r="Y277" i="163"/>
  <c r="F352" i="163"/>
  <c r="F482" i="163"/>
  <c r="G228" i="163"/>
  <c r="F86" i="163"/>
  <c r="F301" i="163"/>
  <c r="F45" i="163"/>
  <c r="N211" i="163"/>
  <c r="N390" i="170"/>
  <c r="N204" i="170"/>
  <c r="F93" i="170"/>
  <c r="N100" i="170"/>
  <c r="F158" i="170"/>
  <c r="Q490" i="170"/>
  <c r="Q386" i="170"/>
  <c r="Q417" i="170"/>
  <c r="Y257" i="170"/>
  <c r="Q248" i="170"/>
  <c r="Q128" i="170"/>
  <c r="Q107" i="170"/>
  <c r="Q118" i="170"/>
  <c r="Q391" i="171"/>
  <c r="R305" i="171"/>
  <c r="F358" i="171"/>
  <c r="N271" i="171"/>
  <c r="F177" i="171"/>
  <c r="G350" i="174"/>
  <c r="F428" i="174"/>
  <c r="Y348" i="163"/>
  <c r="Q63" i="163"/>
  <c r="N391" i="163"/>
  <c r="F56" i="163"/>
  <c r="G261" i="170"/>
  <c r="Q517" i="170"/>
  <c r="R319" i="170"/>
  <c r="Q411" i="171"/>
  <c r="Y104" i="163"/>
  <c r="Q307" i="163"/>
  <c r="R22" i="163"/>
  <c r="G424" i="163"/>
  <c r="F158" i="163"/>
  <c r="F187" i="163"/>
  <c r="G67" i="163"/>
  <c r="F206" i="170"/>
  <c r="F345" i="170"/>
  <c r="G44" i="170"/>
  <c r="Y466" i="170"/>
  <c r="R288" i="170"/>
  <c r="R283" i="171"/>
  <c r="F158" i="171"/>
  <c r="G306" i="171"/>
  <c r="Q424" i="174"/>
  <c r="Q42" i="174"/>
  <c r="G518" i="174"/>
  <c r="N337" i="174"/>
  <c r="F36" i="174"/>
  <c r="F52" i="174"/>
  <c r="Y169" i="174"/>
  <c r="G143" i="170"/>
  <c r="F143" i="170"/>
  <c r="N244" i="170"/>
  <c r="F244" i="170"/>
  <c r="N281" i="170"/>
  <c r="F281" i="170"/>
  <c r="G430" i="170"/>
  <c r="N430" i="170"/>
  <c r="G347" i="170"/>
  <c r="N347" i="170"/>
  <c r="N70" i="170"/>
  <c r="F70" i="170"/>
  <c r="G160" i="170"/>
  <c r="F160" i="170"/>
  <c r="G416" i="170"/>
  <c r="F416" i="170"/>
  <c r="G478" i="170"/>
  <c r="F478" i="170"/>
  <c r="G346" i="170"/>
  <c r="N346" i="170"/>
  <c r="G263" i="170"/>
  <c r="N263" i="170"/>
  <c r="R69" i="174"/>
  <c r="Q69" i="174"/>
  <c r="Q226" i="174"/>
  <c r="Y226" i="174"/>
  <c r="Y102" i="174"/>
  <c r="Q102" i="174"/>
  <c r="R86" i="174"/>
  <c r="Y86" i="174"/>
  <c r="Y50" i="163"/>
  <c r="Q50" i="163"/>
  <c r="Y39" i="163"/>
  <c r="Q39" i="163"/>
  <c r="R210" i="163"/>
  <c r="Q210" i="163"/>
  <c r="R83" i="163"/>
  <c r="Y83" i="163"/>
  <c r="Y497" i="163"/>
  <c r="Q497" i="163"/>
  <c r="R137" i="163"/>
  <c r="Y137" i="163"/>
  <c r="Y222" i="163"/>
  <c r="Q222" i="163"/>
  <c r="Q180" i="163"/>
  <c r="Y180" i="163"/>
  <c r="N296" i="171"/>
  <c r="F296" i="171"/>
  <c r="G26" i="171"/>
  <c r="N26" i="171"/>
  <c r="N355" i="171"/>
  <c r="F355" i="171"/>
  <c r="N472" i="171"/>
  <c r="F472" i="171"/>
  <c r="G126" i="171"/>
  <c r="N126" i="171"/>
  <c r="Y211" i="171"/>
  <c r="Q211" i="171"/>
  <c r="Y240" i="171"/>
  <c r="Q240" i="171"/>
  <c r="Y317" i="171"/>
  <c r="Q317" i="171"/>
  <c r="R51" i="171"/>
  <c r="Y51" i="171"/>
  <c r="Y31" i="171"/>
  <c r="Q31" i="171"/>
  <c r="Q262" i="171"/>
  <c r="Y262" i="171"/>
  <c r="R458" i="171"/>
  <c r="Y458" i="171"/>
  <c r="R367" i="171"/>
  <c r="Q367" i="171"/>
  <c r="Y438" i="171"/>
  <c r="Q438" i="171"/>
  <c r="R41" i="170"/>
  <c r="Y41" i="170"/>
  <c r="R379" i="170"/>
  <c r="Q379" i="170"/>
  <c r="Y223" i="170"/>
  <c r="Q223" i="170"/>
  <c r="Y72" i="170"/>
  <c r="Q72" i="170"/>
  <c r="Y156" i="170"/>
  <c r="Q156" i="170"/>
  <c r="Q256" i="170"/>
  <c r="R256" i="170"/>
  <c r="Y265" i="170"/>
  <c r="Q265" i="170"/>
  <c r="R394" i="170"/>
  <c r="Q394" i="170"/>
  <c r="R219" i="170"/>
  <c r="Q219" i="170"/>
  <c r="Q168" i="170"/>
  <c r="R168" i="170"/>
  <c r="Q236" i="170"/>
  <c r="R236" i="170"/>
  <c r="R374" i="170"/>
  <c r="Q374" i="170"/>
  <c r="Y485" i="170"/>
  <c r="Q485" i="170"/>
  <c r="F262" i="174"/>
  <c r="G262" i="174"/>
  <c r="G487" i="174"/>
  <c r="F487" i="174"/>
  <c r="G182" i="174"/>
  <c r="N182" i="174"/>
  <c r="G193" i="174"/>
  <c r="F193" i="174"/>
  <c r="N424" i="174"/>
  <c r="F424" i="174"/>
  <c r="F44" i="163"/>
  <c r="G44" i="163"/>
  <c r="G53" i="163"/>
  <c r="F53" i="163"/>
  <c r="F126" i="163"/>
  <c r="G126" i="163"/>
  <c r="F268" i="163"/>
  <c r="G268" i="163"/>
  <c r="N489" i="163"/>
  <c r="F489" i="163"/>
  <c r="G65" i="163"/>
  <c r="N65" i="163"/>
  <c r="G372" i="163"/>
  <c r="N372" i="163"/>
  <c r="R51" i="170"/>
  <c r="Y51" i="170"/>
  <c r="F43" i="174"/>
  <c r="F381" i="170"/>
  <c r="F404" i="163"/>
  <c r="Y231" i="171"/>
  <c r="F172" i="163"/>
  <c r="Q510" i="171"/>
  <c r="Y294" i="171"/>
  <c r="F184" i="170"/>
  <c r="F97" i="163"/>
  <c r="N172" i="163"/>
  <c r="N379" i="170"/>
  <c r="Y433" i="163"/>
  <c r="G379" i="170"/>
  <c r="Q190" i="163"/>
  <c r="N359" i="163"/>
  <c r="N410" i="170"/>
  <c r="F229" i="170"/>
  <c r="G224" i="170"/>
  <c r="G38" i="170"/>
  <c r="Y517" i="170"/>
  <c r="Q187" i="170"/>
  <c r="Q379" i="171"/>
  <c r="R104" i="163"/>
  <c r="G392" i="163"/>
  <c r="F254" i="163"/>
  <c r="G117" i="163"/>
  <c r="F492" i="170"/>
  <c r="G485" i="170"/>
  <c r="N206" i="170"/>
  <c r="Y434" i="170"/>
  <c r="Q508" i="171"/>
  <c r="Y251" i="171"/>
  <c r="Y424" i="174"/>
  <c r="Y353" i="174"/>
  <c r="Y42" i="174"/>
  <c r="G82" i="174"/>
  <c r="N36" i="174"/>
  <c r="F31" i="171"/>
  <c r="R499" i="174"/>
  <c r="Y499" i="174"/>
  <c r="R147" i="174"/>
  <c r="Q147" i="174"/>
  <c r="Y248" i="174"/>
  <c r="Q248" i="174"/>
  <c r="Y379" i="174"/>
  <c r="Q379" i="174"/>
  <c r="R459" i="163"/>
  <c r="Y459" i="163"/>
  <c r="Y275" i="163"/>
  <c r="Q275" i="163"/>
  <c r="R427" i="163"/>
  <c r="Y427" i="163"/>
  <c r="R62" i="163"/>
  <c r="Y62" i="163"/>
  <c r="Y191" i="163"/>
  <c r="Q191" i="163"/>
  <c r="R276" i="163"/>
  <c r="Q276" i="163"/>
  <c r="G408" i="171"/>
  <c r="F408" i="171"/>
  <c r="G152" i="171"/>
  <c r="N152" i="171"/>
  <c r="N313" i="171"/>
  <c r="F313" i="171"/>
  <c r="G135" i="171"/>
  <c r="N135" i="171"/>
  <c r="H29" i="118"/>
  <c r="H40" i="118"/>
  <c r="U20" i="184"/>
  <c r="C15" i="195"/>
  <c r="CU16" i="194"/>
  <c r="CV8" i="194"/>
  <c r="CU11" i="194"/>
  <c r="T14" i="184"/>
  <c r="V32" i="184"/>
  <c r="P29" i="184"/>
  <c r="M13" i="198"/>
  <c r="M16" i="198"/>
  <c r="V23" i="184"/>
  <c r="L11" i="195" a="1"/>
  <c r="CU13" i="194"/>
  <c r="CU7" i="194"/>
  <c r="CV20" i="194"/>
  <c r="O11" i="198"/>
  <c r="M21" i="198"/>
  <c r="T17" i="184"/>
  <c r="V26" i="184"/>
  <c r="CV10" i="194"/>
  <c r="P10" i="198"/>
  <c r="P9" i="198"/>
  <c r="M8" i="198"/>
  <c r="O14" i="198"/>
  <c r="O9" i="198"/>
  <c r="M19" i="198"/>
  <c r="M17" i="198"/>
  <c r="C46" i="200"/>
  <c r="Q10" i="198"/>
  <c r="CV19" i="194"/>
  <c r="M18" i="198"/>
  <c r="E4" i="195"/>
  <c r="V20" i="184"/>
  <c r="CV18" i="194"/>
  <c r="S29" i="184"/>
  <c r="M7" i="198"/>
  <c r="P14" i="198"/>
  <c r="M12" i="198"/>
  <c r="CV9" i="194"/>
  <c r="V5" i="184"/>
  <c r="M20" i="198"/>
  <c r="CV17" i="194"/>
  <c r="E10" i="139"/>
  <c r="M22" i="198"/>
  <c r="V12" i="125"/>
  <c r="CU8" i="194"/>
  <c r="M15" i="198"/>
  <c r="CU10" i="194"/>
  <c r="Q9" i="198"/>
  <c r="Q11" i="198"/>
  <c r="Q14" i="198"/>
  <c r="P13" i="55"/>
  <c r="O13" i="55"/>
  <c r="P11" i="198"/>
  <c r="C12" i="200"/>
  <c r="I4" i="195"/>
  <c r="O10" i="198"/>
  <c r="E13" i="195"/>
  <c r="E15" i="195"/>
  <c r="F14" i="195"/>
  <c r="I14" i="195"/>
  <c r="I13" i="195"/>
  <c r="J14" i="195"/>
  <c r="DA17" i="194" l="1"/>
  <c r="DA9" i="194"/>
  <c r="E26" i="195"/>
  <c r="B61" i="195"/>
  <c r="DA19" i="194"/>
  <c r="U17" i="184"/>
  <c r="DA8" i="194"/>
  <c r="O18" i="54"/>
  <c r="P18" i="54" s="1"/>
  <c r="O21" i="54"/>
  <c r="P21" i="54" s="1"/>
  <c r="Q18" i="54"/>
  <c r="V14" i="198"/>
  <c r="V9" i="198"/>
  <c r="V10" i="198"/>
  <c r="V11" i="198"/>
  <c r="N10" i="54"/>
  <c r="U14" i="184"/>
  <c r="Q21" i="54"/>
  <c r="Q22" i="54"/>
  <c r="Q12" i="54"/>
  <c r="N17" i="54"/>
  <c r="Q14" i="54"/>
  <c r="O17" i="54"/>
  <c r="P17" i="54" s="1"/>
  <c r="O20" i="54"/>
  <c r="P20" i="54" s="1"/>
  <c r="N12" i="54"/>
  <c r="Q13" i="54"/>
  <c r="Q20" i="54"/>
  <c r="N13" i="54"/>
  <c r="O14" i="54"/>
  <c r="P14" i="54" s="1"/>
  <c r="N22" i="54"/>
  <c r="O15" i="54"/>
  <c r="P15" i="54" s="1"/>
  <c r="Q15" i="54"/>
  <c r="N11" i="54"/>
  <c r="N19" i="54"/>
  <c r="Q19" i="54"/>
  <c r="C11" i="195"/>
  <c r="U101" i="195"/>
  <c r="S71" i="195"/>
  <c r="P81" i="195"/>
  <c r="M80" i="195"/>
  <c r="Z73" i="195"/>
  <c r="AB68" i="195"/>
  <c r="S84" i="195"/>
  <c r="R84" i="195"/>
  <c r="R47" i="195"/>
  <c r="X56" i="195"/>
  <c r="M58" i="195"/>
  <c r="P69" i="195"/>
  <c r="Y72" i="195"/>
  <c r="P40" i="195"/>
  <c r="R51" i="195"/>
  <c r="Y49" i="195"/>
  <c r="S42" i="195"/>
  <c r="W45" i="195"/>
  <c r="T39" i="195"/>
  <c r="W43" i="195"/>
  <c r="L37" i="195"/>
  <c r="AB15" i="195"/>
  <c r="P13" i="195"/>
  <c r="M31" i="195"/>
  <c r="Z25" i="195"/>
  <c r="L86" i="195"/>
  <c r="Z95" i="195"/>
  <c r="W94" i="195"/>
  <c r="S88" i="195"/>
  <c r="AA93" i="195"/>
  <c r="O52" i="195"/>
  <c r="AA61" i="195"/>
  <c r="Z61" i="195"/>
  <c r="S74" i="195"/>
  <c r="U75" i="195"/>
  <c r="Q94" i="195"/>
  <c r="Y99" i="195"/>
  <c r="U73" i="195"/>
  <c r="AB24" i="195"/>
  <c r="M34" i="195"/>
  <c r="M33" i="195"/>
  <c r="AA26" i="195"/>
  <c r="S65" i="195"/>
  <c r="X23" i="195"/>
  <c r="V54" i="195"/>
  <c r="Y21" i="195"/>
  <c r="P14" i="195"/>
  <c r="U11" i="195"/>
  <c r="X26" i="195"/>
  <c r="R96" i="195"/>
  <c r="P66" i="195"/>
  <c r="M76" i="195"/>
  <c r="Y98" i="195"/>
  <c r="W68" i="195"/>
  <c r="R62" i="195"/>
  <c r="N75" i="195"/>
  <c r="M75" i="195"/>
  <c r="W93" i="195"/>
  <c r="Q95" i="195"/>
  <c r="AA52" i="195"/>
  <c r="M62" i="195"/>
  <c r="AB65" i="195"/>
  <c r="M35" i="195"/>
  <c r="S44" i="195"/>
  <c r="S43" i="195"/>
  <c r="P37" i="195"/>
  <c r="T40" i="195"/>
  <c r="Q34" i="195"/>
  <c r="T38" i="195"/>
  <c r="Z31" i="195"/>
  <c r="W31" i="195"/>
  <c r="S24" i="195"/>
  <c r="W19" i="195"/>
  <c r="W17" i="195"/>
  <c r="M77" i="195"/>
  <c r="AA86" i="195"/>
  <c r="X85" i="195"/>
  <c r="T79" i="195"/>
  <c r="Y76" i="195"/>
  <c r="X95" i="195"/>
  <c r="W95" i="195"/>
  <c r="L53" i="195"/>
  <c r="W62" i="195"/>
  <c r="W63" i="195"/>
  <c r="AB76" i="195"/>
  <c r="L94" i="195"/>
  <c r="AA63" i="195"/>
  <c r="W102" i="195"/>
  <c r="S96" i="195"/>
  <c r="Q66" i="195"/>
  <c r="N60" i="195"/>
  <c r="M72" i="195"/>
  <c r="L72" i="195"/>
  <c r="AB88" i="195"/>
  <c r="V90" i="195"/>
  <c r="U50" i="195"/>
  <c r="Z100" i="195"/>
  <c r="AA62" i="195"/>
  <c r="X32" i="195"/>
  <c r="M42" i="195"/>
  <c r="M41" i="195"/>
  <c r="AA34" i="195"/>
  <c r="N38" i="195"/>
  <c r="AB31" i="195"/>
  <c r="N36" i="195"/>
  <c r="T29" i="195"/>
  <c r="W25" i="195"/>
  <c r="T20" i="195"/>
  <c r="V16" i="195"/>
  <c r="M15" i="195"/>
  <c r="T78" i="195"/>
  <c r="Q88" i="195"/>
  <c r="N87" i="195"/>
  <c r="AA80" i="195"/>
  <c r="M79" i="195"/>
  <c r="U98" i="195"/>
  <c r="T98" i="195"/>
  <c r="S54" i="195"/>
  <c r="Q64" i="195"/>
  <c r="U65" i="195"/>
  <c r="P79" i="195"/>
  <c r="X84" i="195"/>
  <c r="W47" i="195"/>
  <c r="U17" i="195"/>
  <c r="Z84" i="195"/>
  <c r="O51" i="195"/>
  <c r="T57" i="195"/>
  <c r="U46" i="195"/>
  <c r="O53" i="195"/>
  <c r="M44" i="195"/>
  <c r="T26" i="195"/>
  <c r="Z21" i="195"/>
  <c r="Z17" i="195"/>
  <c r="N15" i="195"/>
  <c r="Z88" i="195"/>
  <c r="W98" i="195"/>
  <c r="T97" i="195"/>
  <c r="P91" i="195"/>
  <c r="U99" i="195"/>
  <c r="L55" i="195"/>
  <c r="N65" i="195"/>
  <c r="M65" i="195"/>
  <c r="X78" i="195"/>
  <c r="P80" i="195"/>
  <c r="AB99" i="195"/>
  <c r="T90" i="195"/>
  <c r="S57" i="195"/>
  <c r="U27" i="195"/>
  <c r="AA36" i="195"/>
  <c r="AA35" i="195"/>
  <c r="X29" i="195"/>
  <c r="AB32" i="195"/>
  <c r="Y26" i="195"/>
  <c r="O69" i="195"/>
  <c r="U24" i="195"/>
  <c r="S17" i="195"/>
  <c r="N14" i="195"/>
  <c r="AA11" i="195"/>
  <c r="W99" i="195"/>
  <c r="U69" i="195"/>
  <c r="R79" i="195"/>
  <c r="M102" i="195"/>
  <c r="AB71" i="195"/>
  <c r="T66" i="195"/>
  <c r="W80" i="195"/>
  <c r="V80" i="195"/>
  <c r="P100" i="195"/>
  <c r="AA101" i="195"/>
  <c r="O56" i="195"/>
  <c r="W66" i="195"/>
  <c r="X82" i="195"/>
  <c r="U92" i="195"/>
  <c r="R91" i="195"/>
  <c r="N85" i="195"/>
  <c r="Q87" i="195"/>
  <c r="AA48" i="195"/>
  <c r="P58" i="195"/>
  <c r="W58" i="195"/>
  <c r="AB69" i="195"/>
  <c r="O71" i="195"/>
  <c r="X87" i="195"/>
  <c r="O93" i="195"/>
  <c r="T54" i="195"/>
  <c r="X21" i="195"/>
  <c r="Y30" i="195"/>
  <c r="L62" i="195"/>
  <c r="R23" i="195"/>
  <c r="P53" i="195"/>
  <c r="Z74" i="195"/>
  <c r="Q49" i="195"/>
  <c r="U18" i="195"/>
  <c r="U31" i="195"/>
  <c r="Q25" i="195"/>
  <c r="O20" i="195"/>
  <c r="Q97" i="195"/>
  <c r="O67" i="195"/>
  <c r="L77" i="195"/>
  <c r="X99" i="195"/>
  <c r="V69" i="195"/>
  <c r="Q63" i="195"/>
  <c r="X76" i="195"/>
  <c r="T76" i="195"/>
  <c r="U95" i="195"/>
  <c r="O97" i="195"/>
  <c r="Z53" i="195"/>
  <c r="V63" i="195"/>
  <c r="N67" i="195"/>
  <c r="L36" i="195"/>
  <c r="R45" i="195"/>
  <c r="R44" i="195"/>
  <c r="O38" i="195"/>
  <c r="S41" i="195"/>
  <c r="P35" i="195"/>
  <c r="S39" i="195"/>
  <c r="Y32" i="195"/>
  <c r="X11" i="195"/>
  <c r="M26" i="195"/>
  <c r="AB20" i="195"/>
  <c r="Z18" i="195"/>
  <c r="U77" i="195"/>
  <c r="R87" i="195"/>
  <c r="O86" i="195"/>
  <c r="AB79" i="195"/>
  <c r="S77" i="195"/>
  <c r="W96" i="195"/>
  <c r="V96" i="195"/>
  <c r="T53" i="195"/>
  <c r="N63" i="195"/>
  <c r="P64" i="195"/>
  <c r="Y77" i="195"/>
  <c r="Z82" i="195"/>
  <c r="R46" i="195"/>
  <c r="Y85" i="195"/>
  <c r="P72" i="195"/>
  <c r="W49" i="195"/>
  <c r="Z54" i="195"/>
  <c r="V45" i="195"/>
  <c r="W51" i="195"/>
  <c r="N43" i="195"/>
  <c r="Z24" i="195"/>
  <c r="U20" i="195"/>
  <c r="W16" i="195"/>
  <c r="S14" i="195"/>
  <c r="R88" i="195"/>
  <c r="O98" i="195"/>
  <c r="L97" i="195"/>
  <c r="Y90" i="195"/>
  <c r="V98" i="195"/>
  <c r="U54" i="195"/>
  <c r="U64" i="195"/>
  <c r="T64" i="195"/>
  <c r="AA77" i="195"/>
  <c r="Q79" i="195"/>
  <c r="L99" i="195"/>
  <c r="AB78" i="195"/>
  <c r="AA98" i="195"/>
  <c r="V77" i="195"/>
  <c r="W52" i="195"/>
  <c r="Q77" i="195"/>
  <c r="L65" i="195"/>
  <c r="Y46" i="195"/>
  <c r="Q78" i="195"/>
  <c r="S25" i="195"/>
  <c r="Z44" i="195"/>
  <c r="R59" i="195"/>
  <c r="O28" i="195"/>
  <c r="Y40" i="195"/>
  <c r="X14" i="195"/>
  <c r="U21" i="195"/>
  <c r="U93" i="195"/>
  <c r="U84" i="195"/>
  <c r="O92" i="195"/>
  <c r="R68" i="195"/>
  <c r="Y57" i="195"/>
  <c r="L88" i="195"/>
  <c r="P61" i="195"/>
  <c r="R92" i="195"/>
  <c r="Y39" i="195"/>
  <c r="Q30" i="195"/>
  <c r="S34" i="195"/>
  <c r="Y42" i="195"/>
  <c r="N80" i="195"/>
  <c r="T15" i="195"/>
  <c r="R24" i="195"/>
  <c r="Z14" i="195"/>
  <c r="AA94" i="195"/>
  <c r="U102" i="195"/>
  <c r="T84" i="195"/>
  <c r="O70" i="195"/>
  <c r="X49" i="195"/>
  <c r="R74" i="195"/>
  <c r="R67" i="195"/>
  <c r="P52" i="195"/>
  <c r="W40" i="195"/>
  <c r="Y44" i="195"/>
  <c r="AB58" i="195"/>
  <c r="P42" i="195"/>
  <c r="N17" i="195"/>
  <c r="V18" i="195"/>
  <c r="X30" i="195"/>
  <c r="Y65" i="195"/>
  <c r="T89" i="195"/>
  <c r="S64" i="195"/>
  <c r="O88" i="195"/>
  <c r="T60" i="195"/>
  <c r="R94" i="195"/>
  <c r="AB83" i="195"/>
  <c r="R75" i="195"/>
  <c r="N42" i="195"/>
  <c r="R54" i="195"/>
  <c r="Y52" i="195"/>
  <c r="Q44" i="195"/>
  <c r="M48" i="195"/>
  <c r="R41" i="195"/>
  <c r="U45" i="195"/>
  <c r="AA38" i="195"/>
  <c r="O18" i="195"/>
  <c r="R15" i="195"/>
  <c r="S12" i="195"/>
  <c r="U29" i="195"/>
  <c r="Z72" i="195"/>
  <c r="T81" i="195"/>
  <c r="Z70" i="195"/>
  <c r="O87" i="195"/>
  <c r="N58" i="195"/>
  <c r="N71" i="195"/>
  <c r="W41" i="195"/>
  <c r="L52" i="195"/>
  <c r="Q47" i="195"/>
  <c r="M45" i="195"/>
  <c r="T17" i="195"/>
  <c r="AB11" i="195"/>
  <c r="T102" i="195"/>
  <c r="O82" i="195"/>
  <c r="Y74" i="195"/>
  <c r="Q86" i="195"/>
  <c r="Q48" i="195"/>
  <c r="L59" i="195"/>
  <c r="M74" i="195"/>
  <c r="Z52" i="195"/>
  <c r="R43" i="195"/>
  <c r="S40" i="195"/>
  <c r="AB37" i="195"/>
  <c r="O14" i="195"/>
  <c r="Y27" i="195"/>
  <c r="R95" i="195"/>
  <c r="AB87" i="195"/>
  <c r="X51" i="195"/>
  <c r="R61" i="195"/>
  <c r="AB74" i="195"/>
  <c r="Z98" i="195"/>
  <c r="T24" i="195"/>
  <c r="V32" i="195"/>
  <c r="N61" i="195"/>
  <c r="Y53" i="195"/>
  <c r="Y13" i="195"/>
  <c r="M25" i="195"/>
  <c r="N68" i="195"/>
  <c r="W100" i="195"/>
  <c r="V64" i="195"/>
  <c r="U67" i="195"/>
  <c r="L84" i="195"/>
  <c r="P94" i="195"/>
  <c r="S29" i="195"/>
  <c r="Y37" i="195"/>
  <c r="Z34" i="195"/>
  <c r="Z32" i="195"/>
  <c r="L20" i="195"/>
  <c r="U13" i="195"/>
  <c r="S79" i="195"/>
  <c r="M88" i="195"/>
  <c r="X80" i="195"/>
  <c r="R100" i="195"/>
  <c r="V65" i="195"/>
  <c r="N81" i="195"/>
  <c r="O49" i="195"/>
  <c r="T27" i="195"/>
  <c r="V61" i="195"/>
  <c r="W54" i="195"/>
  <c r="N28" i="195"/>
  <c r="N19" i="195"/>
  <c r="W91" i="195"/>
  <c r="Q100" i="195"/>
  <c r="AB63" i="195"/>
  <c r="AA68" i="195"/>
  <c r="P84" i="195"/>
  <c r="O48" i="195"/>
  <c r="O60" i="195"/>
  <c r="X39" i="195"/>
  <c r="U32" i="195"/>
  <c r="V29" i="195"/>
  <c r="N27" i="195"/>
  <c r="Q17" i="195"/>
  <c r="X12" i="195"/>
  <c r="S78" i="195"/>
  <c r="L71" i="195"/>
  <c r="Z78" i="195"/>
  <c r="R98" i="195"/>
  <c r="P55" i="195"/>
  <c r="L69" i="195"/>
  <c r="Z46" i="195"/>
  <c r="V39" i="195"/>
  <c r="W36" i="195"/>
  <c r="O34" i="195"/>
  <c r="N30" i="195"/>
  <c r="X20" i="195"/>
  <c r="V91" i="195"/>
  <c r="O84" i="195"/>
  <c r="AB47" i="195"/>
  <c r="X57" i="195"/>
  <c r="AA69" i="195"/>
  <c r="Q91" i="195"/>
  <c r="Z20" i="195"/>
  <c r="U57" i="195"/>
  <c r="Y51" i="195"/>
  <c r="Y47" i="195"/>
  <c r="M29" i="195"/>
  <c r="AA18" i="195"/>
  <c r="W67" i="195"/>
  <c r="V87" i="195"/>
  <c r="R102" i="195"/>
  <c r="AB91" i="195"/>
  <c r="P62" i="195"/>
  <c r="N98" i="195"/>
  <c r="O80" i="195"/>
  <c r="Z58" i="195"/>
  <c r="AA59" i="195"/>
  <c r="U33" i="195"/>
  <c r="AA41" i="195"/>
  <c r="AA53" i="195"/>
  <c r="AB25" i="195"/>
  <c r="R17" i="195"/>
  <c r="AA27" i="195"/>
  <c r="P82" i="195"/>
  <c r="O102" i="195"/>
  <c r="N77" i="195"/>
  <c r="AB55" i="195"/>
  <c r="S83" i="195"/>
  <c r="R69" i="195"/>
  <c r="M50" i="195"/>
  <c r="W77" i="195"/>
  <c r="T28" i="195"/>
  <c r="L49" i="195"/>
  <c r="AA22" i="195"/>
  <c r="T31" i="195"/>
  <c r="Q40" i="195"/>
  <c r="X18" i="195"/>
  <c r="Y29" i="195"/>
  <c r="V92" i="195"/>
  <c r="V83" i="195"/>
  <c r="T87" i="195"/>
  <c r="M67" i="195"/>
  <c r="Z56" i="195"/>
  <c r="N86" i="195"/>
  <c r="R60" i="195"/>
  <c r="AA97" i="195"/>
  <c r="Z38" i="195"/>
  <c r="R29" i="195"/>
  <c r="T33" i="195"/>
  <c r="Z41" i="195"/>
  <c r="M53" i="195"/>
  <c r="Y14" i="195"/>
  <c r="T22" i="195"/>
  <c r="AA13" i="195"/>
  <c r="S94" i="195"/>
  <c r="Q98" i="195"/>
  <c r="U83" i="195"/>
  <c r="T69" i="195"/>
  <c r="P49" i="195"/>
  <c r="W73" i="195"/>
  <c r="W61" i="195"/>
  <c r="P65" i="195"/>
  <c r="V34" i="195"/>
  <c r="AB43" i="195"/>
  <c r="AB42" i="195"/>
  <c r="Y36" i="195"/>
  <c r="L40" i="195"/>
  <c r="Z33" i="195"/>
  <c r="L38" i="195"/>
  <c r="R31" i="195"/>
  <c r="T30" i="195"/>
  <c r="T23" i="195"/>
  <c r="M19" i="195"/>
  <c r="AB16" i="195"/>
  <c r="X97" i="195"/>
  <c r="Q90" i="195"/>
  <c r="M54" i="195"/>
  <c r="Y63" i="195"/>
  <c r="W78" i="195"/>
  <c r="V88" i="195"/>
  <c r="V26" i="195"/>
  <c r="AB34" i="195"/>
  <c r="L32" i="195"/>
  <c r="Q60" i="195"/>
  <c r="R16" i="195"/>
  <c r="AB30" i="195"/>
  <c r="S87" i="195"/>
  <c r="M96" i="195"/>
  <c r="X96" i="195"/>
  <c r="P63" i="195"/>
  <c r="S76" i="195"/>
  <c r="N97" i="195"/>
  <c r="Y88" i="195"/>
  <c r="R81" i="195"/>
  <c r="R77" i="195"/>
  <c r="T96" i="195"/>
  <c r="Q54" i="195"/>
  <c r="O79" i="195"/>
  <c r="U34" i="195"/>
  <c r="R27" i="195"/>
  <c r="AA47" i="195"/>
  <c r="W20" i="195"/>
  <c r="M14" i="195"/>
  <c r="X74" i="195"/>
  <c r="R83" i="195"/>
  <c r="S73" i="195"/>
  <c r="Q71" i="195"/>
  <c r="W89" i="195"/>
  <c r="AA99" i="195"/>
  <c r="P21" i="195"/>
  <c r="S59" i="195"/>
  <c r="T52" i="195"/>
  <c r="U36" i="195"/>
  <c r="U12" i="195"/>
  <c r="AA24" i="195"/>
  <c r="Z79" i="195"/>
  <c r="S72" i="195"/>
  <c r="V81" i="195"/>
  <c r="N73" i="195"/>
  <c r="S92" i="195"/>
  <c r="U63" i="195"/>
  <c r="U53" i="195"/>
  <c r="Z48" i="195"/>
  <c r="L46" i="195"/>
  <c r="Z22" i="195"/>
  <c r="O15" i="195"/>
  <c r="Q73" i="195"/>
  <c r="U94" i="195"/>
  <c r="Q58" i="195"/>
  <c r="S69" i="195"/>
  <c r="X68" i="195"/>
  <c r="AB96" i="195"/>
  <c r="AA45" i="195"/>
  <c r="O40" i="195"/>
  <c r="AA83" i="195"/>
  <c r="N54" i="195"/>
  <c r="M30" i="195"/>
  <c r="Q52" i="195"/>
  <c r="AA23" i="195"/>
  <c r="AA17" i="195"/>
  <c r="O23" i="195"/>
  <c r="R80" i="195"/>
  <c r="Y82" i="195"/>
  <c r="AB73" i="195"/>
  <c r="AA66" i="195"/>
  <c r="T88" i="195"/>
  <c r="T43" i="195"/>
  <c r="M71" i="195"/>
  <c r="AB45" i="195"/>
  <c r="U22" i="195"/>
  <c r="O78" i="195"/>
  <c r="U88" i="195"/>
  <c r="L61" i="195"/>
  <c r="Z55" i="195"/>
  <c r="M82" i="195"/>
  <c r="O41" i="195"/>
  <c r="L42" i="195"/>
  <c r="L82" i="195"/>
  <c r="T45" i="195"/>
  <c r="W21" i="195"/>
  <c r="V100" i="195"/>
  <c r="X101" i="195"/>
  <c r="AB92" i="195"/>
  <c r="U97" i="195"/>
  <c r="Y55" i="195"/>
  <c r="AB98" i="195"/>
  <c r="M17" i="195"/>
  <c r="T41" i="195"/>
  <c r="L31" i="195"/>
  <c r="Q21" i="195"/>
  <c r="P17" i="195"/>
  <c r="O83" i="195"/>
  <c r="Q84" i="195"/>
  <c r="AA56" i="195"/>
  <c r="V51" i="195"/>
  <c r="Y54" i="195"/>
  <c r="Q59" i="195"/>
  <c r="P31" i="195"/>
  <c r="Z51" i="195"/>
  <c r="R40" i="195"/>
  <c r="O11" i="195"/>
  <c r="Y12" i="195"/>
  <c r="Y96" i="195"/>
  <c r="Z81" i="195"/>
  <c r="R85" i="195"/>
  <c r="AA89" i="195"/>
  <c r="O96" i="195"/>
  <c r="X40" i="195"/>
  <c r="U41" i="195"/>
  <c r="S75" i="195"/>
  <c r="L45" i="195"/>
  <c r="X13" i="195"/>
  <c r="U15" i="195"/>
  <c r="AA78" i="195"/>
  <c r="N90" i="195"/>
  <c r="X94" i="195"/>
  <c r="AB100" i="195"/>
  <c r="N96" i="195"/>
  <c r="M23" i="195"/>
  <c r="N48" i="195"/>
  <c r="N37" i="195"/>
  <c r="AB19" i="195"/>
  <c r="X15" i="195"/>
  <c r="W83" i="195"/>
  <c r="N101" i="195"/>
  <c r="R57" i="195"/>
  <c r="V59" i="195"/>
  <c r="V62" i="195"/>
  <c r="Y59" i="195"/>
  <c r="X31" i="195"/>
  <c r="V52" i="195"/>
  <c r="Z40" i="195"/>
  <c r="V20" i="195"/>
  <c r="T21" i="195"/>
  <c r="N99" i="195"/>
  <c r="W76" i="195"/>
  <c r="AA75" i="195"/>
  <c r="U79" i="195"/>
  <c r="Z85" i="195"/>
  <c r="M43" i="195"/>
  <c r="AA43" i="195"/>
  <c r="S33" i="195"/>
  <c r="Z39" i="195"/>
  <c r="R25" i="195"/>
  <c r="L85" i="195"/>
  <c r="M70" i="195"/>
  <c r="L67" i="195"/>
  <c r="S81" i="195"/>
  <c r="P95" i="195"/>
  <c r="T48" i="195"/>
  <c r="L27" i="195"/>
  <c r="M51" i="195"/>
  <c r="AA39" i="195"/>
  <c r="O12" i="195"/>
  <c r="M13" i="195"/>
  <c r="AB70" i="195"/>
  <c r="V79" i="195"/>
  <c r="X59" i="195"/>
  <c r="R66" i="195"/>
  <c r="N82" i="195"/>
  <c r="P92" i="195"/>
  <c r="L58" i="195"/>
  <c r="X45" i="195"/>
  <c r="L39" i="195"/>
  <c r="L29" i="195"/>
  <c r="Y19" i="195"/>
  <c r="N100" i="195"/>
  <c r="P101" i="195"/>
  <c r="AA64" i="195"/>
  <c r="U60" i="195"/>
  <c r="M68" i="195"/>
  <c r="AA84" i="195"/>
  <c r="V42" i="195"/>
  <c r="U47" i="195"/>
  <c r="P44" i="195"/>
  <c r="X34" i="195"/>
  <c r="Q13" i="195"/>
  <c r="Y97" i="195"/>
  <c r="T77" i="195"/>
  <c r="Z94" i="195"/>
  <c r="Q62" i="195"/>
  <c r="L75" i="195"/>
  <c r="O74" i="195"/>
  <c r="L44" i="195"/>
  <c r="M56" i="195"/>
  <c r="R34" i="195"/>
  <c r="R32" i="195"/>
  <c r="Q19" i="195"/>
  <c r="V15" i="195"/>
  <c r="S63" i="195"/>
  <c r="AB95" i="195"/>
  <c r="S48" i="195"/>
  <c r="O58" i="195"/>
  <c r="V70" i="195"/>
  <c r="O72" i="195"/>
  <c r="V50" i="195"/>
  <c r="AB41" i="195"/>
  <c r="X27" i="195"/>
  <c r="T25" i="195"/>
  <c r="Q15" i="195"/>
  <c r="M85" i="195"/>
  <c r="X93" i="195"/>
  <c r="L92" i="195"/>
  <c r="M89" i="195"/>
  <c r="M59" i="195"/>
  <c r="Q72" i="195"/>
  <c r="Q31" i="195"/>
  <c r="W39" i="195"/>
  <c r="X36" i="195"/>
  <c r="M47" i="195"/>
  <c r="Q27" i="195"/>
  <c r="Q18" i="195"/>
  <c r="W90" i="195"/>
  <c r="P83" i="195"/>
  <c r="L47" i="195"/>
  <c r="X92" i="195"/>
  <c r="S52" i="195"/>
  <c r="AA81" i="195"/>
  <c r="Z30" i="195"/>
  <c r="W32" i="195"/>
  <c r="AB48" i="195"/>
  <c r="P36" i="195"/>
  <c r="Q22" i="195"/>
  <c r="W42" i="195"/>
  <c r="AB21" i="195"/>
  <c r="L30" i="195"/>
  <c r="AB13" i="195"/>
  <c r="O90" i="195"/>
  <c r="X67" i="195"/>
  <c r="P102" i="195"/>
  <c r="L68" i="195"/>
  <c r="W64" i="195"/>
  <c r="S28" i="195"/>
  <c r="T49" i="195"/>
  <c r="AA30" i="195"/>
  <c r="Q20" i="195"/>
  <c r="AA79" i="195"/>
  <c r="R97" i="195"/>
  <c r="R101" i="195"/>
  <c r="O66" i="195"/>
  <c r="Y60" i="195"/>
  <c r="N26" i="195"/>
  <c r="S53" i="195"/>
  <c r="AA32" i="195"/>
  <c r="N23" i="195"/>
  <c r="X19" i="195"/>
  <c r="U85" i="195"/>
  <c r="W86" i="195"/>
  <c r="Y67" i="195"/>
  <c r="X70" i="195"/>
  <c r="AB64" i="195"/>
  <c r="V71" i="195"/>
  <c r="N41" i="195"/>
  <c r="S26" i="195"/>
  <c r="R52" i="195"/>
  <c r="L15" i="195"/>
  <c r="W15" i="195"/>
  <c r="U100" i="195"/>
  <c r="V85" i="195"/>
  <c r="AA92" i="195"/>
  <c r="R82" i="195"/>
  <c r="W88" i="195"/>
  <c r="T44" i="195"/>
  <c r="Q45" i="195"/>
  <c r="L54" i="195"/>
  <c r="P41" i="195"/>
  <c r="Z28" i="195"/>
  <c r="Y11" i="195"/>
  <c r="X81" i="195"/>
  <c r="Y66" i="195"/>
  <c r="Y62" i="195"/>
  <c r="O57" i="195"/>
  <c r="Y101" i="195"/>
  <c r="AA25" i="195"/>
  <c r="X52" i="195"/>
  <c r="AB39" i="195"/>
  <c r="AB29" i="195"/>
  <c r="T12" i="195"/>
  <c r="N84" i="195"/>
  <c r="P85" i="195"/>
  <c r="AA65" i="195"/>
  <c r="Z68" i="195"/>
  <c r="M73" i="195"/>
  <c r="AB80" i="195"/>
  <c r="V47" i="195"/>
  <c r="Y24" i="195"/>
  <c r="N50" i="195"/>
  <c r="Z13" i="195"/>
  <c r="T14" i="195"/>
  <c r="V68" i="195"/>
  <c r="M86" i="195"/>
  <c r="Z93" i="195"/>
  <c r="Q83" i="195"/>
  <c r="V89" i="195"/>
  <c r="AB44" i="195"/>
  <c r="Y45" i="195"/>
  <c r="Q35" i="195"/>
  <c r="Z50" i="195"/>
  <c r="W18" i="195"/>
  <c r="P12" i="195"/>
  <c r="U76" i="195"/>
  <c r="T100" i="195"/>
  <c r="Q57" i="195"/>
  <c r="U59" i="195"/>
  <c r="U62" i="195"/>
  <c r="L28" i="195"/>
  <c r="P45" i="195"/>
  <c r="Y34" i="195"/>
  <c r="L25" i="195"/>
  <c r="S23" i="195"/>
  <c r="P90" i="195"/>
  <c r="N95" i="195"/>
  <c r="Y79" i="195"/>
  <c r="S99" i="195"/>
  <c r="AA60" i="195"/>
  <c r="O64" i="195"/>
  <c r="T36" i="195"/>
  <c r="Q37" i="195"/>
  <c r="R70" i="195"/>
  <c r="S55" i="195"/>
  <c r="X22" i="195"/>
  <c r="Q12" i="195"/>
  <c r="V99" i="195"/>
  <c r="W84" i="195"/>
  <c r="L91" i="195"/>
  <c r="W50" i="195"/>
  <c r="V57" i="195"/>
  <c r="S62" i="195"/>
  <c r="V41" i="195"/>
  <c r="W30" i="195"/>
  <c r="Y69" i="195"/>
  <c r="M18" i="195"/>
  <c r="V13" i="195"/>
  <c r="Q81" i="195"/>
  <c r="AB89" i="195"/>
  <c r="N72" i="195"/>
  <c r="U81" i="195"/>
  <c r="Q55" i="195"/>
  <c r="L98" i="195"/>
  <c r="L24" i="195"/>
  <c r="N32" i="195"/>
  <c r="AB50" i="195"/>
  <c r="R39" i="195"/>
  <c r="Z15" i="195"/>
  <c r="L23" i="195"/>
  <c r="N83" i="195"/>
  <c r="X75" i="195"/>
  <c r="U74" i="195"/>
  <c r="O85" i="195"/>
  <c r="W48" i="195"/>
  <c r="Q70" i="195"/>
  <c r="M27" i="195"/>
  <c r="AA28" i="195"/>
  <c r="U40" i="195"/>
  <c r="T32" i="195"/>
  <c r="AA58" i="195"/>
  <c r="N35" i="195"/>
  <c r="Z16" i="195"/>
  <c r="V21" i="195"/>
  <c r="M22" i="195"/>
  <c r="W82" i="195"/>
  <c r="W97" i="195"/>
  <c r="AA73" i="195"/>
  <c r="T59" i="195"/>
  <c r="T56" i="195"/>
  <c r="T42" i="195"/>
  <c r="AA40" i="195"/>
  <c r="V23" i="195"/>
  <c r="R18" i="195"/>
  <c r="R72" i="195"/>
  <c r="Z89" i="195"/>
  <c r="P73" i="195"/>
  <c r="W57" i="195"/>
  <c r="W87" i="195"/>
  <c r="AB18" i="195"/>
  <c r="Z35" i="195"/>
  <c r="N25" i="195"/>
  <c r="Q29" i="195"/>
  <c r="T11" i="195"/>
  <c r="L78" i="195"/>
  <c r="V102" i="195"/>
  <c r="P59" i="195"/>
  <c r="AB53" i="195"/>
  <c r="N57" i="195"/>
  <c r="U61" i="195"/>
  <c r="V33" i="195"/>
  <c r="W55" i="195"/>
  <c r="X42" i="195"/>
  <c r="Y23" i="195"/>
  <c r="AA14" i="195"/>
  <c r="L93" i="195"/>
  <c r="M78" i="195"/>
  <c r="V67" i="195"/>
  <c r="W70" i="195"/>
  <c r="AA74" i="195"/>
  <c r="AB36" i="195"/>
  <c r="V66" i="195"/>
  <c r="X43" i="195"/>
  <c r="X33" i="195"/>
  <c r="P16" i="195"/>
  <c r="L102" i="195"/>
  <c r="X102" i="195"/>
  <c r="Y95" i="195"/>
  <c r="Q85" i="195"/>
  <c r="U91" i="195"/>
  <c r="W101" i="195"/>
  <c r="T18" i="195"/>
  <c r="AA42" i="195"/>
  <c r="S32" i="195"/>
  <c r="W22" i="195"/>
  <c r="L11" i="195"/>
  <c r="V76" i="195"/>
  <c r="V101" i="195"/>
  <c r="Z57" i="195"/>
  <c r="L60" i="195"/>
  <c r="M63" i="195"/>
  <c r="X69" i="195"/>
  <c r="O32" i="195"/>
  <c r="Q53" i="195"/>
  <c r="Q41" i="195"/>
  <c r="N21" i="195"/>
  <c r="P22" i="195"/>
  <c r="L101" i="195"/>
  <c r="U78" i="195"/>
  <c r="Q68" i="195"/>
  <c r="P71" i="195"/>
  <c r="T75" i="195"/>
  <c r="S37" i="195"/>
  <c r="P38" i="195"/>
  <c r="X54" i="195"/>
  <c r="X41" i="195"/>
  <c r="X16" i="195"/>
  <c r="Z96" i="195"/>
  <c r="AB97" i="195"/>
  <c r="S85" i="195"/>
  <c r="L90" i="195"/>
  <c r="P96" i="195"/>
  <c r="S91" i="195"/>
  <c r="N56" i="195"/>
  <c r="X37" i="195"/>
  <c r="P27" i="195"/>
  <c r="V17" i="195"/>
  <c r="N13" i="195"/>
  <c r="W92" i="195"/>
  <c r="AA54" i="195"/>
  <c r="W85" i="195"/>
  <c r="W38" i="195"/>
  <c r="O22" i="195"/>
  <c r="M101" i="195"/>
  <c r="S101" i="195"/>
  <c r="S60" i="195"/>
  <c r="U43" i="195"/>
  <c r="W37" i="195"/>
  <c r="P30" i="195"/>
  <c r="S102" i="195"/>
  <c r="T47" i="195"/>
  <c r="W56" i="195"/>
  <c r="M49" i="195"/>
  <c r="Y22" i="195"/>
  <c r="AA12" i="195"/>
  <c r="V75" i="195"/>
  <c r="AB61" i="195"/>
  <c r="T67" i="195"/>
  <c r="S89" i="195"/>
  <c r="R78" i="195"/>
  <c r="L33" i="195"/>
  <c r="V37" i="195"/>
  <c r="M24" i="195"/>
  <c r="W13" i="195"/>
  <c r="S95" i="195"/>
  <c r="V82" i="195"/>
  <c r="P77" i="195"/>
  <c r="N34" i="195"/>
  <c r="U39" i="195"/>
  <c r="U25" i="195"/>
  <c r="Z64" i="195"/>
  <c r="P70" i="195"/>
  <c r="Z77" i="195"/>
  <c r="W33" i="195"/>
  <c r="V46" i="195"/>
  <c r="AA16" i="195"/>
  <c r="L16" i="195"/>
  <c r="S80" i="195"/>
  <c r="T82" i="195"/>
  <c r="V78" i="195"/>
  <c r="X77" i="195"/>
  <c r="U38" i="195"/>
  <c r="M12" i="195"/>
  <c r="W75" i="195"/>
  <c r="P88" i="195"/>
  <c r="Q61" i="195"/>
  <c r="S68" i="195"/>
  <c r="N39" i="195"/>
  <c r="L50" i="195"/>
  <c r="R22" i="195"/>
  <c r="V95" i="195"/>
  <c r="S100" i="195"/>
  <c r="Z66" i="195"/>
  <c r="O33" i="195"/>
  <c r="N46" i="195"/>
  <c r="S16" i="195"/>
  <c r="U26" i="195"/>
  <c r="U86" i="195"/>
  <c r="W79" i="195"/>
  <c r="Q76" i="195"/>
  <c r="T62" i="195"/>
  <c r="W44" i="195"/>
  <c r="P19" i="195"/>
  <c r="N76" i="195"/>
  <c r="Q75" i="195"/>
  <c r="Y61" i="195"/>
  <c r="L80" i="195"/>
  <c r="S47" i="195"/>
  <c r="Q33" i="195"/>
  <c r="Q23" i="195"/>
  <c r="S90" i="195"/>
  <c r="M90" i="195"/>
  <c r="Z60" i="195"/>
  <c r="U35" i="195"/>
  <c r="U49" i="195"/>
  <c r="R19" i="195"/>
  <c r="P18" i="195"/>
  <c r="Q96" i="195"/>
  <c r="X61" i="195"/>
  <c r="S18" i="195"/>
  <c r="AB90" i="195"/>
  <c r="U48" i="195"/>
  <c r="O76" i="195"/>
  <c r="M61" i="195"/>
  <c r="AA88" i="195"/>
  <c r="N51" i="195"/>
  <c r="Z67" i="195"/>
  <c r="N31" i="195"/>
  <c r="W27" i="195"/>
  <c r="Y89" i="195"/>
  <c r="R86" i="195"/>
  <c r="P56" i="195"/>
  <c r="P32" i="195"/>
  <c r="AA33" i="195"/>
  <c r="Y16" i="195"/>
  <c r="N91" i="195"/>
  <c r="N89" i="195"/>
  <c r="N49" i="195"/>
  <c r="N33" i="195"/>
  <c r="X60" i="195"/>
  <c r="Z26" i="195"/>
  <c r="Y100" i="195"/>
  <c r="Y50" i="195"/>
  <c r="V58" i="195"/>
  <c r="W60" i="195"/>
  <c r="R48" i="195"/>
  <c r="P29" i="195"/>
  <c r="Q26" i="195"/>
  <c r="S20" i="195"/>
  <c r="O16" i="195"/>
  <c r="AA87" i="195"/>
  <c r="T61" i="195"/>
  <c r="S93" i="195"/>
  <c r="S19" i="195"/>
  <c r="R33" i="195"/>
  <c r="W14" i="195"/>
  <c r="P97" i="195"/>
  <c r="V53" i="195"/>
  <c r="S67" i="195"/>
  <c r="L43" i="195"/>
  <c r="M39" i="195"/>
  <c r="S27" i="195"/>
  <c r="M93" i="195"/>
  <c r="AA72" i="195"/>
  <c r="N102" i="195"/>
  <c r="AB67" i="195"/>
  <c r="P48" i="195"/>
  <c r="P23" i="195"/>
  <c r="O19" i="195"/>
  <c r="T85" i="195"/>
  <c r="V74" i="195"/>
  <c r="M99" i="195"/>
  <c r="O55" i="195"/>
  <c r="V31" i="195"/>
  <c r="O26" i="195"/>
  <c r="Y20" i="195"/>
  <c r="U80" i="195"/>
  <c r="W72" i="195"/>
  <c r="U58" i="195"/>
  <c r="N52" i="195"/>
  <c r="V38" i="195"/>
  <c r="R26" i="195"/>
  <c r="O99" i="195"/>
  <c r="L79" i="195"/>
  <c r="U52" i="195"/>
  <c r="M66" i="195"/>
  <c r="P46" i="195"/>
  <c r="AA21" i="195"/>
  <c r="S31" i="195"/>
  <c r="T93" i="195"/>
  <c r="O65" i="195"/>
  <c r="L100" i="195"/>
  <c r="U56" i="195"/>
  <c r="M32" i="195"/>
  <c r="W26" i="195"/>
  <c r="L14" i="195"/>
  <c r="AA82" i="195"/>
  <c r="X65" i="195"/>
  <c r="R53" i="195"/>
  <c r="AA44" i="195"/>
  <c r="AB40" i="195"/>
  <c r="P11" i="195"/>
  <c r="T86" i="195"/>
  <c r="L74" i="195"/>
  <c r="M83" i="195"/>
  <c r="AB28" i="195"/>
  <c r="O47" i="195"/>
  <c r="O27" i="195"/>
  <c r="M92" i="195"/>
  <c r="T83" i="195"/>
  <c r="Z101" i="195"/>
  <c r="Z37" i="195"/>
  <c r="N47" i="195"/>
  <c r="N16" i="195"/>
  <c r="S82" i="195"/>
  <c r="N70" i="195"/>
  <c r="R90" i="195"/>
  <c r="AA55" i="195"/>
  <c r="V35" i="195"/>
  <c r="N24" i="195"/>
  <c r="P93" i="195"/>
  <c r="M60" i="195"/>
  <c r="Z86" i="195"/>
  <c r="AB56" i="195"/>
  <c r="S36" i="195"/>
  <c r="P25" i="195"/>
  <c r="AA50" i="195"/>
  <c r="AA31" i="195"/>
  <c r="O25" i="195"/>
  <c r="Q65" i="195"/>
  <c r="Q102" i="195"/>
  <c r="AB51" i="195"/>
  <c r="W53" i="195"/>
  <c r="V25" i="195"/>
  <c r="O13" i="195"/>
  <c r="X89" i="195"/>
  <c r="Q101" i="195"/>
  <c r="T51" i="195"/>
  <c r="T35" i="195"/>
  <c r="X48" i="195"/>
  <c r="AA15" i="195"/>
  <c r="T70" i="195"/>
  <c r="R65" i="195"/>
  <c r="M87" i="195"/>
  <c r="Y83" i="195"/>
  <c r="N40" i="195"/>
  <c r="O35" i="195"/>
  <c r="M11" i="195"/>
  <c r="AB77" i="195"/>
  <c r="R49" i="195"/>
  <c r="Y71" i="195"/>
  <c r="N22" i="195"/>
  <c r="Z23" i="195"/>
  <c r="L19" i="195"/>
  <c r="N20" i="195"/>
  <c r="AA96" i="195"/>
  <c r="V72" i="195"/>
  <c r="L51" i="195"/>
  <c r="U42" i="195"/>
  <c r="L48" i="195"/>
  <c r="S15" i="195"/>
  <c r="M69" i="195"/>
  <c r="T71" i="195"/>
  <c r="Q99" i="195"/>
  <c r="L96" i="195"/>
  <c r="X38" i="195"/>
  <c r="Y33" i="195"/>
  <c r="X28" i="195"/>
  <c r="Z99" i="195"/>
  <c r="Z49" i="195"/>
  <c r="AB84" i="195"/>
  <c r="AA29" i="195"/>
  <c r="Q24" i="195"/>
  <c r="T19" i="195"/>
  <c r="L13" i="195"/>
  <c r="P99" i="195"/>
  <c r="Z75" i="195"/>
  <c r="AA100" i="195"/>
  <c r="R37" i="195"/>
  <c r="Q42" i="195"/>
  <c r="N18" i="195"/>
  <c r="T99" i="195"/>
  <c r="Q38" i="195"/>
  <c r="AA90" i="195"/>
  <c r="U68" i="195"/>
  <c r="Z11" i="195"/>
  <c r="O101" i="195"/>
  <c r="O75" i="195"/>
  <c r="L64" i="195"/>
  <c r="R76" i="195"/>
  <c r="L18" i="195"/>
  <c r="P43" i="195"/>
  <c r="Y15" i="195"/>
  <c r="Y80" i="195"/>
  <c r="R71" i="195"/>
  <c r="Y86" i="195"/>
  <c r="M55" i="195"/>
  <c r="O43" i="195"/>
  <c r="Z12" i="195"/>
  <c r="L95" i="195"/>
  <c r="AB60" i="195"/>
  <c r="L76" i="195"/>
  <c r="L41" i="195"/>
  <c r="M28" i="195"/>
  <c r="AA95" i="195"/>
  <c r="AB81" i="195"/>
  <c r="R56" i="195"/>
  <c r="AB59" i="195"/>
  <c r="P60" i="195"/>
  <c r="Q67" i="195"/>
  <c r="P76" i="195"/>
  <c r="Y41" i="195"/>
  <c r="Q14" i="195"/>
  <c r="AB14" i="195"/>
  <c r="Z102" i="195"/>
  <c r="P87" i="195"/>
  <c r="M98" i="195"/>
  <c r="AB35" i="195"/>
  <c r="L57" i="195"/>
  <c r="L17" i="195"/>
  <c r="Y102" i="195"/>
  <c r="P86" i="195"/>
  <c r="S70" i="195"/>
  <c r="AB27" i="195"/>
  <c r="U55" i="195"/>
  <c r="V24" i="195"/>
  <c r="AA102" i="195"/>
  <c r="P78" i="195"/>
  <c r="X73" i="195"/>
  <c r="T68" i="195"/>
  <c r="S50" i="195"/>
  <c r="V43" i="195"/>
  <c r="V28" i="195"/>
  <c r="R99" i="195"/>
  <c r="X58" i="195"/>
  <c r="N62" i="195"/>
  <c r="AB62" i="195"/>
  <c r="R42" i="195"/>
  <c r="O21" i="195"/>
  <c r="T94" i="195"/>
  <c r="R89" i="195"/>
  <c r="X62" i="195"/>
  <c r="Z69" i="195"/>
  <c r="L35" i="195"/>
  <c r="W24" i="195"/>
  <c r="W23" i="195"/>
  <c r="T101" i="195"/>
  <c r="AB75" i="195"/>
  <c r="Z71" i="195"/>
  <c r="S58" i="195"/>
  <c r="AA76" i="195"/>
  <c r="U51" i="195"/>
  <c r="P24" i="195"/>
  <c r="Q92" i="195"/>
  <c r="O59" i="195"/>
  <c r="T72" i="195"/>
  <c r="V22" i="195"/>
  <c r="Z42" i="195"/>
  <c r="L22" i="195"/>
  <c r="Q89" i="195"/>
  <c r="X91" i="195"/>
  <c r="W65" i="195"/>
  <c r="L73" i="195"/>
  <c r="Z29" i="195"/>
  <c r="X64" i="195"/>
  <c r="Q16" i="195"/>
  <c r="M100" i="195"/>
  <c r="S56" i="195"/>
  <c r="N66" i="195"/>
  <c r="Z45" i="195"/>
  <c r="X35" i="195"/>
  <c r="L12" i="195"/>
  <c r="S98" i="195"/>
  <c r="S66" i="195"/>
  <c r="V73" i="195"/>
  <c r="V40" i="195"/>
  <c r="W35" i="195"/>
  <c r="V19" i="195"/>
  <c r="X83" i="195"/>
  <c r="P57" i="195"/>
  <c r="AA70" i="195"/>
  <c r="X25" i="195"/>
  <c r="AA20" i="195"/>
  <c r="N92" i="195"/>
  <c r="L87" i="195"/>
  <c r="N88" i="195"/>
  <c r="T91" i="195"/>
  <c r="S51" i="195"/>
  <c r="X46" i="195"/>
  <c r="Y43" i="195"/>
  <c r="P34" i="195"/>
  <c r="V12" i="195"/>
  <c r="S11" i="195"/>
  <c r="U96" i="195"/>
  <c r="Z63" i="195"/>
  <c r="L83" i="195"/>
  <c r="O54" i="195"/>
  <c r="U37" i="195"/>
  <c r="P28" i="195"/>
  <c r="L81" i="195"/>
  <c r="O73" i="195"/>
  <c r="U87" i="195"/>
  <c r="Q51" i="195"/>
  <c r="V44" i="195"/>
  <c r="AB12" i="195"/>
  <c r="Z87" i="195"/>
  <c r="V97" i="195"/>
  <c r="X63" i="195"/>
  <c r="AB46" i="195"/>
  <c r="AB33" i="195"/>
  <c r="M36" i="195"/>
  <c r="AB23" i="195"/>
  <c r="Z91" i="195"/>
  <c r="Z92" i="195"/>
  <c r="P47" i="195"/>
  <c r="Q46" i="195"/>
  <c r="O36" i="195"/>
  <c r="W12" i="195"/>
  <c r="AB86" i="195"/>
  <c r="Q74" i="195"/>
  <c r="R55" i="195"/>
  <c r="V86" i="195"/>
  <c r="T50" i="195"/>
  <c r="N44" i="195"/>
  <c r="L21" i="195"/>
  <c r="AB93" i="195"/>
  <c r="Q50" i="195"/>
  <c r="O62" i="195"/>
  <c r="S45" i="195"/>
  <c r="M40" i="195"/>
  <c r="O42" i="195"/>
  <c r="T13" i="195"/>
  <c r="Y84" i="195"/>
  <c r="Y93" i="195"/>
  <c r="X47" i="195"/>
  <c r="AA67" i="195"/>
  <c r="O44" i="195"/>
  <c r="R13" i="195"/>
  <c r="Y81" i="195"/>
  <c r="N69" i="195"/>
  <c r="O50" i="195"/>
  <c r="Z76" i="195"/>
  <c r="P54" i="195"/>
  <c r="T46" i="195"/>
  <c r="V14" i="195"/>
  <c r="O100" i="195"/>
  <c r="AB66" i="195"/>
  <c r="X100" i="195"/>
  <c r="O46" i="195"/>
  <c r="P33" i="195"/>
  <c r="Q11" i="195"/>
  <c r="Z65" i="195"/>
  <c r="T80" i="195"/>
  <c r="X53" i="195"/>
  <c r="O45" i="195"/>
  <c r="X24" i="195"/>
  <c r="L70" i="195"/>
  <c r="P51" i="195"/>
  <c r="Q69" i="195"/>
  <c r="N55" i="195"/>
  <c r="U30" i="195"/>
  <c r="O31" i="195"/>
  <c r="AB101" i="195"/>
  <c r="U71" i="195"/>
  <c r="U72" i="195"/>
  <c r="U89" i="195"/>
  <c r="AA19" i="195"/>
  <c r="AB54" i="195"/>
  <c r="N45" i="195"/>
  <c r="V27" i="195"/>
  <c r="N11" i="195"/>
  <c r="AB102" i="195"/>
  <c r="P75" i="195"/>
  <c r="Y91" i="195"/>
  <c r="X50" i="195"/>
  <c r="Y28" i="195"/>
  <c r="O29" i="195"/>
  <c r="AB94" i="195"/>
  <c r="W81" i="195"/>
  <c r="T92" i="195"/>
  <c r="AB49" i="195"/>
  <c r="L66" i="195"/>
  <c r="S30" i="195"/>
  <c r="U16" i="195"/>
  <c r="T95" i="195"/>
  <c r="S61" i="195"/>
  <c r="R93" i="195"/>
  <c r="AA49" i="195"/>
  <c r="M46" i="195"/>
  <c r="M21" i="195"/>
  <c r="X90" i="195"/>
  <c r="L63" i="195"/>
  <c r="S97" i="195"/>
  <c r="N79" i="195"/>
  <c r="W46" i="195"/>
  <c r="V48" i="195"/>
  <c r="U14" i="195"/>
  <c r="P89" i="195"/>
  <c r="N53" i="195"/>
  <c r="O77" i="195"/>
  <c r="X86" i="195"/>
  <c r="Z27" i="195"/>
  <c r="T37" i="195"/>
  <c r="M16" i="195"/>
  <c r="M94" i="195"/>
  <c r="W59" i="195"/>
  <c r="U90" i="195"/>
  <c r="AB72" i="195"/>
  <c r="V55" i="195"/>
  <c r="N12" i="195"/>
  <c r="O91" i="195"/>
  <c r="O89" i="195"/>
  <c r="M52" i="195"/>
  <c r="M95" i="195"/>
  <c r="W71" i="195"/>
  <c r="S49" i="195"/>
  <c r="P15" i="195"/>
  <c r="M84" i="195"/>
  <c r="T55" i="195"/>
  <c r="O81" i="195"/>
  <c r="AB52" i="195"/>
  <c r="S22" i="195"/>
  <c r="Q32" i="195"/>
  <c r="R11" i="195"/>
  <c r="O24" i="195"/>
  <c r="R73" i="195"/>
  <c r="Y87" i="195"/>
  <c r="O68" i="195"/>
  <c r="O39" i="195"/>
  <c r="X17" i="195"/>
  <c r="Z43" i="195"/>
  <c r="O63" i="195"/>
  <c r="Y17" i="195"/>
  <c r="Q39" i="195"/>
  <c r="N93" i="195"/>
  <c r="W28" i="195"/>
  <c r="Z47" i="195"/>
  <c r="O17" i="195"/>
  <c r="AA37" i="195"/>
  <c r="V93" i="195"/>
  <c r="N29" i="195"/>
  <c r="V94" i="195"/>
  <c r="P20" i="195"/>
  <c r="Z83" i="195"/>
  <c r="AB82" i="195"/>
  <c r="T74" i="195"/>
  <c r="M57" i="195"/>
  <c r="S38" i="195"/>
  <c r="M64" i="195"/>
  <c r="Q80" i="195"/>
  <c r="N78" i="195"/>
  <c r="AB17" i="195"/>
  <c r="T73" i="195"/>
  <c r="Q43" i="195"/>
  <c r="Y78" i="195"/>
  <c r="W11" i="195"/>
  <c r="AA91" i="195"/>
  <c r="Z36" i="195"/>
  <c r="M38" i="195"/>
  <c r="Y56" i="195"/>
  <c r="P50" i="195"/>
  <c r="Z97" i="195"/>
  <c r="V30" i="195"/>
  <c r="L56" i="195"/>
  <c r="O94" i="195"/>
  <c r="O37" i="195"/>
  <c r="N59" i="195"/>
  <c r="L26" i="195"/>
  <c r="R63" i="195"/>
  <c r="Y92" i="195"/>
  <c r="Y35" i="195"/>
  <c r="P68" i="195"/>
  <c r="AB26" i="195"/>
  <c r="AA57" i="195"/>
  <c r="AA46" i="195"/>
  <c r="R20" i="195"/>
  <c r="M91" i="195"/>
  <c r="S35" i="195"/>
  <c r="S13" i="195"/>
  <c r="Q36" i="195"/>
  <c r="Z90" i="195"/>
  <c r="W29" i="195"/>
  <c r="Y31" i="195"/>
  <c r="U70" i="195"/>
  <c r="M81" i="195"/>
  <c r="Y75" i="195"/>
  <c r="R28" i="195"/>
  <c r="R30" i="195"/>
  <c r="T63" i="195"/>
  <c r="S21" i="195"/>
  <c r="Y68" i="195"/>
  <c r="R12" i="195"/>
  <c r="R58" i="195"/>
  <c r="L89" i="195"/>
  <c r="X44" i="195"/>
  <c r="S86" i="195"/>
  <c r="U66" i="195"/>
  <c r="Q93" i="195"/>
  <c r="R50" i="195"/>
  <c r="Y18" i="195"/>
  <c r="X71" i="195"/>
  <c r="N64" i="195"/>
  <c r="Q56" i="195"/>
  <c r="T16" i="195"/>
  <c r="T34" i="195"/>
  <c r="U82" i="195"/>
  <c r="U28" i="195"/>
  <c r="Y64" i="195"/>
  <c r="AA71" i="195"/>
  <c r="L34" i="195"/>
  <c r="Y94" i="195"/>
  <c r="W34" i="195"/>
  <c r="T65" i="195"/>
  <c r="P74" i="195"/>
  <c r="R36" i="195"/>
  <c r="AA51" i="195"/>
  <c r="M20" i="195"/>
  <c r="V11" i="195"/>
  <c r="M97" i="195"/>
  <c r="S46" i="195"/>
  <c r="Y48" i="195"/>
  <c r="AB85" i="195"/>
  <c r="Q28" i="195"/>
  <c r="Y70" i="195"/>
  <c r="Y25" i="195"/>
  <c r="N94" i="195"/>
  <c r="R64" i="195"/>
  <c r="R35" i="195"/>
  <c r="X79" i="195"/>
  <c r="AB22" i="195"/>
  <c r="O95" i="195"/>
  <c r="X66" i="195"/>
  <c r="O30" i="195"/>
  <c r="U44" i="195"/>
  <c r="Y73" i="195"/>
  <c r="V84" i="195"/>
  <c r="R38" i="195"/>
  <c r="P26" i="195"/>
  <c r="O61" i="195"/>
  <c r="Q82" i="195"/>
  <c r="M37" i="195"/>
  <c r="X88" i="195"/>
  <c r="R14" i="195"/>
  <c r="Y38" i="195"/>
  <c r="W69" i="195"/>
  <c r="V36" i="195"/>
  <c r="AA85" i="195"/>
  <c r="R21" i="195"/>
  <c r="P39" i="195"/>
  <c r="X72" i="195"/>
  <c r="AB38" i="195"/>
  <c r="U19" i="195"/>
  <c r="Y58" i="195"/>
  <c r="Z80" i="195"/>
  <c r="U23" i="195"/>
  <c r="Z19" i="195"/>
  <c r="W74" i="195"/>
  <c r="P67" i="195"/>
  <c r="T58" i="195"/>
  <c r="V49" i="195"/>
  <c r="P98" i="195"/>
  <c r="AB57" i="195"/>
  <c r="V60" i="195"/>
  <c r="V56" i="195"/>
  <c r="X55" i="195"/>
  <c r="X98" i="195"/>
  <c r="Z59" i="195"/>
  <c r="Z62" i="195"/>
  <c r="N74" i="195"/>
  <c r="DA18" i="194"/>
  <c r="B63" i="195"/>
  <c r="I26" i="195"/>
  <c r="DA20" i="194"/>
  <c r="N16" i="54"/>
  <c r="Q16" i="54"/>
  <c r="O16" i="54"/>
  <c r="P16" i="54" s="1"/>
  <c r="DA10" i="194"/>
  <c r="K40" i="118"/>
  <c r="K29" i="118"/>
  <c r="O22" i="198"/>
  <c r="O18" i="198"/>
  <c r="P13" i="198"/>
  <c r="P12" i="198"/>
  <c r="Q13" i="198"/>
  <c r="O16" i="198"/>
  <c r="E6" i="118"/>
  <c r="P22" i="198"/>
  <c r="Q19" i="198"/>
  <c r="O21" i="198"/>
  <c r="E17" i="118"/>
  <c r="O7" i="198"/>
  <c r="Q22" i="198"/>
  <c r="P18" i="198"/>
  <c r="V14" i="184"/>
  <c r="Q17" i="198"/>
  <c r="P20" i="198"/>
  <c r="Q15" i="198"/>
  <c r="Q16" i="198"/>
  <c r="E41" i="118"/>
  <c r="Q18" i="198"/>
  <c r="P19" i="198"/>
  <c r="Q8" i="198"/>
  <c r="P8" i="198"/>
  <c r="Q7" i="198"/>
  <c r="Q20" i="198"/>
  <c r="O13" i="198"/>
  <c r="V17" i="184"/>
  <c r="T29" i="184"/>
  <c r="R7" i="198" a="1"/>
  <c r="O15" i="198"/>
  <c r="P16" i="198"/>
  <c r="O12" i="198"/>
  <c r="E14" i="195"/>
  <c r="I15" i="195"/>
  <c r="P7" i="198"/>
  <c r="P17" i="198"/>
  <c r="P15" i="198"/>
  <c r="P21" i="198"/>
  <c r="E11" i="139"/>
  <c r="O17" i="198"/>
  <c r="O19" i="198"/>
  <c r="O8" i="198"/>
  <c r="C28" i="200" a="1"/>
  <c r="O20" i="198"/>
  <c r="Q21" i="198"/>
  <c r="Q12" i="198"/>
  <c r="E30" i="118"/>
  <c r="V18" i="198" l="1"/>
  <c r="V22" i="198"/>
  <c r="V12" i="198"/>
  <c r="V13" i="198"/>
  <c r="V16" i="198"/>
  <c r="V8" i="198"/>
  <c r="V21" i="198"/>
  <c r="V7" i="198"/>
  <c r="V19" i="198"/>
  <c r="V15" i="198"/>
  <c r="V17" i="198"/>
  <c r="R27" i="198"/>
  <c r="R26" i="198"/>
  <c r="R36" i="198"/>
  <c r="R19" i="198"/>
  <c r="R28" i="198"/>
  <c r="R34" i="198"/>
  <c r="R37" i="198"/>
  <c r="R29" i="198"/>
  <c r="R40" i="198"/>
  <c r="R14" i="198"/>
  <c r="R17" i="198"/>
  <c r="R18" i="198"/>
  <c r="R20" i="198"/>
  <c r="R13" i="198"/>
  <c r="R16" i="198"/>
  <c r="R21" i="198"/>
  <c r="R15" i="198"/>
  <c r="R12" i="198"/>
  <c r="R10" i="198"/>
  <c r="R11" i="198"/>
  <c r="R41" i="198"/>
  <c r="R7" i="198"/>
  <c r="R39" i="198"/>
  <c r="R30" i="198"/>
  <c r="R38" i="198"/>
  <c r="R32" i="198"/>
  <c r="R22" i="198"/>
  <c r="R23" i="198"/>
  <c r="R24" i="198"/>
  <c r="R8" i="198"/>
  <c r="R25" i="198"/>
  <c r="R33" i="198"/>
  <c r="R35" i="198"/>
  <c r="R42" i="198"/>
  <c r="R31" i="198"/>
  <c r="R9" i="198"/>
  <c r="V20" i="198"/>
  <c r="H6" i="118"/>
  <c r="K6" i="118" s="1"/>
  <c r="U29" i="184"/>
  <c r="C28" i="200"/>
  <c r="C27" i="200" s="1"/>
  <c r="C29" i="200"/>
  <c r="C31" i="200"/>
  <c r="C30" i="200"/>
  <c r="O31" i="82"/>
  <c r="H17" i="118"/>
  <c r="H30" i="118"/>
  <c r="H41" i="118"/>
  <c r="V29" i="184"/>
  <c r="E12" i="139"/>
  <c r="C60" i="200" a="1"/>
  <c r="C61" i="200" l="1"/>
  <c r="C60" i="200"/>
  <c r="C59" i="200" s="1"/>
  <c r="O32" i="82" s="1"/>
  <c r="C62" i="200"/>
  <c r="C63" i="200"/>
  <c r="K17" i="118"/>
  <c r="K41" i="118"/>
  <c r="K30" i="118"/>
  <c r="E7" i="118"/>
  <c r="E13" i="139"/>
  <c r="E42" i="118"/>
  <c r="E18" i="118"/>
  <c r="E31" i="118"/>
  <c r="H7" i="118" l="1"/>
  <c r="H18" i="118"/>
  <c r="H42" i="118"/>
  <c r="H31" i="118"/>
  <c r="E14" i="139"/>
  <c r="K7" i="118" l="1"/>
  <c r="K18" i="118"/>
  <c r="K31" i="118"/>
  <c r="K42" i="118"/>
  <c r="E19" i="118"/>
  <c r="E15" i="139"/>
  <c r="E8" i="118"/>
  <c r="E32" i="118"/>
  <c r="H8" i="118" l="1"/>
  <c r="H19" i="118"/>
  <c r="H32" i="118"/>
  <c r="M43" i="118"/>
  <c r="H7" i="82" s="1"/>
  <c r="E16" i="139"/>
  <c r="K8" i="118" l="1"/>
  <c r="K19" i="118"/>
  <c r="K32" i="118"/>
  <c r="E9" i="118"/>
  <c r="E17" i="139"/>
  <c r="E20" i="118"/>
  <c r="H9" i="118" l="1"/>
  <c r="H20" i="118"/>
  <c r="M32" i="118"/>
  <c r="H6" i="82" s="1"/>
  <c r="E18" i="139"/>
  <c r="K9" i="118" l="1"/>
  <c r="K20" i="118"/>
  <c r="E10" i="118"/>
  <c r="E21" i="118"/>
  <c r="E19" i="139"/>
  <c r="H10" i="118" l="1"/>
  <c r="H21" i="118"/>
  <c r="E20" i="139"/>
  <c r="K10" i="118" l="1"/>
  <c r="M10" i="118" s="1"/>
  <c r="H5" i="82" s="1"/>
  <c r="K21" i="118"/>
  <c r="M21" i="118" s="1"/>
  <c r="H4" i="82" s="1"/>
  <c r="E22" i="118"/>
  <c r="E33" i="118"/>
  <c r="E21" i="139"/>
  <c r="E44" i="118"/>
  <c r="H44" i="118" l="1"/>
  <c r="H33" i="118"/>
  <c r="H22" i="118"/>
  <c r="E22" i="139"/>
  <c r="K33" i="118" l="1"/>
  <c r="K44" i="118"/>
  <c r="K22" i="118"/>
  <c r="E36" i="118"/>
  <c r="E25" i="118"/>
  <c r="E45" i="118"/>
  <c r="E12" i="118"/>
  <c r="E34" i="118"/>
  <c r="E13" i="118"/>
  <c r="E24" i="118"/>
  <c r="E23" i="139"/>
  <c r="E14" i="118"/>
  <c r="E46" i="118"/>
  <c r="H46" i="118" l="1"/>
  <c r="K46" i="118" s="1"/>
  <c r="H14" i="118"/>
  <c r="K14" i="118" s="1"/>
  <c r="H13" i="118"/>
  <c r="K13" i="118" s="1"/>
  <c r="H36" i="118"/>
  <c r="K36" i="118" s="1"/>
  <c r="H25" i="118"/>
  <c r="K25" i="118" s="1"/>
  <c r="H45" i="118"/>
  <c r="K45" i="118" s="1"/>
  <c r="M40" i="118" s="1"/>
  <c r="I7" i="82" s="1"/>
  <c r="H24" i="118"/>
  <c r="K24" i="118" s="1"/>
  <c r="H34" i="118"/>
  <c r="K34" i="118" s="1"/>
  <c r="M29" i="118" s="1"/>
  <c r="I6" i="82" s="1"/>
  <c r="H12" i="118"/>
  <c r="K12" i="118" s="1"/>
  <c r="E24" i="139"/>
  <c r="M7" i="118" l="1"/>
  <c r="M18" i="118"/>
  <c r="I4" i="82" s="1"/>
  <c r="I5" i="82"/>
  <c r="M3" i="118" l="1"/>
  <c r="E25" i="139"/>
  <c r="E26" i="139"/>
  <c r="E27" i="139" l="1"/>
  <c r="E28" i="139"/>
  <c r="E29" i="139"/>
  <c r="E30" i="139" s="1"/>
  <c r="E31" i="139"/>
  <c r="E32" i="139"/>
  <c r="E33" i="139"/>
  <c r="E34" i="139"/>
  <c r="E35" i="139"/>
  <c r="E36" i="139"/>
  <c r="E37" i="139"/>
  <c r="E38" i="139"/>
  <c r="E39" i="139"/>
  <c r="E40" i="139"/>
  <c r="E41" i="139"/>
  <c r="E42" i="139"/>
  <c r="E43" i="139"/>
  <c r="E44" i="139"/>
  <c r="E45" i="139"/>
  <c r="E46" i="139"/>
  <c r="E47" i="139"/>
  <c r="E48" i="139"/>
  <c r="E49" i="139"/>
  <c r="E50" i="139"/>
  <c r="E51" i="139"/>
  <c r="E52" i="139"/>
  <c r="E53" i="139"/>
  <c r="E54" i="139"/>
  <c r="E55" i="139"/>
  <c r="E56" i="139"/>
  <c r="E57" i="139"/>
  <c r="E58" i="139"/>
  <c r="E59" i="139"/>
  <c r="E60" i="139"/>
  <c r="E61" i="139"/>
  <c r="E62" i="139"/>
  <c r="E63" i="139"/>
  <c r="E64" i="139"/>
  <c r="E65" i="139"/>
  <c r="E66" i="139"/>
  <c r="E67" i="139"/>
  <c r="E68" i="139"/>
  <c r="E69" i="139"/>
  <c r="E70" i="139"/>
  <c r="E71" i="139"/>
  <c r="E72" i="139"/>
  <c r="E73" i="139"/>
  <c r="E74" i="139"/>
  <c r="E75" i="139"/>
  <c r="E76" i="139"/>
  <c r="E77" i="139"/>
  <c r="E78" i="139"/>
  <c r="E79" i="139"/>
  <c r="E80" i="139"/>
  <c r="E81" i="139"/>
  <c r="E82" i="139"/>
  <c r="E83" i="139"/>
  <c r="E84" i="139"/>
  <c r="E85" i="139"/>
  <c r="E86" i="139"/>
  <c r="E87" i="139"/>
  <c r="E88" i="139"/>
  <c r="E89" i="139"/>
  <c r="E90" i="139"/>
  <c r="E91" i="139"/>
  <c r="E92" i="139"/>
  <c r="E93" i="139"/>
  <c r="E94" i="139"/>
  <c r="E95" i="139"/>
  <c r="E96" i="139"/>
  <c r="E97" i="139"/>
  <c r="E98" i="139"/>
  <c r="E99" i="139"/>
  <c r="E100" i="139"/>
  <c r="E101" i="139"/>
  <c r="E102" i="139"/>
  <c r="E103" i="139"/>
  <c r="E104" i="139"/>
  <c r="E105" i="139"/>
  <c r="E106" i="139"/>
  <c r="E107" i="139"/>
  <c r="E108" i="139"/>
  <c r="E109" i="139"/>
  <c r="E110" i="139"/>
  <c r="E111" i="139"/>
  <c r="E112" i="139"/>
  <c r="E113" i="139"/>
  <c r="E114" i="139"/>
  <c r="E115" i="139"/>
  <c r="E116" i="139"/>
  <c r="E117" i="139"/>
  <c r="E118" i="139"/>
  <c r="E119" i="139"/>
  <c r="E120" i="139"/>
  <c r="E121" i="139"/>
  <c r="E122" i="139"/>
  <c r="E123" i="139"/>
  <c r="E124" i="139"/>
  <c r="E125" i="139"/>
  <c r="E126" i="139"/>
  <c r="E127" i="139"/>
  <c r="E128" i="139"/>
  <c r="E129" i="139"/>
  <c r="E130" i="139"/>
  <c r="E131" i="139"/>
  <c r="E132" i="139"/>
  <c r="E133" i="139"/>
  <c r="E134" i="139"/>
  <c r="E135" i="139"/>
  <c r="E136" i="139"/>
  <c r="E137" i="139"/>
  <c r="E138" i="139"/>
  <c r="E139" i="139"/>
  <c r="E140" i="139"/>
  <c r="E141" i="139"/>
  <c r="E142" i="139"/>
  <c r="E143" i="139"/>
  <c r="E144" i="139"/>
  <c r="E145" i="139"/>
  <c r="E146" i="139"/>
  <c r="E147" i="139"/>
  <c r="E148" i="139"/>
  <c r="E149" i="139"/>
  <c r="E150" i="139"/>
  <c r="E151" i="139"/>
  <c r="E152" i="139"/>
  <c r="E153" i="139"/>
  <c r="E154" i="139"/>
  <c r="E155" i="139"/>
  <c r="E156" i="139"/>
  <c r="E157" i="139"/>
  <c r="E158" i="139"/>
  <c r="E159" i="139"/>
  <c r="E160" i="139"/>
  <c r="E161" i="139"/>
  <c r="E162" i="139"/>
  <c r="E163" i="139"/>
  <c r="E164" i="139"/>
  <c r="E165" i="139"/>
  <c r="E166" i="139"/>
  <c r="E167" i="139"/>
  <c r="E168" i="139"/>
  <c r="E169" i="139"/>
  <c r="E170" i="139"/>
  <c r="E171" i="139"/>
  <c r="E172" i="139"/>
  <c r="E173" i="139"/>
  <c r="E174" i="139"/>
  <c r="E175" i="139"/>
  <c r="E176" i="139"/>
  <c r="E177" i="139"/>
  <c r="E178" i="139"/>
  <c r="E179" i="139"/>
  <c r="E180" i="139"/>
  <c r="E181" i="139"/>
  <c r="E182" i="139"/>
  <c r="E183" i="139"/>
  <c r="E184" i="139"/>
  <c r="E185" i="139"/>
  <c r="E186" i="139"/>
  <c r="E187" i="139"/>
  <c r="E188" i="139"/>
  <c r="E189" i="139"/>
  <c r="E190" i="139"/>
  <c r="E191" i="139"/>
  <c r="E192" i="139"/>
  <c r="E193" i="139"/>
  <c r="E194" i="139"/>
  <c r="E195" i="139"/>
  <c r="E196" i="139"/>
  <c r="E197" i="139"/>
  <c r="E198" i="139"/>
  <c r="E199" i="139"/>
  <c r="E200" i="139"/>
  <c r="E201" i="139"/>
  <c r="E202" i="139"/>
  <c r="E203" i="139"/>
  <c r="E204" i="139"/>
  <c r="E205" i="139"/>
  <c r="E206" i="139"/>
  <c r="E207" i="139"/>
  <c r="E208" i="139"/>
  <c r="E209" i="139"/>
  <c r="E210" i="139"/>
  <c r="E211" i="139"/>
  <c r="E212" i="139"/>
  <c r="E213" i="139"/>
  <c r="E214" i="139"/>
  <c r="E215" i="139"/>
  <c r="E216" i="139"/>
  <c r="E217" i="139"/>
  <c r="E218" i="139"/>
  <c r="E219" i="139"/>
  <c r="E220" i="139"/>
  <c r="E221" i="139"/>
  <c r="E222" i="139"/>
  <c r="E223" i="139"/>
  <c r="E224" i="139"/>
  <c r="E225" i="139"/>
  <c r="E226" i="139"/>
  <c r="E227" i="139"/>
  <c r="E228" i="139"/>
  <c r="E229" i="139"/>
  <c r="E230" i="139"/>
  <c r="E231" i="139"/>
  <c r="E232" i="139"/>
  <c r="E233" i="139"/>
  <c r="E234" i="139"/>
  <c r="E235" i="139"/>
  <c r="E236" i="139"/>
  <c r="E237" i="139"/>
  <c r="E238" i="139"/>
  <c r="E239" i="139"/>
  <c r="E240" i="139"/>
  <c r="E241" i="139"/>
  <c r="E242" i="139"/>
  <c r="E243" i="139"/>
  <c r="E244" i="139"/>
  <c r="E245" i="139"/>
  <c r="E246" i="139"/>
  <c r="E247" i="139"/>
  <c r="E248" i="139"/>
  <c r="E249" i="139"/>
  <c r="E250" i="139"/>
  <c r="E251" i="139"/>
  <c r="E252" i="139"/>
  <c r="E253" i="139"/>
  <c r="E254" i="139"/>
  <c r="E255" i="139"/>
  <c r="E256" i="139"/>
  <c r="E257" i="139"/>
  <c r="E258" i="139"/>
  <c r="E259" i="139"/>
  <c r="E260" i="139"/>
  <c r="E261" i="139"/>
  <c r="E262" i="139"/>
  <c r="E263" i="139"/>
  <c r="E264" i="139"/>
  <c r="E265" i="139"/>
  <c r="E266" i="139"/>
  <c r="E267" i="139"/>
  <c r="E268" i="139"/>
  <c r="E269" i="139"/>
  <c r="E270" i="139"/>
  <c r="E271" i="139"/>
  <c r="E272" i="139"/>
  <c r="E273" i="139"/>
  <c r="E274" i="139"/>
  <c r="E275" i="139"/>
  <c r="E276" i="139"/>
  <c r="E277" i="139"/>
  <c r="E278" i="139"/>
  <c r="E279" i="139"/>
  <c r="E280" i="139"/>
  <c r="E281" i="139"/>
  <c r="E282" i="139"/>
  <c r="E283" i="139"/>
  <c r="E284" i="139"/>
  <c r="E285" i="139"/>
  <c r="E286" i="139"/>
  <c r="E287" i="139"/>
  <c r="E288" i="139"/>
  <c r="E289" i="139"/>
  <c r="E290" i="139"/>
  <c r="E291" i="139"/>
  <c r="E292" i="139"/>
  <c r="E293" i="139"/>
  <c r="E294" i="139"/>
  <c r="E295" i="139"/>
  <c r="E296" i="139"/>
  <c r="E297" i="139"/>
  <c r="E298" i="139"/>
  <c r="E299" i="139"/>
  <c r="E300" i="139"/>
  <c r="E301" i="139"/>
  <c r="E302" i="139"/>
  <c r="E303" i="139"/>
  <c r="E304" i="139"/>
  <c r="E305" i="139"/>
  <c r="E306" i="139"/>
  <c r="E307" i="139"/>
  <c r="E308" i="139"/>
  <c r="E309" i="139"/>
  <c r="E310" i="139"/>
  <c r="E311" i="139"/>
  <c r="E312" i="139"/>
  <c r="E313" i="139"/>
  <c r="E314" i="139"/>
  <c r="E315" i="139"/>
  <c r="E316" i="139"/>
  <c r="E317" i="139"/>
  <c r="E318" i="139"/>
  <c r="E319" i="139"/>
  <c r="E320" i="139"/>
  <c r="E321" i="139"/>
  <c r="E322" i="139"/>
  <c r="E323" i="139"/>
  <c r="E324" i="139"/>
  <c r="E325" i="139"/>
  <c r="E326" i="139"/>
  <c r="E327" i="139"/>
  <c r="E328" i="139"/>
  <c r="E329" i="139"/>
  <c r="E330" i="139"/>
  <c r="E331" i="139"/>
  <c r="E332" i="139"/>
  <c r="E333" i="139"/>
  <c r="E334" i="139"/>
  <c r="E335" i="139"/>
  <c r="E336" i="139"/>
  <c r="E337" i="139"/>
  <c r="E338" i="139"/>
  <c r="E339" i="139"/>
  <c r="E340" i="139"/>
  <c r="E341" i="139"/>
  <c r="E342" i="139"/>
  <c r="E343" i="139"/>
  <c r="E344" i="139"/>
  <c r="E345" i="139"/>
  <c r="E346" i="139"/>
  <c r="E347" i="139"/>
  <c r="E348" i="139"/>
  <c r="E349" i="139"/>
  <c r="E350" i="139"/>
  <c r="E351" i="139"/>
  <c r="E352" i="139"/>
  <c r="E353" i="139"/>
  <c r="E354" i="139"/>
  <c r="E355" i="139"/>
  <c r="E356" i="139"/>
  <c r="E357" i="139"/>
  <c r="E358" i="139"/>
  <c r="E359" i="139"/>
  <c r="E360" i="139"/>
  <c r="E361" i="139"/>
  <c r="E362" i="139"/>
  <c r="E363" i="139"/>
  <c r="E364" i="139"/>
  <c r="E365" i="139"/>
  <c r="E366" i="139"/>
  <c r="E367" i="139"/>
  <c r="E368" i="139"/>
  <c r="E369" i="139"/>
  <c r="E370" i="139"/>
  <c r="E371" i="139"/>
  <c r="E372" i="139"/>
  <c r="E373" i="139"/>
  <c r="E374" i="139"/>
  <c r="E375" i="139"/>
  <c r="E376" i="139"/>
  <c r="E377" i="139"/>
  <c r="E378" i="139"/>
  <c r="E379" i="139"/>
  <c r="E380" i="139"/>
  <c r="E381" i="139"/>
  <c r="E382" i="139"/>
  <c r="E383" i="139"/>
  <c r="E384" i="139"/>
  <c r="E385" i="139"/>
  <c r="E386" i="139"/>
  <c r="E387" i="139"/>
  <c r="E388" i="139"/>
  <c r="E389" i="139"/>
  <c r="E390" i="139"/>
  <c r="E391" i="139"/>
  <c r="E392" i="139"/>
  <c r="E393" i="139"/>
  <c r="E394" i="139"/>
  <c r="E395" i="139"/>
  <c r="E396" i="139"/>
  <c r="E397" i="139"/>
  <c r="E398" i="139"/>
  <c r="E399" i="139"/>
  <c r="E400" i="139"/>
  <c r="E401" i="139"/>
  <c r="E402" i="139"/>
  <c r="E403" i="139"/>
  <c r="E404" i="139"/>
  <c r="E405" i="139"/>
  <c r="E406" i="139"/>
  <c r="E407" i="139"/>
  <c r="E408" i="139"/>
  <c r="E409" i="139"/>
  <c r="E410" i="139"/>
  <c r="E411" i="139"/>
  <c r="E412" i="139"/>
  <c r="E413" i="139"/>
  <c r="E414" i="139"/>
  <c r="E415" i="139"/>
  <c r="E416" i="139"/>
  <c r="E417" i="139"/>
  <c r="E418" i="139"/>
  <c r="E419" i="139"/>
  <c r="E420" i="139"/>
  <c r="E421" i="139"/>
  <c r="E422" i="139"/>
  <c r="E423" i="139"/>
  <c r="E424" i="139"/>
  <c r="E425" i="139"/>
  <c r="E426" i="139"/>
  <c r="E427" i="139"/>
  <c r="E428" i="139"/>
  <c r="E429" i="139"/>
  <c r="E430" i="139"/>
  <c r="E431" i="139"/>
  <c r="E432" i="139"/>
  <c r="E433" i="139"/>
  <c r="E434" i="139"/>
  <c r="E435" i="139"/>
  <c r="E436" i="139"/>
  <c r="E437" i="139"/>
  <c r="E438" i="139"/>
  <c r="E439" i="139"/>
  <c r="E440" i="139"/>
  <c r="E441" i="139"/>
  <c r="E442" i="139"/>
  <c r="E443" i="139"/>
  <c r="E444" i="139"/>
  <c r="E445" i="139"/>
  <c r="E446" i="139"/>
  <c r="E447" i="139"/>
  <c r="E448" i="139"/>
  <c r="E449" i="139"/>
  <c r="E450" i="139"/>
  <c r="E451" i="139"/>
  <c r="E452" i="139"/>
  <c r="E453" i="139"/>
  <c r="E454" i="139"/>
  <c r="E455" i="139"/>
  <c r="E456" i="139"/>
  <c r="E457" i="139"/>
  <c r="E458" i="139"/>
  <c r="E459" i="139"/>
  <c r="E460" i="139"/>
  <c r="E461" i="139"/>
  <c r="E462" i="139"/>
  <c r="E463" i="139"/>
  <c r="E464" i="139"/>
  <c r="E465" i="139"/>
  <c r="E466" i="139"/>
  <c r="E467" i="139"/>
  <c r="E468" i="139"/>
  <c r="E469" i="139"/>
  <c r="E470" i="139"/>
  <c r="E471" i="139"/>
  <c r="E472" i="139"/>
  <c r="E473" i="139"/>
  <c r="E474" i="139"/>
  <c r="E475" i="139"/>
  <c r="E476" i="139"/>
  <c r="E477" i="139"/>
  <c r="E478" i="139"/>
  <c r="E479" i="139"/>
  <c r="E480" i="139"/>
  <c r="E481" i="139"/>
  <c r="E482" i="139"/>
  <c r="E483" i="139"/>
  <c r="E484" i="139"/>
  <c r="E485" i="139"/>
  <c r="E486" i="139"/>
  <c r="E487" i="139"/>
  <c r="E488" i="139"/>
  <c r="E489" i="139"/>
  <c r="E490" i="139"/>
  <c r="E491" i="139"/>
  <c r="E492" i="139"/>
  <c r="E493" i="139"/>
  <c r="E494" i="139"/>
  <c r="E495" i="139"/>
  <c r="E496" i="139"/>
  <c r="E497" i="139"/>
  <c r="E498" i="139"/>
  <c r="E499" i="139"/>
  <c r="E500" i="139"/>
  <c r="E501" i="139"/>
  <c r="E502" i="139"/>
  <c r="E503" i="139"/>
  <c r="E504" i="139"/>
  <c r="E505" i="139"/>
  <c r="E506" i="139"/>
  <c r="E507" i="139"/>
  <c r="E508" i="139"/>
  <c r="E509" i="139"/>
  <c r="E510" i="139"/>
  <c r="E511" i="139"/>
  <c r="E512" i="139"/>
  <c r="E513" i="139"/>
  <c r="E514" i="139"/>
  <c r="E515" i="139"/>
  <c r="E516" i="139"/>
  <c r="E517" i="139"/>
  <c r="E518" i="139"/>
  <c r="E519" i="139"/>
  <c r="E520" i="139"/>
  <c r="E521" i="139"/>
  <c r="E522" i="139"/>
  <c r="E523" i="139"/>
  <c r="E524" i="139"/>
  <c r="E525" i="139"/>
  <c r="E526" i="139"/>
  <c r="E527" i="139"/>
  <c r="E528" i="139"/>
  <c r="E529" i="139"/>
  <c r="E530" i="139"/>
  <c r="E531" i="139"/>
  <c r="E532" i="139"/>
  <c r="E533" i="139"/>
  <c r="E534" i="139"/>
  <c r="E535" i="139"/>
  <c r="E536" i="139"/>
  <c r="E537" i="139"/>
  <c r="E538" i="139"/>
  <c r="E539" i="139"/>
  <c r="E540" i="139"/>
  <c r="E541" i="139"/>
  <c r="E542" i="139"/>
  <c r="E543" i="139"/>
  <c r="E544" i="139"/>
  <c r="E545" i="139"/>
  <c r="E546" i="139"/>
  <c r="E547" i="139"/>
  <c r="E548" i="139"/>
  <c r="E549" i="139"/>
  <c r="E550" i="139"/>
  <c r="E551" i="139"/>
  <c r="E552" i="139"/>
  <c r="E553" i="139"/>
  <c r="E554" i="139"/>
  <c r="E555" i="139"/>
  <c r="E556" i="139"/>
  <c r="E557" i="139"/>
  <c r="E558" i="139"/>
  <c r="E559" i="139"/>
  <c r="E560" i="139"/>
  <c r="E561" i="139"/>
  <c r="E562" i="139"/>
  <c r="E563" i="139"/>
  <c r="E564" i="139"/>
  <c r="E565" i="139"/>
  <c r="E566" i="139"/>
  <c r="E567" i="139"/>
  <c r="E568" i="139"/>
  <c r="E569" i="139"/>
  <c r="E570" i="139"/>
  <c r="E571" i="139"/>
  <c r="E572" i="139"/>
  <c r="E573" i="139"/>
  <c r="E574" i="139"/>
  <c r="E575" i="139"/>
  <c r="E576" i="139"/>
  <c r="E577" i="139"/>
  <c r="E578" i="139"/>
  <c r="E579" i="139"/>
  <c r="E580" i="139"/>
  <c r="E581" i="139"/>
  <c r="E582" i="139"/>
  <c r="E583" i="139"/>
  <c r="E584" i="139"/>
  <c r="E585" i="139"/>
  <c r="E586" i="139"/>
  <c r="E587" i="139"/>
  <c r="E588" i="139"/>
  <c r="E589" i="139"/>
  <c r="E590" i="139"/>
  <c r="E591" i="139"/>
  <c r="E592" i="139"/>
  <c r="E593" i="139"/>
  <c r="E594" i="139"/>
  <c r="E595" i="139"/>
  <c r="E596" i="139"/>
  <c r="E597" i="139"/>
  <c r="E598" i="139"/>
  <c r="E599" i="139"/>
  <c r="E600" i="139"/>
  <c r="E601" i="139"/>
  <c r="E602" i="139"/>
  <c r="E603" i="139"/>
  <c r="E604" i="139"/>
  <c r="E605" i="139"/>
  <c r="E606" i="139"/>
  <c r="E607" i="139"/>
  <c r="E608" i="139"/>
  <c r="E609" i="139"/>
  <c r="E610" i="139"/>
  <c r="E611" i="139"/>
  <c r="E612" i="139"/>
  <c r="E613" i="139"/>
  <c r="E614" i="139"/>
  <c r="E615" i="139"/>
  <c r="E616" i="139"/>
  <c r="E617" i="139"/>
  <c r="E618" i="139"/>
  <c r="E619" i="139"/>
  <c r="E620" i="139"/>
  <c r="E621" i="139"/>
  <c r="E622" i="139"/>
  <c r="E623" i="139"/>
  <c r="E624" i="139"/>
  <c r="E625" i="139"/>
  <c r="E626" i="139"/>
  <c r="E627" i="139"/>
  <c r="E628" i="139"/>
  <c r="E629" i="139"/>
  <c r="E630" i="139"/>
  <c r="E631" i="139"/>
  <c r="E632" i="139"/>
  <c r="E633" i="139"/>
  <c r="E634" i="139"/>
  <c r="E635" i="139"/>
  <c r="E636" i="139"/>
  <c r="E637" i="139"/>
  <c r="E638" i="139"/>
  <c r="E639" i="139"/>
  <c r="E640" i="139"/>
  <c r="E641" i="139"/>
  <c r="E642" i="139"/>
  <c r="E643" i="139"/>
  <c r="E644" i="139"/>
  <c r="E645" i="139"/>
  <c r="E646" i="139"/>
  <c r="E647" i="139"/>
  <c r="E648" i="139"/>
  <c r="E649" i="139"/>
  <c r="E650" i="139"/>
  <c r="E651" i="139"/>
  <c r="E652" i="139"/>
  <c r="E653" i="139"/>
  <c r="E654" i="139"/>
  <c r="E655" i="139"/>
  <c r="E656" i="139"/>
  <c r="E657" i="139"/>
  <c r="E658" i="139"/>
  <c r="E659" i="139"/>
  <c r="E660" i="139"/>
  <c r="E661" i="139"/>
  <c r="E662" i="139"/>
  <c r="E663" i="139"/>
  <c r="E664" i="139"/>
  <c r="E665" i="139"/>
  <c r="E666" i="139"/>
  <c r="E667" i="139"/>
  <c r="E668" i="139"/>
  <c r="E669" i="139"/>
  <c r="E670" i="139"/>
  <c r="E671" i="139"/>
  <c r="E672" i="139"/>
  <c r="E673" i="139"/>
  <c r="E674" i="139"/>
  <c r="E675" i="139"/>
  <c r="E676" i="139"/>
  <c r="E677" i="139"/>
  <c r="E678" i="139"/>
  <c r="E679" i="139"/>
  <c r="E680" i="139"/>
  <c r="E681" i="139"/>
  <c r="E682" i="139"/>
  <c r="E683" i="139"/>
  <c r="E684" i="139"/>
  <c r="E685" i="139"/>
  <c r="E686" i="139"/>
  <c r="E687" i="139"/>
  <c r="E688" i="139"/>
  <c r="E689" i="139"/>
  <c r="E690" i="139"/>
  <c r="E691" i="139"/>
  <c r="E692" i="139"/>
  <c r="E693" i="139"/>
  <c r="E694" i="139"/>
  <c r="E695" i="139"/>
  <c r="E696" i="139"/>
  <c r="E697" i="139"/>
  <c r="E698" i="139"/>
  <c r="E699" i="139"/>
  <c r="E700" i="139"/>
  <c r="E701" i="139"/>
  <c r="E702" i="139"/>
  <c r="E703" i="139"/>
  <c r="E704" i="139"/>
  <c r="E705" i="139"/>
  <c r="E706" i="139"/>
  <c r="E707" i="139"/>
  <c r="E708" i="139"/>
  <c r="E709" i="139"/>
  <c r="E710" i="139"/>
  <c r="E711" i="139"/>
  <c r="E712" i="139"/>
  <c r="E713" i="139"/>
  <c r="E714" i="139"/>
  <c r="E715" i="139"/>
  <c r="E716" i="139"/>
  <c r="E717" i="139"/>
  <c r="E718" i="139"/>
  <c r="E719" i="139"/>
  <c r="E720" i="139"/>
  <c r="E721" i="139"/>
  <c r="E722" i="139"/>
  <c r="E723" i="139"/>
  <c r="E724" i="139"/>
  <c r="E725" i="139"/>
  <c r="E726" i="139"/>
  <c r="E727" i="139"/>
  <c r="E728" i="139"/>
  <c r="E729" i="139"/>
  <c r="E730" i="139"/>
  <c r="E731" i="139"/>
  <c r="E732" i="139"/>
  <c r="E733" i="139"/>
  <c r="E734" i="139"/>
  <c r="E735" i="139"/>
  <c r="E736" i="139"/>
  <c r="E737" i="139"/>
  <c r="E738" i="139"/>
  <c r="E739" i="139"/>
  <c r="E740" i="139"/>
  <c r="E741" i="139"/>
  <c r="E742" i="139"/>
  <c r="E743" i="139"/>
  <c r="E744" i="139"/>
  <c r="E745" i="139"/>
  <c r="E746" i="139"/>
  <c r="E747" i="139"/>
  <c r="E748" i="139"/>
  <c r="E749" i="139"/>
  <c r="E750" i="139"/>
  <c r="E751" i="139"/>
  <c r="E752" i="139"/>
  <c r="E753" i="139"/>
  <c r="E754" i="139"/>
  <c r="E755" i="139"/>
  <c r="E756" i="139"/>
  <c r="E757" i="139"/>
  <c r="E758" i="139"/>
  <c r="E759" i="139"/>
  <c r="E760" i="139"/>
  <c r="E761" i="139"/>
  <c r="E762" i="139"/>
  <c r="E763" i="139"/>
  <c r="E764" i="139"/>
  <c r="E765" i="139"/>
  <c r="E766" i="139"/>
  <c r="E767" i="139"/>
  <c r="E768" i="139"/>
  <c r="E769" i="139"/>
  <c r="E770" i="139"/>
  <c r="E771" i="139"/>
  <c r="E772" i="139"/>
  <c r="E773" i="139"/>
  <c r="E774" i="139"/>
  <c r="E775" i="139"/>
  <c r="E776" i="139"/>
  <c r="E777" i="139"/>
  <c r="E778" i="139"/>
  <c r="E779" i="139"/>
  <c r="E780" i="139"/>
  <c r="E781" i="139"/>
  <c r="E782" i="139"/>
  <c r="E783" i="139"/>
  <c r="E784" i="139"/>
  <c r="E785" i="139"/>
  <c r="E786" i="139"/>
  <c r="E787" i="139"/>
  <c r="E788" i="139"/>
  <c r="E789" i="139"/>
  <c r="E790" i="139"/>
  <c r="E791" i="139"/>
  <c r="E792" i="139"/>
  <c r="E793" i="139"/>
  <c r="E794" i="139"/>
  <c r="E795" i="139"/>
  <c r="E796" i="139"/>
  <c r="E797" i="139"/>
  <c r="E798" i="139"/>
  <c r="E799" i="139"/>
  <c r="E800" i="139"/>
  <c r="E801" i="139"/>
  <c r="E802" i="139"/>
  <c r="E803" i="139"/>
  <c r="E804" i="139"/>
  <c r="E805" i="139"/>
  <c r="E806" i="139"/>
  <c r="E807" i="139"/>
  <c r="E808" i="139"/>
  <c r="E809" i="139"/>
  <c r="E810" i="139"/>
  <c r="E811" i="139"/>
  <c r="E812" i="139"/>
  <c r="E813" i="139"/>
  <c r="E814" i="139"/>
  <c r="E815" i="139"/>
  <c r="E816" i="139"/>
  <c r="E817" i="139"/>
  <c r="E818" i="139"/>
  <c r="E819" i="139"/>
  <c r="E820" i="139"/>
  <c r="E821" i="139"/>
  <c r="E822" i="139"/>
  <c r="E823" i="139"/>
  <c r="E824" i="139"/>
  <c r="E825" i="139"/>
  <c r="E826" i="139"/>
  <c r="E827" i="139"/>
  <c r="E828" i="139"/>
  <c r="E829" i="139"/>
  <c r="E830" i="139"/>
  <c r="E831" i="139"/>
  <c r="E832" i="139"/>
  <c r="E833" i="139"/>
  <c r="E834" i="139"/>
  <c r="E835" i="139"/>
  <c r="E836" i="139"/>
  <c r="E837" i="139"/>
  <c r="E838" i="139"/>
  <c r="E839" i="139"/>
  <c r="E840" i="139"/>
  <c r="E841" i="139"/>
  <c r="E842" i="139"/>
  <c r="E843" i="139"/>
  <c r="E844" i="139"/>
  <c r="E845" i="139"/>
  <c r="E846" i="139"/>
  <c r="E847" i="139"/>
  <c r="E848" i="139"/>
  <c r="E849" i="139"/>
  <c r="E850" i="139"/>
  <c r="E851" i="139"/>
  <c r="E852" i="139"/>
  <c r="E853" i="139"/>
  <c r="E854" i="139"/>
  <c r="E855" i="139"/>
  <c r="E856" i="139"/>
  <c r="E857" i="139"/>
  <c r="E858" i="139"/>
  <c r="E859" i="139"/>
  <c r="E860" i="139"/>
  <c r="E861" i="139"/>
  <c r="E862" i="139"/>
  <c r="E863" i="139"/>
  <c r="E864" i="139"/>
  <c r="E865" i="139"/>
  <c r="E866" i="139"/>
  <c r="E867" i="139"/>
  <c r="E868" i="139"/>
  <c r="E869" i="139"/>
  <c r="E870" i="139"/>
  <c r="E871" i="139"/>
  <c r="E872" i="139"/>
  <c r="E873" i="139"/>
  <c r="E874" i="139"/>
  <c r="E875" i="139"/>
  <c r="E876" i="139"/>
  <c r="E877" i="139"/>
  <c r="E878" i="139"/>
  <c r="E879" i="139"/>
  <c r="E880" i="139"/>
  <c r="E881" i="139"/>
  <c r="E882" i="139"/>
  <c r="E883" i="139"/>
  <c r="E884" i="139"/>
  <c r="E885" i="139"/>
  <c r="E886" i="139"/>
  <c r="E887" i="139"/>
  <c r="E888" i="139"/>
  <c r="E889" i="139"/>
  <c r="E890" i="139"/>
  <c r="E891" i="139"/>
  <c r="E892" i="139"/>
  <c r="E893" i="139"/>
  <c r="E894" i="139"/>
  <c r="E895" i="139"/>
  <c r="E896" i="139"/>
  <c r="E897" i="139"/>
  <c r="E898" i="139"/>
  <c r="E899" i="139"/>
  <c r="E900" i="139"/>
  <c r="E901" i="139"/>
  <c r="E902" i="139"/>
  <c r="E903" i="139"/>
  <c r="E904" i="139"/>
  <c r="E905" i="139"/>
  <c r="E906" i="139"/>
  <c r="E907" i="139"/>
  <c r="E908" i="139"/>
  <c r="E909" i="139"/>
  <c r="E910" i="139"/>
  <c r="E911" i="139"/>
  <c r="E912" i="139"/>
  <c r="E913" i="139"/>
  <c r="E914" i="139"/>
  <c r="E915" i="139"/>
  <c r="E916" i="139"/>
  <c r="E917" i="139"/>
  <c r="E918" i="139"/>
  <c r="E919" i="139"/>
  <c r="E920" i="139"/>
  <c r="E921" i="139"/>
  <c r="E922" i="139"/>
  <c r="E923" i="139"/>
  <c r="E924" i="139"/>
  <c r="E925" i="139"/>
  <c r="E926" i="139"/>
  <c r="E927" i="139"/>
  <c r="E928" i="139"/>
  <c r="E929" i="139"/>
  <c r="E930" i="139"/>
  <c r="E931" i="139"/>
  <c r="E932" i="139"/>
  <c r="E933" i="139"/>
  <c r="E934" i="139"/>
  <c r="E935" i="139"/>
  <c r="E936" i="139"/>
  <c r="E937" i="139"/>
  <c r="E938" i="139"/>
  <c r="E939" i="139"/>
  <c r="E940" i="139"/>
  <c r="E941" i="139"/>
  <c r="E942" i="139"/>
  <c r="E943" i="139"/>
  <c r="E944" i="139"/>
  <c r="E945" i="139"/>
  <c r="E946" i="139"/>
  <c r="E947" i="139"/>
  <c r="E948" i="139"/>
  <c r="E949" i="139"/>
  <c r="E950" i="139"/>
  <c r="E951" i="139"/>
  <c r="E952" i="139"/>
  <c r="E953" i="139"/>
  <c r="E954" i="139"/>
  <c r="E955" i="139"/>
  <c r="E956" i="139"/>
  <c r="E957" i="139"/>
  <c r="E958" i="139"/>
  <c r="E959" i="139"/>
  <c r="E960" i="139"/>
  <c r="E961" i="139"/>
  <c r="E962" i="139"/>
  <c r="E963" i="139"/>
  <c r="E964" i="139"/>
  <c r="E965" i="139"/>
  <c r="E966" i="139"/>
  <c r="E967" i="139"/>
  <c r="E968" i="139"/>
  <c r="E969" i="139"/>
  <c r="E970" i="139"/>
  <c r="E971" i="139"/>
  <c r="E972" i="139"/>
  <c r="E973" i="139"/>
  <c r="E974" i="139"/>
  <c r="E975" i="139"/>
  <c r="E976" i="139"/>
  <c r="E977" i="139"/>
  <c r="E978" i="139"/>
  <c r="E979" i="139"/>
  <c r="E980" i="139"/>
  <c r="E981" i="139"/>
  <c r="E982" i="139"/>
  <c r="E983" i="139"/>
  <c r="E984" i="139"/>
  <c r="E985" i="139"/>
  <c r="E986" i="139"/>
  <c r="E987" i="139"/>
  <c r="E988" i="139"/>
  <c r="E989" i="139"/>
  <c r="E990" i="139"/>
  <c r="E991" i="139"/>
  <c r="E992" i="139"/>
  <c r="E993" i="139"/>
  <c r="E994" i="139"/>
  <c r="E995" i="139"/>
  <c r="E996" i="139"/>
  <c r="E997" i="139"/>
  <c r="E998" i="139"/>
  <c r="E999" i="139"/>
  <c r="E1000" i="139"/>
  <c r="E1001" i="139"/>
  <c r="E1002" i="139"/>
  <c r="E1003" i="139"/>
  <c r="E1004" i="139"/>
  <c r="E1005" i="139"/>
  <c r="E1006" i="139"/>
  <c r="E1007" i="139"/>
  <c r="E1008" i="139"/>
  <c r="E1009" i="139"/>
  <c r="E1010" i="139"/>
  <c r="E1011" i="139"/>
  <c r="E1012" i="139"/>
  <c r="E1013" i="139"/>
  <c r="E1014" i="139"/>
  <c r="E1015" i="139"/>
  <c r="E1016" i="139"/>
  <c r="E1017" i="139"/>
  <c r="E1018" i="139"/>
  <c r="E1019" i="139"/>
  <c r="E1020" i="139"/>
  <c r="E1021" i="139"/>
  <c r="E1022" i="139"/>
  <c r="E1023" i="139"/>
  <c r="E1024" i="139"/>
  <c r="E1025" i="139"/>
  <c r="E1026" i="139"/>
  <c r="E1027" i="139"/>
  <c r="E1028" i="139"/>
  <c r="E1029" i="139"/>
  <c r="E1030" i="139"/>
  <c r="E1031" i="139"/>
  <c r="E1032" i="139"/>
  <c r="E1033" i="139"/>
  <c r="E1034" i="139"/>
  <c r="E1035" i="139"/>
  <c r="E1036" i="139"/>
  <c r="E1037" i="139"/>
  <c r="E1038" i="139"/>
  <c r="E1039" i="139"/>
  <c r="E1040" i="139"/>
  <c r="E1041" i="139"/>
  <c r="E1042" i="139"/>
  <c r="E1043" i="139"/>
  <c r="E1044" i="139"/>
  <c r="E1045" i="139"/>
  <c r="E1046" i="139"/>
  <c r="E1047" i="139"/>
  <c r="E1048" i="139"/>
  <c r="E1049" i="139"/>
  <c r="E1050" i="139"/>
  <c r="E1051" i="139"/>
  <c r="E1052" i="139"/>
  <c r="E1053" i="139"/>
  <c r="E1054" i="139"/>
  <c r="E1055" i="139"/>
  <c r="E1056" i="139"/>
  <c r="E1057" i="139"/>
  <c r="E1058" i="139"/>
  <c r="E1059" i="139"/>
  <c r="E1060" i="139"/>
  <c r="E1061" i="139"/>
  <c r="E1062" i="139"/>
  <c r="E1063" i="139"/>
  <c r="E1064" i="139"/>
  <c r="E1065" i="139"/>
  <c r="E1066" i="139"/>
  <c r="E1067" i="139"/>
  <c r="E1068" i="139"/>
  <c r="E1069" i="139"/>
  <c r="E1070" i="139"/>
  <c r="E1071" i="139"/>
  <c r="E1072" i="139"/>
  <c r="E1073" i="139"/>
  <c r="E1074" i="139"/>
  <c r="E1075" i="139"/>
  <c r="E1076" i="139"/>
  <c r="E1077" i="139"/>
  <c r="E1078" i="139"/>
  <c r="E1079" i="139"/>
  <c r="E1080" i="139"/>
  <c r="E1081" i="139"/>
  <c r="E1082" i="139"/>
  <c r="E1083" i="139"/>
  <c r="E1084" i="139"/>
  <c r="E1085" i="139"/>
  <c r="E1086" i="139"/>
  <c r="E1087" i="139"/>
  <c r="E1088" i="139"/>
  <c r="E1089" i="139"/>
  <c r="E1090" i="139"/>
  <c r="E1091" i="139"/>
  <c r="E1092" i="139"/>
  <c r="E1093" i="139"/>
  <c r="E1094" i="139"/>
  <c r="E1095" i="139"/>
  <c r="E1096" i="139"/>
  <c r="E1097" i="139"/>
  <c r="E1098" i="139"/>
  <c r="E1099" i="139"/>
  <c r="E1100" i="139"/>
  <c r="E1101" i="139"/>
  <c r="E1102" i="139"/>
  <c r="E1103" i="139"/>
  <c r="E1104" i="139"/>
  <c r="E1105" i="139"/>
  <c r="E1106" i="139"/>
  <c r="E1107" i="139"/>
  <c r="E1108" i="139"/>
  <c r="E1109" i="139"/>
  <c r="E1110" i="139"/>
  <c r="E1111" i="139"/>
  <c r="E1112" i="139"/>
  <c r="E1113" i="139"/>
  <c r="E1114" i="139"/>
  <c r="E1115" i="139"/>
  <c r="E1116" i="139"/>
  <c r="E1117" i="139"/>
  <c r="E1118" i="139"/>
  <c r="E1119" i="139"/>
  <c r="E1120" i="139"/>
  <c r="E1121" i="139"/>
  <c r="E1122" i="139"/>
  <c r="E1123" i="139"/>
  <c r="E1124" i="139"/>
  <c r="E1125" i="139"/>
  <c r="E1126" i="139"/>
  <c r="E1127" i="139"/>
  <c r="E1128" i="139"/>
  <c r="E1129" i="139"/>
  <c r="E1130" i="139"/>
  <c r="E1131" i="139"/>
  <c r="E1132" i="139"/>
  <c r="E1133" i="139"/>
  <c r="E1134" i="139"/>
  <c r="E1135" i="139"/>
  <c r="E1136" i="139"/>
  <c r="E1137" i="139"/>
  <c r="E1138" i="139"/>
  <c r="E1139" i="139"/>
  <c r="E1140" i="139"/>
  <c r="E1141" i="139"/>
  <c r="E1142" i="139"/>
  <c r="E1143" i="139"/>
  <c r="E1144" i="139"/>
  <c r="E1145" i="139"/>
  <c r="E1146" i="139"/>
  <c r="E1147" i="139"/>
  <c r="E1148" i="139"/>
  <c r="E1149" i="139"/>
  <c r="E1150" i="139"/>
  <c r="E1151" i="139"/>
  <c r="E1152" i="139"/>
  <c r="E1153" i="139"/>
  <c r="E1154" i="139"/>
  <c r="E1155" i="139"/>
  <c r="E1156" i="139"/>
  <c r="E1157" i="139"/>
  <c r="E1158" i="139"/>
  <c r="E1159" i="139"/>
  <c r="E1160" i="139"/>
  <c r="E1161" i="139"/>
  <c r="E1162" i="139"/>
  <c r="E1163" i="139"/>
  <c r="E1164" i="139"/>
  <c r="E1165" i="139"/>
  <c r="E1166" i="139"/>
  <c r="E1167" i="139"/>
  <c r="E1168" i="139"/>
  <c r="E1169" i="139"/>
  <c r="E1170" i="139"/>
  <c r="E1171" i="139"/>
  <c r="E1172" i="139"/>
  <c r="E1173" i="139"/>
  <c r="E1174" i="139"/>
  <c r="E1175" i="139"/>
  <c r="E1176" i="139"/>
  <c r="E1177" i="139"/>
  <c r="E1178" i="139"/>
  <c r="E1179" i="139"/>
  <c r="E1180" i="139"/>
  <c r="E1181" i="139"/>
  <c r="E1182" i="139"/>
  <c r="E1183" i="139"/>
  <c r="E1184" i="139"/>
  <c r="E1185" i="139"/>
  <c r="E1186" i="139"/>
  <c r="E1187" i="139"/>
  <c r="E1188" i="139"/>
  <c r="E1189" i="139"/>
  <c r="E1190" i="139"/>
  <c r="E1191" i="139"/>
  <c r="E1192" i="139"/>
  <c r="E1193" i="139"/>
  <c r="E1194" i="139"/>
  <c r="E1195" i="139"/>
  <c r="E1196" i="139"/>
  <c r="E1197" i="139"/>
  <c r="E1198" i="139"/>
  <c r="E1199" i="139"/>
  <c r="E1200" i="139"/>
  <c r="E1201" i="139"/>
  <c r="E1202" i="139"/>
  <c r="E1203" i="139"/>
  <c r="E1204" i="139"/>
  <c r="E1205" i="139"/>
  <c r="E1206" i="139"/>
  <c r="E1207" i="139"/>
  <c r="E1208" i="139"/>
  <c r="E1209" i="139"/>
  <c r="E1210" i="139"/>
  <c r="E1211" i="139"/>
  <c r="E1212" i="139"/>
  <c r="E1213" i="139"/>
  <c r="E1214" i="139"/>
  <c r="E1215" i="139"/>
  <c r="E1216" i="139"/>
  <c r="E1217" i="139"/>
  <c r="E1218" i="139"/>
  <c r="E1219" i="139"/>
  <c r="E1220" i="139"/>
  <c r="E1221" i="139"/>
  <c r="E1222" i="139"/>
  <c r="E1223" i="139"/>
  <c r="E1224" i="139"/>
  <c r="E1225" i="139"/>
  <c r="E1226" i="139"/>
  <c r="E1227" i="139"/>
  <c r="E1228" i="139"/>
  <c r="E1229" i="139"/>
  <c r="E1230" i="139"/>
  <c r="E1231" i="139"/>
  <c r="E1232" i="139"/>
  <c r="E1233" i="139"/>
  <c r="E1234" i="139"/>
  <c r="E1235" i="139"/>
  <c r="E1236" i="139"/>
  <c r="E1237" i="139"/>
  <c r="E1238" i="139"/>
  <c r="E1239" i="139"/>
  <c r="E1240" i="139"/>
  <c r="E1241" i="139"/>
  <c r="E1242" i="139"/>
  <c r="E1243" i="139"/>
  <c r="E1244" i="139"/>
  <c r="E1245" i="139"/>
  <c r="E1246" i="139"/>
  <c r="E1247" i="139"/>
  <c r="E1248" i="139"/>
  <c r="E1249" i="139"/>
  <c r="E1250" i="139"/>
  <c r="E1251" i="139"/>
  <c r="E1252" i="139"/>
  <c r="E1253" i="139"/>
  <c r="E1254" i="139"/>
  <c r="E1255" i="139"/>
  <c r="E1256" i="139"/>
  <c r="E1257" i="139"/>
  <c r="E1258" i="139"/>
  <c r="E1259" i="139"/>
  <c r="E1260" i="139"/>
  <c r="E1261" i="139"/>
  <c r="E1262" i="139"/>
  <c r="E1263" i="139"/>
  <c r="E1264" i="139"/>
  <c r="E1265" i="139"/>
  <c r="E1266" i="139"/>
  <c r="E1267" i="139"/>
  <c r="E1268" i="139"/>
  <c r="E1269" i="139"/>
  <c r="E1270" i="139"/>
  <c r="E1271" i="139"/>
  <c r="E1272" i="139"/>
  <c r="E1273" i="139"/>
  <c r="E1274" i="139"/>
  <c r="E1275" i="139"/>
  <c r="E1276" i="139"/>
  <c r="E1277" i="139"/>
  <c r="E1278" i="139"/>
  <c r="E1279" i="139"/>
  <c r="E1280" i="139"/>
  <c r="E1281" i="139"/>
  <c r="E1282" i="139"/>
  <c r="E1283" i="139"/>
  <c r="E1284" i="139"/>
  <c r="E1285" i="139"/>
  <c r="E1286" i="139"/>
  <c r="E1287" i="139"/>
  <c r="E1288" i="139"/>
  <c r="E1289" i="139"/>
  <c r="E1290" i="139"/>
  <c r="E1291" i="139"/>
  <c r="E1292" i="139"/>
  <c r="E1293" i="139"/>
  <c r="E1294" i="139"/>
  <c r="E1295" i="139"/>
  <c r="E1296" i="139"/>
  <c r="E1297" i="139"/>
  <c r="E1298" i="139"/>
  <c r="E1299" i="139"/>
  <c r="E1300" i="139"/>
  <c r="E1301" i="139"/>
  <c r="E1302" i="139"/>
  <c r="E1303" i="139"/>
  <c r="E1304" i="139"/>
  <c r="E1305" i="139"/>
  <c r="E1306" i="139"/>
  <c r="E1307" i="139"/>
  <c r="E1308" i="139"/>
  <c r="E1309" i="139"/>
  <c r="E1310" i="139"/>
  <c r="E1311" i="139"/>
  <c r="E1312" i="139"/>
  <c r="E1313" i="139"/>
  <c r="E1314" i="139"/>
  <c r="E1315" i="139"/>
  <c r="E1316" i="139"/>
  <c r="E1317" i="139"/>
  <c r="E1318" i="139"/>
  <c r="E1319" i="139"/>
  <c r="E1320" i="139"/>
  <c r="E1321" i="139"/>
  <c r="E1322" i="139"/>
  <c r="E1323" i="139"/>
  <c r="E1324" i="139"/>
  <c r="E1325" i="139"/>
  <c r="E1326" i="139"/>
  <c r="E1327" i="139"/>
  <c r="E1328" i="139"/>
  <c r="E1329" i="139"/>
  <c r="E1330" i="139"/>
  <c r="E1331" i="139"/>
  <c r="E1332" i="139"/>
  <c r="E1333" i="139"/>
  <c r="E1334" i="139"/>
  <c r="E1335" i="139"/>
  <c r="E1336" i="139"/>
  <c r="E1337" i="139"/>
  <c r="E1338" i="139"/>
  <c r="E1339" i="139"/>
  <c r="E1340" i="139"/>
  <c r="E1341" i="139"/>
  <c r="E1342" i="139"/>
  <c r="E1343" i="139"/>
  <c r="E1344" i="139"/>
  <c r="E1345" i="139"/>
  <c r="E1346" i="139"/>
  <c r="E1347" i="139"/>
  <c r="E1348" i="139"/>
  <c r="E1349" i="139"/>
  <c r="E1350" i="139"/>
  <c r="E1351" i="139"/>
  <c r="E1352" i="139"/>
  <c r="E1353" i="139"/>
  <c r="E1354" i="139"/>
  <c r="E1355" i="139"/>
  <c r="E1356" i="139"/>
  <c r="E1357" i="139"/>
  <c r="E1358" i="139"/>
  <c r="E1359" i="139"/>
  <c r="E1360" i="139"/>
  <c r="E1361" i="139"/>
  <c r="E1362" i="139"/>
  <c r="E1363" i="139"/>
  <c r="E1364" i="139"/>
  <c r="E1365" i="139"/>
  <c r="E1366" i="139"/>
  <c r="E1367" i="139"/>
  <c r="E1368" i="139"/>
  <c r="E1369" i="139"/>
  <c r="E1370" i="139"/>
  <c r="E1371" i="139"/>
  <c r="E1372" i="139"/>
  <c r="E1373" i="139"/>
  <c r="E1374" i="139"/>
  <c r="E1375" i="139"/>
  <c r="E1376" i="139"/>
  <c r="E1377" i="139"/>
  <c r="E1378" i="139"/>
  <c r="E1379" i="139"/>
  <c r="E1380" i="139"/>
  <c r="E1381" i="139"/>
  <c r="E1382" i="139"/>
  <c r="E1383" i="139"/>
  <c r="E1384" i="139"/>
  <c r="E1385" i="139"/>
  <c r="E1386" i="139"/>
  <c r="E1387" i="139"/>
  <c r="E1388" i="139"/>
  <c r="E1389" i="139"/>
  <c r="E1390" i="139"/>
  <c r="E1391" i="139"/>
  <c r="E1392" i="139"/>
  <c r="E1393" i="139"/>
  <c r="E1394" i="139"/>
  <c r="E1395" i="139"/>
  <c r="E1396" i="139"/>
  <c r="E1397" i="139"/>
  <c r="E1398" i="139"/>
  <c r="E1399" i="139"/>
  <c r="E1400" i="139"/>
  <c r="E1401" i="139"/>
  <c r="E1402" i="139"/>
  <c r="E1403" i="139"/>
  <c r="E1404" i="139"/>
  <c r="E1405" i="139"/>
  <c r="E1406" i="139"/>
  <c r="E1407" i="139"/>
  <c r="E1408" i="139"/>
  <c r="E1409" i="139"/>
  <c r="E1410" i="139"/>
  <c r="E1411" i="139"/>
  <c r="E1412" i="139"/>
  <c r="E1413" i="139"/>
  <c r="E1414" i="139"/>
  <c r="E1415" i="139"/>
  <c r="E1416" i="139"/>
  <c r="E1417" i="139"/>
  <c r="E1418" i="139"/>
  <c r="E1419" i="139"/>
  <c r="E1420" i="139"/>
  <c r="E1421" i="139"/>
  <c r="E1422" i="139"/>
  <c r="E1423" i="139"/>
  <c r="E1424" i="139"/>
  <c r="E1425" i="139"/>
  <c r="E1426" i="139"/>
  <c r="E1427" i="139"/>
  <c r="E1428" i="139"/>
  <c r="E1429" i="139"/>
  <c r="E1430" i="139"/>
  <c r="E1431" i="139"/>
  <c r="E1432" i="139"/>
  <c r="E1433" i="139"/>
  <c r="E1434" i="139"/>
  <c r="E1435" i="139"/>
  <c r="E1436" i="139"/>
  <c r="E1437" i="139"/>
  <c r="E1438" i="139"/>
  <c r="E1439" i="139"/>
  <c r="E1440" i="139"/>
  <c r="E1441" i="139"/>
  <c r="E1442" i="139"/>
  <c r="E1443" i="139"/>
  <c r="E1444" i="139"/>
  <c r="E1445" i="139"/>
  <c r="E1446" i="139"/>
  <c r="E1447" i="139"/>
  <c r="E1448" i="139"/>
  <c r="E1449" i="139"/>
  <c r="E1450" i="139"/>
  <c r="E1451" i="139"/>
  <c r="E1452" i="139"/>
  <c r="E1453" i="139"/>
  <c r="E1454" i="139"/>
  <c r="E1455" i="139"/>
  <c r="E1456" i="139"/>
  <c r="E1457" i="139"/>
  <c r="E1458" i="139"/>
  <c r="E1459" i="139"/>
  <c r="E1460" i="139"/>
  <c r="E1461" i="139"/>
  <c r="E1462" i="139"/>
  <c r="E1463" i="139"/>
  <c r="E1464" i="139"/>
  <c r="E1465" i="139"/>
  <c r="E1466" i="139"/>
  <c r="E1467" i="139"/>
  <c r="E1468" i="139"/>
  <c r="E1469" i="139"/>
  <c r="E1470" i="139"/>
  <c r="E1471" i="139"/>
  <c r="E1472" i="139"/>
  <c r="E1473" i="139"/>
  <c r="E1474" i="139"/>
  <c r="E1475" i="139"/>
  <c r="E1476" i="139"/>
  <c r="E1477" i="139"/>
  <c r="E1478" i="139"/>
  <c r="E1479" i="139"/>
  <c r="E1480" i="139"/>
  <c r="E1481" i="139"/>
  <c r="E1482" i="139"/>
  <c r="E1483" i="139"/>
  <c r="E1484" i="139"/>
  <c r="E1485" i="139"/>
  <c r="E1486" i="139"/>
  <c r="E1487" i="139"/>
  <c r="E1488" i="139"/>
  <c r="E1489" i="139"/>
  <c r="E1490" i="139"/>
  <c r="E1491" i="139"/>
  <c r="E1492" i="139"/>
  <c r="E1493" i="139"/>
  <c r="E1494" i="139"/>
  <c r="E1495" i="139"/>
  <c r="E1496" i="139"/>
  <c r="E1497" i="139"/>
  <c r="E1498" i="139"/>
  <c r="E1499" i="139"/>
  <c r="E1500" i="139"/>
  <c r="E1501" i="139"/>
  <c r="E1502" i="139"/>
  <c r="E1503" i="139"/>
  <c r="E1504" i="139"/>
  <c r="E1505" i="139"/>
  <c r="E1506" i="139"/>
  <c r="E1507" i="139"/>
  <c r="E1508" i="139"/>
  <c r="E1509" i="139"/>
  <c r="E1510" i="139"/>
  <c r="E1511" i="139"/>
  <c r="E1512" i="139"/>
  <c r="E1513" i="139"/>
  <c r="E1514" i="139"/>
  <c r="E1515" i="139"/>
  <c r="E1516" i="139"/>
  <c r="E1517" i="139"/>
  <c r="E1518" i="139"/>
  <c r="E1519" i="139"/>
  <c r="E1520" i="139"/>
  <c r="E1521" i="139"/>
  <c r="E1522" i="139"/>
  <c r="E1523" i="139"/>
  <c r="E1524" i="139"/>
  <c r="E1525" i="139"/>
  <c r="E1526" i="139"/>
  <c r="E1527" i="139"/>
  <c r="E1528" i="139"/>
  <c r="E1529" i="139"/>
  <c r="E1530" i="139"/>
  <c r="E1531" i="139"/>
  <c r="E1532" i="139"/>
  <c r="E1533" i="139"/>
  <c r="E1534" i="139"/>
  <c r="E1535" i="139"/>
  <c r="E1536" i="139"/>
  <c r="E1537" i="139"/>
  <c r="E1538" i="139"/>
  <c r="E1539" i="139"/>
  <c r="E1540" i="139"/>
  <c r="E1541" i="139"/>
  <c r="E1542" i="139"/>
  <c r="E1543" i="139"/>
  <c r="E1544" i="139"/>
  <c r="E1545" i="139"/>
  <c r="E1546" i="139"/>
  <c r="E1547" i="139"/>
  <c r="E1548" i="139"/>
  <c r="E1549" i="139"/>
  <c r="E1550" i="139"/>
  <c r="E1551" i="139"/>
  <c r="E1552" i="139"/>
  <c r="E1553" i="139"/>
  <c r="E1554" i="139"/>
  <c r="E1555" i="139"/>
  <c r="E1556" i="139"/>
  <c r="E1557" i="139"/>
  <c r="E1558" i="139"/>
  <c r="E1559" i="139"/>
  <c r="E1560" i="139"/>
  <c r="E1561" i="139"/>
  <c r="E1562" i="139"/>
  <c r="E1563" i="139"/>
  <c r="E1564" i="139"/>
  <c r="E1565" i="139"/>
  <c r="E1566" i="139"/>
  <c r="E1567" i="139"/>
  <c r="E1568" i="139"/>
  <c r="E1569" i="139"/>
  <c r="E1570" i="139"/>
  <c r="E1571" i="139"/>
  <c r="E1572" i="139"/>
  <c r="E1573" i="139"/>
  <c r="E1574" i="139"/>
  <c r="E1575" i="139"/>
  <c r="E1576" i="139"/>
  <c r="E1577" i="139"/>
  <c r="E1578" i="139"/>
  <c r="E1579" i="139"/>
  <c r="E1580" i="139"/>
  <c r="E1581" i="139"/>
  <c r="E1582" i="139"/>
  <c r="E1583" i="139"/>
  <c r="E1584" i="139"/>
  <c r="E1585" i="139"/>
  <c r="E1586" i="139"/>
  <c r="E1587" i="139"/>
  <c r="E1588" i="139"/>
  <c r="E1589" i="139"/>
  <c r="E1590" i="139"/>
  <c r="E1591" i="139"/>
  <c r="E1592" i="139"/>
  <c r="E1593" i="139"/>
  <c r="E1594" i="139"/>
  <c r="E1595" i="139"/>
  <c r="E1596" i="139"/>
  <c r="E1597" i="139"/>
  <c r="E1598" i="139"/>
  <c r="E1599" i="139"/>
  <c r="E1600" i="139"/>
  <c r="E1601" i="139"/>
  <c r="E1602" i="139"/>
  <c r="E1603" i="139"/>
  <c r="E1604" i="139"/>
  <c r="E1605" i="139"/>
  <c r="E1606" i="139"/>
  <c r="E1607" i="139"/>
  <c r="E1608" i="139"/>
  <c r="E1609" i="139"/>
  <c r="E1610" i="139"/>
  <c r="E1611" i="139"/>
  <c r="E1612" i="139"/>
  <c r="E1613" i="139"/>
  <c r="E1614" i="139"/>
  <c r="E1615" i="139"/>
  <c r="E1616" i="139"/>
  <c r="E1617" i="139"/>
  <c r="E1618" i="139"/>
  <c r="E1619" i="139"/>
  <c r="E1620" i="139"/>
  <c r="E1621" i="139"/>
  <c r="E1622" i="139"/>
  <c r="E1623" i="139"/>
  <c r="E1624" i="139"/>
  <c r="E1625" i="139"/>
  <c r="E1626" i="139"/>
  <c r="E1627" i="139"/>
  <c r="E1628" i="139"/>
  <c r="E1629" i="139"/>
  <c r="E1630" i="139"/>
  <c r="E1631" i="139"/>
  <c r="E1632" i="139"/>
  <c r="E1633" i="139"/>
  <c r="E1634" i="139"/>
  <c r="E1635" i="139"/>
  <c r="E1636" i="139"/>
  <c r="E1637" i="139"/>
  <c r="E1638" i="139"/>
  <c r="E1639" i="139"/>
  <c r="E1640" i="139"/>
  <c r="E1641" i="139"/>
  <c r="E1642" i="139"/>
  <c r="E1643" i="139"/>
  <c r="E1644" i="139"/>
  <c r="E1645" i="139"/>
  <c r="E1646" i="139"/>
  <c r="E1647" i="139"/>
  <c r="E1648" i="139"/>
  <c r="E1649" i="139"/>
  <c r="E1650" i="139"/>
  <c r="E1651" i="139"/>
  <c r="E1652" i="139"/>
  <c r="E1653" i="139"/>
  <c r="E1654" i="139"/>
  <c r="E1655" i="139"/>
  <c r="E1656" i="139"/>
  <c r="E1657" i="139"/>
  <c r="E1658" i="139"/>
  <c r="E1659" i="139"/>
  <c r="E1660" i="139"/>
  <c r="E1661" i="139"/>
  <c r="E1662" i="139"/>
  <c r="E1663" i="139"/>
  <c r="E1664" i="139"/>
  <c r="E1665" i="139"/>
  <c r="E1666" i="139"/>
  <c r="E1667" i="139"/>
  <c r="E1668" i="139"/>
  <c r="E1669" i="139"/>
  <c r="E1670" i="139"/>
  <c r="E1671" i="139"/>
  <c r="E1672" i="139"/>
  <c r="E1673" i="139"/>
  <c r="E1674" i="139"/>
  <c r="E1675" i="139"/>
  <c r="E1676" i="139"/>
  <c r="E1677" i="139"/>
  <c r="E1678" i="139"/>
  <c r="E1679" i="139"/>
  <c r="E1680" i="139"/>
  <c r="E1681" i="139"/>
  <c r="E1682" i="139"/>
  <c r="E1683" i="139"/>
  <c r="E1684" i="139"/>
  <c r="E1685" i="139"/>
  <c r="E1686" i="139"/>
  <c r="E1687" i="139"/>
  <c r="E1688" i="139"/>
  <c r="E1689" i="139"/>
  <c r="E1690" i="139"/>
  <c r="E1691" i="139"/>
  <c r="E1692" i="139"/>
  <c r="E1693" i="139"/>
  <c r="E1694" i="139"/>
  <c r="E1695" i="139"/>
  <c r="E1696" i="139"/>
  <c r="E1697" i="139"/>
  <c r="E1698" i="139"/>
  <c r="E1699" i="139"/>
  <c r="E1700" i="139"/>
  <c r="E1701" i="139"/>
  <c r="E1702" i="139"/>
  <c r="E1703" i="139"/>
  <c r="E1704" i="139"/>
  <c r="E1705" i="139"/>
  <c r="E1706" i="139"/>
  <c r="E1707" i="139"/>
  <c r="E1708" i="139"/>
  <c r="E1709" i="139"/>
  <c r="E1710" i="139"/>
  <c r="E1711" i="139"/>
  <c r="E1712" i="139"/>
  <c r="E1713" i="139"/>
  <c r="E1714" i="139"/>
  <c r="E1715" i="139"/>
  <c r="E1716" i="139"/>
  <c r="E1717" i="139"/>
  <c r="E1718" i="139"/>
  <c r="E1719" i="139"/>
  <c r="E1720" i="139"/>
  <c r="E1721" i="139"/>
  <c r="E1722" i="139"/>
  <c r="E1723" i="139"/>
  <c r="E1724" i="139"/>
  <c r="E1725" i="139"/>
  <c r="E1726" i="139"/>
  <c r="E1727" i="139"/>
  <c r="E1728" i="139"/>
  <c r="E1729" i="139"/>
  <c r="E1730" i="139"/>
  <c r="E1731" i="139"/>
  <c r="E1732" i="139"/>
  <c r="E1733" i="139"/>
  <c r="E1734" i="139"/>
  <c r="E1735" i="139"/>
  <c r="E1736" i="139"/>
  <c r="E1737" i="139"/>
  <c r="E1738" i="139"/>
  <c r="E1739" i="139"/>
  <c r="E1740" i="139"/>
  <c r="E1741" i="139"/>
  <c r="E1742" i="139"/>
  <c r="E1743" i="139"/>
  <c r="E1744" i="139"/>
  <c r="E1745" i="139"/>
  <c r="E1746" i="139"/>
  <c r="E1747" i="139"/>
  <c r="E1748" i="139"/>
  <c r="E1749" i="139"/>
  <c r="E1750" i="139"/>
  <c r="E1751" i="139"/>
  <c r="E1752" i="139"/>
  <c r="E1753" i="139"/>
  <c r="E1754" i="139"/>
  <c r="E1755" i="139"/>
  <c r="E1756" i="139"/>
  <c r="E1757" i="139"/>
  <c r="E1758" i="139"/>
  <c r="E1759" i="139"/>
  <c r="E1760" i="139"/>
  <c r="E1761" i="139"/>
  <c r="E1762" i="139"/>
  <c r="E1763" i="139"/>
  <c r="E1764" i="139"/>
  <c r="E1765" i="139"/>
  <c r="E1766" i="139"/>
  <c r="E1767" i="139"/>
  <c r="E1768" i="139"/>
  <c r="E1769" i="139"/>
  <c r="E1770" i="139"/>
  <c r="E1771" i="139"/>
  <c r="E1772" i="139"/>
  <c r="E1773" i="139"/>
  <c r="E1774" i="139"/>
  <c r="E1775" i="139"/>
  <c r="E1776" i="139"/>
  <c r="E1777" i="139"/>
  <c r="E1778" i="139"/>
  <c r="E1779" i="139"/>
  <c r="E1780" i="139"/>
  <c r="E1781" i="139"/>
  <c r="E1782" i="139"/>
  <c r="E1783" i="139"/>
  <c r="E1784" i="139"/>
  <c r="E1785" i="139"/>
  <c r="E1786" i="139"/>
  <c r="E1787" i="139"/>
  <c r="E1788" i="139"/>
  <c r="E1789" i="139"/>
  <c r="E1790" i="139"/>
  <c r="E1791" i="139"/>
  <c r="E1792" i="139"/>
  <c r="E1793" i="139"/>
  <c r="E1794" i="139"/>
  <c r="E1795" i="139"/>
  <c r="E1796" i="139"/>
  <c r="E1797" i="139"/>
  <c r="E1798" i="139"/>
  <c r="E1799" i="139"/>
  <c r="E1800" i="139"/>
  <c r="E1801" i="139"/>
  <c r="E1802" i="139"/>
  <c r="E1803" i="139"/>
  <c r="E1804" i="139"/>
  <c r="E1805" i="139"/>
  <c r="E1806" i="139"/>
  <c r="E1807" i="139"/>
  <c r="E1808" i="139"/>
  <c r="E1809" i="139"/>
  <c r="E1810" i="139"/>
  <c r="E1811" i="139"/>
  <c r="E1812" i="139"/>
  <c r="E1813" i="139"/>
  <c r="E1814" i="139"/>
  <c r="E1815" i="139"/>
  <c r="E1816" i="139"/>
  <c r="E1817" i="139"/>
  <c r="E1818" i="139"/>
  <c r="E1819" i="139"/>
  <c r="E1820" i="139"/>
  <c r="E1821" i="139"/>
  <c r="E1822" i="139"/>
  <c r="E1823" i="139"/>
  <c r="E1824" i="139"/>
  <c r="E1825" i="139"/>
  <c r="E1826" i="139"/>
  <c r="E1827" i="139"/>
  <c r="E1828" i="139"/>
  <c r="E1829" i="139"/>
  <c r="E1830" i="139"/>
  <c r="E1831" i="139"/>
  <c r="E1832" i="139"/>
  <c r="E1833" i="139"/>
  <c r="E1834" i="139"/>
  <c r="E1835" i="139"/>
  <c r="E1836" i="139"/>
  <c r="E1837" i="139"/>
  <c r="E1838" i="139"/>
  <c r="E1839" i="139"/>
  <c r="E1840" i="139"/>
  <c r="E1841" i="139"/>
  <c r="E1842" i="139"/>
  <c r="E1843" i="139"/>
  <c r="E1844" i="139"/>
  <c r="E1845" i="139"/>
  <c r="E1846" i="139"/>
  <c r="E1847" i="139"/>
  <c r="E1848" i="139"/>
  <c r="E1849" i="139"/>
  <c r="E1850" i="139"/>
  <c r="E1851" i="139"/>
  <c r="E1852" i="139"/>
  <c r="E1853" i="139"/>
  <c r="E1854" i="139"/>
  <c r="E1855" i="139"/>
  <c r="E1856" i="139"/>
  <c r="E1857" i="139"/>
  <c r="E1858" i="139"/>
  <c r="E1859" i="139"/>
  <c r="E1860" i="139"/>
  <c r="E1861" i="139"/>
  <c r="E1862" i="139"/>
  <c r="E1863" i="139"/>
  <c r="E1864" i="139"/>
  <c r="E1865" i="139"/>
  <c r="E1866" i="139"/>
  <c r="E1867" i="139"/>
  <c r="E1868" i="139"/>
  <c r="E1869" i="139"/>
  <c r="E1870" i="139"/>
  <c r="E1871" i="139"/>
  <c r="E1872" i="139"/>
  <c r="E1873" i="139"/>
  <c r="E1874" i="139"/>
  <c r="E1875" i="139"/>
  <c r="E1876" i="139"/>
  <c r="E1877" i="139"/>
  <c r="E1878" i="139"/>
  <c r="E1879" i="139"/>
  <c r="E1880" i="139"/>
  <c r="E1881" i="139"/>
  <c r="E1882" i="139"/>
  <c r="E1883" i="139"/>
  <c r="E1884" i="139"/>
  <c r="E1885" i="139"/>
  <c r="E1886" i="139"/>
  <c r="E1887" i="139"/>
  <c r="E1888" i="139"/>
  <c r="E1889" i="139"/>
  <c r="E1890" i="139"/>
  <c r="E1891" i="139"/>
  <c r="E1892" i="139"/>
  <c r="E1893" i="139"/>
  <c r="E1894" i="139"/>
  <c r="E1895" i="139"/>
  <c r="E1896" i="139"/>
  <c r="E1897" i="139"/>
  <c r="E1898" i="139"/>
  <c r="E1899" i="139"/>
  <c r="E1900" i="139"/>
  <c r="E1901" i="139"/>
  <c r="E1902" i="139"/>
  <c r="E1903" i="139"/>
  <c r="E1904" i="139"/>
  <c r="E1905" i="139"/>
  <c r="E1906" i="139"/>
  <c r="E1907" i="139"/>
  <c r="E1908" i="139"/>
  <c r="E1909" i="139"/>
  <c r="E1910" i="139"/>
  <c r="E1911" i="139"/>
  <c r="E1912" i="139"/>
  <c r="E1913" i="139"/>
  <c r="E1914" i="139"/>
  <c r="E1915" i="139"/>
  <c r="E1916" i="139"/>
  <c r="E1917" i="139"/>
  <c r="E1918" i="139"/>
  <c r="E1919" i="139"/>
  <c r="E1920" i="139"/>
  <c r="E1921" i="139"/>
  <c r="E1922" i="139"/>
  <c r="E1923" i="139"/>
  <c r="E1924" i="139"/>
  <c r="E1925" i="139"/>
  <c r="E1926" i="139"/>
  <c r="E1927" i="139"/>
  <c r="E1928" i="139"/>
  <c r="E1929" i="139"/>
  <c r="E1930" i="139"/>
  <c r="E1931" i="139"/>
  <c r="E1932" i="139"/>
  <c r="E1933" i="139"/>
  <c r="E1934" i="139"/>
  <c r="E1935" i="139"/>
  <c r="E1936" i="139"/>
  <c r="E1937" i="139"/>
  <c r="E1938" i="139"/>
  <c r="E1939" i="139"/>
  <c r="E1940" i="139"/>
  <c r="E1941" i="139"/>
  <c r="E1942" i="139"/>
  <c r="E1943" i="139"/>
  <c r="E1944" i="139"/>
  <c r="E1945" i="139"/>
  <c r="E1946" i="139"/>
  <c r="E1947" i="139"/>
  <c r="E1948" i="139"/>
  <c r="E1949" i="139"/>
  <c r="E1950" i="139"/>
  <c r="E1951" i="139"/>
  <c r="E1952" i="139"/>
  <c r="E1953" i="139"/>
  <c r="E1954" i="139"/>
  <c r="E1955" i="139"/>
  <c r="E1956" i="139"/>
  <c r="E1957" i="139"/>
  <c r="E1958" i="139"/>
  <c r="E1959" i="139"/>
  <c r="E1960" i="139"/>
  <c r="E1961" i="139"/>
  <c r="E1962" i="139"/>
  <c r="E1963" i="139"/>
  <c r="E1964" i="139"/>
  <c r="E1965" i="139"/>
  <c r="E1966" i="139"/>
  <c r="E1967" i="139"/>
  <c r="E1968" i="139"/>
  <c r="E1969" i="139"/>
  <c r="E1970" i="139"/>
  <c r="E1971" i="139"/>
  <c r="E1972" i="139"/>
  <c r="E1973" i="139"/>
  <c r="E1974" i="139"/>
  <c r="E1975" i="139"/>
  <c r="E1976" i="139"/>
  <c r="E1977" i="139"/>
  <c r="E1978" i="139"/>
  <c r="E1979" i="139"/>
  <c r="E1980" i="139"/>
  <c r="E1981" i="139"/>
  <c r="E1982" i="139"/>
  <c r="E1983" i="139"/>
  <c r="E1984" i="139"/>
  <c r="E1985" i="139"/>
  <c r="E1986" i="139"/>
  <c r="E1987" i="139"/>
  <c r="E1988" i="139"/>
  <c r="E1989" i="139"/>
  <c r="E1990" i="139"/>
  <c r="E1991" i="139"/>
  <c r="E1992" i="139"/>
  <c r="E1993" i="139"/>
  <c r="E1994" i="139"/>
  <c r="E1995" i="139"/>
  <c r="E1996" i="139"/>
  <c r="E1997" i="139"/>
  <c r="E1998" i="139"/>
  <c r="E1999" i="139"/>
  <c r="E2000" i="139"/>
  <c r="E2001" i="139"/>
  <c r="E2002" i="139"/>
  <c r="E2003" i="139"/>
  <c r="E2004" i="139"/>
  <c r="E2005" i="139"/>
  <c r="E2006" i="139"/>
  <c r="E2007" i="139"/>
  <c r="E2008" i="139"/>
  <c r="E2009" i="139"/>
  <c r="E2010" i="139"/>
  <c r="E2011" i="139"/>
  <c r="E2012" i="139"/>
  <c r="E2013" i="139"/>
  <c r="E2014" i="139"/>
  <c r="E2015" i="139"/>
  <c r="E2016" i="139"/>
  <c r="E2017" i="139"/>
  <c r="E2018" i="139"/>
  <c r="E2019" i="139"/>
  <c r="E2020" i="139"/>
  <c r="E2021" i="139"/>
  <c r="E2022" i="139"/>
  <c r="E2023" i="139"/>
  <c r="E2024" i="139"/>
  <c r="E2025" i="139"/>
  <c r="E2026" i="139"/>
  <c r="E2027" i="139"/>
  <c r="E2028" i="139"/>
  <c r="E2029" i="139"/>
  <c r="E2030" i="139"/>
  <c r="E2031" i="139"/>
  <c r="E2032" i="139"/>
  <c r="E2033" i="139"/>
  <c r="E2034" i="139"/>
  <c r="E2035" i="139"/>
  <c r="E2036" i="139"/>
  <c r="E2037" i="139"/>
  <c r="E2038" i="139"/>
  <c r="E2039" i="139"/>
  <c r="E2040" i="139"/>
  <c r="E2041" i="139"/>
  <c r="E2042" i="139"/>
  <c r="E2043" i="139"/>
  <c r="E2044" i="139"/>
  <c r="E2045" i="139"/>
  <c r="E2046" i="139"/>
  <c r="E2047" i="139"/>
  <c r="E2048" i="139"/>
  <c r="E2049" i="139"/>
  <c r="E2050" i="139"/>
  <c r="E2051" i="139"/>
  <c r="E2052" i="139"/>
  <c r="E2053" i="139"/>
  <c r="E2054" i="139"/>
  <c r="E2055" i="139"/>
  <c r="E2056" i="139"/>
  <c r="E2057" i="139"/>
  <c r="E2058" i="139"/>
  <c r="E2059" i="139"/>
  <c r="E2060" i="139"/>
  <c r="E2061" i="139"/>
  <c r="E2062" i="139"/>
  <c r="E2063" i="139"/>
  <c r="E2064" i="139"/>
  <c r="E2065" i="139"/>
  <c r="E2066" i="139"/>
  <c r="E2067" i="139"/>
  <c r="E2068" i="139"/>
  <c r="E2069" i="139"/>
  <c r="E2070" i="139"/>
  <c r="E2071" i="139"/>
  <c r="E2072" i="139"/>
  <c r="E2073" i="139"/>
  <c r="E2074" i="139"/>
  <c r="E2075" i="139"/>
  <c r="E2076" i="139"/>
  <c r="E2077" i="139"/>
  <c r="E2078" i="139"/>
  <c r="E2079" i="139"/>
  <c r="E2080" i="139"/>
  <c r="E2081" i="139"/>
  <c r="E2082" i="139"/>
  <c r="E2083" i="139"/>
  <c r="E2084" i="139"/>
  <c r="E2085" i="139"/>
  <c r="E2086" i="139"/>
  <c r="E2087" i="139"/>
  <c r="E2088" i="139"/>
  <c r="E2089" i="139"/>
  <c r="E2090" i="139"/>
  <c r="E2091" i="139"/>
  <c r="E2092" i="139"/>
  <c r="E2093" i="139"/>
  <c r="E2094" i="139"/>
  <c r="E2095" i="139"/>
  <c r="E2096" i="139"/>
  <c r="E2097" i="139"/>
  <c r="E2098" i="139"/>
  <c r="E2099" i="139"/>
  <c r="E2100" i="139"/>
  <c r="E2101" i="139"/>
  <c r="E2102" i="139"/>
  <c r="E2103" i="139"/>
  <c r="E2104" i="139"/>
  <c r="E2105" i="139"/>
  <c r="E2106" i="139"/>
  <c r="E2107" i="139"/>
  <c r="E2108" i="139"/>
  <c r="E2109" i="139"/>
  <c r="E2110" i="139"/>
  <c r="E2111" i="139"/>
  <c r="E2112" i="139"/>
  <c r="E2113" i="139"/>
  <c r="E2114" i="139"/>
  <c r="E2115" i="139"/>
  <c r="E2116" i="139"/>
  <c r="E2117" i="139"/>
  <c r="E2118" i="139"/>
  <c r="E2119" i="139"/>
  <c r="E2120" i="139"/>
  <c r="E2121" i="139"/>
  <c r="E2122" i="139"/>
  <c r="E2123" i="139"/>
  <c r="E2124" i="139"/>
  <c r="E2125" i="139"/>
  <c r="E2126" i="139"/>
  <c r="E2127" i="139"/>
  <c r="E2128" i="139"/>
  <c r="E2129" i="139"/>
  <c r="E2130" i="139"/>
  <c r="E2131" i="139"/>
  <c r="E2132" i="139"/>
  <c r="E2133" i="139"/>
  <c r="E2134" i="139"/>
  <c r="E2135" i="139"/>
  <c r="E2136" i="139"/>
  <c r="E2137" i="139"/>
  <c r="E2138" i="139"/>
  <c r="E2139" i="139"/>
  <c r="E2140" i="139"/>
  <c r="E2141" i="139"/>
  <c r="E2142" i="139"/>
  <c r="E2143" i="139"/>
  <c r="E2144" i="139"/>
  <c r="E2145" i="139"/>
  <c r="E2146" i="139"/>
  <c r="E2147" i="139"/>
  <c r="E2148" i="139"/>
  <c r="E2149" i="139"/>
  <c r="E2150" i="139"/>
  <c r="E2151" i="139"/>
  <c r="E2152" i="139"/>
  <c r="E2153" i="139"/>
  <c r="E2154" i="139"/>
  <c r="E2155" i="139"/>
  <c r="E2156" i="139"/>
  <c r="E2157" i="139"/>
  <c r="E2158" i="139"/>
  <c r="E2159" i="139"/>
  <c r="E2160" i="139"/>
  <c r="E2161" i="139"/>
  <c r="E2162" i="139"/>
  <c r="E2163" i="139"/>
  <c r="E2164" i="139"/>
  <c r="E2165" i="139"/>
  <c r="E2166" i="139"/>
  <c r="E2167" i="139"/>
  <c r="E2168" i="139"/>
  <c r="E2169" i="139"/>
  <c r="E2170" i="139"/>
  <c r="E2171" i="139"/>
  <c r="E2172" i="139"/>
  <c r="E2173" i="139"/>
  <c r="E2174" i="139"/>
  <c r="E2175" i="139"/>
  <c r="E2176" i="139"/>
  <c r="E2177" i="139"/>
  <c r="E2178" i="139"/>
  <c r="E2179" i="139"/>
  <c r="E2180" i="139"/>
  <c r="E2181" i="139"/>
  <c r="E2182" i="139"/>
  <c r="E2183" i="139"/>
  <c r="E2184" i="139"/>
  <c r="E2185" i="139"/>
  <c r="E2186" i="139"/>
  <c r="E2187" i="139"/>
  <c r="E2188" i="139"/>
  <c r="E2189" i="139"/>
  <c r="E2190" i="139"/>
  <c r="E2191" i="139"/>
  <c r="E2192" i="139"/>
  <c r="E2193" i="139"/>
  <c r="E2194" i="139"/>
  <c r="E2195" i="139"/>
  <c r="E2196" i="139"/>
  <c r="E2197" i="139"/>
  <c r="E2198" i="139"/>
  <c r="E2199" i="139"/>
  <c r="E2200" i="139"/>
  <c r="E2201" i="139"/>
  <c r="E2202" i="139"/>
  <c r="E2203" i="139"/>
  <c r="E2204" i="139"/>
  <c r="E2205" i="139"/>
  <c r="E2206" i="139"/>
  <c r="E2207" i="139"/>
  <c r="E2208" i="139"/>
  <c r="E2209" i="139"/>
  <c r="E2210" i="139"/>
  <c r="E2211" i="139"/>
  <c r="E2212" i="139"/>
  <c r="E2213" i="139"/>
  <c r="E2214" i="139"/>
  <c r="E2215" i="139"/>
  <c r="E2216" i="139"/>
  <c r="E2217" i="139"/>
  <c r="E2218" i="139"/>
  <c r="E2219" i="139"/>
  <c r="E2220" i="139"/>
  <c r="E2221" i="139"/>
  <c r="E2222" i="139"/>
  <c r="E2223" i="139"/>
  <c r="E2224" i="139"/>
  <c r="E2225" i="139"/>
  <c r="E2226" i="139"/>
  <c r="E2227" i="139"/>
  <c r="E2228" i="139"/>
  <c r="E2229" i="139"/>
  <c r="E2230" i="139"/>
  <c r="E2231" i="139"/>
  <c r="E2232" i="139"/>
  <c r="E2233" i="139"/>
  <c r="E2234" i="139"/>
  <c r="E2235" i="139"/>
  <c r="E2236" i="139"/>
  <c r="E2237" i="139"/>
  <c r="E2238" i="139"/>
  <c r="E2239" i="139"/>
  <c r="E2240" i="139"/>
  <c r="E2241" i="139"/>
  <c r="E2242" i="139"/>
  <c r="E2243" i="139"/>
  <c r="E2244" i="139"/>
  <c r="E2245" i="139"/>
  <c r="E2246" i="139"/>
  <c r="E2247" i="139"/>
  <c r="E2248" i="139"/>
  <c r="E2249" i="139"/>
  <c r="E2250" i="139"/>
  <c r="E2251" i="139"/>
  <c r="E2252" i="139"/>
  <c r="E2253" i="139"/>
  <c r="E2254" i="139"/>
  <c r="E2255" i="139"/>
  <c r="E2256" i="139"/>
  <c r="E2257" i="139"/>
  <c r="E2258" i="139"/>
  <c r="E2259" i="139"/>
  <c r="E2260" i="139"/>
  <c r="E2261" i="139"/>
  <c r="E2262" i="139"/>
  <c r="E2263" i="139"/>
  <c r="E2264" i="139"/>
  <c r="E2265" i="139"/>
  <c r="E2266" i="139"/>
  <c r="E2267" i="139"/>
  <c r="E2268" i="139"/>
  <c r="E2269" i="139"/>
  <c r="E2270" i="139"/>
  <c r="E2271" i="139"/>
  <c r="E2272" i="139"/>
  <c r="E2273" i="139"/>
  <c r="E2274" i="139"/>
  <c r="E2275" i="139"/>
  <c r="E2276" i="139"/>
  <c r="E2277" i="139"/>
  <c r="E2278" i="139"/>
  <c r="E2279" i="139"/>
  <c r="E2280" i="139"/>
  <c r="E2281" i="139"/>
  <c r="E2282" i="139"/>
  <c r="E2283" i="139"/>
  <c r="E2284" i="139"/>
  <c r="E2285" i="139"/>
  <c r="E2286" i="139"/>
  <c r="E2287" i="139"/>
  <c r="E2288" i="139"/>
  <c r="E2289" i="139"/>
  <c r="E2290" i="139"/>
  <c r="E2291" i="139"/>
  <c r="E2292" i="139"/>
  <c r="E2293" i="139"/>
  <c r="E2294" i="139"/>
  <c r="E2295" i="139"/>
  <c r="E2296" i="139"/>
  <c r="E2297" i="139"/>
  <c r="E2298" i="139"/>
  <c r="E2299" i="139"/>
  <c r="E2300" i="139"/>
  <c r="E2301" i="139"/>
  <c r="E2302" i="139"/>
  <c r="E2303" i="139"/>
  <c r="E2304" i="139"/>
  <c r="E2305" i="139"/>
  <c r="E2306" i="139"/>
  <c r="E2307" i="139"/>
  <c r="E2308" i="139"/>
  <c r="E2309" i="139"/>
  <c r="E2310" i="139"/>
  <c r="E2311" i="139"/>
  <c r="E2312" i="139"/>
  <c r="E2313" i="139"/>
  <c r="E2314" i="139"/>
  <c r="E2315" i="139"/>
  <c r="E2316" i="139"/>
  <c r="E2317" i="139"/>
  <c r="E2318" i="139"/>
  <c r="E2319" i="139"/>
  <c r="E2320" i="139"/>
  <c r="E2321" i="139"/>
  <c r="E2322" i="139"/>
  <c r="E2323" i="139"/>
  <c r="E2324" i="139"/>
  <c r="E2325" i="139"/>
  <c r="E2326" i="139"/>
  <c r="E2327" i="139"/>
  <c r="E2328" i="139"/>
  <c r="E2329" i="139"/>
  <c r="E2330" i="139"/>
  <c r="E2331" i="139"/>
  <c r="E2332" i="139"/>
  <c r="E2333" i="139"/>
  <c r="E2334" i="139"/>
  <c r="E2335" i="139"/>
  <c r="E2336" i="139"/>
  <c r="E2337" i="139"/>
  <c r="E2338" i="139"/>
  <c r="E2339" i="139"/>
  <c r="E2340" i="139"/>
  <c r="E2341" i="139"/>
  <c r="E2342" i="139"/>
  <c r="E2343" i="139"/>
  <c r="E2344" i="139"/>
  <c r="E2345" i="139"/>
  <c r="E2346" i="139"/>
  <c r="E2347" i="139"/>
  <c r="E2348" i="139"/>
  <c r="E2349" i="139"/>
  <c r="E2350" i="139"/>
  <c r="E2351" i="139"/>
  <c r="E2352" i="139"/>
  <c r="E2353" i="139"/>
  <c r="E2354" i="139"/>
  <c r="E2355" i="139"/>
  <c r="E2356" i="139"/>
  <c r="E2357" i="139"/>
  <c r="E2358" i="139"/>
  <c r="E2359" i="139"/>
  <c r="E2360" i="139"/>
  <c r="E2361" i="139"/>
  <c r="E2362" i="139"/>
  <c r="E2363" i="139"/>
  <c r="E2364" i="139"/>
  <c r="E2365" i="139"/>
  <c r="E2366" i="139"/>
  <c r="E2367" i="139"/>
  <c r="E2368" i="139"/>
  <c r="E2369" i="139"/>
  <c r="E2370" i="139"/>
  <c r="E2371" i="139"/>
  <c r="E2372" i="139"/>
  <c r="E2373" i="139"/>
  <c r="E2374" i="139"/>
  <c r="E2375" i="139"/>
  <c r="E2376" i="139"/>
  <c r="E2377" i="139"/>
  <c r="E2378" i="139"/>
  <c r="E2379" i="139"/>
  <c r="E2380" i="139"/>
  <c r="E2381" i="139"/>
  <c r="E2382" i="139"/>
  <c r="E2383" i="139"/>
  <c r="E2384" i="139"/>
  <c r="E2385" i="139"/>
  <c r="E2386" i="139"/>
  <c r="E2387" i="139"/>
  <c r="E2388" i="139"/>
  <c r="E2389" i="139"/>
  <c r="E2390" i="139"/>
  <c r="E2391" i="139"/>
  <c r="E2392" i="139"/>
  <c r="E2393" i="139"/>
  <c r="E2394" i="139"/>
  <c r="E2395" i="139"/>
  <c r="E2396" i="139"/>
  <c r="E2397" i="139"/>
  <c r="E2398" i="139"/>
  <c r="E2399" i="139"/>
  <c r="E2400" i="139"/>
  <c r="E2401" i="139"/>
  <c r="E2402" i="139"/>
  <c r="E2403" i="139"/>
  <c r="E2404" i="139"/>
  <c r="E2405" i="139"/>
  <c r="E2406" i="139"/>
  <c r="E2407" i="139"/>
  <c r="E2408" i="139"/>
  <c r="E2409" i="139"/>
  <c r="E2410" i="139"/>
  <c r="E2411" i="139"/>
  <c r="E2412" i="139"/>
  <c r="E2413" i="139"/>
  <c r="E2414" i="139"/>
  <c r="E2415" i="139"/>
  <c r="E2416" i="139"/>
  <c r="E2417" i="139"/>
  <c r="E2418" i="139"/>
  <c r="E2419" i="139"/>
  <c r="E2420" i="139"/>
  <c r="E2421" i="139"/>
  <c r="E2422" i="139"/>
  <c r="E2423" i="139"/>
  <c r="E2424" i="139"/>
  <c r="E2425" i="139"/>
  <c r="E2426" i="139"/>
  <c r="E2427" i="139"/>
  <c r="E2428" i="139"/>
  <c r="E2429" i="139"/>
  <c r="E2430" i="139"/>
  <c r="E2431" i="139"/>
  <c r="E2432" i="139"/>
  <c r="E2433" i="139"/>
  <c r="E2434" i="139"/>
  <c r="E2435" i="139"/>
  <c r="E2436" i="139"/>
  <c r="E2437" i="139"/>
  <c r="E2438" i="139"/>
  <c r="E2439" i="139"/>
  <c r="E2440" i="139"/>
  <c r="E2441" i="139"/>
  <c r="E2442" i="139"/>
  <c r="E2443" i="139"/>
  <c r="E2444" i="139"/>
  <c r="E2445" i="139"/>
  <c r="E2446" i="139"/>
  <c r="E2447" i="139"/>
  <c r="E2448" i="139"/>
  <c r="E2449" i="139"/>
  <c r="E2450" i="139"/>
  <c r="E2451" i="139"/>
  <c r="E2452" i="139"/>
  <c r="E2453" i="139"/>
  <c r="E2454" i="139"/>
  <c r="E2455" i="139"/>
  <c r="E2456" i="139"/>
  <c r="E2457" i="139"/>
  <c r="E2458" i="139"/>
  <c r="E2459" i="139"/>
  <c r="E2460" i="139"/>
  <c r="E2461" i="139"/>
  <c r="E2462" i="139"/>
  <c r="E2463" i="139"/>
  <c r="E2464" i="139"/>
  <c r="E2465" i="139"/>
  <c r="E2466" i="139"/>
  <c r="E2467" i="139"/>
  <c r="E2468" i="139"/>
  <c r="E2469" i="139"/>
  <c r="E2470" i="139"/>
  <c r="E2471" i="139"/>
  <c r="E2472" i="139"/>
  <c r="E2473" i="139"/>
  <c r="E2474" i="139"/>
  <c r="E2475" i="139"/>
  <c r="E2476" i="139"/>
  <c r="E2477" i="139"/>
  <c r="E2478" i="139"/>
  <c r="E2479" i="139"/>
  <c r="E2480" i="139"/>
  <c r="E2481" i="139"/>
  <c r="E2482" i="139"/>
  <c r="E2483" i="139"/>
  <c r="E2484" i="139"/>
  <c r="E2485" i="139"/>
  <c r="E2486" i="139"/>
  <c r="E2487" i="139"/>
  <c r="E2488" i="139"/>
  <c r="E2489" i="139"/>
  <c r="E2490" i="139"/>
  <c r="E2491" i="139"/>
  <c r="E2492" i="139"/>
  <c r="E2493" i="139"/>
  <c r="E2494" i="139"/>
  <c r="E2495" i="139"/>
  <c r="E2496" i="139"/>
  <c r="E2497" i="139"/>
  <c r="E2498" i="139"/>
  <c r="E2499" i="139"/>
  <c r="E2500" i="139"/>
  <c r="E2501" i="139"/>
  <c r="E2502" i="139"/>
  <c r="E2503" i="139"/>
  <c r="E2504" i="139"/>
  <c r="E2505" i="139"/>
  <c r="E2506" i="139"/>
  <c r="E2507" i="139"/>
  <c r="E2508" i="139"/>
  <c r="E2509" i="139"/>
  <c r="E2510" i="139"/>
  <c r="E2511" i="139"/>
  <c r="E2512" i="139"/>
  <c r="E2513" i="139"/>
  <c r="E2514" i="139"/>
  <c r="E2515" i="139"/>
  <c r="E2516" i="139"/>
  <c r="E2517" i="139"/>
  <c r="E2518" i="139"/>
  <c r="E2519" i="139"/>
  <c r="E2520" i="139"/>
  <c r="E2521" i="139"/>
  <c r="E2522" i="139"/>
  <c r="E2523" i="139"/>
  <c r="E2524" i="139"/>
  <c r="E2525" i="139"/>
  <c r="E2526" i="139"/>
  <c r="E2527" i="139"/>
  <c r="E2528" i="139"/>
  <c r="E2529" i="139"/>
  <c r="E2530" i="139"/>
  <c r="E2531" i="139"/>
  <c r="E2532" i="139"/>
  <c r="E2533" i="139"/>
  <c r="E2534" i="139"/>
  <c r="E2535" i="139"/>
  <c r="E2536" i="139"/>
  <c r="E2537" i="139"/>
  <c r="E2538" i="139"/>
  <c r="E2539" i="139"/>
  <c r="E2540" i="139"/>
  <c r="E2541" i="139"/>
  <c r="E2542" i="139"/>
  <c r="E2543" i="139"/>
  <c r="E2544" i="139"/>
  <c r="E2545" i="139"/>
  <c r="E2546" i="139"/>
  <c r="E2547" i="139"/>
  <c r="E2548" i="139"/>
  <c r="E2549" i="139"/>
  <c r="E2550" i="139"/>
  <c r="E2551" i="139"/>
  <c r="E2552" i="139"/>
  <c r="E2553" i="139"/>
  <c r="E2554" i="139"/>
  <c r="E2555" i="139"/>
  <c r="E2556" i="139"/>
  <c r="E2557" i="139"/>
  <c r="E2558" i="139"/>
  <c r="E2559" i="139"/>
  <c r="E2560" i="139"/>
  <c r="E2561" i="139"/>
  <c r="E2562" i="139"/>
  <c r="E2563" i="139"/>
  <c r="E2564" i="139"/>
  <c r="E2565" i="139"/>
  <c r="E2566" i="139"/>
  <c r="E2567" i="139"/>
  <c r="E2568" i="139"/>
  <c r="E2569" i="139"/>
  <c r="E2570" i="139"/>
  <c r="E2571" i="139"/>
  <c r="E2572" i="139"/>
  <c r="E2573" i="139"/>
  <c r="E2574" i="139"/>
  <c r="E2575" i="139"/>
  <c r="E2576" i="139"/>
  <c r="E2577" i="139"/>
  <c r="E2578" i="139"/>
  <c r="E2579" i="139"/>
  <c r="E2580" i="139"/>
  <c r="E2581" i="139"/>
  <c r="E2582" i="139"/>
  <c r="E2583" i="139"/>
  <c r="E2584" i="139"/>
  <c r="E2585" i="139"/>
  <c r="E2586" i="139"/>
  <c r="E2587" i="139"/>
  <c r="E2588" i="139"/>
  <c r="E2589" i="139"/>
  <c r="E2590" i="139"/>
  <c r="E2591" i="139"/>
  <c r="E2592" i="139"/>
  <c r="E2593" i="139"/>
  <c r="E2594" i="139"/>
  <c r="E2595" i="139"/>
  <c r="E2596" i="139"/>
  <c r="E2597" i="139"/>
  <c r="E2598" i="139"/>
  <c r="E2599" i="139"/>
  <c r="E2600" i="139"/>
  <c r="E2601" i="139"/>
  <c r="E2602" i="139"/>
  <c r="E2603" i="139"/>
  <c r="E2604" i="139"/>
  <c r="E2605" i="139"/>
  <c r="E2606" i="139"/>
  <c r="E2607" i="139"/>
  <c r="E2608" i="139"/>
  <c r="E2609" i="139"/>
  <c r="E2610" i="139"/>
  <c r="E2611" i="139"/>
  <c r="E2612" i="139"/>
  <c r="E2613" i="139"/>
  <c r="E2614" i="139"/>
  <c r="E2615" i="139"/>
  <c r="E2616" i="139"/>
  <c r="E2617" i="139"/>
  <c r="E2618" i="139"/>
  <c r="E2619" i="139"/>
  <c r="E2620" i="139"/>
  <c r="E2621" i="139"/>
  <c r="E2622" i="139"/>
  <c r="E2623" i="139"/>
  <c r="E2624" i="139"/>
  <c r="E2625" i="139"/>
  <c r="E2626" i="139"/>
  <c r="E2627" i="139"/>
  <c r="E2628" i="139"/>
  <c r="E2629" i="139"/>
  <c r="E2630" i="139"/>
  <c r="E2631" i="139"/>
  <c r="E2632" i="139"/>
  <c r="E2633" i="139"/>
  <c r="E2634" i="139"/>
  <c r="E2635" i="139"/>
  <c r="E2636" i="139"/>
  <c r="E2637" i="139"/>
  <c r="E2638" i="139"/>
  <c r="E2639" i="139"/>
  <c r="E2640" i="139"/>
  <c r="E2641" i="139"/>
  <c r="E2642" i="139"/>
  <c r="E2643" i="139"/>
  <c r="E2644" i="139"/>
  <c r="E2645" i="139"/>
  <c r="E2646" i="139"/>
  <c r="E2647" i="139"/>
  <c r="E2648" i="139"/>
  <c r="E2649" i="139"/>
  <c r="E2650" i="139"/>
  <c r="E2651" i="139"/>
  <c r="E2652" i="139"/>
  <c r="E2653" i="139"/>
  <c r="E2654" i="139"/>
  <c r="E2655" i="139"/>
  <c r="E2656" i="139"/>
  <c r="E2657" i="139"/>
  <c r="E2658" i="139"/>
  <c r="E2659" i="139"/>
  <c r="E2660" i="139"/>
  <c r="E2661" i="139"/>
  <c r="E2662" i="139"/>
  <c r="E2663" i="139"/>
  <c r="E2664" i="139"/>
  <c r="E2665" i="139"/>
  <c r="E2666" i="139"/>
  <c r="E2667" i="139"/>
  <c r="E2668" i="139"/>
  <c r="E2669" i="139"/>
  <c r="E2670" i="139"/>
  <c r="E2671" i="139"/>
  <c r="E2672" i="139"/>
  <c r="E2673" i="139"/>
  <c r="E2674" i="139"/>
  <c r="E2675" i="139"/>
  <c r="E2676" i="139"/>
  <c r="E2677" i="139"/>
  <c r="E2678" i="139"/>
  <c r="E2679" i="139"/>
  <c r="E2680" i="139"/>
  <c r="E2681" i="139"/>
  <c r="E2682" i="139"/>
  <c r="E2683" i="139"/>
  <c r="E2684" i="139"/>
  <c r="E2685" i="139"/>
  <c r="E2686" i="139"/>
  <c r="E2687" i="139"/>
  <c r="E2688" i="139"/>
  <c r="E2689" i="139"/>
  <c r="E2690" i="139"/>
  <c r="E2691" i="139"/>
  <c r="E2692" i="139"/>
  <c r="E2693" i="139"/>
  <c r="E2694" i="139"/>
  <c r="E2695" i="139"/>
  <c r="E2696" i="139"/>
  <c r="E2697" i="139"/>
  <c r="E2698" i="139"/>
  <c r="E2699" i="139"/>
  <c r="E2700" i="139"/>
  <c r="E2701" i="139"/>
  <c r="E2702" i="139"/>
  <c r="E2703" i="139"/>
  <c r="E2704" i="139"/>
  <c r="E2705" i="139"/>
  <c r="E2706" i="139"/>
  <c r="E2707" i="139"/>
  <c r="E2708" i="139"/>
  <c r="E2709" i="139"/>
  <c r="E2710" i="139"/>
  <c r="E2711" i="139"/>
  <c r="E2712" i="139"/>
  <c r="E2713" i="139"/>
  <c r="E2714" i="139"/>
  <c r="E2715" i="139"/>
  <c r="E2716" i="139"/>
  <c r="E2717" i="139"/>
  <c r="E2718" i="139"/>
  <c r="E2719" i="139"/>
  <c r="E2720" i="139"/>
  <c r="E2721" i="139"/>
  <c r="E2722" i="139"/>
  <c r="E2723" i="139"/>
  <c r="E2724" i="139"/>
  <c r="E2725" i="139"/>
  <c r="E2726" i="139"/>
  <c r="E2727" i="139"/>
  <c r="E2728" i="139"/>
  <c r="E2729" i="139"/>
  <c r="E2730" i="139"/>
  <c r="E2731" i="139"/>
  <c r="E2732" i="139"/>
  <c r="E2733" i="139"/>
  <c r="E2734" i="139"/>
  <c r="E2735" i="139"/>
  <c r="E2736" i="139"/>
  <c r="E2737" i="139"/>
  <c r="E2738" i="139"/>
  <c r="E2739" i="139"/>
  <c r="E2740" i="139"/>
  <c r="E2741" i="139"/>
  <c r="E2742" i="139"/>
  <c r="E2743" i="139"/>
  <c r="E2744" i="139"/>
  <c r="E2745" i="139"/>
  <c r="E2746" i="139"/>
  <c r="E2747" i="139"/>
  <c r="E2748" i="139"/>
  <c r="E2749" i="139"/>
  <c r="E2750" i="139"/>
  <c r="E2751" i="139"/>
  <c r="E2752" i="139"/>
  <c r="E2753" i="139"/>
  <c r="E2754" i="139"/>
  <c r="E2755" i="139"/>
  <c r="E2756" i="139"/>
  <c r="E2757" i="139"/>
  <c r="E2758" i="139"/>
  <c r="E2759" i="139"/>
  <c r="E2760" i="139"/>
  <c r="E2761" i="139"/>
  <c r="E2762" i="139"/>
  <c r="E2763" i="139"/>
  <c r="E2764" i="139"/>
  <c r="E2765" i="139"/>
  <c r="E2766" i="139"/>
  <c r="E2767" i="139"/>
  <c r="E2768" i="139"/>
  <c r="E2769" i="139"/>
  <c r="E2770" i="139"/>
  <c r="E2771" i="139"/>
  <c r="E2772" i="139"/>
  <c r="E2773" i="139"/>
  <c r="E2774" i="139"/>
  <c r="E2775" i="139"/>
  <c r="E2776" i="139"/>
  <c r="E2777" i="139"/>
  <c r="E2778" i="139"/>
  <c r="E2779" i="139"/>
  <c r="E2780" i="139"/>
  <c r="E2781" i="139"/>
  <c r="E2782" i="139"/>
  <c r="E2783" i="139"/>
  <c r="E2784" i="139"/>
  <c r="E2785" i="139"/>
  <c r="E2786" i="139"/>
  <c r="E2787" i="139"/>
  <c r="E2788" i="139"/>
  <c r="E2789" i="139"/>
  <c r="E2790" i="139"/>
  <c r="E2791" i="139"/>
  <c r="E2792" i="139"/>
  <c r="E2793" i="139"/>
  <c r="E2794" i="139"/>
  <c r="E2795" i="139"/>
  <c r="E2796" i="139"/>
  <c r="E2797" i="139"/>
  <c r="E2798" i="139"/>
  <c r="E2799" i="139"/>
  <c r="E2800" i="139"/>
  <c r="E2801" i="139"/>
  <c r="E2802" i="139"/>
  <c r="E2803" i="139"/>
  <c r="E2804" i="139"/>
  <c r="E2805" i="139"/>
  <c r="E2806" i="139"/>
  <c r="E2807" i="139"/>
  <c r="E2808" i="139"/>
  <c r="E2809" i="139"/>
  <c r="E2810" i="139"/>
  <c r="E2811" i="139"/>
  <c r="E2812" i="139"/>
  <c r="E2813" i="139"/>
  <c r="E2814" i="139"/>
  <c r="E2815" i="139"/>
  <c r="E2816" i="139"/>
  <c r="E2817" i="139"/>
  <c r="E2818" i="139"/>
  <c r="E2819" i="139"/>
  <c r="E2820" i="139"/>
  <c r="E2821" i="139"/>
  <c r="E2822" i="139"/>
  <c r="E2823" i="139"/>
  <c r="E2824" i="139"/>
  <c r="E2825" i="139"/>
  <c r="E2826" i="139"/>
  <c r="E2827" i="139"/>
  <c r="E2828" i="139"/>
  <c r="E2829" i="139"/>
  <c r="E2830" i="139"/>
  <c r="E2831" i="139"/>
  <c r="E2832" i="139"/>
  <c r="E2833" i="139"/>
  <c r="E2834" i="139"/>
  <c r="E2835" i="139"/>
  <c r="E2836" i="139"/>
  <c r="E2837" i="139"/>
  <c r="E2838" i="139"/>
  <c r="E2839" i="139"/>
  <c r="E2840" i="139"/>
  <c r="E2841" i="139"/>
  <c r="E2842" i="139"/>
  <c r="E2843" i="139"/>
  <c r="E2844" i="139"/>
  <c r="E2845" i="139"/>
  <c r="E2846" i="139"/>
  <c r="E2847" i="139"/>
  <c r="E2848" i="139"/>
  <c r="E2849" i="139"/>
  <c r="E2850" i="139"/>
  <c r="E2851" i="139"/>
  <c r="E2852" i="139"/>
  <c r="E2853" i="139"/>
  <c r="E2854" i="139"/>
  <c r="E2855" i="139"/>
  <c r="E2856" i="139"/>
  <c r="E2857" i="139"/>
  <c r="E2858" i="139"/>
  <c r="E2859" i="139"/>
  <c r="E2860" i="139"/>
  <c r="E2861" i="139"/>
  <c r="E2862" i="139"/>
  <c r="E2863" i="139"/>
  <c r="E2864" i="139"/>
  <c r="E2865" i="139"/>
  <c r="E2866" i="139"/>
  <c r="E2867" i="139"/>
  <c r="E2868" i="139"/>
  <c r="E2869" i="139"/>
  <c r="E2870" i="139"/>
  <c r="E2871" i="139"/>
  <c r="E2872" i="139"/>
  <c r="E2873" i="139"/>
  <c r="E2874" i="139"/>
  <c r="E2875" i="139"/>
  <c r="E2876" i="139"/>
  <c r="E2877" i="139"/>
  <c r="E2878" i="139"/>
  <c r="E2879" i="139"/>
  <c r="E2880" i="139"/>
  <c r="E2881" i="139"/>
  <c r="E2882" i="139"/>
  <c r="E2883" i="139"/>
  <c r="E2884" i="139"/>
  <c r="E2885" i="139"/>
  <c r="E2886" i="139"/>
  <c r="E2887" i="139"/>
  <c r="E2888" i="139"/>
  <c r="E2889" i="139"/>
  <c r="E2890" i="139"/>
  <c r="E2891" i="139"/>
  <c r="E2892" i="139"/>
  <c r="E2893" i="139"/>
  <c r="E2894" i="139"/>
  <c r="E2895" i="139"/>
  <c r="E2896" i="139"/>
  <c r="E2897" i="139"/>
  <c r="E2898" i="139"/>
  <c r="E2899" i="139"/>
  <c r="E2900" i="139"/>
  <c r="E2901" i="139"/>
  <c r="E2902" i="139"/>
  <c r="E2903" i="139"/>
  <c r="E2904" i="139"/>
  <c r="E2905" i="139"/>
  <c r="E2906" i="139"/>
  <c r="E2907" i="139"/>
  <c r="E2908" i="139"/>
  <c r="E2909" i="139"/>
  <c r="E2910" i="139"/>
  <c r="E2911" i="139"/>
  <c r="E2912" i="139"/>
  <c r="E2913" i="139"/>
  <c r="E2914" i="139"/>
  <c r="E2915" i="139"/>
  <c r="E2916" i="139"/>
  <c r="E2917" i="139"/>
  <c r="E2918" i="139"/>
  <c r="E2919" i="139"/>
  <c r="E2920" i="139"/>
  <c r="E2921" i="139"/>
  <c r="E2922" i="139"/>
  <c r="E2923" i="139"/>
  <c r="E2924" i="139"/>
  <c r="E2925" i="139"/>
  <c r="E2926" i="139"/>
  <c r="E2927" i="139"/>
  <c r="E2928" i="139"/>
  <c r="E2929" i="139"/>
  <c r="E2930" i="139"/>
  <c r="E2931" i="139"/>
  <c r="E2932" i="139"/>
  <c r="E2933" i="139"/>
  <c r="E2934" i="139"/>
  <c r="E2935" i="139"/>
  <c r="E2936" i="139"/>
  <c r="E2937" i="139"/>
  <c r="E2938" i="139"/>
  <c r="E2939" i="139"/>
  <c r="E2940" i="139"/>
  <c r="E2941" i="139"/>
  <c r="E2942" i="139"/>
  <c r="E2943" i="139"/>
  <c r="E2944" i="139"/>
  <c r="E2945" i="139"/>
  <c r="E2946" i="139"/>
  <c r="E2947" i="139"/>
  <c r="E2948" i="139"/>
  <c r="E2949" i="139"/>
  <c r="E2950" i="139"/>
  <c r="E2951" i="139"/>
  <c r="E2952" i="139"/>
  <c r="E2953" i="139"/>
  <c r="E2954" i="139"/>
  <c r="E2955" i="139"/>
  <c r="E2956" i="139"/>
  <c r="E2957" i="139"/>
  <c r="E2958" i="139"/>
  <c r="E2959" i="139"/>
  <c r="E2960" i="139"/>
  <c r="E2961" i="139"/>
  <c r="E2962" i="139"/>
  <c r="E2963" i="139"/>
  <c r="E2964" i="139"/>
  <c r="E2965" i="139"/>
  <c r="E2966" i="139"/>
  <c r="E2967" i="139"/>
  <c r="E2968" i="139"/>
  <c r="E2969" i="139"/>
  <c r="E2970" i="139"/>
  <c r="E2971" i="139"/>
  <c r="E2972" i="139"/>
  <c r="E2973" i="139"/>
  <c r="E2974" i="139"/>
  <c r="E2975" i="139"/>
  <c r="E2976" i="139"/>
  <c r="E2977" i="139"/>
  <c r="E2978" i="139"/>
  <c r="E2979" i="139"/>
  <c r="E2980" i="139"/>
  <c r="E2981" i="139"/>
  <c r="E2982" i="139"/>
  <c r="E2983" i="139"/>
  <c r="E2984" i="139"/>
  <c r="E2985" i="139"/>
  <c r="E2986" i="139"/>
  <c r="E2987" i="139"/>
  <c r="E2988" i="139"/>
  <c r="E2989" i="139"/>
  <c r="E2990" i="139"/>
  <c r="E2991" i="139"/>
  <c r="E2992" i="139"/>
  <c r="E2993" i="139"/>
  <c r="E2994" i="139"/>
  <c r="E2995" i="139"/>
  <c r="E2996" i="139"/>
  <c r="E2997" i="139"/>
  <c r="E2998" i="139"/>
  <c r="E2999" i="139"/>
  <c r="E3000" i="139"/>
  <c r="E3001" i="139"/>
  <c r="E3002" i="139"/>
  <c r="E3003" i="139"/>
  <c r="E3004" i="139"/>
  <c r="E3005" i="139"/>
  <c r="E3006" i="139"/>
  <c r="E3007" i="139"/>
  <c r="E3008" i="139"/>
  <c r="E3009" i="139"/>
  <c r="E3010" i="139"/>
  <c r="E3011" i="139"/>
  <c r="E3012" i="139"/>
  <c r="E3013" i="139"/>
  <c r="E3014" i="139"/>
  <c r="E3015" i="139"/>
  <c r="E3016" i="139"/>
  <c r="E3017" i="139"/>
  <c r="E3018" i="139"/>
  <c r="E3019" i="139"/>
  <c r="E3020" i="139"/>
  <c r="E3021" i="139"/>
  <c r="E3022" i="139"/>
  <c r="E3023" i="139"/>
  <c r="E3024" i="139"/>
  <c r="E3025" i="139"/>
  <c r="E3026" i="139"/>
  <c r="E3027" i="139"/>
  <c r="E3028" i="139"/>
  <c r="E3029" i="139"/>
  <c r="E3030" i="139"/>
  <c r="E3031" i="139"/>
  <c r="E3032" i="139"/>
  <c r="E3033" i="139"/>
  <c r="E3034" i="139"/>
  <c r="E3035" i="139"/>
  <c r="E3036" i="139"/>
  <c r="E3037" i="139"/>
  <c r="E3038" i="139"/>
  <c r="E3039" i="139"/>
  <c r="E3040" i="139"/>
  <c r="E3041" i="139"/>
  <c r="E3042" i="139"/>
  <c r="E3043" i="139"/>
  <c r="E3044" i="139"/>
  <c r="E3045" i="139"/>
  <c r="E3046" i="139"/>
  <c r="E3047" i="139"/>
  <c r="E3048" i="139"/>
  <c r="E3049" i="139"/>
  <c r="E3050" i="139"/>
  <c r="E3051" i="139"/>
  <c r="E3052" i="139"/>
  <c r="E3053" i="139"/>
  <c r="E3054" i="139"/>
  <c r="E3055" i="139"/>
  <c r="E3056" i="139"/>
  <c r="E3057" i="139"/>
  <c r="E3058" i="139"/>
  <c r="E3059" i="139"/>
  <c r="E3060" i="139"/>
  <c r="E3061" i="139"/>
  <c r="E3062" i="139"/>
  <c r="E3063" i="139"/>
  <c r="E3064" i="139"/>
  <c r="E3065" i="139"/>
  <c r="E3066" i="139"/>
  <c r="E3067" i="139"/>
  <c r="E3068" i="139"/>
  <c r="E3069" i="139"/>
  <c r="E3070" i="139"/>
  <c r="E3071" i="139"/>
  <c r="E3072" i="139"/>
  <c r="E3073" i="139"/>
  <c r="E3074" i="139"/>
  <c r="E3075" i="139"/>
  <c r="E3076" i="139"/>
  <c r="E3077" i="139"/>
  <c r="E3078" i="139"/>
  <c r="E3079" i="139"/>
  <c r="E3080" i="139"/>
  <c r="E3081" i="139"/>
  <c r="E3082" i="139"/>
  <c r="E3083" i="139"/>
  <c r="E3084" i="139"/>
  <c r="E3085" i="139"/>
  <c r="E3086" i="139"/>
  <c r="E3087" i="139"/>
  <c r="E3088" i="139"/>
  <c r="E3089" i="139"/>
  <c r="E3090" i="139"/>
  <c r="E3091" i="139"/>
  <c r="E3092" i="139"/>
  <c r="E3093" i="139"/>
  <c r="E3094" i="139"/>
  <c r="E3095" i="139"/>
  <c r="E3096" i="139"/>
  <c r="E3097" i="139"/>
  <c r="E3098" i="139"/>
  <c r="E3099" i="139"/>
  <c r="E3100" i="139"/>
  <c r="E3101" i="139"/>
  <c r="E3102" i="139"/>
  <c r="E3103" i="139"/>
  <c r="E3104" i="139"/>
  <c r="E3105" i="139"/>
  <c r="E3106" i="139"/>
  <c r="E3107" i="139"/>
  <c r="E3108" i="139"/>
  <c r="E3109" i="139"/>
  <c r="E3110" i="139"/>
  <c r="E3111" i="139"/>
  <c r="E3112" i="139"/>
  <c r="E3113" i="139"/>
  <c r="E3114" i="139"/>
  <c r="E3115" i="139"/>
  <c r="E3116" i="139"/>
  <c r="E3117" i="139"/>
  <c r="E3118" i="139"/>
  <c r="E3119" i="139"/>
  <c r="E3120" i="139"/>
  <c r="E3121" i="139"/>
  <c r="E3122" i="139"/>
  <c r="E3123" i="139"/>
  <c r="E3124" i="139"/>
  <c r="E3125" i="139"/>
  <c r="E3126" i="139"/>
  <c r="E3127" i="139"/>
  <c r="E3128" i="139"/>
  <c r="E3129" i="139"/>
  <c r="E3130" i="139"/>
  <c r="E3131" i="139"/>
  <c r="E3132" i="139"/>
  <c r="E3133" i="139"/>
  <c r="E3134" i="139"/>
  <c r="E3135" i="139"/>
  <c r="E3136" i="139"/>
  <c r="E3137" i="139"/>
  <c r="E3138" i="139"/>
  <c r="E3139" i="139"/>
  <c r="E3140" i="139"/>
  <c r="E3141" i="139"/>
  <c r="E3142" i="139"/>
  <c r="E3143" i="139"/>
  <c r="E3144" i="139"/>
  <c r="E3145" i="139"/>
  <c r="E3146" i="139"/>
  <c r="E3147" i="139"/>
  <c r="E3148" i="139"/>
  <c r="E3149" i="139"/>
  <c r="E3150" i="139"/>
  <c r="E3151" i="139"/>
  <c r="E3152" i="139"/>
  <c r="E3153" i="139"/>
  <c r="E3154" i="139"/>
  <c r="E3155" i="139"/>
  <c r="E3156" i="139"/>
  <c r="E3157" i="139"/>
  <c r="E3158" i="139"/>
  <c r="E3159" i="139"/>
  <c r="E3160" i="139"/>
  <c r="E3161" i="139"/>
  <c r="E3162" i="139"/>
  <c r="E3163" i="139"/>
  <c r="E3164" i="139"/>
  <c r="E3165" i="139"/>
  <c r="E3166" i="139"/>
  <c r="E3167" i="139"/>
  <c r="E3168" i="139"/>
  <c r="E3169" i="139"/>
  <c r="E3170" i="139"/>
  <c r="E3171" i="139"/>
  <c r="E3172" i="139"/>
  <c r="E3173" i="139"/>
  <c r="E3174" i="139"/>
  <c r="E3175" i="139"/>
  <c r="E3176" i="139"/>
  <c r="E3177" i="139"/>
  <c r="E3178" i="139"/>
  <c r="E3179" i="139"/>
  <c r="E3180" i="139"/>
  <c r="E3181" i="139"/>
  <c r="E3182" i="139"/>
  <c r="E3183" i="139"/>
  <c r="E3184" i="139"/>
  <c r="E3185" i="139"/>
  <c r="E3186" i="139"/>
  <c r="E3187" i="139"/>
  <c r="E3188" i="139"/>
  <c r="E3189" i="139"/>
  <c r="E3190" i="139"/>
  <c r="E3191" i="139"/>
  <c r="E3192" i="139"/>
  <c r="E3193" i="139"/>
  <c r="E3194" i="139"/>
  <c r="E3195" i="139"/>
  <c r="E3196" i="139"/>
  <c r="E3197" i="139"/>
  <c r="E3198" i="139"/>
  <c r="E3199" i="139"/>
  <c r="E3200" i="139"/>
  <c r="E3201" i="139"/>
  <c r="E3202" i="139"/>
  <c r="E3203" i="139"/>
  <c r="E3204" i="139"/>
  <c r="E3205" i="139"/>
  <c r="E3206" i="139"/>
  <c r="E3207" i="139"/>
  <c r="E3208" i="139"/>
  <c r="E3209" i="139"/>
  <c r="E3210" i="139"/>
  <c r="E3211" i="139"/>
  <c r="E3212" i="139"/>
  <c r="E3213" i="139"/>
  <c r="E3214" i="139"/>
  <c r="E3215" i="139"/>
  <c r="E3216" i="139"/>
  <c r="E3217" i="139"/>
  <c r="E3218" i="139"/>
  <c r="E3219" i="139"/>
  <c r="E3220" i="139"/>
  <c r="E3221" i="139"/>
  <c r="E3222" i="139"/>
  <c r="E3223" i="139"/>
  <c r="E3224" i="139"/>
  <c r="E3225" i="139"/>
  <c r="E3226" i="139"/>
  <c r="E3227" i="139"/>
  <c r="E3228" i="139"/>
  <c r="E3229" i="139"/>
  <c r="E3230" i="139"/>
  <c r="E3231" i="139"/>
  <c r="E3232" i="139"/>
  <c r="E3233" i="139"/>
  <c r="E3234" i="139"/>
  <c r="E3235" i="139"/>
  <c r="E3236" i="139"/>
  <c r="E3237" i="139"/>
  <c r="E3238" i="139"/>
  <c r="E3239" i="139"/>
  <c r="E3240" i="139"/>
  <c r="E3241" i="139"/>
  <c r="E3242" i="139"/>
  <c r="E3243" i="139"/>
  <c r="E3244" i="139"/>
  <c r="E3245" i="139"/>
  <c r="E3246" i="139"/>
  <c r="E3247" i="139"/>
  <c r="E3248" i="139"/>
  <c r="E3249" i="139"/>
  <c r="E3250" i="139"/>
  <c r="E3251" i="139"/>
  <c r="E3252" i="139"/>
  <c r="E3253" i="139"/>
  <c r="E3254" i="139"/>
  <c r="E3255" i="139"/>
  <c r="E3256" i="139"/>
  <c r="E3257" i="139"/>
  <c r="E3258" i="139"/>
  <c r="E3259" i="139"/>
  <c r="E3260" i="139"/>
  <c r="E3261" i="139"/>
  <c r="E3262" i="139"/>
  <c r="E3263" i="139"/>
  <c r="E3264" i="139"/>
  <c r="E3265" i="139"/>
  <c r="E3266" i="139"/>
  <c r="E3267" i="139"/>
  <c r="E3268" i="139"/>
  <c r="E3269" i="139"/>
  <c r="E3270" i="139"/>
  <c r="E3271" i="139"/>
  <c r="E3272" i="139"/>
  <c r="E3273" i="139"/>
  <c r="E3274" i="139"/>
  <c r="E3275" i="139"/>
  <c r="E3276" i="139"/>
  <c r="E3277" i="139"/>
  <c r="E3278" i="139"/>
  <c r="E3279" i="139"/>
  <c r="E3280" i="139"/>
  <c r="E3281" i="139"/>
  <c r="E3282" i="139"/>
  <c r="E3283" i="139"/>
  <c r="E3284" i="139"/>
  <c r="E3285" i="139"/>
  <c r="E3286" i="139"/>
  <c r="E3287" i="139"/>
  <c r="E3288" i="139"/>
  <c r="E3289" i="139"/>
  <c r="E3290" i="139"/>
  <c r="E3291" i="139"/>
  <c r="E3292" i="139"/>
  <c r="E3293" i="139"/>
  <c r="E3294" i="139"/>
  <c r="E3295" i="139"/>
  <c r="E3296" i="139"/>
  <c r="E3297" i="139"/>
  <c r="E3298" i="139"/>
  <c r="E3299" i="139"/>
  <c r="E3300" i="139"/>
  <c r="E3301" i="139"/>
  <c r="E3302" i="139"/>
  <c r="E3303" i="139"/>
  <c r="E3304" i="139"/>
  <c r="E3305" i="139"/>
  <c r="E3306" i="139"/>
  <c r="E3307" i="139"/>
  <c r="E3308" i="139"/>
  <c r="E3309" i="139"/>
  <c r="E3310" i="139"/>
  <c r="E3311" i="139"/>
  <c r="E3312" i="139"/>
  <c r="E3313" i="139"/>
  <c r="E3314" i="139"/>
  <c r="E3315" i="139"/>
  <c r="E3316" i="139"/>
  <c r="E3317" i="139"/>
  <c r="E3318" i="139"/>
  <c r="E3319" i="139"/>
  <c r="E3320" i="139"/>
  <c r="E3321" i="139"/>
  <c r="E3322" i="139"/>
  <c r="E3323" i="139"/>
  <c r="E3324" i="139"/>
  <c r="E3325" i="139"/>
  <c r="E3326" i="139"/>
  <c r="E3327" i="139"/>
  <c r="E3328" i="139"/>
  <c r="E3329" i="139"/>
  <c r="E3330" i="139"/>
  <c r="E3331" i="139"/>
  <c r="E3332" i="139"/>
  <c r="E3333" i="139"/>
  <c r="E3334" i="139"/>
  <c r="E3335" i="139"/>
  <c r="E3336" i="139"/>
  <c r="E3337" i="139"/>
  <c r="E3338" i="139"/>
  <c r="E3339" i="139"/>
  <c r="E3340" i="139"/>
  <c r="E3341" i="139"/>
  <c r="E3342" i="139"/>
  <c r="E3343" i="139"/>
  <c r="E3344" i="139"/>
  <c r="E3345" i="139"/>
  <c r="E3346" i="139"/>
  <c r="E3347" i="139"/>
  <c r="E3348" i="139"/>
  <c r="E3349" i="139"/>
  <c r="E3350" i="139"/>
  <c r="E3351" i="139"/>
  <c r="E3352" i="139"/>
  <c r="E3353" i="139"/>
  <c r="E3354" i="139"/>
  <c r="E3355" i="139"/>
  <c r="E3356" i="139"/>
  <c r="E3357" i="139"/>
  <c r="E3358" i="139"/>
  <c r="E3359" i="139"/>
  <c r="E3360" i="139"/>
  <c r="E3361" i="139"/>
  <c r="E3362" i="139"/>
  <c r="E3363" i="139"/>
  <c r="E3364" i="139"/>
  <c r="E3365" i="139"/>
  <c r="E3366" i="139"/>
  <c r="E3367" i="139"/>
  <c r="E3368" i="139"/>
  <c r="E3369" i="139"/>
  <c r="E3370" i="139"/>
  <c r="E3371" i="139"/>
  <c r="E3372" i="139"/>
  <c r="E3373" i="139"/>
  <c r="E3374" i="139"/>
  <c r="E3375" i="139"/>
  <c r="E3376" i="139"/>
  <c r="E3377" i="139"/>
  <c r="E3378" i="139"/>
  <c r="E3379" i="139"/>
  <c r="E3380" i="139"/>
  <c r="E3381" i="139"/>
  <c r="E3382" i="139"/>
  <c r="E3383" i="139"/>
  <c r="E3384" i="139"/>
  <c r="E3385" i="139"/>
  <c r="E3386" i="139"/>
  <c r="E3387" i="139"/>
  <c r="E3388" i="139"/>
  <c r="E3389" i="139"/>
  <c r="E3390" i="139"/>
  <c r="E3391" i="139"/>
  <c r="E3392" i="139"/>
  <c r="E3393" i="139"/>
  <c r="E3394" i="139"/>
  <c r="E3395" i="139"/>
  <c r="E3396" i="139"/>
  <c r="E3397" i="139"/>
  <c r="E3398" i="139"/>
  <c r="E3399" i="139"/>
  <c r="E3400" i="139"/>
  <c r="E3401" i="139"/>
  <c r="E3402" i="139"/>
  <c r="E3403" i="139"/>
  <c r="E3404" i="139"/>
  <c r="E3405" i="139"/>
  <c r="E3406" i="139"/>
  <c r="E3407" i="139"/>
  <c r="E3408" i="139"/>
  <c r="E3409" i="139"/>
  <c r="E3410" i="139"/>
  <c r="E3411" i="139"/>
  <c r="E3412" i="139"/>
  <c r="E3413" i="139"/>
  <c r="E3414" i="139"/>
  <c r="E3415" i="139"/>
  <c r="E3416" i="139"/>
  <c r="E3417" i="139"/>
  <c r="E3418" i="139"/>
  <c r="E3419" i="139"/>
  <c r="E3420" i="139"/>
  <c r="E3421" i="139"/>
  <c r="E3422" i="139"/>
  <c r="E3423" i="139"/>
  <c r="E3424" i="139"/>
  <c r="E3425" i="139"/>
  <c r="E3426" i="139"/>
  <c r="E3427" i="139"/>
  <c r="E3428" i="139"/>
  <c r="E3429" i="139"/>
  <c r="E3430" i="139"/>
  <c r="E3431" i="139"/>
  <c r="E3432" i="139"/>
  <c r="E3433" i="139"/>
  <c r="E3434" i="139"/>
  <c r="E3435" i="139"/>
  <c r="E3436" i="139"/>
  <c r="E3437" i="139"/>
  <c r="E3438" i="139"/>
  <c r="E3439" i="139"/>
  <c r="E3440" i="139"/>
  <c r="E3441" i="139"/>
  <c r="E3442" i="139"/>
  <c r="E3443" i="139"/>
  <c r="E3444" i="139"/>
  <c r="E3445" i="139"/>
  <c r="E3446" i="139"/>
  <c r="E3447" i="139"/>
  <c r="E3448" i="139"/>
  <c r="E3449" i="139"/>
  <c r="E3450" i="139"/>
  <c r="E3451" i="139"/>
  <c r="E3452" i="139"/>
  <c r="E3453" i="139"/>
  <c r="E3454" i="139"/>
  <c r="E3455" i="139"/>
  <c r="E3456" i="139"/>
  <c r="E3457" i="139"/>
  <c r="E3458" i="139"/>
  <c r="E3459" i="139"/>
  <c r="E3460" i="139"/>
  <c r="E3461" i="139"/>
  <c r="E3462" i="139"/>
  <c r="E3463" i="139"/>
  <c r="E3464" i="139"/>
  <c r="E3465" i="139"/>
  <c r="E3466" i="139"/>
  <c r="E3467" i="139"/>
  <c r="E3468" i="139"/>
  <c r="E3469" i="139"/>
  <c r="E3470" i="139"/>
  <c r="E3471" i="139"/>
  <c r="E3472" i="139"/>
  <c r="E3473" i="139"/>
  <c r="E3474" i="139"/>
  <c r="E3475" i="139"/>
  <c r="E3476" i="139"/>
  <c r="E3477" i="139"/>
  <c r="E3478" i="139"/>
  <c r="E3479" i="139"/>
  <c r="E3480" i="139"/>
  <c r="E3481" i="139"/>
  <c r="E3482" i="139"/>
  <c r="E3483" i="139"/>
  <c r="E3484" i="139"/>
  <c r="E3485" i="139"/>
  <c r="E3486" i="139"/>
  <c r="E3487" i="139"/>
  <c r="E3488" i="139"/>
  <c r="E3489" i="139"/>
  <c r="E3490" i="139"/>
  <c r="E3491" i="139"/>
  <c r="E3492" i="139"/>
  <c r="E3493" i="139"/>
  <c r="E3494" i="139"/>
  <c r="E3495" i="139"/>
  <c r="E3496" i="139"/>
  <c r="E3497" i="139"/>
  <c r="E3498" i="139"/>
  <c r="E3499" i="139"/>
  <c r="E3500" i="139"/>
  <c r="E3501" i="139"/>
  <c r="E3502" i="139"/>
  <c r="E3503" i="139"/>
  <c r="E3504" i="139"/>
  <c r="E3505" i="139"/>
  <c r="E3506" i="139"/>
  <c r="E3507" i="139"/>
  <c r="E3508" i="139"/>
  <c r="E3509" i="139"/>
  <c r="E3510" i="139"/>
  <c r="E3511" i="139"/>
  <c r="E3512" i="139"/>
  <c r="E3513" i="139"/>
  <c r="E3514" i="139"/>
  <c r="E3515" i="139"/>
  <c r="E3516" i="139"/>
  <c r="E3517" i="139"/>
  <c r="E3518" i="139"/>
  <c r="E3519" i="139"/>
  <c r="E3520" i="139"/>
  <c r="E3521" i="139"/>
  <c r="E3522" i="139"/>
  <c r="E3523" i="139"/>
  <c r="E3524" i="139"/>
  <c r="E3525" i="139"/>
  <c r="E3526" i="139"/>
  <c r="E3527" i="139"/>
  <c r="E3528" i="139"/>
  <c r="E3529" i="139"/>
  <c r="E3530" i="139"/>
  <c r="E3531" i="139"/>
  <c r="E3532" i="139"/>
  <c r="E3533" i="139"/>
  <c r="E3534" i="139"/>
  <c r="E3535" i="139"/>
  <c r="E3536" i="139"/>
  <c r="E3537" i="139"/>
  <c r="E3538" i="139"/>
  <c r="E3539" i="139"/>
  <c r="E3540" i="139"/>
  <c r="E3541" i="139"/>
  <c r="E3542" i="139"/>
  <c r="E3543" i="139"/>
  <c r="E3544" i="139"/>
  <c r="E3545" i="139"/>
  <c r="E3546" i="139"/>
  <c r="E3547" i="139"/>
  <c r="E3548" i="139"/>
  <c r="E3549" i="139"/>
  <c r="E3550" i="139"/>
  <c r="E3551" i="139"/>
  <c r="E3552" i="139"/>
  <c r="E3553" i="139"/>
  <c r="E3554" i="139"/>
  <c r="E3555" i="139"/>
  <c r="E3556" i="139"/>
  <c r="E3557" i="139"/>
  <c r="E3558" i="139"/>
  <c r="E3559" i="139"/>
  <c r="E3560" i="139"/>
  <c r="E3561" i="139"/>
  <c r="E3562" i="139"/>
  <c r="E3563" i="139"/>
  <c r="E3564" i="139"/>
  <c r="E3565" i="139"/>
  <c r="E3566" i="139"/>
  <c r="E3567" i="139"/>
  <c r="E3568" i="139"/>
  <c r="E3569" i="139"/>
  <c r="E3570" i="139"/>
  <c r="E3571" i="139"/>
  <c r="E3572" i="139"/>
  <c r="E3573" i="139"/>
  <c r="E3574" i="139"/>
  <c r="E3575" i="139"/>
  <c r="E3576" i="139"/>
  <c r="E3577" i="139"/>
  <c r="E3578" i="139"/>
  <c r="E3579" i="139"/>
  <c r="E3580" i="139"/>
  <c r="E3581" i="139"/>
  <c r="E3582" i="139"/>
  <c r="E3583" i="139"/>
  <c r="E3584" i="139"/>
  <c r="E3585" i="139"/>
  <c r="E3586" i="139"/>
  <c r="E3587" i="139"/>
  <c r="E3588" i="139"/>
  <c r="E3589" i="139"/>
  <c r="E3590" i="139"/>
  <c r="E3591" i="139"/>
  <c r="E3592" i="139"/>
  <c r="E3593" i="139"/>
  <c r="E3594" i="139"/>
  <c r="E3595" i="139"/>
  <c r="E3596" i="139"/>
  <c r="E3597" i="139"/>
  <c r="E3598" i="139"/>
  <c r="E3599" i="139"/>
  <c r="E3600" i="139"/>
  <c r="E3601" i="139"/>
  <c r="E3602" i="139"/>
  <c r="E3603" i="139"/>
  <c r="E3604" i="139"/>
  <c r="E3605" i="139"/>
  <c r="E3606" i="139"/>
  <c r="E3607" i="139"/>
  <c r="E3608" i="139"/>
  <c r="E3609" i="139"/>
  <c r="E3610" i="139"/>
  <c r="E3611" i="139"/>
  <c r="E3612" i="139"/>
  <c r="E3613" i="139"/>
  <c r="E3614" i="139"/>
  <c r="E3615" i="139"/>
  <c r="E3616" i="139"/>
  <c r="E3617" i="139"/>
  <c r="E3618" i="139"/>
  <c r="E3619" i="139"/>
  <c r="E3620" i="139"/>
  <c r="E3621" i="139"/>
  <c r="E3622" i="139"/>
  <c r="E3623" i="139"/>
  <c r="E3624" i="139"/>
  <c r="E3625" i="139"/>
  <c r="E3626" i="139"/>
  <c r="E3627" i="139"/>
  <c r="E3628" i="139"/>
  <c r="E3629" i="139"/>
  <c r="E3630" i="139"/>
  <c r="E3631" i="139"/>
  <c r="E3632" i="139"/>
  <c r="E3633" i="139"/>
  <c r="E3634" i="139"/>
  <c r="E3635" i="139"/>
  <c r="E3636" i="139"/>
  <c r="E3637" i="139"/>
  <c r="E3638" i="139"/>
  <c r="E3639" i="139"/>
  <c r="E3640" i="139"/>
  <c r="E3641" i="139"/>
  <c r="E3642" i="139"/>
  <c r="E3643" i="139"/>
  <c r="E3644" i="139"/>
  <c r="E3645" i="139"/>
  <c r="E3646" i="139"/>
  <c r="E3647" i="139"/>
  <c r="E3648" i="139"/>
  <c r="E3649" i="139"/>
  <c r="E3650" i="139"/>
  <c r="E3651" i="139"/>
  <c r="E3652" i="139"/>
  <c r="E3653" i="139"/>
  <c r="E3654" i="139"/>
  <c r="E3655" i="139"/>
  <c r="E3656" i="139"/>
  <c r="E3657" i="139"/>
  <c r="E3658" i="139"/>
  <c r="E3659" i="139"/>
  <c r="E3660" i="139"/>
  <c r="E3661" i="139"/>
  <c r="E3662" i="139"/>
  <c r="E3663" i="139"/>
  <c r="E3664" i="139"/>
  <c r="E3665" i="139"/>
  <c r="E3666" i="139"/>
  <c r="E3667" i="139"/>
  <c r="E3668" i="139"/>
  <c r="E3669" i="139"/>
  <c r="E3670" i="139"/>
  <c r="E3671" i="139"/>
  <c r="E3672" i="139"/>
  <c r="E3673" i="139"/>
  <c r="E3674" i="139"/>
  <c r="E3675" i="139"/>
  <c r="E3676" i="139"/>
  <c r="E3677" i="139"/>
  <c r="E3678" i="139"/>
  <c r="E3679" i="139"/>
  <c r="E3680" i="139"/>
  <c r="E3681" i="139"/>
  <c r="E3682" i="139"/>
  <c r="E3683" i="139"/>
  <c r="E3684" i="139"/>
  <c r="E3685" i="139"/>
  <c r="E3686" i="139"/>
  <c r="E3687" i="139"/>
  <c r="E3688" i="139"/>
  <c r="E3689" i="139"/>
  <c r="E3690" i="139"/>
  <c r="E3691" i="139"/>
  <c r="E3692" i="139"/>
  <c r="E3693" i="139"/>
  <c r="E3694" i="139"/>
  <c r="E3695" i="139"/>
  <c r="E3696" i="139"/>
  <c r="E3697" i="139"/>
  <c r="E3698" i="139"/>
  <c r="E3699" i="139"/>
  <c r="E3700" i="139"/>
  <c r="E3701" i="139"/>
  <c r="E3702" i="139"/>
  <c r="E3703" i="139"/>
  <c r="E3704" i="139"/>
  <c r="E3705" i="139"/>
  <c r="E3706" i="139"/>
  <c r="E3707" i="139"/>
  <c r="E3708" i="139"/>
  <c r="E3709" i="139"/>
  <c r="E3710" i="139"/>
  <c r="E3711" i="139"/>
  <c r="E3712" i="139"/>
  <c r="E3713" i="139"/>
  <c r="E3714" i="139"/>
  <c r="E3715" i="139"/>
  <c r="E3716" i="139"/>
  <c r="E3717" i="139"/>
  <c r="E3718" i="139"/>
  <c r="E3719" i="139"/>
  <c r="E3720" i="139"/>
  <c r="E3721" i="139"/>
  <c r="E3722" i="139"/>
  <c r="E3723" i="139"/>
  <c r="E3724" i="139"/>
  <c r="E3725" i="139"/>
  <c r="E3726" i="139"/>
  <c r="E3727" i="139"/>
  <c r="E3728" i="139"/>
  <c r="E3729" i="139"/>
  <c r="E3730" i="139"/>
  <c r="E3731" i="139"/>
  <c r="E3732" i="139"/>
  <c r="E3733" i="139"/>
  <c r="E3734" i="139"/>
  <c r="E3735" i="139"/>
  <c r="E3736" i="139"/>
  <c r="E3737" i="139"/>
  <c r="E3738" i="139"/>
  <c r="E3739" i="139"/>
  <c r="E3740" i="139"/>
  <c r="E3741" i="139"/>
  <c r="E3742" i="139"/>
  <c r="E3743" i="139"/>
  <c r="E3744" i="139"/>
  <c r="E3745" i="139"/>
  <c r="E3746" i="139"/>
  <c r="E3747" i="139"/>
  <c r="E3748" i="139"/>
  <c r="E3749" i="139"/>
  <c r="E3750" i="139"/>
  <c r="E3751" i="139"/>
  <c r="E3752" i="139"/>
  <c r="E3753" i="139"/>
  <c r="E3754" i="139"/>
  <c r="E3755" i="139"/>
  <c r="E3756" i="139"/>
  <c r="E3757" i="139"/>
  <c r="E3758" i="139"/>
  <c r="E3759" i="139"/>
  <c r="E3760" i="139"/>
  <c r="E3761" i="139"/>
  <c r="E3762" i="139"/>
  <c r="E3763" i="139"/>
  <c r="E3764" i="139"/>
  <c r="E3765" i="139"/>
  <c r="E3766" i="139"/>
  <c r="E3767" i="139"/>
  <c r="E3768" i="139"/>
  <c r="E3769" i="139"/>
  <c r="E3770" i="139"/>
  <c r="E3771" i="139"/>
  <c r="E3772" i="139"/>
  <c r="E3773" i="139"/>
  <c r="E3774" i="139"/>
  <c r="E3775" i="139"/>
  <c r="E3776" i="139"/>
  <c r="E3777" i="139"/>
  <c r="E3778" i="139"/>
  <c r="E3779" i="139"/>
  <c r="E3780" i="139"/>
  <c r="E3781" i="139"/>
  <c r="E3782" i="139"/>
  <c r="E3783" i="139"/>
  <c r="E3784" i="139"/>
  <c r="E3785" i="139"/>
  <c r="E3786" i="139"/>
  <c r="E3787" i="139"/>
  <c r="E3788" i="139"/>
  <c r="E3789" i="139"/>
  <c r="E3790" i="139"/>
  <c r="E3791" i="139"/>
  <c r="E3792" i="139"/>
  <c r="E3793" i="139"/>
  <c r="E3794" i="139"/>
  <c r="E3795" i="139"/>
  <c r="E3796" i="139"/>
  <c r="E3797" i="139"/>
  <c r="E3798" i="139"/>
  <c r="E3799" i="139"/>
  <c r="E3800" i="139"/>
  <c r="E3801" i="139"/>
  <c r="E3802" i="139"/>
  <c r="E3803" i="139"/>
  <c r="E3804" i="139"/>
  <c r="E3805" i="139"/>
  <c r="E3806" i="139"/>
  <c r="E3807" i="139"/>
  <c r="E3808" i="139"/>
  <c r="E3809" i="139"/>
  <c r="E3810" i="139"/>
  <c r="E3811" i="139"/>
  <c r="E3812" i="139"/>
  <c r="E3813" i="139"/>
  <c r="E3814" i="139"/>
  <c r="E3815" i="139"/>
  <c r="E3816" i="139"/>
  <c r="E3817" i="139"/>
  <c r="E3818" i="139"/>
  <c r="E3819" i="139"/>
  <c r="E3820" i="139"/>
  <c r="E3821" i="139"/>
  <c r="E3822" i="139"/>
  <c r="E3823" i="139"/>
  <c r="E3824" i="139"/>
  <c r="E3825" i="139"/>
  <c r="E3826" i="139"/>
  <c r="E3827" i="139"/>
  <c r="E3828" i="139"/>
  <c r="E3829" i="139"/>
  <c r="E3830" i="139"/>
  <c r="E3831" i="139"/>
  <c r="E3832" i="139"/>
  <c r="E3833" i="139"/>
  <c r="E3834" i="139"/>
  <c r="E3835" i="139"/>
  <c r="E3836" i="139"/>
  <c r="E3837" i="139"/>
  <c r="E3838" i="139"/>
  <c r="E3839" i="139"/>
  <c r="E3840" i="139"/>
  <c r="E3841" i="139"/>
  <c r="E3842" i="139"/>
  <c r="E3843" i="139"/>
  <c r="E3844" i="139"/>
  <c r="E3845" i="139"/>
  <c r="E3846" i="139"/>
  <c r="E3847" i="139"/>
  <c r="E3848" i="139"/>
  <c r="E3849" i="139"/>
  <c r="E3850" i="139"/>
  <c r="E3851" i="139"/>
  <c r="E3852" i="139"/>
  <c r="E3853" i="139"/>
  <c r="E3854" i="139"/>
  <c r="E3855" i="139"/>
  <c r="E3856" i="139"/>
  <c r="E3857" i="139"/>
  <c r="E3858" i="139"/>
  <c r="E3859" i="139"/>
  <c r="E3860" i="139"/>
  <c r="E3861" i="139"/>
  <c r="E3862" i="139"/>
  <c r="E3863" i="139"/>
  <c r="E3864" i="139"/>
  <c r="E3865" i="139"/>
  <c r="E3866" i="139"/>
  <c r="E3867" i="139"/>
  <c r="E3868" i="139"/>
  <c r="E3869" i="139"/>
  <c r="E3870" i="139"/>
  <c r="E3871" i="139"/>
  <c r="E3872" i="139"/>
  <c r="E3873" i="139"/>
  <c r="E3874" i="139"/>
  <c r="E3875" i="139"/>
  <c r="E3876" i="139"/>
  <c r="E3877" i="139"/>
  <c r="E3878" i="139"/>
  <c r="E3879" i="139"/>
  <c r="E3880" i="139"/>
  <c r="E3881" i="139"/>
  <c r="E3882" i="139"/>
  <c r="E3883" i="139"/>
  <c r="E3884" i="139"/>
  <c r="E3885" i="139"/>
  <c r="E3886" i="139"/>
  <c r="E3887" i="139"/>
  <c r="E3888" i="139"/>
  <c r="E3889" i="139"/>
  <c r="E3890" i="139"/>
  <c r="E3891" i="139"/>
  <c r="E3892" i="139"/>
  <c r="E3893" i="139"/>
  <c r="E3894" i="139"/>
  <c r="E3895" i="139"/>
  <c r="E3896" i="139"/>
  <c r="E3897" i="139"/>
  <c r="E3898" i="139"/>
  <c r="E3899" i="139"/>
  <c r="E3900" i="139"/>
  <c r="E3901" i="139"/>
  <c r="E3902" i="139"/>
  <c r="E3903" i="139"/>
  <c r="E3904" i="139"/>
  <c r="E3905" i="139"/>
  <c r="E3906" i="139"/>
  <c r="E3907" i="139"/>
  <c r="E3908" i="139"/>
  <c r="E3909" i="139"/>
  <c r="E3910" i="139"/>
  <c r="E3911" i="139"/>
  <c r="E3912" i="139"/>
  <c r="E3913" i="139"/>
  <c r="E3914" i="139"/>
  <c r="E3915" i="139"/>
  <c r="E3916" i="139"/>
  <c r="E3917" i="139"/>
  <c r="E3918" i="139"/>
  <c r="E3919" i="139"/>
  <c r="E3920" i="139"/>
  <c r="E3921" i="139"/>
  <c r="E3922" i="139"/>
  <c r="E3923" i="139"/>
  <c r="E3924" i="139"/>
  <c r="E3925" i="139"/>
  <c r="E3926" i="139"/>
  <c r="E3927" i="139"/>
  <c r="E3928" i="139"/>
  <c r="E3929" i="139"/>
  <c r="E3930" i="139"/>
  <c r="E3931" i="139"/>
  <c r="E3932" i="139"/>
  <c r="E3933" i="139"/>
  <c r="E3934" i="139"/>
  <c r="E3935" i="139"/>
  <c r="E3936" i="139"/>
  <c r="E3937" i="139"/>
  <c r="E3938" i="139"/>
  <c r="E3939" i="139"/>
  <c r="E3940" i="139"/>
  <c r="E3941" i="139"/>
  <c r="E3942" i="139"/>
  <c r="E3943" i="139"/>
  <c r="E3944" i="139"/>
  <c r="E3945" i="139"/>
  <c r="E3946" i="139"/>
  <c r="E3947" i="139"/>
  <c r="E3948" i="139"/>
  <c r="E3949" i="139"/>
  <c r="E3950" i="139"/>
  <c r="E3951" i="139"/>
  <c r="E3952" i="139"/>
  <c r="E3953" i="139"/>
  <c r="E3954" i="139"/>
  <c r="E3955" i="139"/>
  <c r="E3956" i="139"/>
  <c r="E3957" i="139"/>
  <c r="E3958" i="139"/>
  <c r="E3959" i="139"/>
  <c r="E3960" i="139"/>
  <c r="E3961" i="139"/>
  <c r="E3962" i="139"/>
  <c r="E3963" i="139"/>
  <c r="E3964" i="139"/>
  <c r="E3965" i="139"/>
  <c r="E3966" i="139"/>
  <c r="E3967" i="139"/>
  <c r="E3968" i="139"/>
  <c r="E3969" i="139"/>
  <c r="E3970" i="139"/>
  <c r="E3971" i="139"/>
  <c r="E3972" i="139"/>
  <c r="E3973" i="139"/>
  <c r="E3974" i="139"/>
  <c r="E3975" i="139"/>
  <c r="E3976" i="139"/>
  <c r="E3977" i="139"/>
  <c r="E3978" i="139"/>
  <c r="E3979" i="139"/>
  <c r="E3980" i="139"/>
  <c r="E3981" i="139"/>
  <c r="E3982" i="139"/>
  <c r="E3983" i="139"/>
  <c r="E3984" i="139"/>
  <c r="E3985" i="139"/>
  <c r="E3986" i="139"/>
  <c r="E3987" i="139"/>
  <c r="E3988" i="139"/>
  <c r="E3989" i="139"/>
  <c r="E3990" i="139"/>
  <c r="E3991" i="139"/>
  <c r="E3992" i="139"/>
  <c r="E3993" i="139"/>
  <c r="E3994" i="139"/>
  <c r="E3995" i="139"/>
  <c r="E3996" i="139"/>
  <c r="E3997" i="139"/>
  <c r="E3998" i="139"/>
  <c r="E3999" i="139"/>
  <c r="E4000" i="139"/>
  <c r="E4001" i="139"/>
  <c r="E4002" i="139"/>
  <c r="E4003" i="139"/>
  <c r="E4004" i="139"/>
  <c r="E4005" i="139"/>
  <c r="E4006" i="139"/>
  <c r="E4007" i="139"/>
  <c r="E4008" i="139"/>
  <c r="E4009" i="139"/>
  <c r="E4010" i="139"/>
  <c r="E4011" i="139"/>
  <c r="E4012" i="139"/>
  <c r="E4013" i="139"/>
  <c r="E4014" i="139"/>
  <c r="E4015" i="139"/>
  <c r="E4016" i="139"/>
  <c r="E4017" i="139"/>
  <c r="E4018" i="139"/>
  <c r="E4019" i="139"/>
  <c r="E4020" i="139"/>
  <c r="E4021" i="139"/>
  <c r="E4022" i="139"/>
  <c r="E4023" i="139"/>
  <c r="E4024" i="139"/>
  <c r="E4025" i="139"/>
  <c r="E4026" i="139"/>
  <c r="E4027" i="139"/>
  <c r="E4028" i="139"/>
  <c r="E4029" i="139"/>
  <c r="E4030" i="139"/>
  <c r="E4031" i="139"/>
  <c r="E4032" i="139"/>
  <c r="E4033" i="139"/>
  <c r="E4034" i="139"/>
  <c r="E4035" i="139"/>
  <c r="E4036" i="139"/>
  <c r="E4037" i="139"/>
  <c r="E4038" i="139"/>
  <c r="E4039" i="139"/>
  <c r="E4040" i="139"/>
  <c r="E4041" i="139"/>
  <c r="E4042" i="139"/>
  <c r="E4043" i="139"/>
  <c r="E4044" i="139"/>
  <c r="E4045" i="139"/>
  <c r="E4046" i="139"/>
  <c r="E4047" i="139"/>
  <c r="E4048" i="139"/>
  <c r="E4049" i="139"/>
  <c r="E4050" i="139"/>
  <c r="E4051" i="139"/>
  <c r="E4052" i="139"/>
  <c r="E4053" i="139"/>
  <c r="E4054" i="139"/>
  <c r="E4055" i="139"/>
  <c r="E4056" i="139"/>
  <c r="E4057" i="139"/>
  <c r="E4058" i="139"/>
  <c r="E4059" i="139"/>
  <c r="E4060" i="139"/>
  <c r="E4061" i="139"/>
  <c r="E4062" i="139"/>
  <c r="E4063" i="139"/>
  <c r="E4064" i="139"/>
  <c r="E4065" i="139"/>
  <c r="E4066" i="139"/>
  <c r="E4067" i="139"/>
  <c r="E4068" i="139"/>
  <c r="E4069" i="139"/>
  <c r="E4070" i="139"/>
  <c r="E4071" i="139"/>
  <c r="E4072" i="139"/>
  <c r="E4073" i="139"/>
  <c r="E4074" i="139"/>
  <c r="E4075" i="139"/>
  <c r="E4076" i="139"/>
  <c r="E4077" i="139"/>
  <c r="E4078" i="139"/>
  <c r="E4079" i="139"/>
  <c r="E4080" i="139"/>
  <c r="E4081" i="139"/>
  <c r="E4082" i="139"/>
  <c r="E4083" i="139"/>
  <c r="E4084" i="139"/>
  <c r="E4085" i="139"/>
  <c r="E4086" i="139"/>
  <c r="E4087" i="139"/>
  <c r="E4088" i="139"/>
  <c r="E4089" i="139"/>
  <c r="E4090" i="139"/>
  <c r="E4091" i="139"/>
  <c r="E4092" i="139"/>
  <c r="E4093" i="139"/>
  <c r="E4094" i="139"/>
  <c r="E4095" i="139"/>
  <c r="E4096" i="139"/>
  <c r="E4097" i="139"/>
  <c r="E4098" i="139"/>
  <c r="E4099" i="139"/>
  <c r="E4100" i="139"/>
  <c r="F6" i="139" s="1" a="1"/>
  <c r="F214" i="139" l="1"/>
  <c r="F374" i="139"/>
  <c r="F313" i="139"/>
  <c r="F264" i="139"/>
  <c r="F2045" i="139"/>
  <c r="F1761" i="139"/>
  <c r="F1117" i="139"/>
  <c r="F670" i="139"/>
  <c r="F2822" i="139"/>
  <c r="F2845" i="139"/>
  <c r="F1542" i="139"/>
  <c r="F3950" i="139"/>
  <c r="F1478" i="139"/>
  <c r="F3672" i="139"/>
  <c r="F1374" i="139"/>
  <c r="F446" i="139"/>
  <c r="F2632" i="139"/>
  <c r="F3388" i="139"/>
  <c r="F2119" i="139"/>
  <c r="F1688" i="139"/>
  <c r="F3884" i="139"/>
  <c r="F680" i="139"/>
  <c r="F3254" i="139"/>
  <c r="F2059" i="139"/>
  <c r="F3767" i="139"/>
  <c r="F3927" i="139"/>
  <c r="F163" i="139"/>
  <c r="F1422" i="139"/>
  <c r="F2581" i="139"/>
  <c r="F413" i="139"/>
  <c r="F1979" i="139"/>
  <c r="F1150" i="139"/>
  <c r="F1147" i="139"/>
  <c r="F3422" i="139"/>
  <c r="F3073" i="139"/>
  <c r="F786" i="139"/>
  <c r="F2629" i="139"/>
  <c r="F165" i="139"/>
  <c r="F1758" i="139"/>
  <c r="F351" i="139"/>
  <c r="F3602" i="139"/>
  <c r="F3147" i="139"/>
  <c r="F3440" i="139"/>
  <c r="F3528" i="139"/>
  <c r="F3781" i="139"/>
  <c r="F3525" i="139"/>
  <c r="F1973" i="139"/>
  <c r="F2266" i="139"/>
  <c r="F3125" i="139"/>
  <c r="F3925" i="139"/>
  <c r="F608" i="139"/>
  <c r="F3887" i="139"/>
  <c r="F2756" i="139"/>
  <c r="F2991" i="139"/>
  <c r="F930" i="139"/>
  <c r="F1793" i="139"/>
  <c r="F878" i="139"/>
  <c r="F3981" i="139"/>
  <c r="F649" i="139"/>
  <c r="F381" i="139"/>
  <c r="F2820" i="139"/>
  <c r="F1040" i="139"/>
  <c r="F3889" i="139"/>
  <c r="F3160" i="139"/>
  <c r="F8" i="139"/>
  <c r="F1533" i="139"/>
  <c r="F1505" i="139"/>
  <c r="F742" i="139"/>
  <c r="F223" i="139"/>
  <c r="F2589" i="139"/>
  <c r="F2749" i="139"/>
  <c r="F3477" i="139"/>
  <c r="F2526" i="139"/>
  <c r="F1493" i="139"/>
  <c r="F1342" i="139"/>
  <c r="F1964" i="139"/>
  <c r="F415" i="139"/>
  <c r="F1778" i="139"/>
  <c r="F3508" i="139"/>
  <c r="F336" i="139"/>
  <c r="F1208" i="139"/>
  <c r="F1059" i="139"/>
  <c r="F2004" i="139"/>
  <c r="F270" i="139"/>
  <c r="F3197" i="139"/>
  <c r="F1821" i="139"/>
  <c r="F2186" i="139"/>
  <c r="F2902" i="139"/>
  <c r="F3753" i="139"/>
  <c r="F3958" i="139"/>
  <c r="F3190" i="139"/>
  <c r="F3134" i="139"/>
  <c r="F136" i="139"/>
  <c r="F1866" i="139"/>
  <c r="F3256" i="139"/>
  <c r="F2773" i="139"/>
  <c r="F611" i="139"/>
  <c r="F1355" i="139"/>
  <c r="F2913" i="139"/>
  <c r="F3872" i="139"/>
  <c r="F734" i="139"/>
  <c r="F3328" i="139"/>
  <c r="F3215" i="139"/>
  <c r="F3447" i="139"/>
  <c r="F2781" i="139"/>
  <c r="F515" i="139"/>
  <c r="F1614" i="139"/>
  <c r="F2958" i="139"/>
  <c r="F3535" i="139"/>
  <c r="F3379" i="139"/>
  <c r="F639" i="139"/>
  <c r="F3999" i="139"/>
  <c r="F624" i="139"/>
  <c r="F194" i="139"/>
  <c r="F2576" i="139"/>
  <c r="F987" i="139"/>
  <c r="F3186" i="139"/>
  <c r="F3517" i="139"/>
  <c r="F3255" i="139"/>
  <c r="F811" i="139"/>
  <c r="F3489" i="139"/>
  <c r="F154" i="139"/>
  <c r="F1109" i="139"/>
  <c r="F4033" i="139"/>
  <c r="F1759" i="139"/>
  <c r="F3714" i="139"/>
  <c r="F678" i="139"/>
  <c r="F3991" i="139"/>
  <c r="F4097" i="139"/>
  <c r="F3959" i="139"/>
  <c r="F1428" i="139"/>
  <c r="F2133" i="139"/>
  <c r="F3869" i="139"/>
  <c r="F2235" i="139"/>
  <c r="F743" i="139"/>
  <c r="F2318" i="139"/>
  <c r="F1484" i="139"/>
  <c r="F1511" i="139"/>
  <c r="F2832" i="139"/>
  <c r="F3593" i="139"/>
  <c r="F925" i="139"/>
  <c r="F911" i="139"/>
  <c r="F1832" i="139"/>
  <c r="F574" i="139"/>
  <c r="F876" i="139"/>
  <c r="F3343" i="139"/>
  <c r="F1248" i="139"/>
  <c r="F1240" i="139"/>
  <c r="F32" i="139"/>
  <c r="F3065" i="139"/>
  <c r="F2641" i="139"/>
  <c r="F2302" i="139"/>
  <c r="F2555" i="139"/>
  <c r="F2459" i="139"/>
  <c r="F1693" i="139"/>
  <c r="F1611" i="139"/>
  <c r="F1475" i="139"/>
  <c r="F3982" i="139"/>
  <c r="F2650" i="139"/>
  <c r="F1205" i="139"/>
  <c r="F3341" i="139"/>
  <c r="F1502" i="139"/>
  <c r="F1114" i="139"/>
  <c r="F3773" i="139"/>
  <c r="F1382" i="139"/>
  <c r="F1423" i="139"/>
  <c r="F1923" i="139"/>
  <c r="F1733" i="139"/>
  <c r="F2688" i="139"/>
  <c r="F1284" i="139"/>
  <c r="F3770" i="139"/>
  <c r="F1086" i="139"/>
  <c r="F4014" i="139"/>
  <c r="F957" i="139"/>
  <c r="F2967" i="139"/>
  <c r="F3611" i="139"/>
  <c r="F2735" i="139"/>
  <c r="F696" i="139"/>
  <c r="F933" i="139"/>
  <c r="F410" i="139"/>
  <c r="F2978" i="139"/>
  <c r="F3587" i="139"/>
  <c r="F3146" i="139"/>
  <c r="F2464" i="139"/>
  <c r="F2677" i="139"/>
  <c r="F2917" i="139"/>
  <c r="F286" i="139"/>
  <c r="F582" i="139"/>
  <c r="F434" i="139"/>
  <c r="F3778" i="139"/>
  <c r="F1955" i="139"/>
  <c r="F2788" i="139"/>
  <c r="F1489" i="139"/>
  <c r="F1808" i="139"/>
  <c r="F3415" i="139"/>
  <c r="F180" i="139"/>
  <c r="F1993" i="139"/>
  <c r="F1727" i="139"/>
  <c r="F2516" i="139"/>
  <c r="F3819" i="139"/>
  <c r="F1509" i="139"/>
  <c r="F2197" i="139"/>
  <c r="F52" i="139"/>
  <c r="F2640" i="139"/>
  <c r="F45" i="139"/>
  <c r="F1942" i="139"/>
  <c r="F3628" i="139"/>
  <c r="F617" i="139"/>
  <c r="F3217" i="139"/>
  <c r="F2468" i="139"/>
  <c r="F693" i="139"/>
  <c r="F872" i="139"/>
  <c r="F2706" i="139"/>
  <c r="F1908" i="139"/>
  <c r="F104" i="139"/>
  <c r="F2895" i="139"/>
  <c r="F1185" i="139"/>
  <c r="F848" i="139"/>
  <c r="F3023" i="139"/>
  <c r="F795" i="139"/>
  <c r="F947" i="139"/>
  <c r="F3369" i="139"/>
  <c r="F3640" i="139"/>
  <c r="F3760" i="139"/>
  <c r="F3783" i="139"/>
  <c r="F3044" i="139"/>
  <c r="F3563" i="139"/>
  <c r="F2733" i="139"/>
  <c r="F1175" i="139"/>
  <c r="F2413" i="139"/>
  <c r="F2540" i="139"/>
  <c r="F2439" i="139"/>
  <c r="F997" i="139"/>
  <c r="F2601" i="139"/>
  <c r="F914" i="139"/>
  <c r="F1660" i="139"/>
  <c r="F2997" i="139"/>
  <c r="F1171" i="139"/>
  <c r="F580" i="139"/>
  <c r="F3668" i="139"/>
  <c r="F892" i="139"/>
  <c r="F664" i="139"/>
  <c r="F2568" i="139"/>
  <c r="F1619" i="139"/>
  <c r="F1370" i="139"/>
  <c r="F1848" i="139"/>
  <c r="F3441" i="139"/>
  <c r="F3138" i="139"/>
  <c r="F3569" i="139"/>
  <c r="F3383" i="139"/>
  <c r="F334" i="139"/>
  <c r="F2136" i="139"/>
  <c r="F3836" i="139"/>
  <c r="F3331" i="139"/>
  <c r="F417" i="139"/>
  <c r="F1775" i="139"/>
  <c r="F798" i="139"/>
  <c r="F1830" i="139"/>
  <c r="F1323" i="139"/>
  <c r="F2798" i="139"/>
  <c r="F2564" i="139"/>
  <c r="F1237" i="139"/>
  <c r="F4093" i="139"/>
  <c r="F2647" i="139"/>
  <c r="F3417" i="139"/>
  <c r="F23" i="139"/>
  <c r="F2844" i="139"/>
  <c r="F2087" i="139"/>
  <c r="F932" i="139"/>
  <c r="F3078" i="139"/>
  <c r="F2534" i="139"/>
  <c r="F327" i="139"/>
  <c r="F1359" i="139"/>
  <c r="F3329" i="139"/>
  <c r="F935" i="139"/>
  <c r="F1057" i="139"/>
  <c r="F810" i="139"/>
  <c r="F429" i="139"/>
  <c r="F1531" i="139"/>
  <c r="F665" i="139"/>
  <c r="F2296" i="139"/>
  <c r="F66" i="139"/>
  <c r="F2478" i="139"/>
  <c r="F84" i="139"/>
  <c r="F34" i="139"/>
  <c r="F3795" i="139"/>
  <c r="F4047" i="139"/>
  <c r="F3689" i="139"/>
  <c r="F581" i="139"/>
  <c r="F3594" i="139"/>
  <c r="F2848" i="139"/>
  <c r="F792" i="139"/>
  <c r="F2104" i="139"/>
  <c r="F370" i="139"/>
  <c r="F3145" i="139"/>
  <c r="F2929" i="139"/>
  <c r="F650" i="139"/>
  <c r="F1654" i="139"/>
  <c r="F685" i="139"/>
  <c r="F1772" i="139"/>
  <c r="F3448" i="139"/>
  <c r="F3432" i="139"/>
  <c r="F169" i="139"/>
  <c r="F3794" i="139"/>
  <c r="F213" i="139"/>
  <c r="F3638" i="139"/>
  <c r="F2530" i="139"/>
  <c r="F1127" i="139"/>
  <c r="F3646" i="139"/>
  <c r="F599" i="139"/>
  <c r="F1960" i="139"/>
  <c r="F1971" i="139"/>
  <c r="F977" i="139"/>
  <c r="F1264" i="139"/>
  <c r="F15" i="139"/>
  <c r="F1048" i="139"/>
  <c r="F2838" i="139"/>
  <c r="F274" i="139"/>
  <c r="F1598" i="139"/>
  <c r="F3710" i="139"/>
  <c r="F1480" i="139"/>
  <c r="F3784" i="139"/>
  <c r="F3486" i="139"/>
  <c r="F2664" i="139"/>
  <c r="F3568" i="139"/>
  <c r="F3226" i="139"/>
  <c r="F2269" i="139"/>
  <c r="F789" i="139"/>
  <c r="F2146" i="139"/>
  <c r="F2244" i="139"/>
  <c r="F3001" i="139"/>
  <c r="F691" i="139"/>
  <c r="F2259" i="139"/>
  <c r="F1471" i="139"/>
  <c r="F3913" i="139"/>
  <c r="F2591" i="139"/>
  <c r="F1685" i="139"/>
  <c r="F1792" i="139"/>
  <c r="F1710" i="139"/>
  <c r="F3430" i="139"/>
  <c r="F2488" i="139"/>
  <c r="F1358" i="139"/>
  <c r="F1646" i="139"/>
  <c r="F317" i="139"/>
  <c r="F1131" i="139"/>
  <c r="F2843" i="139"/>
  <c r="F1829" i="139"/>
  <c r="F1012" i="139"/>
  <c r="F147" i="139"/>
  <c r="F1461" i="139"/>
  <c r="F3435" i="139"/>
  <c r="F3848" i="139"/>
  <c r="F3119" i="139"/>
  <c r="F708" i="139"/>
  <c r="F736" i="139"/>
  <c r="F480" i="139"/>
  <c r="F2030" i="139"/>
  <c r="F652" i="139"/>
  <c r="F2910" i="139"/>
  <c r="F3551" i="139"/>
  <c r="F1692" i="139"/>
  <c r="F3189" i="139"/>
  <c r="F1360" i="139"/>
  <c r="F1024" i="139"/>
  <c r="F3158" i="139"/>
  <c r="F3051" i="139"/>
  <c r="F3275" i="139"/>
  <c r="F1035" i="139"/>
  <c r="F109" i="139"/>
  <c r="F3455" i="139"/>
  <c r="F3228" i="139"/>
  <c r="F3054" i="139"/>
  <c r="F1982" i="139"/>
  <c r="F1092" i="139"/>
  <c r="F3151" i="139"/>
  <c r="F76" i="139"/>
  <c r="F3660" i="139"/>
  <c r="F153" i="139"/>
  <c r="F3370" i="139"/>
  <c r="F2517" i="139"/>
  <c r="F1254" i="139"/>
  <c r="F622" i="139"/>
  <c r="F669" i="139"/>
  <c r="F3293" i="139"/>
  <c r="F2397" i="139"/>
  <c r="F117" i="139"/>
  <c r="F2054" i="139"/>
  <c r="F2214" i="139"/>
  <c r="F2055" i="139"/>
  <c r="F1443" i="139"/>
  <c r="F3305" i="139"/>
  <c r="F1392" i="139"/>
  <c r="F3260" i="139"/>
  <c r="F3102" i="139"/>
  <c r="F4094" i="139"/>
  <c r="F3809" i="139"/>
  <c r="F1861" i="139"/>
  <c r="F3550" i="139"/>
  <c r="F839" i="139"/>
  <c r="F1176" i="139"/>
  <c r="F3319" i="139"/>
  <c r="F1126" i="139"/>
  <c r="F1169" i="139"/>
  <c r="F949" i="139"/>
  <c r="F2800" i="139"/>
  <c r="F4053" i="139"/>
  <c r="F2075" i="139"/>
  <c r="F1541" i="139"/>
  <c r="F2973" i="139"/>
  <c r="F3723" i="139"/>
  <c r="F2836" i="139"/>
  <c r="F3033" i="139"/>
  <c r="F3614" i="139"/>
  <c r="F1163" i="139"/>
  <c r="F3892" i="139"/>
  <c r="F1870" i="139"/>
  <c r="F2467" i="139"/>
  <c r="F2513" i="139"/>
  <c r="F1782" i="139"/>
  <c r="F3824" i="139"/>
  <c r="F1256" i="139"/>
  <c r="F3647" i="139"/>
  <c r="F3223" i="139"/>
  <c r="F1732" i="139"/>
  <c r="F3224" i="139"/>
  <c r="F2074" i="139"/>
  <c r="F2491" i="139"/>
  <c r="F2427" i="139"/>
  <c r="F2805" i="139"/>
  <c r="F3279" i="139"/>
  <c r="F3934" i="139"/>
  <c r="F2868" i="139"/>
  <c r="F3205" i="139"/>
  <c r="F2299" i="139"/>
  <c r="F193" i="139"/>
  <c r="F3032" i="139"/>
  <c r="F2005" i="139"/>
  <c r="F3749" i="139"/>
  <c r="F1477" i="139"/>
  <c r="F506" i="139"/>
  <c r="F1137" i="139"/>
  <c r="F1402" i="139"/>
  <c r="F715" i="139"/>
  <c r="F1819" i="139"/>
  <c r="F212" i="139"/>
  <c r="F687" i="139"/>
  <c r="F702" i="139"/>
  <c r="F1902" i="139"/>
  <c r="F3574" i="139"/>
  <c r="F1984" i="139"/>
  <c r="F3851" i="139"/>
  <c r="F724" i="139"/>
  <c r="F3944" i="139"/>
  <c r="F3381" i="139"/>
  <c r="F2129" i="139"/>
  <c r="F560" i="139"/>
  <c r="F4062" i="139"/>
  <c r="F1915" i="139"/>
  <c r="F1468" i="139"/>
  <c r="F1260" i="139"/>
  <c r="F4004" i="139"/>
  <c r="F1927" i="139"/>
  <c r="F2823" i="139"/>
  <c r="F3167" i="139"/>
  <c r="F3353" i="139"/>
  <c r="F4028" i="139"/>
  <c r="F234" i="139"/>
  <c r="F2908" i="139"/>
  <c r="F1199" i="139"/>
  <c r="F2571" i="139"/>
  <c r="F2228" i="139"/>
  <c r="F1524" i="139"/>
  <c r="F309" i="139"/>
  <c r="F2022" i="139"/>
  <c r="F2557" i="139"/>
  <c r="F2943" i="139"/>
  <c r="F2961" i="139"/>
  <c r="F803" i="139"/>
  <c r="F1776" i="139"/>
  <c r="F3261" i="139"/>
  <c r="F3625" i="139"/>
  <c r="F3745" i="139"/>
  <c r="F2195" i="139"/>
  <c r="F2110" i="139"/>
  <c r="F3835" i="139"/>
  <c r="F236" i="139"/>
  <c r="F1697" i="139"/>
  <c r="F1926" i="139"/>
  <c r="F1244" i="139"/>
  <c r="F981" i="139"/>
  <c r="F3007" i="139"/>
  <c r="F4039" i="139"/>
  <c r="F1158" i="139"/>
  <c r="F2449" i="139"/>
  <c r="F2111" i="139"/>
  <c r="F1023" i="139"/>
  <c r="F2698" i="139"/>
  <c r="F1164" i="139"/>
  <c r="F3419" i="139"/>
  <c r="F159" i="139"/>
  <c r="F172" i="139"/>
  <c r="F26" i="139"/>
  <c r="F364" i="139"/>
  <c r="F54" i="139"/>
  <c r="F3805" i="139"/>
  <c r="F739" i="139"/>
  <c r="F2707" i="139"/>
  <c r="F3085" i="139"/>
  <c r="F2757" i="139"/>
  <c r="F1802" i="139"/>
  <c r="F2154" i="139"/>
  <c r="F3709" i="139"/>
  <c r="F3860" i="139"/>
  <c r="F2263" i="139"/>
  <c r="F1781" i="139"/>
  <c r="F908" i="139"/>
  <c r="F2163" i="139"/>
  <c r="F241" i="139"/>
  <c r="F1593" i="139"/>
  <c r="F762" i="139"/>
  <c r="F2631" i="139"/>
  <c r="F1186" i="139"/>
  <c r="F143" i="139"/>
  <c r="F2596" i="139"/>
  <c r="F2377" i="139"/>
  <c r="F2424" i="139"/>
  <c r="F1255" i="139"/>
  <c r="F1488" i="139"/>
  <c r="F2224" i="139"/>
  <c r="F39" i="139"/>
  <c r="F3623" i="139"/>
  <c r="F127" i="139"/>
  <c r="F2937" i="139"/>
  <c r="F2716" i="139"/>
  <c r="F535" i="139"/>
  <c r="F460" i="139"/>
  <c r="F755" i="139"/>
  <c r="F333" i="139"/>
  <c r="F1756" i="139"/>
  <c r="F893" i="139"/>
  <c r="F1273" i="139"/>
  <c r="F2611" i="139"/>
  <c r="F2226" i="139"/>
  <c r="F2839" i="139"/>
  <c r="F1055" i="139"/>
  <c r="F2665" i="139"/>
  <c r="F2786" i="139"/>
  <c r="F101" i="139"/>
  <c r="F3618" i="139"/>
  <c r="F3454" i="139"/>
  <c r="F3474" i="139"/>
  <c r="F357" i="139"/>
  <c r="F2068" i="139"/>
  <c r="F626" i="139"/>
  <c r="F1087" i="139"/>
  <c r="F569" i="139"/>
  <c r="F2903" i="139"/>
  <c r="F3483" i="139"/>
  <c r="F2690" i="139"/>
  <c r="F3972" i="139"/>
  <c r="F1115" i="139"/>
  <c r="F3572" i="139"/>
  <c r="F3117" i="139"/>
  <c r="F247" i="139"/>
  <c r="F1608" i="139"/>
  <c r="F1916" i="139"/>
  <c r="F3397" i="139"/>
  <c r="F1009" i="139"/>
  <c r="F1394" i="139"/>
  <c r="F703" i="139"/>
  <c r="F1525" i="139"/>
  <c r="F658" i="139"/>
  <c r="F536" i="139"/>
  <c r="F2387" i="139"/>
  <c r="F903" i="139"/>
  <c r="F2622" i="139"/>
  <c r="F533" i="139"/>
  <c r="F1523" i="139"/>
  <c r="F481" i="139"/>
  <c r="F93" i="139"/>
  <c r="F1336" i="139"/>
  <c r="F2489" i="139"/>
  <c r="F1467" i="139"/>
  <c r="F3127" i="139"/>
  <c r="F1250" i="139"/>
  <c r="F468" i="139"/>
  <c r="F13" i="139"/>
  <c r="F805" i="139"/>
  <c r="F2729" i="139"/>
  <c r="F625" i="139"/>
  <c r="F2610" i="139"/>
  <c r="F1362" i="139"/>
  <c r="F2180" i="139"/>
  <c r="F634" i="139"/>
  <c r="F921" i="139"/>
  <c r="F308" i="139"/>
  <c r="F969" i="139"/>
  <c r="F1745" i="139"/>
  <c r="F1687" i="139"/>
  <c r="F520" i="139"/>
  <c r="F2804" i="139"/>
  <c r="F790" i="139"/>
  <c r="F1825" i="139"/>
  <c r="F2373" i="139"/>
  <c r="F2405" i="139"/>
  <c r="F3380" i="139"/>
  <c r="F944" i="139"/>
  <c r="F3035" i="139"/>
  <c r="F3469" i="139"/>
  <c r="F1824" i="139"/>
  <c r="F1218" i="139"/>
  <c r="F3013" i="139"/>
  <c r="F2394" i="139"/>
  <c r="F471" i="139"/>
  <c r="F519" i="139"/>
  <c r="F615" i="139"/>
  <c r="F909" i="139"/>
  <c r="F3912" i="139"/>
  <c r="F427" i="139"/>
  <c r="F3476" i="139"/>
  <c r="F3494" i="139"/>
  <c r="F2201" i="139"/>
  <c r="F507" i="139"/>
  <c r="F409" i="139"/>
  <c r="F2095" i="139"/>
  <c r="F1777" i="139"/>
  <c r="F1170" i="139"/>
  <c r="F2370" i="139"/>
  <c r="F2894" i="139"/>
  <c r="F1677" i="139"/>
  <c r="F3746" i="139"/>
  <c r="F757" i="139"/>
  <c r="F2254" i="139"/>
  <c r="F1628" i="139"/>
  <c r="F2276" i="139"/>
  <c r="F2602" i="139"/>
  <c r="F2090" i="139"/>
  <c r="F2879" i="139"/>
  <c r="F231" i="139"/>
  <c r="F1636" i="139"/>
  <c r="F1269" i="139"/>
  <c r="F3274" i="139"/>
  <c r="F771" i="139"/>
  <c r="F525" i="139"/>
  <c r="F2789" i="139"/>
  <c r="F1748" i="139"/>
  <c r="F943" i="139"/>
  <c r="F1554" i="139"/>
  <c r="F131" i="139"/>
  <c r="F2685" i="139"/>
  <c r="F128" i="139"/>
  <c r="F2216" i="139"/>
  <c r="F4091" i="139"/>
  <c r="F4066" i="139"/>
  <c r="F2203" i="139"/>
  <c r="F3266" i="139"/>
  <c r="F3316" i="139"/>
  <c r="F505" i="139"/>
  <c r="F3041" i="139"/>
  <c r="F3053" i="139"/>
  <c r="F1433" i="139"/>
  <c r="F2639" i="139"/>
  <c r="F1201" i="139"/>
  <c r="F1831" i="139"/>
  <c r="F3526" i="139"/>
  <c r="F1005" i="139"/>
  <c r="F575" i="139"/>
  <c r="F110" i="139"/>
  <c r="F631" i="139"/>
  <c r="F2514" i="139"/>
  <c r="F896" i="139"/>
  <c r="F2466" i="139"/>
  <c r="F3048" i="139"/>
  <c r="F1917" i="139"/>
  <c r="F2725" i="139"/>
  <c r="F2463" i="139"/>
  <c r="F2392" i="139"/>
  <c r="F2385" i="139"/>
  <c r="F205" i="139"/>
  <c r="F3360" i="139"/>
  <c r="F1668" i="139"/>
  <c r="F2016" i="139"/>
  <c r="F866" i="139"/>
  <c r="F557" i="139"/>
  <c r="F3196" i="139"/>
  <c r="F990" i="139"/>
  <c r="F2833" i="139"/>
  <c r="F2679" i="139"/>
  <c r="F1435" i="139"/>
  <c r="F1790" i="139"/>
  <c r="F3348" i="139"/>
  <c r="F3734" i="139"/>
  <c r="F4055" i="139"/>
  <c r="F1543" i="139"/>
  <c r="F3335" i="139"/>
  <c r="F380" i="139"/>
  <c r="F3485" i="139"/>
  <c r="F1386" i="139"/>
  <c r="F1662" i="139"/>
  <c r="F1364" i="139"/>
  <c r="F1680" i="139"/>
  <c r="F1561" i="139"/>
  <c r="F182" i="139"/>
  <c r="F671" i="139"/>
  <c r="F85" i="139"/>
  <c r="F2209" i="139"/>
  <c r="F1341" i="139"/>
  <c r="F1635" i="139"/>
  <c r="F1738" i="139"/>
  <c r="F1094" i="139"/>
  <c r="F1501" i="139"/>
  <c r="F684" i="139"/>
  <c r="F1155" i="139"/>
  <c r="F2691" i="139"/>
  <c r="F3705" i="139"/>
  <c r="F3191" i="139"/>
  <c r="F80" i="139"/>
  <c r="F3214" i="139"/>
  <c r="F157" i="139"/>
  <c r="F3792" i="139"/>
  <c r="F2359" i="139"/>
  <c r="F2416" i="139"/>
  <c r="F3426" i="139"/>
  <c r="F2094" i="139"/>
  <c r="F3987" i="139"/>
  <c r="F2612" i="139"/>
  <c r="F1950" i="139"/>
  <c r="F3295" i="139"/>
  <c r="F3519" i="139"/>
  <c r="F3396" i="139"/>
  <c r="F2983" i="139"/>
  <c r="F2182" i="139"/>
  <c r="F1873" i="139"/>
  <c r="F3414" i="139"/>
  <c r="F2147" i="139"/>
  <c r="F1676" i="139"/>
  <c r="F1887" i="139"/>
  <c r="F832" i="139"/>
  <c r="F2260" i="139"/>
  <c r="F756" i="139"/>
  <c r="F1180" i="139"/>
  <c r="F2949" i="139"/>
  <c r="F3960" i="139"/>
  <c r="F3128" i="139"/>
  <c r="F2816" i="139"/>
  <c r="F3682" i="139"/>
  <c r="F2709" i="139"/>
  <c r="F3588" i="139"/>
  <c r="F1431" i="139"/>
  <c r="F3921" i="139"/>
  <c r="F1397" i="139"/>
  <c r="F1188" i="139"/>
  <c r="F1412" i="139"/>
  <c r="F3246" i="139"/>
  <c r="F187" i="139"/>
  <c r="F2850" i="139"/>
  <c r="F2751" i="139"/>
  <c r="F963" i="139"/>
  <c r="F1770" i="139"/>
  <c r="F2692" i="139"/>
  <c r="F277" i="139"/>
  <c r="F2891" i="139"/>
  <c r="F2548" i="139"/>
  <c r="F3443" i="139"/>
  <c r="F3257" i="139"/>
  <c r="F1053" i="139"/>
  <c r="F285" i="139"/>
  <c r="F2097" i="139"/>
  <c r="F328" i="139"/>
  <c r="F2758" i="139"/>
  <c r="F2272" i="139"/>
  <c r="F4010" i="139"/>
  <c r="F3242" i="139"/>
  <c r="F3374" i="139"/>
  <c r="F3643" i="139"/>
  <c r="F502" i="139"/>
  <c r="F1921" i="139"/>
  <c r="F3373" i="139"/>
  <c r="F1097" i="139"/>
  <c r="F176" i="139"/>
  <c r="F809" i="139"/>
  <c r="F1224" i="139"/>
  <c r="F784" i="139"/>
  <c r="F712" i="139"/>
  <c r="F812" i="139"/>
  <c r="F2268" i="139"/>
  <c r="F2098" i="139"/>
  <c r="F3113" i="139"/>
  <c r="F1487" i="139"/>
  <c r="F2426" i="139"/>
  <c r="F2379" i="139"/>
  <c r="F1940" i="139"/>
  <c r="F4061" i="139"/>
  <c r="F3983" i="139"/>
  <c r="F3688" i="139"/>
  <c r="F716" i="139"/>
  <c r="F2038" i="139"/>
  <c r="F1287" i="139"/>
  <c r="F2083" i="139"/>
  <c r="F1337" i="139"/>
  <c r="F3735" i="139"/>
  <c r="F1293" i="139"/>
  <c r="F276" i="139"/>
  <c r="F2375" i="139"/>
  <c r="F2069" i="139"/>
  <c r="F3565" i="139"/>
  <c r="F2666" i="139"/>
  <c r="F2562" i="139"/>
  <c r="F3788" i="139"/>
  <c r="F311" i="139"/>
  <c r="F1571" i="139"/>
  <c r="F3677" i="139"/>
  <c r="F3237" i="139"/>
  <c r="F4020" i="139"/>
  <c r="F1067" i="139"/>
  <c r="F3894" i="139"/>
  <c r="F3487" i="139"/>
  <c r="F3591" i="139"/>
  <c r="F315" i="139"/>
  <c r="F886" i="139"/>
  <c r="F3639" i="139"/>
  <c r="F498" i="139"/>
  <c r="F3091" i="139"/>
  <c r="F484" i="139"/>
  <c r="F3304" i="139"/>
  <c r="F3235" i="139"/>
  <c r="F2261" i="139"/>
  <c r="F1249" i="139"/>
  <c r="F2144" i="139"/>
  <c r="F1113" i="139"/>
  <c r="F1079" i="139"/>
  <c r="F2252" i="139"/>
  <c r="F3195" i="139"/>
  <c r="F2731" i="139"/>
  <c r="F3220" i="139"/>
  <c r="F1219" i="139"/>
  <c r="F2933" i="139"/>
  <c r="F483" i="139"/>
  <c r="F3607" i="139"/>
  <c r="F3241" i="139"/>
  <c r="F1771" i="139"/>
  <c r="F14" i="139"/>
  <c r="F640" i="139"/>
  <c r="F633" i="139"/>
  <c r="F2889" i="139"/>
  <c r="F497" i="139"/>
  <c r="F442" i="139"/>
  <c r="F177" i="139"/>
  <c r="F1021" i="139"/>
  <c r="F216" i="139"/>
  <c r="F514" i="139"/>
  <c r="F1545" i="139"/>
  <c r="F3521" i="139"/>
  <c r="F1252" i="139"/>
  <c r="F2792" i="139"/>
  <c r="F2998" i="139"/>
  <c r="F1438" i="139"/>
  <c r="F2999" i="139"/>
  <c r="F3144" i="139"/>
  <c r="F35" i="139"/>
  <c r="F140" i="139"/>
  <c r="F1804" i="139"/>
  <c r="F852" i="139"/>
  <c r="F927" i="139"/>
  <c r="F1134" i="139"/>
  <c r="F1365" i="139"/>
  <c r="F2329" i="139"/>
  <c r="F1266" i="139"/>
  <c r="F513" i="139"/>
  <c r="F1910" i="139"/>
  <c r="F142" i="139"/>
  <c r="F2050" i="139"/>
  <c r="F2408" i="139"/>
  <c r="F2418" i="139"/>
  <c r="F2599" i="139"/>
  <c r="F2469" i="139"/>
  <c r="F1903" i="139"/>
  <c r="F1011" i="139"/>
  <c r="F288" i="139"/>
  <c r="F2552" i="139"/>
  <c r="F3975" i="139"/>
  <c r="F135" i="139"/>
  <c r="F217" i="139"/>
  <c r="F3503" i="139"/>
  <c r="F1234" i="139"/>
  <c r="F384" i="139"/>
  <c r="F4073" i="139"/>
  <c r="F1852" i="139"/>
  <c r="F3906" i="139"/>
  <c r="F2006" i="139"/>
  <c r="F835" i="139"/>
  <c r="F3771" i="139"/>
  <c r="F355" i="139"/>
  <c r="F3829" i="139"/>
  <c r="F2870" i="139"/>
  <c r="F2100" i="139"/>
  <c r="F4070" i="139"/>
  <c r="F1540" i="139"/>
  <c r="F44" i="139"/>
  <c r="F826" i="139"/>
  <c r="F2893" i="139"/>
  <c r="F1642" i="139"/>
  <c r="F2414" i="139"/>
  <c r="F770" i="139"/>
  <c r="F2945" i="139"/>
  <c r="F666" i="139"/>
  <c r="F3206" i="139"/>
  <c r="F201" i="139"/>
  <c r="F1272" i="139"/>
  <c r="F3613" i="139"/>
  <c r="F3344" i="139"/>
  <c r="F967" i="139"/>
  <c r="F3801" i="139"/>
  <c r="F2928" i="139"/>
  <c r="F601" i="139"/>
  <c r="F3826" i="139"/>
  <c r="F358" i="139"/>
  <c r="F1969" i="139"/>
  <c r="F2183" i="139"/>
  <c r="F2412" i="139"/>
  <c r="F2067" i="139"/>
  <c r="F4041" i="139"/>
  <c r="F902" i="139"/>
  <c r="F1913" i="139"/>
  <c r="F3139" i="139"/>
  <c r="F3045" i="139"/>
  <c r="F1976" i="139"/>
  <c r="F2428" i="139"/>
  <c r="F2675" i="139"/>
  <c r="F2952" i="139"/>
  <c r="F1001" i="139"/>
  <c r="F3459" i="139"/>
  <c r="F3687" i="139"/>
  <c r="F2915" i="139"/>
  <c r="F123" i="139"/>
  <c r="F3861" i="139"/>
  <c r="F1933" i="139"/>
  <c r="F67" i="139"/>
  <c r="F2077" i="139"/>
  <c r="F3926" i="139"/>
  <c r="F820" i="139"/>
  <c r="F2529" i="139"/>
  <c r="F3271" i="139"/>
  <c r="F3616" i="139"/>
  <c r="F299" i="139"/>
  <c r="F3030" i="139"/>
  <c r="F1246" i="139"/>
  <c r="F229" i="139"/>
  <c r="F3777" i="139"/>
  <c r="F2391" i="139"/>
  <c r="F3429" i="139"/>
  <c r="F2113" i="139"/>
  <c r="F2704" i="139"/>
  <c r="F2406" i="139"/>
  <c r="F3425" i="139"/>
  <c r="F1277" i="139"/>
  <c r="F619" i="139"/>
  <c r="F1190" i="139"/>
  <c r="F862" i="139"/>
  <c r="F1481" i="139"/>
  <c r="F2415" i="139"/>
  <c r="F3951" i="139"/>
  <c r="F184" i="139"/>
  <c r="F3833" i="139"/>
  <c r="F4096" i="139"/>
  <c r="F2862" i="139"/>
  <c r="F3774" i="139"/>
  <c r="F738" i="139"/>
  <c r="F1992" i="139"/>
  <c r="F2767" i="139"/>
  <c r="F97" i="139"/>
  <c r="F2963" i="139"/>
  <c r="F207" i="139"/>
  <c r="F1650" i="139"/>
  <c r="F796" i="139"/>
  <c r="F242" i="139"/>
  <c r="F3675" i="139"/>
  <c r="F1905" i="139"/>
  <c r="F338" i="139"/>
  <c r="F1450" i="139"/>
  <c r="F2723" i="139"/>
  <c r="F2996" i="139"/>
  <c r="F2141" i="139"/>
  <c r="F2939" i="139"/>
  <c r="F488" i="139"/>
  <c r="F788" i="139"/>
  <c r="F4015" i="139"/>
  <c r="F55" i="139"/>
  <c r="F466" i="139"/>
  <c r="F4003" i="139"/>
  <c r="F397" i="139"/>
  <c r="F1912" i="139"/>
  <c r="F3221" i="139"/>
  <c r="F976" i="139"/>
  <c r="F720" i="139"/>
  <c r="F2628" i="139"/>
  <c r="F3398" i="139"/>
  <c r="F3540" i="139"/>
  <c r="F532" i="139"/>
  <c r="F2383" i="139"/>
  <c r="F2959" i="139"/>
  <c r="F2217" i="139"/>
  <c r="F289" i="139"/>
  <c r="F1308" i="139"/>
  <c r="F1008" i="139"/>
  <c r="F1406" i="139"/>
  <c r="F74" i="139"/>
  <c r="F2430" i="139"/>
  <c r="F2673" i="139"/>
  <c r="F3431" i="139"/>
  <c r="F1684" i="139"/>
  <c r="F2177" i="139"/>
  <c r="F2584" i="139"/>
  <c r="F1812" i="139"/>
  <c r="F1378" i="139"/>
  <c r="F3601" i="139"/>
  <c r="F2780" i="139"/>
  <c r="F1599" i="139"/>
  <c r="F2592" i="139"/>
  <c r="F17" i="139"/>
  <c r="F2262" i="139"/>
  <c r="F837" i="139"/>
  <c r="F1449" i="139"/>
  <c r="F1062" i="139"/>
  <c r="F3703" i="139"/>
  <c r="F4031" i="139"/>
  <c r="F2060" i="139"/>
  <c r="F1314" i="139"/>
  <c r="F4044" i="139"/>
  <c r="F3691" i="139"/>
  <c r="F3793" i="139"/>
  <c r="F3699" i="139"/>
  <c r="F3423" i="139"/>
  <c r="F3779" i="139"/>
  <c r="F1215" i="139"/>
  <c r="F4001" i="139"/>
  <c r="F2294" i="139"/>
  <c r="F4052" i="139"/>
  <c r="F1300" i="139"/>
  <c r="F3233" i="139"/>
  <c r="F2052" i="139"/>
  <c r="F377" i="139"/>
  <c r="F744" i="139"/>
  <c r="F2301" i="139"/>
  <c r="F2080" i="139"/>
  <c r="F768" i="139"/>
  <c r="F161" i="139"/>
  <c r="F3580" i="139"/>
  <c r="F3558" i="139"/>
  <c r="F281" i="139"/>
  <c r="F1100" i="139"/>
  <c r="F432" i="139"/>
  <c r="F4086" i="139"/>
  <c r="F2924" i="139"/>
  <c r="F3629" i="139"/>
  <c r="F4069" i="139"/>
  <c r="F3063" i="139"/>
  <c r="F3387" i="139"/>
  <c r="F1899" i="139"/>
  <c r="F3928" i="139"/>
  <c r="F2086" i="139"/>
  <c r="F3979" i="139"/>
  <c r="F4037" i="139"/>
  <c r="F2374" i="139"/>
  <c r="F3899" i="139"/>
  <c r="F3751" i="139"/>
  <c r="F3444" i="139"/>
  <c r="F936" i="139"/>
  <c r="F1946" i="139"/>
  <c r="F1585" i="139"/>
  <c r="F3997" i="139"/>
  <c r="F48" i="139"/>
  <c r="F2906" i="139"/>
  <c r="F692" i="139"/>
  <c r="F379" i="139"/>
  <c r="F3375" i="139"/>
  <c r="F449" i="139"/>
  <c r="F2340" i="139"/>
  <c r="F1892" i="139"/>
  <c r="F2807" i="139"/>
  <c r="F1189" i="139"/>
  <c r="F2061" i="139"/>
  <c r="F2207" i="139"/>
  <c r="F1101" i="139"/>
  <c r="F1157" i="139"/>
  <c r="F1612" i="139"/>
  <c r="F1440" i="139"/>
  <c r="F3524" i="139"/>
  <c r="F2102" i="139"/>
  <c r="F1609" i="139"/>
  <c r="F840" i="139"/>
  <c r="F880" i="139"/>
  <c r="F1054" i="139"/>
  <c r="F1216" i="139"/>
  <c r="F1274" i="139"/>
  <c r="F259" i="139"/>
  <c r="F1019" i="139"/>
  <c r="F1844" i="139"/>
  <c r="F280" i="139"/>
  <c r="F1223" i="139"/>
  <c r="F1213" i="139"/>
  <c r="F3974" i="139"/>
  <c r="F202" i="139"/>
  <c r="F3084" i="139"/>
  <c r="F2164" i="139"/>
  <c r="F1082" i="139"/>
  <c r="F1271" i="139"/>
  <c r="F3092" i="139"/>
  <c r="F2956" i="139"/>
  <c r="F1930" i="139"/>
  <c r="F2974" i="139"/>
  <c r="F2384" i="139"/>
  <c r="F3898" i="139"/>
  <c r="F3555" i="139"/>
  <c r="F249" i="139"/>
  <c r="F3920" i="139"/>
  <c r="F3114" i="139"/>
  <c r="F3772" i="139"/>
  <c r="F2659" i="139"/>
  <c r="F1606" i="139"/>
  <c r="F1130" i="139"/>
  <c r="F2034" i="139"/>
  <c r="F2042" i="139"/>
  <c r="F4002" i="139"/>
  <c r="F3696" i="139"/>
  <c r="F3071" i="139"/>
  <c r="F3098" i="139"/>
  <c r="F1029" i="139"/>
  <c r="F518" i="139"/>
  <c r="F3661" i="139"/>
  <c r="F4046" i="139"/>
  <c r="F960" i="139"/>
  <c r="F1838" i="139"/>
  <c r="F1931" i="139"/>
  <c r="F2021" i="139"/>
  <c r="F2046" i="139"/>
  <c r="F268" i="139"/>
  <c r="F1907" i="139"/>
  <c r="F610" i="139"/>
  <c r="F3038" i="139"/>
  <c r="F2115" i="139"/>
  <c r="F3713" i="139"/>
  <c r="F730" i="139"/>
  <c r="F2518" i="139"/>
  <c r="F922" i="139"/>
  <c r="F3529" i="139"/>
  <c r="F1418" i="139"/>
  <c r="F174" i="139"/>
  <c r="F2029" i="139"/>
  <c r="F441" i="139"/>
  <c r="F1514" i="139"/>
  <c r="F2256" i="139"/>
  <c r="F2702" i="139"/>
  <c r="F3844" i="139"/>
  <c r="F3456" i="139"/>
  <c r="F1959" i="139"/>
  <c r="F2093" i="139"/>
  <c r="F998" i="139"/>
  <c r="F2310" i="139"/>
  <c r="F508" i="139"/>
  <c r="F3067" i="139"/>
  <c r="F807" i="139"/>
  <c r="F3811" i="139"/>
  <c r="F1192" i="139"/>
  <c r="F1967" i="139"/>
  <c r="F2352" i="139"/>
  <c r="F2409" i="139"/>
  <c r="F2210" i="139"/>
  <c r="F2298" i="139"/>
  <c r="F2683" i="139"/>
  <c r="F1486" i="139"/>
  <c r="F1014" i="139"/>
  <c r="F1583" i="139"/>
  <c r="F662" i="139"/>
  <c r="F2680" i="139"/>
  <c r="F2007" i="139"/>
  <c r="F2947" i="139"/>
  <c r="F3545" i="139"/>
  <c r="F1621" i="139"/>
  <c r="F2863" i="139"/>
  <c r="F1864" i="139"/>
  <c r="F145" i="139"/>
  <c r="F407" i="139"/>
  <c r="F1242" i="139"/>
  <c r="F1460" i="139"/>
  <c r="F1647" i="139"/>
  <c r="F544" i="139"/>
  <c r="F2588" i="139"/>
  <c r="F399" i="139"/>
  <c r="F3281" i="139"/>
  <c r="F2941" i="139"/>
  <c r="F3010" i="139"/>
  <c r="F1729" i="139"/>
  <c r="F661" i="139"/>
  <c r="F1590" i="139"/>
  <c r="F1522" i="139"/>
  <c r="F1965" i="139"/>
  <c r="F3873" i="139"/>
  <c r="F849" i="139"/>
  <c r="F1299" i="139"/>
  <c r="F3496" i="139"/>
  <c r="F376" i="139"/>
  <c r="F1895" i="139"/>
  <c r="F4088" i="139"/>
  <c r="F2527" i="139"/>
  <c r="F412" i="139"/>
  <c r="F112" i="139"/>
  <c r="F542" i="139"/>
  <c r="F1124" i="139"/>
  <c r="F973" i="139"/>
  <c r="F3446" i="139"/>
  <c r="F86" i="139"/>
  <c r="F3412" i="139"/>
  <c r="F2942" i="139"/>
  <c r="F3599" i="139"/>
  <c r="F1325" i="139"/>
  <c r="F1491" i="139"/>
  <c r="F3970" i="139"/>
  <c r="F1398" i="139"/>
  <c r="F1730" i="139"/>
  <c r="F2971" i="139"/>
  <c r="F3061" i="139"/>
  <c r="F3136" i="139"/>
  <c r="F3093" i="139"/>
  <c r="F948" i="139"/>
  <c r="F356" i="139"/>
  <c r="F1118" i="139"/>
  <c r="F2808" i="139"/>
  <c r="F1340" i="139"/>
  <c r="F1447" i="139"/>
  <c r="F3736" i="139"/>
  <c r="F953" i="139"/>
  <c r="F1230" i="139"/>
  <c r="F396" i="139"/>
  <c r="F1494" i="139"/>
  <c r="F1089" i="139"/>
  <c r="F3882" i="139"/>
  <c r="F2966" i="139"/>
  <c r="F3115" i="139"/>
  <c r="F4090" i="139"/>
  <c r="F3940" i="139"/>
  <c r="F677" i="139"/>
  <c r="F1333" i="139"/>
  <c r="F2567" i="139"/>
  <c r="F1445" i="139"/>
  <c r="F2462" i="139"/>
  <c r="F1849" i="139"/>
  <c r="F2446" i="139"/>
  <c r="F10" i="139"/>
  <c r="F2349" i="139"/>
  <c r="F3103" i="139"/>
  <c r="F915" i="139"/>
  <c r="F325" i="139"/>
  <c r="F2782" i="139"/>
  <c r="F3445" i="139"/>
  <c r="F676" i="139"/>
  <c r="F2594" i="139"/>
  <c r="F1139" i="139"/>
  <c r="F749" i="139"/>
  <c r="F751" i="139"/>
  <c r="F2447" i="139"/>
  <c r="F3433" i="139"/>
  <c r="F491" i="139"/>
  <c r="F3179" i="139"/>
  <c r="F3707" i="139"/>
  <c r="F2686" i="139"/>
  <c r="F3780" i="139"/>
  <c r="F2378" i="139"/>
  <c r="F1999" i="139"/>
  <c r="F522" i="139"/>
  <c r="F842" i="139"/>
  <c r="F1860" i="139"/>
  <c r="F3027" i="139"/>
  <c r="F2472" i="139"/>
  <c r="F343" i="139"/>
  <c r="F628" i="139"/>
  <c r="F2953" i="139"/>
  <c r="F552" i="139"/>
  <c r="F1901" i="139"/>
  <c r="F2157" i="139"/>
  <c r="F1204" i="139"/>
  <c r="F1763" i="139"/>
  <c r="F2483" i="139"/>
  <c r="F3505" i="139"/>
  <c r="F3581" i="139"/>
  <c r="F3465" i="139"/>
  <c r="F2590" i="139"/>
  <c r="F437" i="139"/>
  <c r="F240" i="139"/>
  <c r="F3437" i="139"/>
  <c r="F2955" i="139"/>
  <c r="F2962" i="139"/>
  <c r="F873" i="139"/>
  <c r="F828" i="139"/>
  <c r="F3598" i="139"/>
  <c r="F3936" i="139"/>
  <c r="F1385" i="139"/>
  <c r="F528" i="139"/>
  <c r="F2297" i="139"/>
  <c r="F3739" i="139"/>
  <c r="F2313" i="139"/>
  <c r="F78" i="139"/>
  <c r="F1257" i="139"/>
  <c r="F107" i="139"/>
  <c r="F901" i="139"/>
  <c r="F1689" i="139"/>
  <c r="F3659" i="139"/>
  <c r="F3037" i="139"/>
  <c r="F2193" i="139"/>
  <c r="F385" i="139"/>
  <c r="F3106" i="139"/>
  <c r="F1112" i="139"/>
  <c r="F2890" i="139"/>
  <c r="F1712" i="139"/>
  <c r="F3728" i="139"/>
  <c r="F690" i="139"/>
  <c r="F2347" i="139"/>
  <c r="F3747" i="139"/>
  <c r="F3743" i="139"/>
  <c r="F146" i="139"/>
  <c r="F2520" i="139"/>
  <c r="F2597" i="139"/>
  <c r="F3213" i="139"/>
  <c r="F1288" i="139"/>
  <c r="F3617" i="139"/>
  <c r="F2304" i="139"/>
  <c r="F420" i="139"/>
  <c r="F2519" i="139"/>
  <c r="F558" i="139"/>
  <c r="F152" i="139"/>
  <c r="F959" i="139"/>
  <c r="F926" i="139"/>
  <c r="F1096" i="139"/>
  <c r="F2015" i="139"/>
  <c r="F1618" i="139"/>
  <c r="F1414" i="139"/>
  <c r="F3733" i="139"/>
  <c r="F884" i="139"/>
  <c r="F100" i="139"/>
  <c r="F3245" i="139"/>
  <c r="F1181" i="139"/>
  <c r="F2824" i="139"/>
  <c r="F732" i="139"/>
  <c r="F3404" i="139"/>
  <c r="F711" i="139"/>
  <c r="F1263" i="139"/>
  <c r="F2443" i="139"/>
  <c r="F1200" i="139"/>
  <c r="F221" i="139"/>
  <c r="F1144" i="139"/>
  <c r="F391" i="139"/>
  <c r="F2909" i="139"/>
  <c r="F3814" i="139"/>
  <c r="F3024" i="139"/>
  <c r="F1231" i="139"/>
  <c r="F1785" i="139"/>
  <c r="F3312" i="139"/>
  <c r="F847" i="139"/>
  <c r="F2238" i="139"/>
  <c r="F1932" i="139"/>
  <c r="F2184" i="139"/>
  <c r="F3395" i="139"/>
  <c r="F3683" i="139"/>
  <c r="F192" i="139"/>
  <c r="F1601" i="139"/>
  <c r="F3262" i="139"/>
  <c r="F1894" i="139"/>
  <c r="F3886" i="139"/>
  <c r="F2179" i="139"/>
  <c r="F3109" i="139"/>
  <c r="F2076" i="139"/>
  <c r="F1559" i="139"/>
  <c r="F1515" i="139"/>
  <c r="F920" i="139"/>
  <c r="F675" i="139"/>
  <c r="F2293" i="139"/>
  <c r="F233" i="139"/>
  <c r="F3708" i="139"/>
  <c r="F1803" i="139"/>
  <c r="F2717" i="139"/>
  <c r="F1787" i="139"/>
  <c r="F63" i="139"/>
  <c r="F1868" i="139"/>
  <c r="F1755" i="139"/>
  <c r="F3908" i="139"/>
  <c r="F2608" i="139"/>
  <c r="F3493" i="139"/>
  <c r="F1060" i="139"/>
  <c r="F1706" i="139"/>
  <c r="F598" i="139"/>
  <c r="F1666" i="139"/>
  <c r="F1734" i="139"/>
  <c r="F2330" i="139"/>
  <c r="F3118" i="139"/>
  <c r="F2899" i="139"/>
  <c r="F4022" i="139"/>
  <c r="F1070" i="139"/>
  <c r="F1597" i="139"/>
  <c r="F1108" i="139"/>
  <c r="F1503" i="139"/>
  <c r="F3765" i="139"/>
  <c r="F3818" i="139"/>
  <c r="F1885" i="139"/>
  <c r="F2569" i="139"/>
  <c r="F2282" i="139"/>
  <c r="F3711" i="139"/>
  <c r="F1292" i="139"/>
  <c r="F3468" i="139"/>
  <c r="F972" i="139"/>
  <c r="F3964" i="139"/>
  <c r="F2763" i="139"/>
  <c r="F1699" i="139"/>
  <c r="F1512" i="139"/>
  <c r="F1207" i="139"/>
  <c r="F1405" i="139"/>
  <c r="F939" i="139"/>
  <c r="F2538" i="139"/>
  <c r="F3049" i="139"/>
  <c r="F4087" i="139"/>
  <c r="F951" i="139"/>
  <c r="F1091" i="139"/>
  <c r="F1796" i="139"/>
  <c r="F1877" i="139"/>
  <c r="F3567" i="139"/>
  <c r="F958" i="139"/>
  <c r="F590" i="139"/>
  <c r="F727" i="139"/>
  <c r="F3153" i="139"/>
  <c r="F2336" i="139"/>
  <c r="F3405" i="139"/>
  <c r="F3183" i="139"/>
  <c r="F160" i="139"/>
  <c r="F1379" i="139"/>
  <c r="F2755" i="139"/>
  <c r="F2431" i="139"/>
  <c r="F3518" i="139"/>
  <c r="F2091" i="139"/>
  <c r="F1898" i="139"/>
  <c r="F2523" i="139"/>
  <c r="F3930" i="139"/>
  <c r="F1344" i="139"/>
  <c r="F1944" i="139"/>
  <c r="F3719" i="139"/>
  <c r="F1259" i="139"/>
  <c r="F3993" i="139"/>
  <c r="F2638" i="139"/>
  <c r="F1279" i="139"/>
  <c r="F2980" i="139"/>
  <c r="F539" i="139"/>
  <c r="F2636" i="139"/>
  <c r="F4075" i="139"/>
  <c r="F1025" i="139"/>
  <c r="F1504" i="139"/>
  <c r="F1413" i="139"/>
  <c r="F871" i="139"/>
  <c r="F111" i="139"/>
  <c r="F1135" i="139"/>
  <c r="F1607" i="139"/>
  <c r="F91" i="139"/>
  <c r="F3510" i="139"/>
  <c r="F3243" i="139"/>
  <c r="F2964" i="139"/>
  <c r="F1098" i="139"/>
  <c r="F1373" i="139"/>
  <c r="F705" i="139"/>
  <c r="F7" i="139"/>
  <c r="F2802" i="139"/>
  <c r="F2846" i="139"/>
  <c r="F3207" i="139"/>
  <c r="F2192" i="139"/>
  <c r="F2737" i="139"/>
  <c r="F1203" i="139"/>
  <c r="F3361" i="139"/>
  <c r="F3900" i="139"/>
  <c r="F424" i="139"/>
  <c r="F1227" i="139"/>
  <c r="F1936" i="139"/>
  <c r="F3637" i="139"/>
  <c r="F3259" i="139"/>
  <c r="F2907" i="139"/>
  <c r="F340" i="139"/>
  <c r="F2227" i="139"/>
  <c r="F3642" i="139"/>
  <c r="F1703" i="139"/>
  <c r="F1786" i="139"/>
  <c r="F375" i="139"/>
  <c r="F3362" i="139"/>
  <c r="F2477" i="139"/>
  <c r="F888" i="139"/>
  <c r="F974" i="139"/>
  <c r="F2865" i="139"/>
  <c r="F1855" i="139"/>
  <c r="F3170" i="139"/>
  <c r="F1458" i="139"/>
  <c r="F3173" i="139"/>
  <c r="F1457" i="139"/>
  <c r="F348" i="139"/>
  <c r="F1578" i="139"/>
  <c r="F2681" i="139"/>
  <c r="F3727" i="139"/>
  <c r="F251" i="139"/>
  <c r="F571" i="139"/>
  <c r="F3813" i="139"/>
  <c r="F2784" i="139"/>
  <c r="F1311" i="139"/>
  <c r="F651" i="139"/>
  <c r="F260" i="139"/>
  <c r="F1258" i="139"/>
  <c r="F1769" i="139"/>
  <c r="F1298" i="139"/>
  <c r="F3424" i="139"/>
  <c r="F2912" i="139"/>
  <c r="F1633" i="139"/>
  <c r="F3849" i="139"/>
  <c r="F3553" i="139"/>
  <c r="F199" i="139"/>
  <c r="F2031" i="139"/>
  <c r="F134" i="139"/>
  <c r="F2944" i="139"/>
  <c r="F2255" i="139"/>
  <c r="F688" i="139"/>
  <c r="F1828" i="139"/>
  <c r="F3865" i="139"/>
  <c r="F885" i="139"/>
  <c r="F3184" i="139"/>
  <c r="F2237" i="139"/>
  <c r="F59" i="139"/>
  <c r="F656" i="139"/>
  <c r="F776" i="139"/>
  <c r="F2107" i="139"/>
  <c r="F3500" i="139"/>
  <c r="F3762" i="139"/>
  <c r="F3126" i="139"/>
  <c r="F1261" i="139"/>
  <c r="F1814" i="139"/>
  <c r="F175" i="139"/>
  <c r="F1354" i="139"/>
  <c r="F3267" i="139"/>
  <c r="F3297" i="139"/>
  <c r="F119" i="139"/>
  <c r="F306" i="139"/>
  <c r="F3530" i="139"/>
  <c r="F2834" i="139"/>
  <c r="F1975" i="139"/>
  <c r="F3296" i="139"/>
  <c r="F16" i="139"/>
  <c r="F324" i="139"/>
  <c r="F2174" i="139"/>
  <c r="F1663" i="139"/>
  <c r="F653" i="139"/>
  <c r="F3069" i="139"/>
  <c r="F3579" i="139"/>
  <c r="F1726" i="139"/>
  <c r="F1153" i="139"/>
  <c r="F2572" i="139"/>
  <c r="F3401" i="139"/>
  <c r="F2842" i="139"/>
  <c r="F2444" i="139"/>
  <c r="F1817" i="139"/>
  <c r="F2901" i="139"/>
  <c r="F992" i="139"/>
  <c r="F3905" i="139"/>
  <c r="F2667" i="139"/>
  <c r="F910" i="139"/>
  <c r="F2399" i="139"/>
  <c r="F2355" i="139"/>
  <c r="F1050" i="139"/>
  <c r="F68" i="139"/>
  <c r="F1295" i="139"/>
  <c r="F2745" i="139"/>
  <c r="F2761" i="139"/>
  <c r="F1110" i="139"/>
  <c r="F1301" i="139"/>
  <c r="F1569" i="139"/>
  <c r="F1751" i="139"/>
  <c r="F2081" i="139"/>
  <c r="F1843" i="139"/>
  <c r="F609" i="139"/>
  <c r="F2923" i="139"/>
  <c r="F1228" i="139"/>
  <c r="F3831" i="139"/>
  <c r="F3416" i="139"/>
  <c r="F1455" i="139"/>
  <c r="F3807" i="139"/>
  <c r="F1085" i="139"/>
  <c r="F2724" i="139"/>
  <c r="F2946" i="139"/>
  <c r="F3012" i="139"/>
  <c r="F1083" i="139"/>
  <c r="F2670" i="139"/>
  <c r="F1143" i="139"/>
  <c r="F2852" i="139"/>
  <c r="F897" i="139"/>
  <c r="F225" i="139"/>
  <c r="F2718" i="139"/>
  <c r="F3967" i="139"/>
  <c r="F1395" i="139"/>
  <c r="F2326" i="139"/>
  <c r="F2815" i="139"/>
  <c r="F3549" i="139"/>
  <c r="F82" i="139"/>
  <c r="F2134" i="139"/>
  <c r="F3320" i="139"/>
  <c r="F1937" i="139"/>
  <c r="F3142" i="139"/>
  <c r="F1987" i="139"/>
  <c r="F3015" i="139"/>
  <c r="F1550" i="139"/>
  <c r="F1093" i="139"/>
  <c r="F4082" i="139"/>
  <c r="F1401" i="139"/>
  <c r="F3164" i="139"/>
  <c r="F164" i="139"/>
  <c r="F710" i="139"/>
  <c r="F3576" i="139"/>
  <c r="F2369" i="139"/>
  <c r="F928" i="139"/>
  <c r="F1714" i="139"/>
  <c r="F3055" i="139"/>
  <c r="F2213" i="139"/>
  <c r="F961" i="139"/>
  <c r="F3480" i="139"/>
  <c r="F1528" i="139"/>
  <c r="F1476" i="139"/>
  <c r="F2646" i="139"/>
  <c r="F846" i="139"/>
  <c r="F3251" i="139"/>
  <c r="F2048" i="139"/>
  <c r="F2875" i="139"/>
  <c r="F854" i="139"/>
  <c r="F3249" i="139"/>
  <c r="F1285" i="139"/>
  <c r="F330" i="139"/>
  <c r="F2873" i="139"/>
  <c r="F2558" i="139"/>
  <c r="F632" i="139"/>
  <c r="F195" i="139"/>
  <c r="F3311" i="139"/>
  <c r="F326" i="139"/>
  <c r="F2710" i="139"/>
  <c r="F3692" i="139"/>
  <c r="F1451" i="139"/>
  <c r="F1774" i="139"/>
  <c r="F2543" i="139"/>
  <c r="F2212" i="139"/>
  <c r="F1572" i="139"/>
  <c r="F3181" i="139"/>
  <c r="F3354" i="139"/>
  <c r="F3904" i="139"/>
  <c r="F1977" i="139"/>
  <c r="F467" i="139"/>
  <c r="F2035" i="139"/>
  <c r="F2860" i="139"/>
  <c r="F1066" i="139"/>
  <c r="F3216" i="139"/>
  <c r="F439" i="139"/>
  <c r="F2221" i="139"/>
  <c r="F2249" i="139"/>
  <c r="F1132" i="139"/>
  <c r="F3909" i="139"/>
  <c r="F567" i="139"/>
  <c r="F3847" i="139"/>
  <c r="F2248" i="139"/>
  <c r="F495" i="139"/>
  <c r="F3634" i="139"/>
  <c r="F2505" i="139"/>
  <c r="F3407" i="139"/>
  <c r="F114" i="139"/>
  <c r="F2904" i="139"/>
  <c r="F1202" i="139"/>
  <c r="F938" i="139"/>
  <c r="F3669" i="139"/>
  <c r="F2746" i="139"/>
  <c r="F3208" i="139"/>
  <c r="F1018" i="139"/>
  <c r="F1377" i="139"/>
  <c r="F568" i="139"/>
  <c r="F1820" i="139"/>
  <c r="F394" i="139"/>
  <c r="F1736" i="139"/>
  <c r="F2280" i="139"/>
  <c r="F543" i="139"/>
  <c r="F3043" i="139"/>
  <c r="F3107" i="139"/>
  <c r="F2515" i="139"/>
  <c r="F2432" i="139"/>
  <c r="F3962" i="139"/>
  <c r="F73" i="139"/>
  <c r="F120" i="139"/>
  <c r="F3803" i="139"/>
  <c r="F2742" i="139"/>
  <c r="F2920" i="139"/>
  <c r="F1721" i="139"/>
  <c r="F3520" i="139"/>
  <c r="F856" i="139"/>
  <c r="F445" i="139"/>
  <c r="F422" i="139"/>
  <c r="F316" i="139"/>
  <c r="F773" i="139"/>
  <c r="F1187" i="139"/>
  <c r="F3662" i="139"/>
  <c r="F2143" i="139"/>
  <c r="F2233" i="139"/>
  <c r="F679" i="139"/>
  <c r="F1856" i="139"/>
  <c r="F60" i="139"/>
  <c r="F2766" i="139"/>
  <c r="F3605" i="139"/>
  <c r="F4079" i="139"/>
  <c r="F2502" i="139"/>
  <c r="F3543" i="139"/>
  <c r="F150" i="139"/>
  <c r="F3400" i="139"/>
  <c r="F1702" i="139"/>
  <c r="F4017" i="139"/>
  <c r="F1924" i="139"/>
  <c r="F1610" i="139"/>
  <c r="F2199" i="139"/>
  <c r="F318" i="139"/>
  <c r="F4056" i="139"/>
  <c r="F3420" i="139"/>
  <c r="F3082" i="139"/>
  <c r="F209" i="139"/>
  <c r="F1708" i="139"/>
  <c r="F2011" i="139"/>
  <c r="F1335" i="139"/>
  <c r="F1483" i="139"/>
  <c r="F3391" i="139"/>
  <c r="F3557" i="139"/>
  <c r="F4095" i="139"/>
  <c r="F2308" i="139"/>
  <c r="F3418" i="139"/>
  <c r="F1310" i="139"/>
  <c r="F2106" i="139"/>
  <c r="F3941" i="139"/>
  <c r="F347" i="139"/>
  <c r="F3451" i="139"/>
  <c r="F3741" i="139"/>
  <c r="F1574" i="139"/>
  <c r="F1966" i="139"/>
  <c r="F1286" i="139"/>
  <c r="F444" i="139"/>
  <c r="F2084" i="139"/>
  <c r="F1003" i="139"/>
  <c r="F3890" i="139"/>
  <c r="F2544" i="139"/>
  <c r="F224" i="139"/>
  <c r="F3325" i="139"/>
  <c r="F3212" i="139"/>
  <c r="F1584" i="139"/>
  <c r="F3636" i="139"/>
  <c r="F1789" i="139"/>
  <c r="F2598" i="139"/>
  <c r="F1914" i="139"/>
  <c r="F1195" i="139"/>
  <c r="F3742" i="139"/>
  <c r="F2982" i="139"/>
  <c r="F3929" i="139"/>
  <c r="F2546" i="139"/>
  <c r="F253" i="139"/>
  <c r="F2307" i="139"/>
  <c r="F1351" i="139"/>
  <c r="F2341" i="139"/>
  <c r="F3192" i="139"/>
  <c r="F3903" i="139"/>
  <c r="F2348" i="139"/>
  <c r="F1991" i="139"/>
  <c r="F3695" i="139"/>
  <c r="F1236" i="139"/>
  <c r="F287" i="139"/>
  <c r="F988" i="139"/>
  <c r="F349" i="139"/>
  <c r="F2051" i="139"/>
  <c r="F1655" i="139"/>
  <c r="F1742" i="139"/>
  <c r="F895" i="139"/>
  <c r="F3527" i="139"/>
  <c r="F1390" i="139"/>
  <c r="F2877" i="139"/>
  <c r="F108" i="139"/>
  <c r="F1078" i="139"/>
  <c r="F1194" i="139"/>
  <c r="F2708" i="139"/>
  <c r="F2995" i="139"/>
  <c r="F2897" i="139"/>
  <c r="F1715" i="139"/>
  <c r="F41" i="139"/>
  <c r="F3376" i="139"/>
  <c r="F3039" i="139"/>
  <c r="F2522" i="139"/>
  <c r="F2811" i="139"/>
  <c r="F3817" i="139"/>
  <c r="F3681" i="139"/>
  <c r="F1442" i="139"/>
  <c r="F4100" i="139"/>
  <c r="F1357" i="139"/>
  <c r="F2926" i="139"/>
  <c r="F3159" i="139"/>
  <c r="F1160" i="139"/>
  <c r="F2988" i="139"/>
  <c r="F3996" i="139"/>
  <c r="F3211" i="139"/>
  <c r="F2250" i="139"/>
  <c r="F3911" i="139"/>
  <c r="F4013" i="139"/>
  <c r="F2869" i="139"/>
  <c r="F1521" i="139"/>
  <c r="F2595" i="139"/>
  <c r="F2271" i="139"/>
  <c r="F11" i="139"/>
  <c r="F1869" i="139"/>
  <c r="F345" i="139"/>
  <c r="F3631" i="139"/>
  <c r="F3671" i="139"/>
  <c r="F3621" i="139"/>
  <c r="F503" i="139"/>
  <c r="F1038" i="139"/>
  <c r="F3280" i="139"/>
  <c r="F258" i="139"/>
  <c r="F2103" i="139"/>
  <c r="F2371" i="139"/>
  <c r="F1419" i="139"/>
  <c r="F3763" i="139"/>
  <c r="F942" i="139"/>
  <c r="F511" i="139"/>
  <c r="F3120" i="139"/>
  <c r="F475" i="139"/>
  <c r="F2187" i="139"/>
  <c r="F2501" i="139"/>
  <c r="F3178" i="139"/>
  <c r="F3986" i="139"/>
  <c r="F337" i="139"/>
  <c r="F115" i="139"/>
  <c r="F3586" i="139"/>
  <c r="F2281" i="139"/>
  <c r="F3820" i="139"/>
  <c r="F2139" i="139"/>
  <c r="F3715" i="139"/>
  <c r="F430" i="139"/>
  <c r="F882" i="139"/>
  <c r="F3582" i="139"/>
  <c r="F2660" i="139"/>
  <c r="F2057" i="139"/>
  <c r="F2264" i="139"/>
  <c r="F874" i="139"/>
  <c r="F3000" i="139"/>
  <c r="F1322" i="139"/>
  <c r="F3891" i="139"/>
  <c r="F3338" i="139"/>
  <c r="F51" i="139"/>
  <c r="F4049" i="139"/>
  <c r="F1380" i="139"/>
  <c r="F3590" i="139"/>
  <c r="F3155" i="139"/>
  <c r="F3363" i="139"/>
  <c r="F3393" i="139"/>
  <c r="F1226" i="139"/>
  <c r="F2145" i="139"/>
  <c r="F3016" i="139"/>
  <c r="F477" i="139"/>
  <c r="F3752" i="139"/>
  <c r="F1835" i="139"/>
  <c r="F982" i="139"/>
  <c r="F2866" i="139"/>
  <c r="F521" i="139"/>
  <c r="F592" i="139"/>
  <c r="F584" i="139"/>
  <c r="F373" i="139"/>
  <c r="F1072" i="139"/>
  <c r="F3464" i="139"/>
  <c r="F1281" i="139"/>
  <c r="F144" i="139"/>
  <c r="F1810" i="139"/>
  <c r="F2715" i="139"/>
  <c r="F3234" i="139"/>
  <c r="F3057" i="139"/>
  <c r="F2386" i="139"/>
  <c r="F1876" i="139"/>
  <c r="F3722" i="139"/>
  <c r="F3917" i="139"/>
  <c r="F1294" i="139"/>
  <c r="F1760" i="139"/>
  <c r="F3462" i="139"/>
  <c r="F761" i="139"/>
  <c r="F637" i="139"/>
  <c r="F2242" i="139"/>
  <c r="F1238" i="139"/>
  <c r="F1156" i="139"/>
  <c r="F3171" i="139"/>
  <c r="F1368" i="139"/>
  <c r="F714" i="139"/>
  <c r="F698" i="139"/>
  <c r="F2658" i="139"/>
  <c r="F3025" i="139"/>
  <c r="F616" i="139"/>
  <c r="F733" i="139"/>
  <c r="F43" i="139"/>
  <c r="F3622" i="139"/>
  <c r="F3408" i="139"/>
  <c r="F1167" i="139"/>
  <c r="F1591" i="139"/>
  <c r="F261" i="139"/>
  <c r="F3830" i="139"/>
  <c r="F1773" i="139"/>
  <c r="F1920" i="139"/>
  <c r="F457" i="139"/>
  <c r="F2417" i="139"/>
  <c r="F2343" i="139"/>
  <c r="F3881" i="139"/>
  <c r="F2230" i="139"/>
  <c r="F1754" i="139"/>
  <c r="F362" i="139"/>
  <c r="F2351" i="139"/>
  <c r="F3080" i="139"/>
  <c r="F545" i="139"/>
  <c r="F3450" i="139"/>
  <c r="F1622" i="139"/>
  <c r="F2025" i="139"/>
  <c r="F595" i="139"/>
  <c r="F478" i="139"/>
  <c r="F3390" i="139"/>
  <c r="F1454" i="139"/>
  <c r="F1963" i="139"/>
  <c r="F266" i="139"/>
  <c r="F2814" i="139"/>
  <c r="F745" i="139"/>
  <c r="F2653" i="139"/>
  <c r="F4084" i="139"/>
  <c r="F1251" i="139"/>
  <c r="F310" i="139"/>
  <c r="F2327" i="139"/>
  <c r="F2499" i="139"/>
  <c r="F3694" i="139"/>
  <c r="F2122" i="139"/>
  <c r="F1846" i="139"/>
  <c r="F2240" i="139"/>
  <c r="F980" i="139"/>
  <c r="F2292" i="139"/>
  <c r="F1943" i="139"/>
  <c r="F3386" i="139"/>
  <c r="F2274" i="139"/>
  <c r="F523" i="139"/>
  <c r="F2245" i="139"/>
  <c r="F371" i="139"/>
  <c r="F1434" i="139"/>
  <c r="F728" i="139"/>
  <c r="F3372" i="139"/>
  <c r="F817" i="139"/>
  <c r="F24" i="139"/>
  <c r="F465" i="139"/>
  <c r="F504" i="139"/>
  <c r="F607" i="139"/>
  <c r="F3473" i="139"/>
  <c r="F1177" i="139"/>
  <c r="F3716" i="139"/>
  <c r="F1602" i="139"/>
  <c r="F2058" i="139"/>
  <c r="F2099" i="139"/>
  <c r="F1753" i="139"/>
  <c r="F2461" i="139"/>
  <c r="F1037" i="139"/>
  <c r="F1681" i="139"/>
  <c r="F2456" i="139"/>
  <c r="F1036" i="139"/>
  <c r="F33" i="139"/>
  <c r="F2793" i="139"/>
  <c r="F269" i="139"/>
  <c r="F1783" i="139"/>
  <c r="F1570" i="139"/>
  <c r="F2878" i="139"/>
  <c r="F3188" i="139"/>
  <c r="F2662" i="139"/>
  <c r="F1765" i="139"/>
  <c r="F2381" i="139"/>
  <c r="F2345" i="139"/>
  <c r="F2535" i="139"/>
  <c r="F3656" i="139"/>
  <c r="F2344" i="139"/>
  <c r="F1376" i="139"/>
  <c r="F1102" i="139"/>
  <c r="F2064" i="139"/>
  <c r="F3516" i="139"/>
  <c r="F3955" i="139"/>
  <c r="F2615" i="139"/>
  <c r="F2161" i="139"/>
  <c r="F667" i="139"/>
  <c r="F3327" i="139"/>
  <c r="F57" i="139"/>
  <c r="F3492" i="139"/>
  <c r="F1071" i="139"/>
  <c r="F1179" i="139"/>
  <c r="F390" i="139"/>
  <c r="F3732" i="139"/>
  <c r="F3977" i="139"/>
  <c r="F4034" i="139"/>
  <c r="F2858" i="139"/>
  <c r="F2856" i="139"/>
  <c r="F1879" i="139"/>
  <c r="F2938" i="139"/>
  <c r="F2500" i="139"/>
  <c r="F3963" i="139"/>
  <c r="F3402" i="139"/>
  <c r="F3371" i="139"/>
  <c r="F40" i="139"/>
  <c r="F1350" i="139"/>
  <c r="F3301" i="139"/>
  <c r="F1983" i="139"/>
  <c r="F252" i="139"/>
  <c r="F4078" i="139"/>
  <c r="F42" i="139"/>
  <c r="F3238" i="139"/>
  <c r="F1929" i="139"/>
  <c r="F636" i="139"/>
  <c r="F1548" i="139"/>
  <c r="F3310" i="139"/>
  <c r="F3797" i="139"/>
  <c r="F3670" i="139"/>
  <c r="F3283" i="139"/>
  <c r="F79" i="139"/>
  <c r="F1656" i="139"/>
  <c r="F2434" i="139"/>
  <c r="F877" i="139"/>
  <c r="F179" i="139"/>
  <c r="F4072" i="139"/>
  <c r="F1245" i="139"/>
  <c r="F859" i="139"/>
  <c r="F1784" i="139"/>
  <c r="F808" i="139"/>
  <c r="F1645" i="139"/>
  <c r="F3340" i="139"/>
  <c r="F363" i="139"/>
  <c r="F2911" i="139"/>
  <c r="F1329" i="139"/>
  <c r="F641" i="139"/>
  <c r="F906" i="139"/>
  <c r="F1883" i="139"/>
  <c r="F1000" i="139"/>
  <c r="F3532" i="139"/>
  <c r="F1312" i="139"/>
  <c r="F474" i="139"/>
  <c r="F2990" i="139"/>
  <c r="F2003" i="139"/>
  <c r="F1911" i="139"/>
  <c r="F1056" i="139"/>
  <c r="F256" i="139"/>
  <c r="F3175" i="139"/>
  <c r="F2669" i="139"/>
  <c r="F1797" i="139"/>
  <c r="F1956" i="139"/>
  <c r="F3377" i="139"/>
  <c r="F3980" i="139"/>
  <c r="F2574" i="139"/>
  <c r="F526" i="139"/>
  <c r="F924" i="139"/>
  <c r="F454" i="139"/>
  <c r="F122" i="139"/>
  <c r="F563" i="139"/>
  <c r="F3761" i="139"/>
  <c r="F1099" i="139"/>
  <c r="F3834" i="139"/>
  <c r="F891" i="139"/>
  <c r="F1648" i="139"/>
  <c r="F999" i="139"/>
  <c r="F2382" i="139"/>
  <c r="F1262" i="139"/>
  <c r="F435" i="139"/>
  <c r="F3399" i="139"/>
  <c r="F3278" i="139"/>
  <c r="F2560" i="139"/>
  <c r="F1499" i="139"/>
  <c r="F1603" i="139"/>
  <c r="F899" i="139"/>
  <c r="F1872" i="139"/>
  <c r="F3566" i="139"/>
  <c r="F3210" i="139"/>
  <c r="F2687" i="139"/>
  <c r="F2211" i="139"/>
  <c r="F1562" i="139"/>
  <c r="F3876" i="139"/>
  <c r="F4074" i="139"/>
  <c r="F3585" i="139"/>
  <c r="F3984" i="139"/>
  <c r="F1657" i="139"/>
  <c r="F2885" i="139"/>
  <c r="F2993" i="139"/>
  <c r="F1033" i="139"/>
  <c r="F573" i="139"/>
  <c r="F879" i="139"/>
  <c r="F1665" i="139"/>
  <c r="F2451" i="139"/>
  <c r="F931" i="139"/>
  <c r="F3364" i="139"/>
  <c r="F2470" i="139"/>
  <c r="F2634" i="139"/>
  <c r="F3434" i="139"/>
  <c r="F4092" i="139"/>
  <c r="F2342" i="139"/>
  <c r="F4045" i="139"/>
  <c r="F2987" i="139"/>
  <c r="F443" i="139"/>
  <c r="F1028" i="139"/>
  <c r="F2066" i="139"/>
  <c r="F2316" i="139"/>
  <c r="F3194" i="139"/>
  <c r="F1069" i="139"/>
  <c r="F1105" i="139"/>
  <c r="F2303" i="139"/>
  <c r="F753" i="139"/>
  <c r="F3988" i="139"/>
  <c r="F1851" i="139"/>
  <c r="F3635" i="139"/>
  <c r="F2279" i="139"/>
  <c r="F917" i="139"/>
  <c r="F4008" i="139"/>
  <c r="F3202" i="139"/>
  <c r="F779" i="139"/>
  <c r="F1722" i="139"/>
  <c r="F1334" i="139"/>
  <c r="F1280" i="139"/>
  <c r="F464" i="139"/>
  <c r="F2493" i="139"/>
  <c r="F2325" i="139"/>
  <c r="F2072" i="139"/>
  <c r="F130" i="139"/>
  <c r="F654" i="139"/>
  <c r="F1125" i="139"/>
  <c r="F2777" i="139"/>
  <c r="F2450" i="139"/>
  <c r="F804" i="139"/>
  <c r="F1039" i="139"/>
  <c r="F3298" i="139"/>
  <c r="F2603" i="139"/>
  <c r="F3350" i="139"/>
  <c r="F1210" i="139"/>
  <c r="F1332" i="139"/>
  <c r="F1613" i="139"/>
  <c r="F1076" i="139"/>
  <c r="F3654" i="139"/>
  <c r="F210" i="139"/>
  <c r="F4077" i="139"/>
  <c r="F968" i="139"/>
  <c r="F2020" i="139"/>
  <c r="F2368" i="139"/>
  <c r="F1241" i="139"/>
  <c r="F1212" i="139"/>
  <c r="F1116" i="139"/>
  <c r="F3096" i="139"/>
  <c r="F440" i="139"/>
  <c r="F2819" i="139"/>
  <c r="F2759" i="139"/>
  <c r="F1031" i="139"/>
  <c r="F1842" i="139"/>
  <c r="F137" i="139"/>
  <c r="F1882" i="139"/>
  <c r="F3436" i="139"/>
  <c r="F3858" i="139"/>
  <c r="F1962" i="139"/>
  <c r="F1617" i="139"/>
  <c r="F1172" i="139"/>
  <c r="F596" i="139"/>
  <c r="F273" i="139"/>
  <c r="F2285" i="139"/>
  <c r="F416" i="139"/>
  <c r="F3321" i="139"/>
  <c r="F2471" i="139"/>
  <c r="F2682" i="139"/>
  <c r="F2583" i="139"/>
  <c r="F2796" i="139"/>
  <c r="F1886" i="139"/>
  <c r="F1010" i="139"/>
  <c r="F1136" i="139"/>
  <c r="F540" i="139"/>
  <c r="F1495" i="139"/>
  <c r="F1718" i="139"/>
  <c r="F401" i="139"/>
  <c r="F1686" i="139"/>
  <c r="F3874" i="139"/>
  <c r="F824" i="139"/>
  <c r="F2541" i="139"/>
  <c r="F3302" i="139"/>
  <c r="F3185" i="139"/>
  <c r="F1043" i="139"/>
  <c r="F1326" i="139"/>
  <c r="F827" i="139"/>
  <c r="F3515" i="139"/>
  <c r="F1482" i="139"/>
  <c r="F3806" i="139"/>
  <c r="F2587" i="139"/>
  <c r="F965" i="139"/>
  <c r="F2730" i="139"/>
  <c r="F2137" i="139"/>
  <c r="F3264" i="139"/>
  <c r="F2251" i="139"/>
  <c r="F20" i="139"/>
  <c r="F1275" i="139"/>
  <c r="F907" i="139"/>
  <c r="F2404" i="139"/>
  <c r="F1627" i="139"/>
  <c r="F1196" i="139"/>
  <c r="F706" i="139"/>
  <c r="F772" i="139"/>
  <c r="F3282" i="139"/>
  <c r="F238" i="139"/>
  <c r="F3248" i="139"/>
  <c r="F395" i="139"/>
  <c r="F3345" i="139"/>
  <c r="F3356" i="139"/>
  <c r="F3539" i="139"/>
  <c r="F2720" i="139"/>
  <c r="F1573" i="139"/>
  <c r="F2570" i="139"/>
  <c r="F365" i="139"/>
  <c r="F388" i="139"/>
  <c r="F462" i="139"/>
  <c r="F1878" i="139"/>
  <c r="F3471" i="139"/>
  <c r="F731" i="139"/>
  <c r="F3077" i="139"/>
  <c r="F3058" i="139"/>
  <c r="F3738" i="139"/>
  <c r="F3105" i="139"/>
  <c r="F118" i="139"/>
  <c r="F3366" i="139"/>
  <c r="F2056" i="139"/>
  <c r="F2241" i="139"/>
  <c r="F1193" i="139"/>
  <c r="F860" i="139"/>
  <c r="F2654" i="139"/>
  <c r="F588" i="139"/>
  <c r="F1850" i="139"/>
  <c r="F4085" i="139"/>
  <c r="F400" i="139"/>
  <c r="F3938" i="139"/>
  <c r="F1002" i="139"/>
  <c r="F1303" i="139"/>
  <c r="F2642" i="139"/>
  <c r="F3236" i="139"/>
  <c r="F585" i="139"/>
  <c r="F1970" i="139"/>
  <c r="F298" i="139"/>
  <c r="F455" i="139"/>
  <c r="F1980" i="139"/>
  <c r="F2521" i="139"/>
  <c r="F2457" i="139"/>
  <c r="F2614" i="139"/>
  <c r="F2053" i="139"/>
  <c r="F1051" i="139"/>
  <c r="F166" i="139"/>
  <c r="F2037" i="139"/>
  <c r="F1430" i="139"/>
  <c r="F3832" i="139"/>
  <c r="F138" i="139"/>
  <c r="F994" i="139"/>
  <c r="F1526" i="139"/>
  <c r="F1183" i="139"/>
  <c r="F2643" i="139"/>
  <c r="F970" i="139"/>
  <c r="F2790" i="139"/>
  <c r="F2721" i="139"/>
  <c r="F1568" i="139"/>
  <c r="F2957" i="139"/>
  <c r="F819" i="139"/>
  <c r="F2927" i="139"/>
  <c r="F1453" i="139"/>
  <c r="F2363" i="139"/>
  <c r="F3842" i="139"/>
  <c r="F4057" i="139"/>
  <c r="F1319" i="139"/>
  <c r="F3499" i="139"/>
  <c r="F801" i="139"/>
  <c r="F2803" i="139"/>
  <c r="F821" i="139"/>
  <c r="F1516" i="139"/>
  <c r="F2630" i="139"/>
  <c r="F3946" i="139"/>
  <c r="F3701" i="139"/>
  <c r="F3019" i="139"/>
  <c r="F793" i="139"/>
  <c r="F2609" i="139"/>
  <c r="F2389" i="139"/>
  <c r="F1694" i="139"/>
  <c r="F361" i="139"/>
  <c r="F2334" i="139"/>
  <c r="F2150" i="139"/>
  <c r="F534" i="139"/>
  <c r="F3413" i="139"/>
  <c r="F3484" i="139"/>
  <c r="F19" i="139"/>
  <c r="F1061" i="139"/>
  <c r="F3066" i="139"/>
  <c r="F3893" i="139"/>
  <c r="F1492" i="139"/>
  <c r="F2969" i="139"/>
  <c r="F72" i="139"/>
  <c r="F1168" i="139"/>
  <c r="F597" i="139"/>
  <c r="F2525" i="139"/>
  <c r="F3737" i="139"/>
  <c r="F1827" i="139"/>
  <c r="F3560" i="139"/>
  <c r="F1815" i="139"/>
  <c r="F620" i="139"/>
  <c r="F3804" i="139"/>
  <c r="F689" i="139"/>
  <c r="F2550" i="139"/>
  <c r="F1981" i="139"/>
  <c r="F1728" i="139"/>
  <c r="F219" i="139"/>
  <c r="F3323" i="139"/>
  <c r="F3337" i="139"/>
  <c r="F2605" i="139"/>
  <c r="F2295" i="139"/>
  <c r="F2495" i="139"/>
  <c r="F1547" i="139"/>
  <c r="F2116" i="139"/>
  <c r="F4023" i="139"/>
  <c r="F2024" i="139"/>
  <c r="F267" i="139"/>
  <c r="F3878" i="139"/>
  <c r="F2305" i="139"/>
  <c r="F1384" i="139"/>
  <c r="F4030" i="139"/>
  <c r="F1328" i="139"/>
  <c r="F929" i="139"/>
  <c r="F1653" i="139"/>
  <c r="F2864" i="139"/>
  <c r="F1893" i="139"/>
  <c r="F1353" i="139"/>
  <c r="F494" i="139"/>
  <c r="F3403" i="139"/>
  <c r="F1589" i="139"/>
  <c r="F3060" i="139"/>
  <c r="F2694" i="139"/>
  <c r="F2173" i="139"/>
  <c r="F1809" i="139"/>
  <c r="F4035" i="139"/>
  <c r="F883" i="139"/>
  <c r="F2105" i="139"/>
  <c r="F1986" i="139"/>
  <c r="F1469" i="139"/>
  <c r="F3461" i="139"/>
  <c r="F1030" i="139"/>
  <c r="F1704" i="139"/>
  <c r="F2225" i="139"/>
  <c r="F672" i="139"/>
  <c r="F3229" i="139"/>
  <c r="F604" i="139"/>
  <c r="F729" i="139"/>
  <c r="F2189" i="139"/>
  <c r="F189" i="139"/>
  <c r="F913" i="139"/>
  <c r="F1544" i="139"/>
  <c r="F1988" i="139"/>
  <c r="F2498" i="139"/>
  <c r="F1682" i="139"/>
  <c r="F2859" i="139"/>
  <c r="F3956" i="139"/>
  <c r="F1444" i="139"/>
  <c r="F2317" i="139"/>
  <c r="F294" i="139"/>
  <c r="F1276" i="139"/>
  <c r="F3306" i="139"/>
  <c r="F1345" i="139"/>
  <c r="F496" i="139"/>
  <c r="F2509" i="139"/>
  <c r="F436" i="139"/>
  <c r="F2876" i="139"/>
  <c r="F2619" i="139"/>
  <c r="F2925" i="139"/>
  <c r="F3748" i="139"/>
  <c r="F2663" i="139"/>
  <c r="F2950" i="139"/>
  <c r="F2442" i="139"/>
  <c r="F2559" i="139"/>
  <c r="F3034" i="139"/>
  <c r="F2231" i="139"/>
  <c r="F1816" i="139"/>
  <c r="F697" i="139"/>
  <c r="F2062" i="139"/>
  <c r="F4006" i="139"/>
  <c r="F3272" i="139"/>
  <c r="F1496" i="139"/>
  <c r="F2620" i="139"/>
  <c r="F3571" i="139"/>
  <c r="F2497" i="139"/>
  <c r="F2185" i="139"/>
  <c r="F1716" i="139"/>
  <c r="F814" i="139"/>
  <c r="F3273" i="139"/>
  <c r="F245" i="139"/>
  <c r="F1691" i="139"/>
  <c r="F2549" i="139"/>
  <c r="F431" i="139"/>
  <c r="F3324" i="139"/>
  <c r="F2656" i="139"/>
  <c r="F1549" i="139"/>
  <c r="F587" i="139"/>
  <c r="F155" i="139"/>
  <c r="F2063" i="139"/>
  <c r="F2367" i="139"/>
  <c r="F782" i="139"/>
  <c r="F1974" i="139"/>
  <c r="F3712" i="139"/>
  <c r="F760" i="139"/>
  <c r="F1837" i="139"/>
  <c r="F2286" i="139"/>
  <c r="F1795" i="139"/>
  <c r="F2438" i="139"/>
  <c r="F2333" i="139"/>
  <c r="F629" i="139"/>
  <c r="F3862" i="139"/>
  <c r="F2772" i="139"/>
  <c r="F2028" i="139"/>
  <c r="F1766" i="139"/>
  <c r="F2123" i="139"/>
  <c r="F816" i="139"/>
  <c r="F1652" i="139"/>
  <c r="F1941" i="139"/>
  <c r="F208" i="139"/>
  <c r="F1217" i="139"/>
  <c r="F300" i="139"/>
  <c r="F2040" i="139"/>
  <c r="F3322" i="139"/>
  <c r="F829" i="139"/>
  <c r="F71" i="139"/>
  <c r="F1363" i="139"/>
  <c r="F781" i="139"/>
  <c r="F934" i="139"/>
  <c r="F2149" i="139"/>
  <c r="F81" i="139"/>
  <c r="F3839" i="139"/>
  <c r="F603" i="139"/>
  <c r="F3089" i="139"/>
  <c r="F168" i="139"/>
  <c r="F2625" i="139"/>
  <c r="F1007" i="139"/>
  <c r="F2930" i="139"/>
  <c r="F657" i="139"/>
  <c r="F2770" i="139"/>
  <c r="F2633" i="139"/>
  <c r="F3650" i="139"/>
  <c r="F1206" i="139"/>
  <c r="F386" i="139"/>
  <c r="F865" i="139"/>
  <c r="F232" i="139"/>
  <c r="F1233" i="139"/>
  <c r="F2078" i="139"/>
  <c r="F3619" i="139"/>
  <c r="F1539" i="139"/>
  <c r="F767" i="139"/>
  <c r="F1557" i="139"/>
  <c r="F98" i="139"/>
  <c r="F1081" i="139"/>
  <c r="F2172" i="139"/>
  <c r="F621" i="139"/>
  <c r="F1356" i="139"/>
  <c r="F589" i="139"/>
  <c r="F3897" i="139"/>
  <c r="F1407" i="139"/>
  <c r="F50" i="139"/>
  <c r="F3286" i="139"/>
  <c r="F89" i="139"/>
  <c r="F1678" i="139"/>
  <c r="F2494" i="139"/>
  <c r="F2970" i="139"/>
  <c r="F699" i="139"/>
  <c r="F500" i="139"/>
  <c r="F2881" i="139"/>
  <c r="F2407" i="139"/>
  <c r="F3064" i="139"/>
  <c r="F2475" i="139"/>
  <c r="F3478" i="139"/>
  <c r="F279" i="139"/>
  <c r="F754" i="139"/>
  <c r="F1013" i="139"/>
  <c r="F102" i="139"/>
  <c r="F1596" i="139"/>
  <c r="F2693" i="139"/>
  <c r="F3610" i="139"/>
  <c r="F1632" i="139"/>
  <c r="F2496" i="139"/>
  <c r="F3131" i="139"/>
  <c r="F1500" i="139"/>
  <c r="F4009" i="139"/>
  <c r="F996" i="139"/>
  <c r="F2441" i="139"/>
  <c r="F2178" i="139"/>
  <c r="F2482" i="139"/>
  <c r="F2388" i="139"/>
  <c r="F1404" i="139"/>
  <c r="F3570" i="139"/>
  <c r="F2898" i="139"/>
  <c r="F1630" i="139"/>
  <c r="F2287" i="139"/>
  <c r="F3641" i="139"/>
  <c r="F1416" i="139"/>
  <c r="F2700" i="139"/>
  <c r="F3094" i="139"/>
  <c r="F2339" i="139"/>
  <c r="F1749" i="139"/>
  <c r="F3230" i="139"/>
  <c r="F955" i="139"/>
  <c r="F3883" i="139"/>
  <c r="F2989" i="139"/>
  <c r="F3497" i="139"/>
  <c r="F3954" i="139"/>
  <c r="F855" i="139"/>
  <c r="F2539" i="139"/>
  <c r="F2234" i="139"/>
  <c r="F3877" i="139"/>
  <c r="F752" i="139"/>
  <c r="F3597" i="139"/>
  <c r="F126" i="139"/>
  <c r="F1757" i="139"/>
  <c r="F1576" i="139"/>
  <c r="F3252" i="139"/>
  <c r="F3870" i="139"/>
  <c r="F3902" i="139"/>
  <c r="F1425" i="139"/>
  <c r="F758" i="139"/>
  <c r="F3578" i="139"/>
  <c r="F1990" i="139"/>
  <c r="F3121" i="139"/>
  <c r="F3198" i="139"/>
  <c r="F4060" i="139"/>
  <c r="F1446" i="139"/>
  <c r="F2047" i="139"/>
  <c r="F3702" i="139"/>
  <c r="F3948" i="139"/>
  <c r="F2747" i="139"/>
  <c r="F1867" i="139"/>
  <c r="F3562" i="139"/>
  <c r="F2645" i="139"/>
  <c r="F1939" i="139"/>
  <c r="F2613" i="139"/>
  <c r="F765" i="139"/>
  <c r="F1720" i="139"/>
  <c r="F1798" i="139"/>
  <c r="F4054" i="139"/>
  <c r="F3828" i="139"/>
  <c r="F61" i="139"/>
  <c r="F4051" i="139"/>
  <c r="F3653" i="139"/>
  <c r="F1859" i="139"/>
  <c r="F3315" i="139"/>
  <c r="F3816" i="139"/>
  <c r="F1631" i="139"/>
  <c r="F1268" i="139"/>
  <c r="F946" i="139"/>
  <c r="F1166" i="139"/>
  <c r="F3943" i="139"/>
  <c r="F403" i="139"/>
  <c r="F863" i="139"/>
  <c r="F945" i="139"/>
  <c r="F3199" i="139"/>
  <c r="F1853" i="139"/>
  <c r="F740" i="139"/>
  <c r="F456" i="139"/>
  <c r="F453" i="139"/>
  <c r="F572" i="139"/>
  <c r="F2120" i="139"/>
  <c r="F1577" i="139"/>
  <c r="F3511" i="139"/>
  <c r="F1623" i="139"/>
  <c r="F3612" i="139"/>
  <c r="F3721" i="139"/>
  <c r="F1305" i="139"/>
  <c r="F700" i="139"/>
  <c r="F3011" i="139"/>
  <c r="F3514" i="139"/>
  <c r="F3583" i="139"/>
  <c r="F1696" i="139"/>
  <c r="F402" i="139"/>
  <c r="F2855" i="139"/>
  <c r="F864" i="139"/>
  <c r="F1498" i="139"/>
  <c r="F254" i="139"/>
  <c r="F459" i="139"/>
  <c r="F3857" i="139"/>
  <c r="F470" i="139"/>
  <c r="F2423" i="139"/>
  <c r="F2169" i="139"/>
  <c r="F1604" i="139"/>
  <c r="F2289" i="139"/>
  <c r="F1145" i="139"/>
  <c r="F4059" i="139"/>
  <c r="F3392" i="139"/>
  <c r="F2440" i="139"/>
  <c r="F3263" i="139"/>
  <c r="F1225" i="139"/>
  <c r="F492" i="139"/>
  <c r="F2965" i="139"/>
  <c r="F548" i="139"/>
  <c r="F1624" i="139"/>
  <c r="F2651" i="139"/>
  <c r="F2736" i="139"/>
  <c r="F1891" i="139"/>
  <c r="F1731" i="139"/>
  <c r="F3250" i="139"/>
  <c r="F2818" i="139"/>
  <c r="F660" i="139"/>
  <c r="F3421" i="139"/>
  <c r="F96" i="139"/>
  <c r="F3841" i="139"/>
  <c r="F2545" i="139"/>
  <c r="F1508" i="139"/>
  <c r="F2135" i="139"/>
  <c r="F2140" i="139"/>
  <c r="F3922" i="139"/>
  <c r="F3351" i="139"/>
  <c r="F1746" i="139"/>
  <c r="F554" i="139"/>
  <c r="F3531" i="139"/>
  <c r="F3916" i="139"/>
  <c r="F2919" i="139"/>
  <c r="F3495" i="139"/>
  <c r="F3706" i="139"/>
  <c r="F916" i="139"/>
  <c r="F4018" i="139"/>
  <c r="F2218" i="139"/>
  <c r="F833" i="139"/>
  <c r="F2166" i="139"/>
  <c r="F323" i="139"/>
  <c r="F2008" i="139"/>
  <c r="F3333" i="139"/>
  <c r="F635" i="139"/>
  <c r="F255" i="139"/>
  <c r="F3168" i="139"/>
  <c r="F4032" i="139"/>
  <c r="F3880" i="139"/>
  <c r="F1409" i="139"/>
  <c r="F3686" i="139"/>
  <c r="F272" i="139"/>
  <c r="F2566" i="139"/>
  <c r="F3652" i="139"/>
  <c r="F3850" i="139"/>
  <c r="F1004" i="139"/>
  <c r="F3679" i="139"/>
  <c r="F3995" i="139"/>
  <c r="F3355" i="139"/>
  <c r="F3799" i="139"/>
  <c r="F3002" i="139"/>
  <c r="F2121" i="139"/>
  <c r="F1141" i="139"/>
  <c r="F103" i="139"/>
  <c r="F1945" i="139"/>
  <c r="F2986" i="139"/>
  <c r="F3932" i="139"/>
  <c r="F746" i="139"/>
  <c r="F95" i="139"/>
  <c r="F2479" i="139"/>
  <c r="F1552" i="139"/>
  <c r="F2196" i="139"/>
  <c r="F3644" i="139"/>
  <c r="F2580" i="139"/>
  <c r="F555" i="139"/>
  <c r="F3757" i="139"/>
  <c r="F1047" i="139"/>
  <c r="F1420" i="139"/>
  <c r="F1222" i="139"/>
  <c r="F858" i="139"/>
  <c r="F2202" i="139"/>
  <c r="F472" i="139"/>
  <c r="F461" i="139"/>
  <c r="F3291" i="139"/>
  <c r="F3544" i="139"/>
  <c r="F2036" i="139"/>
  <c r="F3665" i="139"/>
  <c r="F352" i="139"/>
  <c r="F3449" i="139"/>
  <c r="F2769" i="139"/>
  <c r="F62" i="139"/>
  <c r="F291" i="139"/>
  <c r="F485" i="139"/>
  <c r="F3110" i="139"/>
  <c r="F717" i="139"/>
  <c r="F3346" i="139"/>
  <c r="F3731" i="139"/>
  <c r="F681" i="139"/>
  <c r="F3937" i="139"/>
  <c r="F3218" i="139"/>
  <c r="F2551" i="139"/>
  <c r="F825" i="139"/>
  <c r="F645" i="139"/>
  <c r="F38" i="139"/>
  <c r="F904" i="139"/>
  <c r="F2002" i="139"/>
  <c r="F553" i="139"/>
  <c r="F2779" i="139"/>
  <c r="F1658" i="139"/>
  <c r="F3968" i="139"/>
  <c r="F387" i="139"/>
  <c r="F3507" i="139"/>
  <c r="F4098" i="139"/>
  <c r="F2125" i="139"/>
  <c r="F2979" i="139"/>
  <c r="F2194" i="139"/>
  <c r="F4005" i="139"/>
  <c r="F3923" i="139"/>
  <c r="F838" i="139"/>
  <c r="F3014" i="139"/>
  <c r="F3764" i="139"/>
  <c r="F3182" i="139"/>
  <c r="F106" i="139"/>
  <c r="F3046" i="139"/>
  <c r="F2487" i="139"/>
  <c r="F2473" i="139"/>
  <c r="F350" i="139"/>
  <c r="F1138" i="139"/>
  <c r="F1615" i="139"/>
  <c r="F2073" i="139"/>
  <c r="F1779" i="139"/>
  <c r="F438" i="139"/>
  <c r="F527" i="139"/>
  <c r="F1638" i="139"/>
  <c r="F2346" i="139"/>
  <c r="F56" i="139"/>
  <c r="F941" i="139"/>
  <c r="F1588" i="139"/>
  <c r="F3225" i="139"/>
  <c r="F2188" i="139"/>
  <c r="F2153" i="139"/>
  <c r="F3072" i="139"/>
  <c r="F2265" i="139"/>
  <c r="F1737" i="139"/>
  <c r="F2921" i="139"/>
  <c r="F284" i="139"/>
  <c r="F991" i="139"/>
  <c r="F3240" i="139"/>
  <c r="F561" i="139"/>
  <c r="F1107" i="139"/>
  <c r="F2536" i="139"/>
  <c r="F2130" i="139"/>
  <c r="F813" i="139"/>
  <c r="F3021" i="139"/>
  <c r="F512" i="139"/>
  <c r="F4050" i="139"/>
  <c r="F1465" i="139"/>
  <c r="F3600" i="139"/>
  <c r="F612" i="139"/>
  <c r="F398" i="139"/>
  <c r="F1321" i="139"/>
  <c r="F3690" i="139"/>
  <c r="F3693" i="139"/>
  <c r="F4019" i="139"/>
  <c r="F2810" i="139"/>
  <c r="F3149" i="139"/>
  <c r="F2278" i="139"/>
  <c r="F2847" i="139"/>
  <c r="F3141" i="139"/>
  <c r="F372" i="139"/>
  <c r="F764" i="139"/>
  <c r="F411" i="139"/>
  <c r="F800" i="139"/>
  <c r="F3620" i="139"/>
  <c r="F3854" i="139"/>
  <c r="F3945" i="139"/>
  <c r="F2880" i="139"/>
  <c r="F2624" i="139"/>
  <c r="F2644" i="139"/>
  <c r="F3247" i="139"/>
  <c r="F2243" i="139"/>
  <c r="F246" i="139"/>
  <c r="F296" i="139"/>
  <c r="F2851" i="139"/>
  <c r="F4065" i="139"/>
  <c r="F482" i="139"/>
  <c r="F25" i="139"/>
  <c r="F940" i="139"/>
  <c r="F428" i="139"/>
  <c r="F2275" i="139"/>
  <c r="F3504" i="139"/>
  <c r="F2621" i="139"/>
  <c r="F2791" i="139"/>
  <c r="F3088" i="139"/>
  <c r="F3556" i="139"/>
  <c r="F3156" i="139"/>
  <c r="F3022" i="139"/>
  <c r="F875" i="139"/>
  <c r="F1324" i="139"/>
  <c r="F3846" i="139"/>
  <c r="F2604" i="139"/>
  <c r="F1904" i="139"/>
  <c r="F1740" i="139"/>
  <c r="F22" i="139"/>
  <c r="F3231" i="139"/>
  <c r="F3187" i="139"/>
  <c r="F3657" i="139"/>
  <c r="F3626" i="139"/>
  <c r="F228" i="139"/>
  <c r="F2337" i="139"/>
  <c r="F834" i="139"/>
  <c r="F2556" i="139"/>
  <c r="F3885" i="139"/>
  <c r="F2565" i="139"/>
  <c r="F1045" i="139"/>
  <c r="F105" i="139"/>
  <c r="F2023" i="139"/>
  <c r="F1954" i="139"/>
  <c r="F3546" i="139"/>
  <c r="F2825" i="139"/>
  <c r="F3111" i="139"/>
  <c r="F3947" i="139"/>
  <c r="F3633" i="139"/>
  <c r="F2528" i="139"/>
  <c r="F3655" i="139"/>
  <c r="F799" i="139"/>
  <c r="F3729" i="139"/>
  <c r="F2510" i="139"/>
  <c r="F3100" i="139"/>
  <c r="F3538" i="139"/>
  <c r="F21" i="139"/>
  <c r="F2357" i="139"/>
  <c r="F836" i="139"/>
  <c r="F3787" i="139"/>
  <c r="F1466" i="139"/>
  <c r="F3003" i="139"/>
  <c r="F1302" i="139"/>
  <c r="F1339" i="139"/>
  <c r="F392" i="139"/>
  <c r="F2753" i="139"/>
  <c r="F1046" i="139"/>
  <c r="F2206" i="139"/>
  <c r="F1579" i="139"/>
  <c r="F831" i="139"/>
  <c r="F3299" i="139"/>
  <c r="F1788" i="139"/>
  <c r="F1519" i="139"/>
  <c r="F1197" i="139"/>
  <c r="F3384" i="139"/>
  <c r="F3512" i="139"/>
  <c r="F197" i="139"/>
  <c r="F3596" i="139"/>
  <c r="F2162" i="139"/>
  <c r="F2433" i="139"/>
  <c r="F630" i="139"/>
  <c r="F2152" i="139"/>
  <c r="F2101" i="139"/>
  <c r="F2315" i="139"/>
  <c r="F3466" i="139"/>
  <c r="F1675" i="139"/>
  <c r="F2027" i="139"/>
  <c r="F3294" i="139"/>
  <c r="F2874" i="139"/>
  <c r="F486" i="139"/>
  <c r="F2623" i="139"/>
  <c r="F3169" i="139"/>
  <c r="F3467" i="139"/>
  <c r="F1049" i="139"/>
  <c r="F3148" i="139"/>
  <c r="F2321" i="139"/>
  <c r="F3028" i="139"/>
  <c r="F3307" i="139"/>
  <c r="F709" i="139"/>
  <c r="F3318" i="139"/>
  <c r="F1953" i="139"/>
  <c r="F1343" i="139"/>
  <c r="F2393" i="139"/>
  <c r="F1151" i="139"/>
  <c r="F2089" i="139"/>
  <c r="F1042" i="139"/>
  <c r="F794" i="139"/>
  <c r="F2420" i="139"/>
  <c r="F406" i="139"/>
  <c r="F1347" i="139"/>
  <c r="F204" i="139"/>
  <c r="F181" i="139"/>
  <c r="F190" i="139"/>
  <c r="F2306" i="139"/>
  <c r="F1865" i="139"/>
  <c r="F2176" i="139"/>
  <c r="F28" i="139"/>
  <c r="F6" i="139"/>
  <c r="F517" i="139"/>
  <c r="F1529" i="139"/>
  <c r="F2705" i="139"/>
  <c r="F30" i="139"/>
  <c r="F1507" i="139"/>
  <c r="F302" i="139"/>
  <c r="F2752" i="139"/>
  <c r="F3227" i="139"/>
  <c r="F1015" i="139"/>
  <c r="F576" i="139"/>
  <c r="F1582" i="139"/>
  <c r="F530" i="139"/>
  <c r="F1994" i="139"/>
  <c r="F954" i="139"/>
  <c r="F1669" i="139"/>
  <c r="F3074" i="139"/>
  <c r="F469" i="139"/>
  <c r="F1140" i="139"/>
  <c r="F3290" i="139"/>
  <c r="F2533" i="139"/>
  <c r="F547" i="139"/>
  <c r="F1968" i="139"/>
  <c r="F2968" i="139"/>
  <c r="F1884" i="139"/>
  <c r="F2754" i="139"/>
  <c r="F1934" i="139"/>
  <c r="F2672" i="139"/>
  <c r="F2532" i="139"/>
  <c r="F1534" i="139"/>
  <c r="F257" i="139"/>
  <c r="F707" i="139"/>
  <c r="F354" i="139"/>
  <c r="F1978" i="139"/>
  <c r="F499" i="139"/>
  <c r="F2398" i="139"/>
  <c r="F3482" i="139"/>
  <c r="F1119" i="139"/>
  <c r="F1162" i="139"/>
  <c r="F1338" i="139"/>
  <c r="F2726" i="139"/>
  <c r="F2531" i="139"/>
  <c r="F2085" i="139"/>
  <c r="F1566" i="139"/>
  <c r="F3269" i="139"/>
  <c r="F226" i="139"/>
  <c r="F3821" i="139"/>
  <c r="F1211" i="139"/>
  <c r="F1214" i="139"/>
  <c r="F1065" i="139"/>
  <c r="F3017" i="139"/>
  <c r="F2768" i="139"/>
  <c r="F3800" i="139"/>
  <c r="F1626" i="139"/>
  <c r="F1558" i="139"/>
  <c r="F206" i="139"/>
  <c r="F2830" i="139"/>
  <c r="F2270" i="139"/>
  <c r="F2861" i="139"/>
  <c r="F2205" i="139"/>
  <c r="F2114" i="139"/>
  <c r="F3090" i="139"/>
  <c r="F2159" i="139"/>
  <c r="F2361" i="139"/>
  <c r="F898" i="139"/>
  <c r="F3648" i="139"/>
  <c r="F1104" i="139"/>
  <c r="F2360" i="139"/>
  <c r="F3075" i="139"/>
  <c r="F627" i="139"/>
  <c r="F1739" i="139"/>
  <c r="F1586" i="139"/>
  <c r="F2607" i="139"/>
  <c r="F783" i="139"/>
  <c r="F613" i="139"/>
  <c r="F3268" i="139"/>
  <c r="F3615" i="139"/>
  <c r="F2000" i="139"/>
  <c r="F479" i="139"/>
  <c r="F2882" i="139"/>
  <c r="F1439" i="139"/>
  <c r="F215" i="139"/>
  <c r="F383" i="139"/>
  <c r="F2992" i="139"/>
  <c r="F369" i="139"/>
  <c r="F905" i="139"/>
  <c r="F841" i="139"/>
  <c r="F2082" i="139"/>
  <c r="F1429" i="139"/>
  <c r="F1671" i="139"/>
  <c r="F3070" i="139"/>
  <c r="F718" i="139"/>
  <c r="F549" i="139"/>
  <c r="F1077" i="139"/>
  <c r="F185" i="139"/>
  <c r="F3786" i="139"/>
  <c r="F1532" i="139"/>
  <c r="F1961" i="139"/>
  <c r="F2918" i="139"/>
  <c r="F1723" i="139"/>
  <c r="F2071" i="139"/>
  <c r="F1371" i="139"/>
  <c r="F1517" i="139"/>
  <c r="F3219" i="139"/>
  <c r="F3838" i="139"/>
  <c r="F4027" i="139"/>
  <c r="F2512" i="139"/>
  <c r="F1174" i="139"/>
  <c r="F1674" i="139"/>
  <c r="F64" i="139"/>
  <c r="F2586" i="139"/>
  <c r="F4080" i="139"/>
  <c r="F3122" i="139"/>
  <c r="F3802" i="139"/>
  <c r="F2734" i="139"/>
  <c r="F769" i="139"/>
  <c r="F46" i="139"/>
  <c r="F1464" i="139"/>
  <c r="F1985" i="139"/>
  <c r="F99" i="139"/>
  <c r="F378" i="139"/>
  <c r="F4067" i="139"/>
  <c r="F3608" i="139"/>
  <c r="F538" i="139"/>
  <c r="F912" i="139"/>
  <c r="F1348" i="139"/>
  <c r="F3152" i="139"/>
  <c r="F3349" i="139"/>
  <c r="F3385" i="139"/>
  <c r="F1679" i="139"/>
  <c r="F158" i="139"/>
  <c r="F4064" i="139"/>
  <c r="F3040" i="139"/>
  <c r="F1813" i="139"/>
  <c r="F3470" i="139"/>
  <c r="F1291" i="139"/>
  <c r="F1651" i="139"/>
  <c r="F1296" i="139"/>
  <c r="F341" i="139"/>
  <c r="F570" i="139"/>
  <c r="F725" i="139"/>
  <c r="F3697" i="139"/>
  <c r="F713" i="139"/>
  <c r="F2593" i="139"/>
  <c r="F1640" i="139"/>
  <c r="F490" i="139"/>
  <c r="F1052" i="139"/>
  <c r="F1265" i="139"/>
  <c r="F2328" i="139"/>
  <c r="F2032" i="139"/>
  <c r="F3673" i="139"/>
  <c r="F3472" i="139"/>
  <c r="F3314" i="139"/>
  <c r="F1361" i="139"/>
  <c r="F3018" i="139"/>
  <c r="F1191" i="139"/>
  <c r="F3942" i="139"/>
  <c r="F3919" i="139"/>
  <c r="F4016" i="139"/>
  <c r="F3592" i="139"/>
  <c r="F1068" i="139"/>
  <c r="F763" i="139"/>
  <c r="F3541" i="139"/>
  <c r="F1220" i="139"/>
  <c r="F1780" i="139"/>
  <c r="F2410" i="139"/>
  <c r="F887" i="139"/>
  <c r="F1510" i="139"/>
  <c r="F1672" i="139"/>
  <c r="F1317" i="139"/>
  <c r="F1834" i="139"/>
  <c r="F1527" i="139"/>
  <c r="F4021" i="139"/>
  <c r="F360" i="139"/>
  <c r="F1456" i="139"/>
  <c r="F3509" i="139"/>
  <c r="F250" i="139"/>
  <c r="F2840" i="139"/>
  <c r="F2524" i="139"/>
  <c r="F1142" i="139"/>
  <c r="F1408" i="139"/>
  <c r="F248" i="139"/>
  <c r="F815" i="139"/>
  <c r="F196" i="139"/>
  <c r="F1563" i="139"/>
  <c r="F719" i="139"/>
  <c r="F1017" i="139"/>
  <c r="F2191" i="139"/>
  <c r="F3154" i="139"/>
  <c r="F1366" i="139"/>
  <c r="F2511" i="139"/>
  <c r="F3083" i="139"/>
  <c r="F2618" i="139"/>
  <c r="F2165" i="139"/>
  <c r="F4042" i="139"/>
  <c r="F3513" i="139"/>
  <c r="F1497" i="139"/>
  <c r="F2714" i="139"/>
  <c r="F2448" i="139"/>
  <c r="F2578" i="139"/>
  <c r="F3176" i="139"/>
  <c r="F3097" i="139"/>
  <c r="F3042" i="139"/>
  <c r="F3758" i="139"/>
  <c r="F566" i="139"/>
  <c r="F307" i="139"/>
  <c r="F1473" i="139"/>
  <c r="F3864" i="139"/>
  <c r="F1331" i="139"/>
  <c r="F4089" i="139"/>
  <c r="F3008" i="139"/>
  <c r="F830" i="139"/>
  <c r="F2277" i="139"/>
  <c r="F200" i="139"/>
  <c r="F3389" i="139"/>
  <c r="F2109" i="139"/>
  <c r="F2138" i="139"/>
  <c r="F1122" i="139"/>
  <c r="F1620" i="139"/>
  <c r="F993" i="139"/>
  <c r="F2126" i="139"/>
  <c r="F3603" i="139"/>
  <c r="F2429" i="139"/>
  <c r="F3584" i="139"/>
  <c r="F2026" i="139"/>
  <c r="F2853" i="139"/>
  <c r="F3949" i="139"/>
  <c r="F2033" i="139"/>
  <c r="F2353" i="139"/>
  <c r="F1209" i="139"/>
  <c r="F1989" i="139"/>
  <c r="F3776" i="139"/>
  <c r="F1393" i="139"/>
  <c r="F3172" i="139"/>
  <c r="F3971" i="139"/>
  <c r="F818" i="139"/>
  <c r="F2247" i="139"/>
  <c r="F3004" i="139"/>
  <c r="F2480" i="139"/>
  <c r="F4076" i="139"/>
  <c r="F3606" i="139"/>
  <c r="F1700" i="139"/>
  <c r="F1381" i="139"/>
  <c r="F3744" i="139"/>
  <c r="F2809" i="139"/>
  <c r="F314" i="139"/>
  <c r="F77" i="139"/>
  <c r="F3990" i="139"/>
  <c r="F1432" i="139"/>
  <c r="F3265" i="139"/>
  <c r="F265" i="139"/>
  <c r="F550" i="139"/>
  <c r="F3969" i="139"/>
  <c r="F1724" i="139"/>
  <c r="F1041" i="139"/>
  <c r="F1639" i="139"/>
  <c r="F726" i="139"/>
  <c r="F1165" i="139"/>
  <c r="F956" i="139"/>
  <c r="F3825" i="139"/>
  <c r="F3632" i="139"/>
  <c r="F3863" i="139"/>
  <c r="F92" i="139"/>
  <c r="F1880" i="139"/>
  <c r="F2160" i="139"/>
  <c r="F2813" i="139"/>
  <c r="F2366" i="139"/>
  <c r="F366" i="139"/>
  <c r="F3076" i="139"/>
  <c r="F3123" i="139"/>
  <c r="F2674" i="139"/>
  <c r="F1560" i="139"/>
  <c r="F623" i="139"/>
  <c r="F1309" i="139"/>
  <c r="F3775" i="139"/>
  <c r="F3116" i="139"/>
  <c r="F3718" i="139"/>
  <c r="F1154" i="139"/>
  <c r="F2617" i="139"/>
  <c r="F2695" i="139"/>
  <c r="F405" i="139"/>
  <c r="F2309" i="139"/>
  <c r="F2108" i="139"/>
  <c r="F3129" i="139"/>
  <c r="F3056" i="139"/>
  <c r="F1938" i="139"/>
  <c r="F3132" i="139"/>
  <c r="F458" i="139"/>
  <c r="F3339" i="139"/>
  <c r="F1750" i="139"/>
  <c r="F113" i="139"/>
  <c r="F695" i="139"/>
  <c r="F3645" i="139"/>
  <c r="F2765" i="139"/>
  <c r="F1095" i="139"/>
  <c r="F2096" i="139"/>
  <c r="F2411" i="139"/>
  <c r="F1278" i="139"/>
  <c r="F1918" i="139"/>
  <c r="F1111" i="139"/>
  <c r="F4007" i="139"/>
  <c r="F3357" i="139"/>
  <c r="F3604" i="139"/>
  <c r="F2795" i="139"/>
  <c r="F2132" i="139"/>
  <c r="F971" i="139"/>
  <c r="F3888" i="139"/>
  <c r="F4048" i="139"/>
  <c r="F3548" i="139"/>
  <c r="F332" i="139"/>
  <c r="F227" i="139"/>
  <c r="F3087" i="139"/>
  <c r="F747" i="139"/>
  <c r="F3287" i="139"/>
  <c r="F3812" i="139"/>
  <c r="F2888" i="139"/>
  <c r="F648" i="139"/>
  <c r="F2582" i="139"/>
  <c r="F1006" i="139"/>
  <c r="F283" i="139"/>
  <c r="F3099" i="139"/>
  <c r="F448" i="139"/>
  <c r="F766" i="139"/>
  <c r="F2014" i="139"/>
  <c r="F198" i="139"/>
  <c r="F3222" i="139"/>
  <c r="F722" i="139"/>
  <c r="F606" i="139"/>
  <c r="F3079" i="139"/>
  <c r="F2774" i="139"/>
  <c r="F4043" i="139"/>
  <c r="F3577" i="139"/>
  <c r="F642" i="139"/>
  <c r="F244" i="139"/>
  <c r="F3740" i="139"/>
  <c r="F53" i="139"/>
  <c r="F3303" i="139"/>
  <c r="F2156" i="139"/>
  <c r="F2916" i="139"/>
  <c r="F1182" i="139"/>
  <c r="F2331" i="139"/>
  <c r="F3005" i="139"/>
  <c r="F2722" i="139"/>
  <c r="F2219" i="139"/>
  <c r="F704" i="139"/>
  <c r="F618" i="139"/>
  <c r="F1947" i="139"/>
  <c r="F1536" i="139"/>
  <c r="F3365" i="139"/>
  <c r="F421" i="139"/>
  <c r="F1399" i="139"/>
  <c r="F975" i="139"/>
  <c r="F2575" i="139"/>
  <c r="F2750" i="139"/>
  <c r="F4081" i="139"/>
  <c r="F3428" i="139"/>
  <c r="F853" i="139"/>
  <c r="F3973" i="139"/>
  <c r="F94" i="139"/>
  <c r="F3978" i="139"/>
  <c r="F1282" i="139"/>
  <c r="F1304" i="139"/>
  <c r="F1587" i="139"/>
  <c r="F1161" i="139"/>
  <c r="F3166" i="139"/>
  <c r="F1535" i="139"/>
  <c r="F1890" i="139"/>
  <c r="F2151" i="139"/>
  <c r="F2246" i="139"/>
  <c r="F2171" i="139"/>
  <c r="F638" i="139"/>
  <c r="F3253" i="139"/>
  <c r="F2829" i="139"/>
  <c r="F2940" i="139"/>
  <c r="F602" i="139"/>
  <c r="F2435" i="139"/>
  <c r="F37" i="139"/>
  <c r="F1152" i="139"/>
  <c r="F2485" i="139"/>
  <c r="F1436" i="139"/>
  <c r="F778" i="139"/>
  <c r="F1683" i="139"/>
  <c r="F2739" i="139"/>
  <c r="F75" i="139"/>
  <c r="F1807" i="139"/>
  <c r="F1121" i="139"/>
  <c r="F3062" i="139"/>
  <c r="F1316" i="139"/>
  <c r="F900" i="139"/>
  <c r="F1605" i="139"/>
  <c r="F2728" i="139"/>
  <c r="F1410" i="139"/>
  <c r="F3498" i="139"/>
  <c r="F759" i="139"/>
  <c r="F167" i="139"/>
  <c r="F2585" i="139"/>
  <c r="F3859" i="139"/>
  <c r="F1889" i="139"/>
  <c r="F748" i="139"/>
  <c r="F3193" i="139"/>
  <c r="F188" i="139"/>
  <c r="F2229" i="139"/>
  <c r="F1159" i="139"/>
  <c r="F683" i="139"/>
  <c r="F1839" i="139"/>
  <c r="F978" i="139"/>
  <c r="F2738" i="139"/>
  <c r="F1818" i="139"/>
  <c r="F83" i="139"/>
  <c r="F2338" i="139"/>
  <c r="F133" i="139"/>
  <c r="F1822" i="139"/>
  <c r="F1922" i="139"/>
  <c r="F1032" i="139"/>
  <c r="F2070" i="139"/>
  <c r="F962" i="139"/>
  <c r="F3664" i="139"/>
  <c r="F3724" i="139"/>
  <c r="F3200" i="139"/>
  <c r="F2043" i="139"/>
  <c r="F178" i="139"/>
  <c r="F271" i="139"/>
  <c r="F3782" i="139"/>
  <c r="F320" i="139"/>
  <c r="F2401" i="139"/>
  <c r="F321" i="139"/>
  <c r="F1485" i="139"/>
  <c r="F1594" i="139"/>
  <c r="F3855" i="139"/>
  <c r="F3475" i="139"/>
  <c r="F1553" i="139"/>
  <c r="F2689" i="139"/>
  <c r="F2778" i="139"/>
  <c r="F3901" i="139"/>
  <c r="F2492" i="139"/>
  <c r="F2019" i="139"/>
  <c r="F124" i="139"/>
  <c r="F2012" i="139"/>
  <c r="F3143" i="139"/>
  <c r="F2975" i="139"/>
  <c r="F646" i="139"/>
  <c r="F2984" i="139"/>
  <c r="F1701" i="139"/>
  <c r="F447" i="139"/>
  <c r="F2831" i="139"/>
  <c r="F3020" i="139"/>
  <c r="F2748" i="139"/>
  <c r="F1811" i="139"/>
  <c r="F2258" i="139"/>
  <c r="F3162" i="139"/>
  <c r="F3998" i="139"/>
  <c r="F1022" i="139"/>
  <c r="F3868" i="139"/>
  <c r="F2627" i="139"/>
  <c r="F723" i="139"/>
  <c r="F868" i="139"/>
  <c r="F3730" i="139"/>
  <c r="F3717" i="139"/>
  <c r="F3501" i="139"/>
  <c r="F2914" i="139"/>
  <c r="F2220" i="139"/>
  <c r="F673" i="139"/>
  <c r="F2668" i="139"/>
  <c r="F4012" i="139"/>
  <c r="F1909" i="139"/>
  <c r="F2806" i="139"/>
  <c r="F2476" i="139"/>
  <c r="F3292" i="139"/>
  <c r="F537" i="139"/>
  <c r="F162" i="139"/>
  <c r="F1026" i="139"/>
  <c r="F1794" i="139"/>
  <c r="F3907" i="139"/>
  <c r="F2452" i="139"/>
  <c r="F3086" i="139"/>
  <c r="F2727" i="139"/>
  <c r="F3700" i="139"/>
  <c r="F1670" i="139"/>
  <c r="F1659" i="139"/>
  <c r="F4011" i="139"/>
  <c r="F1581" i="139"/>
  <c r="F2743" i="139"/>
  <c r="F780" i="139"/>
  <c r="F2867" i="139"/>
  <c r="F3552" i="139"/>
  <c r="F452" i="139"/>
  <c r="F1935" i="139"/>
  <c r="F262" i="139"/>
  <c r="F2732" i="139"/>
  <c r="F3457" i="139"/>
  <c r="F1306" i="139"/>
  <c r="F2951" i="139"/>
  <c r="F2783" i="139"/>
  <c r="F2900" i="139"/>
  <c r="F2985" i="139"/>
  <c r="F3547" i="139"/>
  <c r="F2215" i="139"/>
  <c r="F186" i="139"/>
  <c r="F3244" i="139"/>
  <c r="F3573" i="139"/>
  <c r="F2364" i="139"/>
  <c r="F1417" i="139"/>
  <c r="F87" i="139"/>
  <c r="F1253" i="139"/>
  <c r="F1349" i="139"/>
  <c r="F559" i="139"/>
  <c r="F2460" i="139"/>
  <c r="F1367" i="139"/>
  <c r="F594" i="139"/>
  <c r="F3367" i="139"/>
  <c r="F293" i="139"/>
  <c r="F668" i="139"/>
  <c r="F3317" i="139"/>
  <c r="F1400" i="139"/>
  <c r="F1995" i="139"/>
  <c r="F329" i="139"/>
  <c r="F2655" i="139"/>
  <c r="F644" i="139"/>
  <c r="F2935" i="139"/>
  <c r="F3685" i="139"/>
  <c r="F3856" i="139"/>
  <c r="F2934" i="139"/>
  <c r="F881" i="139"/>
  <c r="F2577" i="139"/>
  <c r="F3564" i="139"/>
  <c r="F3559" i="139"/>
  <c r="F701" i="139"/>
  <c r="F3561" i="139"/>
  <c r="F2711" i="139"/>
  <c r="F1387" i="139"/>
  <c r="F433" i="139"/>
  <c r="F3308" i="139"/>
  <c r="F2981" i="139"/>
  <c r="F125" i="139"/>
  <c r="F1711" i="139"/>
  <c r="F2284" i="139"/>
  <c r="F1128" i="139"/>
  <c r="F2465" i="139"/>
  <c r="F425" i="139"/>
  <c r="F3790" i="139"/>
  <c r="F3810" i="139"/>
  <c r="F2948" i="139"/>
  <c r="F531" i="139"/>
  <c r="F2932" i="139"/>
  <c r="F339" i="139"/>
  <c r="F3918" i="139"/>
  <c r="F1858" i="139"/>
  <c r="F3410" i="139"/>
  <c r="F1148" i="139"/>
  <c r="F1948" i="139"/>
  <c r="F509" i="139"/>
  <c r="F806" i="139"/>
  <c r="F3209" i="139"/>
  <c r="F1764" i="139"/>
  <c r="F2332" i="139"/>
  <c r="F3534" i="139"/>
  <c r="F4000" i="139"/>
  <c r="F90" i="139"/>
  <c r="F2626" i="139"/>
  <c r="F2857" i="139"/>
  <c r="F2017" i="139"/>
  <c r="F3815" i="139"/>
  <c r="F1441" i="139"/>
  <c r="F1957" i="139"/>
  <c r="F2324" i="139"/>
  <c r="F2044" i="139"/>
  <c r="F3953" i="139"/>
  <c r="F303" i="139"/>
  <c r="F1232" i="139"/>
  <c r="F463" i="139"/>
  <c r="F2905" i="139"/>
  <c r="F3624" i="139"/>
  <c r="F2871" i="139"/>
  <c r="F2354" i="139"/>
  <c r="F2872" i="139"/>
  <c r="F1073" i="139"/>
  <c r="F2322" i="139"/>
  <c r="F2041" i="139"/>
  <c r="F191" i="139"/>
  <c r="F2635" i="139"/>
  <c r="F2267" i="139"/>
  <c r="F2128" i="139"/>
  <c r="F3378" i="139"/>
  <c r="F2648" i="139"/>
  <c r="F2835" i="139"/>
  <c r="F292" i="139"/>
  <c r="F1470" i="139"/>
  <c r="F2697" i="139"/>
  <c r="F2314" i="139"/>
  <c r="F694" i="139"/>
  <c r="F2812" i="139"/>
  <c r="F2009" i="139"/>
  <c r="F3382" i="139"/>
  <c r="F2436" i="139"/>
  <c r="F1247" i="139"/>
  <c r="F2291" i="139"/>
  <c r="F408" i="139"/>
  <c r="F2232" i="139"/>
  <c r="F2507" i="139"/>
  <c r="F3798" i="139"/>
  <c r="F579" i="139"/>
  <c r="F3352" i="139"/>
  <c r="F1952" i="139"/>
  <c r="F450" i="139"/>
  <c r="F2425" i="139"/>
  <c r="F3667" i="139"/>
  <c r="F1871" i="139"/>
  <c r="F275" i="139"/>
  <c r="F3726" i="139"/>
  <c r="F3966" i="139"/>
  <c r="F775" i="139"/>
  <c r="F1972" i="139"/>
  <c r="F3460" i="139"/>
  <c r="F844" i="139"/>
  <c r="F890" i="139"/>
  <c r="F29" i="139"/>
  <c r="F2508" i="139"/>
  <c r="F3068" i="139"/>
  <c r="F4026" i="139"/>
  <c r="F2561" i="139"/>
  <c r="F2600" i="139"/>
  <c r="F3358" i="139"/>
  <c r="F368" i="139"/>
  <c r="F843" i="139"/>
  <c r="F1806" i="139"/>
  <c r="F2563" i="139"/>
  <c r="F1565" i="139"/>
  <c r="F984" i="139"/>
  <c r="F2222" i="139"/>
  <c r="F1375" i="139"/>
  <c r="F2290" i="139"/>
  <c r="F3201" i="139"/>
  <c r="F2400" i="139"/>
  <c r="F2142" i="139"/>
  <c r="F295" i="139"/>
  <c r="F3704" i="139"/>
  <c r="F995" i="139"/>
  <c r="F870" i="139"/>
  <c r="F3368" i="139"/>
  <c r="F3108" i="139"/>
  <c r="F2395" i="139"/>
  <c r="F1383" i="139"/>
  <c r="F2010" i="139"/>
  <c r="F1743" i="139"/>
  <c r="F3157" i="139"/>
  <c r="F2403" i="139"/>
  <c r="F1235" i="139"/>
  <c r="F3137" i="139"/>
  <c r="F3768" i="139"/>
  <c r="F735" i="139"/>
  <c r="F1695" i="139"/>
  <c r="F682" i="139"/>
  <c r="F1064" i="139"/>
  <c r="F1649" i="139"/>
  <c r="F1637" i="139"/>
  <c r="F3720" i="139"/>
  <c r="F3866" i="139"/>
  <c r="F1084" i="139"/>
  <c r="F1297" i="139"/>
  <c r="F2887" i="139"/>
  <c r="F2175" i="139"/>
  <c r="F2300" i="139"/>
  <c r="F923" i="139"/>
  <c r="F2390" i="139"/>
  <c r="F304" i="139"/>
  <c r="F3994" i="139"/>
  <c r="F3627" i="139"/>
  <c r="F2013" i="139"/>
  <c r="F3957" i="139"/>
  <c r="F3009" i="139"/>
  <c r="F1629" i="139"/>
  <c r="F3684" i="139"/>
  <c r="F290" i="139"/>
  <c r="F989" i="139"/>
  <c r="F3029" i="139"/>
  <c r="F2579" i="139"/>
  <c r="F3750" i="139"/>
  <c r="F2649" i="139"/>
  <c r="F1080" i="139"/>
  <c r="F423" i="139"/>
  <c r="F3678" i="139"/>
  <c r="F1415" i="139"/>
  <c r="F785" i="139"/>
  <c r="F1391" i="139"/>
  <c r="F4024" i="139"/>
  <c r="F2762" i="139"/>
  <c r="F1897" i="139"/>
  <c r="F556" i="139"/>
  <c r="F1459" i="139"/>
  <c r="F663" i="139"/>
  <c r="F1452" i="139"/>
  <c r="F3879" i="139"/>
  <c r="F344" i="139"/>
  <c r="F487" i="139"/>
  <c r="F1709" i="139"/>
  <c r="F132" i="139"/>
  <c r="F1290" i="139"/>
  <c r="F2826" i="139"/>
  <c r="F1575" i="139"/>
  <c r="F305" i="139"/>
  <c r="F237" i="139"/>
  <c r="F489" i="139"/>
  <c r="F1239" i="139"/>
  <c r="F2181" i="139"/>
  <c r="F148" i="139"/>
  <c r="F822" i="139"/>
  <c r="F2223" i="139"/>
  <c r="F686" i="139"/>
  <c r="F12" i="139"/>
  <c r="F170" i="139"/>
  <c r="F2537" i="139"/>
  <c r="F564" i="139"/>
  <c r="F3270" i="139"/>
  <c r="F1833" i="139"/>
  <c r="F721" i="139"/>
  <c r="F2896" i="139"/>
  <c r="F3427" i="139"/>
  <c r="F614" i="139"/>
  <c r="F2131" i="139"/>
  <c r="F529" i="139"/>
  <c r="F2474" i="139"/>
  <c r="F2453" i="139"/>
  <c r="F1673" i="139"/>
  <c r="F2288" i="139"/>
  <c r="F2976" i="139"/>
  <c r="F2703" i="139"/>
  <c r="F346" i="139"/>
  <c r="F4083" i="139"/>
  <c r="F2198" i="139"/>
  <c r="F1421" i="139"/>
  <c r="F418" i="139"/>
  <c r="F3203" i="139"/>
  <c r="F583" i="139"/>
  <c r="F1462" i="139"/>
  <c r="F1744" i="139"/>
  <c r="F1707" i="139"/>
  <c r="F3095" i="139"/>
  <c r="F3766" i="139"/>
  <c r="F851" i="139"/>
  <c r="F1520" i="139"/>
  <c r="F2785" i="139"/>
  <c r="F845" i="139"/>
  <c r="F58" i="139"/>
  <c r="F578" i="139"/>
  <c r="F1741" i="139"/>
  <c r="F2127" i="139"/>
  <c r="F1664" i="139"/>
  <c r="F31" i="139"/>
  <c r="F2837" i="139"/>
  <c r="F894" i="139"/>
  <c r="F171" i="139"/>
  <c r="F70" i="139"/>
  <c r="F3630" i="139"/>
  <c r="F235" i="139"/>
  <c r="F218" i="139"/>
  <c r="F3554" i="139"/>
  <c r="F3976" i="139"/>
  <c r="F1555" i="139"/>
  <c r="F586" i="139"/>
  <c r="F659" i="139"/>
  <c r="F1854" i="139"/>
  <c r="F1841" i="139"/>
  <c r="F3161" i="139"/>
  <c r="F1634" i="139"/>
  <c r="F2112" i="139"/>
  <c r="F3026" i="139"/>
  <c r="F3853" i="139"/>
  <c r="F282" i="139"/>
  <c r="F791" i="139"/>
  <c r="F3180" i="139"/>
  <c r="F3789" i="139"/>
  <c r="F2148" i="139"/>
  <c r="F3277" i="139"/>
  <c r="F2039" i="139"/>
  <c r="F3112" i="139"/>
  <c r="F1801" i="139"/>
  <c r="F2661" i="139"/>
  <c r="F1667" i="139"/>
  <c r="F3130" i="139"/>
  <c r="F3177" i="139"/>
  <c r="F1221" i="139"/>
  <c r="F1318" i="139"/>
  <c r="F47" i="139"/>
  <c r="F278" i="139"/>
  <c r="F857" i="139"/>
  <c r="F1958" i="139"/>
  <c r="F3985" i="139"/>
  <c r="F222" i="139"/>
  <c r="F2455" i="139"/>
  <c r="F1016" i="139"/>
  <c r="F149" i="139"/>
  <c r="F2699" i="139"/>
  <c r="F1396" i="139"/>
  <c r="F3785" i="139"/>
  <c r="F2350" i="139"/>
  <c r="F1643" i="139"/>
  <c r="F1178" i="139"/>
  <c r="F2760" i="139"/>
  <c r="F3796" i="139"/>
  <c r="F2257" i="139"/>
  <c r="F1747" i="139"/>
  <c r="F2960" i="139"/>
  <c r="F3840" i="139"/>
  <c r="F3336" i="139"/>
  <c r="F562" i="139"/>
  <c r="F2335" i="139"/>
  <c r="F3452" i="139"/>
  <c r="F1289" i="139"/>
  <c r="F1951" i="139"/>
  <c r="F4068" i="139"/>
  <c r="F393" i="139"/>
  <c r="F1372" i="139"/>
  <c r="F1625" i="139"/>
  <c r="F353" i="139"/>
  <c r="F1616" i="139"/>
  <c r="F2079" i="139"/>
  <c r="F501" i="139"/>
  <c r="F3359" i="139"/>
  <c r="F1149" i="139"/>
  <c r="F1474" i="139"/>
  <c r="F2484" i="139"/>
  <c r="F2422" i="139"/>
  <c r="F1888" i="139"/>
  <c r="F139" i="139"/>
  <c r="F3479" i="139"/>
  <c r="F2616" i="139"/>
  <c r="F312" i="139"/>
  <c r="F3491" i="139"/>
  <c r="F1518" i="139"/>
  <c r="F1717" i="139"/>
  <c r="F3490" i="139"/>
  <c r="F3769" i="139"/>
  <c r="F1063" i="139"/>
  <c r="F2884" i="139"/>
  <c r="F2358" i="139"/>
  <c r="F4025" i="139"/>
  <c r="F3036" i="139"/>
  <c r="F2741" i="139"/>
  <c r="F3059" i="139"/>
  <c r="F2547" i="139"/>
  <c r="F3674" i="139"/>
  <c r="F3124" i="139"/>
  <c r="F493" i="139"/>
  <c r="F889" i="139"/>
  <c r="F3935" i="139"/>
  <c r="F3852" i="139"/>
  <c r="F2554" i="139"/>
  <c r="F2821" i="139"/>
  <c r="F2794" i="139"/>
  <c r="F476" i="139"/>
  <c r="F3663" i="139"/>
  <c r="F1845" i="139"/>
  <c r="F4071" i="139"/>
  <c r="F1027" i="139"/>
  <c r="F1919" i="139"/>
  <c r="F3680" i="139"/>
  <c r="F1600" i="139"/>
  <c r="F750" i="139"/>
  <c r="F2283" i="139"/>
  <c r="F674" i="139"/>
  <c r="F655" i="139"/>
  <c r="F3506" i="139"/>
  <c r="F2849" i="139"/>
  <c r="F473" i="139"/>
  <c r="F2319" i="139"/>
  <c r="F2671" i="139"/>
  <c r="F3822" i="139"/>
  <c r="F2684" i="139"/>
  <c r="F129" i="139"/>
  <c r="F1537" i="139"/>
  <c r="F2065" i="139"/>
  <c r="F116" i="139"/>
  <c r="F359" i="139"/>
  <c r="F151" i="139"/>
  <c r="F4040" i="139"/>
  <c r="F797" i="139"/>
  <c r="F3536" i="139"/>
  <c r="F3961" i="139"/>
  <c r="F243" i="139"/>
  <c r="F203" i="139"/>
  <c r="F69" i="139"/>
  <c r="F3837" i="139"/>
  <c r="F65" i="139"/>
  <c r="F2771" i="139"/>
  <c r="F546" i="139"/>
  <c r="F1997" i="139"/>
  <c r="F577" i="139"/>
  <c r="F2486" i="139"/>
  <c r="F777" i="139"/>
  <c r="F3174" i="139"/>
  <c r="F1313" i="139"/>
  <c r="F1133" i="139"/>
  <c r="F3458" i="139"/>
  <c r="F1538" i="139"/>
  <c r="F966" i="139"/>
  <c r="F1862" i="139"/>
  <c r="F3285" i="139"/>
  <c r="F1369" i="139"/>
  <c r="F1800" i="139"/>
  <c r="F3481" i="139"/>
  <c r="F2323" i="139"/>
  <c r="F3827" i="139"/>
  <c r="F414" i="139"/>
  <c r="F3347" i="139"/>
  <c r="F1424" i="139"/>
  <c r="F156" i="139"/>
  <c r="F1551" i="139"/>
  <c r="F2481" i="139"/>
  <c r="F1928" i="139"/>
  <c r="F1900" i="139"/>
  <c r="F1592" i="139"/>
  <c r="F591" i="139"/>
  <c r="F3875" i="139"/>
  <c r="F3843" i="139"/>
  <c r="F183" i="139"/>
  <c r="F2503" i="139"/>
  <c r="F937" i="139"/>
  <c r="F220" i="139"/>
  <c r="F1705" i="139"/>
  <c r="F1330" i="139"/>
  <c r="F2883" i="139"/>
  <c r="F3756" i="139"/>
  <c r="F2936" i="139"/>
  <c r="F3276" i="139"/>
  <c r="F2190" i="139"/>
  <c r="F3666" i="139"/>
  <c r="F2922" i="139"/>
  <c r="F2158" i="139"/>
  <c r="F1840" i="139"/>
  <c r="F1146" i="139"/>
  <c r="F2542" i="139"/>
  <c r="F3575" i="139"/>
  <c r="F1805" i="139"/>
  <c r="F2573" i="139"/>
  <c r="F3463" i="139"/>
  <c r="F27" i="139"/>
  <c r="F2320" i="139"/>
  <c r="F121" i="139"/>
  <c r="F1998" i="139"/>
  <c r="F2365" i="139"/>
  <c r="F4029" i="139"/>
  <c r="F2972" i="139"/>
  <c r="F1799" i="139"/>
  <c r="F850" i="139"/>
  <c r="F1074" i="139"/>
  <c r="F1823" i="139"/>
  <c r="F1411" i="139"/>
  <c r="F3537" i="139"/>
  <c r="F2744" i="139"/>
  <c r="F2977" i="139"/>
  <c r="F2776" i="139"/>
  <c r="F1283" i="139"/>
  <c r="F263" i="139"/>
  <c r="F1437" i="139"/>
  <c r="F2239" i="139"/>
  <c r="F1463" i="139"/>
  <c r="F919" i="139"/>
  <c r="F36" i="139"/>
  <c r="F2797" i="139"/>
  <c r="F2001" i="139"/>
  <c r="F3313" i="139"/>
  <c r="F1564" i="139"/>
  <c r="F1090" i="139"/>
  <c r="F2273" i="139"/>
  <c r="F1698" i="139"/>
  <c r="F2312" i="139"/>
  <c r="F3867" i="139"/>
  <c r="F3133" i="139"/>
  <c r="F3258" i="139"/>
  <c r="F1389" i="139"/>
  <c r="F1106" i="139"/>
  <c r="F2402" i="139"/>
  <c r="F141" i="139"/>
  <c r="F3239" i="139"/>
  <c r="F2506" i="139"/>
  <c r="F3952" i="139"/>
  <c r="F1768" i="139"/>
  <c r="F952" i="139"/>
  <c r="F88" i="139"/>
  <c r="F1058" i="139"/>
  <c r="F426" i="139"/>
  <c r="F3522" i="139"/>
  <c r="F2204" i="139"/>
  <c r="F2372" i="139"/>
  <c r="F861" i="139"/>
  <c r="F3453" i="139"/>
  <c r="F647" i="139"/>
  <c r="F1506" i="139"/>
  <c r="F3101" i="139"/>
  <c r="F3915" i="139"/>
  <c r="F3052" i="139"/>
  <c r="F2799" i="139"/>
  <c r="F173" i="139"/>
  <c r="F3442" i="139"/>
  <c r="F2167" i="139"/>
  <c r="F4063" i="139"/>
  <c r="F3140" i="139"/>
  <c r="F3523" i="139"/>
  <c r="F3871" i="139"/>
  <c r="F3438" i="139"/>
  <c r="F3759" i="139"/>
  <c r="F1896" i="139"/>
  <c r="F9" i="139"/>
  <c r="F3542" i="139"/>
  <c r="F869" i="139"/>
  <c r="F2740" i="139"/>
  <c r="F3931" i="139"/>
  <c r="F2886" i="139"/>
  <c r="F3284" i="139"/>
  <c r="F2490" i="139"/>
  <c r="F3914" i="139"/>
  <c r="F3845" i="139"/>
  <c r="F3006" i="139"/>
  <c r="F322" i="139"/>
  <c r="F2200" i="139"/>
  <c r="F4099" i="139"/>
  <c r="F774" i="139"/>
  <c r="F1270" i="139"/>
  <c r="F3965" i="139"/>
  <c r="F1020" i="139"/>
  <c r="F451" i="139"/>
  <c r="F297" i="139"/>
  <c r="F823" i="139"/>
  <c r="F2454" i="139"/>
  <c r="F382" i="139"/>
  <c r="F1847" i="139"/>
  <c r="F1713" i="139"/>
  <c r="F1307" i="139"/>
  <c r="F2236" i="139"/>
  <c r="F2994" i="139"/>
  <c r="F342" i="139"/>
  <c r="F335" i="139"/>
  <c r="F3698" i="139"/>
  <c r="F3589" i="139"/>
  <c r="F2362" i="139"/>
  <c r="F2701" i="139"/>
  <c r="F230" i="139"/>
  <c r="F3150" i="139"/>
  <c r="F1320" i="139"/>
  <c r="F2253" i="139"/>
  <c r="F2696" i="139"/>
  <c r="F2419" i="139"/>
  <c r="F1826" i="139"/>
  <c r="F18" i="139"/>
  <c r="F3502" i="139"/>
  <c r="F1267" i="139"/>
  <c r="F1857" i="139"/>
  <c r="F3309" i="139"/>
  <c r="F3232" i="139"/>
  <c r="F986" i="139"/>
  <c r="F3104" i="139"/>
  <c r="F4038" i="139"/>
  <c r="F918" i="139"/>
  <c r="F367" i="139"/>
  <c r="F3411" i="139"/>
  <c r="F2376" i="139"/>
  <c r="F2652" i="139"/>
  <c r="F404" i="139"/>
  <c r="F3676" i="139"/>
  <c r="F1949" i="139"/>
  <c r="F1327" i="139"/>
  <c r="F541" i="139"/>
  <c r="F787" i="139"/>
  <c r="F1075" i="139"/>
  <c r="F1752" i="139"/>
  <c r="F1346" i="139"/>
  <c r="F1088" i="139"/>
  <c r="F1513" i="139"/>
  <c r="F2801" i="139"/>
  <c r="F1836" i="139"/>
  <c r="F211" i="139"/>
  <c r="F3658" i="139"/>
  <c r="F600" i="139"/>
  <c r="F3163" i="139"/>
  <c r="F979" i="139"/>
  <c r="F643" i="139"/>
  <c r="F3989" i="139"/>
  <c r="F2719" i="139"/>
  <c r="F1595" i="139"/>
  <c r="F3300" i="139"/>
  <c r="F3332" i="139"/>
  <c r="F1644" i="139"/>
  <c r="F1315" i="139"/>
  <c r="F3533" i="139"/>
  <c r="F2676" i="139"/>
  <c r="F3342" i="139"/>
  <c r="F2356" i="139"/>
  <c r="F3755" i="139"/>
  <c r="F2421" i="139"/>
  <c r="F3031" i="139"/>
  <c r="F1690" i="139"/>
  <c r="F565" i="139"/>
  <c r="F867" i="139"/>
  <c r="F605" i="139"/>
  <c r="F2117" i="139"/>
  <c r="F983" i="139"/>
  <c r="F1120" i="139"/>
  <c r="F2155" i="139"/>
  <c r="F3924" i="139"/>
  <c r="F1243" i="139"/>
  <c r="F2954" i="139"/>
  <c r="F2892" i="139"/>
  <c r="F3823" i="139"/>
  <c r="F3334" i="139"/>
  <c r="F551" i="139"/>
  <c r="F2713" i="139"/>
  <c r="F3791" i="139"/>
  <c r="F2764" i="139"/>
  <c r="F3165" i="139"/>
  <c r="F3896" i="139"/>
  <c r="F1448" i="139"/>
  <c r="F1735" i="139"/>
  <c r="F1472" i="139"/>
  <c r="F3649" i="139"/>
  <c r="F1129" i="139"/>
  <c r="F593" i="139"/>
  <c r="F2396" i="139"/>
  <c r="F1173" i="139"/>
  <c r="F2380" i="139"/>
  <c r="F2437" i="139"/>
  <c r="F2854" i="139"/>
  <c r="F2712" i="139"/>
  <c r="F2118" i="139"/>
  <c r="F3288" i="139"/>
  <c r="F2827" i="139"/>
  <c r="F1403" i="139"/>
  <c r="F2168" i="139"/>
  <c r="F3050" i="139"/>
  <c r="F1863" i="139"/>
  <c r="F2657" i="139"/>
  <c r="F2311" i="139"/>
  <c r="F3595" i="139"/>
  <c r="F1881" i="139"/>
  <c r="F1184" i="139"/>
  <c r="F1490" i="139"/>
  <c r="F2841" i="139"/>
  <c r="F1762" i="139"/>
  <c r="F3939" i="139"/>
  <c r="F1556" i="139"/>
  <c r="F2049" i="139"/>
  <c r="F802" i="139"/>
  <c r="F1725" i="139"/>
  <c r="F1546" i="139"/>
  <c r="F1875" i="139"/>
  <c r="F1925" i="139"/>
  <c r="F389" i="139"/>
  <c r="F3135" i="139"/>
  <c r="F1661" i="139"/>
  <c r="F301" i="139"/>
  <c r="F1996" i="139"/>
  <c r="F1123" i="139"/>
  <c r="F3047" i="139"/>
  <c r="F1567" i="139"/>
  <c r="F2606" i="139"/>
  <c r="F741" i="139"/>
  <c r="F1874" i="139"/>
  <c r="F2170" i="139"/>
  <c r="F3326" i="139"/>
  <c r="F950" i="139"/>
  <c r="F3289" i="139"/>
  <c r="F2553" i="139"/>
  <c r="F3725" i="139"/>
  <c r="F3895" i="139"/>
  <c r="F2787" i="139"/>
  <c r="F3754" i="139"/>
  <c r="F2208" i="139"/>
  <c r="F964" i="139"/>
  <c r="F1479" i="139"/>
  <c r="F1906" i="139"/>
  <c r="F3992" i="139"/>
  <c r="F49" i="139"/>
  <c r="F4058" i="139"/>
  <c r="F2092" i="139"/>
  <c r="F1719" i="139"/>
  <c r="F1352" i="139"/>
  <c r="F1641" i="139"/>
  <c r="F524" i="139"/>
  <c r="F2124" i="139"/>
  <c r="F3609" i="139"/>
  <c r="F3081" i="139"/>
  <c r="F1426" i="139"/>
  <c r="F3651" i="139"/>
  <c r="F2931" i="139"/>
  <c r="F1580" i="139"/>
  <c r="F510" i="139"/>
  <c r="F1388" i="139"/>
  <c r="F1767" i="139"/>
  <c r="F1530" i="139"/>
  <c r="F985" i="139"/>
  <c r="F1791" i="139"/>
  <c r="F3409" i="139"/>
  <c r="F419" i="139"/>
  <c r="F331" i="139"/>
  <c r="F2458" i="139"/>
  <c r="F3406" i="139"/>
  <c r="F4036" i="139"/>
  <c r="F2504" i="139"/>
  <c r="F3808" i="139"/>
  <c r="F1103" i="139"/>
  <c r="F1044" i="139"/>
  <c r="F3488" i="139"/>
  <c r="F2817" i="139"/>
  <c r="F2637" i="139"/>
  <c r="F3330" i="139"/>
  <c r="F1034" i="139"/>
  <c r="F239" i="139"/>
  <c r="F3394" i="139"/>
  <c r="F2445" i="139"/>
  <c r="F3933" i="139"/>
  <c r="F319" i="139"/>
  <c r="F737" i="139"/>
  <c r="F1427" i="139"/>
  <c r="F2088" i="139"/>
  <c r="F1198" i="139"/>
  <c r="F2018" i="139"/>
  <c r="F3204" i="139"/>
  <c r="F516" i="139"/>
  <c r="F3910" i="139"/>
  <c r="F2678" i="139"/>
  <c r="F2775" i="139"/>
  <c r="F2828" i="139"/>
  <c r="F3439" i="139"/>
  <c r="F1229" i="139"/>
</calcChain>
</file>

<file path=xl/sharedStrings.xml><?xml version="1.0" encoding="utf-8"?>
<sst xmlns="http://schemas.openxmlformats.org/spreadsheetml/2006/main" count="32430" uniqueCount="2647">
  <si>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</si>
  <si>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</si>
  <si>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</si>
  <si>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</si>
  <si>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</si>
  <si>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</si>
  <si>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</si>
  <si>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</si>
  <si>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</si>
  <si>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</si>
  <si>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</si>
  <si>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</si>
  <si>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</si>
  <si>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</si>
  <si>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</si>
  <si>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</si>
  <si>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</si>
  <si>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</si>
  <si>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</si>
  <si>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</si>
  <si>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</si>
  <si>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</si>
  <si>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</si>
  <si>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</si>
  <si>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</si>
  <si>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</si>
  <si>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</si>
  <si>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</si>
  <si>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</si>
  <si>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</si>
  <si>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</si>
  <si>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</si>
  <si>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</si>
  <si>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</si>
  <si>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</si>
  <si>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</si>
  <si>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</si>
  <si>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</si>
  <si>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</si>
  <si>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</si>
  <si>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</si>
  <si>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</si>
  <si>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</si>
  <si>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</si>
  <si>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</si>
  <si>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</si>
  <si>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</si>
  <si>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</si>
  <si>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</si>
  <si>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</si>
  <si>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</si>
  <si>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</si>
  <si>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</si>
  <si>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</si>
  <si>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</si>
  <si>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</si>
  <si>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</si>
  <si>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</si>
  <si>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</si>
  <si>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</si>
  <si>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</si>
  <si>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</si>
  <si>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</si>
  <si>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</si>
  <si>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</si>
  <si>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</si>
  <si>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</si>
  <si>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</si>
  <si>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</si>
  <si>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</si>
  <si>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</si>
  <si>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</si>
  <si>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</si>
  <si>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</si>
  <si>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</si>
  <si>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</si>
  <si>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</si>
  <si>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</si>
  <si>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</si>
  <si>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</si>
  <si>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</si>
  <si>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</si>
  <si>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</si>
  <si>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</si>
  <si>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</si>
  <si>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</si>
  <si>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</si>
  <si>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</si>
  <si>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</si>
  <si>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</si>
  <si>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</si>
  <si>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</si>
  <si>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</si>
  <si>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</si>
  <si>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</si>
  <si>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</si>
  <si>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</si>
  <si>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</si>
  <si>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</si>
  <si>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</si>
  <si>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</si>
  <si>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</si>
  <si>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</si>
  <si>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</si>
  <si>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</si>
  <si>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</si>
  <si>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</si>
  <si>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</si>
  <si>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</si>
  <si>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</si>
  <si>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</si>
  <si>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</si>
  <si>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</si>
  <si>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</si>
  <si>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</si>
  <si>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</si>
  <si>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</si>
  <si>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</si>
  <si>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</si>
  <si>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</si>
  <si>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</si>
  <si>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</si>
  <si>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</si>
  <si>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</si>
  <si>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</si>
  <si>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</si>
  <si>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</si>
  <si>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</si>
  <si>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</si>
  <si>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</si>
  <si>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</si>
  <si>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</si>
  <si>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Volatility</t>
  </si>
  <si>
    <t>EndDate</t>
  </si>
  <si>
    <t>StartDate</t>
  </si>
  <si>
    <t>future.interpolation</t>
  </si>
  <si>
    <t>Leg1cashlet.spotlag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</si>
  <si>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</si>
  <si>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</si>
  <si>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</si>
  <si>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</si>
  <si>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</si>
  <si>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</si>
  <si>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</si>
  <si>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</si>
  <si>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</si>
  <si>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</si>
  <si>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</si>
  <si>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</si>
  <si>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</si>
  <si>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</si>
  <si>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</si>
  <si>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</si>
  <si>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</si>
  <si>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</si>
  <si>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</si>
  <si>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</si>
  <si>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</si>
  <si>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</si>
  <si>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</si>
  <si>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</si>
  <si>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</si>
  <si>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</si>
  <si>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</si>
  <si>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</si>
  <si>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</si>
  <si>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</si>
  <si>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</si>
  <si>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</si>
  <si>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</si>
  <si>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</si>
  <si>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</si>
  <si>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</si>
  <si>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</si>
  <si>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</si>
  <si>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</si>
  <si>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</si>
  <si>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</si>
  <si>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</si>
  <si>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</si>
  <si>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</si>
  <si>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</si>
  <si>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Leg2Discount</t>
  </si>
  <si>
    <t>basis.interpolation.xccybasis</t>
  </si>
  <si>
    <t>Slidingrule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</si>
  <si>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</si>
  <si>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</si>
  <si>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</si>
  <si>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</si>
  <si>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</si>
  <si>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</si>
  <si>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</si>
  <si>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</si>
  <si>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</si>
  <si>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</si>
  <si>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</si>
  <si>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</si>
  <si>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</si>
  <si>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</si>
  <si>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</si>
  <si>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</si>
  <si>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</si>
  <si>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</si>
  <si>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</si>
  <si>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</si>
  <si>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</si>
  <si>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</si>
  <si>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</si>
  <si>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</si>
  <si>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</si>
  <si>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</si>
  <si>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</si>
  <si>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</si>
  <si>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</si>
  <si>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</si>
  <si>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</si>
  <si>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</si>
  <si>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</si>
  <si>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</si>
  <si>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</si>
  <si>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</si>
  <si>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</si>
  <si>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</si>
  <si>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</si>
  <si>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</si>
  <si>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</si>
  <si>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</si>
  <si>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</si>
  <si>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</si>
  <si>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</si>
  <si>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</si>
  <si>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</si>
  <si>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</si>
  <si>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</si>
  <si>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</si>
  <si>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</si>
  <si>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</si>
  <si>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</si>
  <si>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</si>
  <si>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</si>
  <si>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</si>
  <si>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</si>
  <si>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</si>
  <si>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</si>
  <si>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</si>
  <si>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</si>
  <si>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</si>
  <si>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Leg1Discount</t>
  </si>
  <si>
    <t>isRenotionalAdjust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</si>
  <si>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</si>
  <si>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</si>
  <si>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</si>
  <si>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</si>
  <si>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</si>
  <si>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</si>
  <si>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</si>
  <si>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</si>
  <si>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</si>
  <si>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</si>
  <si>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</si>
  <si>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</si>
  <si>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</si>
  <si>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</si>
  <si>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</si>
  <si>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</si>
  <si>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</si>
  <si>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</si>
  <si>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</si>
  <si>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</si>
  <si>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</si>
  <si>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</si>
  <si>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STD: Swap Curve</t>
  </si>
  <si>
    <t>Curve Properties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</si>
  <si>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</si>
  <si>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</si>
  <si>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</si>
  <si>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</si>
  <si>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</si>
  <si>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</si>
  <si>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</si>
  <si>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</si>
  <si>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</si>
  <si>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</si>
  <si>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</si>
  <si>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</si>
  <si>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STD:GBP6MLFORECAST:6ML</t>
  </si>
  <si>
    <t>3M6MBasis:GBP3MLFORECAST:3ML</t>
  </si>
  <si>
    <t>6M12MBasis:GBP12MLFORECAST:12ML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</si>
  <si>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</si>
  <si>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</si>
  <si>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</si>
  <si>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</si>
  <si>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</si>
  <si>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OIS:EUROIS:EURDISCOUNT:EURDF:DF</t>
  </si>
  <si>
    <t>XccyBasis:GBPDISCOUNT:GBPDF:DF</t>
  </si>
  <si>
    <t>OIS:GBPOIS:GBPDISCOUNT:GBPDF:DF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</si>
  <si>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</si>
  <si>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</si>
  <si>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</si>
  <si>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</si>
  <si>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</si>
  <si>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</si>
  <si>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</si>
  <si>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</si>
  <si>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</si>
  <si>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</si>
  <si>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</si>
  <si>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</si>
  <si>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</si>
  <si>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</si>
  <si>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</si>
  <si>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</si>
  <si>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</si>
  <si>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</si>
  <si>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</si>
  <si>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STD DF2</t>
  </si>
  <si>
    <t>3ML</t>
  </si>
  <si>
    <t>30M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</si>
  <si>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</si>
  <si>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</si>
  <si>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</si>
  <si>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</si>
  <si>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</si>
  <si>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</si>
  <si>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</si>
  <si>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</si>
  <si>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</si>
  <si>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</si>
  <si>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</si>
  <si>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</si>
  <si>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</si>
  <si>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</si>
  <si>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</si>
  <si>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</si>
  <si>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</si>
  <si>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</si>
  <si>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</si>
  <si>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</si>
  <si>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Total Curve Errors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</si>
  <si>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</si>
  <si>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</si>
  <si>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</si>
  <si>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</si>
  <si>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</si>
  <si>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</si>
  <si>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</si>
  <si>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</si>
  <si>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</si>
  <si>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</si>
  <si>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</si>
  <si>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</si>
  <si>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</si>
  <si>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</si>
  <si>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Valuation Date</t>
  </si>
  <si>
    <t>Notional</t>
  </si>
  <si>
    <t>6ML</t>
  </si>
  <si>
    <t>0D</t>
  </si>
  <si>
    <t>NYB:LNB</t>
  </si>
  <si>
    <t>ShortStart</t>
  </si>
  <si>
    <t>TKB:LNB</t>
  </si>
  <si>
    <t>EUR Swap</t>
  </si>
  <si>
    <t>2D</t>
  </si>
  <si>
    <t>USD Swap</t>
  </si>
  <si>
    <t>REQUEST BLOOMBERG DATA</t>
  </si>
  <si>
    <t>USD: OIS CURVE</t>
  </si>
  <si>
    <t>USD: SWAP CURVE</t>
  </si>
  <si>
    <t>USD TENOR BASIS: 3X6</t>
  </si>
  <si>
    <t>USD TENOR BASIS: 1X3</t>
  </si>
  <si>
    <t>USD TENOR BASIS: 3X12</t>
  </si>
  <si>
    <t>USD: XCCY BASIS</t>
  </si>
  <si>
    <t>USD_OIS_CURVE</t>
  </si>
  <si>
    <t>USD_SWAP_CURVE</t>
  </si>
  <si>
    <t>USD_TENOR_BASIS_3X6</t>
  </si>
  <si>
    <t>USD_TENOR_BASIS_1X3</t>
  </si>
  <si>
    <t>USD_TENOR_BASIS_3X12</t>
  </si>
  <si>
    <t>USD_XCCY_BASIS</t>
  </si>
  <si>
    <t>Instrument</t>
  </si>
  <si>
    <t>Price Provider</t>
  </si>
  <si>
    <t>Database</t>
  </si>
  <si>
    <t>Use</t>
  </si>
  <si>
    <t>Ticker</t>
  </si>
  <si>
    <t>Fields</t>
  </si>
  <si>
    <t>TICKER</t>
  </si>
  <si>
    <t>SECURITY_TYP2</t>
  </si>
  <si>
    <t>NAME</t>
  </si>
  <si>
    <t>LAST_PRICE</t>
  </si>
  <si>
    <t>FEDL01</t>
  </si>
  <si>
    <t>BGN</t>
  </si>
  <si>
    <t>Index</t>
  </si>
  <si>
    <t xml:space="preserve">US0003M </t>
  </si>
  <si>
    <t>ICUS</t>
  </si>
  <si>
    <t>USBC1</t>
  </si>
  <si>
    <t>ICPL</t>
  </si>
  <si>
    <t>Curncy</t>
  </si>
  <si>
    <t>USBA1</t>
  </si>
  <si>
    <t>CMPN</t>
  </si>
  <si>
    <t>USBL1</t>
  </si>
  <si>
    <t>USSO1Z</t>
  </si>
  <si>
    <t xml:space="preserve">ED1 </t>
  </si>
  <si>
    <t>COMB</t>
  </si>
  <si>
    <t>Comdty</t>
  </si>
  <si>
    <t>USBC2</t>
  </si>
  <si>
    <t>USBA2</t>
  </si>
  <si>
    <t>USBL2</t>
  </si>
  <si>
    <t>USSO2Z</t>
  </si>
  <si>
    <t>ED2</t>
  </si>
  <si>
    <t>USBC3</t>
  </si>
  <si>
    <t>USBA3</t>
  </si>
  <si>
    <t>USBL3</t>
  </si>
  <si>
    <t>USSO3Z</t>
  </si>
  <si>
    <t>ED3</t>
  </si>
  <si>
    <t>USBC4</t>
  </si>
  <si>
    <t>USBA4</t>
  </si>
  <si>
    <t>USBL4</t>
  </si>
  <si>
    <t>USSOA</t>
  </si>
  <si>
    <t xml:space="preserve">ED4 </t>
  </si>
  <si>
    <t>USBC5</t>
  </si>
  <si>
    <t>USBA5</t>
  </si>
  <si>
    <t>USBL5</t>
  </si>
  <si>
    <t>USSOB</t>
  </si>
  <si>
    <t xml:space="preserve">ED5 </t>
  </si>
  <si>
    <t>USBC6</t>
  </si>
  <si>
    <t>USBA6</t>
  </si>
  <si>
    <t>USBL7</t>
  </si>
  <si>
    <t>USSOC</t>
  </si>
  <si>
    <t xml:space="preserve">ED6 </t>
  </si>
  <si>
    <t>USBC7</t>
  </si>
  <si>
    <t>USBA7</t>
  </si>
  <si>
    <t>USBL10</t>
  </si>
  <si>
    <t>USSOD</t>
  </si>
  <si>
    <t xml:space="preserve">ED7 </t>
  </si>
  <si>
    <t>USBC8</t>
  </si>
  <si>
    <t>USBA8</t>
  </si>
  <si>
    <t>USBL12</t>
  </si>
  <si>
    <t>USSOE</t>
  </si>
  <si>
    <t xml:space="preserve">ED8 </t>
  </si>
  <si>
    <t>USBC9</t>
  </si>
  <si>
    <t>USBA9</t>
  </si>
  <si>
    <t>USBL15</t>
  </si>
  <si>
    <t>USSOF</t>
  </si>
  <si>
    <t>ED9</t>
  </si>
  <si>
    <t>USBC10</t>
  </si>
  <si>
    <t>USBA10</t>
  </si>
  <si>
    <t>USBL20</t>
  </si>
  <si>
    <t>USSOI</t>
  </si>
  <si>
    <t xml:space="preserve">ED10 </t>
  </si>
  <si>
    <t>USBC12</t>
  </si>
  <si>
    <t>USBA12</t>
  </si>
  <si>
    <t>USBL25</t>
  </si>
  <si>
    <t>USSO1</t>
  </si>
  <si>
    <t xml:space="preserve">ED11 </t>
  </si>
  <si>
    <t>USBC15</t>
  </si>
  <si>
    <t>USBA15</t>
  </si>
  <si>
    <t>USBL30</t>
  </si>
  <si>
    <t>USSO1F</t>
  </si>
  <si>
    <t xml:space="preserve">ED12 </t>
  </si>
  <si>
    <t>USBC20</t>
  </si>
  <si>
    <t>USBA20</t>
  </si>
  <si>
    <t>USSO2</t>
  </si>
  <si>
    <t xml:space="preserve">ED13 </t>
  </si>
  <si>
    <t>USBC25</t>
  </si>
  <si>
    <t>USBA25</t>
  </si>
  <si>
    <t>USSO3</t>
  </si>
  <si>
    <t xml:space="preserve">ED14 </t>
  </si>
  <si>
    <t>USBC30</t>
  </si>
  <si>
    <t>USBA30</t>
  </si>
  <si>
    <t>USSO4</t>
  </si>
  <si>
    <t xml:space="preserve">ED15 </t>
  </si>
  <si>
    <t>USSO5</t>
  </si>
  <si>
    <t xml:space="preserve">ED16 </t>
  </si>
  <si>
    <t>USSWAP7</t>
  </si>
  <si>
    <t>USSWAP4</t>
  </si>
  <si>
    <t>SWAP</t>
  </si>
  <si>
    <t>USSWAP10</t>
  </si>
  <si>
    <t>USSWAP5</t>
  </si>
  <si>
    <t>USSWAP12</t>
  </si>
  <si>
    <t>USSW6</t>
  </si>
  <si>
    <t>USSWAP15</t>
  </si>
  <si>
    <t>USSWAP20</t>
  </si>
  <si>
    <t>USSW8</t>
  </si>
  <si>
    <t>USSWAP25</t>
  </si>
  <si>
    <t>USSW9</t>
  </si>
  <si>
    <t>USSWAP30</t>
  </si>
  <si>
    <t>USSWAP40</t>
  </si>
  <si>
    <t>USSWAP11</t>
  </si>
  <si>
    <t>EUR: OIS CURVE</t>
  </si>
  <si>
    <t>EUR TENOR BASIS: 3X6</t>
  </si>
  <si>
    <t>EUR TENOR BASIS: 1X3</t>
  </si>
  <si>
    <t>EUR TENOR BASIS: 6X12</t>
  </si>
  <si>
    <t>EUR: XCCY BASIS</t>
  </si>
  <si>
    <t>EUR_OIS_CURVE</t>
  </si>
  <si>
    <t>EUR_SWAP_CURVE</t>
  </si>
  <si>
    <t>EUR_TENOR_BASIS_3X6</t>
  </si>
  <si>
    <t>EUR_TENOR_BASIS_1X3</t>
  </si>
  <si>
    <t>EUR_TENOR_BASIS_6X12</t>
  </si>
  <si>
    <t>EUR_XCCY_BASIS</t>
  </si>
  <si>
    <t>EONIA</t>
  </si>
  <si>
    <t>EUR006M</t>
  </si>
  <si>
    <t>EUBSV1</t>
  </si>
  <si>
    <t>EUBSA1</t>
  </si>
  <si>
    <t>EUBSS1</t>
  </si>
  <si>
    <t>EUBS1</t>
  </si>
  <si>
    <t>EUSWE1Z</t>
  </si>
  <si>
    <t>EUFR0AG</t>
  </si>
  <si>
    <t>EUBSV2</t>
  </si>
  <si>
    <t>EUBSA2</t>
  </si>
  <si>
    <t>EUBSS2</t>
  </si>
  <si>
    <t>EUBS2</t>
  </si>
  <si>
    <t>FRA</t>
  </si>
  <si>
    <t>EUSWE2Z</t>
  </si>
  <si>
    <t>EUFR0BH</t>
  </si>
  <si>
    <t>EUBSV3</t>
  </si>
  <si>
    <t>EUBSA3</t>
  </si>
  <si>
    <t>EUBSS3</t>
  </si>
  <si>
    <t>EUBS3</t>
  </si>
  <si>
    <t>EUSWEA</t>
  </si>
  <si>
    <t>EUFR0CI</t>
  </si>
  <si>
    <t>EUBSV4</t>
  </si>
  <si>
    <t>EUBSA4</t>
  </si>
  <si>
    <t>EUBSS4</t>
  </si>
  <si>
    <t>EUBS4</t>
  </si>
  <si>
    <t>EUSWEB</t>
  </si>
  <si>
    <t>EUFR0DJ</t>
  </si>
  <si>
    <t>EUBSV5</t>
  </si>
  <si>
    <t>EUBSA5</t>
  </si>
  <si>
    <t>EUBSS5</t>
  </si>
  <si>
    <t>EUBS5</t>
  </si>
  <si>
    <t>EUSWEC</t>
  </si>
  <si>
    <t>EUFR0EK</t>
  </si>
  <si>
    <t>EUBSV6</t>
  </si>
  <si>
    <t>EUBSA6</t>
  </si>
  <si>
    <t>EUBSS6</t>
  </si>
  <si>
    <t>EUBS6</t>
  </si>
  <si>
    <t>EUSWED</t>
  </si>
  <si>
    <t>EUFR0F1</t>
  </si>
  <si>
    <t>EUBSV7</t>
  </si>
  <si>
    <t>EUBSA7</t>
  </si>
  <si>
    <t>EUBSS7</t>
  </si>
  <si>
    <t>EUBS7</t>
  </si>
  <si>
    <t>EUSWEE</t>
  </si>
  <si>
    <t>EUFR0G1A</t>
  </si>
  <si>
    <t>EUBSV8</t>
  </si>
  <si>
    <t>EUBSA8</t>
  </si>
  <si>
    <t>EUBSS8</t>
  </si>
  <si>
    <t>EUBS8</t>
  </si>
  <si>
    <t>EUSWEF</t>
  </si>
  <si>
    <t>EUFR0H1B</t>
  </si>
  <si>
    <t>EUBSV9</t>
  </si>
  <si>
    <t>EUBSA9</t>
  </si>
  <si>
    <t>EUBSS9</t>
  </si>
  <si>
    <t>EUBS9</t>
  </si>
  <si>
    <t>EUSWEG</t>
  </si>
  <si>
    <t>EUFR0I1C</t>
  </si>
  <si>
    <t>EUBSV10</t>
  </si>
  <si>
    <t>EUBSA10</t>
  </si>
  <si>
    <t>EUBSS10</t>
  </si>
  <si>
    <t>EUBS10</t>
  </si>
  <si>
    <t>EUSWEH</t>
  </si>
  <si>
    <t>EUFR0J1D</t>
  </si>
  <si>
    <t>EUBSV11</t>
  </si>
  <si>
    <t>EUBSA11</t>
  </si>
  <si>
    <t>EUBSS11</t>
  </si>
  <si>
    <t>EUBS11</t>
  </si>
  <si>
    <t>EUSWEI</t>
  </si>
  <si>
    <t>EUFR0K1E</t>
  </si>
  <si>
    <t>EUBSV12</t>
  </si>
  <si>
    <t>EUBSA12</t>
  </si>
  <si>
    <t>EUBSS12</t>
  </si>
  <si>
    <t>EUBS12</t>
  </si>
  <si>
    <t>EUSWEJ</t>
  </si>
  <si>
    <t>EUFR011F</t>
  </si>
  <si>
    <t>EUBSV13</t>
  </si>
  <si>
    <t>EUBSA15</t>
  </si>
  <si>
    <t>EUBSS15</t>
  </si>
  <si>
    <t>EUBS13</t>
  </si>
  <si>
    <t>EUSWEK</t>
  </si>
  <si>
    <t>EUSA2</t>
  </si>
  <si>
    <t>EUBSV14</t>
  </si>
  <si>
    <t>EUBSA20</t>
  </si>
  <si>
    <t>EUBSS20</t>
  </si>
  <si>
    <t>EUBS14</t>
  </si>
  <si>
    <t>EUSWE1</t>
  </si>
  <si>
    <t>EUSA3</t>
  </si>
  <si>
    <t>EUBSV15</t>
  </si>
  <si>
    <t>EUBSA25</t>
  </si>
  <si>
    <t>EUBSS25</t>
  </si>
  <si>
    <t>EUBS15</t>
  </si>
  <si>
    <t>EUSWE1F</t>
  </si>
  <si>
    <t>EUSA4</t>
  </si>
  <si>
    <t>EUBSV20</t>
  </si>
  <si>
    <t>EUBSA30</t>
  </si>
  <si>
    <t>EUBSS30</t>
  </si>
  <si>
    <t>EUBS20</t>
  </si>
  <si>
    <t>EUSWE2</t>
  </si>
  <si>
    <t>EUSA5</t>
  </si>
  <si>
    <t>EUBSV25</t>
  </si>
  <si>
    <t>EUBS25</t>
  </si>
  <si>
    <t>EUSWE2F</t>
  </si>
  <si>
    <t>EUSA6</t>
  </si>
  <si>
    <t>EUBSV30</t>
  </si>
  <si>
    <t>EUBS30</t>
  </si>
  <si>
    <t>EUSWE3</t>
  </si>
  <si>
    <t>EUSA7</t>
  </si>
  <si>
    <t>EUSWE4</t>
  </si>
  <si>
    <t>EUSA8</t>
  </si>
  <si>
    <t>EUSWE5</t>
  </si>
  <si>
    <t>EUSA9</t>
  </si>
  <si>
    <t>EUSWE6</t>
  </si>
  <si>
    <t>EUSA10</t>
  </si>
  <si>
    <t>EUSWE7</t>
  </si>
  <si>
    <t>EUSA11</t>
  </si>
  <si>
    <t>EUSWE8</t>
  </si>
  <si>
    <t>EUSA12</t>
  </si>
  <si>
    <t>EUSWE9</t>
  </si>
  <si>
    <t>EUSA15</t>
  </si>
  <si>
    <t>EUSWE10</t>
  </si>
  <si>
    <t>EUSA20</t>
  </si>
  <si>
    <t>EUSWE11</t>
  </si>
  <si>
    <t>EUSA25</t>
  </si>
  <si>
    <t>EUSWE12</t>
  </si>
  <si>
    <t>EUSA30</t>
  </si>
  <si>
    <t>EUSWE15</t>
  </si>
  <si>
    <t>EUSWE20</t>
  </si>
  <si>
    <t>EUSA40</t>
  </si>
  <si>
    <t>EUSWE25</t>
  </si>
  <si>
    <t>EUSWE30</t>
  </si>
  <si>
    <t>EUSA50</t>
  </si>
  <si>
    <t>EUSWE35</t>
  </si>
  <si>
    <t>EUSWE40</t>
  </si>
  <si>
    <t>EUSWE50</t>
  </si>
  <si>
    <t>GBP: OIS CURVE</t>
  </si>
  <si>
    <t>GBP: SWAP CURVE</t>
  </si>
  <si>
    <t>GBP TENOR BASIS: 3X6</t>
  </si>
  <si>
    <t>GBP TENOR BASIS: 1X6</t>
  </si>
  <si>
    <t>GBP TENOR BASIS: 6X12</t>
  </si>
  <si>
    <t>GBP: XCCY BASIS</t>
  </si>
  <si>
    <t>GBP_OIS_CURVE</t>
  </si>
  <si>
    <t>GBP_SWAP_CURVE</t>
  </si>
  <si>
    <t>GBP_TENOR_BASIS_3X6</t>
  </si>
  <si>
    <t>GBP_TENOR_BASIS_1X6</t>
  </si>
  <si>
    <t>GBP_TENOR_BASIS_6X12</t>
  </si>
  <si>
    <t>GBP_XCCY_BASIS</t>
  </si>
  <si>
    <t>SONIO/N</t>
  </si>
  <si>
    <t>BP0006M</t>
  </si>
  <si>
    <t>BPSFVC1</t>
  </si>
  <si>
    <t>BPSFVA1</t>
  </si>
  <si>
    <t>BPSIVF1</t>
  </si>
  <si>
    <t>BPBS1</t>
  </si>
  <si>
    <t>BPSWS1Z</t>
  </si>
  <si>
    <t>BPFR0AG</t>
  </si>
  <si>
    <t>BPSFVC2</t>
  </si>
  <si>
    <t>BPSFVA2</t>
  </si>
  <si>
    <t>BPSIVF2</t>
  </si>
  <si>
    <t>BPBS2</t>
  </si>
  <si>
    <t>BPSWS2Z</t>
  </si>
  <si>
    <t>BPFR0BH</t>
  </si>
  <si>
    <t>BPSFVC3</t>
  </si>
  <si>
    <t>BPSFVA3</t>
  </si>
  <si>
    <t>BPSIVF3</t>
  </si>
  <si>
    <t>BPBS3</t>
  </si>
  <si>
    <t>BPSWSA</t>
  </si>
  <si>
    <t>BPFR0CI</t>
  </si>
  <si>
    <t>BPSFVC4</t>
  </si>
  <si>
    <t>BPSFVA4</t>
  </si>
  <si>
    <t>BPSIVF4</t>
  </si>
  <si>
    <t>BPBS4</t>
  </si>
  <si>
    <t>BPSWSB</t>
  </si>
  <si>
    <t>BPFR0DJ</t>
  </si>
  <si>
    <t>BPSFVC5</t>
  </si>
  <si>
    <t>BPSFVA5</t>
  </si>
  <si>
    <t>BPSIVF5</t>
  </si>
  <si>
    <t>BPBS5</t>
  </si>
  <si>
    <t>BPSWSC</t>
  </si>
  <si>
    <t>BPFR0EK</t>
  </si>
  <si>
    <t>BPSFVC6</t>
  </si>
  <si>
    <t>BPSFVA6</t>
  </si>
  <si>
    <t>BPSIVF6</t>
  </si>
  <si>
    <t>BPBS6</t>
  </si>
  <si>
    <t>BPSWSD</t>
  </si>
  <si>
    <t>BPFR0F1</t>
  </si>
  <si>
    <t>BPSFVC7</t>
  </si>
  <si>
    <t>BPSFVA7</t>
  </si>
  <si>
    <t>BPSIVF7</t>
  </si>
  <si>
    <t>BPBS7</t>
  </si>
  <si>
    <t>BPSWSE</t>
  </si>
  <si>
    <t>BPFR0I1C</t>
  </si>
  <si>
    <t>BPSFVC8</t>
  </si>
  <si>
    <t>BPSFVA8</t>
  </si>
  <si>
    <t>BPSIVF8</t>
  </si>
  <si>
    <t>BPBS8</t>
  </si>
  <si>
    <t>BPSWSF</t>
  </si>
  <si>
    <t>BPFR011F</t>
  </si>
  <si>
    <t>BPSFVC9</t>
  </si>
  <si>
    <t>BPSFVA9</t>
  </si>
  <si>
    <t>BPSIVF9</t>
  </si>
  <si>
    <t>BPBS9</t>
  </si>
  <si>
    <t>BPSWSG</t>
  </si>
  <si>
    <t>BPSW2</t>
  </si>
  <si>
    <t>BPSFVC10</t>
  </si>
  <si>
    <t>BPSFVA10</t>
  </si>
  <si>
    <t>BPSIVF10</t>
  </si>
  <si>
    <t>BPBS10</t>
  </si>
  <si>
    <t>BPSWSH</t>
  </si>
  <si>
    <t>BPSW3</t>
  </si>
  <si>
    <t>BPSFVC11</t>
  </si>
  <si>
    <t>BPSFVA12</t>
  </si>
  <si>
    <t>BPSIVF12</t>
  </si>
  <si>
    <t>BPBS11</t>
  </si>
  <si>
    <t>BPSWSI</t>
  </si>
  <si>
    <t>BPSW4</t>
  </si>
  <si>
    <t>BPSFVC12</t>
  </si>
  <si>
    <t>BPSFVA15</t>
  </si>
  <si>
    <t>BPSIVF15</t>
  </si>
  <si>
    <t>BPBS12</t>
  </si>
  <si>
    <t>BPSWSJ</t>
  </si>
  <si>
    <t>BPSW5</t>
  </si>
  <si>
    <t>BPSFVC15</t>
  </si>
  <si>
    <t>BPSFVA20</t>
  </si>
  <si>
    <t>BPSIVF20</t>
  </si>
  <si>
    <t>BPBS13</t>
  </si>
  <si>
    <t>BPSWSK</t>
  </si>
  <si>
    <t>BPSW6</t>
  </si>
  <si>
    <t>BPSFVC20</t>
  </si>
  <si>
    <t>BPSFVA25</t>
  </si>
  <si>
    <t>BPSIVF25</t>
  </si>
  <si>
    <t>BPBS14</t>
  </si>
  <si>
    <t>BPSWS1</t>
  </si>
  <si>
    <t>BPSW7</t>
  </si>
  <si>
    <t>BPSFVC25</t>
  </si>
  <si>
    <t>BPSFVA30</t>
  </si>
  <si>
    <t>BPSIVF30</t>
  </si>
  <si>
    <t>BPBS15</t>
  </si>
  <si>
    <t>BPSWS1F</t>
  </si>
  <si>
    <t>BPSW8</t>
  </si>
  <si>
    <t>BPSFVC30</t>
  </si>
  <si>
    <t>BPSFVA40</t>
  </si>
  <si>
    <t>BPSIVF40</t>
  </si>
  <si>
    <t>BPBS20</t>
  </si>
  <si>
    <t>BPSWS2</t>
  </si>
  <si>
    <t>BPSW9</t>
  </si>
  <si>
    <t>BPSFVC40</t>
  </si>
  <si>
    <t>BPSFVA50</t>
  </si>
  <si>
    <t>BPSIVF50</t>
  </si>
  <si>
    <t>BPBS25</t>
  </si>
  <si>
    <t>BPSWS3</t>
  </si>
  <si>
    <t>BPSW10</t>
  </si>
  <si>
    <t>BPSFVC50</t>
  </si>
  <si>
    <t>BPBS30</t>
  </si>
  <si>
    <t>BPSWS4</t>
  </si>
  <si>
    <t>BPSW12</t>
  </si>
  <si>
    <t>BPSWS5</t>
  </si>
  <si>
    <t>BPSW15</t>
  </si>
  <si>
    <t>BPSWS6</t>
  </si>
  <si>
    <t>BPSW20</t>
  </si>
  <si>
    <t>BPSWS7</t>
  </si>
  <si>
    <t>BPSW25</t>
  </si>
  <si>
    <t>BPSWS8</t>
  </si>
  <si>
    <t>BPSW30</t>
  </si>
  <si>
    <t>BPSWS9</t>
  </si>
  <si>
    <t>BPSW40</t>
  </si>
  <si>
    <t>BPSWS10</t>
  </si>
  <si>
    <t>BPSW50</t>
  </si>
  <si>
    <t>BPSWS12</t>
  </si>
  <si>
    <t>BPSWS15</t>
  </si>
  <si>
    <t>BPSWS20</t>
  </si>
  <si>
    <t>BPSWS25</t>
  </si>
  <si>
    <t>BPSWS30</t>
  </si>
  <si>
    <t>BPSWS40</t>
  </si>
  <si>
    <t>BPSWS50</t>
  </si>
  <si>
    <t>JPY: OIS CURVE</t>
  </si>
  <si>
    <t>JPY: SWAP CURVE</t>
  </si>
  <si>
    <t>JPY TENOR BASIS: 3X6</t>
  </si>
  <si>
    <t>JPY TENOR BASIS: 1X6</t>
  </si>
  <si>
    <t>JPY TENOR BASIS: 6X12</t>
  </si>
  <si>
    <t>JPY: XCCY BASIS</t>
  </si>
  <si>
    <t>JPY_OIS_CURVE</t>
  </si>
  <si>
    <t>JPY_SWAP_CURVE</t>
  </si>
  <si>
    <t>JPY_TENOR_BASIS_3X6</t>
  </si>
  <si>
    <t>JPY_TENOR_BASIS_1X6</t>
  </si>
  <si>
    <t>JPY_TENOR_BASIS_6X12</t>
  </si>
  <si>
    <t>JPY_XCCY_BASIS</t>
  </si>
  <si>
    <t>MUTSCALM</t>
  </si>
  <si>
    <t>JY0006M</t>
  </si>
  <si>
    <t>JYBC1</t>
  </si>
  <si>
    <t>JYBB1</t>
  </si>
  <si>
    <t>JYBS1</t>
  </si>
  <si>
    <t>JYSO1Z</t>
  </si>
  <si>
    <t>JYFR1/7</t>
  </si>
  <si>
    <t>JYBC2</t>
  </si>
  <si>
    <t>JYBB2</t>
  </si>
  <si>
    <t>JYBS2</t>
  </si>
  <si>
    <t>JYSO2Z</t>
  </si>
  <si>
    <t>JYFR2/8</t>
  </si>
  <si>
    <t>JYBC3</t>
  </si>
  <si>
    <t>JYBB3</t>
  </si>
  <si>
    <t>JYBS3</t>
  </si>
  <si>
    <t>JYSO3Z</t>
  </si>
  <si>
    <t>JYFR3/9</t>
  </si>
  <si>
    <t>JYBC4</t>
  </si>
  <si>
    <t>JYBB4</t>
  </si>
  <si>
    <t>JYBS4</t>
  </si>
  <si>
    <t>JYSOA</t>
  </si>
  <si>
    <t>JYFR4/10</t>
  </si>
  <si>
    <t>JYBC5</t>
  </si>
  <si>
    <t>JYBB5</t>
  </si>
  <si>
    <t>JYBS5</t>
  </si>
  <si>
    <t>JYSOB</t>
  </si>
  <si>
    <t>JYFR5/11</t>
  </si>
  <si>
    <t>JYBC6</t>
  </si>
  <si>
    <t>JYBB6</t>
  </si>
  <si>
    <t>JYBS6</t>
  </si>
  <si>
    <t>JYSOC</t>
  </si>
  <si>
    <t>JYFR6/12</t>
  </si>
  <si>
    <t>JYBC7</t>
  </si>
  <si>
    <t>JYBB7</t>
  </si>
  <si>
    <t>JYBS7</t>
  </si>
  <si>
    <t>JYSOD</t>
  </si>
  <si>
    <t>JYSWAP1F</t>
  </si>
  <si>
    <t>JYBC8</t>
  </si>
  <si>
    <t>JYBB8</t>
  </si>
  <si>
    <t>JYBS8</t>
  </si>
  <si>
    <t>JYSOE</t>
  </si>
  <si>
    <t>JYSWAP2</t>
  </si>
  <si>
    <t>JYBC9</t>
  </si>
  <si>
    <t>JYBB9</t>
  </si>
  <si>
    <t>JYBS9</t>
  </si>
  <si>
    <t>JYSOF</t>
  </si>
  <si>
    <t>JYSWAP3</t>
  </si>
  <si>
    <t>JYBC10</t>
  </si>
  <si>
    <t>JYBB10</t>
  </si>
  <si>
    <t>JYBS10</t>
  </si>
  <si>
    <t>JYSOG</t>
  </si>
  <si>
    <t>JYSWAP4</t>
  </si>
  <si>
    <t>JYBC11</t>
  </si>
  <si>
    <t>JYBB12</t>
  </si>
  <si>
    <t>JYBS11</t>
  </si>
  <si>
    <t>JYSOH</t>
  </si>
  <si>
    <t>JYSWAP5</t>
  </si>
  <si>
    <t>JYBC12</t>
  </si>
  <si>
    <t>JYBB15</t>
  </si>
  <si>
    <t>JYBS12</t>
  </si>
  <si>
    <t>JYSOI</t>
  </si>
  <si>
    <t>JYSWAP6</t>
  </si>
  <si>
    <t>JYBC15</t>
  </si>
  <si>
    <t>JYBB20</t>
  </si>
  <si>
    <t>JYBS13</t>
  </si>
  <si>
    <t>JYSOJ</t>
  </si>
  <si>
    <t>JYSWAP7</t>
  </si>
  <si>
    <t>JYBC20</t>
  </si>
  <si>
    <t>JYBB25</t>
  </si>
  <si>
    <t>JYBS14</t>
  </si>
  <si>
    <t>JYSOK</t>
  </si>
  <si>
    <t>JYSWAP8</t>
  </si>
  <si>
    <t>JYBC25</t>
  </si>
  <si>
    <t>JYBB30</t>
  </si>
  <si>
    <t>JYBS15</t>
  </si>
  <si>
    <t>JYSO1</t>
  </si>
  <si>
    <t>JYSWAP9</t>
  </si>
  <si>
    <t>JYBC30</t>
  </si>
  <si>
    <t>JYBB40</t>
  </si>
  <si>
    <t>JYBS20</t>
  </si>
  <si>
    <t>JYSO1F</t>
  </si>
  <si>
    <t>JYSWAP10</t>
  </si>
  <si>
    <t>JYBC40</t>
  </si>
  <si>
    <t>JYBS25</t>
  </si>
  <si>
    <t>JYSO2</t>
  </si>
  <si>
    <t>JYSWAP12</t>
  </si>
  <si>
    <t>JYBS30</t>
  </si>
  <si>
    <t>JYSO3</t>
  </si>
  <si>
    <t>JYSW15</t>
  </si>
  <si>
    <t>JYSO4</t>
  </si>
  <si>
    <t>JYSW20</t>
  </si>
  <si>
    <t>JYSO5</t>
  </si>
  <si>
    <t>JYSW25</t>
  </si>
  <si>
    <t>JYSO6</t>
  </si>
  <si>
    <t>JYSW30</t>
  </si>
  <si>
    <t>JYSO7</t>
  </si>
  <si>
    <t>JYSW35</t>
  </si>
  <si>
    <t>JYSO8</t>
  </si>
  <si>
    <t>JYSW40</t>
  </si>
  <si>
    <t>JYSO9</t>
  </si>
  <si>
    <t>JYSO10</t>
  </si>
  <si>
    <t>JYSO11</t>
  </si>
  <si>
    <t>JYSO12</t>
  </si>
  <si>
    <t>JYSO15</t>
  </si>
  <si>
    <t>JYSO20</t>
  </si>
  <si>
    <t>JYSO25</t>
  </si>
  <si>
    <t>JYSO30</t>
  </si>
  <si>
    <t>JYSO35</t>
  </si>
  <si>
    <t>JYSO40</t>
  </si>
  <si>
    <t>Tenor</t>
  </si>
  <si>
    <t>BBG Quote</t>
  </si>
  <si>
    <t>CASH</t>
  </si>
  <si>
    <t>OIS Instruments</t>
  </si>
  <si>
    <t>Libor-OIS Basis Instruments</t>
  </si>
  <si>
    <t>Swap Instruments</t>
  </si>
  <si>
    <t>Libor Swap Instruments</t>
  </si>
  <si>
    <t>Swap Curve</t>
  </si>
  <si>
    <t>Cash Deposits</t>
  </si>
  <si>
    <t>Futures Instruments</t>
  </si>
  <si>
    <t>XCCY Curve</t>
  </si>
  <si>
    <t>Tenor Basis Instruments</t>
  </si>
  <si>
    <t>FRA X3 Instruments</t>
  </si>
  <si>
    <t>FRA X6 Instruments</t>
  </si>
  <si>
    <t>Tenor Basis Curve 1</t>
  </si>
  <si>
    <t>Tenor Basis Curve 2</t>
  </si>
  <si>
    <t>Tenor Basis Curve 3</t>
  </si>
  <si>
    <t>Type</t>
  </si>
  <si>
    <t>FUTURE</t>
  </si>
  <si>
    <t>TENOR-BASIS</t>
  </si>
  <si>
    <t>XCCY-BASIS</t>
  </si>
  <si>
    <t>Bump Curve</t>
  </si>
  <si>
    <t>TRPU</t>
  </si>
  <si>
    <t>Xccy Basis Instruments</t>
  </si>
  <si>
    <t>EUSF1A</t>
  </si>
  <si>
    <t>EUSF2A</t>
  </si>
  <si>
    <t>EUSF3A</t>
  </si>
  <si>
    <t>EUSF4A</t>
  </si>
  <si>
    <t>EUSF5A</t>
  </si>
  <si>
    <t>EUSF6A</t>
  </si>
  <si>
    <t>EUSF7A</t>
  </si>
  <si>
    <t>EUSF8A</t>
  </si>
  <si>
    <t>EUSF9A</t>
  </si>
  <si>
    <t>EUSF10A</t>
  </si>
  <si>
    <t>EUSF11A</t>
  </si>
  <si>
    <t>EUSF12A</t>
  </si>
  <si>
    <t>longtermconvention</t>
  </si>
  <si>
    <t>longterm</t>
  </si>
  <si>
    <t>START_DATE</t>
  </si>
  <si>
    <t>END_DATE</t>
  </si>
  <si>
    <t>INT_RATE_FUT_START_DT</t>
  </si>
  <si>
    <t>INT_RATE_FUT_END_DT</t>
  </si>
  <si>
    <t>Libor Swap Rates</t>
  </si>
  <si>
    <t>Libor-OIS Basis Spreads</t>
  </si>
  <si>
    <t>ECB SWAP</t>
  </si>
  <si>
    <t>LIBOR-OIS BASIS</t>
  </si>
  <si>
    <t>EOBSVC2</t>
  </si>
  <si>
    <t>EOBSVC3</t>
  </si>
  <si>
    <t>EOBSVC4</t>
  </si>
  <si>
    <t>EOBSVC5</t>
  </si>
  <si>
    <t>EOBSVC6</t>
  </si>
  <si>
    <t>EOBSVC7</t>
  </si>
  <si>
    <t>EOBSVC8</t>
  </si>
  <si>
    <t>EOBSVC9</t>
  </si>
  <si>
    <t>EOBSVC10</t>
  </si>
  <si>
    <t>EOBSVC11</t>
  </si>
  <si>
    <t>EOBSVC12</t>
  </si>
  <si>
    <t>EOBSVC15</t>
  </si>
  <si>
    <t>EOBSVC20</t>
  </si>
  <si>
    <t>EOBSVC25</t>
  </si>
  <si>
    <t>EOBSVC30</t>
  </si>
  <si>
    <t>EOBSVC40</t>
  </si>
  <si>
    <t>EOBSVC50</t>
  </si>
  <si>
    <t>Select Curve</t>
  </si>
  <si>
    <t>Rate %</t>
  </si>
  <si>
    <t>Used %</t>
  </si>
  <si>
    <t>Spread Bps</t>
  </si>
  <si>
    <t>Used Px</t>
  </si>
  <si>
    <t>Quote Px</t>
  </si>
  <si>
    <t>LOBASIS</t>
  </si>
  <si>
    <t>EUSW2V3</t>
  </si>
  <si>
    <t>EUSW3V3</t>
  </si>
  <si>
    <t>EUSW4V3</t>
  </si>
  <si>
    <t>EUSW5V3</t>
  </si>
  <si>
    <t>EUSW6V3</t>
  </si>
  <si>
    <t>EUSW7V3</t>
  </si>
  <si>
    <t>EUSW8V3</t>
  </si>
  <si>
    <t>EUSW9V3</t>
  </si>
  <si>
    <t>EUSW10V3</t>
  </si>
  <si>
    <t>EUSW11V3</t>
  </si>
  <si>
    <t>EUSW12V3</t>
  </si>
  <si>
    <t>EUSW15V3</t>
  </si>
  <si>
    <t>EUSW20V3</t>
  </si>
  <si>
    <t>EUSW25V3</t>
  </si>
  <si>
    <t>EUSW30V3</t>
  </si>
  <si>
    <t>EUSW40V3</t>
  </si>
  <si>
    <t>EUSW50V3</t>
  </si>
  <si>
    <t>frequencyfix</t>
  </si>
  <si>
    <t>Bump Curve Bps</t>
  </si>
  <si>
    <t>Curve Names: Combined</t>
  </si>
  <si>
    <t>STD:EUR6ML</t>
  </si>
  <si>
    <t>3M6MBasis:EUR3ML</t>
  </si>
  <si>
    <t>1M3MBasis:EUR1ML</t>
  </si>
  <si>
    <t>6M12MBasis:EUR12ML</t>
  </si>
  <si>
    <t>EURDF_GBPCSA</t>
  </si>
  <si>
    <t>EURDF_JPYCSA</t>
  </si>
  <si>
    <t>USBG7</t>
  </si>
  <si>
    <t>USBG10</t>
  </si>
  <si>
    <t>USBG12</t>
  </si>
  <si>
    <t>USBG15</t>
  </si>
  <si>
    <t>USBG20</t>
  </si>
  <si>
    <t>USBG25</t>
  </si>
  <si>
    <t>USBG30</t>
  </si>
  <si>
    <t>HW1F Convexity Adj</t>
  </si>
  <si>
    <t>MeanRev</t>
  </si>
  <si>
    <t>SEMI-ANNUAL</t>
  </si>
  <si>
    <t>USSO6</t>
  </si>
  <si>
    <t>USSO7</t>
  </si>
  <si>
    <t>USSO10</t>
  </si>
  <si>
    <t>USSO15</t>
  </si>
  <si>
    <t>USSO12</t>
  </si>
  <si>
    <t>USSO20</t>
  </si>
  <si>
    <t>USSO25</t>
  </si>
  <si>
    <t>USSO30</t>
  </si>
  <si>
    <t>USBG2</t>
  </si>
  <si>
    <t>USBG3</t>
  </si>
  <si>
    <t>USBG4</t>
  </si>
  <si>
    <t>USBG5</t>
  </si>
  <si>
    <t>USBG6</t>
  </si>
  <si>
    <t>USSWAP2</t>
  </si>
  <si>
    <t>USSWAP3</t>
  </si>
  <si>
    <t>USSWAP6</t>
  </si>
  <si>
    <t>3M6MBasis:USD6ML</t>
  </si>
  <si>
    <t>1M3MBasis:USD1ML</t>
  </si>
  <si>
    <t>3M12MBasis:USD12ML</t>
  </si>
  <si>
    <t>USDDF_GBPCSA</t>
  </si>
  <si>
    <t>USDDF_JPYCSA</t>
  </si>
  <si>
    <t>USDDF_EURCSA</t>
  </si>
  <si>
    <t>STD:GBP6ML</t>
  </si>
  <si>
    <t>GBPDF_EURCSA</t>
  </si>
  <si>
    <t>GBPDF_JPYCSA</t>
  </si>
  <si>
    <t>1M6MBasis:GBP1ML</t>
  </si>
  <si>
    <t>6M12MBasis:GBP12ML</t>
  </si>
  <si>
    <t>STD:USD3ML</t>
  </si>
  <si>
    <t>3M6MBasis:GBP3ML</t>
  </si>
  <si>
    <t>JPYDF_EURCSA</t>
  </si>
  <si>
    <t>STD:JPY6ML</t>
  </si>
  <si>
    <t>3M6MBasis:JPY3ML</t>
  </si>
  <si>
    <t>1M6MBasis:JPY1ML</t>
  </si>
  <si>
    <t>6M12MBasis:JPY12ML</t>
  </si>
  <si>
    <t>JPYDF_GBPCSA</t>
  </si>
  <si>
    <t>EUR3ML</t>
  </si>
  <si>
    <t>GBP3ML</t>
  </si>
  <si>
    <t>JPY3ML</t>
  </si>
  <si>
    <t>XccyBasis:USDDF_USDCSA</t>
  </si>
  <si>
    <t>XccyBasis:EURDF_USDCSA</t>
  </si>
  <si>
    <t>XccyBasis:GBPDF_USDCSA</t>
  </si>
  <si>
    <t>XccyBasis:JPYDF_USDCSA</t>
  </si>
  <si>
    <t>OIS Discounting &amp; CSA Curves</t>
  </si>
  <si>
    <t>EUR6ML</t>
  </si>
  <si>
    <t>USD3ML</t>
  </si>
  <si>
    <t>GBP6ML</t>
  </si>
  <si>
    <t>JPY6ML</t>
  </si>
  <si>
    <t>NOCSA</t>
  </si>
  <si>
    <t>USDYC</t>
  </si>
  <si>
    <t>EURYC</t>
  </si>
  <si>
    <t>GBPYC</t>
  </si>
  <si>
    <t>JPYYC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</si>
  <si>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</si>
  <si>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</si>
  <si>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</si>
  <si>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</si>
  <si>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</si>
  <si>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</si>
  <si>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</si>
  <si>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</si>
  <si>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</si>
  <si>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</si>
  <si>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</si>
  <si>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MM</t>
  </si>
  <si>
    <t>FUT</t>
  </si>
  <si>
    <t>OIS BASIS</t>
  </si>
  <si>
    <t>TENOR1</t>
  </si>
  <si>
    <t>TENOR2</t>
  </si>
  <si>
    <t>TENOR3</t>
  </si>
  <si>
    <t>XCCY</t>
  </si>
  <si>
    <t>FRAX6</t>
  </si>
  <si>
    <t>FRAX3</t>
  </si>
  <si>
    <t>OIS CURVE</t>
  </si>
  <si>
    <t>BASIS CURVES</t>
  </si>
  <si>
    <t>OIS SWAPS</t>
  </si>
  <si>
    <t>LIBOR SWAPS</t>
  </si>
  <si>
    <t>MARKET DATA</t>
  </si>
  <si>
    <t>CURVE BUILDING</t>
  </si>
  <si>
    <t>SWAP CURVES</t>
  </si>
  <si>
    <t>EUR Swaps</t>
  </si>
  <si>
    <t>CSA</t>
  </si>
  <si>
    <t>PV01</t>
  </si>
  <si>
    <t>USD Swaps</t>
  </si>
  <si>
    <t>GBP Swaps</t>
  </si>
  <si>
    <t>JPY Swaps</t>
  </si>
  <si>
    <t>NAVIGATION</t>
  </si>
  <si>
    <t>CALIBRATION</t>
  </si>
  <si>
    <t>Coupon</t>
  </si>
  <si>
    <t>Last Price</t>
  </si>
  <si>
    <t>Bloomberg Access</t>
  </si>
  <si>
    <t>CPN_FREQ</t>
  </si>
  <si>
    <t>COUPON_FREQUENCY_DESCRIPTION</t>
  </si>
  <si>
    <t>Coupon Freq</t>
  </si>
  <si>
    <t>Coupon Desc</t>
  </si>
  <si>
    <t>Bond ISIN</t>
  </si>
  <si>
    <t>Pulse (Seconds)</t>
  </si>
  <si>
    <t>USD Native CSA</t>
  </si>
  <si>
    <t>EUR Native CSA</t>
  </si>
  <si>
    <t>GBP Native CSA</t>
  </si>
  <si>
    <t>JPY Native CSA</t>
  </si>
  <si>
    <t>Native CSA</t>
  </si>
  <si>
    <t>CSA Curves</t>
  </si>
  <si>
    <t xml:space="preserve">  </t>
  </si>
  <si>
    <t>MANUAL</t>
  </si>
  <si>
    <t>Calc Mode</t>
  </si>
  <si>
    <t>DATA STREAMING</t>
  </si>
  <si>
    <t>USD SWAP SEMI 30/360 12Y</t>
  </si>
  <si>
    <t>USD SWAP SEMI 30/360 15Y</t>
  </si>
  <si>
    <t>USD SWAP SEMI 30/360 20Y</t>
  </si>
  <si>
    <t>USD SWAP SEMI 30/360 25Y</t>
  </si>
  <si>
    <t>USD SWAP SEMI 30/360 30Y</t>
  </si>
  <si>
    <t>USD SWAP SEMI 30/360 40Y</t>
  </si>
  <si>
    <t>N/A</t>
  </si>
  <si>
    <t>BASIS SWAP</t>
  </si>
  <si>
    <t>USD BASIS SWAP FFv3 3 YR</t>
  </si>
  <si>
    <t>USD BASIS SWAP FFv3 4 YR</t>
  </si>
  <si>
    <t>USD BASIS SWAP FFv3 5 YR</t>
  </si>
  <si>
    <t>USD BASIS SWAP FFv3 6 YR</t>
  </si>
  <si>
    <t>USD BASIS SWAP FFv3 7 YR</t>
  </si>
  <si>
    <t>USD BASIS SWAP FFv3 10YR</t>
  </si>
  <si>
    <t>USD BASIS SWAP FFv3 12YR</t>
  </si>
  <si>
    <t>USD BASIS SWAP FFv3 15YR</t>
  </si>
  <si>
    <t>USD BASIS SWAP FFv3 20YR</t>
  </si>
  <si>
    <t>USD BASIS SWAP FFv3 25YR</t>
  </si>
  <si>
    <t>US Federal Funds Effective Rat</t>
  </si>
  <si>
    <t>OVERNIGHT INDEXED SWAP</t>
  </si>
  <si>
    <t>USD SWAP OIS       10 YR</t>
  </si>
  <si>
    <t>USD SWAP OIS       12 YR</t>
  </si>
  <si>
    <t>USD SWAP OIS       15 YR</t>
  </si>
  <si>
    <t>USD SWAP OIS       20 YR</t>
  </si>
  <si>
    <t>USD SWAP OIS       25 YR</t>
  </si>
  <si>
    <t>USD SWAP OIS       30 YR</t>
  </si>
  <si>
    <t>USD BASIS SWAP FFv3 2 YR</t>
  </si>
  <si>
    <t>USD SWAP OIS        2 YR</t>
  </si>
  <si>
    <t>USD SWAP OIS        3 YR</t>
  </si>
  <si>
    <t>USD SWAP OIS        4 YR</t>
  </si>
  <si>
    <t>USD SWAP OIS        5 YR</t>
  </si>
  <si>
    <t>USD SWAP OIS        6 YR</t>
  </si>
  <si>
    <t>USD SWAP OIS        7 YR</t>
  </si>
  <si>
    <t>USD BASIS SWAP FFv3 30YR</t>
  </si>
  <si>
    <t>USD SWAP SEMI 30/360 2YR</t>
  </si>
  <si>
    <t>USD SWAP SEMI 30/360 3YR</t>
  </si>
  <si>
    <t>USD SWAP SEMI 30/360 4YR</t>
  </si>
  <si>
    <t>USD SWAP SEMI 30/360 5YR</t>
  </si>
  <si>
    <t>USD SWAP SEMI 30/360 6YR</t>
  </si>
  <si>
    <t>USD SWAP SEMI 30/360 7YR</t>
  </si>
  <si>
    <t>USD SWAP SEMI 30/360 10Y</t>
  </si>
  <si>
    <t>EOBSVC30 ICPL Curncy</t>
  </si>
  <si>
    <t>EUR BS(EONIAv3M) 2SW 30Y</t>
  </si>
  <si>
    <t>EOBSVC40 ICPL Curncy</t>
  </si>
  <si>
    <t>EUR BS (EONIA V 3M) 40YR</t>
  </si>
  <si>
    <t>EOBSVC50 ICPL Curncy</t>
  </si>
  <si>
    <t>EUR BS (EONIA V 3M) 50YR</t>
  </si>
  <si>
    <t>EUSWE20 ICPL Curncy</t>
  </si>
  <si>
    <t>EUSWE25 ICPL Curncy</t>
  </si>
  <si>
    <t>EUSWE30 ICPL Curncy</t>
  </si>
  <si>
    <t>EUSWE35 ICPL Curncy</t>
  </si>
  <si>
    <t>EUSWE40 ICPL Curncy</t>
  </si>
  <si>
    <t>EUSWE50 ICPL Curncy</t>
  </si>
  <si>
    <t>EOBSVC2 ICPL Curncy</t>
  </si>
  <si>
    <t>EUR BS(EONIAv3M) 2SW  2Y</t>
  </si>
  <si>
    <t>EOBSVC3 ICPL Curncy</t>
  </si>
  <si>
    <t>EUR BS(EONIAv3M) 2SW  3Y</t>
  </si>
  <si>
    <t>EOBSVC4 ICPL Curncy</t>
  </si>
  <si>
    <t>EUR BS(EONIAv3M) 2SW  4Y</t>
  </si>
  <si>
    <t>EOBSVC5 ICPL Curncy</t>
  </si>
  <si>
    <t>EUR BS(EONIAv3M) 2SW  5Y</t>
  </si>
  <si>
    <t>EUSWE2 ICPL Curncy</t>
  </si>
  <si>
    <t>EUSWE3 ICPL Curncy</t>
  </si>
  <si>
    <t>FWD SWAP</t>
  </si>
  <si>
    <t>EUSWE4 ICPL Curncy</t>
  </si>
  <si>
    <t>EUSWE5 ICPL Curncy</t>
  </si>
  <si>
    <t>EUSWE6 ICPL Curncy</t>
  </si>
  <si>
    <t>EUSWE7 ICPL Curncy</t>
  </si>
  <si>
    <t>EUSWE8 ICPL Curncy</t>
  </si>
  <si>
    <t>EUSWE9 ICPL Curncy</t>
  </si>
  <si>
    <t>EUSWE10 ICPL Curncy</t>
  </si>
  <si>
    <t>EUSWE11 ICPL Curncy</t>
  </si>
  <si>
    <t>EUSWE12 ICPL Curncy</t>
  </si>
  <si>
    <t>EUSWE15 ICPL Curncy</t>
  </si>
  <si>
    <t>EOBSVC6 ICPL Curncy</t>
  </si>
  <si>
    <t>EUR BS(EONIAv3M) 2SW  6Y</t>
  </si>
  <si>
    <t>EOBSVC7 ICPL Curncy</t>
  </si>
  <si>
    <t>EUR BS(EONIAv3M) 2SW  7Y</t>
  </si>
  <si>
    <t>EOBSVC8 ICPL Curncy</t>
  </si>
  <si>
    <t>EUR BS(EONIAv3M) 2SW  8Y</t>
  </si>
  <si>
    <t>EOBSVC9 ICPL Curncy</t>
  </si>
  <si>
    <t>EUR BS(EONIAv3M) 2SW  9Y</t>
  </si>
  <si>
    <t>EOBSVC10 ICPL Curncy</t>
  </si>
  <si>
    <t>EUR BS(EONIAv3M) 2SW 10Y</t>
  </si>
  <si>
    <t>EOBSVC11 ICPL Curncy</t>
  </si>
  <si>
    <t>EUR BS(EONIAv3M) 2SW 11Y</t>
  </si>
  <si>
    <t>EOBSVC12 ICPL Curncy</t>
  </si>
  <si>
    <t>EUR BS(EONIAv3M) 2SW 12Y</t>
  </si>
  <si>
    <t>EOBSVC15 ICPL Curncy</t>
  </si>
  <si>
    <t>EUR BS(EONIAv3M) 2SW 15Y</t>
  </si>
  <si>
    <t>EOBSVC20 ICPL Curncy</t>
  </si>
  <si>
    <t>EUR BS(EONIAv3M) 2SW 20Y</t>
  </si>
  <si>
    <t>EOBSVC25 ICPL Curncy</t>
  </si>
  <si>
    <t>EUR BS(EONIAv3M) 2SW 25Y</t>
  </si>
  <si>
    <t>EONIA ICPL Index</t>
  </si>
  <si>
    <t>EUSF1A ICPL Curncy</t>
  </si>
  <si>
    <t>EONIA FWD 1ST ECB</t>
  </si>
  <si>
    <t>EUSF2A ICPL Curncy</t>
  </si>
  <si>
    <t>EONIA FWD 2ND ECB</t>
  </si>
  <si>
    <t>USSWAP40 BGN Curncy</t>
  </si>
  <si>
    <t>USD SWAP SEMI 30/360 11Y</t>
  </si>
  <si>
    <t>US0003M  ICUS Index</t>
  </si>
  <si>
    <t>ICE LIBOR USD 3 Month</t>
  </si>
  <si>
    <t>ED1  COMB Comdty</t>
  </si>
  <si>
    <t>Future</t>
  </si>
  <si>
    <t>Generic 1st 'ED' Future</t>
  </si>
  <si>
    <t>ED2 COMB Comdty</t>
  </si>
  <si>
    <t>Generic 2nd 'ED' Future</t>
  </si>
  <si>
    <t>ED3 COMB Comdty</t>
  </si>
  <si>
    <t>Generic 3rd 'ED' Future</t>
  </si>
  <si>
    <t>ED4  COMB Comdty</t>
  </si>
  <si>
    <t>Generic 4th 'ED' Future</t>
  </si>
  <si>
    <t>ED5  COMB Comdty</t>
  </si>
  <si>
    <t>Generic 5th 'ED' Future</t>
  </si>
  <si>
    <t>ED6  COMB Comdty</t>
  </si>
  <si>
    <t>Generic 6th 'ED' Future</t>
  </si>
  <si>
    <t>ED7  COMB Comdty</t>
  </si>
  <si>
    <t>Generic 7th 'ED' Future</t>
  </si>
  <si>
    <t>ED8  COMB Comdty</t>
  </si>
  <si>
    <t>Generic 8th 'ED' Future</t>
  </si>
  <si>
    <t>ED9 COMB Comdty</t>
  </si>
  <si>
    <t>Generic 9th 'ED' Future</t>
  </si>
  <si>
    <t>ED10  COMB Comdty</t>
  </si>
  <si>
    <t>Generic 10th 'ED' Future</t>
  </si>
  <si>
    <t>ED11  COMB Comdty</t>
  </si>
  <si>
    <t>Generic 11th 'ED' Future</t>
  </si>
  <si>
    <t>EUFR0K1E ICPL Curncy</t>
  </si>
  <si>
    <t>EUR FRA            11x17</t>
  </si>
  <si>
    <t>EUFR011F ICPL Curncy</t>
  </si>
  <si>
    <t>EUR FRA            12x18</t>
  </si>
  <si>
    <t>EUR006M ICPL Index</t>
  </si>
  <si>
    <t>Euribor 6 Month ACT/360</t>
  </si>
  <si>
    <t>EUFR0BH ICPL Curncy</t>
  </si>
  <si>
    <t>EUR FRA             2x8</t>
  </si>
  <si>
    <t>EUFR0CI ICPL Curncy</t>
  </si>
  <si>
    <t>EUR FRA             3x9</t>
  </si>
  <si>
    <t>EUFR0DJ ICPL Curncy</t>
  </si>
  <si>
    <t>EUR FRA             4x10</t>
  </si>
  <si>
    <t>EUFR0EK ICPL Curncy</t>
  </si>
  <si>
    <t>EUR FRA             5x11</t>
  </si>
  <si>
    <t>EUFR0F1 ICPL Curncy</t>
  </si>
  <si>
    <t>EUR FRA             6x12</t>
  </si>
  <si>
    <t>EUFR0G1A ICPL Curncy</t>
  </si>
  <si>
    <t>EUR FRA             7x13</t>
  </si>
  <si>
    <t>EUFR0H1B ICPL Curncy</t>
  </si>
  <si>
    <t>EUR FRA             8x14</t>
  </si>
  <si>
    <t>EUFR0I1C ICPL Curncy</t>
  </si>
  <si>
    <t>EUR FRA             9x15</t>
  </si>
  <si>
    <t>EUFR0J1D ICPL Curncy</t>
  </si>
  <si>
    <t>EUR FRA            10X16</t>
  </si>
  <si>
    <t>USBC12 ICPL Curncy</t>
  </si>
  <si>
    <t>USD BASIS SWAP 3v6 12 YR</t>
  </si>
  <si>
    <t>USBC15 ICPL Curncy</t>
  </si>
  <si>
    <t>USD BASIS SWAP 3v6 15 YR</t>
  </si>
  <si>
    <t>USBC20 ICPL Curncy</t>
  </si>
  <si>
    <t>USD BASIS SWAP 3v6 20 YR</t>
  </si>
  <si>
    <t>USBC25 ICPL Curncy</t>
  </si>
  <si>
    <t>USD BASIS SWAP 3v6 25 YR</t>
  </si>
  <si>
    <t>USBC30 ICPL Curncy</t>
  </si>
  <si>
    <t>USD BASIS SWAP 3v6 30 YR</t>
  </si>
  <si>
    <t>USBC1 ICPL Curncy</t>
  </si>
  <si>
    <t>USD BASIS SWAP 3v6  1 YR</t>
  </si>
  <si>
    <t>USBC2 ICPL Curncy</t>
  </si>
  <si>
    <t>USD BASIS SWAP 3v6  2 YR</t>
  </si>
  <si>
    <t>USBC3 ICPL Curncy</t>
  </si>
  <si>
    <t>USD BASIS SWAP 3v6  3 YR</t>
  </si>
  <si>
    <t>USBC4 ICPL Curncy</t>
  </si>
  <si>
    <t>USD BASIS SWAP 3v6  4 YR</t>
  </si>
  <si>
    <t>USBC5 ICPL Curncy</t>
  </si>
  <si>
    <t>USD BASIS SWAP 3v6  5 YR</t>
  </si>
  <si>
    <t>USBC6 ICPL Curncy</t>
  </si>
  <si>
    <t>USD BASIS SWAP 3v6  6 YR</t>
  </si>
  <si>
    <t>USBC7 ICPL Curncy</t>
  </si>
  <si>
    <t>USD BASIS SWAP 3v6  7 YR</t>
  </si>
  <si>
    <t>USBC8 ICPL Curncy</t>
  </si>
  <si>
    <t>USD BASIS SWAP 3v6  8 YR</t>
  </si>
  <si>
    <t>USBC9 ICPL Curncy</t>
  </si>
  <si>
    <t>USD BASIS SWAP 3v6  9 YR</t>
  </si>
  <si>
    <t>USBC10 ICPL Curncy</t>
  </si>
  <si>
    <t>USD BASIS SWAP 3v6  10YR</t>
  </si>
  <si>
    <t>EUBSV11 CMPN Curncy</t>
  </si>
  <si>
    <t>EUR BASIS SW 3MV6M  11YR</t>
  </si>
  <si>
    <t>EUBSV12 CMPN Curncy</t>
  </si>
  <si>
    <t>EUR BASIS SW 3MV6M  12YR</t>
  </si>
  <si>
    <t>EUBSV13 CMPN Curncy</t>
  </si>
  <si>
    <t>EUR BASIS SW 3MV6M  13YR</t>
  </si>
  <si>
    <t>EUBSV14 CMPN Curncy</t>
  </si>
  <si>
    <t>EUR BASIS SW 3MV6M  14YR</t>
  </si>
  <si>
    <t>EUBSV15 CMPN Curncy</t>
  </si>
  <si>
    <t>EUR BASIS SW 3MV6M  15YR</t>
  </si>
  <si>
    <t>EUBSV20 CMPN Curncy</t>
  </si>
  <si>
    <t>EUR BASIS SW 3MV6M  20YR</t>
  </si>
  <si>
    <t>EUBSV25 CMPN Curncy</t>
  </si>
  <si>
    <t>EUR BASIS SW 3MV6M  25YR</t>
  </si>
  <si>
    <t>EUBSV30 CMPN Curncy</t>
  </si>
  <si>
    <t>EUR BASIS SW 3MV6M  30YR</t>
  </si>
  <si>
    <t>EUBSV1 CMPN Curncy</t>
  </si>
  <si>
    <t>EUR BASIS SW 3MV6M   1YR</t>
  </si>
  <si>
    <t>EUBSV2 CMPN Curncy</t>
  </si>
  <si>
    <t>EUR BASIS SW 3MV6M   2YR</t>
  </si>
  <si>
    <t>EUBSV3 CMPN Curncy</t>
  </si>
  <si>
    <t>EUR BASIS SW 3MV6M   3YR</t>
  </si>
  <si>
    <t>EUBSV4 CMPN Curncy</t>
  </si>
  <si>
    <t>EUR BASIS SW 3MV6M   4YR</t>
  </si>
  <si>
    <t>EUBSV5 CMPN Curncy</t>
  </si>
  <si>
    <t>EUR BASIS SW 3MV6M   5YR</t>
  </si>
  <si>
    <t>EUBSV6 CMPN Curncy</t>
  </si>
  <si>
    <t>EUR BASIS SW 3MV6M   6YR</t>
  </si>
  <si>
    <t>EUBSV7 CMPN Curncy</t>
  </si>
  <si>
    <t>EUR BASIS SW 3MV6M   7YR</t>
  </si>
  <si>
    <t>EUBSV8 CMPN Curncy</t>
  </si>
  <si>
    <t>EUR BASIS SW 3MV6M   8YR</t>
  </si>
  <si>
    <t>EUBSV9 CMPN Curncy</t>
  </si>
  <si>
    <t>EUR BASIS SW 3MV6M   9YR</t>
  </si>
  <si>
    <t>EUBSV10 CMPN Curncy</t>
  </si>
  <si>
    <t>EUR BASIS SW 3MV6M  10YR</t>
  </si>
  <si>
    <t>USBA12 CMPN Curncy</t>
  </si>
  <si>
    <t>USD BASIS SWAP 1v3 12 YR</t>
  </si>
  <si>
    <t>USBA15 CMPN Curncy</t>
  </si>
  <si>
    <t>USD BASIS SWAP 1v3 15 YR</t>
  </si>
  <si>
    <t>USBA20 CMPN Curncy</t>
  </si>
  <si>
    <t>USD BASIS SWAP 1v3 20 YR</t>
  </si>
  <si>
    <t>USBA25 CMPN Curncy</t>
  </si>
  <si>
    <t>USD BASIS SWAP 1v3 25 YR</t>
  </si>
  <si>
    <t>USBA30 CMPN Curncy</t>
  </si>
  <si>
    <t>USD BASIS SWAP 1v3 30 YR</t>
  </si>
  <si>
    <t>USBA1 CMPN Curncy</t>
  </si>
  <si>
    <t>USD BASIS SWAP 1v3  1 YR</t>
  </si>
  <si>
    <t>USBA2 CMPN Curncy</t>
  </si>
  <si>
    <t>USD BASIS SWAP 1v3  2 YR</t>
  </si>
  <si>
    <t>USBA3 CMPN Curncy</t>
  </si>
  <si>
    <t>USD BASIS SWAP 1v3  3 YR</t>
  </si>
  <si>
    <t>USBA4 CMPN Curncy</t>
  </si>
  <si>
    <t>USD BASIS SWAP 1v3  4 YR</t>
  </si>
  <si>
    <t>USBA5 CMPN Curncy</t>
  </si>
  <si>
    <t>USD BASIS SWAP 1v3  5 YR</t>
  </si>
  <si>
    <t>USBA6 CMPN Curncy</t>
  </si>
  <si>
    <t>USD BASIS SWAP 1v3  6 YR</t>
  </si>
  <si>
    <t>USBA7 CMPN Curncy</t>
  </si>
  <si>
    <t>USD BASIS SWAP 1v3  7 YR</t>
  </si>
  <si>
    <t>USBA8 CMPN Curncy</t>
  </si>
  <si>
    <t>USD BASIS SWAP 1v3  8 YR</t>
  </si>
  <si>
    <t>USBA9 CMPN Curncy</t>
  </si>
  <si>
    <t>USD BASIS SWAP 1v3  9 YR</t>
  </si>
  <si>
    <t>USBA10 CMPN Curncy</t>
  </si>
  <si>
    <t>USD BASIS SWAP 1v3  10YR</t>
  </si>
  <si>
    <t>EUBSA11 TRPU Curncy</t>
  </si>
  <si>
    <t>EUR BASIS SW 1MV3M  11YR</t>
  </si>
  <si>
    <t>EUBSA12 TRPU Curncy</t>
  </si>
  <si>
    <t>EUR BASIS SW 1MV3M  12YR</t>
  </si>
  <si>
    <t>EUBSA15 TRPU Curncy</t>
  </si>
  <si>
    <t>EUR BASIS SW 1MV3M  15YR</t>
  </si>
  <si>
    <t>EUBSA20 TRPU Curncy</t>
  </si>
  <si>
    <t>EUR BASIS SW 1MV3M  20YR</t>
  </si>
  <si>
    <t>EUBSA25 TRPU Curncy</t>
  </si>
  <si>
    <t>EUR BASIS SW 1MV3M  25YR</t>
  </si>
  <si>
    <t>EUBSA30 TRPU Curncy</t>
  </si>
  <si>
    <t>EUR BASIS SW 1MV3M  30YR</t>
  </si>
  <si>
    <t>EUBSA1 TRPU Curncy</t>
  </si>
  <si>
    <t>EUR BASIS SW 1MV3M   1YR</t>
  </si>
  <si>
    <t>EUBSA2 TRPU Curncy</t>
  </si>
  <si>
    <t>EUR BASIS SW 1MV3M   2YR</t>
  </si>
  <si>
    <t>EUBSA3 TRPU Curncy</t>
  </si>
  <si>
    <t>EUR BASIS SW 1MV3M   3YR</t>
  </si>
  <si>
    <t>EUBSA4 TRPU Curncy</t>
  </si>
  <si>
    <t>EUR BASIS SW 1MV3M   4YR</t>
  </si>
  <si>
    <t>EUBSA5 TRPU Curncy</t>
  </si>
  <si>
    <t>EUR BASIS SW 1MV3M   5YR</t>
  </si>
  <si>
    <t>EUBSA6 TRPU Curncy</t>
  </si>
  <si>
    <t>EUR BASIS SW 1MV3M   6YR</t>
  </si>
  <si>
    <t>EUBSA7 TRPU Curncy</t>
  </si>
  <si>
    <t>EUR BASIS SW 1MV3M   7YR</t>
  </si>
  <si>
    <t>EUBSA8 TRPU Curncy</t>
  </si>
  <si>
    <t>EUR BASIS SW 1MV3M   8YR</t>
  </si>
  <si>
    <t>EUBSA9 TRPU Curncy</t>
  </si>
  <si>
    <t>EUR BASIS SW 1MV3M   9YR</t>
  </si>
  <si>
    <t>EUBSA10 TRPU Curncy</t>
  </si>
  <si>
    <t>EUR BASIS SW 1MV3M  10YR</t>
  </si>
  <si>
    <t>USD BASIS SWAP 3v12 25YR</t>
  </si>
  <si>
    <t>USD BASIS SWAP 3v12 30YR</t>
  </si>
  <si>
    <t>EUBSS11 ICPL Curncy</t>
  </si>
  <si>
    <t>EUR BASIS SW 6MV12M 11YR</t>
  </si>
  <si>
    <t>EUBSS12 ICPL Curncy</t>
  </si>
  <si>
    <t>EUR BASIS SW 6MV12M 12YR</t>
  </si>
  <si>
    <t>EUBSS15 ICPL Curncy</t>
  </si>
  <si>
    <t>EUR BASIS SW 6MV12M 15YR</t>
  </si>
  <si>
    <t>EUBSS20 ICPL Curncy</t>
  </si>
  <si>
    <t>EUR BASIS SW 6MV12M 20YR</t>
  </si>
  <si>
    <t>EUBSS25 ICPL Curncy</t>
  </si>
  <si>
    <t>EUR BASIS SW 6MV12M 25YR</t>
  </si>
  <si>
    <t>EUBSS30 ICPL Curncy</t>
  </si>
  <si>
    <t>EUR BASIS SW 6MV12M 30YR</t>
  </si>
  <si>
    <t>EUBSS1 ICPL Curncy</t>
  </si>
  <si>
    <t>EUR BASIS SW 6MV12M  1YR</t>
  </si>
  <si>
    <t>EUBSS2 ICPL Curncy</t>
  </si>
  <si>
    <t>EUR BASIS SW 6MV12M  2YR</t>
  </si>
  <si>
    <t>EUBSS3 ICPL Curncy</t>
  </si>
  <si>
    <t>EUR BASIS SW 6MV12M  3YR</t>
  </si>
  <si>
    <t>EUBSS4 ICPL Curncy</t>
  </si>
  <si>
    <t>EUR BASIS SW 6MV12M  4YR</t>
  </si>
  <si>
    <t>EUBSS5 ICPL Curncy</t>
  </si>
  <si>
    <t>EUR BASIS SW 6MV12M  5YR</t>
  </si>
  <si>
    <t>EUBSS6 ICPL Curncy</t>
  </si>
  <si>
    <t>EUR BASIS SW 6MV12M  6YR</t>
  </si>
  <si>
    <t>EUBSS7 ICPL Curncy</t>
  </si>
  <si>
    <t>EUR BASIS SW 6MV12M  7YR</t>
  </si>
  <si>
    <t>EUBSS8 ICPL Curncy</t>
  </si>
  <si>
    <t>EUR BASIS SW 6MV12M  8YR</t>
  </si>
  <si>
    <t>EUBSS9 ICPL Curncy</t>
  </si>
  <si>
    <t>EUR BASIS SW 6MV12M  9YR</t>
  </si>
  <si>
    <t>EUBSS10 ICPL Curncy</t>
  </si>
  <si>
    <t>EUR BASIS SW 6MV12M 10YR</t>
  </si>
  <si>
    <t>EUBS11 ICPL Curncy</t>
  </si>
  <si>
    <t>EUBS12 ICPL Curncy</t>
  </si>
  <si>
    <t>EUBS13 ICPL Curncy</t>
  </si>
  <si>
    <t>EUBS14 ICPL Curncy</t>
  </si>
  <si>
    <t>EUBS15 ICPL Curncy</t>
  </si>
  <si>
    <t>EUBS20 ICPL Curncy</t>
  </si>
  <si>
    <t>EUBS25 ICPL Curncy</t>
  </si>
  <si>
    <t>EUBS30 ICPL Curncy</t>
  </si>
  <si>
    <t>EUBS1 ICPL Curncy</t>
  </si>
  <si>
    <t>EUBS2 ICPL Curncy</t>
  </si>
  <si>
    <t>EUBS3 ICPL Curncy</t>
  </si>
  <si>
    <t>EUBS4 ICPL Curncy</t>
  </si>
  <si>
    <t>EUBS5 ICPL Curncy</t>
  </si>
  <si>
    <t>EUBS6 ICPL Curncy</t>
  </si>
  <si>
    <t>EUBS7 ICPL Curncy</t>
  </si>
  <si>
    <t>EUBS8 ICPL Curncy</t>
  </si>
  <si>
    <t>EUBS9 ICPL Curncy</t>
  </si>
  <si>
    <t>EUBS10 ICPL Curncy</t>
  </si>
  <si>
    <t>CurveID</t>
  </si>
  <si>
    <t>Calendar</t>
    <phoneticPr fontId="5"/>
  </si>
  <si>
    <t>1D</t>
  </si>
  <si>
    <t>FORWARD RATES</t>
  </si>
  <si>
    <t>Chart Rows</t>
  </si>
  <si>
    <t>Display Years</t>
  </si>
  <si>
    <t>Forward Curve Chart Settings</t>
  </si>
  <si>
    <t>Forward Curve</t>
  </si>
  <si>
    <t>ACT/ACT</t>
  </si>
  <si>
    <t>S/A</t>
  </si>
  <si>
    <t>NL/365</t>
  </si>
  <si>
    <t>ForecastCurve</t>
  </si>
  <si>
    <t>DiscountCurve</t>
  </si>
  <si>
    <t>PV</t>
  </si>
  <si>
    <t>LIBOR Swap Conventions</t>
  </si>
  <si>
    <t>LIBOR-OIS Basis Conventions</t>
  </si>
  <si>
    <t>longterm.generatemethod</t>
  </si>
  <si>
    <t>dailyaveraging</t>
  </si>
  <si>
    <t>FF1</t>
  </si>
  <si>
    <t>FF2</t>
  </si>
  <si>
    <t>FF3</t>
  </si>
  <si>
    <t>FF4</t>
  </si>
  <si>
    <t>FF5</t>
  </si>
  <si>
    <t>FF6</t>
  </si>
  <si>
    <t>FF7</t>
  </si>
  <si>
    <t>FF8</t>
  </si>
  <si>
    <t>FF9</t>
  </si>
  <si>
    <t>FF10</t>
  </si>
  <si>
    <t>FF11</t>
  </si>
  <si>
    <t>FF12</t>
  </si>
  <si>
    <t>FED FUTURE</t>
  </si>
  <si>
    <t>Fixing O/N Rates</t>
  </si>
  <si>
    <t>Also Term must be 4 characters long and formatted CCCN ( C = Character, N = Number ) in line with Bloomberg Ticker</t>
  </si>
  <si>
    <t>Also OIS Swap tenors must corrspond one to one with the LO-Basis and Swap Quotes</t>
  </si>
  <si>
    <t>Finally the FED Futures Rates must be quoted in % in the same format as swap rates</t>
  </si>
  <si>
    <t>If FED Futures are used then Fixing Data is required if start date in the past</t>
  </si>
  <si>
    <t>Note: When using Fed Futures</t>
  </si>
  <si>
    <t>SECURITY_TYPE_2_REALTIME</t>
  </si>
  <si>
    <t>NAME_RT</t>
  </si>
  <si>
    <t>SECURITY_DESCRIPTION_RT</t>
  </si>
  <si>
    <t>MATURITY_RT</t>
  </si>
  <si>
    <t>COUPON_RT</t>
  </si>
  <si>
    <t>DAY_COUNT_DESCRIPTION_REALTIME</t>
  </si>
  <si>
    <t>EUSWE1F ICPL Curncy</t>
  </si>
  <si>
    <t>ApplyTension</t>
  </si>
  <si>
    <t>TensionGap</t>
  </si>
  <si>
    <t>SnapShot</t>
  </si>
  <si>
    <t>Forward Parameters</t>
  </si>
  <si>
    <t>EUSWE1 ICPL Curncy</t>
  </si>
  <si>
    <t>USD BASIS SWAP 3v12  1YR</t>
  </si>
  <si>
    <t>USD BASIS SWAP 3v12  2YR</t>
  </si>
  <si>
    <t>USD BASIS SWAP 3v12  3YR</t>
  </si>
  <si>
    <t>USD BASIS SWAP 3v12  4YR</t>
  </si>
  <si>
    <t>USD BASIS SWAP 3v12  5YR</t>
  </si>
  <si>
    <t>USD BASIS SWAP 3v12  7YR</t>
  </si>
  <si>
    <t>USD BASIS SWAP 3v12 10YR</t>
  </si>
  <si>
    <t>USD BASIS SWAP 3v12 12YR</t>
  </si>
  <si>
    <t>USD BASIS SWAP 3v12 15YR</t>
  </si>
  <si>
    <t>USD BASIS SWAP 3v12 20YR</t>
  </si>
  <si>
    <t>ED12  COMB Comdty</t>
  </si>
  <si>
    <t>Generic 12th 'ED' Future</t>
  </si>
  <si>
    <t>PREB</t>
  </si>
  <si>
    <t>USBL25 PREB Curncy</t>
  </si>
  <si>
    <t>USBL30 PREB Curncy</t>
  </si>
  <si>
    <t>USBL1 PREB Curncy</t>
  </si>
  <si>
    <t>USBL2 PREB Curncy</t>
  </si>
  <si>
    <t>USBL3 PREB Curncy</t>
  </si>
  <si>
    <t>USBL4 PREB Curncy</t>
  </si>
  <si>
    <t>USBL5 PREB Curncy</t>
  </si>
  <si>
    <t>USBL7 PREB Curncy</t>
  </si>
  <si>
    <t>USBL10 PREB Curncy</t>
  </si>
  <si>
    <t>USBL12 PREB Curncy</t>
  </si>
  <si>
    <t>USBL15 PREB Curncy</t>
  </si>
  <si>
    <t>USBL20 PREB Curncy</t>
  </si>
  <si>
    <t>EMMI EURO OverNight Index Aver</t>
  </si>
  <si>
    <t>BPSW20 ICPL Curncy</t>
  </si>
  <si>
    <t>BPSW25 ICPL Curncy</t>
  </si>
  <si>
    <t>BPSW30 ICPL Curncy</t>
  </si>
  <si>
    <t>BPSW40 ICPL Curncy</t>
  </si>
  <si>
    <t>BPSW50 ICPL Curncy</t>
  </si>
  <si>
    <t>BP0006M ICPL Index</t>
  </si>
  <si>
    <t>ICE LIBOR GBP 6 Month</t>
  </si>
  <si>
    <t>BPFR0AG ICPL Curncy</t>
  </si>
  <si>
    <t>GBP FRA             1X7</t>
  </si>
  <si>
    <t>BPFR0BH ICPL Curncy</t>
  </si>
  <si>
    <t>GBP FRA             2X8</t>
  </si>
  <si>
    <t>BPFR0CI ICPL Curncy</t>
  </si>
  <si>
    <t>GBP FRA             3X9</t>
  </si>
  <si>
    <t>BPFR0DJ ICPL Curncy</t>
  </si>
  <si>
    <t>GBP FRA             4X10</t>
  </si>
  <si>
    <t>BPFR0EK ICPL Curncy</t>
  </si>
  <si>
    <t>GBP FRA             5X11</t>
  </si>
  <si>
    <t>BPFR0F1 ICPL Curncy</t>
  </si>
  <si>
    <t>GBP FRA             6X12</t>
  </si>
  <si>
    <t>BPFR0I1C ICPL Curncy</t>
  </si>
  <si>
    <t>GBP FRA             9X15</t>
  </si>
  <si>
    <t>BPFR011F ICPL Curncy</t>
  </si>
  <si>
    <t>GBP FRA            12X18</t>
  </si>
  <si>
    <t>BPSW2 ICPL Curncy</t>
  </si>
  <si>
    <t>BPSFVC11 ICPL Curncy</t>
  </si>
  <si>
    <t>GBP 6M vs 3M LIBOR 11Y</t>
  </si>
  <si>
    <t>BPSFVC12 ICPL Curncy</t>
  </si>
  <si>
    <t>GBP 6M vs 3M LIBOR 12Y</t>
  </si>
  <si>
    <t>BPSFVC15 ICPL Curncy</t>
  </si>
  <si>
    <t>GBP 6M vs 3M LIBOR 15Y</t>
  </si>
  <si>
    <t>BPSFVC20 ICPL Curncy</t>
  </si>
  <si>
    <t>GBP 6M vs 3M LIBOR 20Y</t>
  </si>
  <si>
    <t>BPSFVC25 ICPL Curncy</t>
  </si>
  <si>
    <t>GBP 6M vs 3M LIBOR 25Y</t>
  </si>
  <si>
    <t>BPSFVC30 ICPL Curncy</t>
  </si>
  <si>
    <t>GBP 6M vs 3M LIBOR 30Y</t>
  </si>
  <si>
    <t>BPSFVC40 ICPL Curncy</t>
  </si>
  <si>
    <t>GBP 6M vs 3M LIBOR 40Y</t>
  </si>
  <si>
    <t>BPSFVC50 ICPL Curncy</t>
  </si>
  <si>
    <t>GBP 6M vs 3M LIBOR 50Y</t>
  </si>
  <si>
    <t>BPSFVC1 ICPL Curncy</t>
  </si>
  <si>
    <t>GBP 6M vs 3M LIBOR 1Y</t>
  </si>
  <si>
    <t>BPSFVC2 ICPL Curncy</t>
  </si>
  <si>
    <t>GBP 6M vs 3M LIBOR 2Y</t>
  </si>
  <si>
    <t>BPSFVC3 ICPL Curncy</t>
  </si>
  <si>
    <t>GBP 6M vs 3M LIBOR 3Y</t>
  </si>
  <si>
    <t>BPSFVC4 ICPL Curncy</t>
  </si>
  <si>
    <t>GBP 6M vs 3M LIBOR 4Y</t>
  </si>
  <si>
    <t>BPSFVC5 ICPL Curncy</t>
  </si>
  <si>
    <t>GBP 6M vs 3M LIBOR 5Y</t>
  </si>
  <si>
    <t>BPSFVC6 ICPL Curncy</t>
  </si>
  <si>
    <t>GBP 6M vs 3M LIBOR 6Y</t>
  </si>
  <si>
    <t>BPSFVC7 ICPL Curncy</t>
  </si>
  <si>
    <t>GBP 6M vs 3M LIBOR 7Y</t>
  </si>
  <si>
    <t>BPSFVC8 ICPL Curncy</t>
  </si>
  <si>
    <t>GBP 6M vs 3M LIBOR 8Y</t>
  </si>
  <si>
    <t>BPSFVC9 ICPL Curncy</t>
  </si>
  <si>
    <t>GBP 6M vs 3M LIBOR 9Y</t>
  </si>
  <si>
    <t>BPSFVC10 ICPL Curncy</t>
  </si>
  <si>
    <t>GBP 6M vs 3M LIBOR 10Y</t>
  </si>
  <si>
    <t>BPSW3 ICPL Curncy</t>
  </si>
  <si>
    <t>BPSW4 ICPL Curncy</t>
  </si>
  <si>
    <t>BPSW5 ICPL Curncy</t>
  </si>
  <si>
    <t>BPSW6 ICPL Curncy</t>
  </si>
  <si>
    <t>BPSW7 ICPL Curncy</t>
  </si>
  <si>
    <t>BPSW8 ICPL Curncy</t>
  </si>
  <si>
    <t>BPSW9 ICPL Curncy</t>
  </si>
  <si>
    <t>BPSW10 ICPL Curncy</t>
  </si>
  <si>
    <t>BPSW12 ICPL Curncy</t>
  </si>
  <si>
    <t>BPSW15 ICPL Curncy</t>
  </si>
  <si>
    <t>BPSFVA12 ICPL Curncy</t>
  </si>
  <si>
    <t>GBP 6M vs 1M LIBOR 12Y</t>
  </si>
  <si>
    <t>BPSFVA15 ICPL Curncy</t>
  </si>
  <si>
    <t>GBP 6M vs 1M LIBOR 15Y</t>
  </si>
  <si>
    <t>BPSFVA20 ICPL Curncy</t>
  </si>
  <si>
    <t>GBP 6M vs 1M LIBOR 20Y</t>
  </si>
  <si>
    <t>BPSFVA25 ICPL Curncy</t>
  </si>
  <si>
    <t>GBP 6M vs 1M LIBOR 25Y</t>
  </si>
  <si>
    <t>BPSFVA30 ICPL Curncy</t>
  </si>
  <si>
    <t>GBP 6M vs 1M LIBOR 30Y</t>
  </si>
  <si>
    <t>BPSFVA40 ICPL Curncy</t>
  </si>
  <si>
    <t>GBP 6M vs 1M LIBOR 40Y</t>
  </si>
  <si>
    <t>BPSFVA50 ICPL Curncy</t>
  </si>
  <si>
    <t>GBP 6M vs 1M LIBOR 50Y</t>
  </si>
  <si>
    <t>BPSIVF12 ICPL Curncy</t>
  </si>
  <si>
    <t>GBP 12M vs 6M LIBOR 12Y</t>
  </si>
  <si>
    <t>BPSIVF15 ICPL Curncy</t>
  </si>
  <si>
    <t>GBP 12M vs 6M LIBOR 15Y</t>
  </si>
  <si>
    <t>BPSIVF20 ICPL Curncy</t>
  </si>
  <si>
    <t>GBP 12M vs 6M LIBOR 20Y</t>
  </si>
  <si>
    <t>BPSIVF25 ICPL Curncy</t>
  </si>
  <si>
    <t>GBP 12M vs 6M LIBOR 25Y</t>
  </si>
  <si>
    <t>BPSIVF30 ICPL Curncy</t>
  </si>
  <si>
    <t>GBP 12M vs 6M LIBOR 30Y</t>
  </si>
  <si>
    <t>BPSIVF40 ICPL Curncy</t>
  </si>
  <si>
    <t>GBP 12M vs 6M LIBOR 40Y</t>
  </si>
  <si>
    <t>BPSIVF50 ICPL Curncy</t>
  </si>
  <si>
    <t>GBP 12M vs 6M LIBOR 50Y</t>
  </si>
  <si>
    <t>BPBS11 ICPL Curncy</t>
  </si>
  <si>
    <t>GBP BASIS SWAP     11 YR</t>
  </si>
  <si>
    <t>BPBS12 ICPL Curncy</t>
  </si>
  <si>
    <t>GBP BASIS SWAP     12 YR</t>
  </si>
  <si>
    <t>BPBS13 ICPL Curncy</t>
  </si>
  <si>
    <t>GBP BASIS SWAP     13 YR</t>
  </si>
  <si>
    <t>BPBS14 ICPL Curncy</t>
  </si>
  <si>
    <t>GBP BASIS SWAP     14 YR</t>
  </si>
  <si>
    <t>BPBS15 ICPL Curncy</t>
  </si>
  <si>
    <t>GBP BASIS SWAP     15 YR</t>
  </si>
  <si>
    <t>BPBS20 ICPL Curncy</t>
  </si>
  <si>
    <t>GBP BASIS SWAP     20 YR</t>
  </si>
  <si>
    <t>BPBS25 ICPL Curncy</t>
  </si>
  <si>
    <t>GBP BASIS SWAP     25 YR</t>
  </si>
  <si>
    <t>BPBS30 ICPL Curncy</t>
  </si>
  <si>
    <t>GBP BASIS SWAP     30 YR</t>
  </si>
  <si>
    <t>JPY SWAP vs TONAR  25 YR</t>
  </si>
  <si>
    <t>JPY SWAP vs TONAR  30 YR</t>
  </si>
  <si>
    <t>BPSFVA1 ICPL Curncy</t>
  </si>
  <si>
    <t>GBP 6M vs 1M LIBOR 1Y</t>
  </si>
  <si>
    <t>BPSFVA2 ICPL Curncy</t>
  </si>
  <si>
    <t>GBP 6M vs 1M LIBOR 2Y</t>
  </si>
  <si>
    <t>BPSFVA3 ICPL Curncy</t>
  </si>
  <si>
    <t>GBP 6M vs 1M LIBOR 3Y</t>
  </si>
  <si>
    <t>BPSFVA4 ICPL Curncy</t>
  </si>
  <si>
    <t>GBP 6M vs 1M LIBOR 4Y</t>
  </si>
  <si>
    <t>BPSFVA5 ICPL Curncy</t>
  </si>
  <si>
    <t>GBP 6M vs 1M LIBOR 5Y</t>
  </si>
  <si>
    <t>BPSFVA6 ICPL Curncy</t>
  </si>
  <si>
    <t>GBP 6M vs 1M LIBOR 6Y</t>
  </si>
  <si>
    <t>BPSFVA7 ICPL Curncy</t>
  </si>
  <si>
    <t>GBP 6M vs 1M LIBOR 7Y</t>
  </si>
  <si>
    <t>BPSFVA8 ICPL Curncy</t>
  </si>
  <si>
    <t>GBP 6M vs 1M LIBOR 8Y</t>
  </si>
  <si>
    <t>BPSFVA9 ICPL Curncy</t>
  </si>
  <si>
    <t>GBP 6M vs 1M LIBOR 9Y</t>
  </si>
  <si>
    <t>BPSFVA10 ICPL Curncy</t>
  </si>
  <si>
    <t>GBP 6M vs 1M LIBOR 10Y</t>
  </si>
  <si>
    <t>BPBS1 ICPL Curncy</t>
  </si>
  <si>
    <t>GBP BASIS SW 3M LIB 1 YR</t>
  </si>
  <si>
    <t>BPBS2 ICPL Curncy</t>
  </si>
  <si>
    <t>GBP BASIS SWAP      2 YR</t>
  </si>
  <si>
    <t>BPBS3 ICPL Curncy</t>
  </si>
  <si>
    <t>GBP BASIS SWAP      3 YR</t>
  </si>
  <si>
    <t>BPBS4 ICPL Curncy</t>
  </si>
  <si>
    <t>GBP BASIS SWAP      4 YR</t>
  </si>
  <si>
    <t>BPBS5 ICPL Curncy</t>
  </si>
  <si>
    <t>GBP BASIS SWAP      5 YR</t>
  </si>
  <si>
    <t>BPBS6 ICPL Curncy</t>
  </si>
  <si>
    <t>GBP BASIS SWAP      6 YR</t>
  </si>
  <si>
    <t>BPBS7 ICPL Curncy</t>
  </si>
  <si>
    <t>GBP BASIS SWAP      7 YR</t>
  </si>
  <si>
    <t>BPBS8 ICPL Curncy</t>
  </si>
  <si>
    <t>GBP BASIS SWAP      8 YR</t>
  </si>
  <si>
    <t>BPBS9 ICPL Curncy</t>
  </si>
  <si>
    <t>GBP BASIS SWAP      9 YR</t>
  </si>
  <si>
    <t>BPBS10 ICPL Curncy</t>
  </si>
  <si>
    <t>GBP BASIS SWAP     10 YR</t>
  </si>
  <si>
    <t>BPSIVF1 ICPL Curncy</t>
  </si>
  <si>
    <t>GBP 12M vs 6M LIBOR 1Y</t>
  </si>
  <si>
    <t>BPSIVF2 ICPL Curncy</t>
  </si>
  <si>
    <t>GBP 12M vs 6M LIBOR 2Y</t>
  </si>
  <si>
    <t>BPSIVF3 ICPL Curncy</t>
  </si>
  <si>
    <t>GBP 12M vs 6M LIBOR 3Y</t>
  </si>
  <si>
    <t>BPSIVF4 ICPL Curncy</t>
  </si>
  <si>
    <t>GBP 12M vs 6M LIBOR 4Y</t>
  </si>
  <si>
    <t>BPSIVF5 ICPL Curncy</t>
  </si>
  <si>
    <t>GBP 12M vs 6M LIBOR 5Y</t>
  </si>
  <si>
    <t>BPSIVF6 ICPL Curncy</t>
  </si>
  <si>
    <t>GBP 12M vs 6M LIBOR 6Y</t>
  </si>
  <si>
    <t>BPSIVF7 ICPL Curncy</t>
  </si>
  <si>
    <t>GBP 12M vs 6M LIBOR 7Y</t>
  </si>
  <si>
    <t>BPSIVF8 ICPL Curncy</t>
  </si>
  <si>
    <t>GBP 12M vs 6M LIBOR 8Y</t>
  </si>
  <si>
    <t>BPSIVF9 ICPL Curncy</t>
  </si>
  <si>
    <t>GBP 12M vs 6M LIBOR 9Y</t>
  </si>
  <si>
    <t>BPSIVF10 ICPL Curncy</t>
  </si>
  <si>
    <t>GBP 12M vs 6M LIBOR 10Y</t>
  </si>
  <si>
    <t>JPY SWAP vs TONAR   5 YR</t>
  </si>
  <si>
    <t>JPY SWAP vs TONAR   6 YR</t>
  </si>
  <si>
    <t>JPY SWAP vs TONAR   7 YR</t>
  </si>
  <si>
    <t>JPY SWAP vs TONAR   8 YR</t>
  </si>
  <si>
    <t>JPY SWAP vs TONAR   9 YR</t>
  </si>
  <si>
    <t>JPY SWAP vs TONAR  10 YR</t>
  </si>
  <si>
    <t>JPY SWAP vs TONAR  11 YR</t>
  </si>
  <si>
    <t>JPY SWAP vs TONAR  12 YR</t>
  </si>
  <si>
    <t>JPY SWAP vs TONAR  15 YR</t>
  </si>
  <si>
    <t>JPY SWAP vs TONAR  20 YR</t>
  </si>
  <si>
    <t>Bank of Japan Estimate Unsecur</t>
  </si>
  <si>
    <t>JPY SWAP vs TONAR   3 MO</t>
  </si>
  <si>
    <t>JPY SWAP vs TONAR   6 MO</t>
  </si>
  <si>
    <t>JPY SWAP vs TONAR   1 YR</t>
  </si>
  <si>
    <t>JPY SWAP vs TONAR   2 YR</t>
  </si>
  <si>
    <t>JPY SWAP vs TONAR   3 YR</t>
  </si>
  <si>
    <t>JPY SWAP vs TONAR   4 YR</t>
  </si>
  <si>
    <t>ICE LIBOR JPY 6 Month</t>
  </si>
  <si>
    <t>JPY BASIS SWAP 3v6  11YR</t>
  </si>
  <si>
    <t>JPY BASIS SWAP 3v6  12YR</t>
  </si>
  <si>
    <t>JPY BASIS SWAP 3v6  15YR</t>
  </si>
  <si>
    <t>JPY BASIS SWAP 3v6  20YR</t>
  </si>
  <si>
    <t>JPY BASIS SWAP 3v6  25YR</t>
  </si>
  <si>
    <t>JPY BASIS SWAP 3v6  30YR</t>
  </si>
  <si>
    <t>JPY BASIS SWAP 3v6  40YR</t>
  </si>
  <si>
    <t>JPY BASIS SWAP 3v6  1 YR</t>
  </si>
  <si>
    <t>JPY BASIS SWAP 3v6  2 YR</t>
  </si>
  <si>
    <t>JPY BASIS SWAP 3v6  3 YR</t>
  </si>
  <si>
    <t>JPY BASIS SWAP 3v6  4 YR</t>
  </si>
  <si>
    <t>JPY BASIS SWAP 3v6  5 YR</t>
  </si>
  <si>
    <t>JPY BASIS SWAP 3v6  6 YR</t>
  </si>
  <si>
    <t>JPY BASIS SWAP 3v6  7 YR</t>
  </si>
  <si>
    <t>JPY BASIS SWAP 3v6  8 YR</t>
  </si>
  <si>
    <t>JPY BASIS SWAP 3v6  9 YR</t>
  </si>
  <si>
    <t>JPY BASIS SWAP 3v6  10YR</t>
  </si>
  <si>
    <t>JPY BASIS SWAP 1v6  1 YR</t>
  </si>
  <si>
    <t>JPY BASIS SWAP 1v6  2 YR</t>
  </si>
  <si>
    <t>JPY BASIS SWAP 1v6  3 YR</t>
  </si>
  <si>
    <t>JPY BASIS SWAP 1v6  4 YR</t>
  </si>
  <si>
    <t>JPY BASIS SWAP 1v6  5 YR</t>
  </si>
  <si>
    <t>JPY BASIS SWAP 1v6  6 YR</t>
  </si>
  <si>
    <t>JPY BASIS SWAP 1v6  7 YR</t>
  </si>
  <si>
    <t>JPY BASIS SWAP 1v6  8 YR</t>
  </si>
  <si>
    <t>JPY BASIS SWAP 1v6  9 YR</t>
  </si>
  <si>
    <t>JPY BASIS SWAP 1v6 10 YR</t>
  </si>
  <si>
    <t>JPY BASIS SWAP 1v6 12 YR</t>
  </si>
  <si>
    <t>JPY BASIS SWAP 1v6 15 YR</t>
  </si>
  <si>
    <t>JPY BASIS SWAP 1v6 20 YR</t>
  </si>
  <si>
    <t>JPY BASIS SWAP 1v6 25 YR</t>
  </si>
  <si>
    <t>JPY BASIS SWAP 1v6 30 YR</t>
  </si>
  <si>
    <t>JPY BASIS SWAP 1v6 40 YR</t>
  </si>
  <si>
    <t>JPY BASIS SW (LIBOR)11YR</t>
  </si>
  <si>
    <t>JPY BASIS SW (LIBOR)12YR</t>
  </si>
  <si>
    <t>JPY BASIS SW (LIBOR)13YR</t>
  </si>
  <si>
    <t>JPY BASIS SW (LIBOR)14YR</t>
  </si>
  <si>
    <t>JPY BASIS SW (LIBOR)15YR</t>
  </si>
  <si>
    <t>JPY BASIS SW (LIBOR)20YR</t>
  </si>
  <si>
    <t>JPY BASIS SW (LIBOR)25YR</t>
  </si>
  <si>
    <t>JPY BASIS SW (LIBOR)30YR</t>
  </si>
  <si>
    <t>JPY BASIS SW (LIBOR) 1YR</t>
  </si>
  <si>
    <t>JPY BASIS SW (LIBOR) 2YR</t>
  </si>
  <si>
    <t>JPY BASIS SW (LIBOR) 3YR</t>
  </si>
  <si>
    <t>JPY BASIS SW (LIBOR) 4YR</t>
  </si>
  <si>
    <t>JPY BASIS SW (LIBOR) 5YR</t>
  </si>
  <si>
    <t>JPY BASIS SW (LIBOR) 6YR</t>
  </si>
  <si>
    <t>JPY BASIS SW (LIBOR) 7YR</t>
  </si>
  <si>
    <t>JPY BASIS SW (LIBOR) 8YR</t>
  </si>
  <si>
    <t>JPY BASIS SW (LIBOR) 9YR</t>
  </si>
  <si>
    <t>JPY BASIS SW (LIBOR)10YR</t>
  </si>
  <si>
    <t>DV01</t>
  </si>
  <si>
    <t>RECEIVER</t>
  </si>
  <si>
    <t>SmoothShortEnd</t>
  </si>
  <si>
    <t>Fixing Date</t>
  </si>
  <si>
    <t>USSO7 CMPN Curncy</t>
  </si>
  <si>
    <t>USSO10 CMPN Curncy</t>
  </si>
  <si>
    <t>USSO12 CMPN Curncy</t>
  </si>
  <si>
    <t>USSO15 CMPN Curncy</t>
  </si>
  <si>
    <t>USSO20 CMPN Curncy</t>
  </si>
  <si>
    <t>USSO25 CMPN Curncy</t>
  </si>
  <si>
    <t>USSO30 CMPN Curncy</t>
  </si>
  <si>
    <t>USSO3 CMPN Curncy</t>
  </si>
  <si>
    <t>USSO4 CMPN Curncy</t>
  </si>
  <si>
    <t>USSO5 CMPN Curncy</t>
  </si>
  <si>
    <t>USSO6 CMPN Curncy</t>
  </si>
  <si>
    <t>USSO2 CMPN Curncy</t>
  </si>
  <si>
    <t>EffectiveDate</t>
  </si>
  <si>
    <t>MaturityDate</t>
  </si>
  <si>
    <t>CurveCollection</t>
  </si>
  <si>
    <t>FixedFrequency</t>
  </si>
  <si>
    <t>FixedRate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</si>
  <si>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</si>
  <si>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</si>
  <si>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</si>
  <si>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</si>
  <si>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</si>
  <si>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</si>
  <si>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</si>
  <si>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</si>
  <si>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</si>
  <si>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</si>
  <si>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</si>
  <si>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FloatSpread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</si>
  <si>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</si>
  <si>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</si>
  <si>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</si>
  <si>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</si>
  <si>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</si>
  <si>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</si>
  <si>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</si>
  <si>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</si>
  <si>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</si>
  <si>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FloatRollDay</t>
  </si>
  <si>
    <t>FloatFixingLag</t>
  </si>
  <si>
    <t>FloatFirstFixing</t>
  </si>
  <si>
    <t>FloatLastFixing</t>
  </si>
  <si>
    <t>FloatPaymentLag</t>
  </si>
  <si>
    <t>FloatStubType</t>
  </si>
  <si>
    <t>FloatFixing Date</t>
  </si>
  <si>
    <t>Swap Label Value Block</t>
  </si>
  <si>
    <t>EffectiveLag</t>
  </si>
  <si>
    <t>PayReceive</t>
  </si>
  <si>
    <t>FloatIndex</t>
  </si>
  <si>
    <t>ParRate</t>
  </si>
  <si>
    <t>SwapPV</t>
  </si>
  <si>
    <t>FloatPV</t>
  </si>
  <si>
    <t>FixedPV</t>
  </si>
  <si>
    <t>Calibration Instruments</t>
  </si>
  <si>
    <t>FixedLegParameters</t>
  </si>
  <si>
    <t>FloatLegParameters</t>
  </si>
  <si>
    <t>Fixings &amp; Roll Settings</t>
  </si>
  <si>
    <t>Swap Definition</t>
  </si>
  <si>
    <t>Pricing &amp; Risk</t>
  </si>
  <si>
    <t>Float Leg Cashflows</t>
  </si>
  <si>
    <t>Fixed Leg Cashflows</t>
  </si>
  <si>
    <t>OIS:EURDF:EURDF_NOCSA:EURDF_EURCSA:EUROIS</t>
  </si>
  <si>
    <t>OIS:USDDF:USDDF_NOCSA:USDDF_USDCSA:USDOIS</t>
  </si>
  <si>
    <t>OIS:GBPDF:GBPDF_NOCSA:GBPDF_GBPCSA:GBPOIS</t>
  </si>
  <si>
    <t>OIS:JPYDF:JPYDF_NOCSA:JPYDF_JPYCSA:JPYOIS</t>
  </si>
  <si>
    <t>SecurityName</t>
  </si>
  <si>
    <t>PAYER</t>
  </si>
  <si>
    <t>IssueDate</t>
  </si>
  <si>
    <t>isCleanPrice</t>
  </si>
  <si>
    <t>FixedDayCount</t>
  </si>
  <si>
    <t>FixedBusinessDayAdjustment</t>
  </si>
  <si>
    <t>FixedCalendar</t>
  </si>
  <si>
    <t>FloatDayCount</t>
  </si>
  <si>
    <t>FloatBusinessDayAdjustment</t>
  </si>
  <si>
    <t>FloatCalendar</t>
  </si>
  <si>
    <t>Bid Price</t>
  </si>
  <si>
    <t>Ask Price</t>
  </si>
  <si>
    <t>Bid Yield</t>
  </si>
  <si>
    <t>Ask Yield</t>
  </si>
  <si>
    <t>BID</t>
  </si>
  <si>
    <t>ASK</t>
  </si>
  <si>
    <t>ISIN</t>
  </si>
  <si>
    <t>Field Name</t>
  </si>
  <si>
    <t>Field Mnemonic</t>
  </si>
  <si>
    <t>Refresh Bond Data</t>
  </si>
  <si>
    <t>Refresh ASW Prices</t>
  </si>
  <si>
    <t>Yield %</t>
  </si>
  <si>
    <t>ParRate %</t>
  </si>
  <si>
    <t>Asset Swap Spreads</t>
  </si>
  <si>
    <t>Bond Price</t>
  </si>
  <si>
    <t>NXT_CPN_DT</t>
  </si>
  <si>
    <t>Dirty/Clean</t>
  </si>
  <si>
    <t>PX_DIRTY_CLEAN</t>
  </si>
  <si>
    <t>CLEAN</t>
  </si>
  <si>
    <t>Bloomberg Market Data</t>
  </si>
  <si>
    <t>Bloomberg Data</t>
  </si>
  <si>
    <t>Asset Swap Fixed Leg Cashflows</t>
  </si>
  <si>
    <t>Asset Swap Float Leg Cashflows</t>
  </si>
  <si>
    <t>Price Override</t>
  </si>
  <si>
    <t>Yield Override</t>
  </si>
  <si>
    <t>Par-Par ASW Spread, bps</t>
  </si>
  <si>
    <t>Yield-Yield ASW Spread, bps</t>
  </si>
  <si>
    <t>Stub Rate</t>
  </si>
  <si>
    <t>Yield-Yield Spread</t>
  </si>
  <si>
    <t>ASSET SWAP PRICING</t>
  </si>
  <si>
    <t>Refresh</t>
  </si>
  <si>
    <t>Request1</t>
  </si>
  <si>
    <t>Request2</t>
  </si>
  <si>
    <t>Request3</t>
  </si>
  <si>
    <t>Request4</t>
  </si>
  <si>
    <t>Request5</t>
  </si>
  <si>
    <t>Request6</t>
  </si>
  <si>
    <t>Bloomberg Data Requests</t>
  </si>
  <si>
    <t>Asset Swap Deal Information</t>
  </si>
  <si>
    <t>EUROIS</t>
  </si>
  <si>
    <t>EUR1ML</t>
  </si>
  <si>
    <t>EUR12ML</t>
  </si>
  <si>
    <t>Stub Curves</t>
  </si>
  <si>
    <t>FR0013131877 Govt</t>
  </si>
  <si>
    <t>FRTR 0 1/2 05/25/26</t>
  </si>
  <si>
    <t>IT0005170839 Govt</t>
  </si>
  <si>
    <t>BTPS 1.6 06/01/26</t>
  </si>
  <si>
    <t>ES00000127Z9 Govt</t>
  </si>
  <si>
    <t>SPGB 1.95 04/30/26</t>
  </si>
  <si>
    <t>GR0128013704 Govt</t>
  </si>
  <si>
    <t>GGB 3 02/24/26</t>
  </si>
  <si>
    <t>Lookup Tables</t>
  </si>
  <si>
    <t>ZeroCpn</t>
  </si>
  <si>
    <t>Bloomberg</t>
  </si>
  <si>
    <t>MLIB</t>
  </si>
  <si>
    <t>GBPOIS</t>
  </si>
  <si>
    <t>GBP1ML</t>
  </si>
  <si>
    <t>GBP12ML</t>
  </si>
  <si>
    <t>GB00BN65R313 Govt</t>
  </si>
  <si>
    <t>GB00BTHH2R79 Govt</t>
  </si>
  <si>
    <t>UKT 2 09/07/25</t>
  </si>
  <si>
    <t>UKT 3 1/2 01/22/45</t>
  </si>
  <si>
    <t>GB00B7Z53659 Govt</t>
  </si>
  <si>
    <t>UKT 2 1/4 09/07/23</t>
  </si>
  <si>
    <t>GB00BYY5F581 Govt</t>
  </si>
  <si>
    <t>UKT 1 1/2 01/22/21</t>
  </si>
  <si>
    <t>GB00BDV0F150 Govt</t>
  </si>
  <si>
    <t>UKT 1 3/4 07/22/19</t>
  </si>
  <si>
    <t>GB00B8KP6M44 Govt</t>
  </si>
  <si>
    <t>UKT 1 1/4 07/22/18</t>
  </si>
  <si>
    <t>NL0011819040 Govt</t>
  </si>
  <si>
    <t>NETHER 0 1/2 07/15/26</t>
  </si>
  <si>
    <t>US912810RS96 Govt</t>
  </si>
  <si>
    <t>T 2 1/2 05/15/46</t>
  </si>
  <si>
    <t>US912828R366 Govt</t>
  </si>
  <si>
    <t>T 1 5/8 05/15/26</t>
  </si>
  <si>
    <t>US912828S356 Govt</t>
  </si>
  <si>
    <t>T 1 3/8 06/30/23</t>
  </si>
  <si>
    <t>US912828S273 Govt</t>
  </si>
  <si>
    <t>T 1 1/8 06/30/21</t>
  </si>
  <si>
    <t>US912828S430 Govt</t>
  </si>
  <si>
    <t>T 0 3/4 07/15/19</t>
  </si>
  <si>
    <t>US912828R937 Govt</t>
  </si>
  <si>
    <t>T 0 5/8 06/30/18</t>
  </si>
  <si>
    <t>USDOIS</t>
  </si>
  <si>
    <t>USD1ML</t>
  </si>
  <si>
    <t>USD6ML</t>
  </si>
  <si>
    <t>USD12ML</t>
  </si>
  <si>
    <t>JPYOIS</t>
  </si>
  <si>
    <t>JPY1ML</t>
  </si>
  <si>
    <t>Funding</t>
  </si>
  <si>
    <t>JP1300511G61 Govt</t>
  </si>
  <si>
    <t>JGB 0.3 06/20/46</t>
  </si>
  <si>
    <t>JP1103431G66 Govt</t>
  </si>
  <si>
    <t>JGB 0.1 06/20/26</t>
  </si>
  <si>
    <t>JP1103291D68 Govt</t>
  </si>
  <si>
    <t>JGB 0.8 06/20/23</t>
  </si>
  <si>
    <t>JP1051281G68 Govt</t>
  </si>
  <si>
    <t>JGB 0.1 06/20/21</t>
  </si>
  <si>
    <t>JP1103021976 Govt</t>
  </si>
  <si>
    <t>JGB 1.4 06/20/19</t>
  </si>
  <si>
    <t>JP1023661G75 Govt</t>
  </si>
  <si>
    <t>JGB 0.1 07/15/18</t>
  </si>
  <si>
    <t>Price Type</t>
  </si>
  <si>
    <t>Par-Par Spread</t>
  </si>
  <si>
    <t>DE0001102390 Govt</t>
  </si>
  <si>
    <t>DBR 0 1/2 02/15/26</t>
  </si>
  <si>
    <t>PREV_CPN_DT</t>
  </si>
  <si>
    <t>CouponStartDate</t>
  </si>
  <si>
    <t>CouponEndDate</t>
  </si>
  <si>
    <t>JPY SWAP vs TONAR   1 MO</t>
  </si>
  <si>
    <t>FEDL01 BGN Index</t>
  </si>
  <si>
    <t>USSWAP10 BGN Curncy</t>
  </si>
  <si>
    <t>USSWAP12 BGN Curncy</t>
  </si>
  <si>
    <t>USSWAP15 BGN Curncy</t>
  </si>
  <si>
    <t>USSWAP20 BGN Curncy</t>
  </si>
  <si>
    <t>USSWAP25 BGN Curncy</t>
  </si>
  <si>
    <t>USSWAP30 BGN Curncy</t>
  </si>
  <si>
    <t>USBG15 BGN Curncy</t>
  </si>
  <si>
    <t>USBG20 BGN Curncy</t>
  </si>
  <si>
    <t>USBG25 BGN Curncy</t>
  </si>
  <si>
    <t>USBG30 BGN Curncy</t>
  </si>
  <si>
    <t>USSWAP2 BGN Curncy</t>
  </si>
  <si>
    <t>USSWAP3 BGN Curncy</t>
  </si>
  <si>
    <t>USSWAP4 BGN Curncy</t>
  </si>
  <si>
    <t>USSWAP5 BGN Curncy</t>
  </si>
  <si>
    <t>USSWAP6 BGN Curncy</t>
  </si>
  <si>
    <t>USSWAP7 BGN Curncy</t>
  </si>
  <si>
    <t>USBG2 BGN Curncy</t>
  </si>
  <si>
    <t>USBG3 BGN Curncy</t>
  </si>
  <si>
    <t>USBG4 BGN Curncy</t>
  </si>
  <si>
    <t>USBG5 BGN Curncy</t>
  </si>
  <si>
    <t>USBG6 BGN Curncy</t>
  </si>
  <si>
    <t>USBG7 BGN Curncy</t>
  </si>
  <si>
    <t>USBG10 BGN Curncy</t>
  </si>
  <si>
    <t>USBG12 BGN Curncy</t>
  </si>
  <si>
    <t>USSWAP11 BGN Curncy</t>
  </si>
  <si>
    <t>BPSWS9 BGN Curncy</t>
  </si>
  <si>
    <t>BPSWS10 BGN Curncy</t>
  </si>
  <si>
    <t>BPSWS12 BGN Curncy</t>
  </si>
  <si>
    <t>BPSWS15 BGN Curncy</t>
  </si>
  <si>
    <t>BPSWS20 BGN Curncy</t>
  </si>
  <si>
    <t>BPSWS25 BGN Curncy</t>
  </si>
  <si>
    <t>BPSWS30 BGN Curncy</t>
  </si>
  <si>
    <t>BPSWS40 BGN Curncy</t>
  </si>
  <si>
    <t>BPSWS50 BGN Curncy</t>
  </si>
  <si>
    <t>SONIO/N BGN Index</t>
  </si>
  <si>
    <t>BPSWSA BGN Curncy</t>
  </si>
  <si>
    <t>BPSWSC BGN Curncy</t>
  </si>
  <si>
    <t>BPSWSF BGN Curncy</t>
  </si>
  <si>
    <t>BPSWS1 BGN Curncy</t>
  </si>
  <si>
    <t>BPSWS3 BGN Curncy</t>
  </si>
  <si>
    <t>BPSWS4 BGN Curncy</t>
  </si>
  <si>
    <t>BPSWS5 BGN Curncy</t>
  </si>
  <si>
    <t>BPSWS6 BGN Curncy</t>
  </si>
  <si>
    <t>BPSWS7 BGN Curncy</t>
  </si>
  <si>
    <t>BPSWS8 BGN Curncy</t>
  </si>
  <si>
    <t>Select Currency</t>
  </si>
  <si>
    <t>STD Swap Curve Tension Settings</t>
  </si>
  <si>
    <t>#Empty Ticker List</t>
  </si>
  <si>
    <t>SHORTSTART</t>
  </si>
  <si>
    <t>NONE</t>
  </si>
  <si>
    <t>LEG2:FLOAT</t>
  </si>
  <si>
    <t>LEG1:FLOAT</t>
  </si>
  <si>
    <t>PAY</t>
  </si>
  <si>
    <t>QUARTERLY</t>
  </si>
  <si>
    <t>RECEIVE</t>
  </si>
  <si>
    <t>Spread</t>
  </si>
  <si>
    <t>+/-</t>
  </si>
  <si>
    <t>CreateSwap</t>
  </si>
  <si>
    <t>StubType</t>
  </si>
  <si>
    <t>LastFixing</t>
  </si>
  <si>
    <t>FirstFixing</t>
  </si>
  <si>
    <t>LastStubDate</t>
  </si>
  <si>
    <t>FirstStubDate</t>
  </si>
  <si>
    <t>RollDay</t>
  </si>
  <si>
    <t>PaymentLag</t>
  </si>
  <si>
    <t>PaymentCalendar</t>
  </si>
  <si>
    <t>PaymentBusinessDayAdjustment</t>
  </si>
  <si>
    <t>FixingLag</t>
  </si>
  <si>
    <t>FixingCalendar</t>
  </si>
  <si>
    <t>FixingBusinessDayAdjustment</t>
  </si>
  <si>
    <t>AccrualCalendar</t>
  </si>
  <si>
    <t>AccrualBusinessDayAdjustment</t>
  </si>
  <si>
    <t>Leverage</t>
  </si>
  <si>
    <t>NotionalExchange</t>
  </si>
  <si>
    <t>LegType</t>
  </si>
  <si>
    <t>Pay/Rec</t>
  </si>
  <si>
    <t>Maturity</t>
  </si>
  <si>
    <t>Tenor Basis Calibration Inputs ( 3 X 6 )</t>
  </si>
  <si>
    <t>Check</t>
  </si>
  <si>
    <t>Pricing Results</t>
  </si>
  <si>
    <t>Leg 2 : Label Value Block</t>
  </si>
  <si>
    <t>Leg 1 : Label Value Block</t>
  </si>
  <si>
    <t>Leg 2 : Float</t>
  </si>
  <si>
    <t>Leg 1 : Float</t>
  </si>
  <si>
    <t>Trade Details</t>
  </si>
  <si>
    <t>Tenor Basis Swaps</t>
  </si>
  <si>
    <t>ACT/365_ISDA</t>
  </si>
  <si>
    <t>ANNUAL</t>
  </si>
  <si>
    <t>NO_CHANGE</t>
  </si>
  <si>
    <t>CompoudingMethod</t>
  </si>
  <si>
    <t>GEOMETRIC</t>
  </si>
  <si>
    <t>SIMPLE</t>
  </si>
  <si>
    <t>MONTHLY</t>
  </si>
  <si>
    <t>LNB:NYB:TGT</t>
  </si>
  <si>
    <t>leg2Discount</t>
  </si>
  <si>
    <t>Schedule Generator</t>
  </si>
  <si>
    <t>Fixed Leg</t>
  </si>
  <si>
    <t>Float Leg</t>
  </si>
  <si>
    <t>Amortization</t>
  </si>
  <si>
    <t>&lt;&lt;&lt; Set to Zero for No Amortization</t>
  </si>
  <si>
    <t>Fixed Leg Specification</t>
  </si>
  <si>
    <t>Row</t>
  </si>
  <si>
    <t>AccrualDaycount</t>
  </si>
  <si>
    <t>AccrualFrequency</t>
  </si>
  <si>
    <t>PaymentFrequency</t>
  </si>
  <si>
    <t>FixingAdvanceOrArrear</t>
  </si>
  <si>
    <t>ADVANCE</t>
  </si>
  <si>
    <t>Float Leg Specification</t>
  </si>
  <si>
    <t>ScheduleType</t>
  </si>
  <si>
    <t>FIXED</t>
  </si>
  <si>
    <t>FLOAT</t>
  </si>
  <si>
    <t>Schedule Build Properties</t>
  </si>
  <si>
    <t>FloatSpread ( Bps )</t>
  </si>
  <si>
    <t>FixedRate ( % )</t>
  </si>
  <si>
    <t>Create LWO Schedules</t>
  </si>
  <si>
    <t>RESULTS</t>
  </si>
  <si>
    <t>SwapName</t>
  </si>
  <si>
    <t>LEG1:FIXED</t>
  </si>
  <si>
    <t>CREATE VARIABLE NOTIONAL SWAP</t>
  </si>
  <si>
    <t>LEG1: FIXED DEAL INFORMATION</t>
  </si>
  <si>
    <t>LEG2: FLOAT DEAL INFORMATION</t>
  </si>
  <si>
    <t>FixedLeg - CustomizedSchedule</t>
  </si>
  <si>
    <t>FloatLeg - CustomizedSchedule</t>
  </si>
  <si>
    <t>Number of Cashflows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</si>
  <si>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</si>
  <si>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</si>
  <si>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</si>
  <si>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</si>
  <si>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EUR3M6MBasis</t>
  </si>
  <si>
    <t>EUR1M3MBasis</t>
  </si>
  <si>
    <t>EUR6M12MBasis</t>
  </si>
  <si>
    <t>FN_BasisFUNC2</t>
  </si>
  <si>
    <t>Basis.interpolation.3m6mBasis</t>
  </si>
  <si>
    <t>EURBasisDISCOUNT</t>
  </si>
  <si>
    <t>CompoundingMethod</t>
  </si>
  <si>
    <t>ARITHMETIC</t>
  </si>
  <si>
    <t>Basis.interpolation.XccyBasis</t>
  </si>
  <si>
    <t>Amort Frequency</t>
  </si>
  <si>
    <t>Curve Calibration Check</t>
  </si>
  <si>
    <t>Fixed Leg Schedule</t>
  </si>
  <si>
    <t>FixingDate</t>
  </si>
  <si>
    <t>AccrualStart</t>
  </si>
  <si>
    <t>AccrualEnd</t>
  </si>
  <si>
    <t>AccrualDays</t>
  </si>
  <si>
    <t>AccrualYearFractions</t>
  </si>
  <si>
    <t>PaymentDate</t>
  </si>
  <si>
    <t>Needed to Verify Accrual Year Fractions</t>
  </si>
  <si>
    <t>Float Leg Schedule</t>
  </si>
  <si>
    <t xml:space="preserve">     TENOR BASIS SWAPS</t>
  </si>
  <si>
    <t xml:space="preserve">    SWAP PRICING</t>
  </si>
  <si>
    <r>
      <rPr>
        <sz val="11"/>
        <rFont val="Calibri"/>
        <family val="2"/>
        <scheme val="minor"/>
      </rPr>
      <t xml:space="preserve">&lt;&lt;&lt; </t>
    </r>
    <r>
      <rPr>
        <sz val="11"/>
        <color rgb="FF0000FF"/>
        <rFont val="Calibri"/>
        <family val="2"/>
        <scheme val="minor"/>
      </rPr>
      <t>Swap Definitions</t>
    </r>
    <r>
      <rPr>
        <sz val="11"/>
        <rFont val="Calibri"/>
        <family val="2"/>
        <scheme val="minor"/>
      </rPr>
      <t xml:space="preserve"> &gt;&gt;&gt;</t>
    </r>
  </si>
  <si>
    <t>LNB:TKB</t>
  </si>
  <si>
    <t>EUR_FixedSchedule</t>
  </si>
  <si>
    <t>EUR_FloatSchedule</t>
  </si>
  <si>
    <t>USD_FixedSchedule</t>
  </si>
  <si>
    <t>USD_FloatSchedule</t>
  </si>
  <si>
    <t>GBP_FixedSchedule</t>
  </si>
  <si>
    <t>GBP_FloatSchedule</t>
  </si>
  <si>
    <t>JPY_FixedSchedule</t>
  </si>
  <si>
    <t>JPY_FloatSchedule</t>
  </si>
  <si>
    <t>EUR_VNS</t>
  </si>
  <si>
    <t>USD_VNS</t>
  </si>
  <si>
    <t>GBP_VNS</t>
  </si>
  <si>
    <t>JPY_VNS</t>
  </si>
  <si>
    <t>CompoundMethod</t>
  </si>
  <si>
    <r>
      <t xml:space="preserve">&lt;&lt;&lt; </t>
    </r>
    <r>
      <rPr>
        <sz val="11"/>
        <color rgb="FF0000FF"/>
        <rFont val="Calibri"/>
        <family val="2"/>
        <scheme val="minor"/>
      </rPr>
      <t>Swap Description</t>
    </r>
    <r>
      <rPr>
        <sz val="11"/>
        <color theme="1"/>
        <rFont val="Calibri"/>
        <family val="2"/>
        <scheme val="minor"/>
      </rPr>
      <t xml:space="preserve"> &gt;&gt;&gt;</t>
    </r>
  </si>
  <si>
    <t xml:space="preserve">     OVERNIGHT INDEXED SWAPS</t>
  </si>
  <si>
    <t xml:space="preserve">    SWAP CASHFLOWS</t>
  </si>
  <si>
    <t>ASSET SWAP CASHFLOWS</t>
  </si>
  <si>
    <t>USSO1 CMPN Curncy</t>
  </si>
  <si>
    <t>USD SWAP OIS        1 YR</t>
  </si>
  <si>
    <t>EONIA Swaps</t>
  </si>
  <si>
    <t>SONIA Swaps</t>
  </si>
  <si>
    <t>Fed Fund Swaps</t>
  </si>
  <si>
    <t>JPY OIS</t>
  </si>
  <si>
    <t>Leg1:Fixed</t>
  </si>
  <si>
    <t>Leg2:Float</t>
  </si>
  <si>
    <t>NORMAL</t>
  </si>
  <si>
    <t>Generator List</t>
  </si>
  <si>
    <t>Generator</t>
  </si>
  <si>
    <t>PayRecLeg1</t>
  </si>
  <si>
    <t>Curve</t>
  </si>
  <si>
    <t>START_AND_END</t>
  </si>
  <si>
    <t>DealName</t>
  </si>
  <si>
    <t>Deal Information</t>
  </si>
  <si>
    <t xml:space="preserve">     STANDARD SWAP GENERATORS</t>
  </si>
  <si>
    <t>Filepath</t>
  </si>
  <si>
    <t>Folder</t>
  </si>
  <si>
    <t>Filename</t>
  </si>
  <si>
    <t>C:\Temp\</t>
  </si>
  <si>
    <t>Save Swap</t>
  </si>
  <si>
    <t>Enable</t>
  </si>
  <si>
    <t>Save</t>
  </si>
  <si>
    <t>ObjectName</t>
  </si>
  <si>
    <t>ObjectType</t>
  </si>
  <si>
    <t>Load Swap</t>
  </si>
  <si>
    <t>Load</t>
  </si>
  <si>
    <t>Save &amp; Load Settings</t>
  </si>
  <si>
    <t>CUSTOMIZED SWAPS</t>
  </si>
  <si>
    <t>Clear Curves &amp; Object Cache</t>
  </si>
  <si>
    <t>PayReceiveFixed</t>
  </si>
  <si>
    <t>EUR Custom Swap</t>
  </si>
  <si>
    <t>USD Custom Swap</t>
  </si>
  <si>
    <t>MHIS</t>
  </si>
  <si>
    <t>EUSA2 MHIS Curncy</t>
  </si>
  <si>
    <t>EUSA3 MHIS Curncy</t>
  </si>
  <si>
    <t>EUSA4 MHIS Curncy</t>
  </si>
  <si>
    <t>EUSA5 MHIS Curncy</t>
  </si>
  <si>
    <t>EUSA6 MHIS Curncy</t>
  </si>
  <si>
    <t>EUSA7 MHIS Curncy</t>
  </si>
  <si>
    <t>EUSA8 MHIS Curncy</t>
  </si>
  <si>
    <t>EUSA9 MHIS Curncy</t>
  </si>
  <si>
    <t>EUSA10 MHIS Curncy</t>
  </si>
  <si>
    <t>EUSA11 MHIS Curncy</t>
  </si>
  <si>
    <t>EUSA12 MHIS Curncy</t>
  </si>
  <si>
    <t>EUSA15 MHIS Curncy</t>
  </si>
  <si>
    <t>EUSA20 MHIS Curncy</t>
  </si>
  <si>
    <t>EUSA25 MHIS Curncy</t>
  </si>
  <si>
    <t>EUSA30 MHIS Curncy</t>
  </si>
  <si>
    <t>EUSA40 MHIS Curncy</t>
  </si>
  <si>
    <t>EUSA50 MHIS Curncy</t>
  </si>
  <si>
    <t>EUSW11V3 MHIS Curncy</t>
  </si>
  <si>
    <t>EUSW12V3 MHIS Curncy</t>
  </si>
  <si>
    <t>EUSW15V3 MHIS Curncy</t>
  </si>
  <si>
    <t>EUSW20V3 MHIS Curncy</t>
  </si>
  <si>
    <t>EUSW25V3 MHIS Curncy</t>
  </si>
  <si>
    <t>EUSW30V3 MHIS Curncy</t>
  </si>
  <si>
    <t>EUSW40V3 MHIS Curncy</t>
  </si>
  <si>
    <t>EUSW50V3 MHIS Curncy</t>
  </si>
  <si>
    <t>EUSW2V3 MHIS Curncy</t>
  </si>
  <si>
    <t>EUSW3V3 MHIS Curncy</t>
  </si>
  <si>
    <t>EUSW4V3 MHIS Curncy</t>
  </si>
  <si>
    <t>EUSW5V3 MHIS Curncy</t>
  </si>
  <si>
    <t>EUSW6V3 MHIS Curncy</t>
  </si>
  <si>
    <t>EUSW7V3 MHIS Curncy</t>
  </si>
  <si>
    <t>EUSW8V3 MHIS Curncy</t>
  </si>
  <si>
    <t>EUSW9V3 MHIS Curncy</t>
  </si>
  <si>
    <t>EUSW10V3 MHIS Curncy</t>
  </si>
  <si>
    <t>EUSF3A ICPL Curncy</t>
  </si>
  <si>
    <t>EONIA FWD 3RD ECB</t>
  </si>
  <si>
    <t>EUSF4A ICPL Curncy</t>
  </si>
  <si>
    <t>EONIA FWD 4TH ECB</t>
  </si>
  <si>
    <t>EUR: SWAP CURVE</t>
  </si>
  <si>
    <t>EffectiveDateOrLag</t>
  </si>
  <si>
    <t>EUR_IRS_AB6</t>
  </si>
  <si>
    <t>EUR_BASIS_3X6</t>
  </si>
  <si>
    <t>EUR_BASIS_6X12</t>
  </si>
  <si>
    <t>EUR_IMM_AB3</t>
  </si>
  <si>
    <t>Leg1</t>
  </si>
  <si>
    <t>Leg2</t>
  </si>
  <si>
    <t>First Fixing</t>
  </si>
  <si>
    <t>FirstFixingLag</t>
  </si>
  <si>
    <t>MTM</t>
  </si>
  <si>
    <t>CollateralCurrency</t>
  </si>
  <si>
    <t>ValuationCurrency</t>
  </si>
  <si>
    <t>FxRate</t>
  </si>
  <si>
    <t>NotionalFxResetLeg</t>
  </si>
  <si>
    <t>SwapProperties</t>
  </si>
  <si>
    <t>CreateXccy</t>
  </si>
  <si>
    <t>Effective</t>
  </si>
  <si>
    <t>FirstFix</t>
  </si>
  <si>
    <t>LastFix</t>
  </si>
  <si>
    <t>Fixed/Float</t>
  </si>
  <si>
    <t>Ccy</t>
  </si>
  <si>
    <t>SwapInfo</t>
  </si>
  <si>
    <t>isMtM</t>
  </si>
  <si>
    <t>Collateral</t>
  </si>
  <si>
    <t>Valuation</t>
  </si>
  <si>
    <t>SpotFX</t>
  </si>
  <si>
    <t>Dates</t>
  </si>
  <si>
    <t>Leg1:Float or Leg2:Float</t>
  </si>
  <si>
    <t>Curve1</t>
  </si>
  <si>
    <t>Curve2</t>
  </si>
  <si>
    <t>Xccy Spread</t>
  </si>
  <si>
    <t>Bps</t>
  </si>
  <si>
    <t>Create Xccy Swap</t>
  </si>
  <si>
    <t>Pricing</t>
  </si>
  <si>
    <t>Curve Calibration</t>
  </si>
  <si>
    <t>Cashflows</t>
  </si>
  <si>
    <t>Select Deal &gt;&gt;&gt;</t>
  </si>
  <si>
    <t>XCCY SWAPS</t>
  </si>
  <si>
    <t xml:space="preserve">     VARIABLE NOTIONAL SWAPS</t>
  </si>
  <si>
    <t>EUR-USD Xccy Swaps</t>
  </si>
  <si>
    <t>Cashflow Info</t>
  </si>
  <si>
    <t>Rate/Spread</t>
  </si>
  <si>
    <t>BBG EUR/USD</t>
  </si>
  <si>
    <t>GBP_BASIS_3X6</t>
  </si>
  <si>
    <t>GenerateForwardsFromSwapsOnly</t>
  </si>
  <si>
    <t>FN_LINEARINTERPOLATION</t>
  </si>
  <si>
    <t>EUR_OIS</t>
  </si>
  <si>
    <t>GBP_12ML</t>
  </si>
  <si>
    <t>EUR_1ML</t>
  </si>
  <si>
    <t>GBP_6ML</t>
  </si>
  <si>
    <t>GBP_BASIS_1X3</t>
  </si>
  <si>
    <t>Leg1:FLOAT</t>
  </si>
  <si>
    <t>Leg2:FLOAT</t>
  </si>
  <si>
    <t>SwapPropertiesLVB</t>
  </si>
  <si>
    <t>SwapLegsLVB</t>
  </si>
  <si>
    <t>Curves</t>
  </si>
  <si>
    <t>ParSpread</t>
  </si>
  <si>
    <t>LegPV</t>
  </si>
  <si>
    <t>More Deals</t>
  </si>
  <si>
    <t>Structure PV</t>
  </si>
  <si>
    <t>Select Deal</t>
  </si>
  <si>
    <t>Deal List</t>
  </si>
  <si>
    <t>Display Cashflows</t>
  </si>
  <si>
    <t>Create Xccy Swap(s)</t>
  </si>
  <si>
    <t>FirstStubCurveIndex</t>
  </si>
  <si>
    <t>LastStubCurveIndex</t>
  </si>
  <si>
    <t>NATURAL</t>
  </si>
  <si>
    <t>JPY FRA (LIBOR)     2X8</t>
  </si>
  <si>
    <t>JPY FRA (LIBOR)     3X9</t>
  </si>
  <si>
    <t>JPY FRA (LIBOR)     4X10</t>
  </si>
  <si>
    <t>JPY FRA (LIBOR)     5X11</t>
  </si>
  <si>
    <t>JPY FRA (LIBOR)     6X12</t>
  </si>
  <si>
    <t>PayRec</t>
  </si>
  <si>
    <t>EUR/USD Used</t>
  </si>
  <si>
    <t>isFwdInterp</t>
  </si>
  <si>
    <t>FN_SPLINEINTERPOLATION</t>
  </si>
  <si>
    <t>Par Spread</t>
  </si>
  <si>
    <t>FN_LINEARSPLINEINTERPOLATION</t>
  </si>
  <si>
    <t>MTRT</t>
  </si>
  <si>
    <t>JYSW35 MTRT Curncy</t>
  </si>
  <si>
    <t>JYSW40 MTRT Curncy</t>
  </si>
  <si>
    <t>JYSO7 MTRT Curncy</t>
  </si>
  <si>
    <t>JYSO8 MTRT Curncy</t>
  </si>
  <si>
    <t>JYSO9 MTRT Curncy</t>
  </si>
  <si>
    <t>JYSO10 MTRT Curncy</t>
  </si>
  <si>
    <t>JYSO11 MTRT Curncy</t>
  </si>
  <si>
    <t>JYSO12 MTRT Curncy</t>
  </si>
  <si>
    <t>JYSO15 MTRT Curncy</t>
  </si>
  <si>
    <t>JYSO20 MTRT Curncy</t>
  </si>
  <si>
    <t>JYSO25 MTRT Curncy</t>
  </si>
  <si>
    <t>JYSO30 MTRT Curncy</t>
  </si>
  <si>
    <t>JYSWAP6 MTRT Curncy</t>
  </si>
  <si>
    <t>JYSWAP7 MTRT Curncy</t>
  </si>
  <si>
    <t>JYSWAP8 MTRT Curncy</t>
  </si>
  <si>
    <t>JYSWAP9 MTRT Curncy</t>
  </si>
  <si>
    <t>JYSWAP10 MTRT Curncy</t>
  </si>
  <si>
    <t>JYSWAP12 MTRT Curncy</t>
  </si>
  <si>
    <t>JYSW15 MTRT Curncy</t>
  </si>
  <si>
    <t>JYSW20 MTRT Curncy</t>
  </si>
  <si>
    <t>JYSW25 MTRT Curncy</t>
  </si>
  <si>
    <t>JYSW30 MTRT Curncy</t>
  </si>
  <si>
    <t>MUTSCALM MTRT Index</t>
  </si>
  <si>
    <t>JYSOA MTRT Curncy</t>
  </si>
  <si>
    <t>JYSOC MTRT Curncy</t>
  </si>
  <si>
    <t>JYSOF MTRT Curncy</t>
  </si>
  <si>
    <t>JYSO1 MTRT Curncy</t>
  </si>
  <si>
    <t>JYSO2 MTRT Curncy</t>
  </si>
  <si>
    <t>JYSO3 MTRT Curncy</t>
  </si>
  <si>
    <t>JYSO4 MTRT Curncy</t>
  </si>
  <si>
    <t>JYSO5 MTRT Curncy</t>
  </si>
  <si>
    <t>JYSO6 MTRT Curncy</t>
  </si>
  <si>
    <t>JY0006M MTRT Index</t>
  </si>
  <si>
    <t>JYFR2/8 MTRT Curncy</t>
  </si>
  <si>
    <t>JYFR3/9 MTRT Curncy</t>
  </si>
  <si>
    <t>JYFR4/10 MTRT Curncy</t>
  </si>
  <si>
    <t>JYFR5/11 MTRT Curncy</t>
  </si>
  <si>
    <t>JYFR6/12 MTRT Curncy</t>
  </si>
  <si>
    <t>JYSWAP2 MTRT Curncy</t>
  </si>
  <si>
    <t>JYSWAP3 MTRT Curncy</t>
  </si>
  <si>
    <t>JYSWAP4 MTRT Curncy</t>
  </si>
  <si>
    <t>JYSWAP5 MTRT Curncy</t>
  </si>
  <si>
    <t>JYBC11 MTRT Curncy</t>
  </si>
  <si>
    <t>JYBC12 MTRT Curncy</t>
  </si>
  <si>
    <t>JYBC15 MTRT Curncy</t>
  </si>
  <si>
    <t>JYBC20 MTRT Curncy</t>
  </si>
  <si>
    <t>JYBC25 MTRT Curncy</t>
  </si>
  <si>
    <t>JYBC30 MTRT Curncy</t>
  </si>
  <si>
    <t>JYBC40 MTRT Curncy</t>
  </si>
  <si>
    <t>JYBB12 MTRT Curncy</t>
  </si>
  <si>
    <t>JYBB15 MTRT Curncy</t>
  </si>
  <si>
    <t>JYBB20 MTRT Curncy</t>
  </si>
  <si>
    <t>JYBB25 MTRT Curncy</t>
  </si>
  <si>
    <t>JYBB30 MTRT Curncy</t>
  </si>
  <si>
    <t>JYBB40 MTRT Curncy</t>
  </si>
  <si>
    <t>JYBC1 MTRT Curncy</t>
  </si>
  <si>
    <t>JYBC2 MTRT Curncy</t>
  </si>
  <si>
    <t>JYBC3 MTRT Curncy</t>
  </si>
  <si>
    <t>JYBC4 MTRT Curncy</t>
  </si>
  <si>
    <t>JYBC5 MTRT Curncy</t>
  </si>
  <si>
    <t>JYBC6 MTRT Curncy</t>
  </si>
  <si>
    <t>JYBC7 MTRT Curncy</t>
  </si>
  <si>
    <t>JYBC8 MTRT Curncy</t>
  </si>
  <si>
    <t>JYBC9 MTRT Curncy</t>
  </si>
  <si>
    <t>JYBC10 MTRT Curncy</t>
  </si>
  <si>
    <t>JYBB1 MTRT Curncy</t>
  </si>
  <si>
    <t>JYBB2 MTRT Curncy</t>
  </si>
  <si>
    <t>JYBB3 MTRT Curncy</t>
  </si>
  <si>
    <t>JYBB4 MTRT Curncy</t>
  </si>
  <si>
    <t>JYBB5 MTRT Curncy</t>
  </si>
  <si>
    <t>JYBB6 MTRT Curncy</t>
  </si>
  <si>
    <t>JYBB7 MTRT Curncy</t>
  </si>
  <si>
    <t>JYBB8 MTRT Curncy</t>
  </si>
  <si>
    <t>JYBB9 MTRT Curncy</t>
  </si>
  <si>
    <t>JYBB10 MTRT Curncy</t>
  </si>
  <si>
    <t>JYBS11 MTRT Curncy</t>
  </si>
  <si>
    <t>JYBS12 MTRT Curncy</t>
  </si>
  <si>
    <t>JYBS13 MTRT Curncy</t>
  </si>
  <si>
    <t>JYBS14 MTRT Curncy</t>
  </si>
  <si>
    <t>JYBS15 MTRT Curncy</t>
  </si>
  <si>
    <t>JYBS20 MTRT Curncy</t>
  </si>
  <si>
    <t>JYBS25 MTRT Curncy</t>
  </si>
  <si>
    <t>JYBS30 MTRT Curncy</t>
  </si>
  <si>
    <t>JYBS1 MTRT Curncy</t>
  </si>
  <si>
    <t>JYBS2 MTRT Curncy</t>
  </si>
  <si>
    <t>JYBS3 MTRT Curncy</t>
  </si>
  <si>
    <t>JYBS4 MTRT Curncy</t>
  </si>
  <si>
    <t>JYBS5 MTRT Curncy</t>
  </si>
  <si>
    <t>JYBS6 MTRT Curncy</t>
  </si>
  <si>
    <t>JYBS7 MTRT Curncy</t>
  </si>
  <si>
    <t>JYBS8 MTRT Curncy</t>
  </si>
  <si>
    <t>JYBS9 MTRT Curncy</t>
  </si>
  <si>
    <t>JYBS10 MTRT Curncy</t>
  </si>
  <si>
    <t>5Y1M</t>
  </si>
  <si>
    <t>CalibrationLookup1</t>
  </si>
  <si>
    <t>CalibrationLookup2</t>
  </si>
  <si>
    <t>AmortFrequency</t>
  </si>
  <si>
    <t>YLD_YTM_BID</t>
  </si>
  <si>
    <t>YLD_YTM_ASK</t>
  </si>
  <si>
    <t>BAD_FLD: Field not applicable to security</t>
  </si>
  <si>
    <t>EUR SWAP (EONIA)  1Y</t>
  </si>
  <si>
    <t>EUR SWAP (EONIA) 18M</t>
  </si>
  <si>
    <t>EUR SWAP (EONIA)  2Y</t>
  </si>
  <si>
    <t>EUR SWAP (EONIA)  3Y</t>
  </si>
  <si>
    <t>EUR SWAP (EONIA)  4Y</t>
  </si>
  <si>
    <t>EUR SWAP (EONIA)  5Y</t>
  </si>
  <si>
    <t>EUR SWAP (EONIA)  6Y</t>
  </si>
  <si>
    <t>EUR SWAP (EONIA)  7Y</t>
  </si>
  <si>
    <t>EUR SWAP (EONIA)  8Y</t>
  </si>
  <si>
    <t>EUR SWAP (EONIA)  9Y</t>
  </si>
  <si>
    <t>EUR SWAP (EONIA) 10Y</t>
  </si>
  <si>
    <t>EUR SWAP (EONIA) 11Y</t>
  </si>
  <si>
    <t>EUR SWAP (EONIA) 12Y</t>
  </si>
  <si>
    <t>EUR SWAP (EONIA) 15Y</t>
  </si>
  <si>
    <t>EUR SWAP (EONIA) 20Y</t>
  </si>
  <si>
    <t>EUR SWAP ANN (VS 3M) 10Y</t>
  </si>
  <si>
    <t>EUR SWAP ANN (VS 3M) 11Y</t>
  </si>
  <si>
    <t>EUR SWAP ANN (VS 3M) 12Y</t>
  </si>
  <si>
    <t>EUR SWAP ANN (VS 3M) 15Y</t>
  </si>
  <si>
    <t>EUR SWAP ANN (VS 3M) 20Y</t>
  </si>
  <si>
    <t>EUR SWAP ANN (VS 3M) 25Y</t>
  </si>
  <si>
    <t>EUR SWAP ANN (VS 3M) 30Y</t>
  </si>
  <si>
    <t>EUR SWAP ANN (VS 3M) 40Y</t>
  </si>
  <si>
    <t>EUR SWAP ANN (VS 3M) 50Y</t>
  </si>
  <si>
    <t>EUR SWAP ANN (VS 6M) 2Y</t>
  </si>
  <si>
    <t>EUR SWAP ANN (VS 6M) 3Y</t>
  </si>
  <si>
    <t>EUR SWAP ANN (VS 6M) 4Y</t>
  </si>
  <si>
    <t>EUR SWAP ANN (VS 6M) 5Y</t>
  </si>
  <si>
    <t>EUR SWAP ANN (VS 6M) 6Y</t>
  </si>
  <si>
    <t>EUR SWAP ANN (VS 6M) 7Y</t>
  </si>
  <si>
    <t>EUR SWAP ANN (VS 6M) 8Y</t>
  </si>
  <si>
    <t>EUR SWAP ANN (VS 6M) 9Y</t>
  </si>
  <si>
    <t>EUR SWAP ANN (VS 3M) 2Y</t>
  </si>
  <si>
    <t>EUR SWAP ANN (VS 3M) 3Y</t>
  </si>
  <si>
    <t>EUR SWAP ANN (VS 3M) 4Y</t>
  </si>
  <si>
    <t>EUR SWAP ANN (VS 3M) 5Y</t>
  </si>
  <si>
    <t>EUR SWAP ANN (VS 3M) 6Y</t>
  </si>
  <si>
    <t>EUR SWAP ANN (VS 3M) 7Y</t>
  </si>
  <si>
    <t>EUR SWAP ANN (VS 3M) 8Y</t>
  </si>
  <si>
    <t>EUR SWAP ANN (VS 3M) 9Y</t>
  </si>
  <si>
    <t>EUR SWAP (EONIA) 25Y</t>
  </si>
  <si>
    <t>EUR SWAP (EONIA) 30Y</t>
  </si>
  <si>
    <t>EUR SWAP (EONIA) 35Y</t>
  </si>
  <si>
    <t>EUR SWAP (EONIA) 40Y</t>
  </si>
  <si>
    <t>EUR SWAP (EONIA) 50Y</t>
  </si>
  <si>
    <t>EUR SWAP ANN (VS 6M) 10Y</t>
  </si>
  <si>
    <t>EUR SWAP ANN (VS 6M) 11Y</t>
  </si>
  <si>
    <t>EUR SWAP ANN (VS 6M) 12Y</t>
  </si>
  <si>
    <t>EUR SWAP ANN (VS 6M) 15Y</t>
  </si>
  <si>
    <t>EUR SWAP ANN (VS 6M) 20Y</t>
  </si>
  <si>
    <t>EUR SWAP ANN (VS 6M) 25Y</t>
  </si>
  <si>
    <t>EUR SWAP ANN (VS 6M) 30Y</t>
  </si>
  <si>
    <t>EUR SWAP ANN (VS 6M) 40Y</t>
  </si>
  <si>
    <t>EUR SWAP ANN (VS 6M) 50Y</t>
  </si>
  <si>
    <t>EUR-USD XCCY BASIS 1Y</t>
  </si>
  <si>
    <t>EUR-USD XCCY BASIS 2Y</t>
  </si>
  <si>
    <t>EUR-USD XCCY BASIS 3Y</t>
  </si>
  <si>
    <t>EUR-USD XCCY BASIS 4Y</t>
  </si>
  <si>
    <t>EUR-USD XCCY BASIS 5Y</t>
  </si>
  <si>
    <t>EUR-USD XCCY BASIS 6Y</t>
  </si>
  <si>
    <t>EUR-USD XCCY BASIS 7Y</t>
  </si>
  <si>
    <t>EUR-USD XCCY BASIS 8Y</t>
  </si>
  <si>
    <t>EUR-USD XCCY BASIS 9Y</t>
  </si>
  <si>
    <t>EUR-USD XCCY BASIS 10Y</t>
  </si>
  <si>
    <t>EUR-USD XCCY BASIS 11Y</t>
  </si>
  <si>
    <t>EUR-USD XCCY BASIS 12Y</t>
  </si>
  <si>
    <t>EUR-USD XCCY BASIS 13Y</t>
  </si>
  <si>
    <t>EUR-USD XCCY BASIS 14Y</t>
  </si>
  <si>
    <t>EUR-USD XCCY BASIS 15Y</t>
  </si>
  <si>
    <t>EUR-USD XCCY BASIS 20Y</t>
  </si>
  <si>
    <t>EUR-USD XCCY BASIS 25Y</t>
  </si>
  <si>
    <t>EUR-USD XCCY BASIS 30Y</t>
  </si>
  <si>
    <t>GBP SWAP SA (VS 6M) 2Y</t>
  </si>
  <si>
    <t>GBP SWAP (vs SONIA) 8Y</t>
  </si>
  <si>
    <t>GBP SWAP (vs SONIA) 9Y</t>
  </si>
  <si>
    <t>GBP SWAP (vs SONIA) 10Y</t>
  </si>
  <si>
    <t>GBP SWAP (vs SONIA) 12Y</t>
  </si>
  <si>
    <t>GBP SWAP (vs SONIA) 15Y</t>
  </si>
  <si>
    <t>GBP SWAP (vs SONIA) 20Y</t>
  </si>
  <si>
    <t>GBP SWAP (vs SONIA) 25Y</t>
  </si>
  <si>
    <t>GBP SWAP (vs SONIA) 30Y</t>
  </si>
  <si>
    <t>GBP SWAP (vs SONIA) 40Y</t>
  </si>
  <si>
    <t>GBP SWAP (vs SONIA) 50Y</t>
  </si>
  <si>
    <t>GBP SWAP SA (VS 6M) 20Y</t>
  </si>
  <si>
    <t>GBP SWAP SA (VS 6M) 25Y</t>
  </si>
  <si>
    <t>GBP SWAP SA (VS 6M) 30Y</t>
  </si>
  <si>
    <t>GBP SWAP SA (VS 6M) 40Y</t>
  </si>
  <si>
    <t>GBP SWAP SA (VS 6M) 50Y</t>
  </si>
  <si>
    <t>GBP SWAP (vs SONIA) 1M</t>
  </si>
  <si>
    <t>GBP SWAP (vs SONIA) 3M</t>
  </si>
  <si>
    <t>GBP SWAP (vs SONIA) 6M</t>
  </si>
  <si>
    <t>GBP SWAP (vs SONIA) 1Y</t>
  </si>
  <si>
    <t>GBP SWAP (vs SONIA) 3Y</t>
  </si>
  <si>
    <t>GBP SWAP (vs SONIA) 4Y</t>
  </si>
  <si>
    <t>GBP SWAP (vs SONIA) 5Y</t>
  </si>
  <si>
    <t>GBP SWAP (vs SONIA) 6Y</t>
  </si>
  <si>
    <t>GBP SWAP (vs SONIA) 7Y</t>
  </si>
  <si>
    <t>GBP SWAP SA (VS 6M) 3Y</t>
  </si>
  <si>
    <t>GBP SWAP SA (VS 6M) 4Y</t>
  </si>
  <si>
    <t>GBP SWAP SA (VS 6M) 5Y</t>
  </si>
  <si>
    <t>GBP SWAP SA (VS 6M) 6Y</t>
  </si>
  <si>
    <t>GBP SWAP SA (VS 6M) 7Y</t>
  </si>
  <si>
    <t>GBP SWAP SA (VS 6M) 8Y</t>
  </si>
  <si>
    <t>GBP SWAP SA (VS 6M) 9Y</t>
  </si>
  <si>
    <t>GBP SWAP SA (VS 6M) 10Y</t>
  </si>
  <si>
    <t>GBP SWAP SA (VS 6M) 12Y</t>
  </si>
  <si>
    <t>GBP SWAP SA (VS 6M) 15Y</t>
  </si>
  <si>
    <t>JPY SWAP SA 35Y</t>
  </si>
  <si>
    <t>JPY SWAP SA 40Y</t>
  </si>
  <si>
    <t>JPY SWAP SA 2Y</t>
  </si>
  <si>
    <t>JPY SWAP SA 3Y</t>
  </si>
  <si>
    <t>JPY SWAP SA 4Y</t>
  </si>
  <si>
    <t>JPY SWAP SA 5Y</t>
  </si>
  <si>
    <t>JPY SWAP SA 6Y</t>
  </si>
  <si>
    <t>JPY SWAP SA 7Y</t>
  </si>
  <si>
    <t>JPY SWAP SA 8Y</t>
  </si>
  <si>
    <t>JPY SWAP SA 9Y</t>
  </si>
  <si>
    <t>JPY SWAP SA 10Y</t>
  </si>
  <si>
    <t>JPY SWAP SA 12Y</t>
  </si>
  <si>
    <t>JPY SWAP SA 15Y</t>
  </si>
  <si>
    <t>JPY SWAP SA 20Y</t>
  </si>
  <si>
    <t>JPY SWAP SA 25Y</t>
  </si>
  <si>
    <t>JPY SWAP SA 30Y</t>
  </si>
  <si>
    <t>Requested ISIN1: DE0001102390 Govt @ 13:26:10</t>
  </si>
  <si>
    <t>Requested ISIN2: NL0011819040 Govt @ 13:26:10</t>
  </si>
  <si>
    <t>Requested ISIN3: FR0013131877 Govt @ 13:26:10</t>
  </si>
  <si>
    <t>Requested ISIN4: ES00000127Z9 Govt @ 13:26:10</t>
  </si>
  <si>
    <t>Requested ISIN5: IT0005170839 Govt @ 13:26:10</t>
  </si>
  <si>
    <t>Requested ISIN6: GR0128013704 Govt @ 13:26:10</t>
  </si>
  <si>
    <t>Requested ISIN1: US912828R937 Govt @ 13:26:15</t>
  </si>
  <si>
    <t>Requested ISIN2: US912828S430 Govt @ 13:26:15</t>
  </si>
  <si>
    <t>Requested ISIN3: US912828S273 Govt @ 13:26:15</t>
  </si>
  <si>
    <t>Requested ISIN4: US912828S356 Govt @ 13:26:15</t>
  </si>
  <si>
    <t>Requested ISIN5: US912828R366 Govt @ 13:26:15</t>
  </si>
  <si>
    <t>Requested ISIN6: US912810RS96 Govt @ 13:26:15</t>
  </si>
  <si>
    <t>Requested ISIN1: GB00B8KP6M44 Govt @ 13:26:21</t>
  </si>
  <si>
    <t>Requested ISIN2: GB00BDV0F150 Govt @ 13:26:21</t>
  </si>
  <si>
    <t>Requested ISIN3: GB00BYY5F581 Govt @ 13:26:21</t>
  </si>
  <si>
    <t>Requested ISIN4: GB00B7Z53659 Govt @ 13:26:21</t>
  </si>
  <si>
    <t>Requested ISIN5: GB00BTHH2R79 Govt @ 13:26:21</t>
  </si>
  <si>
    <t>Requested ISIN6: GB00BN65R313 Govt @ 13:26:21</t>
  </si>
  <si>
    <t>Requested ISIN1: JP1023661G75 Govt @ 13:26:25</t>
  </si>
  <si>
    <t>Requested ISIN2: JP1103021976 Govt @ 13:26:25</t>
  </si>
  <si>
    <t>Requested ISIN3: JP1051281G68 Govt @ 13:26:25</t>
  </si>
  <si>
    <t>Requested ISIN4: JP1103291D68 Govt @ 13:26:25</t>
  </si>
  <si>
    <t>Requested ISIN5: JP1103431G66 Govt @ 13:26:25</t>
  </si>
  <si>
    <t>Requested ISIN6: JP1300511G61 Govt @ 13:26:25</t>
  </si>
  <si>
    <t>Requested ISIN1: JP1300511G61 Govt @ 13:26:57</t>
  </si>
  <si>
    <t>Requested ISIN1: GB00BN65R313 Govt @ 13:27:05</t>
  </si>
  <si>
    <t>Requested ISIN1: US912810RS96 Govt @ 13:27:12</t>
  </si>
  <si>
    <t>Requested ISIN1: DE0001102390 Govt @ 13:27:16</t>
  </si>
  <si>
    <t>SONIA O/N Deposit Rates Swap</t>
  </si>
  <si>
    <t>OISFIXINGS</t>
  </si>
  <si>
    <t>LIBOROISBASISSPREADS</t>
  </si>
  <si>
    <t>SWAPS</t>
  </si>
  <si>
    <t>LCH = JSCC + Spread</t>
  </si>
  <si>
    <t>JSCC Outright</t>
  </si>
  <si>
    <t>JSCC-LCH Par Spread</t>
  </si>
  <si>
    <t>LIBORFIXINGS</t>
  </si>
  <si>
    <t>FRAS</t>
  </si>
  <si>
    <t>FUTURES</t>
  </si>
  <si>
    <t>TRUE</t>
  </si>
  <si>
    <t>1x7</t>
  </si>
  <si>
    <t>2x8</t>
  </si>
  <si>
    <t>3x9</t>
  </si>
  <si>
    <t>MARKETDATAPROPERTIES</t>
  </si>
  <si>
    <t>CurveType</t>
  </si>
  <si>
    <t>CurveIndexFrequency</t>
  </si>
  <si>
    <t>DAILY</t>
  </si>
  <si>
    <t>Create Market Data Handle</t>
  </si>
  <si>
    <t>Handle Name</t>
  </si>
  <si>
    <t>Market Data Handle</t>
  </si>
  <si>
    <t>Curve Dictionary</t>
  </si>
  <si>
    <t>JPY_LCH_OIS_CURVE</t>
  </si>
  <si>
    <t>Curve Generator</t>
  </si>
  <si>
    <t>JPY_LCH_OIS</t>
  </si>
  <si>
    <t>Domestic Curve Collection</t>
  </si>
  <si>
    <t>JPYYC_LCH</t>
  </si>
  <si>
    <t>Foreign Curve Collection</t>
  </si>
  <si>
    <t>Curve Build</t>
  </si>
  <si>
    <t>Curve Collection</t>
  </si>
  <si>
    <t>Curve Index</t>
  </si>
  <si>
    <t>Calibration Time Taken</t>
  </si>
  <si>
    <t>JPY_LCH_SWAP_6M_CURVE</t>
  </si>
  <si>
    <t>JPY_LCH_SWAP_6M</t>
  </si>
  <si>
    <t>JPY_LCH_OIS_MKTDATA</t>
  </si>
  <si>
    <t>JPY_LCH_SWAP6M_MKTDATA</t>
  </si>
  <si>
    <t>Trade Dates</t>
  </si>
  <si>
    <t>Trade Booking &amp; Pricing</t>
  </si>
  <si>
    <t>Unadjusted Date!</t>
  </si>
  <si>
    <t>Swap Template</t>
  </si>
  <si>
    <t>JPY_6ML</t>
  </si>
  <si>
    <t>JPY SWAP 6ML ( JSCC )</t>
  </si>
  <si>
    <t>JPY SWAP 6ML ( LCH )</t>
  </si>
  <si>
    <t>TERM</t>
  </si>
  <si>
    <t>BBG</t>
  </si>
  <si>
    <t>JYMUON MTRT Curncy</t>
  </si>
  <si>
    <t>JYSO1Z MTRT Curncy</t>
  </si>
  <si>
    <t>JYSOB MTRT Curncy</t>
  </si>
  <si>
    <t>JYFR1/7 MTRT Curncy</t>
  </si>
  <si>
    <t>JYSOD MTRT Curncy</t>
  </si>
  <si>
    <t>JYSOE MTRT Curncy</t>
  </si>
  <si>
    <t>JYJSLC1 MTRT Curncy</t>
  </si>
  <si>
    <t>JYSW1 MTRT Curncy</t>
  </si>
  <si>
    <t>JYJSLC1F MTRT Curncy</t>
  </si>
  <si>
    <t>JYSOI MTRT Curncy</t>
  </si>
  <si>
    <t>JYSW1F MTRT Curncy</t>
  </si>
  <si>
    <t>JYJSLC2 MTRT Curncy</t>
  </si>
  <si>
    <t>JYSW2 MTRT Curncy</t>
  </si>
  <si>
    <t>JYJSLC3 MTRT Curncy</t>
  </si>
  <si>
    <t>JYSO1F MTRT Curncy</t>
  </si>
  <si>
    <t>JYSW3 MTRT Curncy</t>
  </si>
  <si>
    <t>JYJSLC4 MTRT Curncy</t>
  </si>
  <si>
    <t>JYSW4 MTRT Curncy</t>
  </si>
  <si>
    <t>JYJSLC5 MTRT Curncy</t>
  </si>
  <si>
    <t>JYSW5 MTRT Curncy</t>
  </si>
  <si>
    <t>JYJSLC6 MTRT Curncy</t>
  </si>
  <si>
    <t>JYSW6 MTRT Curncy</t>
  </si>
  <si>
    <t>JYJSLC7 MTRT Curncy</t>
  </si>
  <si>
    <t>JYSW7 MTRT Curncy</t>
  </si>
  <si>
    <t>JYJSLC8 MTRT Curncy</t>
  </si>
  <si>
    <t>JYSW8 MTRT Curncy</t>
  </si>
  <si>
    <t>JYJSLC9 MTRT Curncy</t>
  </si>
  <si>
    <t>JYSW9 MTRT Curncy</t>
  </si>
  <si>
    <t>JYJSLC10 MTRT Curncy</t>
  </si>
  <si>
    <t>JYSW10 MTRT Curncy</t>
  </si>
  <si>
    <t>JYJSLC12 MTRT Curncy</t>
  </si>
  <si>
    <t>JYSW12 MTRT Curncy</t>
  </si>
  <si>
    <t>JYJSLC15 MTRT Curncy</t>
  </si>
  <si>
    <t>JYJSLC20 MTRT Curncy</t>
  </si>
  <si>
    <t>JYJSLC25 MTRT Curncy</t>
  </si>
  <si>
    <t>JYJSLC30 MTRT Curncy</t>
  </si>
  <si>
    <t>JYJSLC35 MTRT Curncy</t>
  </si>
  <si>
    <t>JYJSLC40 MTRT Curncy</t>
  </si>
  <si>
    <t>JYSO35 MTRT Curncy</t>
  </si>
  <si>
    <t>JYSO40 MTRT Curncy</t>
  </si>
  <si>
    <t>JYBSL1 MTRT Curncy</t>
  </si>
  <si>
    <t>JYBSL1F MTRT Curncy</t>
  </si>
  <si>
    <t>JYBSL2 MTRT Curncy</t>
  </si>
  <si>
    <t>JYBSL3 MTRT Curncy</t>
  </si>
  <si>
    <t>JYBSL4 MTRT Curncy</t>
  </si>
  <si>
    <t>JYBSL5 MTRT Curncy</t>
  </si>
  <si>
    <t>JYBSL6 MTRT Curncy</t>
  </si>
  <si>
    <t>JYBSL7 MTRT Curncy</t>
  </si>
  <si>
    <t>JYBSL8 MTRT Curncy</t>
  </si>
  <si>
    <t>JYBSL9 MTRT Curncy</t>
  </si>
  <si>
    <t>JYBSL10 MTRT Curncy</t>
  </si>
  <si>
    <t>JYBSL12 MTRT Curncy</t>
  </si>
  <si>
    <t>JYBSL15 MTRT Curncy</t>
  </si>
  <si>
    <t>JYBSL20 MTRT Curncy</t>
  </si>
  <si>
    <t>JYBSL25 MTRT Curncy</t>
  </si>
  <si>
    <t>JYBSL30 MTRT Curncy</t>
  </si>
  <si>
    <t>JYBSL35 MTRT Curncy</t>
  </si>
  <si>
    <t>JYBSL40 MTRT Curncy</t>
  </si>
  <si>
    <r>
      <t xml:space="preserve">JPY-LCH Curve : </t>
    </r>
    <r>
      <rPr>
        <sz val="11"/>
        <color rgb="FFC00000"/>
        <rFont val="Calibri"/>
        <family val="2"/>
        <scheme val="minor"/>
      </rPr>
      <t>Curve Built ?</t>
    </r>
  </si>
  <si>
    <t>JY0001M Index</t>
  </si>
  <si>
    <t>JY0003M  Index</t>
  </si>
  <si>
    <t>JY0006M Index</t>
  </si>
  <si>
    <t>SWAPS: JPY6ML</t>
  </si>
  <si>
    <t>Calibration Instrument Repricing</t>
  </si>
  <si>
    <t>Requested EUR_OIS_CURVE @ 18:40:30</t>
  </si>
  <si>
    <t>Requested EUR_SWAP_CURVE @ 18:40:30</t>
  </si>
  <si>
    <t>Requested EUR_TENOR_BASIS_3X6 @ 18:40:30</t>
  </si>
  <si>
    <t>Requested EUR_TENOR_BASIS_1X3 @ 18:40:30</t>
  </si>
  <si>
    <t>Requested EUR_TENOR_BASIS_6X12 @ 18:40:30</t>
  </si>
  <si>
    <t>Requested EUR_XCCY_BASIS @ 18:40:30</t>
  </si>
  <si>
    <t>Requested USD_OIS_CURVE @ 18:40:30</t>
  </si>
  <si>
    <t>Requested USD_SWAP_CURVE @ 18:40:30</t>
  </si>
  <si>
    <t>Requested USD_TENOR_BASIS_3X6 @ 18:40:30</t>
  </si>
  <si>
    <t>Requested USD_TENOR_BASIS_1X3 @ 18:40:30</t>
  </si>
  <si>
    <t>Requested USD_TENOR_BASIS_3X12 @ 18:40:30</t>
  </si>
  <si>
    <t>Requested GBP_OIS_CURVE @ 18:40:30</t>
  </si>
  <si>
    <t>Requested GBP_SWAP_CURVE @ 18:40:30</t>
  </si>
  <si>
    <t>Requested GBP_TENOR_BASIS_3X6 @ 18:40:30</t>
  </si>
  <si>
    <t>Requested GBP_TENOR_BASIS_1X6 @ 18:40:30</t>
  </si>
  <si>
    <t>Requested GBP_TENOR_BASIS_6X12 @ 18:40:30</t>
  </si>
  <si>
    <t>Requested GBP_XCCY_BASIS @ 18:40:30</t>
  </si>
  <si>
    <t>Requested JPY_OIS_CURVE @ 18:40:30</t>
  </si>
  <si>
    <t>Requested JPY_SWAP_CURVE @ 18:40:30</t>
  </si>
  <si>
    <t>Requested JPY_TENOR_BASIS_3X6 @ 18:40:30</t>
  </si>
  <si>
    <t>Requested JPY_TENOR_BASIS_1X6 @ 18:40:30</t>
  </si>
  <si>
    <t>Requested JPY_XCCY_BASIS @ 18:40:30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</si>
</sst>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164" formatCode="_-* #,##0_-;\-* #,##0_-;_-* &quot;-&quot;_-;_-@_-"/>
    <numFmt numFmtId="165" formatCode="_-* #,##0.00_-;\-* #,##0.00_-;_-* &quot;-&quot;??_-;_-@_-"/>
    <numFmt numFmtId="166" formatCode="_(&quot;$&quot;* #,##0_);_(&quot;$&quot;* \(#,##0\);_(&quot;$&quot;* &quot;-&quot;_);_(@_)"/>
    <numFmt numFmtId="167" formatCode="_(&quot;$&quot;* #,##0.00_);_(&quot;$&quot;* \(#,##0.00\);_(&quot;$&quot;* &quot;-&quot;??_);_(@_)"/>
    <numFmt numFmtId="168" formatCode="0.000%"/>
    <numFmt numFmtId="169" formatCode="#,##0.00000"/>
    <numFmt numFmtId="170" formatCode="#,##0.0000"/>
    <numFmt numFmtId="171" formatCode="0.0000%"/>
    <numFmt numFmtId="172" formatCode="0.00000%"/>
    <numFmt numFmtId="173" formatCode="dd/m/yy"/>
    <numFmt numFmtId="174" formatCode="dd\-mmm\-yy;dd\-mmm\-yy;"/>
    <numFmt numFmtId="175" formatCode="_ * #,##0_ ;_ * \-#,##0_ ;_ * &quot;-&quot;_ ;_ @_ "/>
    <numFmt numFmtId="176" formatCode="ddd\,\ dd\-mmm\-yy"/>
    <numFmt numFmtId="177" formatCode="ddd\ d\-mmm\-yy"/>
    <numFmt numFmtId="178" formatCode="0.000"/>
    <numFmt numFmtId="179" formatCode="0.00000%;[Red]\-0.00000%"/>
    <numFmt numFmtId="180" formatCode="#,##0_ ;[Red]\-#,##0\ "/>
    <numFmt numFmtId="181" formatCode="ddd\,\ d\-mmm\-yy"/>
    <numFmt numFmtId="182" formatCode="#,##0.000000"/>
    <numFmt numFmtId="183" formatCode="#,##0.000"/>
    <numFmt numFmtId="184" formatCode="0.0000"/>
    <numFmt numFmtId="185" formatCode="0.0%"/>
    <numFmt numFmtId="186" formatCode="0.00000"/>
  </numFmts>
  <fonts count="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rgb="FF008000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8"/>
      <color rgb="FFC00000"/>
      <name val="Calibri"/>
      <family val="2"/>
      <scheme val="minor"/>
    </font>
    <font>
      <i/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8"/>
      <name val="Calibri"/>
      <family val="2"/>
      <scheme val="minor"/>
    </font>
    <font>
      <sz val="10"/>
      <name val="Verdana"/>
      <family val="2"/>
    </font>
    <font>
      <sz val="10"/>
      <color rgb="FF006600"/>
      <name val="Verdana"/>
      <family val="2"/>
    </font>
    <font>
      <b/>
      <sz val="11"/>
      <color rgb="FF006600"/>
      <name val="Calibri"/>
      <family val="2"/>
      <scheme val="minor"/>
    </font>
    <font>
      <sz val="18"/>
      <color rgb="FF0066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1"/>
      <color indexed="39"/>
      <name val="Calibri"/>
      <family val="2"/>
    </font>
    <font>
      <sz val="11"/>
      <color indexed="39"/>
      <name val="Calibri"/>
      <family val="2"/>
    </font>
    <font>
      <b/>
      <sz val="11"/>
      <color rgb="FF6600FF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34998626667073579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34998626667073579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/>
      <top/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/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/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/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dotted">
        <color theme="0" tint="-0.1498764000366222"/>
      </right>
      <top style="thin">
        <color theme="0" tint="-0.149906918546098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/>
      <diagonal/>
    </border>
    <border>
      <left style="dotted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dotted">
        <color theme="0" tint="-0.1498458815271462"/>
      </right>
      <top/>
      <bottom style="thin">
        <color theme="0" tint="-0.1498764000366222"/>
      </bottom>
      <diagonal/>
    </border>
    <border>
      <left style="dotted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/>
      <right style="dotted">
        <color theme="0" tint="-0.1498764000366222"/>
      </right>
      <top style="thin">
        <color theme="0" tint="-0.14990691854609822"/>
      </top>
      <bottom/>
      <diagonal/>
    </border>
    <border>
      <left/>
      <right style="dotted">
        <color theme="0" tint="-0.1498458815271462"/>
      </right>
      <top/>
      <bottom/>
      <diagonal/>
    </border>
    <border>
      <left/>
      <right style="dotted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 style="thin">
        <color theme="0" tint="-0.1498764000366222"/>
      </top>
      <bottom/>
      <diagonal/>
    </border>
    <border>
      <left style="dotted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dotted">
        <color theme="0" tint="-0.14987640003662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 style="thin">
        <color theme="0" tint="-0.1498764000366222"/>
      </left>
      <right style="dotted">
        <color theme="0" tint="-0.1498764000366222"/>
      </right>
      <top/>
      <bottom style="thin">
        <color theme="0" tint="-0.1498764000366222"/>
      </bottom>
      <diagonal/>
    </border>
    <border>
      <left style="dotted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</borders>
  <cellStyleXfs count="58">
    <xf numFmtId="0" fontId="0" fillId="0" borderId="0"/>
    <xf numFmtId="0" fontId="2" fillId="0" borderId="0"/>
    <xf numFmtId="165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8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3" fontId="28" fillId="18" borderId="2" applyBorder="0">
      <alignment horizontal="left"/>
      <protection locked="0"/>
    </xf>
    <xf numFmtId="173" fontId="28" fillId="18" borderId="31" applyBorder="0">
      <alignment horizontal="right"/>
      <protection locked="0"/>
    </xf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4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5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164" fontId="10" fillId="0" borderId="0" applyFont="0" applyFill="0" applyBorder="0" applyAlignment="0" applyProtection="0"/>
  </cellStyleXfs>
  <cellXfs count="1430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2" fontId="0" fillId="8" borderId="4" xfId="0" applyNumberFormat="1" applyFill="1" applyBorder="1" applyAlignment="1">
      <alignment horizontal="center" vertical="center"/>
    </xf>
    <xf numFmtId="172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2" fontId="0" fillId="8" borderId="18" xfId="0" applyNumberFormat="1" applyFill="1" applyBorder="1" applyAlignment="1">
      <alignment horizontal="center" vertical="center"/>
    </xf>
    <xf numFmtId="172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9" fontId="8" fillId="8" borderId="0" xfId="10" quotePrefix="1" applyNumberFormat="1" applyFont="1" applyFill="1" applyBorder="1" applyAlignment="1">
      <alignment horizontal="center" vertical="center"/>
    </xf>
    <xf numFmtId="172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9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9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2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2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2" fontId="0" fillId="8" borderId="7" xfId="0" applyNumberFormat="1" applyFill="1" applyBorder="1" applyAlignment="1">
      <alignment horizontal="center" vertical="center"/>
    </xf>
    <xf numFmtId="172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3" fillId="7" borderId="4" xfId="0" applyFont="1" applyFill="1" applyBorder="1"/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8" fillId="8" borderId="7" xfId="10" quotePrefix="1" applyNumberFormat="1" applyFont="1" applyFill="1" applyBorder="1" applyAlignment="1">
      <alignment horizontal="center" vertical="center"/>
    </xf>
    <xf numFmtId="168" fontId="8" fillId="8" borderId="7" xfId="1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/>
    </xf>
    <xf numFmtId="168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5" fontId="0" fillId="0" borderId="0" xfId="0" applyNumberFormat="1"/>
    <xf numFmtId="0" fontId="8" fillId="0" borderId="4" xfId="0" quotePrefix="1" applyFont="1" applyFill="1" applyBorder="1" applyAlignment="1">
      <alignment horizontal="center" vertical="center"/>
    </xf>
    <xf numFmtId="177" fontId="8" fillId="32" borderId="4" xfId="0" applyNumberFormat="1" applyFont="1" applyFill="1" applyBorder="1" applyAlignment="1">
      <alignment horizontal="center" vertical="center"/>
    </xf>
    <xf numFmtId="172" fontId="0" fillId="0" borderId="0" xfId="0" applyNumberFormat="1"/>
    <xf numFmtId="11" fontId="0" fillId="0" borderId="0" xfId="0" applyNumberFormat="1"/>
    <xf numFmtId="0" fontId="41" fillId="0" borderId="0" xfId="0" applyFont="1"/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0" xfId="0" quotePrefix="1" applyFont="1" applyAlignment="1">
      <alignment horizontal="left"/>
    </xf>
    <xf numFmtId="0" fontId="41" fillId="0" borderId="0" xfId="0" applyFont="1" applyAlignment="1">
      <alignment horizontal="left" vertical="center"/>
    </xf>
    <xf numFmtId="0" fontId="41" fillId="0" borderId="0" xfId="0" applyFont="1" applyFill="1"/>
    <xf numFmtId="0" fontId="41" fillId="0" borderId="0" xfId="0" applyFont="1" applyFill="1" applyAlignment="1">
      <alignment horizontal="center" vertical="center"/>
    </xf>
    <xf numFmtId="0" fontId="44" fillId="0" borderId="0" xfId="0" applyFont="1" applyFill="1"/>
    <xf numFmtId="0" fontId="43" fillId="0" borderId="0" xfId="0" applyFont="1"/>
    <xf numFmtId="0" fontId="41" fillId="0" borderId="0" xfId="0" applyFont="1" applyAlignment="1">
      <alignment horizontal="left"/>
    </xf>
    <xf numFmtId="0" fontId="41" fillId="0" borderId="0" xfId="0" quotePrefix="1" applyFont="1"/>
    <xf numFmtId="0" fontId="43" fillId="0" borderId="0" xfId="0" applyFont="1" applyAlignment="1">
      <alignment horizontal="center" vertical="center"/>
    </xf>
    <xf numFmtId="0" fontId="41" fillId="32" borderId="11" xfId="0" applyFont="1" applyFill="1" applyBorder="1" applyAlignment="1">
      <alignment horizontal="center" vertical="center"/>
    </xf>
    <xf numFmtId="0" fontId="41" fillId="32" borderId="12" xfId="0" applyFont="1" applyFill="1" applyBorder="1" applyAlignment="1">
      <alignment horizontal="center" vertical="center"/>
    </xf>
    <xf numFmtId="0" fontId="45" fillId="32" borderId="13" xfId="0" applyFont="1" applyFill="1" applyBorder="1" applyAlignment="1">
      <alignment horizontal="center" vertical="center"/>
    </xf>
    <xf numFmtId="0" fontId="45" fillId="31" borderId="11" xfId="0" applyFont="1" applyFill="1" applyBorder="1" applyAlignment="1">
      <alignment horizontal="center" vertical="center"/>
    </xf>
    <xf numFmtId="0" fontId="45" fillId="31" borderId="6" xfId="0" applyFont="1" applyFill="1" applyBorder="1" applyAlignment="1">
      <alignment horizontal="center" vertical="center"/>
    </xf>
    <xf numFmtId="0" fontId="45" fillId="31" borderId="8" xfId="0" applyFont="1" applyFill="1" applyBorder="1" applyAlignment="1">
      <alignment horizontal="center" vertical="center"/>
    </xf>
    <xf numFmtId="0" fontId="45" fillId="31" borderId="13" xfId="0" applyFont="1" applyFill="1" applyBorder="1" applyAlignment="1">
      <alignment horizontal="center" vertical="center"/>
    </xf>
    <xf numFmtId="0" fontId="45" fillId="33" borderId="12" xfId="0" applyFont="1" applyFill="1" applyBorder="1"/>
    <xf numFmtId="0" fontId="45" fillId="33" borderId="13" xfId="0" applyFont="1" applyFill="1" applyBorder="1" applyAlignment="1">
      <alignment horizontal="center" vertical="center"/>
    </xf>
    <xf numFmtId="0" fontId="41" fillId="32" borderId="6" xfId="0" applyFont="1" applyFill="1" applyBorder="1" applyAlignment="1">
      <alignment horizontal="center" vertical="center"/>
    </xf>
    <xf numFmtId="0" fontId="41" fillId="32" borderId="0" xfId="0" applyFont="1" applyFill="1" applyBorder="1" applyAlignment="1">
      <alignment horizontal="center" vertical="center"/>
    </xf>
    <xf numFmtId="0" fontId="45" fillId="32" borderId="7" xfId="0" applyFont="1" applyFill="1" applyBorder="1" applyAlignment="1">
      <alignment horizontal="center" vertical="center"/>
    </xf>
    <xf numFmtId="0" fontId="45" fillId="31" borderId="7" xfId="0" applyFont="1" applyFill="1" applyBorder="1" applyAlignment="1">
      <alignment horizontal="center" vertical="center"/>
    </xf>
    <xf numFmtId="0" fontId="45" fillId="33" borderId="0" xfId="0" applyFont="1" applyFill="1" applyBorder="1"/>
    <xf numFmtId="0" fontId="45" fillId="33" borderId="7" xfId="0" applyFont="1" applyFill="1" applyBorder="1" applyAlignment="1">
      <alignment horizontal="center" vertical="center"/>
    </xf>
    <xf numFmtId="0" fontId="41" fillId="0" borderId="0" xfId="0" applyFont="1" applyBorder="1"/>
    <xf numFmtId="0" fontId="41" fillId="32" borderId="8" xfId="0" applyFont="1" applyFill="1" applyBorder="1" applyAlignment="1">
      <alignment horizontal="center" vertical="center"/>
    </xf>
    <xf numFmtId="0" fontId="41" fillId="32" borderId="10" xfId="0" applyFont="1" applyFill="1" applyBorder="1" applyAlignment="1">
      <alignment horizontal="center" vertical="center"/>
    </xf>
    <xf numFmtId="0" fontId="45" fillId="32" borderId="9" xfId="0" applyFont="1" applyFill="1" applyBorder="1" applyAlignment="1">
      <alignment horizontal="center" vertical="center"/>
    </xf>
    <xf numFmtId="0" fontId="45" fillId="31" borderId="9" xfId="0" applyFont="1" applyFill="1" applyBorder="1" applyAlignment="1">
      <alignment horizontal="center" vertical="center"/>
    </xf>
    <xf numFmtId="0" fontId="45" fillId="33" borderId="10" xfId="0" applyFont="1" applyFill="1" applyBorder="1"/>
    <xf numFmtId="0" fontId="45" fillId="33" borderId="9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6" fillId="32" borderId="11" xfId="0" applyFont="1" applyFill="1" applyBorder="1" applyAlignment="1">
      <alignment horizontal="center" vertical="center"/>
    </xf>
    <xf numFmtId="0" fontId="46" fillId="32" borderId="12" xfId="0" applyFont="1" applyFill="1" applyBorder="1" applyAlignment="1">
      <alignment horizontal="center" vertical="center"/>
    </xf>
    <xf numFmtId="0" fontId="46" fillId="32" borderId="6" xfId="0" applyFont="1" applyFill="1" applyBorder="1" applyAlignment="1">
      <alignment horizontal="center" vertical="center"/>
    </xf>
    <xf numFmtId="0" fontId="46" fillId="32" borderId="0" xfId="0" applyFont="1" applyFill="1" applyBorder="1" applyAlignment="1">
      <alignment horizontal="center" vertical="center"/>
    </xf>
    <xf numFmtId="0" fontId="48" fillId="31" borderId="6" xfId="0" applyFont="1" applyFill="1" applyBorder="1" applyAlignment="1">
      <alignment horizontal="center" vertical="center"/>
    </xf>
    <xf numFmtId="0" fontId="48" fillId="31" borderId="8" xfId="0" applyFont="1" applyFill="1" applyBorder="1" applyAlignment="1">
      <alignment horizontal="center" vertical="center"/>
    </xf>
    <xf numFmtId="0" fontId="47" fillId="34" borderId="22" xfId="0" applyFont="1" applyFill="1" applyBorder="1" applyAlignment="1">
      <alignment horizontal="center" vertical="center"/>
    </xf>
    <xf numFmtId="0" fontId="47" fillId="34" borderId="21" xfId="0" applyFont="1" applyFill="1" applyBorder="1" applyAlignment="1">
      <alignment horizontal="center" vertical="center"/>
    </xf>
    <xf numFmtId="0" fontId="47" fillId="34" borderId="20" xfId="0" applyFont="1" applyFill="1" applyBorder="1" applyAlignment="1">
      <alignment horizontal="center" vertical="center"/>
    </xf>
    <xf numFmtId="0" fontId="5" fillId="35" borderId="0" xfId="0" applyFont="1" applyFill="1" applyBorder="1" applyAlignment="1">
      <alignment horizontal="center" vertical="center"/>
    </xf>
    <xf numFmtId="170" fontId="5" fillId="35" borderId="0" xfId="0" applyNumberFormat="1" applyFont="1" applyFill="1" applyBorder="1" applyAlignment="1">
      <alignment horizontal="center" vertical="center"/>
    </xf>
    <xf numFmtId="171" fontId="5" fillId="36" borderId="7" xfId="0" applyNumberFormat="1" applyFont="1" applyFill="1" applyBorder="1" applyAlignment="1">
      <alignment horizontal="center" vertical="center"/>
    </xf>
    <xf numFmtId="0" fontId="5" fillId="35" borderId="6" xfId="0" applyFont="1" applyFill="1" applyBorder="1" applyAlignment="1">
      <alignment horizontal="center" vertical="center"/>
    </xf>
    <xf numFmtId="0" fontId="5" fillId="35" borderId="8" xfId="0" applyFont="1" applyFill="1" applyBorder="1" applyAlignment="1">
      <alignment horizontal="center" vertical="center"/>
    </xf>
    <xf numFmtId="0" fontId="5" fillId="35" borderId="10" xfId="0" applyFont="1" applyFill="1" applyBorder="1" applyAlignment="1">
      <alignment horizontal="center" vertical="center"/>
    </xf>
    <xf numFmtId="170" fontId="5" fillId="35" borderId="10" xfId="0" applyNumberFormat="1" applyFont="1" applyFill="1" applyBorder="1" applyAlignment="1">
      <alignment horizontal="center" vertical="center"/>
    </xf>
    <xf numFmtId="171" fontId="5" fillId="36" borderId="9" xfId="0" applyNumberFormat="1" applyFont="1" applyFill="1" applyBorder="1" applyAlignment="1">
      <alignment horizontal="center" vertical="center"/>
    </xf>
    <xf numFmtId="0" fontId="49" fillId="0" borderId="0" xfId="0" applyFont="1"/>
    <xf numFmtId="0" fontId="50" fillId="0" borderId="0" xfId="0" applyFont="1"/>
    <xf numFmtId="178" fontId="5" fillId="35" borderId="0" xfId="0" applyNumberFormat="1" applyFont="1" applyFill="1" applyBorder="1" applyAlignment="1">
      <alignment horizontal="center" vertical="center"/>
    </xf>
    <xf numFmtId="178" fontId="5" fillId="35" borderId="10" xfId="0" applyNumberFormat="1" applyFont="1" applyFill="1" applyBorder="1" applyAlignment="1">
      <alignment horizontal="center" vertical="center"/>
    </xf>
    <xf numFmtId="0" fontId="48" fillId="31" borderId="3" xfId="0" applyFont="1" applyFill="1" applyBorder="1"/>
    <xf numFmtId="0" fontId="48" fillId="31" borderId="4" xfId="0" applyFont="1" applyFill="1" applyBorder="1"/>
    <xf numFmtId="0" fontId="48" fillId="31" borderId="5" xfId="0" applyFont="1" applyFill="1" applyBorder="1"/>
    <xf numFmtId="0" fontId="0" fillId="0" borderId="0" xfId="0" applyAlignment="1">
      <alignment horizontal="center" vertical="center"/>
    </xf>
    <xf numFmtId="171" fontId="8" fillId="32" borderId="33" xfId="0" applyNumberFormat="1" applyFont="1" applyFill="1" applyBorder="1" applyAlignment="1">
      <alignment horizontal="center" vertical="center"/>
    </xf>
    <xf numFmtId="171" fontId="8" fillId="32" borderId="12" xfId="0" applyNumberFormat="1" applyFont="1" applyFill="1" applyBorder="1" applyAlignment="1">
      <alignment horizontal="center" vertical="center"/>
    </xf>
    <xf numFmtId="171" fontId="8" fillId="32" borderId="0" xfId="0" applyNumberFormat="1" applyFont="1" applyFill="1" applyBorder="1" applyAlignment="1">
      <alignment horizontal="center" vertical="center"/>
    </xf>
    <xf numFmtId="171" fontId="8" fillId="32" borderId="10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5" fillId="33" borderId="12" xfId="0" applyFont="1" applyFill="1" applyBorder="1" applyAlignment="1">
      <alignment horizontal="left" vertical="center"/>
    </xf>
    <xf numFmtId="14" fontId="45" fillId="33" borderId="0" xfId="0" applyNumberFormat="1" applyFont="1" applyFill="1" applyBorder="1" applyAlignment="1">
      <alignment horizontal="left" vertical="center"/>
    </xf>
    <xf numFmtId="0" fontId="45" fillId="33" borderId="0" xfId="0" applyFont="1" applyFill="1" applyBorder="1" applyAlignment="1">
      <alignment horizontal="left" vertical="center"/>
    </xf>
    <xf numFmtId="0" fontId="45" fillId="33" borderId="10" xfId="0" applyFont="1" applyFill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0" fontId="40" fillId="8" borderId="6" xfId="0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8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8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8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center"/>
    </xf>
    <xf numFmtId="171" fontId="0" fillId="0" borderId="0" xfId="0" applyNumberFormat="1" applyAlignment="1">
      <alignment vertical="center"/>
    </xf>
    <xf numFmtId="4" fontId="0" fillId="0" borderId="0" xfId="0" applyNumberFormat="1" applyAlignment="1">
      <alignment vertical="center"/>
    </xf>
    <xf numFmtId="171" fontId="40" fillId="8" borderId="13" xfId="0" applyNumberFormat="1" applyFont="1" applyFill="1" applyBorder="1" applyAlignment="1">
      <alignment horizontal="center" vertical="center"/>
    </xf>
    <xf numFmtId="171" fontId="40" fillId="8" borderId="7" xfId="0" applyNumberFormat="1" applyFont="1" applyFill="1" applyBorder="1" applyAlignment="1">
      <alignment horizontal="center" vertical="center"/>
    </xf>
    <xf numFmtId="171" fontId="40" fillId="8" borderId="9" xfId="0" applyNumberFormat="1" applyFont="1" applyFill="1" applyBorder="1" applyAlignment="1">
      <alignment horizontal="center" vertical="center"/>
    </xf>
    <xf numFmtId="4" fontId="8" fillId="32" borderId="12" xfId="0" applyNumberFormat="1" applyFont="1" applyFill="1" applyBorder="1" applyAlignment="1">
      <alignment horizontal="center" vertical="center"/>
    </xf>
    <xf numFmtId="4" fontId="8" fillId="32" borderId="0" xfId="0" applyNumberFormat="1" applyFont="1" applyFill="1" applyBorder="1" applyAlignment="1">
      <alignment horizontal="center" vertical="center"/>
    </xf>
    <xf numFmtId="4" fontId="8" fillId="32" borderId="10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48" fillId="31" borderId="3" xfId="0" applyNumberFormat="1" applyFont="1" applyFill="1" applyBorder="1"/>
    <xf numFmtId="14" fontId="45" fillId="33" borderId="12" xfId="0" applyNumberFormat="1" applyFont="1" applyFill="1" applyBorder="1" applyAlignment="1">
      <alignment horizontal="left" vertical="center"/>
    </xf>
    <xf numFmtId="4" fontId="8" fillId="32" borderId="33" xfId="0" applyNumberFormat="1" applyFont="1" applyFill="1" applyBorder="1" applyAlignment="1">
      <alignment horizontal="center" vertical="center"/>
    </xf>
    <xf numFmtId="4" fontId="47" fillId="34" borderId="2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70" fontId="8" fillId="32" borderId="33" xfId="0" applyNumberFormat="1" applyFont="1" applyFill="1" applyBorder="1" applyAlignment="1">
      <alignment horizontal="center" vertical="center"/>
    </xf>
    <xf numFmtId="170" fontId="8" fillId="32" borderId="12" xfId="0" applyNumberFormat="1" applyFont="1" applyFill="1" applyBorder="1" applyAlignment="1">
      <alignment horizontal="center" vertical="center"/>
    </xf>
    <xf numFmtId="170" fontId="8" fillId="32" borderId="0" xfId="0" applyNumberFormat="1" applyFont="1" applyFill="1" applyBorder="1" applyAlignment="1">
      <alignment horizontal="center" vertical="center"/>
    </xf>
    <xf numFmtId="170" fontId="8" fillId="32" borderId="10" xfId="0" applyNumberFormat="1" applyFont="1" applyFill="1" applyBorder="1" applyAlignment="1">
      <alignment horizontal="center" vertical="center"/>
    </xf>
    <xf numFmtId="170" fontId="5" fillId="36" borderId="7" xfId="0" applyNumberFormat="1" applyFont="1" applyFill="1" applyBorder="1" applyAlignment="1">
      <alignment horizontal="center" vertical="center"/>
    </xf>
    <xf numFmtId="170" fontId="5" fillId="36" borderId="9" xfId="0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2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2" fontId="40" fillId="8" borderId="5" xfId="0" applyNumberFormat="1" applyFont="1" applyFill="1" applyBorder="1" applyAlignment="1">
      <alignment horizontal="center" vertical="center"/>
    </xf>
    <xf numFmtId="172" fontId="40" fillId="8" borderId="7" xfId="0" applyNumberFormat="1" applyFont="1" applyFill="1" applyBorder="1" applyAlignment="1">
      <alignment horizontal="center" vertical="center"/>
    </xf>
    <xf numFmtId="172" fontId="40" fillId="8" borderId="9" xfId="0" applyNumberFormat="1" applyFont="1" applyFill="1" applyBorder="1" applyAlignment="1">
      <alignment horizontal="center" vertical="center"/>
    </xf>
    <xf numFmtId="172" fontId="40" fillId="8" borderId="4" xfId="0" quotePrefix="1" applyNumberFormat="1" applyFont="1" applyFill="1" applyBorder="1" applyAlignment="1">
      <alignment horizontal="center" vertical="center"/>
    </xf>
    <xf numFmtId="4" fontId="40" fillId="8" borderId="6" xfId="11" quotePrefix="1" applyNumberFormat="1" applyFont="1" applyFill="1" applyBorder="1" applyAlignment="1">
      <alignment horizontal="center" vertical="center"/>
    </xf>
    <xf numFmtId="172" fontId="40" fillId="8" borderId="6" xfId="11" quotePrefix="1" applyNumberFormat="1" applyFont="1" applyFill="1" applyBorder="1" applyAlignment="1">
      <alignment horizontal="center" vertical="center"/>
    </xf>
    <xf numFmtId="172" fontId="40" fillId="8" borderId="6" xfId="11" applyNumberFormat="1" applyFont="1" applyFill="1" applyBorder="1" applyAlignment="1">
      <alignment horizontal="center" vertical="center"/>
    </xf>
    <xf numFmtId="0" fontId="40" fillId="9" borderId="6" xfId="11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/>
    </xf>
    <xf numFmtId="0" fontId="40" fillId="8" borderId="8" xfId="0" applyFont="1" applyFill="1" applyBorder="1" applyAlignment="1">
      <alignment horizontal="center"/>
    </xf>
    <xf numFmtId="170" fontId="40" fillId="8" borderId="0" xfId="10" quotePrefix="1" applyNumberFormat="1" applyFont="1" applyFill="1" applyBorder="1" applyAlignment="1">
      <alignment horizontal="center" vertical="center"/>
    </xf>
    <xf numFmtId="170" fontId="40" fillId="8" borderId="0" xfId="10" applyNumberFormat="1" applyFont="1" applyFill="1" applyBorder="1" applyAlignment="1">
      <alignment horizontal="center" vertical="center"/>
    </xf>
    <xf numFmtId="170" fontId="40" fillId="8" borderId="0" xfId="11" applyNumberFormat="1" applyFont="1" applyFill="1" applyBorder="1" applyAlignment="1">
      <alignment horizontal="center" vertical="center"/>
    </xf>
    <xf numFmtId="170" fontId="40" fillId="8" borderId="0" xfId="0" applyNumberFormat="1" applyFont="1" applyFill="1" applyBorder="1" applyAlignment="1">
      <alignment horizontal="center"/>
    </xf>
    <xf numFmtId="170" fontId="40" fillId="8" borderId="10" xfId="0" applyNumberFormat="1" applyFont="1" applyFill="1" applyBorder="1" applyAlignment="1">
      <alignment horizontal="center"/>
    </xf>
    <xf numFmtId="168" fontId="40" fillId="8" borderId="7" xfId="10" quotePrefix="1" applyNumberFormat="1" applyFont="1" applyFill="1" applyBorder="1" applyAlignment="1">
      <alignment horizontal="center" vertical="center"/>
    </xf>
    <xf numFmtId="168" fontId="40" fillId="8" borderId="7" xfId="10" applyNumberFormat="1" applyFont="1" applyFill="1" applyBorder="1" applyAlignment="1">
      <alignment horizontal="center" vertical="center"/>
    </xf>
    <xf numFmtId="168" fontId="40" fillId="8" borderId="7" xfId="0" applyNumberFormat="1" applyFont="1" applyFill="1" applyBorder="1" applyAlignment="1">
      <alignment horizontal="center"/>
    </xf>
    <xf numFmtId="168" fontId="40" fillId="8" borderId="9" xfId="0" applyNumberFormat="1" applyFont="1" applyFill="1" applyBorder="1" applyAlignment="1">
      <alignment horizont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7" borderId="3" xfId="0" quotePrefix="1" applyFont="1" applyFill="1" applyBorder="1" applyAlignment="1">
      <alignment horizontal="center" vertical="center"/>
    </xf>
    <xf numFmtId="0" fontId="0" fillId="37" borderId="5" xfId="0" applyFill="1" applyBorder="1" applyAlignment="1">
      <alignment horizontal="center" vertical="center"/>
    </xf>
    <xf numFmtId="15" fontId="40" fillId="8" borderId="0" xfId="11" quotePrefix="1" applyNumberFormat="1" applyFont="1" applyFill="1" applyBorder="1" applyAlignment="1">
      <alignment horizontal="center" vertical="center"/>
    </xf>
    <xf numFmtId="15" fontId="40" fillId="8" borderId="0" xfId="11" applyNumberFormat="1" applyFont="1" applyFill="1" applyBorder="1" applyAlignment="1">
      <alignment horizontal="center" vertical="center"/>
    </xf>
    <xf numFmtId="15" fontId="40" fillId="8" borderId="0" xfId="0" applyNumberFormat="1" applyFont="1" applyFill="1" applyBorder="1" applyAlignment="1">
      <alignment horizontal="center"/>
    </xf>
    <xf numFmtId="15" fontId="40" fillId="8" borderId="10" xfId="0" applyNumberFormat="1" applyFont="1" applyFill="1" applyBorder="1" applyAlignment="1">
      <alignment horizontal="center"/>
    </xf>
    <xf numFmtId="0" fontId="0" fillId="37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center" vertical="center"/>
    </xf>
    <xf numFmtId="0" fontId="40" fillId="4" borderId="4" xfId="0" quotePrefix="1" applyFont="1" applyFill="1" applyBorder="1" applyAlignment="1">
      <alignment horizontal="left" vertical="center"/>
    </xf>
    <xf numFmtId="0" fontId="52" fillId="0" borderId="3" xfId="0" applyFont="1" applyFill="1" applyBorder="1" applyAlignment="1">
      <alignment horizontal="center" vertical="center"/>
    </xf>
    <xf numFmtId="0" fontId="52" fillId="0" borderId="4" xfId="0" applyFont="1" applyFill="1" applyBorder="1" applyAlignment="1">
      <alignment horizontal="center" vertical="center"/>
    </xf>
    <xf numFmtId="0" fontId="52" fillId="0" borderId="4" xfId="0" quotePrefix="1" applyFont="1" applyFill="1" applyBorder="1" applyAlignment="1">
      <alignment horizontal="center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4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172" fontId="40" fillId="8" borderId="17" xfId="0" applyNumberFormat="1" applyFont="1" applyFill="1" applyBorder="1" applyAlignment="1">
      <alignment horizontal="center" vertical="center"/>
    </xf>
    <xf numFmtId="172" fontId="40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0" fillId="33" borderId="34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left" vertical="center"/>
    </xf>
    <xf numFmtId="0" fontId="35" fillId="33" borderId="34" xfId="0" applyFont="1" applyFill="1" applyBorder="1" applyAlignment="1">
      <alignment horizontal="left" vertical="center"/>
    </xf>
    <xf numFmtId="0" fontId="35" fillId="33" borderId="4" xfId="0" applyFont="1" applyFill="1" applyBorder="1" applyAlignment="1">
      <alignment horizontal="left" vertical="center"/>
    </xf>
    <xf numFmtId="0" fontId="35" fillId="33" borderId="5" xfId="0" applyFont="1" applyFill="1" applyBorder="1" applyAlignment="1">
      <alignment horizontal="left" vertical="center"/>
    </xf>
    <xf numFmtId="0" fontId="37" fillId="33" borderId="19" xfId="0" applyFont="1" applyFill="1" applyBorder="1" applyAlignment="1">
      <alignment horizontal="center" vertical="center"/>
    </xf>
    <xf numFmtId="0" fontId="37" fillId="33" borderId="4" xfId="0" applyFont="1" applyFill="1" applyBorder="1" applyAlignment="1">
      <alignment horizontal="center" vertical="center"/>
    </xf>
    <xf numFmtId="0" fontId="37" fillId="33" borderId="5" xfId="0" applyFont="1" applyFill="1" applyBorder="1" applyAlignment="1">
      <alignment horizontal="center" vertical="center"/>
    </xf>
    <xf numFmtId="0" fontId="52" fillId="33" borderId="19" xfId="0" quotePrefix="1" applyFont="1" applyFill="1" applyBorder="1" applyAlignment="1">
      <alignment horizontal="center" vertical="center"/>
    </xf>
    <xf numFmtId="0" fontId="52" fillId="33" borderId="4" xfId="0" quotePrefix="1" applyFont="1" applyFill="1" applyBorder="1" applyAlignment="1">
      <alignment horizontal="center" vertical="center"/>
    </xf>
    <xf numFmtId="0" fontId="52" fillId="33" borderId="5" xfId="0" quotePrefix="1" applyFont="1" applyFill="1" applyBorder="1" applyAlignment="1">
      <alignment horizontal="center" vertical="center"/>
    </xf>
    <xf numFmtId="0" fontId="40" fillId="33" borderId="34" xfId="0" quotePrefix="1" applyFont="1" applyFill="1" applyBorder="1" applyAlignment="1">
      <alignment horizontal="left" vertical="center"/>
    </xf>
    <xf numFmtId="0" fontId="40" fillId="33" borderId="5" xfId="0" quotePrefix="1" applyFont="1" applyFill="1" applyBorder="1" applyAlignment="1">
      <alignment horizontal="center" vertical="center"/>
    </xf>
    <xf numFmtId="0" fontId="40" fillId="33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0" fillId="0" borderId="33" xfId="0" applyFont="1" applyBorder="1" applyAlignment="1">
      <alignment horizontal="center" vertical="center"/>
    </xf>
    <xf numFmtId="0" fontId="40" fillId="0" borderId="33" xfId="0" applyFon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40" fillId="33" borderId="38" xfId="0" applyFont="1" applyFill="1" applyBorder="1" applyAlignment="1">
      <alignment horizontal="center" vertical="center"/>
    </xf>
    <xf numFmtId="177" fontId="40" fillId="33" borderId="38" xfId="0" applyNumberFormat="1" applyFont="1" applyFill="1" applyBorder="1" applyAlignment="1">
      <alignment horizontal="center" vertical="center"/>
    </xf>
    <xf numFmtId="0" fontId="40" fillId="33" borderId="38" xfId="0" applyFont="1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4" fontId="8" fillId="0" borderId="38" xfId="0" applyNumberFormat="1" applyFont="1" applyFill="1" applyBorder="1" applyAlignment="1">
      <alignment horizontal="center" vertical="center"/>
    </xf>
    <xf numFmtId="172" fontId="8" fillId="0" borderId="38" xfId="0" applyNumberFormat="1" applyFont="1" applyFill="1" applyBorder="1" applyAlignment="1">
      <alignment horizontal="center" vertical="center"/>
    </xf>
    <xf numFmtId="3" fontId="0" fillId="0" borderId="0" xfId="0" applyNumberFormat="1"/>
    <xf numFmtId="177" fontId="8" fillId="0" borderId="38" xfId="0" applyNumberFormat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/>
    </xf>
    <xf numFmtId="0" fontId="0" fillId="33" borderId="38" xfId="0" applyFill="1" applyBorder="1" applyAlignment="1">
      <alignment horizontal="center" vertical="center"/>
    </xf>
    <xf numFmtId="0" fontId="0" fillId="33" borderId="38" xfId="0" quotePrefix="1" applyFill="1" applyBorder="1" applyAlignment="1">
      <alignment horizontal="center" vertical="center"/>
    </xf>
    <xf numFmtId="0" fontId="8" fillId="33" borderId="38" xfId="0" quotePrefix="1" applyFon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40" fillId="33" borderId="0" xfId="0" applyFont="1" applyFill="1" applyBorder="1" applyAlignment="1">
      <alignment horizontal="center"/>
    </xf>
    <xf numFmtId="172" fontId="8" fillId="33" borderId="38" xfId="0" applyNumberFormat="1" applyFont="1" applyFill="1" applyBorder="1" applyAlignment="1">
      <alignment horizontal="center" vertical="center"/>
    </xf>
    <xf numFmtId="172" fontId="0" fillId="33" borderId="0" xfId="0" applyNumberFormat="1" applyFill="1" applyBorder="1" applyAlignment="1">
      <alignment horizontal="center"/>
    </xf>
    <xf numFmtId="4" fontId="40" fillId="33" borderId="38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/>
    </xf>
    <xf numFmtId="172" fontId="40" fillId="33" borderId="38" xfId="0" applyNumberFormat="1" applyFont="1" applyFill="1" applyBorder="1" applyAlignment="1">
      <alignment horizontal="center" vertical="center"/>
    </xf>
    <xf numFmtId="172" fontId="40" fillId="33" borderId="0" xfId="0" applyNumberFormat="1" applyFont="1" applyFill="1" applyBorder="1" applyAlignment="1">
      <alignment horizontal="center"/>
    </xf>
    <xf numFmtId="179" fontId="40" fillId="33" borderId="40" xfId="0" applyNumberFormat="1" applyFont="1" applyFill="1" applyBorder="1" applyAlignment="1">
      <alignment horizontal="center" vertical="center"/>
    </xf>
    <xf numFmtId="179" fontId="40" fillId="33" borderId="42" xfId="0" applyNumberFormat="1" applyFont="1" applyFill="1" applyBorder="1" applyAlignment="1">
      <alignment horizontal="center" vertical="center"/>
    </xf>
    <xf numFmtId="3" fontId="0" fillId="0" borderId="38" xfId="0" applyNumberFormat="1" applyFill="1" applyBorder="1" applyAlignment="1">
      <alignment horizontal="center"/>
    </xf>
    <xf numFmtId="3" fontId="0" fillId="0" borderId="0" xfId="0" applyNumberFormat="1" applyFill="1" applyBorder="1" applyAlignment="1">
      <alignment horizontal="center" vertical="center"/>
    </xf>
    <xf numFmtId="172" fontId="8" fillId="0" borderId="0" xfId="0" applyNumberFormat="1" applyFont="1" applyFill="1" applyBorder="1" applyAlignment="1">
      <alignment horizontal="center" vertical="center"/>
    </xf>
    <xf numFmtId="4" fontId="8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3" fontId="0" fillId="0" borderId="45" xfId="0" applyNumberFormat="1" applyFill="1" applyBorder="1" applyAlignment="1">
      <alignment horizontal="center" vertical="center"/>
    </xf>
    <xf numFmtId="172" fontId="8" fillId="0" borderId="45" xfId="0" applyNumberFormat="1" applyFont="1" applyFill="1" applyBorder="1" applyAlignment="1">
      <alignment horizontal="center" vertical="center"/>
    </xf>
    <xf numFmtId="4" fontId="8" fillId="0" borderId="45" xfId="0" applyNumberFormat="1" applyFont="1" applyFill="1" applyBorder="1" applyAlignment="1">
      <alignment horizontal="center" vertical="center"/>
    </xf>
    <xf numFmtId="0" fontId="0" fillId="0" borderId="45" xfId="0" applyFill="1" applyBorder="1" applyAlignment="1">
      <alignment horizontal="center"/>
    </xf>
    <xf numFmtId="179" fontId="0" fillId="0" borderId="0" xfId="0" applyNumberFormat="1"/>
    <xf numFmtId="0" fontId="54" fillId="0" borderId="0" xfId="0" applyFont="1"/>
    <xf numFmtId="0" fontId="0" fillId="0" borderId="0" xfId="0" applyAlignment="1">
      <alignment horizontal="left"/>
    </xf>
    <xf numFmtId="177" fontId="8" fillId="0" borderId="4" xfId="0" applyNumberFormat="1" applyFont="1" applyFill="1" applyBorder="1" applyAlignment="1">
      <alignment horizontal="center" vertical="center"/>
    </xf>
    <xf numFmtId="172" fontId="40" fillId="0" borderId="4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177" fontId="8" fillId="0" borderId="41" xfId="0" applyNumberFormat="1" applyFont="1" applyFill="1" applyBorder="1" applyAlignment="1">
      <alignment horizontal="center" vertical="center"/>
    </xf>
    <xf numFmtId="177" fontId="8" fillId="0" borderId="43" xfId="0" applyNumberFormat="1" applyFont="1" applyFill="1" applyBorder="1" applyAlignment="1">
      <alignment horizontal="center" vertical="center"/>
    </xf>
    <xf numFmtId="177" fontId="8" fillId="0" borderId="46" xfId="0" applyNumberFormat="1" applyFon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8" fillId="32" borderId="33" xfId="0" applyFont="1" applyFill="1" applyBorder="1" applyAlignment="1">
      <alignment horizontal="center" vertical="center"/>
    </xf>
    <xf numFmtId="15" fontId="1" fillId="0" borderId="0" xfId="0" applyNumberFormat="1" applyFont="1" applyAlignment="1">
      <alignment vertical="center"/>
    </xf>
    <xf numFmtId="0" fontId="0" fillId="32" borderId="3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164" fontId="55" fillId="32" borderId="3" xfId="1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80" fontId="0" fillId="0" borderId="0" xfId="0" applyNumberFormat="1"/>
    <xf numFmtId="14" fontId="0" fillId="0" borderId="0" xfId="0" applyNumberFormat="1"/>
    <xf numFmtId="15" fontId="40" fillId="8" borderId="10" xfId="0" applyNumberFormat="1" applyFont="1" applyFill="1" applyBorder="1" applyAlignment="1">
      <alignment horizontal="center" vertical="center"/>
    </xf>
    <xf numFmtId="0" fontId="9" fillId="0" borderId="0" xfId="0" applyFont="1"/>
    <xf numFmtId="0" fontId="51" fillId="0" borderId="0" xfId="0" applyFont="1"/>
    <xf numFmtId="0" fontId="0" fillId="0" borderId="44" xfId="0" applyFill="1" applyBorder="1" applyAlignment="1">
      <alignment horizontal="center" vertical="center"/>
    </xf>
    <xf numFmtId="177" fontId="8" fillId="0" borderId="0" xfId="0" applyNumberFormat="1" applyFont="1" applyFill="1" applyBorder="1" applyAlignment="1">
      <alignment horizontal="center" vertical="center"/>
    </xf>
    <xf numFmtId="177" fontId="8" fillId="0" borderId="45" xfId="0" applyNumberFormat="1" applyFont="1" applyFill="1" applyBorder="1" applyAlignment="1">
      <alignment horizontal="center" vertical="center"/>
    </xf>
    <xf numFmtId="177" fontId="40" fillId="33" borderId="0" xfId="0" applyNumberFormat="1" applyFont="1" applyFill="1" applyBorder="1" applyAlignment="1">
      <alignment horizontal="center" vertical="center"/>
    </xf>
    <xf numFmtId="177" fontId="0" fillId="0" borderId="38" xfId="0" quotePrefix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15" fontId="41" fillId="0" borderId="0" xfId="0" applyNumberFormat="1" applyFont="1" applyAlignment="1">
      <alignment horizontal="center" vertical="center"/>
    </xf>
    <xf numFmtId="16" fontId="45" fillId="33" borderId="0" xfId="0" applyNumberFormat="1" applyFont="1" applyFill="1" applyBorder="1"/>
    <xf numFmtId="0" fontId="0" fillId="0" borderId="0" xfId="0" applyAlignment="1">
      <alignment horizontal="center" vertical="center"/>
    </xf>
    <xf numFmtId="0" fontId="0" fillId="33" borderId="3" xfId="0" applyFont="1" applyFill="1" applyBorder="1" applyAlignment="1">
      <alignment horizontal="left" vertical="center"/>
    </xf>
    <xf numFmtId="0" fontId="0" fillId="33" borderId="5" xfId="0" applyFont="1" applyFill="1" applyBorder="1" applyAlignment="1">
      <alignment horizontal="left" vertical="center"/>
    </xf>
    <xf numFmtId="3" fontId="55" fillId="32" borderId="5" xfId="10" applyNumberFormat="1" applyFont="1" applyFill="1" applyBorder="1" applyAlignment="1">
      <alignment horizontal="center" vertical="center"/>
    </xf>
    <xf numFmtId="0" fontId="55" fillId="33" borderId="3" xfId="56" applyFont="1" applyFill="1" applyBorder="1">
      <alignment vertical="center"/>
    </xf>
    <xf numFmtId="0" fontId="0" fillId="33" borderId="5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55" fillId="33" borderId="5" xfId="56" applyFont="1" applyFill="1" applyBorder="1">
      <alignment vertical="center"/>
    </xf>
    <xf numFmtId="164" fontId="56" fillId="33" borderId="5" xfId="10" applyFont="1" applyFill="1" applyBorder="1" applyAlignment="1">
      <alignment horizontal="center" vertical="center"/>
    </xf>
    <xf numFmtId="3" fontId="40" fillId="33" borderId="33" xfId="0" applyNumberFormat="1" applyFont="1" applyFill="1" applyBorder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70" fontId="16" fillId="0" borderId="0" xfId="0" applyNumberFormat="1" applyFont="1"/>
    <xf numFmtId="0" fontId="0" fillId="0" borderId="0" xfId="0" applyAlignment="1">
      <alignment horizontal="center" vertical="center"/>
    </xf>
    <xf numFmtId="0" fontId="40" fillId="33" borderId="0" xfId="0" applyFont="1" applyFill="1" applyBorder="1" applyAlignment="1">
      <alignment horizontal="center" vertical="center"/>
    </xf>
    <xf numFmtId="3" fontId="8" fillId="0" borderId="38" xfId="0" applyNumberFormat="1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8" fillId="0" borderId="45" xfId="0" applyNumberFormat="1" applyFont="1" applyFill="1" applyBorder="1" applyAlignment="1">
      <alignment horizontal="center" vertical="center"/>
    </xf>
    <xf numFmtId="0" fontId="40" fillId="33" borderId="33" xfId="0" quotePrefix="1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33" borderId="10" xfId="0" applyNumberFormat="1" applyFill="1" applyBorder="1" applyAlignment="1">
      <alignment horizontal="center" vertical="center"/>
    </xf>
    <xf numFmtId="181" fontId="40" fillId="33" borderId="10" xfId="0" applyNumberFormat="1" applyFont="1" applyFill="1" applyBorder="1" applyAlignment="1">
      <alignment horizontal="center" vertical="center"/>
    </xf>
    <xf numFmtId="3" fontId="40" fillId="33" borderId="6" xfId="0" applyNumberFormat="1" applyFont="1" applyFill="1" applyBorder="1" applyAlignment="1">
      <alignment horizontal="center" vertical="center"/>
    </xf>
    <xf numFmtId="179" fontId="40" fillId="33" borderId="38" xfId="0" applyNumberFormat="1" applyFont="1" applyFill="1" applyBorder="1" applyAlignment="1">
      <alignment horizontal="center" vertical="center"/>
    </xf>
    <xf numFmtId="181" fontId="0" fillId="33" borderId="0" xfId="0" applyNumberFormat="1" applyFill="1" applyBorder="1" applyAlignment="1">
      <alignment horizontal="center" vertical="center"/>
    </xf>
    <xf numFmtId="181" fontId="40" fillId="33" borderId="0" xfId="0" applyNumberFormat="1" applyFont="1" applyFill="1" applyBorder="1" applyAlignment="1">
      <alignment horizontal="center" vertical="center"/>
    </xf>
    <xf numFmtId="0" fontId="0" fillId="33" borderId="49" xfId="0" quotePrefix="1" applyFill="1" applyBorder="1" applyAlignment="1">
      <alignment horizontal="center" vertical="center"/>
    </xf>
    <xf numFmtId="179" fontId="40" fillId="33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center"/>
    </xf>
    <xf numFmtId="179" fontId="40" fillId="33" borderId="0" xfId="0" applyNumberFormat="1" applyFont="1" applyFill="1" applyBorder="1" applyAlignment="1">
      <alignment horizontal="center"/>
    </xf>
    <xf numFmtId="3" fontId="40" fillId="33" borderId="8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177" fontId="40" fillId="33" borderId="1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79" fontId="40" fillId="33" borderId="10" xfId="0" applyNumberFormat="1" applyFont="1" applyFill="1" applyBorder="1" applyAlignment="1">
      <alignment horizontal="center"/>
    </xf>
    <xf numFmtId="4" fontId="40" fillId="33" borderId="10" xfId="0" applyNumberFormat="1" applyFont="1" applyFill="1" applyBorder="1" applyAlignment="1">
      <alignment horizontal="center"/>
    </xf>
    <xf numFmtId="172" fontId="40" fillId="33" borderId="10" xfId="0" applyNumberFormat="1" applyFont="1" applyFill="1" applyBorder="1" applyAlignment="1">
      <alignment horizontal="center"/>
    </xf>
    <xf numFmtId="172" fontId="0" fillId="33" borderId="10" xfId="0" applyNumberFormat="1" applyFill="1" applyBorder="1" applyAlignment="1">
      <alignment horizontal="center"/>
    </xf>
    <xf numFmtId="0" fontId="0" fillId="33" borderId="9" xfId="0" applyFill="1" applyBorder="1" applyAlignment="1">
      <alignment horizontal="center"/>
    </xf>
    <xf numFmtId="0" fontId="40" fillId="33" borderId="51" xfId="0" applyFont="1" applyFill="1" applyBorder="1" applyAlignment="1">
      <alignment horizontal="center"/>
    </xf>
    <xf numFmtId="0" fontId="40" fillId="33" borderId="52" xfId="0" applyFont="1" applyFill="1" applyBorder="1" applyAlignment="1">
      <alignment horizontal="center"/>
    </xf>
    <xf numFmtId="0" fontId="40" fillId="33" borderId="53" xfId="0" applyFont="1" applyFill="1" applyBorder="1" applyAlignment="1">
      <alignment horizontal="center"/>
    </xf>
    <xf numFmtId="0" fontId="0" fillId="33" borderId="55" xfId="0" applyFill="1" applyBorder="1" applyAlignment="1">
      <alignment horizontal="center" vertical="center"/>
    </xf>
    <xf numFmtId="0" fontId="0" fillId="33" borderId="51" xfId="0" quotePrefix="1" applyFill="1" applyBorder="1" applyAlignment="1">
      <alignment horizontal="center" vertical="center"/>
    </xf>
    <xf numFmtId="0" fontId="0" fillId="33" borderId="56" xfId="0" applyFill="1" applyBorder="1" applyAlignment="1">
      <alignment horizontal="center" vertical="center"/>
    </xf>
    <xf numFmtId="0" fontId="0" fillId="33" borderId="52" xfId="0" applyFill="1" applyBorder="1" applyAlignment="1">
      <alignment horizontal="center"/>
    </xf>
    <xf numFmtId="0" fontId="0" fillId="33" borderId="56" xfId="0" applyFill="1" applyBorder="1" applyAlignment="1">
      <alignment horizontal="center"/>
    </xf>
    <xf numFmtId="0" fontId="0" fillId="33" borderId="57" xfId="0" applyFill="1" applyBorder="1" applyAlignment="1">
      <alignment horizontal="center"/>
    </xf>
    <xf numFmtId="0" fontId="0" fillId="33" borderId="53" xfId="0" applyFill="1" applyBorder="1" applyAlignment="1">
      <alignment horizontal="center"/>
    </xf>
    <xf numFmtId="177" fontId="40" fillId="33" borderId="39" xfId="0" applyNumberFormat="1" applyFont="1" applyFill="1" applyBorder="1" applyAlignment="1">
      <alignment horizontal="center" vertical="center"/>
    </xf>
    <xf numFmtId="177" fontId="40" fillId="33" borderId="47" xfId="0" applyNumberFormat="1" applyFont="1" applyFill="1" applyBorder="1" applyAlignment="1">
      <alignment horizontal="center" vertical="center"/>
    </xf>
    <xf numFmtId="177" fontId="40" fillId="33" borderId="48" xfId="0" applyNumberFormat="1" applyFont="1" applyFill="1" applyBorder="1" applyAlignment="1">
      <alignment horizontal="center" vertical="center"/>
    </xf>
    <xf numFmtId="180" fontId="40" fillId="33" borderId="38" xfId="0" applyNumberFormat="1" applyFont="1" applyFill="1" applyBorder="1" applyAlignment="1">
      <alignment horizontal="center" vertical="center"/>
    </xf>
    <xf numFmtId="180" fontId="40" fillId="33" borderId="38" xfId="0" quotePrefix="1" applyNumberFormat="1" applyFont="1" applyFill="1" applyBorder="1" applyAlignment="1">
      <alignment horizontal="center" vertical="center"/>
    </xf>
    <xf numFmtId="180" fontId="40" fillId="33" borderId="41" xfId="0" applyNumberFormat="1" applyFont="1" applyFill="1" applyBorder="1" applyAlignment="1">
      <alignment horizontal="center" vertical="center"/>
    </xf>
    <xf numFmtId="180" fontId="40" fillId="33" borderId="0" xfId="0" applyNumberFormat="1" applyFont="1" applyFill="1" applyBorder="1" applyAlignment="1">
      <alignment horizontal="center" vertical="center"/>
    </xf>
    <xf numFmtId="180" fontId="40" fillId="33" borderId="43" xfId="0" applyNumberFormat="1" applyFont="1" applyFill="1" applyBorder="1" applyAlignment="1">
      <alignment horizontal="center" vertical="center"/>
    </xf>
    <xf numFmtId="179" fontId="40" fillId="33" borderId="44" xfId="0" applyNumberFormat="1" applyFont="1" applyFill="1" applyBorder="1" applyAlignment="1">
      <alignment horizontal="center" vertical="center"/>
    </xf>
    <xf numFmtId="180" fontId="40" fillId="33" borderId="45" xfId="0" applyNumberFormat="1" applyFont="1" applyFill="1" applyBorder="1" applyAlignment="1">
      <alignment horizontal="center" vertical="center"/>
    </xf>
    <xf numFmtId="180" fontId="40" fillId="33" borderId="46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" fillId="33" borderId="35" xfId="0" applyNumberFormat="1" applyFont="1" applyFill="1" applyBorder="1" applyAlignment="1">
      <alignment horizontal="center" vertical="center"/>
    </xf>
    <xf numFmtId="0" fontId="1" fillId="33" borderId="36" xfId="0" applyNumberFormat="1" applyFont="1" applyFill="1" applyBorder="1" applyAlignment="1">
      <alignment horizontal="center" vertical="center"/>
    </xf>
    <xf numFmtId="0" fontId="1" fillId="33" borderId="37" xfId="0" applyNumberFormat="1" applyFont="1" applyFill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/>
    </xf>
    <xf numFmtId="0" fontId="1" fillId="33" borderId="21" xfId="0" applyNumberFormat="1" applyFont="1" applyFill="1" applyBorder="1" applyAlignment="1">
      <alignment horizontal="center" vertical="center"/>
    </xf>
    <xf numFmtId="0" fontId="1" fillId="33" borderId="50" xfId="0" applyNumberFormat="1" applyFont="1" applyFill="1" applyBorder="1" applyAlignment="1">
      <alignment horizontal="center" vertical="center"/>
    </xf>
    <xf numFmtId="0" fontId="1" fillId="33" borderId="54" xfId="0" applyNumberFormat="1" applyFont="1" applyFill="1" applyBorder="1" applyAlignment="1">
      <alignment horizontal="center" vertical="center"/>
    </xf>
    <xf numFmtId="0" fontId="1" fillId="33" borderId="2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/>
    </xf>
    <xf numFmtId="0" fontId="40" fillId="0" borderId="6" xfId="0" applyFont="1" applyBorder="1" applyAlignment="1">
      <alignment horizontal="center" vertical="center"/>
    </xf>
    <xf numFmtId="172" fontId="40" fillId="0" borderId="7" xfId="0" applyNumberFormat="1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172" fontId="40" fillId="0" borderId="9" xfId="0" applyNumberFormat="1" applyFont="1" applyBorder="1" applyAlignment="1">
      <alignment horizontal="center" vertical="center"/>
    </xf>
    <xf numFmtId="0" fontId="0" fillId="33" borderId="45" xfId="0" applyFill="1" applyBorder="1" applyAlignment="1">
      <alignment horizontal="center" vertical="center"/>
    </xf>
    <xf numFmtId="0" fontId="0" fillId="33" borderId="0" xfId="0" quotePrefix="1" applyFill="1" applyBorder="1" applyAlignment="1">
      <alignment horizontal="center" vertical="center"/>
    </xf>
    <xf numFmtId="0" fontId="0" fillId="33" borderId="45" xfId="0" quotePrefix="1" applyFill="1" applyBorder="1" applyAlignment="1">
      <alignment horizontal="center" vertical="center"/>
    </xf>
    <xf numFmtId="0" fontId="0" fillId="33" borderId="11" xfId="0" applyFill="1" applyBorder="1"/>
    <xf numFmtId="0" fontId="0" fillId="33" borderId="6" xfId="0" applyFill="1" applyBorder="1"/>
    <xf numFmtId="0" fontId="0" fillId="33" borderId="8" xfId="0" applyFill="1" applyBorder="1"/>
    <xf numFmtId="0" fontId="0" fillId="33" borderId="10" xfId="0" applyFill="1" applyBorder="1"/>
    <xf numFmtId="0" fontId="0" fillId="33" borderId="9" xfId="0" applyFill="1" applyBorder="1"/>
    <xf numFmtId="176" fontId="40" fillId="33" borderId="33" xfId="0" applyNumberFormat="1" applyFont="1" applyFill="1" applyBorder="1" applyAlignment="1">
      <alignment horizontal="center" vertical="center"/>
    </xf>
    <xf numFmtId="0" fontId="0" fillId="33" borderId="12" xfId="0" applyFill="1" applyBorder="1"/>
    <xf numFmtId="0" fontId="0" fillId="33" borderId="12" xfId="0" applyFill="1" applyBorder="1" applyAlignment="1">
      <alignment horizontal="left" vertical="center"/>
    </xf>
    <xf numFmtId="0" fontId="0" fillId="33" borderId="12" xfId="0" applyFill="1" applyBorder="1" applyAlignment="1">
      <alignment horizontal="center" vertical="center"/>
    </xf>
    <xf numFmtId="0" fontId="0" fillId="33" borderId="13" xfId="0" applyFill="1" applyBorder="1"/>
    <xf numFmtId="0" fontId="0" fillId="33" borderId="0" xfId="0" applyFill="1" applyBorder="1"/>
    <xf numFmtId="0" fontId="0" fillId="33" borderId="7" xfId="0" applyFill="1" applyBorder="1"/>
    <xf numFmtId="0" fontId="1" fillId="33" borderId="0" xfId="0" applyFont="1" applyFill="1" applyBorder="1" applyAlignment="1">
      <alignment horizontal="left" vertical="center"/>
    </xf>
    <xf numFmtId="0" fontId="9" fillId="33" borderId="0" xfId="0" applyFont="1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8" fillId="32" borderId="4" xfId="0" applyFont="1" applyFill="1" applyBorder="1" applyAlignment="1">
      <alignment horizontal="center"/>
    </xf>
    <xf numFmtId="0" fontId="0" fillId="33" borderId="3" xfId="0" applyNumberFormat="1" applyFont="1" applyFill="1" applyBorder="1" applyAlignment="1">
      <alignment horizontal="left" vertical="center"/>
    </xf>
    <xf numFmtId="0" fontId="0" fillId="33" borderId="4" xfId="0" applyNumberFormat="1" applyFont="1" applyFill="1" applyBorder="1" applyAlignment="1">
      <alignment horizontal="left" vertical="center"/>
    </xf>
    <xf numFmtId="0" fontId="0" fillId="33" borderId="5" xfId="0" applyNumberFormat="1" applyFont="1" applyFill="1" applyBorder="1" applyAlignment="1">
      <alignment horizontal="left" vertical="center"/>
    </xf>
    <xf numFmtId="0" fontId="40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181" fontId="0" fillId="0" borderId="4" xfId="0" applyNumberFormat="1" applyFill="1" applyBorder="1" applyAlignment="1">
      <alignment horizontal="center" vertical="center"/>
    </xf>
    <xf numFmtId="172" fontId="8" fillId="0" borderId="4" xfId="0" applyNumberFormat="1" applyFont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33" borderId="3" xfId="0" applyFill="1" applyBorder="1"/>
    <xf numFmtId="0" fontId="0" fillId="33" borderId="4" xfId="0" applyFill="1" applyBorder="1"/>
    <xf numFmtId="0" fontId="0" fillId="33" borderId="5" xfId="0" applyFill="1" applyBorder="1"/>
    <xf numFmtId="177" fontId="57" fillId="0" borderId="4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4" fontId="14" fillId="32" borderId="4" xfId="0" applyNumberFormat="1" applyFont="1" applyFill="1" applyBorder="1" applyAlignment="1">
      <alignment horizontal="center" vertical="center"/>
    </xf>
    <xf numFmtId="179" fontId="14" fillId="32" borderId="4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82" fontId="40" fillId="33" borderId="0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72" fontId="40" fillId="0" borderId="3" xfId="0" applyNumberFormat="1" applyFont="1" applyBorder="1" applyAlignment="1">
      <alignment horizontal="center" vertical="center"/>
    </xf>
    <xf numFmtId="3" fontId="40" fillId="0" borderId="4" xfId="0" applyNumberFormat="1" applyFont="1" applyBorder="1" applyAlignment="1">
      <alignment horizontal="center" vertical="center"/>
    </xf>
    <xf numFmtId="3" fontId="40" fillId="0" borderId="5" xfId="0" applyNumberFormat="1" applyFont="1" applyBorder="1" applyAlignment="1">
      <alignment horizontal="center" vertical="center"/>
    </xf>
    <xf numFmtId="0" fontId="0" fillId="33" borderId="39" xfId="0" applyFill="1" applyBorder="1"/>
    <xf numFmtId="0" fontId="1" fillId="0" borderId="0" xfId="0" applyFont="1" applyAlignment="1">
      <alignment horizontal="center" vertical="center"/>
    </xf>
    <xf numFmtId="0" fontId="0" fillId="33" borderId="47" xfId="0" applyFill="1" applyBorder="1"/>
    <xf numFmtId="177" fontId="8" fillId="4" borderId="47" xfId="0" applyNumberFormat="1" applyFont="1" applyFill="1" applyBorder="1" applyAlignment="1">
      <alignment horizontal="center" vertical="center"/>
    </xf>
    <xf numFmtId="0" fontId="0" fillId="33" borderId="48" xfId="0" applyFill="1" applyBorder="1"/>
    <xf numFmtId="0" fontId="0" fillId="4" borderId="47" xfId="0" applyFill="1" applyBorder="1" applyAlignment="1">
      <alignment horizontal="center" vertical="center"/>
    </xf>
    <xf numFmtId="0" fontId="8" fillId="4" borderId="47" xfId="0" quotePrefix="1" applyFont="1" applyFill="1" applyBorder="1" applyAlignment="1">
      <alignment horizontal="center" vertical="center"/>
    </xf>
    <xf numFmtId="0" fontId="40" fillId="4" borderId="47" xfId="0" applyFont="1" applyFill="1" applyBorder="1" applyAlignment="1">
      <alignment horizontal="center"/>
    </xf>
    <xf numFmtId="0" fontId="57" fillId="4" borderId="47" xfId="0" applyFont="1" applyFill="1" applyBorder="1" applyAlignment="1">
      <alignment horizontal="center"/>
    </xf>
    <xf numFmtId="0" fontId="57" fillId="0" borderId="0" xfId="0" applyFont="1"/>
    <xf numFmtId="0" fontId="0" fillId="32" borderId="4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40" fillId="33" borderId="7" xfId="0" applyFont="1" applyFill="1" applyBorder="1" applyAlignment="1">
      <alignment horizontal="left" vertical="center"/>
    </xf>
    <xf numFmtId="0" fontId="40" fillId="33" borderId="9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center" vertical="center"/>
    </xf>
    <xf numFmtId="15" fontId="8" fillId="33" borderId="12" xfId="0" applyNumberFormat="1" applyFont="1" applyFill="1" applyBorder="1" applyAlignment="1">
      <alignment horizontal="center" vertical="center"/>
    </xf>
    <xf numFmtId="181" fontId="8" fillId="33" borderId="12" xfId="0" applyNumberFormat="1" applyFont="1" applyFill="1" applyBorder="1" applyAlignment="1">
      <alignment horizontal="center" vertical="center"/>
    </xf>
    <xf numFmtId="183" fontId="0" fillId="33" borderId="12" xfId="0" applyNumberFormat="1" applyFill="1" applyBorder="1" applyAlignment="1">
      <alignment horizontal="center" vertical="center"/>
    </xf>
    <xf numFmtId="169" fontId="0" fillId="33" borderId="12" xfId="0" applyNumberFormat="1" applyFill="1" applyBorder="1" applyAlignment="1">
      <alignment horizontal="center" vertical="center"/>
    </xf>
    <xf numFmtId="169" fontId="0" fillId="33" borderId="12" xfId="0" applyNumberFormat="1" applyFill="1" applyBorder="1" applyAlignment="1">
      <alignment horizontal="center"/>
    </xf>
    <xf numFmtId="183" fontId="0" fillId="33" borderId="13" xfId="0" applyNumberFormat="1" applyFill="1" applyBorder="1" applyAlignment="1">
      <alignment horizontal="center" vertical="center"/>
    </xf>
    <xf numFmtId="0" fontId="8" fillId="33" borderId="6" xfId="0" applyFont="1" applyFill="1" applyBorder="1" applyAlignment="1">
      <alignment horizontal="center" vertical="center"/>
    </xf>
    <xf numFmtId="15" fontId="8" fillId="33" borderId="0" xfId="0" applyNumberFormat="1" applyFont="1" applyFill="1" applyBorder="1" applyAlignment="1">
      <alignment horizontal="center" vertical="center"/>
    </xf>
    <xf numFmtId="181" fontId="8" fillId="33" borderId="0" xfId="0" applyNumberFormat="1" applyFont="1" applyFill="1" applyBorder="1" applyAlignment="1">
      <alignment horizontal="center" vertical="center"/>
    </xf>
    <xf numFmtId="183" fontId="0" fillId="33" borderId="0" xfId="0" applyNumberFormat="1" applyFill="1" applyBorder="1" applyAlignment="1">
      <alignment horizontal="center" vertical="center"/>
    </xf>
    <xf numFmtId="169" fontId="0" fillId="33" borderId="0" xfId="0" applyNumberFormat="1" applyFill="1" applyBorder="1" applyAlignment="1">
      <alignment horizontal="center" vertical="center"/>
    </xf>
    <xf numFmtId="169" fontId="0" fillId="33" borderId="0" xfId="0" applyNumberFormat="1" applyFill="1" applyBorder="1" applyAlignment="1">
      <alignment horizontal="center"/>
    </xf>
    <xf numFmtId="183" fontId="0" fillId="33" borderId="7" xfId="0" applyNumberForma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15" fontId="8" fillId="33" borderId="10" xfId="0" applyNumberFormat="1" applyFont="1" applyFill="1" applyBorder="1" applyAlignment="1">
      <alignment horizontal="center" vertical="center"/>
    </xf>
    <xf numFmtId="181" fontId="8" fillId="33" borderId="10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183" fontId="0" fillId="33" borderId="10" xfId="0" applyNumberFormat="1" applyFill="1" applyBorder="1" applyAlignment="1">
      <alignment horizontal="center" vertical="center"/>
    </xf>
    <xf numFmtId="169" fontId="0" fillId="33" borderId="10" xfId="0" applyNumberFormat="1" applyFill="1" applyBorder="1" applyAlignment="1">
      <alignment horizontal="center" vertical="center"/>
    </xf>
    <xf numFmtId="169" fontId="0" fillId="33" borderId="10" xfId="0" applyNumberFormat="1" applyFill="1" applyBorder="1" applyAlignment="1">
      <alignment horizontal="center"/>
    </xf>
    <xf numFmtId="183" fontId="0" fillId="33" borderId="9" xfId="0" applyNumberFormat="1" applyFill="1" applyBorder="1" applyAlignment="1">
      <alignment horizontal="center" vertical="center"/>
    </xf>
    <xf numFmtId="0" fontId="0" fillId="0" borderId="43" xfId="0" applyBorder="1"/>
    <xf numFmtId="177" fontId="14" fillId="4" borderId="43" xfId="0" applyNumberFormat="1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" fillId="0" borderId="43" xfId="0" applyFont="1" applyBorder="1" applyAlignment="1">
      <alignment horizontal="center" vertical="center"/>
    </xf>
    <xf numFmtId="0" fontId="0" fillId="33" borderId="3" xfId="0" applyFill="1" applyBorder="1" applyAlignment="1">
      <alignment horizontal="left" vertical="center"/>
    </xf>
    <xf numFmtId="0" fontId="8" fillId="33" borderId="5" xfId="0" applyFont="1" applyFill="1" applyBorder="1" applyAlignment="1">
      <alignment horizontal="left" vertical="center"/>
    </xf>
    <xf numFmtId="0" fontId="8" fillId="33" borderId="3" xfId="0" applyFont="1" applyFill="1" applyBorder="1" applyAlignment="1">
      <alignment horizontal="left" vertical="center"/>
    </xf>
    <xf numFmtId="0" fontId="8" fillId="33" borderId="4" xfId="0" applyFont="1" applyFill="1" applyBorder="1" applyAlignment="1">
      <alignment horizontal="left" vertical="center"/>
    </xf>
    <xf numFmtId="0" fontId="14" fillId="0" borderId="0" xfId="0" applyFont="1"/>
    <xf numFmtId="3" fontId="0" fillId="4" borderId="39" xfId="0" applyNumberFormat="1" applyFill="1" applyBorder="1" applyAlignment="1">
      <alignment horizontal="center" vertical="center"/>
    </xf>
    <xf numFmtId="0" fontId="0" fillId="33" borderId="6" xfId="0" applyFill="1" applyBorder="1" applyAlignment="1">
      <alignment horizontal="left" vertical="center"/>
    </xf>
    <xf numFmtId="0" fontId="0" fillId="33" borderId="8" xfId="0" applyFill="1" applyBorder="1" applyAlignment="1">
      <alignment horizontal="left" vertical="center"/>
    </xf>
    <xf numFmtId="0" fontId="1" fillId="33" borderId="11" xfId="0" applyFont="1" applyFill="1" applyBorder="1"/>
    <xf numFmtId="0" fontId="1" fillId="33" borderId="13" xfId="0" applyFont="1" applyFill="1" applyBorder="1" applyAlignment="1">
      <alignment horizontal="left"/>
    </xf>
    <xf numFmtId="0" fontId="9" fillId="33" borderId="4" xfId="0" applyFont="1" applyFill="1" applyBorder="1"/>
    <xf numFmtId="183" fontId="14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0" fillId="33" borderId="3" xfId="0" applyFont="1" applyFill="1" applyBorder="1" applyAlignment="1">
      <alignment horizontal="left" vertical="center"/>
    </xf>
    <xf numFmtId="0" fontId="40" fillId="33" borderId="4" xfId="0" applyFont="1" applyFill="1" applyBorder="1" applyAlignment="1">
      <alignment horizontal="left" vertical="center"/>
    </xf>
    <xf numFmtId="0" fontId="40" fillId="33" borderId="5" xfId="0" applyFont="1" applyFill="1" applyBorder="1" applyAlignment="1">
      <alignment horizontal="left" vertical="center"/>
    </xf>
    <xf numFmtId="14" fontId="0" fillId="33" borderId="12" xfId="0" applyNumberFormat="1" applyFill="1" applyBorder="1" applyAlignment="1">
      <alignment horizontal="center" vertical="center"/>
    </xf>
    <xf numFmtId="3" fontId="0" fillId="33" borderId="12" xfId="0" applyNumberFormat="1" applyFill="1" applyBorder="1" applyAlignment="1">
      <alignment horizontal="center" vertical="center"/>
    </xf>
    <xf numFmtId="3" fontId="0" fillId="33" borderId="0" xfId="0" applyNumberFormat="1" applyFill="1" applyBorder="1" applyAlignment="1">
      <alignment horizontal="center" vertical="center"/>
    </xf>
    <xf numFmtId="3" fontId="0" fillId="33" borderId="10" xfId="0" applyNumberFormat="1" applyFill="1" applyBorder="1" applyAlignment="1">
      <alignment horizontal="center" vertical="center"/>
    </xf>
    <xf numFmtId="170" fontId="0" fillId="33" borderId="12" xfId="0" applyNumberFormat="1" applyFill="1" applyBorder="1" applyAlignment="1">
      <alignment horizontal="center" vertical="center"/>
    </xf>
    <xf numFmtId="170" fontId="0" fillId="33" borderId="0" xfId="0" applyNumberFormat="1" applyFill="1" applyBorder="1" applyAlignment="1">
      <alignment horizontal="center" vertical="center"/>
    </xf>
    <xf numFmtId="170" fontId="0" fillId="33" borderId="10" xfId="0" applyNumberForma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8" fillId="4" borderId="48" xfId="0" quotePrefix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47" xfId="0" quotePrefix="1" applyFont="1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3" borderId="4" xfId="0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172" fontId="40" fillId="33" borderId="47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 vertical="center"/>
    </xf>
    <xf numFmtId="0" fontId="8" fillId="33" borderId="47" xfId="0" applyFont="1" applyFill="1" applyBorder="1"/>
    <xf numFmtId="183" fontId="8" fillId="4" borderId="47" xfId="0" applyNumberFormat="1" applyFont="1" applyFill="1" applyBorder="1" applyAlignment="1">
      <alignment horizontal="center" vertical="center"/>
    </xf>
    <xf numFmtId="0" fontId="14" fillId="33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8" fillId="33" borderId="11" xfId="0" applyFont="1" applyFill="1" applyBorder="1" applyAlignment="1">
      <alignment horizontal="left" vertical="center"/>
    </xf>
    <xf numFmtId="0" fontId="8" fillId="33" borderId="12" xfId="0" applyFont="1" applyFill="1" applyBorder="1" applyAlignment="1">
      <alignment horizontal="left" vertical="center"/>
    </xf>
    <xf numFmtId="0" fontId="8" fillId="33" borderId="13" xfId="0" applyFont="1" applyFill="1" applyBorder="1" applyAlignment="1">
      <alignment horizontal="left" vertical="center"/>
    </xf>
    <xf numFmtId="0" fontId="8" fillId="33" borderId="6" xfId="0" applyFont="1" applyFill="1" applyBorder="1" applyAlignment="1">
      <alignment horizontal="left" vertical="center"/>
    </xf>
    <xf numFmtId="0" fontId="8" fillId="33" borderId="7" xfId="0" applyFont="1" applyFill="1" applyBorder="1" applyAlignment="1">
      <alignment horizontal="left" vertical="center"/>
    </xf>
    <xf numFmtId="0" fontId="8" fillId="33" borderId="8" xfId="0" applyFont="1" applyFill="1" applyBorder="1" applyAlignment="1">
      <alignment horizontal="left" vertical="center"/>
    </xf>
    <xf numFmtId="0" fontId="8" fillId="33" borderId="10" xfId="0" applyFont="1" applyFill="1" applyBorder="1" applyAlignment="1">
      <alignment horizontal="left" vertical="center"/>
    </xf>
    <xf numFmtId="0" fontId="8" fillId="33" borderId="9" xfId="0" applyFont="1" applyFill="1" applyBorder="1" applyAlignment="1">
      <alignment horizontal="left" vertical="center"/>
    </xf>
    <xf numFmtId="0" fontId="8" fillId="31" borderId="11" xfId="0" applyFont="1" applyFill="1" applyBorder="1" applyAlignment="1">
      <alignment horizontal="center" vertical="center"/>
    </xf>
    <xf numFmtId="0" fontId="8" fillId="31" borderId="13" xfId="0" applyFont="1" applyFill="1" applyBorder="1" applyAlignment="1">
      <alignment horizontal="center" vertical="center"/>
    </xf>
    <xf numFmtId="0" fontId="8" fillId="31" borderId="6" xfId="0" applyFont="1" applyFill="1" applyBorder="1" applyAlignment="1">
      <alignment horizontal="center" vertical="center"/>
    </xf>
    <xf numFmtId="0" fontId="8" fillId="31" borderId="7" xfId="0" applyFont="1" applyFill="1" applyBorder="1" applyAlignment="1">
      <alignment horizontal="center" vertical="center"/>
    </xf>
    <xf numFmtId="0" fontId="8" fillId="31" borderId="8" xfId="0" applyFont="1" applyFill="1" applyBorder="1" applyAlignment="1">
      <alignment horizontal="center" vertical="center"/>
    </xf>
    <xf numFmtId="0" fontId="8" fillId="31" borderId="9" xfId="0" applyFont="1" applyFill="1" applyBorder="1" applyAlignment="1">
      <alignment horizontal="center" vertical="center"/>
    </xf>
    <xf numFmtId="0" fontId="0" fillId="33" borderId="3" xfId="0" quotePrefix="1" applyFill="1" applyBorder="1"/>
    <xf numFmtId="0" fontId="40" fillId="4" borderId="47" xfId="0" applyFont="1" applyFill="1" applyBorder="1" applyAlignment="1">
      <alignment horizontal="center" vertical="center"/>
    </xf>
    <xf numFmtId="183" fontId="0" fillId="0" borderId="0" xfId="0" applyNumberFormat="1"/>
    <xf numFmtId="177" fontId="40" fillId="4" borderId="47" xfId="0" applyNumberFormat="1" applyFont="1" applyFill="1" applyBorder="1" applyAlignment="1">
      <alignment horizontal="center" vertical="center"/>
    </xf>
    <xf numFmtId="170" fontId="40" fillId="4" borderId="47" xfId="0" applyNumberFormat="1" applyFont="1" applyFill="1" applyBorder="1" applyAlignment="1">
      <alignment horizontal="center"/>
    </xf>
    <xf numFmtId="14" fontId="40" fillId="4" borderId="47" xfId="0" applyNumberFormat="1" applyFont="1" applyFill="1" applyBorder="1" applyAlignment="1">
      <alignment horizontal="center" vertical="center"/>
    </xf>
    <xf numFmtId="172" fontId="40" fillId="4" borderId="47" xfId="0" quotePrefix="1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6" fontId="40" fillId="4" borderId="47" xfId="0" applyNumberFormat="1" applyFont="1" applyFill="1" applyBorder="1" applyAlignment="1">
      <alignment horizontal="center" vertical="center"/>
    </xf>
    <xf numFmtId="176" fontId="8" fillId="4" borderId="47" xfId="0" applyNumberFormat="1" applyFont="1" applyFill="1" applyBorder="1" applyAlignment="1">
      <alignment horizontal="center" vertical="center"/>
    </xf>
    <xf numFmtId="176" fontId="0" fillId="4" borderId="47" xfId="0" applyNumberFormat="1" applyFont="1" applyFill="1" applyBorder="1" applyAlignment="1">
      <alignment horizontal="center" vertical="center"/>
    </xf>
    <xf numFmtId="0" fontId="0" fillId="4" borderId="47" xfId="0" applyFont="1" applyFill="1" applyBorder="1" applyAlignment="1">
      <alignment horizontal="center" vertical="center"/>
    </xf>
    <xf numFmtId="0" fontId="40" fillId="33" borderId="33" xfId="0" applyFont="1" applyFill="1" applyBorder="1" applyAlignment="1">
      <alignment horizontal="center" vertical="center"/>
    </xf>
    <xf numFmtId="183" fontId="40" fillId="4" borderId="3" xfId="0" applyNumberFormat="1" applyFont="1" applyFill="1" applyBorder="1" applyAlignment="1">
      <alignment horizontal="center" vertical="center"/>
    </xf>
    <xf numFmtId="183" fontId="7" fillId="32" borderId="4" xfId="0" applyNumberFormat="1" applyFont="1" applyFill="1" applyBorder="1" applyAlignment="1">
      <alignment horizontal="center" vertical="center"/>
    </xf>
    <xf numFmtId="183" fontId="40" fillId="4" borderId="5" xfId="0" applyNumberFormat="1" applyFont="1" applyFill="1" applyBorder="1" applyAlignment="1">
      <alignment horizontal="center" vertical="center"/>
    </xf>
    <xf numFmtId="168" fontId="40" fillId="4" borderId="3" xfId="0" applyNumberFormat="1" applyFont="1" applyFill="1" applyBorder="1" applyAlignment="1">
      <alignment horizontal="center" vertical="center"/>
    </xf>
    <xf numFmtId="168" fontId="7" fillId="32" borderId="4" xfId="0" applyNumberFormat="1" applyFont="1" applyFill="1" applyBorder="1" applyAlignment="1">
      <alignment horizontal="center" vertical="center"/>
    </xf>
    <xf numFmtId="168" fontId="40" fillId="4" borderId="4" xfId="0" applyNumberFormat="1" applyFont="1" applyFill="1" applyBorder="1" applyAlignment="1">
      <alignment horizontal="center" vertical="center"/>
    </xf>
    <xf numFmtId="3" fontId="0" fillId="4" borderId="39" xfId="0" applyNumberFormat="1" applyFont="1" applyFill="1" applyBorder="1" applyAlignment="1">
      <alignment horizontal="center" vertical="center"/>
    </xf>
    <xf numFmtId="0" fontId="0" fillId="33" borderId="39" xfId="0" applyFont="1" applyFill="1" applyBorder="1"/>
    <xf numFmtId="0" fontId="0" fillId="33" borderId="47" xfId="0" applyFont="1" applyFill="1" applyBorder="1"/>
    <xf numFmtId="0" fontId="0" fillId="33" borderId="48" xfId="0" applyFont="1" applyFill="1" applyBorder="1"/>
    <xf numFmtId="0" fontId="14" fillId="33" borderId="5" xfId="0" applyFont="1" applyFill="1" applyBorder="1" applyAlignment="1">
      <alignment horizontal="left" vertical="center"/>
    </xf>
    <xf numFmtId="183" fontId="14" fillId="4" borderId="5" xfId="0" applyNumberFormat="1" applyFont="1" applyFill="1" applyBorder="1" applyAlignment="1">
      <alignment horizontal="center" vertical="center"/>
    </xf>
    <xf numFmtId="0" fontId="1" fillId="33" borderId="6" xfId="0" applyFont="1" applyFill="1" applyBorder="1"/>
    <xf numFmtId="0" fontId="1" fillId="33" borderId="7" xfId="0" applyFont="1" applyFill="1" applyBorder="1" applyAlignment="1">
      <alignment horizontal="left"/>
    </xf>
    <xf numFmtId="0" fontId="0" fillId="33" borderId="4" xfId="0" applyFill="1" applyBorder="1" applyAlignment="1">
      <alignment horizontal="left" vertical="center"/>
    </xf>
    <xf numFmtId="183" fontId="40" fillId="4" borderId="4" xfId="0" applyNumberFormat="1" applyFont="1" applyFill="1" applyBorder="1" applyAlignment="1">
      <alignment horizontal="center" vertical="center"/>
    </xf>
    <xf numFmtId="0" fontId="15" fillId="0" borderId="0" xfId="0" applyFont="1"/>
    <xf numFmtId="0" fontId="59" fillId="33" borderId="4" xfId="0" applyFont="1" applyFill="1" applyBorder="1" applyAlignment="1">
      <alignment horizontal="center" vertical="center"/>
    </xf>
    <xf numFmtId="0" fontId="59" fillId="33" borderId="5" xfId="0" applyFont="1" applyFill="1" applyBorder="1" applyAlignment="1">
      <alignment horizontal="center" vertical="center"/>
    </xf>
    <xf numFmtId="0" fontId="59" fillId="33" borderId="3" xfId="0" quotePrefix="1" applyFont="1" applyFill="1" applyBorder="1" applyAlignment="1">
      <alignment horizontal="center" vertical="center"/>
    </xf>
    <xf numFmtId="0" fontId="0" fillId="33" borderId="4" xfId="0" applyFont="1" applyFill="1" applyBorder="1" applyAlignment="1">
      <alignment horizontal="left" vertical="center"/>
    </xf>
    <xf numFmtId="0" fontId="9" fillId="33" borderId="12" xfId="0" applyFont="1" applyFill="1" applyBorder="1" applyAlignment="1">
      <alignment horizontal="center" vertical="center"/>
    </xf>
    <xf numFmtId="0" fontId="55" fillId="33" borderId="33" xfId="56" applyFont="1" applyFill="1" applyBorder="1">
      <alignment vertical="center"/>
    </xf>
    <xf numFmtId="164" fontId="55" fillId="32" borderId="33" xfId="10" applyFont="1" applyFill="1" applyBorder="1" applyAlignment="1">
      <alignment horizontal="center" vertical="center"/>
    </xf>
    <xf numFmtId="164" fontId="56" fillId="33" borderId="3" xfId="10" applyFont="1" applyFill="1" applyBorder="1" applyAlignment="1">
      <alignment horizontal="center" vertical="center"/>
    </xf>
    <xf numFmtId="171" fontId="9" fillId="0" borderId="0" xfId="0" applyNumberFormat="1" applyFont="1" applyAlignment="1">
      <alignment horizontal="center" vertical="center"/>
    </xf>
    <xf numFmtId="15" fontId="40" fillId="33" borderId="11" xfId="0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horizontal="center" vertical="center"/>
    </xf>
    <xf numFmtId="171" fontId="40" fillId="33" borderId="7" xfId="0" applyNumberFormat="1" applyFont="1" applyFill="1" applyBorder="1" applyAlignment="1">
      <alignment horizontal="center" vertical="center"/>
    </xf>
    <xf numFmtId="171" fontId="40" fillId="33" borderId="7" xfId="0" quotePrefix="1" applyNumberFormat="1" applyFont="1" applyFill="1" applyBorder="1" applyAlignment="1">
      <alignment horizontal="center" vertical="center"/>
    </xf>
    <xf numFmtId="15" fontId="40" fillId="33" borderId="6" xfId="0" applyNumberFormat="1" applyFont="1" applyFill="1" applyBorder="1" applyAlignment="1">
      <alignment vertical="center"/>
    </xf>
    <xf numFmtId="15" fontId="40" fillId="33" borderId="8" xfId="0" applyNumberFormat="1" applyFont="1" applyFill="1" applyBorder="1" applyAlignment="1">
      <alignment vertical="center"/>
    </xf>
    <xf numFmtId="171" fontId="40" fillId="33" borderId="9" xfId="0" applyNumberFormat="1" applyFont="1" applyFill="1" applyBorder="1" applyAlignment="1">
      <alignment horizontal="center" vertical="center"/>
    </xf>
    <xf numFmtId="0" fontId="40" fillId="4" borderId="4" xfId="0" applyFont="1" applyFill="1" applyBorder="1" applyAlignment="1">
      <alignment horizontal="left" vertical="top"/>
    </xf>
    <xf numFmtId="0" fontId="0" fillId="0" borderId="0" xfId="0" applyAlignment="1">
      <alignment horizontal="left" vertical="center"/>
    </xf>
    <xf numFmtId="181" fontId="0" fillId="0" borderId="0" xfId="0" applyNumberFormat="1" applyAlignment="1">
      <alignment horizontal="center" vertical="center"/>
    </xf>
    <xf numFmtId="172" fontId="40" fillId="33" borderId="10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 vertical="center"/>
    </xf>
    <xf numFmtId="170" fontId="40" fillId="33" borderId="9" xfId="0" applyNumberFormat="1" applyFon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left" vertical="center"/>
    </xf>
    <xf numFmtId="0" fontId="0" fillId="0" borderId="4" xfId="0" applyBorder="1"/>
    <xf numFmtId="0" fontId="40" fillId="33" borderId="10" xfId="0" applyFont="1" applyFill="1" applyBorder="1" applyAlignment="1">
      <alignment horizontal="left" vertical="center"/>
    </xf>
    <xf numFmtId="170" fontId="40" fillId="33" borderId="10" xfId="0" applyNumberFormat="1" applyFont="1" applyFill="1" applyBorder="1" applyAlignment="1">
      <alignment horizontal="left" vertical="center"/>
    </xf>
    <xf numFmtId="177" fontId="40" fillId="33" borderId="10" xfId="0" applyNumberFormat="1" applyFont="1" applyFill="1" applyBorder="1" applyAlignment="1">
      <alignment horizontal="left" vertical="center"/>
    </xf>
    <xf numFmtId="4" fontId="40" fillId="33" borderId="10" xfId="0" applyNumberFormat="1" applyFont="1" applyFill="1" applyBorder="1" applyAlignment="1">
      <alignment horizontal="left" vertical="center"/>
    </xf>
    <xf numFmtId="3" fontId="40" fillId="33" borderId="10" xfId="0" applyNumberFormat="1" applyFont="1" applyFill="1" applyBorder="1" applyAlignment="1">
      <alignment horizontal="left" vertical="center"/>
    </xf>
    <xf numFmtId="0" fontId="0" fillId="0" borderId="6" xfId="0" applyBorder="1"/>
    <xf numFmtId="170" fontId="8" fillId="4" borderId="9" xfId="0" applyNumberFormat="1" applyFont="1" applyFill="1" applyBorder="1" applyAlignment="1">
      <alignment horizontal="center" vertical="center"/>
    </xf>
    <xf numFmtId="177" fontId="8" fillId="4" borderId="10" xfId="0" applyNumberFormat="1" applyFont="1" applyFill="1" applyBorder="1" applyAlignment="1">
      <alignment horizontal="center" vertical="center"/>
    </xf>
    <xf numFmtId="170" fontId="8" fillId="4" borderId="58" xfId="0" applyNumberFormat="1" applyFont="1" applyFill="1" applyBorder="1" applyAlignment="1">
      <alignment horizontal="center" vertical="center"/>
    </xf>
    <xf numFmtId="177" fontId="8" fillId="4" borderId="59" xfId="0" applyNumberFormat="1" applyFont="1" applyFill="1" applyBorder="1" applyAlignment="1">
      <alignment horizontal="center" vertical="center"/>
    </xf>
    <xf numFmtId="177" fontId="40" fillId="33" borderId="60" xfId="0" applyNumberFormat="1" applyFont="1" applyFill="1" applyBorder="1" applyAlignment="1">
      <alignment horizontal="center" vertical="center"/>
    </xf>
    <xf numFmtId="172" fontId="40" fillId="33" borderId="0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 vertical="center"/>
    </xf>
    <xf numFmtId="170" fontId="40" fillId="33" borderId="7" xfId="0" applyNumberFormat="1" applyFon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left" vertical="center"/>
    </xf>
    <xf numFmtId="0" fontId="40" fillId="33" borderId="0" xfId="0" applyFont="1" applyFill="1" applyBorder="1" applyAlignment="1">
      <alignment horizontal="left" vertical="center"/>
    </xf>
    <xf numFmtId="170" fontId="40" fillId="33" borderId="0" xfId="0" applyNumberFormat="1" applyFont="1" applyFill="1" applyBorder="1" applyAlignment="1">
      <alignment horizontal="left" vertical="center"/>
    </xf>
    <xf numFmtId="177" fontId="40" fillId="33" borderId="0" xfId="0" applyNumberFormat="1" applyFont="1" applyFill="1" applyBorder="1" applyAlignment="1">
      <alignment horizontal="left" vertical="center"/>
    </xf>
    <xf numFmtId="4" fontId="40" fillId="33" borderId="0" xfId="0" applyNumberFormat="1" applyFont="1" applyFill="1" applyBorder="1" applyAlignment="1">
      <alignment horizontal="left" vertical="center"/>
    </xf>
    <xf numFmtId="3" fontId="40" fillId="33" borderId="0" xfId="0" applyNumberFormat="1" applyFont="1" applyFill="1" applyBorder="1" applyAlignment="1">
      <alignment horizontal="left" vertical="center"/>
    </xf>
    <xf numFmtId="170" fontId="8" fillId="4" borderId="7" xfId="0" applyNumberFormat="1" applyFont="1" applyFill="1" applyBorder="1" applyAlignment="1">
      <alignment horizontal="center" vertical="center"/>
    </xf>
    <xf numFmtId="177" fontId="8" fillId="4" borderId="0" xfId="0" applyNumberFormat="1" applyFont="1" applyFill="1" applyBorder="1" applyAlignment="1">
      <alignment horizontal="center" vertical="center"/>
    </xf>
    <xf numFmtId="170" fontId="8" fillId="4" borderId="61" xfId="0" applyNumberFormat="1" applyFont="1" applyFill="1" applyBorder="1" applyAlignment="1">
      <alignment horizontal="center" vertical="center"/>
    </xf>
    <xf numFmtId="177" fontId="8" fillId="4" borderId="62" xfId="0" applyNumberFormat="1" applyFont="1" applyFill="1" applyBorder="1" applyAlignment="1">
      <alignment horizontal="center" vertical="center"/>
    </xf>
    <xf numFmtId="177" fontId="40" fillId="33" borderId="63" xfId="0" applyNumberFormat="1" applyFont="1" applyFill="1" applyBorder="1" applyAlignment="1">
      <alignment horizontal="center" vertical="center"/>
    </xf>
    <xf numFmtId="172" fontId="40" fillId="33" borderId="12" xfId="0" applyNumberFormat="1" applyFont="1" applyFill="1" applyBorder="1" applyAlignment="1">
      <alignment horizontal="center" vertical="center"/>
    </xf>
    <xf numFmtId="170" fontId="40" fillId="33" borderId="13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0" fontId="40" fillId="33" borderId="13" xfId="0" applyFont="1" applyFill="1" applyBorder="1" applyAlignment="1">
      <alignment horizontal="left" vertical="center"/>
    </xf>
    <xf numFmtId="0" fontId="40" fillId="33" borderId="12" xfId="0" applyFont="1" applyFill="1" applyBorder="1" applyAlignment="1">
      <alignment horizontal="left" vertical="center"/>
    </xf>
    <xf numFmtId="170" fontId="40" fillId="33" borderId="12" xfId="0" applyNumberFormat="1" applyFont="1" applyFill="1" applyBorder="1" applyAlignment="1">
      <alignment horizontal="left" vertical="center"/>
    </xf>
    <xf numFmtId="177" fontId="40" fillId="33" borderId="12" xfId="0" applyNumberFormat="1" applyFont="1" applyFill="1" applyBorder="1" applyAlignment="1">
      <alignment horizontal="left" vertical="center"/>
    </xf>
    <xf numFmtId="4" fontId="40" fillId="33" borderId="12" xfId="0" applyNumberFormat="1" applyFont="1" applyFill="1" applyBorder="1" applyAlignment="1">
      <alignment horizontal="left" vertical="center"/>
    </xf>
    <xf numFmtId="3" fontId="40" fillId="33" borderId="12" xfId="0" applyNumberFormat="1" applyFont="1" applyFill="1" applyBorder="1" applyAlignment="1">
      <alignment horizontal="left" vertical="center"/>
    </xf>
    <xf numFmtId="170" fontId="8" fillId="4" borderId="13" xfId="0" applyNumberFormat="1" applyFont="1" applyFill="1" applyBorder="1" applyAlignment="1">
      <alignment horizontal="center" vertical="center"/>
    </xf>
    <xf numFmtId="177" fontId="8" fillId="4" borderId="12" xfId="0" applyNumberFormat="1" applyFont="1" applyFill="1" applyBorder="1" applyAlignment="1">
      <alignment horizontal="center" vertical="center"/>
    </xf>
    <xf numFmtId="170" fontId="8" fillId="4" borderId="64" xfId="0" applyNumberFormat="1" applyFont="1" applyFill="1" applyBorder="1" applyAlignment="1">
      <alignment horizontal="center" vertical="center"/>
    </xf>
    <xf numFmtId="177" fontId="8" fillId="4" borderId="65" xfId="0" applyNumberFormat="1" applyFont="1" applyFill="1" applyBorder="1" applyAlignment="1">
      <alignment horizontal="center" vertical="center"/>
    </xf>
    <xf numFmtId="177" fontId="40" fillId="33" borderId="66" xfId="0" applyNumberFormat="1" applyFont="1" applyFill="1" applyBorder="1" applyAlignment="1">
      <alignment horizontal="center" vertical="center"/>
    </xf>
    <xf numFmtId="0" fontId="8" fillId="33" borderId="10" xfId="0" applyFont="1" applyFill="1" applyBorder="1" applyAlignment="1">
      <alignment horizontal="center" vertical="center"/>
    </xf>
    <xf numFmtId="0" fontId="0" fillId="33" borderId="9" xfId="0" quotePrefix="1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left" vertical="center"/>
    </xf>
    <xf numFmtId="0" fontId="0" fillId="33" borderId="9" xfId="0" applyFill="1" applyBorder="1" applyAlignment="1">
      <alignment horizontal="left" vertical="center"/>
    </xf>
    <xf numFmtId="0" fontId="0" fillId="33" borderId="9" xfId="0" applyFont="1" applyFill="1" applyBorder="1" applyAlignment="1">
      <alignment horizontal="center" vertical="center"/>
    </xf>
    <xf numFmtId="0" fontId="0" fillId="33" borderId="58" xfId="0" applyFont="1" applyFill="1" applyBorder="1" applyAlignment="1">
      <alignment horizontal="center" vertical="center"/>
    </xf>
    <xf numFmtId="0" fontId="0" fillId="33" borderId="59" xfId="0" applyFont="1" applyFill="1" applyBorder="1" applyAlignment="1">
      <alignment horizontal="center" vertical="center"/>
    </xf>
    <xf numFmtId="0" fontId="0" fillId="33" borderId="8" xfId="0" applyFill="1" applyBorder="1" applyAlignment="1">
      <alignment horizontal="center" vertical="center"/>
    </xf>
    <xf numFmtId="0" fontId="8" fillId="33" borderId="12" xfId="0" applyFont="1" applyFill="1" applyBorder="1"/>
    <xf numFmtId="0" fontId="8" fillId="33" borderId="11" xfId="0" applyFont="1" applyFill="1" applyBorder="1"/>
    <xf numFmtId="0" fontId="0" fillId="33" borderId="13" xfId="0" applyFont="1" applyFill="1" applyBorder="1" applyAlignment="1">
      <alignment horizontal="center" vertical="center"/>
    </xf>
    <xf numFmtId="0" fontId="0" fillId="33" borderId="11" xfId="0" applyFont="1" applyFill="1" applyBorder="1" applyAlignment="1">
      <alignment horizontal="left" vertical="center"/>
    </xf>
    <xf numFmtId="0" fontId="1" fillId="33" borderId="11" xfId="0" applyFont="1" applyFill="1" applyBorder="1" applyAlignment="1">
      <alignment horizontal="left" vertical="center"/>
    </xf>
    <xf numFmtId="0" fontId="0" fillId="33" borderId="13" xfId="0" applyFill="1" applyBorder="1" applyAlignment="1">
      <alignment horizontal="left" vertical="center"/>
    </xf>
    <xf numFmtId="0" fontId="1" fillId="33" borderId="13" xfId="0" applyFont="1" applyFill="1" applyBorder="1" applyAlignment="1">
      <alignment horizontal="left" vertical="center"/>
    </xf>
    <xf numFmtId="0" fontId="1" fillId="33" borderId="12" xfId="0" applyFont="1" applyFill="1" applyBorder="1" applyAlignment="1">
      <alignment horizontal="left" vertical="center"/>
    </xf>
    <xf numFmtId="0" fontId="0" fillId="33" borderId="12" xfId="0" applyFont="1" applyFill="1" applyBorder="1" applyAlignment="1">
      <alignment horizontal="left" vertical="center"/>
    </xf>
    <xf numFmtId="0" fontId="1" fillId="33" borderId="64" xfId="0" applyFont="1" applyFill="1" applyBorder="1" applyAlignment="1">
      <alignment horizontal="left" vertical="center"/>
    </xf>
    <xf numFmtId="0" fontId="0" fillId="33" borderId="65" xfId="0" applyFont="1" applyFill="1" applyBorder="1" applyAlignment="1">
      <alignment horizontal="left" vertical="center"/>
    </xf>
    <xf numFmtId="170" fontId="0" fillId="0" borderId="0" xfId="0" applyNumberForma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center" vertical="center"/>
    </xf>
    <xf numFmtId="0" fontId="49" fillId="33" borderId="69" xfId="0" applyFont="1" applyFill="1" applyBorder="1" applyAlignment="1">
      <alignment horizontal="center" vertical="center"/>
    </xf>
    <xf numFmtId="0" fontId="40" fillId="33" borderId="75" xfId="0" applyFont="1" applyFill="1" applyBorder="1" applyAlignment="1">
      <alignment horizontal="center" vertical="center"/>
    </xf>
    <xf numFmtId="170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70" fontId="40" fillId="33" borderId="75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33" borderId="72" xfId="0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49" fontId="8" fillId="0" borderId="4" xfId="0" quotePrefix="1" applyNumberFormat="1" applyFont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0" fontId="49" fillId="33" borderId="74" xfId="0" applyFont="1" applyFill="1" applyBorder="1" applyAlignment="1">
      <alignment horizontal="center" vertical="center"/>
    </xf>
    <xf numFmtId="3" fontId="8" fillId="32" borderId="76" xfId="0" applyNumberFormat="1" applyFont="1" applyFill="1" applyBorder="1" applyAlignment="1">
      <alignment horizontal="center"/>
    </xf>
    <xf numFmtId="3" fontId="0" fillId="32" borderId="70" xfId="0" applyNumberFormat="1" applyFont="1" applyFill="1" applyBorder="1" applyAlignment="1">
      <alignment horizontal="center" vertical="center"/>
    </xf>
    <xf numFmtId="3" fontId="0" fillId="32" borderId="73" xfId="0" applyNumberFormat="1" applyFont="1" applyFill="1" applyBorder="1" applyAlignment="1">
      <alignment horizontal="center" vertical="center"/>
    </xf>
    <xf numFmtId="0" fontId="0" fillId="33" borderId="3" xfId="0" applyFont="1" applyFill="1" applyBorder="1"/>
    <xf numFmtId="0" fontId="0" fillId="33" borderId="4" xfId="0" applyFont="1" applyFill="1" applyBorder="1"/>
    <xf numFmtId="15" fontId="0" fillId="0" borderId="4" xfId="0" applyNumberFormat="1" applyFont="1" applyBorder="1" applyAlignment="1">
      <alignment horizontal="center" vertical="center"/>
    </xf>
    <xf numFmtId="0" fontId="0" fillId="33" borderId="70" xfId="0" applyFont="1" applyFill="1" applyBorder="1"/>
    <xf numFmtId="0" fontId="0" fillId="33" borderId="73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49" fillId="0" borderId="0" xfId="0" applyFont="1" applyBorder="1" applyAlignment="1">
      <alignment horizontal="center" vertical="center"/>
    </xf>
    <xf numFmtId="0" fontId="0" fillId="33" borderId="5" xfId="0" applyFont="1" applyFill="1" applyBorder="1"/>
    <xf numFmtId="0" fontId="40" fillId="33" borderId="3" xfId="0" applyFont="1" applyFill="1" applyBorder="1" applyAlignment="1">
      <alignment horizontal="center" vertical="center"/>
    </xf>
    <xf numFmtId="0" fontId="8" fillId="33" borderId="72" xfId="0" applyFont="1" applyFill="1" applyBorder="1" applyAlignment="1">
      <alignment horizontal="left" vertical="center"/>
    </xf>
    <xf numFmtId="0" fontId="8" fillId="33" borderId="74" xfId="0" applyFont="1" applyFill="1" applyBorder="1" applyAlignment="1">
      <alignment horizontal="left" vertical="center"/>
    </xf>
    <xf numFmtId="0" fontId="8" fillId="33" borderId="77" xfId="0" applyFont="1" applyFill="1" applyBorder="1" applyAlignment="1">
      <alignment horizontal="left" vertical="center"/>
    </xf>
    <xf numFmtId="0" fontId="8" fillId="33" borderId="78" xfId="0" applyFont="1" applyFill="1" applyBorder="1"/>
    <xf numFmtId="0" fontId="8" fillId="33" borderId="80" xfId="0" applyFont="1" applyFill="1" applyBorder="1"/>
    <xf numFmtId="181" fontId="40" fillId="33" borderId="77" xfId="0" applyNumberFormat="1" applyFont="1" applyFill="1" applyBorder="1" applyAlignment="1">
      <alignment horizontal="center" vertical="center"/>
    </xf>
    <xf numFmtId="0" fontId="0" fillId="33" borderId="81" xfId="0" applyFont="1" applyFill="1" applyBorder="1"/>
    <xf numFmtId="0" fontId="0" fillId="4" borderId="81" xfId="0" applyFill="1" applyBorder="1" applyAlignment="1">
      <alignment horizontal="center" vertical="center"/>
    </xf>
    <xf numFmtId="0" fontId="0" fillId="33" borderId="82" xfId="0" applyFill="1" applyBorder="1"/>
    <xf numFmtId="0" fontId="0" fillId="4" borderId="0" xfId="0" applyFont="1" applyFill="1" applyBorder="1"/>
    <xf numFmtId="0" fontId="0" fillId="33" borderId="84" xfId="0" applyNumberFormat="1" applyFont="1" applyFill="1" applyBorder="1" applyAlignment="1">
      <alignment horizontal="left" vertical="center" wrapText="1"/>
    </xf>
    <xf numFmtId="0" fontId="0" fillId="33" borderId="67" xfId="0" applyNumberFormat="1" applyFont="1" applyFill="1" applyBorder="1" applyAlignment="1">
      <alignment horizontal="left" vertical="center" wrapText="1"/>
    </xf>
    <xf numFmtId="0" fontId="0" fillId="33" borderId="70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40" fillId="33" borderId="79" xfId="0" applyFont="1" applyFill="1" applyBorder="1" applyAlignment="1">
      <alignment horizontal="center"/>
    </xf>
    <xf numFmtId="0" fontId="8" fillId="32" borderId="78" xfId="0" applyFont="1" applyFill="1" applyBorder="1" applyAlignment="1">
      <alignment horizontal="center" vertical="center"/>
    </xf>
    <xf numFmtId="3" fontId="8" fillId="32" borderId="78" xfId="0" applyNumberFormat="1" applyFont="1" applyFill="1" applyBorder="1" applyAlignment="1">
      <alignment horizontal="center" vertical="center"/>
    </xf>
    <xf numFmtId="171" fontId="8" fillId="32" borderId="78" xfId="0" applyNumberFormat="1" applyFont="1" applyFill="1" applyBorder="1" applyAlignment="1">
      <alignment horizontal="center" vertical="center"/>
    </xf>
    <xf numFmtId="15" fontId="40" fillId="33" borderId="3" xfId="0" applyNumberFormat="1" applyFont="1" applyFill="1" applyBorder="1" applyAlignment="1">
      <alignment horizontal="center" vertical="center"/>
    </xf>
    <xf numFmtId="15" fontId="40" fillId="33" borderId="4" xfId="0" applyNumberFormat="1" applyFont="1" applyFill="1" applyBorder="1" applyAlignment="1">
      <alignment horizontal="center" vertical="center"/>
    </xf>
    <xf numFmtId="0" fontId="0" fillId="32" borderId="70" xfId="0" applyFont="1" applyFill="1" applyBorder="1" applyAlignment="1">
      <alignment horizontal="center" vertical="center"/>
    </xf>
    <xf numFmtId="0" fontId="0" fillId="32" borderId="73" xfId="0" applyFont="1" applyFill="1" applyBorder="1" applyAlignment="1">
      <alignment horizontal="center" vertical="center"/>
    </xf>
    <xf numFmtId="0" fontId="0" fillId="33" borderId="77" xfId="0" applyNumberFormat="1" applyFont="1" applyFill="1" applyBorder="1" applyAlignment="1">
      <alignment horizontal="left" vertical="center" wrapText="1"/>
    </xf>
    <xf numFmtId="0" fontId="0" fillId="33" borderId="78" xfId="0" applyNumberFormat="1" applyFont="1" applyFill="1" applyBorder="1" applyAlignment="1">
      <alignment horizontal="left" vertical="center" wrapText="1"/>
    </xf>
    <xf numFmtId="0" fontId="0" fillId="33" borderId="86" xfId="0" applyNumberFormat="1" applyFont="1" applyFill="1" applyBorder="1" applyAlignment="1">
      <alignment horizontal="left" vertical="center" wrapText="1"/>
    </xf>
    <xf numFmtId="0" fontId="0" fillId="33" borderId="83" xfId="0" applyNumberFormat="1" applyFont="1" applyFill="1" applyBorder="1" applyAlignment="1">
      <alignment horizontal="left" vertical="center" wrapText="1"/>
    </xf>
    <xf numFmtId="170" fontId="8" fillId="32" borderId="80" xfId="0" applyNumberFormat="1" applyFont="1" applyFill="1" applyBorder="1" applyAlignment="1">
      <alignment horizontal="center" vertical="center"/>
    </xf>
    <xf numFmtId="3" fontId="40" fillId="33" borderId="84" xfId="0" applyNumberFormat="1" applyFont="1" applyFill="1" applyBorder="1" applyAlignment="1">
      <alignment horizontal="center" vertical="center"/>
    </xf>
    <xf numFmtId="3" fontId="40" fillId="33" borderId="85" xfId="0" applyNumberFormat="1" applyFont="1" applyFill="1" applyBorder="1" applyAlignment="1">
      <alignment horizontal="center" vertical="center"/>
    </xf>
    <xf numFmtId="0" fontId="57" fillId="0" borderId="82" xfId="0" applyFont="1" applyBorder="1" applyAlignment="1">
      <alignment horizontal="center" vertical="center"/>
    </xf>
    <xf numFmtId="3" fontId="57" fillId="4" borderId="3" xfId="0" applyNumberFormat="1" applyFont="1" applyFill="1" applyBorder="1" applyAlignment="1">
      <alignment horizontal="center" vertical="center"/>
    </xf>
    <xf numFmtId="172" fontId="57" fillId="4" borderId="4" xfId="0" applyNumberFormat="1" applyFont="1" applyFill="1" applyBorder="1" applyAlignment="1">
      <alignment horizontal="center" vertical="center"/>
    </xf>
    <xf numFmtId="3" fontId="57" fillId="4" borderId="5" xfId="0" applyNumberFormat="1" applyFont="1" applyFill="1" applyBorder="1" applyAlignment="1">
      <alignment horizontal="center" vertical="center"/>
    </xf>
    <xf numFmtId="0" fontId="8" fillId="33" borderId="68" xfId="0" applyFont="1" applyFill="1" applyBorder="1" applyAlignment="1">
      <alignment horizontal="left" vertical="center"/>
    </xf>
    <xf numFmtId="3" fontId="40" fillId="33" borderId="87" xfId="0" applyNumberFormat="1" applyFont="1" applyFill="1" applyBorder="1" applyAlignment="1">
      <alignment horizontal="center" vertical="center"/>
    </xf>
    <xf numFmtId="3" fontId="40" fillId="33" borderId="88" xfId="0" applyNumberFormat="1" applyFont="1" applyFill="1" applyBorder="1" applyAlignment="1">
      <alignment horizontal="center" vertical="center"/>
    </xf>
    <xf numFmtId="0" fontId="8" fillId="33" borderId="71" xfId="0" applyFont="1" applyFill="1" applyBorder="1" applyAlignment="1">
      <alignment horizontal="left" vertical="center"/>
    </xf>
    <xf numFmtId="0" fontId="8" fillId="33" borderId="89" xfId="0" applyFont="1" applyFill="1" applyBorder="1" applyAlignment="1">
      <alignment horizontal="left" vertical="center"/>
    </xf>
    <xf numFmtId="3" fontId="40" fillId="33" borderId="89" xfId="0" applyNumberFormat="1" applyFont="1" applyFill="1" applyBorder="1" applyAlignment="1">
      <alignment horizontal="center" vertical="center"/>
    </xf>
    <xf numFmtId="0" fontId="8" fillId="33" borderId="78" xfId="0" applyFont="1" applyFill="1" applyBorder="1" applyAlignment="1">
      <alignment horizontal="left" vertical="center"/>
    </xf>
    <xf numFmtId="3" fontId="40" fillId="33" borderId="78" xfId="0" applyNumberFormat="1" applyFont="1" applyFill="1" applyBorder="1" applyAlignment="1">
      <alignment horizontal="center" vertical="center"/>
    </xf>
    <xf numFmtId="0" fontId="0" fillId="33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84" fontId="40" fillId="33" borderId="12" xfId="0" applyNumberFormat="1" applyFont="1" applyFill="1" applyBorder="1" applyAlignment="1">
      <alignment horizontal="center" vertical="center"/>
    </xf>
    <xf numFmtId="184" fontId="40" fillId="33" borderId="0" xfId="0" applyNumberFormat="1" applyFont="1" applyFill="1" applyBorder="1" applyAlignment="1">
      <alignment horizontal="center" vertical="center"/>
    </xf>
    <xf numFmtId="184" fontId="40" fillId="33" borderId="10" xfId="0" applyNumberFormat="1" applyFont="1" applyFill="1" applyBorder="1" applyAlignment="1">
      <alignment horizontal="center" vertical="center"/>
    </xf>
    <xf numFmtId="0" fontId="8" fillId="4" borderId="11" xfId="0" quotePrefix="1" applyFont="1" applyFill="1" applyBorder="1" applyAlignment="1">
      <alignment horizontal="center" vertical="center"/>
    </xf>
    <xf numFmtId="0" fontId="8" fillId="4" borderId="6" xfId="0" quotePrefix="1" applyFont="1" applyFill="1" applyBorder="1" applyAlignment="1">
      <alignment horizontal="center" vertical="center"/>
    </xf>
    <xf numFmtId="0" fontId="8" fillId="4" borderId="8" xfId="0" quotePrefix="1" applyFont="1" applyFill="1" applyBorder="1" applyAlignment="1">
      <alignment horizontal="center" vertical="center"/>
    </xf>
    <xf numFmtId="3" fontId="8" fillId="4" borderId="65" xfId="0" applyNumberFormat="1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/>
    </xf>
    <xf numFmtId="3" fontId="8" fillId="4" borderId="62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3" fontId="8" fillId="4" borderId="59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14" fontId="40" fillId="33" borderId="92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4" fontId="40" fillId="33" borderId="94" xfId="0" applyNumberFormat="1" applyFont="1" applyFill="1" applyBorder="1" applyAlignment="1">
      <alignment horizontal="center" vertical="center"/>
    </xf>
    <xf numFmtId="181" fontId="40" fillId="33" borderId="94" xfId="0" applyNumberFormat="1" applyFont="1" applyFill="1" applyBorder="1" applyAlignment="1">
      <alignment horizontal="center" vertical="center"/>
    </xf>
    <xf numFmtId="182" fontId="40" fillId="33" borderId="94" xfId="0" applyNumberFormat="1" applyFont="1" applyFill="1" applyBorder="1" applyAlignment="1">
      <alignment horizontal="center" vertical="center"/>
    </xf>
    <xf numFmtId="0" fontId="49" fillId="4" borderId="91" xfId="0" applyFont="1" applyFill="1" applyBorder="1" applyAlignment="1">
      <alignment horizontal="center" vertical="center"/>
    </xf>
    <xf numFmtId="181" fontId="61" fillId="32" borderId="0" xfId="0" applyNumberFormat="1" applyFont="1" applyFill="1" applyBorder="1" applyAlignment="1">
      <alignment horizontal="center" vertical="center"/>
    </xf>
    <xf numFmtId="181" fontId="61" fillId="32" borderId="0" xfId="0" applyNumberFormat="1" applyFont="1" applyFill="1" applyBorder="1" applyAlignment="1">
      <alignment horizontal="center"/>
    </xf>
    <xf numFmtId="181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 vertical="center"/>
    </xf>
    <xf numFmtId="182" fontId="8" fillId="32" borderId="0" xfId="0" applyNumberFormat="1" applyFont="1" applyFill="1" applyBorder="1" applyAlignment="1">
      <alignment horizontal="center" vertical="center"/>
    </xf>
    <xf numFmtId="171" fontId="8" fillId="32" borderId="91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/>
    </xf>
    <xf numFmtId="182" fontId="8" fillId="32" borderId="0" xfId="0" applyNumberFormat="1" applyFont="1" applyFill="1" applyBorder="1" applyAlignment="1">
      <alignment horizontal="center"/>
    </xf>
    <xf numFmtId="171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81" fontId="8" fillId="32" borderId="76" xfId="0" applyNumberFormat="1" applyFont="1" applyFill="1" applyBorder="1" applyAlignment="1">
      <alignment horizontal="center"/>
    </xf>
    <xf numFmtId="182" fontId="8" fillId="32" borderId="76" xfId="0" applyNumberFormat="1" applyFont="1" applyFill="1" applyBorder="1" applyAlignment="1">
      <alignment horizontal="center"/>
    </xf>
    <xf numFmtId="171" fontId="8" fillId="32" borderId="90" xfId="0" applyNumberFormat="1" applyFont="1" applyFill="1" applyBorder="1" applyAlignment="1">
      <alignment horizontal="center"/>
    </xf>
    <xf numFmtId="0" fontId="49" fillId="4" borderId="0" xfId="0" applyFont="1" applyFill="1" applyBorder="1" applyAlignment="1">
      <alignment horizontal="center" vertical="center"/>
    </xf>
    <xf numFmtId="0" fontId="8" fillId="32" borderId="95" xfId="0" applyFont="1" applyFill="1" applyBorder="1" applyAlignment="1">
      <alignment horizontal="center" vertical="center"/>
    </xf>
    <xf numFmtId="0" fontId="8" fillId="32" borderId="96" xfId="0" applyFont="1" applyFill="1" applyBorder="1" applyAlignment="1">
      <alignment horizontal="center" vertical="center"/>
    </xf>
    <xf numFmtId="14" fontId="8" fillId="32" borderId="96" xfId="0" applyNumberFormat="1" applyFont="1" applyFill="1" applyBorder="1" applyAlignment="1">
      <alignment horizontal="center" vertical="center"/>
    </xf>
    <xf numFmtId="3" fontId="8" fillId="32" borderId="96" xfId="0" applyNumberFormat="1" applyFont="1" applyFill="1" applyBorder="1" applyAlignment="1">
      <alignment horizontal="center" vertical="center"/>
    </xf>
    <xf numFmtId="170" fontId="8" fillId="32" borderId="96" xfId="0" applyNumberFormat="1" applyFont="1" applyFill="1" applyBorder="1" applyAlignment="1">
      <alignment horizontal="center" vertical="center"/>
    </xf>
    <xf numFmtId="4" fontId="8" fillId="32" borderId="97" xfId="0" applyNumberFormat="1" applyFont="1" applyFill="1" applyBorder="1" applyAlignment="1">
      <alignment horizontal="center" vertical="center"/>
    </xf>
    <xf numFmtId="3" fontId="8" fillId="32" borderId="98" xfId="0" applyNumberFormat="1" applyFont="1" applyFill="1" applyBorder="1" applyAlignment="1">
      <alignment horizontal="center" vertical="center"/>
    </xf>
    <xf numFmtId="170" fontId="8" fillId="32" borderId="99" xfId="0" applyNumberFormat="1" applyFont="1" applyFill="1" applyBorder="1" applyAlignment="1">
      <alignment horizontal="center" vertical="center"/>
    </xf>
    <xf numFmtId="170" fontId="8" fillId="32" borderId="99" xfId="0" applyNumberFormat="1" applyFont="1" applyFill="1" applyBorder="1" applyAlignment="1">
      <alignment horizontal="center"/>
    </xf>
    <xf numFmtId="3" fontId="8" fillId="32" borderId="98" xfId="0" applyNumberFormat="1" applyFont="1" applyFill="1" applyBorder="1" applyAlignment="1">
      <alignment horizontal="center"/>
    </xf>
    <xf numFmtId="3" fontId="8" fillId="32" borderId="100" xfId="0" applyNumberFormat="1" applyFont="1" applyFill="1" applyBorder="1" applyAlignment="1">
      <alignment horizontal="center"/>
    </xf>
    <xf numFmtId="4" fontId="8" fillId="32" borderId="94" xfId="0" applyNumberFormat="1" applyFont="1" applyFill="1" applyBorder="1" applyAlignment="1">
      <alignment horizontal="center"/>
    </xf>
    <xf numFmtId="181" fontId="8" fillId="32" borderId="94" xfId="0" applyNumberFormat="1" applyFont="1" applyFill="1" applyBorder="1" applyAlignment="1">
      <alignment horizontal="center"/>
    </xf>
    <xf numFmtId="3" fontId="8" fillId="32" borderId="94" xfId="0" applyNumberFormat="1" applyFont="1" applyFill="1" applyBorder="1" applyAlignment="1">
      <alignment horizontal="center"/>
    </xf>
    <xf numFmtId="182" fontId="8" fillId="32" borderId="94" xfId="0" applyNumberFormat="1" applyFont="1" applyFill="1" applyBorder="1" applyAlignment="1">
      <alignment horizontal="center"/>
    </xf>
    <xf numFmtId="170" fontId="8" fillId="32" borderId="101" xfId="0" applyNumberFormat="1" applyFont="1" applyFill="1" applyBorder="1" applyAlignment="1">
      <alignment horizontal="center"/>
    </xf>
    <xf numFmtId="170" fontId="40" fillId="33" borderId="91" xfId="0" applyNumberFormat="1" applyFont="1" applyFill="1" applyBorder="1" applyAlignment="1">
      <alignment horizontal="center" vertical="center"/>
    </xf>
    <xf numFmtId="170" fontId="40" fillId="33" borderId="93" xfId="0" applyNumberFormat="1" applyFont="1" applyFill="1" applyBorder="1" applyAlignment="1">
      <alignment horizontal="center" vertical="center"/>
    </xf>
    <xf numFmtId="15" fontId="51" fillId="0" borderId="0" xfId="0" applyNumberFormat="1" applyFont="1"/>
    <xf numFmtId="181" fontId="0" fillId="0" borderId="0" xfId="0" applyNumberFormat="1"/>
    <xf numFmtId="3" fontId="8" fillId="4" borderId="67" xfId="0" applyNumberFormat="1" applyFont="1" applyFill="1" applyBorder="1" applyAlignment="1">
      <alignment horizontal="center" vertical="center"/>
    </xf>
    <xf numFmtId="177" fontId="8" fillId="4" borderId="70" xfId="0" applyNumberFormat="1" applyFont="1" applyFill="1" applyBorder="1" applyAlignment="1">
      <alignment horizontal="center" vertical="center"/>
    </xf>
    <xf numFmtId="0" fontId="8" fillId="4" borderId="70" xfId="0" applyFont="1" applyFill="1" applyBorder="1" applyAlignment="1">
      <alignment horizontal="center"/>
    </xf>
    <xf numFmtId="0" fontId="8" fillId="4" borderId="83" xfId="0" applyFont="1" applyFill="1" applyBorder="1" applyAlignment="1">
      <alignment horizontal="center"/>
    </xf>
    <xf numFmtId="3" fontId="8" fillId="4" borderId="77" xfId="0" applyNumberFormat="1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 vertical="center"/>
    </xf>
    <xf numFmtId="0" fontId="8" fillId="4" borderId="78" xfId="0" applyFont="1" applyFill="1" applyBorder="1" applyAlignment="1">
      <alignment horizontal="center"/>
    </xf>
    <xf numFmtId="172" fontId="8" fillId="4" borderId="78" xfId="0" applyNumberFormat="1" applyFont="1" applyFill="1" applyBorder="1" applyAlignment="1">
      <alignment horizontal="center" vertical="center"/>
    </xf>
    <xf numFmtId="172" fontId="8" fillId="4" borderId="86" xfId="0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0" fillId="33" borderId="102" xfId="0" applyNumberFormat="1" applyFill="1" applyBorder="1" applyAlignment="1">
      <alignment horizontal="center" vertical="center" wrapText="1"/>
    </xf>
    <xf numFmtId="0" fontId="0" fillId="33" borderId="103" xfId="0" applyNumberFormat="1" applyFill="1" applyBorder="1" applyAlignment="1">
      <alignment horizontal="center" vertical="center" wrapText="1"/>
    </xf>
    <xf numFmtId="0" fontId="0" fillId="33" borderId="103" xfId="0" applyFill="1" applyBorder="1" applyAlignment="1">
      <alignment horizontal="center" vertical="center"/>
    </xf>
    <xf numFmtId="0" fontId="0" fillId="33" borderId="104" xfId="0" applyNumberFormat="1" applyFill="1" applyBorder="1" applyAlignment="1">
      <alignment horizontal="center" vertical="center" wrapText="1"/>
    </xf>
    <xf numFmtId="170" fontId="0" fillId="0" borderId="43" xfId="0" applyNumberFormat="1" applyBorder="1" applyAlignment="1">
      <alignment horizontal="center" vertical="center"/>
    </xf>
    <xf numFmtId="172" fontId="8" fillId="0" borderId="46" xfId="0" applyNumberFormat="1" applyFont="1" applyFill="1" applyBorder="1" applyAlignment="1">
      <alignment horizontal="center" vertical="center"/>
    </xf>
    <xf numFmtId="0" fontId="0" fillId="33" borderId="69" xfId="0" applyNumberFormat="1" applyFill="1" applyBorder="1" applyAlignment="1">
      <alignment horizontal="center" vertical="center" wrapText="1"/>
    </xf>
    <xf numFmtId="0" fontId="0" fillId="33" borderId="75" xfId="0" applyNumberFormat="1" applyFill="1" applyBorder="1" applyAlignment="1">
      <alignment horizontal="center" vertical="center" wrapText="1"/>
    </xf>
    <xf numFmtId="0" fontId="0" fillId="33" borderId="75" xfId="0" applyFill="1" applyBorder="1" applyAlignment="1">
      <alignment horizontal="center" vertical="center"/>
    </xf>
    <xf numFmtId="0" fontId="0" fillId="33" borderId="105" xfId="0" applyNumberFormat="1" applyFill="1" applyBorder="1" applyAlignment="1">
      <alignment horizontal="center" vertical="center" wrapText="1"/>
    </xf>
    <xf numFmtId="0" fontId="40" fillId="0" borderId="106" xfId="0" applyFont="1" applyBorder="1" applyAlignment="1">
      <alignment horizontal="center" vertical="center"/>
    </xf>
    <xf numFmtId="3" fontId="40" fillId="0" borderId="107" xfId="0" applyNumberFormat="1" applyFont="1" applyBorder="1" applyAlignment="1">
      <alignment horizontal="center" vertical="center"/>
    </xf>
    <xf numFmtId="0" fontId="40" fillId="0" borderId="107" xfId="0" applyFont="1" applyBorder="1" applyAlignment="1">
      <alignment horizontal="center" vertical="center"/>
    </xf>
    <xf numFmtId="4" fontId="40" fillId="0" borderId="107" xfId="0" applyNumberFormat="1" applyFont="1" applyBorder="1" applyAlignment="1">
      <alignment horizontal="center" vertical="center"/>
    </xf>
    <xf numFmtId="172" fontId="40" fillId="0" borderId="107" xfId="0" applyNumberFormat="1" applyFont="1" applyBorder="1" applyAlignment="1">
      <alignment horizontal="center" vertical="center"/>
    </xf>
    <xf numFmtId="177" fontId="40" fillId="0" borderId="107" xfId="0" applyNumberFormat="1" applyFont="1" applyBorder="1" applyAlignment="1">
      <alignment horizontal="center" vertical="center"/>
    </xf>
    <xf numFmtId="0" fontId="40" fillId="0" borderId="108" xfId="0" applyFont="1" applyBorder="1" applyAlignment="1">
      <alignment horizontal="center" vertical="center"/>
    </xf>
    <xf numFmtId="0" fontId="40" fillId="0" borderId="109" xfId="0" applyFont="1" applyBorder="1" applyAlignment="1">
      <alignment horizontal="center" vertical="center"/>
    </xf>
    <xf numFmtId="3" fontId="40" fillId="0" borderId="0" xfId="0" applyNumberFormat="1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4" fontId="40" fillId="0" borderId="0" xfId="0" applyNumberFormat="1" applyFont="1" applyBorder="1" applyAlignment="1">
      <alignment horizontal="center" vertical="center"/>
    </xf>
    <xf numFmtId="172" fontId="40" fillId="0" borderId="0" xfId="0" applyNumberFormat="1" applyFont="1" applyBorder="1" applyAlignment="1">
      <alignment horizontal="center" vertical="center"/>
    </xf>
    <xf numFmtId="177" fontId="40" fillId="0" borderId="0" xfId="0" applyNumberFormat="1" applyFont="1" applyBorder="1" applyAlignment="1">
      <alignment horizontal="center" vertical="center"/>
    </xf>
    <xf numFmtId="0" fontId="40" fillId="0" borderId="91" xfId="0" applyFont="1" applyBorder="1" applyAlignment="1">
      <alignment horizontal="center" vertical="center"/>
    </xf>
    <xf numFmtId="0" fontId="40" fillId="0" borderId="110" xfId="0" applyFont="1" applyBorder="1" applyAlignment="1">
      <alignment horizontal="center" vertical="center"/>
    </xf>
    <xf numFmtId="3" fontId="40" fillId="0" borderId="111" xfId="0" applyNumberFormat="1" applyFont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40" fillId="0" borderId="111" xfId="0" applyNumberFormat="1" applyFont="1" applyBorder="1" applyAlignment="1">
      <alignment horizontal="center" vertical="center"/>
    </xf>
    <xf numFmtId="172" fontId="40" fillId="0" borderId="111" xfId="0" applyNumberFormat="1" applyFont="1" applyBorder="1" applyAlignment="1">
      <alignment horizontal="center" vertical="center"/>
    </xf>
    <xf numFmtId="177" fontId="40" fillId="0" borderId="111" xfId="0" applyNumberFormat="1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170" fontId="40" fillId="0" borderId="107" xfId="0" applyNumberFormat="1" applyFont="1" applyBorder="1" applyAlignment="1">
      <alignment horizontal="center" vertical="center"/>
    </xf>
    <xf numFmtId="170" fontId="40" fillId="0" borderId="0" xfId="0" applyNumberFormat="1" applyFont="1" applyBorder="1" applyAlignment="1">
      <alignment horizontal="center" vertical="center"/>
    </xf>
    <xf numFmtId="170" fontId="40" fillId="0" borderId="111" xfId="0" applyNumberFormat="1" applyFont="1" applyBorder="1" applyAlignment="1">
      <alignment horizontal="center" vertical="center"/>
    </xf>
    <xf numFmtId="0" fontId="1" fillId="33" borderId="22" xfId="0" applyNumberFormat="1" applyFont="1" applyFill="1" applyBorder="1" applyAlignment="1">
      <alignment horizontal="center" vertical="center" wrapText="1"/>
    </xf>
    <xf numFmtId="0" fontId="1" fillId="33" borderId="21" xfId="0" applyNumberFormat="1" applyFont="1" applyFill="1" applyBorder="1" applyAlignment="1">
      <alignment horizontal="center" vertical="center" wrapText="1"/>
    </xf>
    <xf numFmtId="0" fontId="1" fillId="33" borderId="20" xfId="0" applyNumberFormat="1" applyFont="1" applyFill="1" applyBorder="1" applyAlignment="1">
      <alignment horizontal="center" vertical="center" wrapText="1"/>
    </xf>
    <xf numFmtId="172" fontId="40" fillId="0" borderId="12" xfId="0" applyNumberFormat="1" applyFont="1" applyBorder="1" applyAlignment="1">
      <alignment horizontal="center" vertical="center"/>
    </xf>
    <xf numFmtId="3" fontId="40" fillId="0" borderId="12" xfId="0" applyNumberFormat="1" applyFont="1" applyBorder="1" applyAlignment="1">
      <alignment horizontal="center" vertical="center"/>
    </xf>
    <xf numFmtId="172" fontId="40" fillId="0" borderId="10" xfId="0" applyNumberFormat="1" applyFont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3" fontId="40" fillId="0" borderId="7" xfId="0" applyNumberFormat="1" applyFont="1" applyBorder="1" applyAlignment="1">
      <alignment horizontal="center" vertical="center"/>
    </xf>
    <xf numFmtId="3" fontId="40" fillId="0" borderId="9" xfId="0" applyNumberFormat="1" applyFont="1" applyBorder="1" applyAlignment="1">
      <alignment horizontal="center" vertical="center"/>
    </xf>
    <xf numFmtId="3" fontId="40" fillId="0" borderId="13" xfId="0" applyNumberFormat="1" applyFont="1" applyBorder="1" applyAlignment="1">
      <alignment horizontal="center" vertical="center"/>
    </xf>
    <xf numFmtId="0" fontId="1" fillId="33" borderId="6" xfId="0" applyFont="1" applyFill="1" applyBorder="1" applyAlignment="1">
      <alignment horizontal="left" vertical="center"/>
    </xf>
    <xf numFmtId="0" fontId="1" fillId="33" borderId="0" xfId="0" applyFont="1" applyFill="1" applyBorder="1"/>
    <xf numFmtId="0" fontId="0" fillId="0" borderId="0" xfId="0" quotePrefix="1" applyFill="1" applyBorder="1" applyAlignment="1">
      <alignment horizontal="center" vertical="center"/>
    </xf>
    <xf numFmtId="171" fontId="40" fillId="0" borderId="12" xfId="0" applyNumberFormat="1" applyFont="1" applyBorder="1" applyAlignment="1">
      <alignment horizontal="center" vertical="center"/>
    </xf>
    <xf numFmtId="171" fontId="40" fillId="0" borderId="0" xfId="0" applyNumberFormat="1" applyFont="1" applyBorder="1" applyAlignment="1">
      <alignment horizontal="center" vertical="center"/>
    </xf>
    <xf numFmtId="171" fontId="40" fillId="0" borderId="10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2" fontId="40" fillId="33" borderId="13" xfId="0" applyNumberFormat="1" applyFont="1" applyFill="1" applyBorder="1" applyAlignment="1">
      <alignment horizontal="center" vertical="center"/>
    </xf>
    <xf numFmtId="2" fontId="40" fillId="33" borderId="7" xfId="0" applyNumberFormat="1" applyFont="1" applyFill="1" applyBorder="1" applyAlignment="1">
      <alignment horizontal="center" vertical="center"/>
    </xf>
    <xf numFmtId="2" fontId="40" fillId="3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0" fontId="40" fillId="33" borderId="13" xfId="0" quotePrefix="1" applyNumberFormat="1" applyFont="1" applyFill="1" applyBorder="1" applyAlignment="1">
      <alignment horizontal="center" vertical="center"/>
    </xf>
    <xf numFmtId="0" fontId="40" fillId="0" borderId="5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172" fontId="8" fillId="4" borderId="4" xfId="0" applyNumberFormat="1" applyFont="1" applyFill="1" applyBorder="1" applyAlignment="1">
      <alignment horizontal="center" vertical="center"/>
    </xf>
    <xf numFmtId="4" fontId="8" fillId="4" borderId="4" xfId="0" applyNumberFormat="1" applyFont="1" applyFill="1" applyBorder="1" applyAlignment="1">
      <alignment horizontal="center" vertical="center"/>
    </xf>
    <xf numFmtId="0" fontId="8" fillId="4" borderId="4" xfId="0" quotePrefix="1" applyFont="1" applyFill="1" applyBorder="1" applyAlignment="1">
      <alignment horizontal="center" vertical="center"/>
    </xf>
    <xf numFmtId="0" fontId="8" fillId="4" borderId="5" xfId="0" quotePrefix="1" applyFont="1" applyFill="1" applyBorder="1" applyAlignment="1">
      <alignment horizontal="center" vertical="center"/>
    </xf>
    <xf numFmtId="177" fontId="40" fillId="4" borderId="4" xfId="0" applyNumberFormat="1" applyFont="1" applyFill="1" applyBorder="1" applyAlignment="1">
      <alignment horizontal="center" vertical="center"/>
    </xf>
    <xf numFmtId="0" fontId="0" fillId="33" borderId="3" xfId="0" applyNumberFormat="1" applyFill="1" applyBorder="1" applyAlignment="1">
      <alignment horizontal="left" vertical="center" wrapText="1"/>
    </xf>
    <xf numFmtId="0" fontId="0" fillId="33" borderId="4" xfId="0" applyNumberFormat="1" applyFill="1" applyBorder="1" applyAlignment="1">
      <alignment horizontal="left" vertical="center" wrapText="1"/>
    </xf>
    <xf numFmtId="0" fontId="0" fillId="33" borderId="5" xfId="0" applyNumberFormat="1" applyFill="1" applyBorder="1" applyAlignment="1">
      <alignment horizontal="left" vertical="center" wrapText="1"/>
    </xf>
    <xf numFmtId="181" fontId="0" fillId="0" borderId="0" xfId="0" applyNumberFormat="1" applyAlignment="1">
      <alignment horizontal="left" vertical="center"/>
    </xf>
    <xf numFmtId="4" fontId="0" fillId="4" borderId="4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/>
    </xf>
    <xf numFmtId="182" fontId="40" fillId="33" borderId="12" xfId="0" applyNumberFormat="1" applyFont="1" applyFill="1" applyBorder="1" applyAlignment="1">
      <alignment horizontal="left" vertical="center"/>
    </xf>
    <xf numFmtId="180" fontId="40" fillId="33" borderId="12" xfId="0" applyNumberFormat="1" applyFont="1" applyFill="1" applyBorder="1" applyAlignment="1">
      <alignment horizontal="left" vertical="center"/>
    </xf>
    <xf numFmtId="15" fontId="40" fillId="33" borderId="6" xfId="0" applyNumberFormat="1" applyFont="1" applyFill="1" applyBorder="1" applyAlignment="1">
      <alignment horizontal="left" vertical="center"/>
    </xf>
    <xf numFmtId="15" fontId="40" fillId="33" borderId="0" xfId="0" applyNumberFormat="1" applyFont="1" applyFill="1" applyBorder="1" applyAlignment="1">
      <alignment horizontal="left" vertical="center"/>
    </xf>
    <xf numFmtId="180" fontId="40" fillId="33" borderId="0" xfId="0" applyNumberFormat="1" applyFont="1" applyFill="1" applyBorder="1" applyAlignment="1">
      <alignment horizontal="left" vertical="center"/>
    </xf>
    <xf numFmtId="182" fontId="40" fillId="33" borderId="0" xfId="0" applyNumberFormat="1" applyFont="1" applyFill="1" applyBorder="1" applyAlignment="1">
      <alignment horizontal="left" vertical="center"/>
    </xf>
    <xf numFmtId="15" fontId="40" fillId="33" borderId="8" xfId="0" applyNumberFormat="1" applyFont="1" applyFill="1" applyBorder="1" applyAlignment="1">
      <alignment horizontal="left" vertical="center"/>
    </xf>
    <xf numFmtId="15" fontId="40" fillId="33" borderId="10" xfId="0" applyNumberFormat="1" applyFont="1" applyFill="1" applyBorder="1" applyAlignment="1">
      <alignment horizontal="left" vertical="center"/>
    </xf>
    <xf numFmtId="180" fontId="40" fillId="33" borderId="10" xfId="0" applyNumberFormat="1" applyFont="1" applyFill="1" applyBorder="1" applyAlignment="1">
      <alignment horizontal="left" vertical="center"/>
    </xf>
    <xf numFmtId="182" fontId="40" fillId="33" borderId="10" xfId="0" applyNumberFormat="1" applyFont="1" applyFill="1" applyBorder="1" applyAlignment="1">
      <alignment horizontal="left" vertical="center"/>
    </xf>
    <xf numFmtId="171" fontId="40" fillId="33" borderId="12" xfId="0" applyNumberFormat="1" applyFont="1" applyFill="1" applyBorder="1" applyAlignment="1">
      <alignment horizontal="left" vertical="center"/>
    </xf>
    <xf numFmtId="171" fontId="40" fillId="33" borderId="0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0" fillId="32" borderId="12" xfId="0" applyFill="1" applyBorder="1" applyAlignment="1">
      <alignment horizontal="center" vertical="center"/>
    </xf>
    <xf numFmtId="3" fontId="0" fillId="32" borderId="12" xfId="0" applyNumberForma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3" fontId="0" fillId="32" borderId="0" xfId="0" applyNumberFormat="1" applyFill="1" applyBorder="1" applyAlignment="1">
      <alignment horizontal="center" vertical="center"/>
    </xf>
    <xf numFmtId="0" fontId="0" fillId="32" borderId="10" xfId="0" applyFill="1" applyBorder="1" applyAlignment="1">
      <alignment horizontal="center" vertical="center"/>
    </xf>
    <xf numFmtId="3" fontId="0" fillId="32" borderId="10" xfId="0" applyNumberFormat="1" applyFill="1" applyBorder="1" applyAlignment="1">
      <alignment horizontal="center" vertical="center"/>
    </xf>
    <xf numFmtId="181" fontId="0" fillId="32" borderId="12" xfId="0" applyNumberFormat="1" applyFill="1" applyBorder="1" applyAlignment="1">
      <alignment horizontal="center" vertical="center"/>
    </xf>
    <xf numFmtId="10" fontId="0" fillId="32" borderId="12" xfId="0" applyNumberFormat="1" applyFill="1" applyBorder="1" applyAlignment="1">
      <alignment horizontal="center" vertical="center"/>
    </xf>
    <xf numFmtId="181" fontId="0" fillId="32" borderId="0" xfId="0" applyNumberFormat="1" applyFill="1" applyBorder="1" applyAlignment="1">
      <alignment horizontal="center" vertical="center"/>
    </xf>
    <xf numFmtId="10" fontId="0" fillId="32" borderId="0" xfId="0" applyNumberFormat="1" applyFill="1" applyBorder="1" applyAlignment="1">
      <alignment horizontal="center" vertical="center"/>
    </xf>
    <xf numFmtId="181" fontId="0" fillId="32" borderId="10" xfId="0" applyNumberFormat="1" applyFill="1" applyBorder="1" applyAlignment="1">
      <alignment horizontal="center" vertical="center"/>
    </xf>
    <xf numFmtId="10" fontId="0" fillId="32" borderId="10" xfId="0" applyNumberFormat="1" applyFill="1" applyBorder="1" applyAlignment="1">
      <alignment horizontal="center" vertical="center"/>
    </xf>
    <xf numFmtId="0" fontId="40" fillId="0" borderId="0" xfId="0" applyFont="1"/>
    <xf numFmtId="170" fontId="15" fillId="32" borderId="0" xfId="0" applyNumberFormat="1" applyFont="1" applyFill="1" applyBorder="1" applyAlignment="1">
      <alignment horizontal="center" vertical="center"/>
    </xf>
    <xf numFmtId="0" fontId="0" fillId="33" borderId="7" xfId="0" applyFill="1" applyBorder="1" applyAlignment="1">
      <alignment horizontal="left"/>
    </xf>
    <xf numFmtId="0" fontId="0" fillId="33" borderId="9" xfId="0" applyFill="1" applyBorder="1" applyAlignment="1">
      <alignment horizontal="left"/>
    </xf>
    <xf numFmtId="0" fontId="40" fillId="0" borderId="4" xfId="0" applyFont="1" applyBorder="1" applyAlignment="1">
      <alignment horizontal="left" vertical="center"/>
    </xf>
    <xf numFmtId="0" fontId="40" fillId="0" borderId="5" xfId="0" applyFont="1" applyBorder="1" applyAlignment="1">
      <alignment horizontal="left" vertical="center"/>
    </xf>
    <xf numFmtId="0" fontId="40" fillId="0" borderId="5" xfId="0" applyFont="1" applyBorder="1"/>
    <xf numFmtId="0" fontId="0" fillId="4" borderId="3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177" fontId="0" fillId="0" borderId="4" xfId="0" applyNumberFormat="1" applyFont="1" applyFill="1" applyBorder="1" applyAlignment="1">
      <alignment horizontal="center" vertical="center"/>
    </xf>
    <xf numFmtId="3" fontId="8" fillId="0" borderId="4" xfId="0" applyNumberFormat="1" applyFont="1" applyFill="1" applyBorder="1" applyAlignment="1">
      <alignment horizontal="center" vertical="center"/>
    </xf>
    <xf numFmtId="170" fontId="8" fillId="38" borderId="4" xfId="0" applyNumberFormat="1" applyFont="1" applyFill="1" applyBorder="1" applyAlignment="1">
      <alignment horizontal="center" vertical="center"/>
    </xf>
    <xf numFmtId="10" fontId="8" fillId="38" borderId="4" xfId="0" applyNumberFormat="1" applyFont="1" applyFill="1" applyBorder="1" applyAlignment="1">
      <alignment horizontal="center" vertical="center"/>
    </xf>
    <xf numFmtId="3" fontId="8" fillId="38" borderId="4" xfId="0" applyNumberFormat="1" applyFont="1" applyFill="1" applyBorder="1" applyAlignment="1">
      <alignment horizontal="center" vertical="center"/>
    </xf>
    <xf numFmtId="3" fontId="0" fillId="4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/>
    <xf numFmtId="4" fontId="8" fillId="3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left" vertical="center"/>
    </xf>
    <xf numFmtId="0" fontId="40" fillId="33" borderId="0" xfId="0" applyFont="1" applyFill="1" applyBorder="1" applyAlignment="1">
      <alignment horizontal="center" vertical="center"/>
    </xf>
    <xf numFmtId="181" fontId="40" fillId="33" borderId="10" xfId="0" applyNumberFormat="1" applyFont="1" applyFill="1" applyBorder="1" applyAlignment="1">
      <alignment horizontal="center" vertical="center"/>
    </xf>
    <xf numFmtId="181" fontId="40" fillId="33" borderId="0" xfId="0" applyNumberFormat="1" applyFont="1" applyFill="1" applyBorder="1" applyAlignment="1">
      <alignment horizontal="center" vertical="center"/>
    </xf>
    <xf numFmtId="0" fontId="40" fillId="33" borderId="10" xfId="0" applyFont="1" applyFill="1" applyBorder="1" applyAlignment="1">
      <alignment horizontal="center" vertical="center"/>
    </xf>
    <xf numFmtId="0" fontId="0" fillId="33" borderId="3" xfId="0" applyFill="1" applyBorder="1"/>
    <xf numFmtId="0" fontId="0" fillId="33" borderId="5" xfId="0" applyFill="1" applyBorder="1"/>
    <xf numFmtId="181" fontId="57" fillId="33" borderId="11" xfId="0" applyNumberFormat="1" applyFont="1" applyFill="1" applyBorder="1" applyAlignment="1">
      <alignment horizontal="center" vertical="center"/>
    </xf>
    <xf numFmtId="181" fontId="57" fillId="33" borderId="12" xfId="0" applyNumberFormat="1" applyFont="1" applyFill="1" applyBorder="1" applyAlignment="1">
      <alignment horizontal="center" vertical="center"/>
    </xf>
    <xf numFmtId="0" fontId="57" fillId="33" borderId="12" xfId="0" applyFont="1" applyFill="1" applyBorder="1" applyAlignment="1">
      <alignment horizontal="center" vertical="center"/>
    </xf>
    <xf numFmtId="0" fontId="40" fillId="33" borderId="12" xfId="0" applyFont="1" applyFill="1" applyBorder="1" applyAlignment="1">
      <alignment horizontal="center" vertical="center"/>
    </xf>
    <xf numFmtId="0" fontId="40" fillId="33" borderId="13" xfId="0" applyFont="1" applyFill="1" applyBorder="1" applyAlignment="1">
      <alignment horizontal="center" vertical="center"/>
    </xf>
    <xf numFmtId="181" fontId="40" fillId="33" borderId="6" xfId="0" applyNumberFormat="1" applyFont="1" applyFill="1" applyBorder="1" applyAlignment="1">
      <alignment horizontal="center" vertical="center"/>
    </xf>
    <xf numFmtId="3" fontId="40" fillId="33" borderId="0" xfId="0" applyNumberFormat="1" applyFont="1" applyFill="1" applyBorder="1" applyAlignment="1">
      <alignment horizontal="center" vertical="center"/>
    </xf>
    <xf numFmtId="170" fontId="40" fillId="33" borderId="0" xfId="0" applyNumberFormat="1" applyFont="1" applyFill="1" applyBorder="1" applyAlignment="1">
      <alignment horizontal="center" vertical="center"/>
    </xf>
    <xf numFmtId="171" fontId="40" fillId="33" borderId="0" xfId="0" applyNumberFormat="1" applyFont="1" applyFill="1" applyBorder="1" applyAlignment="1">
      <alignment horizontal="center" vertical="center"/>
    </xf>
    <xf numFmtId="182" fontId="40" fillId="33" borderId="0" xfId="0" applyNumberFormat="1" applyFont="1" applyFill="1" applyBorder="1" applyAlignment="1">
      <alignment horizontal="center" vertical="center"/>
    </xf>
    <xf numFmtId="0" fontId="40" fillId="33" borderId="7" xfId="0" applyFont="1" applyFill="1" applyBorder="1" applyAlignment="1">
      <alignment horizontal="center" vertical="center"/>
    </xf>
    <xf numFmtId="181" fontId="40" fillId="33" borderId="8" xfId="0" applyNumberFormat="1" applyFont="1" applyFill="1" applyBorder="1" applyAlignment="1">
      <alignment horizontal="center" vertical="center"/>
    </xf>
    <xf numFmtId="3" fontId="40" fillId="33" borderId="10" xfId="0" applyNumberFormat="1" applyFont="1" applyFill="1" applyBorder="1" applyAlignment="1">
      <alignment horizontal="center" vertical="center"/>
    </xf>
    <xf numFmtId="170" fontId="40" fillId="33" borderId="10" xfId="0" applyNumberFormat="1" applyFont="1" applyFill="1" applyBorder="1" applyAlignment="1">
      <alignment horizontal="center" vertical="center"/>
    </xf>
    <xf numFmtId="171" fontId="40" fillId="33" borderId="10" xfId="0" applyNumberFormat="1" applyFont="1" applyFill="1" applyBorder="1" applyAlignment="1">
      <alignment horizontal="center" vertical="center"/>
    </xf>
    <xf numFmtId="182" fontId="40" fillId="33" borderId="10" xfId="0" applyNumberFormat="1" applyFont="1" applyFill="1" applyBorder="1" applyAlignment="1">
      <alignment horizontal="center" vertical="center"/>
    </xf>
    <xf numFmtId="0" fontId="40" fillId="33" borderId="9" xfId="0" applyFont="1" applyFill="1" applyBorder="1" applyAlignment="1">
      <alignment horizontal="center" vertical="center"/>
    </xf>
    <xf numFmtId="4" fontId="40" fillId="33" borderId="0" xfId="0" applyNumberFormat="1" applyFont="1" applyFill="1" applyBorder="1" applyAlignment="1">
      <alignment horizontal="center" vertical="center"/>
    </xf>
    <xf numFmtId="3" fontId="40" fillId="33" borderId="7" xfId="0" applyNumberFormat="1" applyFont="1" applyFill="1" applyBorder="1" applyAlignment="1">
      <alignment horizontal="center" vertical="center"/>
    </xf>
    <xf numFmtId="4" fontId="40" fillId="33" borderId="10" xfId="0" applyNumberFormat="1" applyFont="1" applyFill="1" applyBorder="1" applyAlignment="1">
      <alignment horizontal="center" vertical="center"/>
    </xf>
    <xf numFmtId="3" fontId="40" fillId="33" borderId="9" xfId="0" applyNumberFormat="1" applyFont="1" applyFill="1" applyBorder="1" applyAlignment="1">
      <alignment horizontal="center" vertical="center"/>
    </xf>
    <xf numFmtId="0" fontId="57" fillId="33" borderId="13" xfId="0" applyFont="1" applyFill="1" applyBorder="1" applyAlignment="1">
      <alignment horizontal="center" vertical="center"/>
    </xf>
    <xf numFmtId="181" fontId="40" fillId="33" borderId="12" xfId="0" applyNumberFormat="1" applyFont="1" applyFill="1" applyBorder="1" applyAlignment="1">
      <alignment horizontal="center" vertical="center"/>
    </xf>
    <xf numFmtId="3" fontId="40" fillId="33" borderId="12" xfId="0" applyNumberFormat="1" applyFont="1" applyFill="1" applyBorder="1" applyAlignment="1">
      <alignment horizontal="center" vertical="center"/>
    </xf>
    <xf numFmtId="169" fontId="40" fillId="33" borderId="0" xfId="0" applyNumberFormat="1" applyFont="1" applyFill="1" applyBorder="1" applyAlignment="1">
      <alignment horizontal="center" vertical="center"/>
    </xf>
    <xf numFmtId="172" fontId="40" fillId="33" borderId="10" xfId="0" applyNumberFormat="1" applyFont="1" applyFill="1" applyBorder="1" applyAlignment="1">
      <alignment horizontal="center" vertical="center"/>
    </xf>
    <xf numFmtId="172" fontId="40" fillId="33" borderId="0" xfId="0" applyNumberFormat="1" applyFont="1" applyFill="1" applyBorder="1" applyAlignment="1">
      <alignment horizontal="center" vertical="center"/>
    </xf>
    <xf numFmtId="170" fontId="40" fillId="33" borderId="12" xfId="0" applyNumberFormat="1" applyFon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left" vertical="center"/>
    </xf>
    <xf numFmtId="170" fontId="8" fillId="32" borderId="75" xfId="0" applyNumberFormat="1" applyFont="1" applyFill="1" applyBorder="1" applyAlignment="1">
      <alignment horizontal="center" vertical="center"/>
    </xf>
    <xf numFmtId="14" fontId="40" fillId="33" borderId="75" xfId="0" applyNumberFormat="1" applyFont="1" applyFill="1" applyBorder="1" applyAlignment="1">
      <alignment horizontal="center" vertical="center"/>
    </xf>
    <xf numFmtId="3" fontId="40" fillId="33" borderId="75" xfId="0" applyNumberFormat="1" applyFont="1" applyFill="1" applyBorder="1" applyAlignment="1">
      <alignment horizontal="center" vertical="center"/>
    </xf>
    <xf numFmtId="170" fontId="40" fillId="33" borderId="75" xfId="0" applyNumberFormat="1" applyFont="1" applyFill="1" applyBorder="1" applyAlignment="1">
      <alignment horizontal="center" vertical="center"/>
    </xf>
    <xf numFmtId="181" fontId="60" fillId="33" borderId="0" xfId="0" applyNumberFormat="1" applyFont="1" applyFill="1" applyBorder="1" applyAlignment="1">
      <alignment horizontal="center" vertical="center"/>
    </xf>
    <xf numFmtId="181" fontId="40" fillId="33" borderId="0" xfId="0" applyNumberFormat="1" applyFont="1" applyFill="1" applyBorder="1" applyAlignment="1">
      <alignment horizontal="center"/>
    </xf>
    <xf numFmtId="3" fontId="40" fillId="33" borderId="0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 vertical="center"/>
    </xf>
    <xf numFmtId="3" fontId="8" fillId="32" borderId="0" xfId="0" applyNumberFormat="1" applyFont="1" applyFill="1" applyBorder="1" applyAlignment="1">
      <alignment horizontal="center"/>
    </xf>
    <xf numFmtId="3" fontId="8" fillId="32" borderId="76" xfId="0" applyNumberFormat="1" applyFont="1" applyFill="1" applyBorder="1" applyAlignment="1">
      <alignment horizontal="center"/>
    </xf>
    <xf numFmtId="0" fontId="0" fillId="33" borderId="4" xfId="0" applyFont="1" applyFill="1" applyBorder="1"/>
    <xf numFmtId="0" fontId="1" fillId="33" borderId="3" xfId="0" applyFont="1" applyFill="1" applyBorder="1" applyAlignment="1">
      <alignment horizontal="center" vertical="center"/>
    </xf>
    <xf numFmtId="0" fontId="40" fillId="33" borderId="5" xfId="0" applyFont="1" applyFill="1" applyBorder="1" applyAlignment="1">
      <alignment horizontal="center" vertical="center"/>
    </xf>
    <xf numFmtId="0" fontId="8" fillId="33" borderId="78" xfId="0" applyFont="1" applyFill="1" applyBorder="1"/>
    <xf numFmtId="4" fontId="40" fillId="33" borderId="12" xfId="0" applyNumberFormat="1" applyFont="1" applyFill="1" applyBorder="1" applyAlignment="1">
      <alignment horizontal="center" vertical="center"/>
    </xf>
    <xf numFmtId="0" fontId="40" fillId="33" borderId="8" xfId="0" applyFont="1" applyFill="1" applyBorder="1"/>
    <xf numFmtId="0" fontId="40" fillId="33" borderId="10" xfId="0" applyFont="1" applyFill="1" applyBorder="1"/>
    <xf numFmtId="0" fontId="40" fillId="33" borderId="9" xfId="0" applyFont="1" applyFill="1" applyBorder="1"/>
    <xf numFmtId="170" fontId="40" fillId="33" borderId="0" xfId="0" applyNumberFormat="1" applyFont="1" applyFill="1" applyBorder="1" applyAlignment="1">
      <alignment horizontal="center"/>
    </xf>
    <xf numFmtId="14" fontId="40" fillId="33" borderId="92" xfId="0" applyNumberFormat="1" applyFont="1" applyFill="1" applyBorder="1" applyAlignment="1">
      <alignment horizontal="center" vertical="center"/>
    </xf>
    <xf numFmtId="171" fontId="40" fillId="33" borderId="91" xfId="0" applyNumberFormat="1" applyFont="1" applyFill="1" applyBorder="1" applyAlignment="1">
      <alignment horizontal="center" vertical="center"/>
    </xf>
    <xf numFmtId="3" fontId="40" fillId="33" borderId="94" xfId="0" applyNumberFormat="1" applyFont="1" applyFill="1" applyBorder="1" applyAlignment="1">
      <alignment horizontal="center" vertical="center"/>
    </xf>
    <xf numFmtId="181" fontId="60" fillId="33" borderId="94" xfId="0" applyNumberFormat="1" applyFont="1" applyFill="1" applyBorder="1" applyAlignment="1">
      <alignment horizontal="center" vertical="center"/>
    </xf>
    <xf numFmtId="181" fontId="40" fillId="33" borderId="94" xfId="0" applyNumberFormat="1" applyFont="1" applyFill="1" applyBorder="1" applyAlignment="1">
      <alignment horizontal="center" vertical="center"/>
    </xf>
    <xf numFmtId="182" fontId="40" fillId="33" borderId="94" xfId="0" applyNumberFormat="1" applyFont="1" applyFill="1" applyBorder="1" applyAlignment="1">
      <alignment horizontal="center" vertical="center"/>
    </xf>
    <xf numFmtId="171" fontId="40" fillId="33" borderId="93" xfId="0" applyNumberFormat="1" applyFont="1" applyFill="1" applyBorder="1" applyAlignment="1">
      <alignment horizontal="center" vertical="center"/>
    </xf>
    <xf numFmtId="181" fontId="61" fillId="32" borderId="0" xfId="0" applyNumberFormat="1" applyFont="1" applyFill="1" applyBorder="1" applyAlignment="1">
      <alignment horizontal="center" vertical="center"/>
    </xf>
    <xf numFmtId="181" fontId="61" fillId="32" borderId="0" xfId="0" applyNumberFormat="1" applyFont="1" applyFill="1" applyBorder="1" applyAlignment="1">
      <alignment horizontal="center"/>
    </xf>
    <xf numFmtId="181" fontId="61" fillId="32" borderId="76" xfId="0" applyNumberFormat="1" applyFont="1" applyFill="1" applyBorder="1" applyAlignment="1">
      <alignment horizontal="center"/>
    </xf>
    <xf numFmtId="0" fontId="8" fillId="32" borderId="75" xfId="0" applyFont="1" applyFill="1" applyBorder="1" applyAlignment="1">
      <alignment horizontal="center" vertical="center"/>
    </xf>
    <xf numFmtId="14" fontId="8" fillId="32" borderId="75" xfId="0" applyNumberFormat="1" applyFont="1" applyFill="1" applyBorder="1" applyAlignment="1">
      <alignment horizontal="center" vertical="center"/>
    </xf>
    <xf numFmtId="3" fontId="8" fillId="32" borderId="75" xfId="0" applyNumberFormat="1" applyFont="1" applyFill="1" applyBorder="1" applyAlignment="1">
      <alignment horizontal="center" vertical="center"/>
    </xf>
    <xf numFmtId="14" fontId="8" fillId="32" borderId="92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 vertical="center"/>
    </xf>
    <xf numFmtId="182" fontId="8" fillId="32" borderId="0" xfId="0" applyNumberFormat="1" applyFont="1" applyFill="1" applyBorder="1" applyAlignment="1">
      <alignment horizontal="center" vertical="center"/>
    </xf>
    <xf numFmtId="171" fontId="8" fillId="32" borderId="91" xfId="0" applyNumberFormat="1" applyFont="1" applyFill="1" applyBorder="1" applyAlignment="1">
      <alignment horizontal="center" vertical="center"/>
    </xf>
    <xf numFmtId="181" fontId="8" fillId="32" borderId="0" xfId="0" applyNumberFormat="1" applyFont="1" applyFill="1" applyBorder="1" applyAlignment="1">
      <alignment horizontal="center"/>
    </xf>
    <xf numFmtId="182" fontId="8" fillId="32" borderId="0" xfId="0" applyNumberFormat="1" applyFont="1" applyFill="1" applyBorder="1" applyAlignment="1">
      <alignment horizontal="center"/>
    </xf>
    <xf numFmtId="171" fontId="8" fillId="32" borderId="91" xfId="0" applyNumberFormat="1" applyFont="1" applyFill="1" applyBorder="1" applyAlignment="1">
      <alignment horizontal="center"/>
    </xf>
    <xf numFmtId="4" fontId="8" fillId="32" borderId="0" xfId="0" applyNumberFormat="1" applyFont="1" applyFill="1" applyBorder="1" applyAlignment="1">
      <alignment horizontal="center"/>
    </xf>
    <xf numFmtId="4" fontId="8" fillId="32" borderId="76" xfId="0" applyNumberFormat="1" applyFont="1" applyFill="1" applyBorder="1" applyAlignment="1">
      <alignment horizontal="center"/>
    </xf>
    <xf numFmtId="181" fontId="8" fillId="32" borderId="76" xfId="0" applyNumberFormat="1" applyFont="1" applyFill="1" applyBorder="1" applyAlignment="1">
      <alignment horizontal="center"/>
    </xf>
    <xf numFmtId="182" fontId="8" fillId="32" borderId="76" xfId="0" applyNumberFormat="1" applyFont="1" applyFill="1" applyBorder="1" applyAlignment="1">
      <alignment horizontal="center"/>
    </xf>
    <xf numFmtId="171" fontId="8" fillId="32" borderId="90" xfId="0" applyNumberFormat="1" applyFont="1" applyFill="1" applyBorder="1" applyAlignment="1">
      <alignment horizontal="center"/>
    </xf>
    <xf numFmtId="181" fontId="40" fillId="33" borderId="11" xfId="0" applyNumberFormat="1" applyFont="1" applyFill="1" applyBorder="1" applyAlignment="1">
      <alignment horizontal="left" vertical="center"/>
    </xf>
    <xf numFmtId="181" fontId="40" fillId="33" borderId="6" xfId="0" applyNumberFormat="1" applyFont="1" applyFill="1" applyBorder="1" applyAlignment="1">
      <alignment horizontal="center"/>
    </xf>
    <xf numFmtId="181" fontId="40" fillId="33" borderId="8" xfId="0" applyNumberFormat="1" applyFont="1" applyFill="1" applyBorder="1" applyAlignment="1">
      <alignment horizontal="center"/>
    </xf>
    <xf numFmtId="181" fontId="40" fillId="33" borderId="10" xfId="0" applyNumberFormat="1" applyFont="1" applyFill="1" applyBorder="1" applyAlignment="1">
      <alignment horizontal="center"/>
    </xf>
    <xf numFmtId="3" fontId="40" fillId="33" borderId="10" xfId="0" applyNumberFormat="1" applyFont="1" applyFill="1" applyBorder="1" applyAlignment="1">
      <alignment horizontal="center"/>
    </xf>
    <xf numFmtId="170" fontId="40" fillId="33" borderId="10" xfId="0" applyNumberFormat="1" applyFont="1" applyFill="1" applyBorder="1" applyAlignment="1">
      <alignment horizontal="center"/>
    </xf>
    <xf numFmtId="3" fontId="40" fillId="33" borderId="9" xfId="0" applyNumberFormat="1" applyFont="1" applyFill="1" applyBorder="1"/>
    <xf numFmtId="4" fontId="57" fillId="33" borderId="12" xfId="0" applyNumberFormat="1" applyFont="1" applyFill="1" applyBorder="1" applyAlignment="1">
      <alignment horizontal="center" vertical="center"/>
    </xf>
    <xf numFmtId="170" fontId="57" fillId="33" borderId="12" xfId="0" applyNumberFormat="1" applyFont="1" applyFill="1" applyBorder="1" applyAlignment="1">
      <alignment horizontal="center" vertical="center"/>
    </xf>
    <xf numFmtId="171" fontId="57" fillId="33" borderId="12" xfId="0" applyNumberFormat="1" applyFont="1" applyFill="1" applyBorder="1" applyAlignment="1">
      <alignment horizontal="center" vertical="center"/>
    </xf>
    <xf numFmtId="172" fontId="57" fillId="33" borderId="12" xfId="0" applyNumberFormat="1" applyFont="1" applyFill="1" applyBorder="1" applyAlignment="1">
      <alignment horizontal="center" vertical="center"/>
    </xf>
    <xf numFmtId="3" fontId="57" fillId="33" borderId="12" xfId="0" applyNumberFormat="1" applyFont="1" applyFill="1" applyBorder="1" applyAlignment="1">
      <alignment horizontal="center" vertical="center"/>
    </xf>
    <xf numFmtId="0" fontId="0" fillId="32" borderId="4" xfId="0" applyFont="1" applyFill="1" applyBorder="1" applyAlignment="1">
      <alignment horizontal="center" vertical="center"/>
    </xf>
    <xf numFmtId="0" fontId="40" fillId="33" borderId="4" xfId="0" applyFont="1" applyFill="1" applyBorder="1" applyAlignment="1">
      <alignment horizontal="center" vertical="center"/>
    </xf>
    <xf numFmtId="0" fontId="8" fillId="32" borderId="113" xfId="0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 vertical="center"/>
    </xf>
    <xf numFmtId="3" fontId="8" fillId="32" borderId="109" xfId="0" applyNumberFormat="1" applyFont="1" applyFill="1" applyBorder="1" applyAlignment="1">
      <alignment horizontal="center"/>
    </xf>
    <xf numFmtId="3" fontId="8" fillId="32" borderId="114" xfId="0" applyNumberFormat="1" applyFont="1" applyFill="1" applyBorder="1" applyAlignment="1">
      <alignment horizontal="center"/>
    </xf>
    <xf numFmtId="4" fontId="40" fillId="33" borderId="10" xfId="0" applyNumberFormat="1" applyFont="1" applyFill="1" applyBorder="1"/>
    <xf numFmtId="170" fontId="40" fillId="33" borderId="10" xfId="0" applyNumberFormat="1" applyFont="1" applyFill="1" applyBorder="1"/>
    <xf numFmtId="169" fontId="40" fillId="33" borderId="10" xfId="0" applyNumberFormat="1" applyFont="1" applyFill="1" applyBorder="1"/>
    <xf numFmtId="182" fontId="40" fillId="33" borderId="10" xfId="0" applyNumberFormat="1" applyFont="1" applyFill="1" applyBorder="1"/>
    <xf numFmtId="171" fontId="40" fillId="33" borderId="10" xfId="0" applyNumberFormat="1" applyFont="1" applyFill="1" applyBorder="1"/>
    <xf numFmtId="3" fontId="40" fillId="33" borderId="10" xfId="0" applyNumberFormat="1" applyFont="1" applyFill="1" applyBorder="1"/>
    <xf numFmtId="181" fontId="40" fillId="33" borderId="10" xfId="0" applyNumberFormat="1" applyFont="1" applyFill="1" applyBorder="1"/>
    <xf numFmtId="172" fontId="40" fillId="33" borderId="10" xfId="0" applyNumberFormat="1" applyFont="1" applyFill="1" applyBorder="1"/>
    <xf numFmtId="182" fontId="0" fillId="0" borderId="0" xfId="0" applyNumberFormat="1"/>
    <xf numFmtId="182" fontId="40" fillId="33" borderId="12" xfId="0" applyNumberFormat="1" applyFont="1" applyFill="1" applyBorder="1" applyAlignment="1">
      <alignment horizontal="center" vertical="center"/>
    </xf>
    <xf numFmtId="3" fontId="40" fillId="33" borderId="13" xfId="0" applyNumberFormat="1" applyFont="1" applyFill="1" applyBorder="1" applyAlignment="1">
      <alignment horizontal="center" vertical="center"/>
    </xf>
    <xf numFmtId="169" fontId="40" fillId="33" borderId="1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2" fillId="4" borderId="0" xfId="0" applyFont="1" applyFill="1"/>
    <xf numFmtId="0" fontId="8" fillId="4" borderId="38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/>
    </xf>
    <xf numFmtId="2" fontId="0" fillId="0" borderId="0" xfId="0" applyNumberFormat="1"/>
    <xf numFmtId="181" fontId="0" fillId="0" borderId="0" xfId="0" applyNumberFormat="1" applyFill="1" applyBorder="1" applyAlignment="1">
      <alignment horizontal="center" vertical="center"/>
    </xf>
    <xf numFmtId="181" fontId="0" fillId="0" borderId="44" xfId="0" applyNumberFormat="1" applyFill="1" applyBorder="1" applyAlignment="1">
      <alignment horizontal="center" vertical="center"/>
    </xf>
    <xf numFmtId="181" fontId="0" fillId="0" borderId="0" xfId="0" quotePrefix="1" applyNumberFormat="1" applyFill="1" applyBorder="1" applyAlignment="1">
      <alignment horizontal="center" vertical="center"/>
    </xf>
    <xf numFmtId="181" fontId="0" fillId="32" borderId="6" xfId="0" applyNumberFormat="1" applyFill="1" applyBorder="1" applyAlignment="1">
      <alignment horizontal="center" vertical="center"/>
    </xf>
    <xf numFmtId="181" fontId="0" fillId="32" borderId="8" xfId="0" applyNumberFormat="1" applyFill="1" applyBorder="1" applyAlignment="1">
      <alignment horizontal="center" vertical="center"/>
    </xf>
    <xf numFmtId="0" fontId="12" fillId="32" borderId="12" xfId="0" applyFont="1" applyFill="1" applyBorder="1" applyAlignment="1">
      <alignment horizontal="left" vertical="center"/>
    </xf>
    <xf numFmtId="0" fontId="12" fillId="32" borderId="0" xfId="0" applyFont="1" applyFill="1" applyBorder="1" applyAlignment="1">
      <alignment horizontal="left" vertical="center"/>
    </xf>
    <xf numFmtId="0" fontId="12" fillId="32" borderId="10" xfId="0" applyFont="1" applyFill="1" applyBorder="1" applyAlignment="1">
      <alignment horizontal="left" vertical="center"/>
    </xf>
    <xf numFmtId="177" fontId="0" fillId="0" borderId="0" xfId="0" applyNumberFormat="1"/>
    <xf numFmtId="0" fontId="0" fillId="0" borderId="0" xfId="0" applyAlignment="1">
      <alignment horizontal="center"/>
    </xf>
    <xf numFmtId="181" fontId="40" fillId="33" borderId="11" xfId="0" applyNumberFormat="1" applyFont="1" applyFill="1" applyBorder="1" applyAlignment="1">
      <alignment horizontal="center" vertical="center"/>
    </xf>
    <xf numFmtId="181" fontId="40" fillId="33" borderId="13" xfId="0" applyNumberFormat="1" applyFont="1" applyFill="1" applyBorder="1" applyAlignment="1">
      <alignment horizontal="center" vertical="center"/>
    </xf>
    <xf numFmtId="181" fontId="40" fillId="33" borderId="7" xfId="0" applyNumberFormat="1" applyFont="1" applyFill="1" applyBorder="1" applyAlignment="1">
      <alignment horizontal="center" vertical="center"/>
    </xf>
    <xf numFmtId="181" fontId="40" fillId="33" borderId="9" xfId="0" applyNumberFormat="1" applyFont="1" applyFill="1" applyBorder="1" applyAlignment="1">
      <alignment horizontal="center" vertical="center"/>
    </xf>
    <xf numFmtId="3" fontId="40" fillId="33" borderId="11" xfId="0" applyNumberFormat="1" applyFont="1" applyFill="1" applyBorder="1" applyAlignment="1">
      <alignment horizontal="center" vertical="center"/>
    </xf>
    <xf numFmtId="0" fontId="40" fillId="33" borderId="3" xfId="0" applyFont="1" applyFill="1" applyBorder="1" applyAlignment="1">
      <alignment vertical="center"/>
    </xf>
    <xf numFmtId="0" fontId="40" fillId="33" borderId="4" xfId="0" applyFont="1" applyFill="1" applyBorder="1" applyAlignment="1">
      <alignment vertical="center"/>
    </xf>
    <xf numFmtId="0" fontId="40" fillId="33" borderId="4" xfId="0" applyFont="1" applyFill="1" applyBorder="1" applyAlignment="1"/>
    <xf numFmtId="0" fontId="40" fillId="33" borderId="5" xfId="0" applyFont="1" applyFill="1" applyBorder="1" applyAlignment="1"/>
    <xf numFmtId="0" fontId="0" fillId="0" borderId="0" xfId="0" applyBorder="1" applyAlignment="1">
      <alignment horizontal="center"/>
    </xf>
    <xf numFmtId="169" fontId="40" fillId="33" borderId="10" xfId="0" applyNumberFormat="1" applyFont="1" applyFill="1" applyBorder="1" applyAlignment="1">
      <alignment horizontal="center" vertical="center"/>
    </xf>
    <xf numFmtId="181" fontId="40" fillId="33" borderId="6" xfId="0" applyNumberFormat="1" applyFont="1" applyFill="1" applyBorder="1" applyAlignment="1">
      <alignment horizontal="left" vertical="center"/>
    </xf>
    <xf numFmtId="181" fontId="40" fillId="33" borderId="8" xfId="0" applyNumberFormat="1" applyFont="1" applyFill="1" applyBorder="1" applyAlignment="1">
      <alignment horizontal="left" vertical="center"/>
    </xf>
    <xf numFmtId="170" fontId="0" fillId="32" borderId="0" xfId="0" applyNumberFormat="1" applyFill="1" applyBorder="1" applyAlignment="1">
      <alignment horizontal="center" vertical="center"/>
    </xf>
    <xf numFmtId="170" fontId="0" fillId="32" borderId="12" xfId="0" applyNumberFormat="1" applyFill="1" applyBorder="1" applyAlignment="1">
      <alignment horizontal="center" vertical="center"/>
    </xf>
    <xf numFmtId="170" fontId="0" fillId="32" borderId="10" xfId="0" applyNumberFormat="1" applyFill="1" applyBorder="1" applyAlignment="1">
      <alignment horizontal="center" vertical="center"/>
    </xf>
    <xf numFmtId="171" fontId="0" fillId="32" borderId="13" xfId="0" applyNumberFormat="1" applyFill="1" applyBorder="1" applyAlignment="1">
      <alignment horizontal="center" vertical="center"/>
    </xf>
    <xf numFmtId="171" fontId="0" fillId="32" borderId="7" xfId="0" applyNumberFormat="1" applyFill="1" applyBorder="1" applyAlignment="1">
      <alignment horizontal="center" vertical="center"/>
    </xf>
    <xf numFmtId="171" fontId="0" fillId="32" borderId="9" xfId="0" applyNumberFormat="1" applyFill="1" applyBorder="1" applyAlignment="1">
      <alignment horizontal="center" vertical="center"/>
    </xf>
    <xf numFmtId="181" fontId="0" fillId="32" borderId="11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71" fontId="0" fillId="32" borderId="0" xfId="0" applyNumberFormat="1" applyFill="1" applyBorder="1" applyAlignment="1">
      <alignment horizontal="center" vertical="center"/>
    </xf>
    <xf numFmtId="0" fontId="0" fillId="32" borderId="11" xfId="0" applyFill="1" applyBorder="1" applyAlignment="1">
      <alignment horizontal="center" vertical="center"/>
    </xf>
    <xf numFmtId="3" fontId="0" fillId="32" borderId="13" xfId="0" applyNumberFormat="1" applyFill="1" applyBorder="1" applyAlignment="1">
      <alignment horizontal="center" vertical="center"/>
    </xf>
    <xf numFmtId="0" fontId="0" fillId="32" borderId="6" xfId="0" applyFill="1" applyBorder="1" applyAlignment="1">
      <alignment horizontal="center" vertical="center"/>
    </xf>
    <xf numFmtId="3" fontId="0" fillId="32" borderId="7" xfId="0" applyNumberFormat="1" applyFill="1" applyBorder="1" applyAlignment="1">
      <alignment horizontal="center" vertical="center"/>
    </xf>
    <xf numFmtId="0" fontId="0" fillId="32" borderId="8" xfId="0" applyFill="1" applyBorder="1" applyAlignment="1">
      <alignment horizontal="center" vertical="center"/>
    </xf>
    <xf numFmtId="3" fontId="0" fillId="32" borderId="9" xfId="0" applyNumberFormat="1" applyFill="1" applyBorder="1" applyAlignment="1">
      <alignment horizontal="center" vertical="center"/>
    </xf>
    <xf numFmtId="171" fontId="0" fillId="32" borderId="12" xfId="0" applyNumberFormat="1" applyFill="1" applyBorder="1" applyAlignment="1">
      <alignment horizontal="center" vertical="center"/>
    </xf>
    <xf numFmtId="171" fontId="0" fillId="32" borderId="10" xfId="0" applyNumberFormat="1" applyFill="1" applyBorder="1" applyAlignment="1">
      <alignment horizontal="center" vertical="center"/>
    </xf>
    <xf numFmtId="0" fontId="40" fillId="33" borderId="6" xfId="0" applyFont="1" applyFill="1" applyBorder="1"/>
    <xf numFmtId="169" fontId="40" fillId="33" borderId="13" xfId="0" applyNumberFormat="1" applyFont="1" applyFill="1" applyBorder="1" applyAlignment="1">
      <alignment horizontal="center" vertical="center"/>
    </xf>
    <xf numFmtId="169" fontId="40" fillId="33" borderId="7" xfId="0" applyNumberFormat="1" applyFont="1" applyFill="1" applyBorder="1" applyAlignment="1">
      <alignment horizontal="center" vertical="center"/>
    </xf>
    <xf numFmtId="169" fontId="40" fillId="33" borderId="9" xfId="0" applyNumberFormat="1" applyFont="1" applyFill="1" applyBorder="1" applyAlignment="1">
      <alignment horizontal="center" vertical="center"/>
    </xf>
    <xf numFmtId="4" fontId="0" fillId="33" borderId="12" xfId="0" applyNumberFormat="1" applyFill="1" applyBorder="1" applyAlignment="1">
      <alignment horizontal="center" vertical="center"/>
    </xf>
    <xf numFmtId="171" fontId="40" fillId="33" borderId="12" xfId="0" applyNumberFormat="1" applyFont="1" applyFill="1" applyBorder="1" applyAlignment="1">
      <alignment horizontal="center" vertical="center"/>
    </xf>
    <xf numFmtId="0" fontId="8" fillId="33" borderId="12" xfId="0" applyFont="1" applyFill="1" applyBorder="1" applyAlignment="1">
      <alignment horizontal="center" vertical="center"/>
    </xf>
    <xf numFmtId="0" fontId="8" fillId="33" borderId="13" xfId="0" applyFont="1" applyFill="1" applyBorder="1" applyAlignment="1">
      <alignment horizontal="center" vertical="center"/>
    </xf>
    <xf numFmtId="4" fontId="0" fillId="33" borderId="0" xfId="0" applyNumberFormat="1" applyFill="1" applyBorder="1" applyAlignment="1">
      <alignment horizontal="center" vertical="center"/>
    </xf>
    <xf numFmtId="0" fontId="8" fillId="33" borderId="0" xfId="0" applyFont="1" applyFill="1" applyBorder="1" applyAlignment="1">
      <alignment horizontal="center" vertical="center"/>
    </xf>
    <xf numFmtId="0" fontId="8" fillId="33" borderId="7" xfId="0" applyFont="1" applyFill="1" applyBorder="1" applyAlignment="1">
      <alignment horizontal="center" vertical="center"/>
    </xf>
    <xf numFmtId="4" fontId="0" fillId="33" borderId="10" xfId="0" applyNumberFormat="1" applyFill="1" applyBorder="1" applyAlignment="1">
      <alignment horizontal="center" vertical="center"/>
    </xf>
    <xf numFmtId="0" fontId="8" fillId="33" borderId="9" xfId="0" applyFont="1" applyFill="1" applyBorder="1" applyAlignment="1">
      <alignment horizontal="center" vertical="center"/>
    </xf>
    <xf numFmtId="4" fontId="40" fillId="33" borderId="13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 applyAlignment="1">
      <alignment horizontal="center" vertical="center"/>
    </xf>
    <xf numFmtId="4" fontId="40" fillId="33" borderId="9" xfId="0" applyNumberFormat="1" applyFont="1" applyFill="1" applyBorder="1" applyAlignment="1">
      <alignment horizontal="center" vertical="center"/>
    </xf>
    <xf numFmtId="0" fontId="1" fillId="0" borderId="1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NumberFormat="1" applyFont="1" applyFill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181" fontId="40" fillId="33" borderId="11" xfId="0" applyNumberFormat="1" applyFont="1" applyFill="1" applyBorder="1"/>
    <xf numFmtId="181" fontId="40" fillId="33" borderId="12" xfId="0" applyNumberFormat="1" applyFont="1" applyFill="1" applyBorder="1"/>
    <xf numFmtId="181" fontId="40" fillId="33" borderId="6" xfId="0" applyNumberFormat="1" applyFont="1" applyFill="1" applyBorder="1"/>
    <xf numFmtId="181" fontId="40" fillId="33" borderId="0" xfId="0" applyNumberFormat="1" applyFont="1" applyFill="1" applyBorder="1"/>
    <xf numFmtId="181" fontId="40" fillId="33" borderId="8" xfId="0" applyNumberFormat="1" applyFont="1" applyFill="1" applyBorder="1"/>
    <xf numFmtId="0" fontId="12" fillId="0" borderId="0" xfId="0" applyFont="1" applyAlignment="1">
      <alignment horizontal="center" vertical="center"/>
    </xf>
    <xf numFmtId="0" fontId="9" fillId="32" borderId="33" xfId="0" applyFont="1" applyFill="1" applyBorder="1" applyAlignment="1">
      <alignment horizontal="center" vertical="center"/>
    </xf>
    <xf numFmtId="4" fontId="0" fillId="32" borderId="12" xfId="0" applyNumberFormat="1" applyFill="1" applyBorder="1" applyAlignment="1">
      <alignment horizontal="center" vertical="center"/>
    </xf>
    <xf numFmtId="4" fontId="0" fillId="32" borderId="0" xfId="0" applyNumberFormat="1" applyFill="1" applyBorder="1" applyAlignment="1">
      <alignment horizontal="center" vertical="center"/>
    </xf>
    <xf numFmtId="4" fontId="0" fillId="32" borderId="10" xfId="0" applyNumberFormat="1" applyFill="1" applyBorder="1" applyAlignment="1">
      <alignment horizontal="center" vertical="center"/>
    </xf>
    <xf numFmtId="169" fontId="40" fillId="33" borderId="115" xfId="0" applyNumberFormat="1" applyFont="1" applyFill="1" applyBorder="1" applyAlignment="1">
      <alignment horizontal="center" vertical="center"/>
    </xf>
    <xf numFmtId="169" fontId="40" fillId="32" borderId="12" xfId="0" applyNumberFormat="1" applyFont="1" applyFill="1" applyBorder="1" applyAlignment="1">
      <alignment horizontal="center" vertical="center"/>
    </xf>
    <xf numFmtId="169" fontId="40" fillId="32" borderId="0" xfId="0" applyNumberFormat="1" applyFont="1" applyFill="1" applyBorder="1" applyAlignment="1">
      <alignment horizontal="center" vertical="center"/>
    </xf>
    <xf numFmtId="169" fontId="40" fillId="32" borderId="10" xfId="0" applyNumberFormat="1" applyFont="1" applyFill="1" applyBorder="1" applyAlignment="1">
      <alignment horizontal="center" vertical="center"/>
    </xf>
    <xf numFmtId="4" fontId="40" fillId="33" borderId="7" xfId="0" applyNumberFormat="1" applyFont="1" applyFill="1" applyBorder="1"/>
    <xf numFmtId="4" fontId="40" fillId="33" borderId="9" xfId="0" applyNumberFormat="1" applyFont="1" applyFill="1" applyBorder="1"/>
    <xf numFmtId="171" fontId="40" fillId="33" borderId="0" xfId="0" applyNumberFormat="1" applyFont="1" applyFill="1" applyBorder="1"/>
    <xf numFmtId="4" fontId="0" fillId="0" borderId="0" xfId="0" applyNumberFormat="1" applyBorder="1" applyAlignment="1">
      <alignment horizontal="center" vertical="center"/>
    </xf>
    <xf numFmtId="181" fontId="40" fillId="33" borderId="3" xfId="0" applyNumberFormat="1" applyFont="1" applyFill="1" applyBorder="1" applyAlignment="1">
      <alignment horizontal="center" vertical="center"/>
    </xf>
    <xf numFmtId="181" fontId="40" fillId="33" borderId="4" xfId="0" applyNumberFormat="1" applyFont="1" applyFill="1" applyBorder="1" applyAlignment="1">
      <alignment horizontal="center" vertical="center"/>
    </xf>
    <xf numFmtId="181" fontId="40" fillId="33" borderId="5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1" fillId="0" borderId="0" xfId="0" applyFont="1" applyFill="1" applyBorder="1"/>
    <xf numFmtId="181" fontId="40" fillId="0" borderId="117" xfId="0" applyNumberFormat="1" applyFont="1" applyBorder="1" applyAlignment="1">
      <alignment horizontal="center" vertical="center"/>
    </xf>
    <xf numFmtId="0" fontId="40" fillId="0" borderId="118" xfId="0" applyFont="1" applyBorder="1" applyAlignment="1">
      <alignment horizontal="center" vertical="center"/>
    </xf>
    <xf numFmtId="181" fontId="0" fillId="32" borderId="119" xfId="0" applyNumberFormat="1" applyFill="1" applyBorder="1" applyAlignment="1">
      <alignment horizontal="center" vertical="center"/>
    </xf>
    <xf numFmtId="181" fontId="40" fillId="0" borderId="120" xfId="0" applyNumberFormat="1" applyFont="1" applyBorder="1" applyAlignment="1">
      <alignment horizontal="center" vertical="center"/>
    </xf>
    <xf numFmtId="181" fontId="40" fillId="0" borderId="122" xfId="0" applyNumberFormat="1" applyFont="1" applyBorder="1" applyAlignment="1">
      <alignment horizontal="center" vertical="center"/>
    </xf>
    <xf numFmtId="0" fontId="8" fillId="33" borderId="95" xfId="0" applyFont="1" applyFill="1" applyBorder="1"/>
    <xf numFmtId="0" fontId="8" fillId="33" borderId="98" xfId="0" applyFont="1" applyFill="1" applyBorder="1"/>
    <xf numFmtId="181" fontId="0" fillId="32" borderId="124" xfId="0" applyNumberFormat="1" applyFill="1" applyBorder="1" applyAlignment="1">
      <alignment horizontal="center" vertical="center"/>
    </xf>
    <xf numFmtId="0" fontId="40" fillId="0" borderId="127" xfId="0" applyFont="1" applyBorder="1" applyAlignment="1">
      <alignment horizontal="center" vertical="center"/>
    </xf>
    <xf numFmtId="181" fontId="0" fillId="32" borderId="128" xfId="0" applyNumberFormat="1" applyFill="1" applyBorder="1" applyAlignment="1">
      <alignment horizontal="center" vertical="center"/>
    </xf>
    <xf numFmtId="0" fontId="8" fillId="33" borderId="129" xfId="0" applyFont="1" applyFill="1" applyBorder="1"/>
    <xf numFmtId="181" fontId="40" fillId="0" borderId="131" xfId="0" applyNumberFormat="1" applyFont="1" applyBorder="1" applyAlignment="1">
      <alignment horizontal="center" vertical="center"/>
    </xf>
    <xf numFmtId="3" fontId="57" fillId="0" borderId="0" xfId="0" applyNumberFormat="1" applyFont="1" applyAlignment="1">
      <alignment horizontal="center" vertical="center"/>
    </xf>
    <xf numFmtId="0" fontId="14" fillId="33" borderId="4" xfId="0" applyFont="1" applyFill="1" applyBorder="1" applyAlignment="1">
      <alignment horizontal="center" vertical="center"/>
    </xf>
    <xf numFmtId="0" fontId="40" fillId="0" borderId="117" xfId="0" applyFont="1" applyBorder="1" applyAlignment="1">
      <alignment horizontal="center" vertical="center"/>
    </xf>
    <xf numFmtId="3" fontId="57" fillId="33" borderId="4" xfId="0" applyNumberFormat="1" applyFont="1" applyFill="1" applyBorder="1" applyAlignment="1">
      <alignment horizontal="center" vertical="center"/>
    </xf>
    <xf numFmtId="3" fontId="1" fillId="32" borderId="128" xfId="0" applyNumberFormat="1" applyFont="1" applyFill="1" applyBorder="1" applyAlignment="1">
      <alignment horizontal="center" vertical="center"/>
    </xf>
    <xf numFmtId="181" fontId="1" fillId="32" borderId="130" xfId="0" applyNumberFormat="1" applyFont="1" applyFill="1" applyBorder="1" applyAlignment="1">
      <alignment horizontal="center" vertical="center"/>
    </xf>
    <xf numFmtId="181" fontId="1" fillId="32" borderId="125" xfId="0" applyNumberFormat="1" applyFont="1" applyFill="1" applyBorder="1" applyAlignment="1">
      <alignment horizontal="center" vertical="center"/>
    </xf>
    <xf numFmtId="181" fontId="1" fillId="32" borderId="121" xfId="0" applyNumberFormat="1" applyFont="1" applyFill="1" applyBorder="1" applyAlignment="1">
      <alignment horizontal="center" vertical="center"/>
    </xf>
    <xf numFmtId="3" fontId="40" fillId="0" borderId="120" xfId="0" applyNumberFormat="1" applyFont="1" applyBorder="1" applyAlignment="1">
      <alignment horizontal="center" vertical="center"/>
    </xf>
    <xf numFmtId="4" fontId="1" fillId="40" borderId="126" xfId="0" applyNumberFormat="1" applyFont="1" applyFill="1" applyBorder="1" applyAlignment="1">
      <alignment horizontal="center" vertical="center"/>
    </xf>
    <xf numFmtId="4" fontId="1" fillId="40" borderId="123" xfId="0" applyNumberFormat="1" applyFont="1" applyFill="1" applyBorder="1" applyAlignment="1">
      <alignment horizontal="center" vertical="center"/>
    </xf>
    <xf numFmtId="4" fontId="1" fillId="40" borderId="116" xfId="0" applyNumberFormat="1" applyFont="1" applyFill="1" applyBorder="1" applyAlignment="1">
      <alignment horizontal="center" vertical="center"/>
    </xf>
    <xf numFmtId="0" fontId="8" fillId="40" borderId="20" xfId="0" applyFont="1" applyFill="1" applyBorder="1" applyAlignment="1">
      <alignment horizontal="center" vertical="center"/>
    </xf>
    <xf numFmtId="0" fontId="0" fillId="33" borderId="33" xfId="0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1" fillId="32" borderId="5" xfId="0" applyFont="1" applyFill="1" applyBorder="1" applyAlignment="1">
      <alignment horizontal="center" vertical="center"/>
    </xf>
    <xf numFmtId="0" fontId="1" fillId="32" borderId="3" xfId="0" applyFont="1" applyFill="1" applyBorder="1" applyAlignment="1">
      <alignment horizontal="center" vertical="center"/>
    </xf>
    <xf numFmtId="0" fontId="1" fillId="32" borderId="4" xfId="0" applyFont="1" applyFill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77" fontId="8" fillId="41" borderId="4" xfId="0" applyNumberFormat="1" applyFont="1" applyFill="1" applyBorder="1" applyAlignment="1">
      <alignment horizontal="center" vertical="center"/>
    </xf>
    <xf numFmtId="3" fontId="8" fillId="41" borderId="4" xfId="0" applyNumberFormat="1" applyFont="1" applyFill="1" applyBorder="1" applyAlignment="1">
      <alignment horizontal="center" vertical="center"/>
    </xf>
    <xf numFmtId="181" fontId="0" fillId="4" borderId="4" xfId="0" applyNumberFormat="1" applyFill="1" applyBorder="1" applyAlignment="1">
      <alignment horizontal="center"/>
    </xf>
    <xf numFmtId="171" fontId="8" fillId="33" borderId="12" xfId="0" applyNumberFormat="1" applyFont="1" applyFill="1" applyBorder="1" applyAlignment="1">
      <alignment horizontal="center" vertical="center"/>
    </xf>
    <xf numFmtId="171" fontId="8" fillId="33" borderId="0" xfId="0" applyNumberFormat="1" applyFont="1" applyFill="1" applyBorder="1" applyAlignment="1">
      <alignment horizontal="center" vertical="center"/>
    </xf>
    <xf numFmtId="171" fontId="8" fillId="33" borderId="10" xfId="0" applyNumberFormat="1" applyFont="1" applyFill="1" applyBorder="1" applyAlignment="1">
      <alignment horizontal="center" vertical="center"/>
    </xf>
    <xf numFmtId="0" fontId="0" fillId="33" borderId="10" xfId="0" applyNumberFormat="1" applyFont="1" applyFill="1" applyBorder="1" applyAlignment="1">
      <alignment horizontal="center" vertical="center"/>
    </xf>
    <xf numFmtId="3" fontId="40" fillId="31" borderId="0" xfId="0" applyNumberFormat="1" applyFont="1" applyFill="1" applyBorder="1" applyAlignment="1">
      <alignment horizontal="center" vertical="center"/>
    </xf>
    <xf numFmtId="185" fontId="40" fillId="33" borderId="0" xfId="0" applyNumberFormat="1" applyFont="1" applyFill="1" applyBorder="1" applyAlignment="1">
      <alignment horizontal="center" vertical="center"/>
    </xf>
    <xf numFmtId="185" fontId="40" fillId="33" borderId="10" xfId="0" applyNumberFormat="1" applyFont="1" applyFill="1" applyBorder="1"/>
    <xf numFmtId="0" fontId="40" fillId="0" borderId="0" xfId="0" applyFont="1" applyAlignment="1">
      <alignment horizontal="center" vertical="center"/>
    </xf>
    <xf numFmtId="186" fontId="1" fillId="32" borderId="4" xfId="0" applyNumberFormat="1" applyFont="1" applyFill="1" applyBorder="1" applyAlignment="1">
      <alignment horizontal="center" vertical="center"/>
    </xf>
    <xf numFmtId="186" fontId="57" fillId="33" borderId="6" xfId="0" applyNumberFormat="1" applyFont="1" applyFill="1" applyBorder="1" applyAlignment="1">
      <alignment horizontal="center" vertical="center"/>
    </xf>
    <xf numFmtId="169" fontId="40" fillId="32" borderId="33" xfId="0" applyNumberFormat="1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3" fontId="57" fillId="39" borderId="6" xfId="0" applyNumberFormat="1" applyFont="1" applyFill="1" applyBorder="1" applyAlignment="1">
      <alignment horizontal="center" vertical="center"/>
    </xf>
    <xf numFmtId="0" fontId="40" fillId="39" borderId="7" xfId="0" applyFont="1" applyFill="1" applyBorder="1"/>
    <xf numFmtId="0" fontId="40" fillId="39" borderId="0" xfId="0" applyFont="1" applyFill="1" applyBorder="1"/>
    <xf numFmtId="3" fontId="57" fillId="39" borderId="0" xfId="0" applyNumberFormat="1" applyFont="1" applyFill="1" applyBorder="1" applyAlignment="1">
      <alignment horizontal="center" vertical="center"/>
    </xf>
    <xf numFmtId="3" fontId="40" fillId="0" borderId="6" xfId="0" applyNumberFormat="1" applyFont="1" applyBorder="1" applyAlignment="1">
      <alignment horizontal="center" vertical="center"/>
    </xf>
    <xf numFmtId="4" fontId="57" fillId="39" borderId="8" xfId="0" applyNumberFormat="1" applyFont="1" applyFill="1" applyBorder="1" applyAlignment="1">
      <alignment horizontal="center" vertical="center"/>
    </xf>
    <xf numFmtId="3" fontId="40" fillId="39" borderId="10" xfId="0" applyNumberFormat="1" applyFont="1" applyFill="1" applyBorder="1" applyAlignment="1">
      <alignment horizontal="center" vertical="center"/>
    </xf>
    <xf numFmtId="4" fontId="57" fillId="39" borderId="10" xfId="0" applyNumberFormat="1" applyFont="1" applyFill="1" applyBorder="1" applyAlignment="1">
      <alignment horizontal="center" vertical="center"/>
    </xf>
    <xf numFmtId="3" fontId="40" fillId="39" borderId="9" xfId="0" applyNumberFormat="1" applyFont="1" applyFill="1" applyBorder="1" applyAlignment="1">
      <alignment horizontal="center" vertical="center"/>
    </xf>
    <xf numFmtId="0" fontId="8" fillId="32" borderId="3" xfId="0" applyFont="1" applyFill="1" applyBorder="1" applyAlignment="1">
      <alignment horizontal="center" vertical="center"/>
    </xf>
    <xf numFmtId="3" fontId="8" fillId="32" borderId="4" xfId="0" applyNumberFormat="1" applyFont="1" applyFill="1" applyBorder="1" applyAlignment="1">
      <alignment horizontal="center" vertical="center"/>
    </xf>
    <xf numFmtId="0" fontId="0" fillId="4" borderId="39" xfId="0" applyFont="1" applyFill="1" applyBorder="1" applyAlignment="1">
      <alignment horizontal="center" vertical="center"/>
    </xf>
    <xf numFmtId="3" fontId="0" fillId="4" borderId="47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0" fontId="12" fillId="33" borderId="0" xfId="0" applyFont="1" applyFill="1"/>
    <xf numFmtId="0" fontId="0" fillId="33" borderId="0" xfId="0" applyFill="1"/>
    <xf numFmtId="0" fontId="33" fillId="33" borderId="0" xfId="0" applyFont="1" applyFill="1" applyBorder="1" applyAlignment="1">
      <alignment horizontal="center" vertical="center"/>
    </xf>
    <xf numFmtId="0" fontId="8" fillId="33" borderId="0" xfId="0" applyFont="1" applyFill="1" applyBorder="1"/>
    <xf numFmtId="0" fontId="40" fillId="0" borderId="11" xfId="0" applyFont="1" applyFill="1" applyBorder="1" applyAlignment="1">
      <alignment horizontal="center" vertical="center"/>
    </xf>
    <xf numFmtId="172" fontId="40" fillId="0" borderId="12" xfId="0" applyNumberFormat="1" applyFont="1" applyFill="1" applyBorder="1" applyAlignment="1">
      <alignment horizontal="center" vertical="center"/>
    </xf>
    <xf numFmtId="15" fontId="40" fillId="0" borderId="12" xfId="0" applyNumberFormat="1" applyFont="1" applyFill="1" applyBorder="1" applyAlignment="1">
      <alignment horizontal="center" vertical="center"/>
    </xf>
    <xf numFmtId="15" fontId="40" fillId="0" borderId="0" xfId="0" applyNumberFormat="1" applyFont="1" applyFill="1" applyBorder="1" applyAlignment="1">
      <alignment horizontal="center" vertical="center"/>
    </xf>
    <xf numFmtId="15" fontId="40" fillId="0" borderId="7" xfId="0" applyNumberFormat="1" applyFont="1" applyFill="1" applyBorder="1" applyAlignment="1">
      <alignment horizontal="center" vertical="center"/>
    </xf>
    <xf numFmtId="15" fontId="40" fillId="0" borderId="6" xfId="0" applyNumberFormat="1" applyFont="1" applyFill="1" applyBorder="1" applyAlignment="1">
      <alignment horizontal="center" vertical="center"/>
    </xf>
    <xf numFmtId="168" fontId="40" fillId="0" borderId="7" xfId="0" applyNumberFormat="1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172" fontId="40" fillId="0" borderId="7" xfId="0" applyNumberFormat="1" applyFont="1" applyFill="1" applyBorder="1" applyAlignment="1">
      <alignment horizontal="center" vertical="center"/>
    </xf>
    <xf numFmtId="0" fontId="0" fillId="33" borderId="0" xfId="0" applyFont="1" applyFill="1"/>
    <xf numFmtId="172" fontId="40" fillId="4" borderId="132" xfId="0" applyNumberFormat="1" applyFont="1" applyFill="1" applyBorder="1" applyAlignment="1">
      <alignment horizontal="center" vertical="center"/>
    </xf>
    <xf numFmtId="172" fontId="40" fillId="4" borderId="133" xfId="0" applyNumberFormat="1" applyFont="1" applyFill="1" applyBorder="1" applyAlignment="1">
      <alignment horizontal="center" vertical="center"/>
    </xf>
    <xf numFmtId="172" fontId="40" fillId="0" borderId="0" xfId="0" applyNumberFormat="1" applyFont="1" applyFill="1" applyBorder="1" applyAlignment="1">
      <alignment horizontal="center" vertical="center"/>
    </xf>
    <xf numFmtId="172" fontId="40" fillId="4" borderId="56" xfId="0" applyNumberFormat="1" applyFont="1" applyFill="1" applyBorder="1" applyAlignment="1">
      <alignment horizontal="center" vertical="center"/>
    </xf>
    <xf numFmtId="172" fontId="40" fillId="4" borderId="52" xfId="0" applyNumberFormat="1" applyFont="1" applyFill="1" applyBorder="1" applyAlignment="1">
      <alignment horizontal="center" vertical="center"/>
    </xf>
    <xf numFmtId="172" fontId="8" fillId="4" borderId="56" xfId="0" applyNumberFormat="1" applyFont="1" applyFill="1" applyBorder="1" applyAlignment="1">
      <alignment horizontal="center" vertical="center"/>
    </xf>
    <xf numFmtId="172" fontId="8" fillId="4" borderId="52" xfId="0" applyNumberFormat="1" applyFont="1" applyFill="1" applyBorder="1" applyAlignment="1">
      <alignment horizontal="center" vertical="center"/>
    </xf>
    <xf numFmtId="0" fontId="40" fillId="0" borderId="8" xfId="0" applyFont="1" applyFill="1" applyBorder="1" applyAlignment="1">
      <alignment horizontal="center" vertical="center"/>
    </xf>
    <xf numFmtId="172" fontId="40" fillId="0" borderId="10" xfId="0" applyNumberFormat="1" applyFont="1" applyFill="1" applyBorder="1" applyAlignment="1">
      <alignment horizontal="center" vertical="center"/>
    </xf>
    <xf numFmtId="15" fontId="40" fillId="0" borderId="10" xfId="0" applyNumberFormat="1" applyFont="1" applyFill="1" applyBorder="1" applyAlignment="1">
      <alignment horizontal="center" vertical="center"/>
    </xf>
    <xf numFmtId="15" fontId="40" fillId="0" borderId="9" xfId="0" applyNumberFormat="1" applyFont="1" applyFill="1" applyBorder="1" applyAlignment="1">
      <alignment horizontal="center" vertical="center"/>
    </xf>
    <xf numFmtId="15" fontId="40" fillId="0" borderId="8" xfId="0" applyNumberFormat="1" applyFont="1" applyFill="1" applyBorder="1" applyAlignment="1">
      <alignment horizontal="center" vertical="center"/>
    </xf>
    <xf numFmtId="168" fontId="40" fillId="0" borderId="9" xfId="0" applyNumberFormat="1" applyFont="1" applyFill="1" applyBorder="1" applyAlignment="1">
      <alignment horizontal="center" vertical="center"/>
    </xf>
    <xf numFmtId="172" fontId="40" fillId="0" borderId="9" xfId="0" applyNumberFormat="1" applyFont="1" applyFill="1" applyBorder="1" applyAlignment="1">
      <alignment horizontal="center" vertical="center"/>
    </xf>
    <xf numFmtId="172" fontId="8" fillId="4" borderId="134" xfId="0" applyNumberFormat="1" applyFont="1" applyFill="1" applyBorder="1" applyAlignment="1">
      <alignment horizontal="center" vertical="center"/>
    </xf>
    <xf numFmtId="172" fontId="8" fillId="4" borderId="135" xfId="0" applyNumberFormat="1" applyFont="1" applyFill="1" applyBorder="1" applyAlignment="1">
      <alignment horizontal="center" vertical="center"/>
    </xf>
    <xf numFmtId="0" fontId="9" fillId="33" borderId="0" xfId="0" applyFont="1" applyFill="1" applyBorder="1"/>
    <xf numFmtId="0" fontId="14" fillId="33" borderId="0" xfId="0" applyFont="1" applyFill="1" applyBorder="1" applyAlignment="1">
      <alignment horizontal="center" vertical="center"/>
    </xf>
    <xf numFmtId="0" fontId="0" fillId="33" borderId="0" xfId="0" applyFont="1" applyFill="1" applyBorder="1" applyAlignment="1">
      <alignment horizontal="center" vertical="center"/>
    </xf>
    <xf numFmtId="0" fontId="0" fillId="33" borderId="0" xfId="0" applyFont="1" applyFill="1" applyBorder="1"/>
    <xf numFmtId="0" fontId="40" fillId="4" borderId="11" xfId="0" applyFont="1" applyFill="1" applyBorder="1" applyAlignment="1">
      <alignment horizontal="center" vertical="center"/>
    </xf>
    <xf numFmtId="15" fontId="40" fillId="4" borderId="11" xfId="0" applyNumberFormat="1" applyFont="1" applyFill="1" applyBorder="1" applyAlignment="1">
      <alignment horizontal="center" vertical="center"/>
    </xf>
    <xf numFmtId="15" fontId="40" fillId="4" borderId="12" xfId="11" quotePrefix="1" applyNumberFormat="1" applyFont="1" applyFill="1" applyBorder="1" applyAlignment="1">
      <alignment horizontal="center" vertical="center"/>
    </xf>
    <xf numFmtId="183" fontId="40" fillId="4" borderId="12" xfId="0" applyNumberFormat="1" applyFont="1" applyFill="1" applyBorder="1" applyAlignment="1">
      <alignment horizontal="center" vertical="center"/>
    </xf>
    <xf numFmtId="168" fontId="8" fillId="4" borderId="13" xfId="57" quotePrefix="1" applyNumberFormat="1" applyFont="1" applyFill="1" applyBorder="1" applyAlignment="1">
      <alignment horizontal="center" vertical="center"/>
    </xf>
    <xf numFmtId="171" fontId="40" fillId="0" borderId="7" xfId="0" applyNumberFormat="1" applyFont="1" applyFill="1" applyBorder="1" applyAlignment="1">
      <alignment horizontal="center" vertical="center"/>
    </xf>
    <xf numFmtId="0" fontId="40" fillId="4" borderId="6" xfId="0" applyFont="1" applyFill="1" applyBorder="1" applyAlignment="1">
      <alignment horizontal="center" vertical="center"/>
    </xf>
    <xf numFmtId="171" fontId="40" fillId="4" borderId="7" xfId="0" applyNumberFormat="1" applyFont="1" applyFill="1" applyBorder="1" applyAlignment="1">
      <alignment horizontal="center" vertical="center"/>
    </xf>
    <xf numFmtId="15" fontId="40" fillId="4" borderId="0" xfId="11" quotePrefix="1" applyNumberFormat="1" applyFont="1" applyFill="1" applyBorder="1" applyAlignment="1">
      <alignment horizontal="center" vertical="center"/>
    </xf>
    <xf numFmtId="183" fontId="40" fillId="4" borderId="0" xfId="0" applyNumberFormat="1" applyFont="1" applyFill="1" applyBorder="1" applyAlignment="1">
      <alignment horizontal="center" vertical="center"/>
    </xf>
    <xf numFmtId="168" fontId="8" fillId="4" borderId="7" xfId="57" quotePrefix="1" applyNumberFormat="1" applyFont="1" applyFill="1" applyBorder="1" applyAlignment="1">
      <alignment horizontal="center" vertical="center"/>
    </xf>
    <xf numFmtId="0" fontId="57" fillId="0" borderId="56" xfId="0" applyFont="1" applyFill="1" applyBorder="1" applyAlignment="1">
      <alignment horizontal="center" vertical="center"/>
    </xf>
    <xf numFmtId="172" fontId="57" fillId="0" borderId="0" xfId="0" applyNumberFormat="1" applyFont="1" applyFill="1" applyBorder="1" applyAlignment="1">
      <alignment horizontal="center" vertical="center"/>
    </xf>
    <xf numFmtId="172" fontId="57" fillId="0" borderId="52" xfId="0" applyNumberFormat="1" applyFont="1" applyFill="1" applyBorder="1" applyAlignment="1">
      <alignment horizontal="center" vertical="center"/>
    </xf>
    <xf numFmtId="172" fontId="57" fillId="4" borderId="56" xfId="0" applyNumberFormat="1" applyFont="1" applyFill="1" applyBorder="1" applyAlignment="1">
      <alignment horizontal="center" vertical="center"/>
    </xf>
    <xf numFmtId="172" fontId="57" fillId="4" borderId="52" xfId="0" applyNumberFormat="1" applyFont="1" applyFill="1" applyBorder="1" applyAlignment="1">
      <alignment horizontal="center" vertical="center"/>
    </xf>
    <xf numFmtId="15" fontId="40" fillId="4" borderId="0" xfId="11" applyNumberFormat="1" applyFont="1" applyFill="1" applyBorder="1" applyAlignment="1">
      <alignment horizontal="center" vertical="center"/>
    </xf>
    <xf numFmtId="168" fontId="8" fillId="4" borderId="7" xfId="57" applyNumberFormat="1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56" xfId="0" applyFont="1" applyFill="1" applyBorder="1" applyAlignment="1">
      <alignment horizontal="center" vertical="center"/>
    </xf>
    <xf numFmtId="172" fontId="8" fillId="0" borderId="52" xfId="0" applyNumberFormat="1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171" fontId="40" fillId="4" borderId="9" xfId="0" applyNumberFormat="1" applyFont="1" applyFill="1" applyBorder="1" applyAlignment="1">
      <alignment horizontal="center" vertical="center"/>
    </xf>
    <xf numFmtId="15" fontId="40" fillId="4" borderId="10" xfId="11" applyNumberFormat="1" applyFont="1" applyFill="1" applyBorder="1" applyAlignment="1">
      <alignment horizontal="center" vertical="center"/>
    </xf>
    <xf numFmtId="183" fontId="40" fillId="4" borderId="10" xfId="0" applyNumberFormat="1" applyFont="1" applyFill="1" applyBorder="1" applyAlignment="1">
      <alignment horizontal="center" vertical="center"/>
    </xf>
    <xf numFmtId="168" fontId="8" fillId="4" borderId="9" xfId="57" applyNumberFormat="1" applyFont="1" applyFill="1" applyBorder="1" applyAlignment="1">
      <alignment horizontal="center" vertical="center"/>
    </xf>
    <xf numFmtId="0" fontId="8" fillId="0" borderId="134" xfId="0" applyFont="1" applyFill="1" applyBorder="1" applyAlignment="1">
      <alignment horizontal="center" vertical="center"/>
    </xf>
    <xf numFmtId="172" fontId="8" fillId="0" borderId="137" xfId="0" applyNumberFormat="1" applyFont="1" applyFill="1" applyBorder="1" applyAlignment="1">
      <alignment horizontal="center" vertical="center"/>
    </xf>
    <xf numFmtId="172" fontId="8" fillId="0" borderId="135" xfId="0" applyNumberFormat="1" applyFont="1" applyFill="1" applyBorder="1" applyAlignment="1">
      <alignment horizontal="center" vertical="center"/>
    </xf>
    <xf numFmtId="0" fontId="12" fillId="33" borderId="0" xfId="0" applyFont="1" applyFill="1" applyBorder="1"/>
    <xf numFmtId="0" fontId="0" fillId="4" borderId="3" xfId="0" applyFont="1" applyFill="1" applyBorder="1"/>
    <xf numFmtId="0" fontId="0" fillId="4" borderId="3" xfId="0" applyFont="1" applyFill="1" applyBorder="1" applyAlignment="1">
      <alignment horizontal="left" vertical="center"/>
    </xf>
    <xf numFmtId="0" fontId="0" fillId="4" borderId="4" xfId="0" applyFont="1" applyFill="1" applyBorder="1"/>
    <xf numFmtId="0" fontId="0" fillId="4" borderId="4" xfId="0" applyFont="1" applyFill="1" applyBorder="1" applyAlignment="1">
      <alignment horizontal="left" vertical="center"/>
    </xf>
    <xf numFmtId="0" fontId="0" fillId="4" borderId="5" xfId="0" applyFont="1" applyFill="1" applyBorder="1"/>
    <xf numFmtId="181" fontId="57" fillId="31" borderId="5" xfId="0" applyNumberFormat="1" applyFont="1" applyFill="1" applyBorder="1" applyAlignment="1">
      <alignment horizontal="left" vertical="center"/>
    </xf>
    <xf numFmtId="0" fontId="1" fillId="33" borderId="0" xfId="0" applyFont="1" applyFill="1"/>
    <xf numFmtId="0" fontId="0" fillId="4" borderId="3" xfId="0" applyFill="1" applyBorder="1"/>
    <xf numFmtId="0" fontId="0" fillId="4" borderId="5" xfId="0" applyFill="1" applyBorder="1"/>
    <xf numFmtId="0" fontId="57" fillId="4" borderId="5" xfId="0" applyFont="1" applyFill="1" applyBorder="1" applyAlignment="1">
      <alignment horizontal="left" vertical="center"/>
    </xf>
    <xf numFmtId="0" fontId="0" fillId="0" borderId="3" xfId="0" applyFont="1" applyFill="1" applyBorder="1"/>
    <xf numFmtId="0" fontId="0" fillId="0" borderId="3" xfId="0" applyFont="1" applyFill="1" applyBorder="1" applyAlignment="1">
      <alignment horizontal="left" vertical="center"/>
    </xf>
    <xf numFmtId="0" fontId="0" fillId="0" borderId="4" xfId="0" applyFont="1" applyFill="1" applyBorder="1"/>
    <xf numFmtId="0" fontId="0" fillId="0" borderId="4" xfId="0" applyFont="1" applyFill="1" applyBorder="1" applyAlignment="1">
      <alignment horizontal="left" vertical="center"/>
    </xf>
    <xf numFmtId="0" fontId="0" fillId="0" borderId="5" xfId="0" applyFont="1" applyFill="1" applyBorder="1"/>
    <xf numFmtId="0" fontId="0" fillId="0" borderId="5" xfId="0" applyFont="1" applyFill="1" applyBorder="1" applyAlignment="1">
      <alignment horizontal="left" vertical="center"/>
    </xf>
    <xf numFmtId="0" fontId="0" fillId="0" borderId="3" xfId="0" applyBorder="1"/>
    <xf numFmtId="0" fontId="57" fillId="0" borderId="3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8" fillId="4" borderId="3" xfId="0" applyFont="1" applyFill="1" applyBorder="1"/>
    <xf numFmtId="15" fontId="8" fillId="4" borderId="3" xfId="0" applyNumberFormat="1" applyFont="1" applyFill="1" applyBorder="1" applyAlignment="1">
      <alignment horizontal="left" vertical="center"/>
    </xf>
    <xf numFmtId="0" fontId="8" fillId="4" borderId="4" xfId="0" applyFont="1" applyFill="1" applyBorder="1"/>
    <xf numFmtId="15" fontId="8" fillId="4" borderId="4" xfId="0" applyNumberFormat="1" applyFont="1" applyFill="1" applyBorder="1" applyAlignment="1">
      <alignment horizontal="left" vertical="center"/>
    </xf>
    <xf numFmtId="181" fontId="57" fillId="4" borderId="4" xfId="0" applyNumberFormat="1" applyFont="1" applyFill="1" applyBorder="1" applyAlignment="1">
      <alignment horizontal="left" vertical="center"/>
    </xf>
    <xf numFmtId="0" fontId="0" fillId="4" borderId="4" xfId="0" applyFill="1" applyBorder="1"/>
    <xf numFmtId="0" fontId="8" fillId="4" borderId="4" xfId="0" applyFont="1" applyFill="1" applyBorder="1" applyAlignment="1">
      <alignment horizontal="left"/>
    </xf>
    <xf numFmtId="0" fontId="8" fillId="4" borderId="5" xfId="0" applyFont="1" applyFill="1" applyBorder="1" applyAlignment="1">
      <alignment horizontal="left"/>
    </xf>
    <xf numFmtId="0" fontId="59" fillId="33" borderId="0" xfId="0" applyFont="1" applyFill="1" applyBorder="1" applyAlignment="1">
      <alignment horizontal="left" vertical="center"/>
    </xf>
    <xf numFmtId="0" fontId="65" fillId="0" borderId="0" xfId="0" applyFont="1" applyAlignment="1">
      <alignment horizontal="left" vertical="center"/>
    </xf>
    <xf numFmtId="0" fontId="14" fillId="40" borderId="66" xfId="0" applyFont="1" applyFill="1" applyBorder="1" applyAlignment="1">
      <alignment horizontal="center" vertical="center"/>
    </xf>
    <xf numFmtId="172" fontId="0" fillId="32" borderId="12" xfId="0" applyNumberFormat="1" applyFill="1" applyBorder="1" applyAlignment="1">
      <alignment horizontal="center" vertical="center"/>
    </xf>
    <xf numFmtId="170" fontId="0" fillId="32" borderId="13" xfId="0" applyNumberFormat="1" applyFill="1" applyBorder="1" applyAlignment="1">
      <alignment horizontal="center" vertical="center"/>
    </xf>
    <xf numFmtId="0" fontId="40" fillId="33" borderId="11" xfId="0" applyFont="1" applyFill="1" applyBorder="1" applyAlignment="1">
      <alignment horizontal="center"/>
    </xf>
    <xf numFmtId="181" fontId="0" fillId="32" borderId="6" xfId="0" quotePrefix="1" applyNumberFormat="1" applyFill="1" applyBorder="1" applyAlignment="1">
      <alignment horizontal="center" vertical="center"/>
    </xf>
    <xf numFmtId="0" fontId="14" fillId="40" borderId="63" xfId="0" applyFont="1" applyFill="1" applyBorder="1" applyAlignment="1">
      <alignment horizontal="center" vertical="center"/>
    </xf>
    <xf numFmtId="172" fontId="0" fillId="32" borderId="0" xfId="0" applyNumberFormat="1" applyFill="1" applyBorder="1" applyAlignment="1">
      <alignment horizontal="center" vertical="center"/>
    </xf>
    <xf numFmtId="170" fontId="0" fillId="32" borderId="7" xfId="0" applyNumberFormat="1" applyFill="1" applyBorder="1" applyAlignment="1">
      <alignment horizontal="center" vertical="center"/>
    </xf>
    <xf numFmtId="0" fontId="40" fillId="33" borderId="6" xfId="0" applyFont="1" applyFill="1" applyBorder="1" applyAlignment="1">
      <alignment horizontal="center"/>
    </xf>
    <xf numFmtId="181" fontId="0" fillId="32" borderId="8" xfId="0" quotePrefix="1" applyNumberFormat="1" applyFill="1" applyBorder="1" applyAlignment="1">
      <alignment horizontal="center" vertical="center"/>
    </xf>
    <xf numFmtId="0" fontId="14" fillId="40" borderId="60" xfId="0" applyFont="1" applyFill="1" applyBorder="1" applyAlignment="1">
      <alignment horizontal="center" vertical="center"/>
    </xf>
    <xf numFmtId="172" fontId="0" fillId="32" borderId="10" xfId="0" applyNumberFormat="1" applyFill="1" applyBorder="1" applyAlignment="1">
      <alignment horizontal="center" vertical="center"/>
    </xf>
    <xf numFmtId="170" fontId="0" fillId="32" borderId="9" xfId="0" applyNumberFormat="1" applyFill="1" applyBorder="1" applyAlignment="1">
      <alignment horizontal="center" vertical="center"/>
    </xf>
    <xf numFmtId="0" fontId="40" fillId="33" borderId="8" xfId="0" applyFont="1" applyFill="1" applyBorder="1" applyAlignment="1">
      <alignment horizontal="center"/>
    </xf>
    <xf numFmtId="0" fontId="8" fillId="32" borderId="11" xfId="0" applyFont="1" applyFill="1" applyBorder="1" applyAlignment="1">
      <alignment horizontal="left" vertical="center"/>
    </xf>
    <xf numFmtId="0" fontId="8" fillId="32" borderId="12" xfId="0" applyFont="1" applyFill="1" applyBorder="1" applyAlignment="1">
      <alignment horizontal="center" vertical="center"/>
    </xf>
    <xf numFmtId="182" fontId="40" fillId="33" borderId="11" xfId="0" applyNumberFormat="1" applyFont="1" applyFill="1" applyBorder="1" applyAlignment="1">
      <alignment horizontal="center" vertical="center"/>
    </xf>
    <xf numFmtId="0" fontId="8" fillId="32" borderId="6" xfId="0" applyFont="1" applyFill="1" applyBorder="1" applyAlignment="1">
      <alignment horizontal="left" vertical="center"/>
    </xf>
    <xf numFmtId="0" fontId="8" fillId="32" borderId="0" xfId="0" applyFont="1" applyFill="1" applyBorder="1" applyAlignment="1">
      <alignment horizontal="center" vertical="center"/>
    </xf>
    <xf numFmtId="182" fontId="40" fillId="33" borderId="6" xfId="0" applyNumberFormat="1" applyFont="1" applyFill="1" applyBorder="1" applyAlignment="1">
      <alignment horizontal="center" vertical="center"/>
    </xf>
    <xf numFmtId="0" fontId="8" fillId="32" borderId="7" xfId="0" applyFont="1" applyFill="1" applyBorder="1" applyAlignment="1">
      <alignment horizontal="center" vertical="center"/>
    </xf>
    <xf numFmtId="0" fontId="8" fillId="32" borderId="8" xfId="0" applyFont="1" applyFill="1" applyBorder="1" applyAlignment="1">
      <alignment horizontal="left" vertical="center"/>
    </xf>
    <xf numFmtId="0" fontId="8" fillId="32" borderId="10" xfId="0" applyFont="1" applyFill="1" applyBorder="1" applyAlignment="1">
      <alignment horizontal="center" vertical="center"/>
    </xf>
    <xf numFmtId="182" fontId="40" fillId="33" borderId="8" xfId="0" applyNumberFormat="1" applyFont="1" applyFill="1" applyBorder="1" applyAlignment="1">
      <alignment horizontal="center" vertical="center"/>
    </xf>
    <xf numFmtId="172" fontId="40" fillId="33" borderId="13" xfId="0" applyNumberFormat="1" applyFont="1" applyFill="1" applyBorder="1" applyAlignment="1">
      <alignment horizontal="center" vertical="center"/>
    </xf>
    <xf numFmtId="172" fontId="40" fillId="33" borderId="7" xfId="0" applyNumberFormat="1" applyFont="1" applyFill="1" applyBorder="1" applyAlignment="1">
      <alignment horizontal="center" vertical="center"/>
    </xf>
    <xf numFmtId="172" fontId="57" fillId="33" borderId="7" xfId="0" applyNumberFormat="1" applyFont="1" applyFill="1" applyBorder="1" applyAlignment="1">
      <alignment horizontal="center" vertical="center"/>
    </xf>
    <xf numFmtId="172" fontId="57" fillId="33" borderId="13" xfId="0" applyNumberFormat="1" applyFont="1" applyFill="1" applyBorder="1" applyAlignment="1">
      <alignment horizontal="center" vertical="center"/>
    </xf>
    <xf numFmtId="0" fontId="33" fillId="33" borderId="0" xfId="0" applyFont="1" applyFill="1" applyBorder="1" applyAlignment="1">
      <alignment horizontal="left" vertical="center"/>
    </xf>
    <xf numFmtId="0" fontId="0" fillId="33" borderId="3" xfId="0" applyFont="1" applyFill="1" applyBorder="1" applyAlignment="1">
      <alignment horizontal="center" vertical="center"/>
    </xf>
    <xf numFmtId="0" fontId="0" fillId="33" borderId="5" xfId="0" applyFont="1" applyFill="1" applyBorder="1" applyAlignment="1">
      <alignment horizontal="center" vertical="center"/>
    </xf>
    <xf numFmtId="0" fontId="40" fillId="0" borderId="132" xfId="0" applyFont="1" applyFill="1" applyBorder="1" applyAlignment="1">
      <alignment horizontal="center" vertical="center"/>
    </xf>
    <xf numFmtId="172" fontId="40" fillId="0" borderId="133" xfId="0" applyNumberFormat="1" applyFont="1" applyFill="1" applyBorder="1" applyAlignment="1">
      <alignment horizontal="center" vertical="center"/>
    </xf>
    <xf numFmtId="0" fontId="40" fillId="0" borderId="56" xfId="0" applyFont="1" applyFill="1" applyBorder="1" applyAlignment="1">
      <alignment horizontal="center" vertical="center"/>
    </xf>
    <xf numFmtId="172" fontId="40" fillId="0" borderId="52" xfId="0" applyNumberFormat="1" applyFont="1" applyFill="1" applyBorder="1" applyAlignment="1">
      <alignment horizontal="center" vertical="center"/>
    </xf>
    <xf numFmtId="172" fontId="9" fillId="0" borderId="7" xfId="0" applyNumberFormat="1" applyFont="1" applyFill="1" applyBorder="1" applyAlignment="1">
      <alignment horizontal="center" vertical="center"/>
    </xf>
    <xf numFmtId="172" fontId="9" fillId="0" borderId="9" xfId="0" applyNumberFormat="1" applyFont="1" applyFill="1" applyBorder="1" applyAlignment="1">
      <alignment horizontal="center" vertical="center"/>
    </xf>
    <xf numFmtId="172" fontId="9" fillId="0" borderId="136" xfId="0" applyNumberFormat="1" applyFont="1" applyFill="1" applyBorder="1" applyAlignment="1">
      <alignment horizontal="center" vertical="center"/>
    </xf>
    <xf numFmtId="172" fontId="9" fillId="0" borderId="0" xfId="0" applyNumberFormat="1" applyFont="1" applyFill="1" applyBorder="1" applyAlignment="1">
      <alignment horizontal="center" vertical="center"/>
    </xf>
    <xf numFmtId="172" fontId="40" fillId="0" borderId="13" xfId="0" applyNumberFormat="1" applyFont="1" applyFill="1" applyBorder="1" applyAlignment="1">
      <alignment horizontal="center" vertical="center"/>
    </xf>
    <xf numFmtId="172" fontId="40" fillId="4" borderId="13" xfId="0" applyNumberFormat="1" applyFont="1" applyFill="1" applyBorder="1" applyAlignment="1">
      <alignment horizontal="center" vertical="center"/>
    </xf>
    <xf numFmtId="172" fontId="40" fillId="4" borderId="7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181" fontId="40" fillId="33" borderId="69" xfId="0" applyNumberFormat="1" applyFont="1" applyFill="1" applyBorder="1" applyAlignment="1">
      <alignment horizontal="center" vertical="center"/>
    </xf>
    <xf numFmtId="172" fontId="40" fillId="33" borderId="75" xfId="0" applyNumberFormat="1" applyFont="1" applyFill="1" applyBorder="1" applyAlignment="1">
      <alignment horizontal="center"/>
    </xf>
    <xf numFmtId="172" fontId="40" fillId="33" borderId="105" xfId="0" applyNumberFormat="1" applyFont="1" applyFill="1" applyBorder="1" applyAlignment="1">
      <alignment horizontal="center"/>
    </xf>
    <xf numFmtId="181" fontId="40" fillId="33" borderId="72" xfId="0" applyNumberFormat="1" applyFont="1" applyFill="1" applyBorder="1" applyAlignment="1">
      <alignment horizontal="center" vertical="center"/>
    </xf>
    <xf numFmtId="172" fontId="40" fillId="33" borderId="138" xfId="0" applyNumberFormat="1" applyFont="1" applyFill="1" applyBorder="1" applyAlignment="1">
      <alignment horizontal="center"/>
    </xf>
    <xf numFmtId="0" fontId="40" fillId="33" borderId="72" xfId="0" applyFont="1" applyFill="1" applyBorder="1" applyAlignment="1">
      <alignment horizontal="center"/>
    </xf>
    <xf numFmtId="0" fontId="40" fillId="33" borderId="138" xfId="0" applyFont="1" applyFill="1" applyBorder="1" applyAlignment="1">
      <alignment horizontal="center"/>
    </xf>
    <xf numFmtId="0" fontId="40" fillId="33" borderId="74" xfId="0" applyFont="1" applyFill="1" applyBorder="1" applyAlignment="1">
      <alignment horizontal="center"/>
    </xf>
    <xf numFmtId="0" fontId="40" fillId="33" borderId="76" xfId="0" applyFont="1" applyFill="1" applyBorder="1" applyAlignment="1">
      <alignment horizontal="center"/>
    </xf>
    <xf numFmtId="0" fontId="40" fillId="33" borderId="139" xfId="0" applyFont="1" applyFill="1" applyBorder="1" applyAlignment="1">
      <alignment horizontal="center"/>
    </xf>
    <xf numFmtId="181" fontId="40" fillId="33" borderId="33" xfId="0" applyNumberFormat="1" applyFont="1" applyFill="1" applyBorder="1" applyAlignment="1">
      <alignment horizontal="center" vertical="center"/>
    </xf>
    <xf numFmtId="0" fontId="15" fillId="33" borderId="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31" borderId="5" xfId="0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180" fontId="58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</cellXfs>
  <cellStyles count="58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[0] 5" xfId="57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  <cellStyle name="標準_VanillaSheetSample" xfId="56"/>
  </cellStyles>
  <dxfs count="56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6600"/>
      <color rgb="FFFFFFCC"/>
      <color rgb="FF00CC00"/>
      <color rgb="FF0000FF"/>
      <color rgb="FFFFFF00"/>
      <color rgb="FFFFFF99"/>
      <color rgb="FFFFCCFF"/>
      <color rgb="FFFF66CC"/>
      <color rgb="FF99FF33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-7.4999999999999997E-2</v>
        <stp/>
        <stp>##V3_BDPV12</stp>
        <stp>JYMUON MTRT Curncy</stp>
        <stp>LAST_PRICE</stp>
        <stp>[SwapsPricerV2.2.xlsm]JPY-LCH Curve!R6C27</stp>
        <tr r="AA6" s="200"/>
      </tp>
      <tp>
        <v>-5.3749999999999999E-2</v>
        <stp/>
        <stp>##V3_BDPV12</stp>
        <stp>JYSOB MTRT Curncy</stp>
        <stp>LAST_PRICE</stp>
        <stp>[SwapsPricerV2.2.xlsm]JPY-LCH Curve!R9C27</stp>
        <tr r="AA9" s="200"/>
      </tp>
      <tp>
        <v>-5.5E-2</v>
        <stp/>
        <stp>##V3_BDPV12</stp>
        <stp>JYSOA MTRT Curncy</stp>
        <stp>LAST_PRICE</stp>
        <stp>[SwapsPricerV2.2.xlsm]JPY-LCH Curve!R8C27</stp>
        <tr r="AA8" s="200"/>
      </tp>
      <tp>
        <v>-5.1249999999999997E-2</v>
        <stp/>
        <stp>##V3_BDPV12</stp>
        <stp>JYSOE MTRT Curncy</stp>
        <stp>LAST_PRICE</stp>
        <stp>[SwapsPricerV2.2.xlsm]JPY-LCH Curve!R12C27</stp>
        <tr r="AA12" s="200"/>
      </tp>
      <tp>
        <v>-5.2499999999999998E-2</v>
        <stp/>
        <stp>##V3_BDPV12</stp>
        <stp>JYSOD MTRT Curncy</stp>
        <stp>LAST_PRICE</stp>
        <stp>[SwapsPricerV2.2.xlsm]JPY-LCH Curve!R11C27</stp>
        <tr r="AA11" s="200"/>
      </tp>
      <tp>
        <v>4.1250000000000002E-2</v>
        <stp/>
        <stp>##V3_BDPV12</stp>
        <stp>JYSW1F MTRT Curncy</stp>
        <stp>LAST_PRICE</stp>
        <stp>[SwapsPricerV2.2.xlsm]JPY-LCH Curve!R52C27</stp>
        <tr r="AA52" s="200"/>
      </tp>
      <tp>
        <v>-2.75E-2</v>
        <stp/>
        <stp>##V3_BDPV12</stp>
        <stp>JYSO1F MTRT Curncy</stp>
        <stp>LAST_PRICE</stp>
        <stp>[SwapsPricerV2.2.xlsm]JPY-LCH Curve!R16C27</stp>
        <tr r="AA16" s="200"/>
      </tp>
      <tp>
        <v>4.1250000000000002E-2</v>
        <stp/>
        <stp>##V3_BDPV12</stp>
        <stp>JYSW1F MTRT Curncy</stp>
        <stp>LAST_PRICE</stp>
        <stp>[SwapsPricerV2.2.xlsm]JPY-LCH Curve!R13C32</stp>
        <tr r="AF13" s="200"/>
      </tp>
      <tp>
        <v>-4.8750000000000002E-2</v>
        <stp/>
        <stp>##V3_BDPV12</stp>
        <stp>JYSOF MTRT Curncy</stp>
        <stp>LAST_PRICE</stp>
        <stp>[SwapsPricerV2.2.xlsm]JPY-LCH Curve!R13C27</stp>
        <tr r="AA13" s="200"/>
      </tp>
      <tp>
        <v>-5.3749999999999999E-2</v>
        <stp/>
        <stp>##V3_BDPV12</stp>
        <stp>JYSOC MTRT Curncy</stp>
        <stp>LAST_PRICE</stp>
        <stp>[SwapsPricerV2.2.xlsm]JPY-LCH Curve!R10C27</stp>
        <tr r="AA10" s="200"/>
      </tp>
      <tp>
        <v>-4.1250000000000002E-2</v>
        <stp/>
        <stp>##V3_BDPV12</stp>
        <stp>JYSOI MTRT Curncy</stp>
        <stp>LAST_PRICE</stp>
        <stp>[SwapsPricerV2.2.xlsm]JPY-LCH Curve!R14C27</stp>
        <tr r="AA14" s="200"/>
      </tp>
    </main>
    <main first="bloomberg.rtd">
      <tp>
        <v>12.75</v>
        <stp/>
        <stp>##V3_BDPV12</stp>
        <stp>JYBSL12 MTRT Curncy</stp>
        <stp>LAST_PRICE</stp>
        <stp>[SwapsPricerV2.2.xlsm]JPY-LCH Curve!R44C27</stp>
        <tr r="AA44" s="200"/>
      </tp>
      <tp>
        <v>4</v>
        <stp/>
        <stp>##V3_BDPV12</stp>
        <stp>JYJSLC9 MTRT Curncy</stp>
        <stp>LAST_PRICE</stp>
        <stp>[SwapsPricerV2.2.xlsm]JPY-LCH Curve!R21C37</stp>
        <tr r="AK21" s="200"/>
      </tp>
      <tp>
        <v>3.25</v>
        <stp/>
        <stp>##V3_BDPV12</stp>
        <stp>JYJSLC8 MTRT Curncy</stp>
        <stp>LAST_PRICE</stp>
        <stp>[SwapsPricerV2.2.xlsm]JPY-LCH Curve!R20C37</stp>
        <tr r="AK20" s="200"/>
      </tp>
      <tp>
        <v>15.875</v>
        <stp/>
        <stp>##V3_BDPV12</stp>
        <stp>JYBSL40 MTRT Curncy</stp>
        <stp>LAST_PRICE</stp>
        <stp>[SwapsPricerV2.2.xlsm]JPY-LCH Curve!R50C27</stp>
        <tr r="AA50" s="200"/>
      </tp>
      <tp>
        <v>14.5</v>
        <stp/>
        <stp>##V3_BDPV12</stp>
        <stp>JYBSL20 MTRT Curncy</stp>
        <stp>LAST_PRICE</stp>
        <stp>[SwapsPricerV2.2.xlsm]JPY-LCH Curve!R46C27</stp>
        <tr r="AA46" s="200"/>
      </tp>
      <tp>
        <v>11.625</v>
        <stp/>
        <stp>##V3_BDPV12</stp>
        <stp>JYBSL10 MTRT Curncy</stp>
        <stp>LAST_PRICE</stp>
        <stp>[SwapsPricerV2.2.xlsm]JPY-LCH Curve!R43C27</stp>
        <tr r="AA43" s="200"/>
      </tp>
      <tp>
        <v>15.375</v>
        <stp/>
        <stp>##V3_BDPV12</stp>
        <stp>JYBSL30 MTRT Curncy</stp>
        <stp>LAST_PRICE</stp>
        <stp>[SwapsPricerV2.2.xlsm]JPY-LCH Curve!R48C27</stp>
        <tr r="AA48" s="200"/>
      </tp>
      <tp>
        <v>15</v>
        <stp/>
        <stp>##V3_BDPV12</stp>
        <stp>JYBSL25 MTRT Curncy</stp>
        <stp>LAST_PRICE</stp>
        <stp>[SwapsPricerV2.2.xlsm]JPY-LCH Curve!R47C27</stp>
        <tr r="AA47" s="200"/>
      </tp>
      <tp>
        <v>13.625</v>
        <stp/>
        <stp>##V3_BDPV12</stp>
        <stp>JYBSL15 MTRT Curncy</stp>
        <stp>LAST_PRICE</stp>
        <stp>[SwapsPricerV2.2.xlsm]JPY-LCH Curve!R45C27</stp>
        <tr r="AA45" s="200"/>
      </tp>
      <tp>
        <v>15.625</v>
        <stp/>
        <stp>##V3_BDPV12</stp>
        <stp>JYBSL35 MTRT Curncy</stp>
        <stp>LAST_PRICE</stp>
        <stp>[SwapsPricerV2.2.xlsm]JPY-LCH Curve!R49C27</stp>
        <tr r="AA49" s="200"/>
      </tp>
      <tp>
        <v>0.5</v>
        <stp/>
        <stp>##V3_BDPV12</stp>
        <stp>JYJSLC3 MTRT Curncy</stp>
        <stp>LAST_PRICE</stp>
        <stp>[SwapsPricerV2.2.xlsm]JPY-LCH Curve!R15C37</stp>
        <tr r="AK15" s="200"/>
      </tp>
      <tp>
        <v>0.25</v>
        <stp/>
        <stp>##V3_BDPV12</stp>
        <stp>JYJSLC2 MTRT Curncy</stp>
        <stp>LAST_PRICE</stp>
        <stp>[SwapsPricerV2.2.xlsm]JPY-LCH Curve!R14C37</stp>
        <tr r="AK14" s="200"/>
      </tp>
      <tp>
        <v>0</v>
        <stp/>
        <stp>##V3_BDPV12</stp>
        <stp>JYJSLC1 MTRT Curncy</stp>
        <stp>LAST_PRICE</stp>
        <stp>[SwapsPricerV2.2.xlsm]JPY-LCH Curve!R12C37</stp>
        <tr r="AK12" s="200"/>
      </tp>
      <tp>
        <v>1.1968000000000001</v>
        <stp/>
        <stp>##V3_BDPV12</stp>
        <stp>EURUSD Curncy</stp>
        <stp>BID</stp>
        <stp>[SwapsPricerV2.2.xlsm]EUR XCCY!R2C8</stp>
        <tr r="H2" s="194"/>
      </tp>
      <tp>
        <v>2.625</v>
        <stp/>
        <stp>##V3_BDPV12</stp>
        <stp>JYJSLC7 MTRT Curncy</stp>
        <stp>LAST_PRICE</stp>
        <stp>[SwapsPricerV2.2.xlsm]JPY-LCH Curve!R19C37</stp>
        <tr r="AK19" s="200"/>
      </tp>
      <tp>
        <v>2</v>
        <stp/>
        <stp>##V3_BDPV12</stp>
        <stp>JYJSLC6 MTRT Curncy</stp>
        <stp>LAST_PRICE</stp>
        <stp>[SwapsPricerV2.2.xlsm]JPY-LCH Curve!R18C37</stp>
        <tr r="AK18" s="200"/>
      </tp>
      <tp>
        <v>1.375</v>
        <stp/>
        <stp>##V3_BDPV12</stp>
        <stp>JYJSLC5 MTRT Curncy</stp>
        <stp>LAST_PRICE</stp>
        <stp>[SwapsPricerV2.2.xlsm]JPY-LCH Curve!R17C37</stp>
        <tr r="AK17" s="200"/>
      </tp>
      <tp>
        <v>3.125E-2</v>
        <stp/>
        <stp>##V3_BDPV12</stp>
        <stp>JYFR3/9 MTRT Curncy</stp>
        <stp>LAST_PRICE</stp>
        <stp>[SwapsPricerV2.2.xlsm]JPY-LCH Curve!R11C32</stp>
        <tr r="AF11" s="200"/>
      </tp>
      <tp>
        <v>3.125E-2</v>
        <stp/>
        <stp>##V3_BDPV12</stp>
        <stp>JYFR3/9 MTRT Curncy</stp>
        <stp>LAST_PRICE</stp>
        <stp>[SwapsPricerV2.2.xlsm]JPY-LCH Curve!R11C37</stp>
        <tr r="AK11" s="200"/>
      </tp>
      <tp>
        <v>0.875</v>
        <stp/>
        <stp>##V3_BDPV12</stp>
        <stp>JYJSLC4 MTRT Curncy</stp>
        <stp>LAST_PRICE</stp>
        <stp>[SwapsPricerV2.2.xlsm]JPY-LCH Curve!R16C37</stp>
        <tr r="AK16" s="200"/>
      </tp>
      <tp>
        <v>2.75E-2</v>
        <stp/>
        <stp>##V3_BDPV12</stp>
        <stp>JYFR2/8 MTRT Curncy</stp>
        <stp>LAST_PRICE</stp>
        <stp>[SwapsPricerV2.2.xlsm]JPY-LCH Curve!R10C32</stp>
        <tr r="AF10" s="200"/>
      </tp>
      <tp>
        <v>2.75E-2</v>
        <stp/>
        <stp>##V3_BDPV12</stp>
        <stp>JYFR2/8 MTRT Curncy</stp>
        <stp>LAST_PRICE</stp>
        <stp>[SwapsPricerV2.2.xlsm]JPY-LCH Curve!R10C37</stp>
        <tr r="AK10" s="200"/>
      </tp>
      <tp>
        <v>9.375</v>
        <stp/>
        <stp>##V3_BDPV12</stp>
        <stp>JYJSLC35 MTRT Curncy</stp>
        <stp>LAST_PRICE</stp>
        <stp>[SwapsPricerV2.2.xlsm]JPY-LCH Curve!R28C37</stp>
        <tr r="AK28" s="200"/>
      </tp>
      <tp>
        <v>8.875</v>
        <stp/>
        <stp>##V3_BDPV12</stp>
        <stp>JYJSLC25 MTRT Curncy</stp>
        <stp>LAST_PRICE</stp>
        <stp>[SwapsPricerV2.2.xlsm]JPY-LCH Curve!R26C37</stp>
        <tr r="AK26" s="200"/>
      </tp>
      <tp>
        <v>7</v>
        <stp/>
        <stp>##V3_BDPV12</stp>
        <stp>JYJSLC15 MTRT Curncy</stp>
        <stp>LAST_PRICE</stp>
        <stp>[SwapsPricerV2.2.xlsm]JPY-LCH Curve!R24C37</stp>
        <tr r="AK24" s="200"/>
      </tp>
      <tp>
        <v>6</v>
        <stp/>
        <stp>##V3_BDPV12</stp>
        <stp>JYJSLC12 MTRT Curncy</stp>
        <stp>LAST_PRICE</stp>
        <stp>[SwapsPricerV2.2.xlsm]JPY-LCH Curve!R23C37</stp>
        <tr r="AK23" s="200"/>
      </tp>
      <tp>
        <v>9.625</v>
        <stp/>
        <stp>##V3_BDPV12</stp>
        <stp>JYJSLC40 MTRT Curncy</stp>
        <stp>LAST_PRICE</stp>
        <stp>[SwapsPricerV2.2.xlsm]JPY-LCH Curve!R29C37</stp>
        <tr r="AK29" s="200"/>
      </tp>
      <tp>
        <v>4.75</v>
        <stp/>
        <stp>##V3_BDPV12</stp>
        <stp>JYJSLC10 MTRT Curncy</stp>
        <stp>LAST_PRICE</stp>
        <stp>[SwapsPricerV2.2.xlsm]JPY-LCH Curve!R22C37</stp>
        <tr r="AK22" s="200"/>
      </tp>
      <tp>
        <v>8.25</v>
        <stp/>
        <stp>##V3_BDPV12</stp>
        <stp>JYJSLC20 MTRT Curncy</stp>
        <stp>LAST_PRICE</stp>
        <stp>[SwapsPricerV2.2.xlsm]JPY-LCH Curve!R25C37</stp>
        <tr r="AK25" s="200"/>
      </tp>
      <tp>
        <v>9.125</v>
        <stp/>
        <stp>##V3_BDPV12</stp>
        <stp>JYJSLC30 MTRT Curncy</stp>
        <stp>LAST_PRICE</stp>
        <stp>[SwapsPricerV2.2.xlsm]JPY-LCH Curve!R27C37</stp>
        <tr r="AK27" s="200"/>
      </tp>
      <tp>
        <v>0.125</v>
        <stp/>
        <stp>##V3_BDPV12</stp>
        <stp>JYJSLC1F MTRT Curncy</stp>
        <stp>LAST_PRICE</stp>
        <stp>[SwapsPricerV2.2.xlsm]JPY-LCH Curve!R13C37</stp>
        <tr r="AK13" s="200"/>
      </tp>
      <tp>
        <v>1.1968000000000001</v>
        <stp/>
        <stp>##V3_BDPV12</stp>
        <stp>EURUSD Curncy</stp>
        <stp>BID</stp>
        <stp>[SwapsPricerV2.2.xlsm]EUR XCCY Structure!R22C4</stp>
        <tr r="D22" s="195"/>
      </tp>
      <tp>
        <v>-2.7830000000000001E-2</v>
        <stp/>
        <stp>##V3_BDPV12</stp>
        <stp>JY0003M  Index</stp>
        <stp>LAST_PRICE</stp>
        <stp>[SwapsPricerV2.2.xlsm]JPY-LCH Curve!R7C32</stp>
        <tr r="AF7" s="200"/>
      </tp>
      <tp>
        <v>6.875</v>
        <stp/>
        <stp>##V3_BDPV12</stp>
        <stp>JYBSL1F MTRT Curncy</stp>
        <stp>LAST_PRICE</stp>
        <stp>[SwapsPricerV2.2.xlsm]JPY-LCH Curve!R34C27</stp>
        <tr r="AA34" s="200"/>
      </tp>
      <tp>
        <v>-4.4499999999999998E-2</v>
        <stp/>
        <stp>##V3_BDPV12</stp>
        <stp>JY0001M Index</stp>
        <stp>LAST_PRICE</stp>
        <stp>[SwapsPricerV2.2.xlsm]JPY-LCH Curve!R6C32</stp>
        <tr r="AF6" s="200"/>
      </tp>
      <tp>
        <v>2.767E-2</v>
        <stp/>
        <stp>##V3_BDPV12</stp>
        <stp>JY0006M Index</stp>
        <stp>LAST_PRICE</stp>
        <stp>[SwapsPricerV2.2.xlsm]JPY-LCH Curve!R8C32</stp>
        <tr r="AF8" s="200"/>
      </tp>
      <tp>
        <v>7.75</v>
        <stp/>
        <stp>##V3_BDPV12</stp>
        <stp>JYBSL4 MTRT Curncy</stp>
        <stp>LAST_PRICE</stp>
        <stp>[SwapsPricerV2.2.xlsm]JPY-LCH Curve!R37C27</stp>
        <tr r="AA37" s="200"/>
      </tp>
      <tp>
        <v>2.6249999999999999E-2</v>
        <stp/>
        <stp>##V3_BDPV12</stp>
        <stp>JYSO5 MTRT Curncy</stp>
        <stp>LAST_PRICE</stp>
        <stp>[SwapsPricerV2.2.xlsm]JPY-LCH Curve!R20C27</stp>
        <tr r="AA20" s="200"/>
      </tp>
      <tp>
        <v>0.11</v>
        <stp/>
        <stp>##V3_BDPV12</stp>
        <stp>JYSW5 MTRT Curncy</stp>
        <stp>LAST_PRICE</stp>
        <stp>[SwapsPricerV2.2.xlsm]JPY-LCH Curve!R56C27</stp>
        <tr r="AA56" s="200"/>
      </tp>
      <tp>
        <v>0.11</v>
        <stp/>
        <stp>##V3_BDPV12</stp>
        <stp>JYSW5 MTRT Curncy</stp>
        <stp>LAST_PRICE</stp>
        <stp>[SwapsPricerV2.2.xlsm]JPY-LCH Curve!R17C32</stp>
        <tr r="AF17" s="200"/>
      </tp>
      <tp>
        <v>8.375</v>
        <stp/>
        <stp>##V3_BDPV12</stp>
        <stp>JYBSL5 MTRT Curncy</stp>
        <stp>LAST_PRICE</stp>
        <stp>[SwapsPricerV2.2.xlsm]JPY-LCH Curve!R38C27</stp>
        <tr r="AA38" s="200"/>
      </tp>
      <tp>
        <v>0.84499999999999997</v>
        <stp/>
        <stp>##V3_BDPV12</stp>
        <stp>JYSW35 MTRT Curncy</stp>
        <stp>LAST_PRICE</stp>
        <stp>[SwapsPricerV2.2.xlsm]JPY-LCH Curve!R67C27</stp>
        <tr r="AA67" s="200"/>
      </tp>
      <tp>
        <v>0.73250000000000004</v>
        <stp/>
        <stp>##V3_BDPV12</stp>
        <stp>JYSW25 MTRT Curncy</stp>
        <stp>LAST_PRICE</stp>
        <stp>[SwapsPricerV2.2.xlsm]JPY-LCH Curve!R65C27</stp>
        <tr r="AA65" s="200"/>
      </tp>
      <tp>
        <v>0.45874999999999999</v>
        <stp/>
        <stp>##V3_BDPV12</stp>
        <stp>JYSW15 MTRT Curncy</stp>
        <stp>LAST_PRICE</stp>
        <stp>[SwapsPricerV2.2.xlsm]JPY-LCH Curve!R63C27</stp>
        <tr r="AA63" s="200"/>
      </tp>
      <tp>
        <v>0.32250000000000001</v>
        <stp/>
        <stp>##V3_BDPV12</stp>
        <stp>JYSO15 MTRT Curncy</stp>
        <stp>LAST_PRICE</stp>
        <stp>[SwapsPricerV2.2.xlsm]JPY-LCH Curve!R27C27</stp>
        <tr r="AA27" s="200"/>
      </tp>
      <tp>
        <v>0.58250000000000002</v>
        <stp/>
        <stp>##V3_BDPV12</stp>
        <stp>JYSO25 MTRT Curncy</stp>
        <stp>LAST_PRICE</stp>
        <stp>[SwapsPricerV2.2.xlsm]JPY-LCH Curve!R29C27</stp>
        <tr r="AA29" s="200"/>
      </tp>
      <tp>
        <v>0.68874999999999997</v>
        <stp/>
        <stp>##V3_BDPV12</stp>
        <stp>JYSO35 MTRT Curncy</stp>
        <stp>LAST_PRICE</stp>
        <stp>[SwapsPricerV2.2.xlsm]JPY-LCH Curve!R31C27</stp>
        <tr r="AA31" s="200"/>
      </tp>
      <tp>
        <v>0.73250000000000004</v>
        <stp/>
        <stp>##V3_BDPV12</stp>
        <stp>JYSW25 MTRT Curncy</stp>
        <stp>LAST_PRICE</stp>
        <stp>[SwapsPricerV2.2.xlsm]JPY-LCH Curve!R26C32</stp>
        <tr r="AF26" s="200"/>
      </tp>
      <tp>
        <v>0.45874999999999999</v>
        <stp/>
        <stp>##V3_BDPV12</stp>
        <stp>JYSW15 MTRT Curncy</stp>
        <stp>LAST_PRICE</stp>
        <stp>[SwapsPricerV2.2.xlsm]JPY-LCH Curve!R24C32</stp>
        <tr r="AF24" s="200"/>
      </tp>
      <tp>
        <v>0.84499999999999997</v>
        <stp/>
        <stp>##V3_BDPV12</stp>
        <stp>JYSW35 MTRT Curncy</stp>
        <stp>LAST_PRICE</stp>
        <stp>[SwapsPricerV2.2.xlsm]JPY-LCH Curve!R28C32</stp>
        <tr r="AF28" s="200"/>
      </tp>
      <tp>
        <v>0.01</v>
        <stp/>
        <stp>##V3_BDPV12</stp>
        <stp>JYSO4 MTRT Curncy</stp>
        <stp>LAST_PRICE</stp>
        <stp>[SwapsPricerV2.2.xlsm]JPY-LCH Curve!R19C27</stp>
        <tr r="AA19" s="200"/>
      </tp>
      <tp>
        <v>8.7499999999999994E-2</v>
        <stp/>
        <stp>##V3_BDPV12</stp>
        <stp>JYSW4 MTRT Curncy</stp>
        <stp>LAST_PRICE</stp>
        <stp>[SwapsPricerV2.2.xlsm]JPY-LCH Curve!R55C27</stp>
        <tr r="AA55" s="200"/>
      </tp>
      <tp>
        <v>8.7499999999999994E-2</v>
        <stp/>
        <stp>##V3_BDPV12</stp>
        <stp>JYSW4 MTRT Curncy</stp>
        <stp>LAST_PRICE</stp>
        <stp>[SwapsPricerV2.2.xlsm]JPY-LCH Curve!R16C32</stp>
        <tr r="AF16" s="200"/>
      </tp>
      <tp>
        <v>8.875</v>
        <stp/>
        <stp>##V3_BDPV12</stp>
        <stp>JYBSL6 MTRT Curncy</stp>
        <stp>LAST_PRICE</stp>
        <stp>[SwapsPricerV2.2.xlsm]JPY-LCH Curve!R39C27</stp>
        <tr r="AA39" s="200"/>
      </tp>
      <tp>
        <v>7.0000000000000007E-2</v>
        <stp/>
        <stp>##V3_BDPV12</stp>
        <stp>JYSO7 MTRT Curncy</stp>
        <stp>LAST_PRICE</stp>
        <stp>[SwapsPricerV2.2.xlsm]JPY-LCH Curve!R22C27</stp>
        <tr r="AA22" s="200"/>
      </tp>
      <tp>
        <v>0.16500000000000001</v>
        <stp/>
        <stp>##V3_BDPV12</stp>
        <stp>JYSW7 MTRT Curncy</stp>
        <stp>LAST_PRICE</stp>
        <stp>[SwapsPricerV2.2.xlsm]JPY-LCH Curve!R58C27</stp>
        <tr r="AA58" s="200"/>
      </tp>
      <tp>
        <v>0.16500000000000001</v>
        <stp/>
        <stp>##V3_BDPV12</stp>
        <stp>JYSW7 MTRT Curncy</stp>
        <stp>LAST_PRICE</stp>
        <stp>[SwapsPricerV2.2.xlsm]JPY-LCH Curve!R19C32</stp>
        <tr r="AF19" s="200"/>
      </tp>
      <tp>
        <v>9.5</v>
        <stp/>
        <stp>##V3_BDPV12</stp>
        <stp>JYBSL7 MTRT Curncy</stp>
        <stp>LAST_PRICE</stp>
        <stp>[SwapsPricerV2.2.xlsm]JPY-LCH Curve!R40C27</stp>
        <tr r="AA40" s="200"/>
      </tp>
      <tp>
        <v>4.7500000000000001E-2</v>
        <stp/>
        <stp>##V3_BDPV12</stp>
        <stp>JYSO6 MTRT Curncy</stp>
        <stp>LAST_PRICE</stp>
        <stp>[SwapsPricerV2.2.xlsm]JPY-LCH Curve!R21C27</stp>
        <tr r="AA21" s="200"/>
      </tp>
      <tp>
        <v>0.13625000000000001</v>
        <stp/>
        <stp>##V3_BDPV12</stp>
        <stp>JYSW6 MTRT Curncy</stp>
        <stp>LAST_PRICE</stp>
        <stp>[SwapsPricerV2.2.xlsm]JPY-LCH Curve!R57C27</stp>
        <tr r="AA57" s="200"/>
      </tp>
      <tp>
        <v>0.13625000000000001</v>
        <stp/>
        <stp>##V3_BDPV12</stp>
        <stp>JYSW6 MTRT Curncy</stp>
        <stp>LAST_PRICE</stp>
        <stp>[SwapsPricerV2.2.xlsm]JPY-LCH Curve!R18C32</stp>
        <tr r="AF18" s="200"/>
      </tp>
      <tp>
        <v>0.8</v>
        <stp/>
        <stp>##V3_BDPV12</stp>
        <stp>JYSW30 MTRT Curncy</stp>
        <stp>LAST_PRICE</stp>
        <stp>[SwapsPricerV2.2.xlsm]JPY-LCH Curve!R66C27</stp>
        <tr r="AA66" s="200"/>
      </tp>
      <tp>
        <v>0.62624999999999997</v>
        <stp/>
        <stp>##V3_BDPV12</stp>
        <stp>JYSW20 MTRT Curncy</stp>
        <stp>LAST_PRICE</stp>
        <stp>[SwapsPricerV2.2.xlsm]JPY-LCH Curve!R64C27</stp>
        <tr r="AA64" s="200"/>
      </tp>
      <tp>
        <v>0.26374999999999998</v>
        <stp/>
        <stp>##V3_BDPV12</stp>
        <stp>JYSW10 MTRT Curncy</stp>
        <stp>LAST_PRICE</stp>
        <stp>[SwapsPricerV2.2.xlsm]JPY-LCH Curve!R61C27</stp>
        <tr r="AA61" s="200"/>
      </tp>
      <tp>
        <v>0.88249999999999995</v>
        <stp/>
        <stp>##V3_BDPV12</stp>
        <stp>JYSW40 MTRT Curncy</stp>
        <stp>LAST_PRICE</stp>
        <stp>[SwapsPricerV2.2.xlsm]JPY-LCH Curve!R68C27</stp>
        <tr r="AA68" s="200"/>
      </tp>
      <tp>
        <v>0.14749999999999999</v>
        <stp/>
        <stp>##V3_BDPV12</stp>
        <stp>JYSO10 MTRT Curncy</stp>
        <stp>LAST_PRICE</stp>
        <stp>[SwapsPricerV2.2.xlsm]JPY-LCH Curve!R25C27</stp>
        <tr r="AA25" s="200"/>
      </tp>
      <tp>
        <v>0.48125000000000001</v>
        <stp/>
        <stp>##V3_BDPV12</stp>
        <stp>JYSO20 MTRT Curncy</stp>
        <stp>LAST_PRICE</stp>
        <stp>[SwapsPricerV2.2.xlsm]JPY-LCH Curve!R28C27</stp>
        <tr r="AA28" s="200"/>
      </tp>
      <tp>
        <v>0.72375</v>
        <stp/>
        <stp>##V3_BDPV12</stp>
        <stp>JYSO40 MTRT Curncy</stp>
        <stp>LAST_PRICE</stp>
        <stp>[SwapsPricerV2.2.xlsm]JPY-LCH Curve!R32C27</stp>
        <tr r="AA32" s="200"/>
      </tp>
      <tp>
        <v>0.64624999999999999</v>
        <stp/>
        <stp>##V3_BDPV12</stp>
        <stp>JYSO30 MTRT Curncy</stp>
        <stp>LAST_PRICE</stp>
        <stp>[SwapsPricerV2.2.xlsm]JPY-LCH Curve!R30C27</stp>
        <tr r="AA30" s="200"/>
      </tp>
      <tp>
        <v>0.8</v>
        <stp/>
        <stp>##V3_BDPV12</stp>
        <stp>JYSW30 MTRT Curncy</stp>
        <stp>LAST_PRICE</stp>
        <stp>[SwapsPricerV2.2.xlsm]JPY-LCH Curve!R27C32</stp>
        <tr r="AF27" s="200"/>
      </tp>
      <tp>
        <v>0.62624999999999997</v>
        <stp/>
        <stp>##V3_BDPV12</stp>
        <stp>JYSW20 MTRT Curncy</stp>
        <stp>LAST_PRICE</stp>
        <stp>[SwapsPricerV2.2.xlsm]JPY-LCH Curve!R25C32</stp>
        <tr r="AF25" s="200"/>
      </tp>
      <tp>
        <v>0.26374999999999998</v>
        <stp/>
        <stp>##V3_BDPV12</stp>
        <stp>JYSW10 MTRT Curncy</stp>
        <stp>LAST_PRICE</stp>
        <stp>[SwapsPricerV2.2.xlsm]JPY-LCH Curve!R22C32</stp>
        <tr r="AF22" s="200"/>
      </tp>
      <tp>
        <v>0.88249999999999995</v>
        <stp/>
        <stp>##V3_BDPV12</stp>
        <stp>JYSW40 MTRT Curncy</stp>
        <stp>LAST_PRICE</stp>
        <stp>[SwapsPricerV2.2.xlsm]JPY-LCH Curve!R29C32</stp>
        <tr r="AF29" s="200"/>
      </tp>
      <tp>
        <v>-3.7499999999999999E-2</v>
        <stp/>
        <stp>##V3_BDPV12</stp>
        <stp>JYSO1 MTRT Curncy</stp>
        <stp>LAST_PRICE</stp>
        <stp>[SwapsPricerV2.2.xlsm]JPY-LCH Curve!R15C27</stp>
        <tr r="AA15" s="200"/>
      </tp>
      <tp>
        <v>3.125E-2</v>
        <stp/>
        <stp>##V3_BDPV12</stp>
        <stp>JYSW1 MTRT Curncy</stp>
        <stp>LAST_PRICE</stp>
        <stp>[SwapsPricerV2.2.xlsm]JPY-LCH Curve!R51C27</stp>
        <tr r="AA51" s="200"/>
      </tp>
      <tp>
        <v>3.125E-2</v>
        <stp/>
        <stp>##V3_BDPV12</stp>
        <stp>JYSW1 MTRT Curncy</stp>
        <stp>LAST_PRICE</stp>
        <stp>[SwapsPricerV2.2.xlsm]JPY-LCH Curve!R12C32</stp>
        <tr r="AF12" s="200"/>
      </tp>
      <tp>
        <v>6.875</v>
        <stp/>
        <stp>##V3_BDPV12</stp>
        <stp>JYBSL1 MTRT Curncy</stp>
        <stp>LAST_PRICE</stp>
        <stp>[SwapsPricerV2.2.xlsm]JPY-LCH Curve!R33C27</stp>
        <tr r="AA33" s="200"/>
      </tp>
      <tp>
        <v>6.875</v>
        <stp/>
        <stp>##V3_BDPV12</stp>
        <stp>JYBSL2 MTRT Curncy</stp>
        <stp>LAST_PRICE</stp>
        <stp>[SwapsPricerV2.2.xlsm]JPY-LCH Curve!R35C27</stp>
        <tr r="AA35" s="200"/>
      </tp>
      <tp>
        <v>0.34125</v>
        <stp/>
        <stp>##V3_BDPV12</stp>
        <stp>JYSW12 MTRT Curncy</stp>
        <stp>LAST_PRICE</stp>
        <stp>[SwapsPricerV2.2.xlsm]JPY-LCH Curve!R62C27</stp>
        <tr r="AA62" s="200"/>
      </tp>
      <tp>
        <v>0.21375</v>
        <stp/>
        <stp>##V3_BDPV12</stp>
        <stp>JYSO12 MTRT Curncy</stp>
        <stp>LAST_PRICE</stp>
        <stp>[SwapsPricerV2.2.xlsm]JPY-LCH Curve!R26C27</stp>
        <tr r="AA26" s="200"/>
      </tp>
      <tp>
        <v>0.34125</v>
        <stp/>
        <stp>##V3_BDPV12</stp>
        <stp>JYSW12 MTRT Curncy</stp>
        <stp>LAST_PRICE</stp>
        <stp>[SwapsPricerV2.2.xlsm]JPY-LCH Curve!R23C32</stp>
        <tr r="AF23" s="200"/>
      </tp>
      <tp>
        <v>-3.7499999999999999E-3</v>
        <stp/>
        <stp>##V3_BDPV12</stp>
        <stp>JYSO3 MTRT Curncy</stp>
        <stp>LAST_PRICE</stp>
        <stp>[SwapsPricerV2.2.xlsm]JPY-LCH Curve!R18C27</stp>
        <tr r="AA18" s="200"/>
      </tp>
      <tp>
        <v>6.8750000000000006E-2</v>
        <stp/>
        <stp>##V3_BDPV12</stp>
        <stp>JYSW3 MTRT Curncy</stp>
        <stp>LAST_PRICE</stp>
        <stp>[SwapsPricerV2.2.xlsm]JPY-LCH Curve!R54C27</stp>
        <tr r="AA54" s="200"/>
      </tp>
      <tp>
        <v>6.8750000000000006E-2</v>
        <stp/>
        <stp>##V3_BDPV12</stp>
        <stp>JYSW3 MTRT Curncy</stp>
        <stp>LAST_PRICE</stp>
        <stp>[SwapsPricerV2.2.xlsm]JPY-LCH Curve!R15C32</stp>
        <tr r="AF15" s="200"/>
      </tp>
      <tp>
        <v>7.25</v>
        <stp/>
        <stp>##V3_BDPV12</stp>
        <stp>JYBSL3 MTRT Curncy</stp>
        <stp>LAST_PRICE</stp>
        <stp>[SwapsPricerV2.2.xlsm]JPY-LCH Curve!R36C27</stp>
        <tr r="AA36" s="200"/>
      </tp>
      <tp>
        <v>-1.7500000000000002E-2</v>
        <stp/>
        <stp>##V3_BDPV12</stp>
        <stp>JYSO2 MTRT Curncy</stp>
        <stp>LAST_PRICE</stp>
        <stp>[SwapsPricerV2.2.xlsm]JPY-LCH Curve!R17C27</stp>
        <tr r="AA17" s="200"/>
      </tp>
      <tp>
        <v>5.1249999999999997E-2</v>
        <stp/>
        <stp>##V3_BDPV12</stp>
        <stp>JYSW2 MTRT Curncy</stp>
        <stp>LAST_PRICE</stp>
        <stp>[SwapsPricerV2.2.xlsm]JPY-LCH Curve!R53C27</stp>
        <tr r="AA53" s="200"/>
      </tp>
      <tp>
        <v>5.1249999999999997E-2</v>
        <stp/>
        <stp>##V3_BDPV12</stp>
        <stp>JYSW2 MTRT Curncy</stp>
        <stp>LAST_PRICE</stp>
        <stp>[SwapsPricerV2.2.xlsm]JPY-LCH Curve!R14C32</stp>
        <tr r="AF14" s="200"/>
      </tp>
      <tp>
        <v>2.5000000000000001E-2</v>
        <stp/>
        <stp>##V3_BDPV12</stp>
        <stp>JYFR1/7 MTRT Curncy</stp>
        <stp>LAST_PRICE</stp>
        <stp>[SwapsPricerV2.2.xlsm]JPY-LCH Curve!R9C37</stp>
        <tr r="AK9" s="200"/>
      </tp>
      <tp>
        <v>2.5000000000000001E-2</v>
        <stp/>
        <stp>##V3_BDPV12</stp>
        <stp>JYFR1/7 MTRT Curncy</stp>
        <stp>LAST_PRICE</stp>
        <stp>[SwapsPricerV2.2.xlsm]JPY-LCH Curve!R9C32</stp>
        <tr r="AF9" s="200"/>
      </tp>
      <tp>
        <v>10.25</v>
        <stp/>
        <stp>##V3_BDPV12</stp>
        <stp>JYBSL8 MTRT Curncy</stp>
        <stp>LAST_PRICE</stp>
        <stp>[SwapsPricerV2.2.xlsm]JPY-LCH Curve!R41C27</stp>
        <tr r="AA41" s="200"/>
      </tp>
      <tp>
        <v>0.12</v>
        <stp/>
        <stp>##V3_BDPV12</stp>
        <stp>JYSO9 MTRT Curncy</stp>
        <stp>LAST_PRICE</stp>
        <stp>[SwapsPricerV2.2.xlsm]JPY-LCH Curve!R24C27</stp>
        <tr r="AA24" s="200"/>
      </tp>
      <tp>
        <v>0.22875000000000001</v>
        <stp/>
        <stp>##V3_BDPV12</stp>
        <stp>JYSW9 MTRT Curncy</stp>
        <stp>LAST_PRICE</stp>
        <stp>[SwapsPricerV2.2.xlsm]JPY-LCH Curve!R60C27</stp>
        <tr r="AA60" s="200"/>
      </tp>
      <tp>
        <v>0.22875000000000001</v>
        <stp/>
        <stp>##V3_BDPV12</stp>
        <stp>JYSW9 MTRT Curncy</stp>
        <stp>LAST_PRICE</stp>
        <stp>[SwapsPricerV2.2.xlsm]JPY-LCH Curve!R21C32</stp>
        <tr r="AF21" s="200"/>
      </tp>
      <tp>
        <v>10.875</v>
        <stp/>
        <stp>##V3_BDPV12</stp>
        <stp>JYBSL9 MTRT Curncy</stp>
        <stp>LAST_PRICE</stp>
        <stp>[SwapsPricerV2.2.xlsm]JPY-LCH Curve!R42C27</stp>
        <tr r="AA42" s="200"/>
      </tp>
      <tp>
        <v>9.375E-2</v>
        <stp/>
        <stp>##V3_BDPV12</stp>
        <stp>JYSO8 MTRT Curncy</stp>
        <stp>LAST_PRICE</stp>
        <stp>[SwapsPricerV2.2.xlsm]JPY-LCH Curve!R23C27</stp>
        <tr r="AA23" s="200"/>
      </tp>
      <tp>
        <v>0.19625000000000001</v>
        <stp/>
        <stp>##V3_BDPV12</stp>
        <stp>JYSW8 MTRT Curncy</stp>
        <stp>LAST_PRICE</stp>
        <stp>[SwapsPricerV2.2.xlsm]JPY-LCH Curve!R59C27</stp>
        <tr r="AA59" s="200"/>
      </tp>
      <tp>
        <v>0.19625000000000001</v>
        <stp/>
        <stp>##V3_BDPV12</stp>
        <stp>JYSW8 MTRT Curncy</stp>
        <stp>LAST_PRICE</stp>
        <stp>[SwapsPricerV2.2.xlsm]JPY-LCH Curve!R20C32</stp>
        <tr r="AF20" s="200"/>
      </tp>
      <tp t="e">
        <v>#N/A</v>
        <stp/>
        <stp>##V3_BDPV12</stp>
        <stp>JY0006M Index</stp>
        <stp>PX_LAST</stp>
        <stp>[SwapsPricerV2.2.xlsm]JPY-LCH Curve!R8C37</stp>
        <tr r="AK8" s="200"/>
      </tp>
      <tp t="e">
        <v>#N/A</v>
        <stp/>
        <stp>##V3_BDPV12</stp>
        <stp>JY0001M Index</stp>
        <stp>PX_LAST</stp>
        <stp>[SwapsPricerV2.2.xlsm]JPY-LCH Curve!R6C37</stp>
        <tr r="AK6" s="200"/>
      </tp>
      <tp t="e">
        <v>#N/A</v>
        <stp/>
        <stp>##V3_BDPV12</stp>
        <stp>JY0003M  Index</stp>
        <stp>PX_LAST</stp>
        <stp>[SwapsPricerV2.2.xlsm]JPY-LCH Curve!R7C37</stp>
        <tr r="AK7" s="200"/>
      </tp>
      <tp>
        <v>-5.6250000000000001E-2</v>
        <stp/>
        <stp>##V3_BDPV12</stp>
        <stp>JYSO1Z MTRT Curncy</stp>
        <stp>LAST_PRICE</stp>
        <stp>[SwapsPricerV2.2.xlsm]JPY-LCH Curve!R7C27</stp>
        <tr r="AA7" s="200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67606623542763E-2"/>
          <c:y val="8.8456384070182872E-2"/>
          <c:w val="0.87486333087082657"/>
          <c:h val="0.79326395914347014"/>
        </c:manualLayout>
      </c:layout>
      <c:lineChart>
        <c:grouping val="standard"/>
        <c:varyColors val="0"/>
        <c:ser>
          <c:idx val="0"/>
          <c:order val="0"/>
          <c:tx>
            <c:v>EUR6ML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43224</c:v>
                </c:pt>
                <c:pt idx="1">
                  <c:v>43227</c:v>
                </c:pt>
                <c:pt idx="2">
                  <c:v>43228</c:v>
                </c:pt>
                <c:pt idx="3">
                  <c:v>43229</c:v>
                </c:pt>
                <c:pt idx="4">
                  <c:v>43230</c:v>
                </c:pt>
                <c:pt idx="5">
                  <c:v>43231</c:v>
                </c:pt>
                <c:pt idx="6">
                  <c:v>43234</c:v>
                </c:pt>
                <c:pt idx="7">
                  <c:v>43235</c:v>
                </c:pt>
                <c:pt idx="8">
                  <c:v>43236</c:v>
                </c:pt>
                <c:pt idx="9">
                  <c:v>43237</c:v>
                </c:pt>
                <c:pt idx="10">
                  <c:v>43238</c:v>
                </c:pt>
                <c:pt idx="11">
                  <c:v>43241</c:v>
                </c:pt>
                <c:pt idx="12">
                  <c:v>43242</c:v>
                </c:pt>
                <c:pt idx="13">
                  <c:v>43243</c:v>
                </c:pt>
                <c:pt idx="14">
                  <c:v>43244</c:v>
                </c:pt>
                <c:pt idx="15">
                  <c:v>43245</c:v>
                </c:pt>
                <c:pt idx="16">
                  <c:v>43248</c:v>
                </c:pt>
                <c:pt idx="17">
                  <c:v>43249</c:v>
                </c:pt>
                <c:pt idx="18">
                  <c:v>43250</c:v>
                </c:pt>
                <c:pt idx="19">
                  <c:v>43251</c:v>
                </c:pt>
                <c:pt idx="20">
                  <c:v>43252</c:v>
                </c:pt>
                <c:pt idx="21">
                  <c:v>43255</c:v>
                </c:pt>
                <c:pt idx="22">
                  <c:v>43256</c:v>
                </c:pt>
                <c:pt idx="23">
                  <c:v>43257</c:v>
                </c:pt>
                <c:pt idx="24">
                  <c:v>43258</c:v>
                </c:pt>
                <c:pt idx="25">
                  <c:v>43259</c:v>
                </c:pt>
                <c:pt idx="26">
                  <c:v>43262</c:v>
                </c:pt>
                <c:pt idx="27">
                  <c:v>43263</c:v>
                </c:pt>
                <c:pt idx="28">
                  <c:v>43264</c:v>
                </c:pt>
                <c:pt idx="29">
                  <c:v>43265</c:v>
                </c:pt>
                <c:pt idx="30">
                  <c:v>43266</c:v>
                </c:pt>
                <c:pt idx="31">
                  <c:v>43269</c:v>
                </c:pt>
                <c:pt idx="32">
                  <c:v>43270</c:v>
                </c:pt>
                <c:pt idx="33">
                  <c:v>43271</c:v>
                </c:pt>
                <c:pt idx="34">
                  <c:v>43272</c:v>
                </c:pt>
                <c:pt idx="35">
                  <c:v>43273</c:v>
                </c:pt>
                <c:pt idx="36">
                  <c:v>43276</c:v>
                </c:pt>
                <c:pt idx="37">
                  <c:v>43277</c:v>
                </c:pt>
                <c:pt idx="38">
                  <c:v>43278</c:v>
                </c:pt>
                <c:pt idx="39">
                  <c:v>43279</c:v>
                </c:pt>
                <c:pt idx="40">
                  <c:v>43280</c:v>
                </c:pt>
                <c:pt idx="41">
                  <c:v>43283</c:v>
                </c:pt>
                <c:pt idx="42">
                  <c:v>43284</c:v>
                </c:pt>
                <c:pt idx="43">
                  <c:v>43285</c:v>
                </c:pt>
                <c:pt idx="44">
                  <c:v>43286</c:v>
                </c:pt>
                <c:pt idx="45">
                  <c:v>43287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43297</c:v>
                </c:pt>
                <c:pt idx="52">
                  <c:v>43298</c:v>
                </c:pt>
                <c:pt idx="53">
                  <c:v>43299</c:v>
                </c:pt>
                <c:pt idx="54">
                  <c:v>43300</c:v>
                </c:pt>
                <c:pt idx="55">
                  <c:v>43301</c:v>
                </c:pt>
                <c:pt idx="56">
                  <c:v>43304</c:v>
                </c:pt>
                <c:pt idx="57">
                  <c:v>43305</c:v>
                </c:pt>
                <c:pt idx="58">
                  <c:v>43306</c:v>
                </c:pt>
                <c:pt idx="59">
                  <c:v>43307</c:v>
                </c:pt>
                <c:pt idx="60">
                  <c:v>43308</c:v>
                </c:pt>
                <c:pt idx="61">
                  <c:v>43311</c:v>
                </c:pt>
                <c:pt idx="62">
                  <c:v>43312</c:v>
                </c:pt>
                <c:pt idx="63">
                  <c:v>43313</c:v>
                </c:pt>
                <c:pt idx="64">
                  <c:v>43314</c:v>
                </c:pt>
                <c:pt idx="65">
                  <c:v>43315</c:v>
                </c:pt>
                <c:pt idx="66">
                  <c:v>43318</c:v>
                </c:pt>
                <c:pt idx="67">
                  <c:v>43319</c:v>
                </c:pt>
                <c:pt idx="68">
                  <c:v>43320</c:v>
                </c:pt>
                <c:pt idx="69">
                  <c:v>43321</c:v>
                </c:pt>
                <c:pt idx="70">
                  <c:v>43322</c:v>
                </c:pt>
                <c:pt idx="71">
                  <c:v>43325</c:v>
                </c:pt>
                <c:pt idx="72">
                  <c:v>43326</c:v>
                </c:pt>
                <c:pt idx="73">
                  <c:v>43327</c:v>
                </c:pt>
                <c:pt idx="74">
                  <c:v>43328</c:v>
                </c:pt>
                <c:pt idx="75">
                  <c:v>43329</c:v>
                </c:pt>
                <c:pt idx="76">
                  <c:v>43332</c:v>
                </c:pt>
                <c:pt idx="77">
                  <c:v>43333</c:v>
                </c:pt>
                <c:pt idx="78">
                  <c:v>43334</c:v>
                </c:pt>
                <c:pt idx="79">
                  <c:v>43335</c:v>
                </c:pt>
                <c:pt idx="80">
                  <c:v>43336</c:v>
                </c:pt>
                <c:pt idx="81">
                  <c:v>43339</c:v>
                </c:pt>
                <c:pt idx="82">
                  <c:v>43340</c:v>
                </c:pt>
                <c:pt idx="83">
                  <c:v>43341</c:v>
                </c:pt>
                <c:pt idx="84">
                  <c:v>43342</c:v>
                </c:pt>
                <c:pt idx="85">
                  <c:v>43343</c:v>
                </c:pt>
                <c:pt idx="86">
                  <c:v>43346</c:v>
                </c:pt>
                <c:pt idx="87">
                  <c:v>43347</c:v>
                </c:pt>
                <c:pt idx="88">
                  <c:v>43348</c:v>
                </c:pt>
                <c:pt idx="89">
                  <c:v>43349</c:v>
                </c:pt>
                <c:pt idx="90">
                  <c:v>43350</c:v>
                </c:pt>
                <c:pt idx="91">
                  <c:v>43353</c:v>
                </c:pt>
                <c:pt idx="92">
                  <c:v>43354</c:v>
                </c:pt>
                <c:pt idx="93">
                  <c:v>43355</c:v>
                </c:pt>
                <c:pt idx="94">
                  <c:v>43356</c:v>
                </c:pt>
                <c:pt idx="95">
                  <c:v>43357</c:v>
                </c:pt>
                <c:pt idx="96">
                  <c:v>43360</c:v>
                </c:pt>
                <c:pt idx="97">
                  <c:v>43361</c:v>
                </c:pt>
                <c:pt idx="98">
                  <c:v>43362</c:v>
                </c:pt>
                <c:pt idx="99">
                  <c:v>43363</c:v>
                </c:pt>
                <c:pt idx="100">
                  <c:v>43364</c:v>
                </c:pt>
                <c:pt idx="101">
                  <c:v>43367</c:v>
                </c:pt>
                <c:pt idx="102">
                  <c:v>43368</c:v>
                </c:pt>
                <c:pt idx="103">
                  <c:v>43369</c:v>
                </c:pt>
                <c:pt idx="104">
                  <c:v>43370</c:v>
                </c:pt>
                <c:pt idx="105">
                  <c:v>43371</c:v>
                </c:pt>
                <c:pt idx="106">
                  <c:v>43374</c:v>
                </c:pt>
                <c:pt idx="107">
                  <c:v>43375</c:v>
                </c:pt>
                <c:pt idx="108">
                  <c:v>43376</c:v>
                </c:pt>
                <c:pt idx="109">
                  <c:v>43377</c:v>
                </c:pt>
                <c:pt idx="110">
                  <c:v>43378</c:v>
                </c:pt>
                <c:pt idx="111">
                  <c:v>43381</c:v>
                </c:pt>
                <c:pt idx="112">
                  <c:v>43382</c:v>
                </c:pt>
                <c:pt idx="113">
                  <c:v>43383</c:v>
                </c:pt>
                <c:pt idx="114">
                  <c:v>43384</c:v>
                </c:pt>
                <c:pt idx="115">
                  <c:v>43385</c:v>
                </c:pt>
                <c:pt idx="116">
                  <c:v>43388</c:v>
                </c:pt>
                <c:pt idx="117">
                  <c:v>43389</c:v>
                </c:pt>
                <c:pt idx="118">
                  <c:v>43390</c:v>
                </c:pt>
                <c:pt idx="119">
                  <c:v>43391</c:v>
                </c:pt>
                <c:pt idx="120">
                  <c:v>43392</c:v>
                </c:pt>
                <c:pt idx="121">
                  <c:v>43395</c:v>
                </c:pt>
                <c:pt idx="122">
                  <c:v>43396</c:v>
                </c:pt>
                <c:pt idx="123">
                  <c:v>43397</c:v>
                </c:pt>
                <c:pt idx="124">
                  <c:v>43398</c:v>
                </c:pt>
                <c:pt idx="125">
                  <c:v>43399</c:v>
                </c:pt>
                <c:pt idx="126">
                  <c:v>43402</c:v>
                </c:pt>
                <c:pt idx="127">
                  <c:v>43403</c:v>
                </c:pt>
                <c:pt idx="128">
                  <c:v>43404</c:v>
                </c:pt>
                <c:pt idx="129">
                  <c:v>43405</c:v>
                </c:pt>
                <c:pt idx="130">
                  <c:v>43406</c:v>
                </c:pt>
                <c:pt idx="131">
                  <c:v>43409</c:v>
                </c:pt>
                <c:pt idx="132">
                  <c:v>43410</c:v>
                </c:pt>
                <c:pt idx="133">
                  <c:v>43411</c:v>
                </c:pt>
                <c:pt idx="134">
                  <c:v>43412</c:v>
                </c:pt>
                <c:pt idx="135">
                  <c:v>43413</c:v>
                </c:pt>
                <c:pt idx="136">
                  <c:v>43416</c:v>
                </c:pt>
                <c:pt idx="137">
                  <c:v>43417</c:v>
                </c:pt>
                <c:pt idx="138">
                  <c:v>43418</c:v>
                </c:pt>
                <c:pt idx="139">
                  <c:v>43419</c:v>
                </c:pt>
                <c:pt idx="140">
                  <c:v>43420</c:v>
                </c:pt>
                <c:pt idx="141">
                  <c:v>43423</c:v>
                </c:pt>
                <c:pt idx="142">
                  <c:v>43424</c:v>
                </c:pt>
                <c:pt idx="143">
                  <c:v>43425</c:v>
                </c:pt>
                <c:pt idx="144">
                  <c:v>43426</c:v>
                </c:pt>
                <c:pt idx="145">
                  <c:v>43427</c:v>
                </c:pt>
                <c:pt idx="146">
                  <c:v>43430</c:v>
                </c:pt>
                <c:pt idx="147">
                  <c:v>43431</c:v>
                </c:pt>
                <c:pt idx="148">
                  <c:v>43432</c:v>
                </c:pt>
                <c:pt idx="149">
                  <c:v>43433</c:v>
                </c:pt>
                <c:pt idx="150">
                  <c:v>43434</c:v>
                </c:pt>
                <c:pt idx="151">
                  <c:v>43437</c:v>
                </c:pt>
                <c:pt idx="152">
                  <c:v>43438</c:v>
                </c:pt>
                <c:pt idx="153">
                  <c:v>43439</c:v>
                </c:pt>
                <c:pt idx="154">
                  <c:v>43440</c:v>
                </c:pt>
                <c:pt idx="155">
                  <c:v>43441</c:v>
                </c:pt>
                <c:pt idx="156">
                  <c:v>43444</c:v>
                </c:pt>
                <c:pt idx="157">
                  <c:v>43445</c:v>
                </c:pt>
                <c:pt idx="158">
                  <c:v>43446</c:v>
                </c:pt>
                <c:pt idx="159">
                  <c:v>43447</c:v>
                </c:pt>
                <c:pt idx="160">
                  <c:v>43448</c:v>
                </c:pt>
                <c:pt idx="161">
                  <c:v>43451</c:v>
                </c:pt>
                <c:pt idx="162">
                  <c:v>43452</c:v>
                </c:pt>
                <c:pt idx="163">
                  <c:v>43453</c:v>
                </c:pt>
                <c:pt idx="164">
                  <c:v>43454</c:v>
                </c:pt>
                <c:pt idx="165">
                  <c:v>43455</c:v>
                </c:pt>
                <c:pt idx="166">
                  <c:v>43458</c:v>
                </c:pt>
                <c:pt idx="167">
                  <c:v>43461</c:v>
                </c:pt>
                <c:pt idx="168">
                  <c:v>43462</c:v>
                </c:pt>
                <c:pt idx="169">
                  <c:v>43465</c:v>
                </c:pt>
                <c:pt idx="170">
                  <c:v>43467</c:v>
                </c:pt>
                <c:pt idx="171">
                  <c:v>43468</c:v>
                </c:pt>
                <c:pt idx="172">
                  <c:v>43469</c:v>
                </c:pt>
                <c:pt idx="173">
                  <c:v>43472</c:v>
                </c:pt>
                <c:pt idx="174">
                  <c:v>43473</c:v>
                </c:pt>
                <c:pt idx="175">
                  <c:v>43474</c:v>
                </c:pt>
                <c:pt idx="176">
                  <c:v>43475</c:v>
                </c:pt>
                <c:pt idx="177">
                  <c:v>43476</c:v>
                </c:pt>
                <c:pt idx="178">
                  <c:v>43479</c:v>
                </c:pt>
                <c:pt idx="179">
                  <c:v>43480</c:v>
                </c:pt>
                <c:pt idx="180">
                  <c:v>43481</c:v>
                </c:pt>
                <c:pt idx="181">
                  <c:v>43482</c:v>
                </c:pt>
                <c:pt idx="182">
                  <c:v>43483</c:v>
                </c:pt>
                <c:pt idx="183">
                  <c:v>43486</c:v>
                </c:pt>
                <c:pt idx="184">
                  <c:v>43487</c:v>
                </c:pt>
                <c:pt idx="185">
                  <c:v>43488</c:v>
                </c:pt>
                <c:pt idx="186">
                  <c:v>43489</c:v>
                </c:pt>
                <c:pt idx="187">
                  <c:v>43490</c:v>
                </c:pt>
                <c:pt idx="188">
                  <c:v>43493</c:v>
                </c:pt>
                <c:pt idx="189">
                  <c:v>43494</c:v>
                </c:pt>
                <c:pt idx="190">
                  <c:v>43495</c:v>
                </c:pt>
                <c:pt idx="191">
                  <c:v>43496</c:v>
                </c:pt>
                <c:pt idx="192">
                  <c:v>43497</c:v>
                </c:pt>
                <c:pt idx="193">
                  <c:v>43500</c:v>
                </c:pt>
                <c:pt idx="194">
                  <c:v>43501</c:v>
                </c:pt>
                <c:pt idx="195">
                  <c:v>43502</c:v>
                </c:pt>
                <c:pt idx="196">
                  <c:v>43503</c:v>
                </c:pt>
                <c:pt idx="197">
                  <c:v>43504</c:v>
                </c:pt>
                <c:pt idx="198">
                  <c:v>43507</c:v>
                </c:pt>
                <c:pt idx="199">
                  <c:v>43508</c:v>
                </c:pt>
                <c:pt idx="200">
                  <c:v>43509</c:v>
                </c:pt>
                <c:pt idx="201">
                  <c:v>43510</c:v>
                </c:pt>
                <c:pt idx="202">
                  <c:v>43511</c:v>
                </c:pt>
                <c:pt idx="203">
                  <c:v>43514</c:v>
                </c:pt>
                <c:pt idx="204">
                  <c:v>43515</c:v>
                </c:pt>
                <c:pt idx="205">
                  <c:v>43516</c:v>
                </c:pt>
                <c:pt idx="206">
                  <c:v>43517</c:v>
                </c:pt>
                <c:pt idx="207">
                  <c:v>43518</c:v>
                </c:pt>
                <c:pt idx="208">
                  <c:v>43521</c:v>
                </c:pt>
                <c:pt idx="209">
                  <c:v>43522</c:v>
                </c:pt>
                <c:pt idx="210">
                  <c:v>43523</c:v>
                </c:pt>
                <c:pt idx="211">
                  <c:v>43524</c:v>
                </c:pt>
                <c:pt idx="212">
                  <c:v>43525</c:v>
                </c:pt>
                <c:pt idx="213">
                  <c:v>43528</c:v>
                </c:pt>
                <c:pt idx="214">
                  <c:v>43529</c:v>
                </c:pt>
                <c:pt idx="215">
                  <c:v>43530</c:v>
                </c:pt>
                <c:pt idx="216">
                  <c:v>43531</c:v>
                </c:pt>
                <c:pt idx="217">
                  <c:v>43532</c:v>
                </c:pt>
                <c:pt idx="218">
                  <c:v>43535</c:v>
                </c:pt>
                <c:pt idx="219">
                  <c:v>43536</c:v>
                </c:pt>
                <c:pt idx="220">
                  <c:v>43537</c:v>
                </c:pt>
                <c:pt idx="221">
                  <c:v>43538</c:v>
                </c:pt>
                <c:pt idx="222">
                  <c:v>43539</c:v>
                </c:pt>
                <c:pt idx="223">
                  <c:v>43542</c:v>
                </c:pt>
                <c:pt idx="224">
                  <c:v>43543</c:v>
                </c:pt>
                <c:pt idx="225">
                  <c:v>43544</c:v>
                </c:pt>
                <c:pt idx="226">
                  <c:v>43545</c:v>
                </c:pt>
                <c:pt idx="227">
                  <c:v>43546</c:v>
                </c:pt>
                <c:pt idx="228">
                  <c:v>43549</c:v>
                </c:pt>
                <c:pt idx="229">
                  <c:v>43550</c:v>
                </c:pt>
                <c:pt idx="230">
                  <c:v>43551</c:v>
                </c:pt>
                <c:pt idx="231">
                  <c:v>43552</c:v>
                </c:pt>
                <c:pt idx="232">
                  <c:v>43553</c:v>
                </c:pt>
                <c:pt idx="233">
                  <c:v>43556</c:v>
                </c:pt>
                <c:pt idx="234">
                  <c:v>43557</c:v>
                </c:pt>
                <c:pt idx="235">
                  <c:v>43558</c:v>
                </c:pt>
                <c:pt idx="236">
                  <c:v>43559</c:v>
                </c:pt>
                <c:pt idx="237">
                  <c:v>43560</c:v>
                </c:pt>
                <c:pt idx="238">
                  <c:v>43563</c:v>
                </c:pt>
                <c:pt idx="239">
                  <c:v>43564</c:v>
                </c:pt>
                <c:pt idx="240">
                  <c:v>43565</c:v>
                </c:pt>
                <c:pt idx="241">
                  <c:v>43566</c:v>
                </c:pt>
                <c:pt idx="242">
                  <c:v>43567</c:v>
                </c:pt>
                <c:pt idx="243">
                  <c:v>43570</c:v>
                </c:pt>
                <c:pt idx="244">
                  <c:v>43571</c:v>
                </c:pt>
                <c:pt idx="245">
                  <c:v>43572</c:v>
                </c:pt>
                <c:pt idx="246">
                  <c:v>43573</c:v>
                </c:pt>
                <c:pt idx="247">
                  <c:v>43578</c:v>
                </c:pt>
                <c:pt idx="248">
                  <c:v>43579</c:v>
                </c:pt>
                <c:pt idx="249">
                  <c:v>43580</c:v>
                </c:pt>
                <c:pt idx="250">
                  <c:v>43581</c:v>
                </c:pt>
                <c:pt idx="251">
                  <c:v>43584</c:v>
                </c:pt>
                <c:pt idx="252">
                  <c:v>43585</c:v>
                </c:pt>
                <c:pt idx="253">
                  <c:v>43587</c:v>
                </c:pt>
                <c:pt idx="254">
                  <c:v>43588</c:v>
                </c:pt>
                <c:pt idx="255">
                  <c:v>43591</c:v>
                </c:pt>
                <c:pt idx="256">
                  <c:v>43592</c:v>
                </c:pt>
                <c:pt idx="257">
                  <c:v>43593</c:v>
                </c:pt>
                <c:pt idx="258">
                  <c:v>43594</c:v>
                </c:pt>
                <c:pt idx="259">
                  <c:v>43595</c:v>
                </c:pt>
                <c:pt idx="260">
                  <c:v>43598</c:v>
                </c:pt>
                <c:pt idx="261">
                  <c:v>43599</c:v>
                </c:pt>
                <c:pt idx="262">
                  <c:v>43600</c:v>
                </c:pt>
                <c:pt idx="263">
                  <c:v>43601</c:v>
                </c:pt>
                <c:pt idx="264">
                  <c:v>43602</c:v>
                </c:pt>
                <c:pt idx="265">
                  <c:v>43605</c:v>
                </c:pt>
                <c:pt idx="266">
                  <c:v>43606</c:v>
                </c:pt>
                <c:pt idx="267">
                  <c:v>43607</c:v>
                </c:pt>
                <c:pt idx="268">
                  <c:v>43608</c:v>
                </c:pt>
                <c:pt idx="269">
                  <c:v>43609</c:v>
                </c:pt>
                <c:pt idx="270">
                  <c:v>43612</c:v>
                </c:pt>
                <c:pt idx="271">
                  <c:v>43613</c:v>
                </c:pt>
                <c:pt idx="272">
                  <c:v>43614</c:v>
                </c:pt>
                <c:pt idx="273">
                  <c:v>43615</c:v>
                </c:pt>
                <c:pt idx="274">
                  <c:v>43616</c:v>
                </c:pt>
                <c:pt idx="275">
                  <c:v>43619</c:v>
                </c:pt>
                <c:pt idx="276">
                  <c:v>43620</c:v>
                </c:pt>
                <c:pt idx="277">
                  <c:v>43621</c:v>
                </c:pt>
                <c:pt idx="278">
                  <c:v>43622</c:v>
                </c:pt>
                <c:pt idx="279">
                  <c:v>43623</c:v>
                </c:pt>
                <c:pt idx="280">
                  <c:v>43626</c:v>
                </c:pt>
                <c:pt idx="281">
                  <c:v>43627</c:v>
                </c:pt>
                <c:pt idx="282">
                  <c:v>43628</c:v>
                </c:pt>
                <c:pt idx="283">
                  <c:v>43629</c:v>
                </c:pt>
                <c:pt idx="284">
                  <c:v>43630</c:v>
                </c:pt>
                <c:pt idx="285">
                  <c:v>43633</c:v>
                </c:pt>
                <c:pt idx="286">
                  <c:v>43634</c:v>
                </c:pt>
                <c:pt idx="287">
                  <c:v>43635</c:v>
                </c:pt>
                <c:pt idx="288">
                  <c:v>43636</c:v>
                </c:pt>
                <c:pt idx="289">
                  <c:v>43637</c:v>
                </c:pt>
                <c:pt idx="290">
                  <c:v>43640</c:v>
                </c:pt>
                <c:pt idx="291">
                  <c:v>43641</c:v>
                </c:pt>
                <c:pt idx="292">
                  <c:v>43642</c:v>
                </c:pt>
                <c:pt idx="293">
                  <c:v>43643</c:v>
                </c:pt>
                <c:pt idx="294">
                  <c:v>43644</c:v>
                </c:pt>
                <c:pt idx="295">
                  <c:v>43647</c:v>
                </c:pt>
                <c:pt idx="296">
                  <c:v>43648</c:v>
                </c:pt>
                <c:pt idx="297">
                  <c:v>43649</c:v>
                </c:pt>
                <c:pt idx="298">
                  <c:v>43650</c:v>
                </c:pt>
                <c:pt idx="299">
                  <c:v>43651</c:v>
                </c:pt>
                <c:pt idx="300">
                  <c:v>43654</c:v>
                </c:pt>
                <c:pt idx="301">
                  <c:v>43655</c:v>
                </c:pt>
                <c:pt idx="302">
                  <c:v>43656</c:v>
                </c:pt>
                <c:pt idx="303">
                  <c:v>43657</c:v>
                </c:pt>
                <c:pt idx="304">
                  <c:v>43658</c:v>
                </c:pt>
                <c:pt idx="305">
                  <c:v>43661</c:v>
                </c:pt>
                <c:pt idx="306">
                  <c:v>43662</c:v>
                </c:pt>
                <c:pt idx="307">
                  <c:v>43663</c:v>
                </c:pt>
                <c:pt idx="308">
                  <c:v>43664</c:v>
                </c:pt>
                <c:pt idx="309">
                  <c:v>43665</c:v>
                </c:pt>
                <c:pt idx="310">
                  <c:v>43668</c:v>
                </c:pt>
                <c:pt idx="311">
                  <c:v>43669</c:v>
                </c:pt>
                <c:pt idx="312">
                  <c:v>43670</c:v>
                </c:pt>
                <c:pt idx="313">
                  <c:v>43671</c:v>
                </c:pt>
                <c:pt idx="314">
                  <c:v>43672</c:v>
                </c:pt>
                <c:pt idx="315">
                  <c:v>43675</c:v>
                </c:pt>
                <c:pt idx="316">
                  <c:v>43676</c:v>
                </c:pt>
                <c:pt idx="317">
                  <c:v>43677</c:v>
                </c:pt>
                <c:pt idx="318">
                  <c:v>43678</c:v>
                </c:pt>
                <c:pt idx="319">
                  <c:v>43679</c:v>
                </c:pt>
                <c:pt idx="320">
                  <c:v>43682</c:v>
                </c:pt>
                <c:pt idx="321">
                  <c:v>43683</c:v>
                </c:pt>
                <c:pt idx="322">
                  <c:v>43684</c:v>
                </c:pt>
                <c:pt idx="323">
                  <c:v>43685</c:v>
                </c:pt>
                <c:pt idx="324">
                  <c:v>43686</c:v>
                </c:pt>
                <c:pt idx="325">
                  <c:v>43689</c:v>
                </c:pt>
                <c:pt idx="326">
                  <c:v>43690</c:v>
                </c:pt>
                <c:pt idx="327">
                  <c:v>43691</c:v>
                </c:pt>
                <c:pt idx="328">
                  <c:v>43692</c:v>
                </c:pt>
                <c:pt idx="329">
                  <c:v>43693</c:v>
                </c:pt>
                <c:pt idx="330">
                  <c:v>43696</c:v>
                </c:pt>
                <c:pt idx="331">
                  <c:v>43697</c:v>
                </c:pt>
                <c:pt idx="332">
                  <c:v>43698</c:v>
                </c:pt>
                <c:pt idx="333">
                  <c:v>43699</c:v>
                </c:pt>
                <c:pt idx="334">
                  <c:v>43700</c:v>
                </c:pt>
                <c:pt idx="335">
                  <c:v>43703</c:v>
                </c:pt>
                <c:pt idx="336">
                  <c:v>43704</c:v>
                </c:pt>
                <c:pt idx="337">
                  <c:v>43705</c:v>
                </c:pt>
                <c:pt idx="338">
                  <c:v>43706</c:v>
                </c:pt>
                <c:pt idx="339">
                  <c:v>43707</c:v>
                </c:pt>
                <c:pt idx="340">
                  <c:v>43710</c:v>
                </c:pt>
                <c:pt idx="341">
                  <c:v>43711</c:v>
                </c:pt>
                <c:pt idx="342">
                  <c:v>43712</c:v>
                </c:pt>
                <c:pt idx="343">
                  <c:v>43713</c:v>
                </c:pt>
                <c:pt idx="344">
                  <c:v>43714</c:v>
                </c:pt>
                <c:pt idx="345">
                  <c:v>43717</c:v>
                </c:pt>
                <c:pt idx="346">
                  <c:v>43718</c:v>
                </c:pt>
                <c:pt idx="347">
                  <c:v>43719</c:v>
                </c:pt>
                <c:pt idx="348">
                  <c:v>43720</c:v>
                </c:pt>
                <c:pt idx="349">
                  <c:v>43721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43731</c:v>
                </c:pt>
                <c:pt idx="356">
                  <c:v>43732</c:v>
                </c:pt>
                <c:pt idx="357">
                  <c:v>43733</c:v>
                </c:pt>
                <c:pt idx="358">
                  <c:v>43734</c:v>
                </c:pt>
                <c:pt idx="359">
                  <c:v>43735</c:v>
                </c:pt>
                <c:pt idx="360">
                  <c:v>43738</c:v>
                </c:pt>
                <c:pt idx="361">
                  <c:v>43739</c:v>
                </c:pt>
                <c:pt idx="362">
                  <c:v>43740</c:v>
                </c:pt>
                <c:pt idx="363">
                  <c:v>43741</c:v>
                </c:pt>
                <c:pt idx="364">
                  <c:v>43742</c:v>
                </c:pt>
                <c:pt idx="365">
                  <c:v>43745</c:v>
                </c:pt>
                <c:pt idx="366">
                  <c:v>43746</c:v>
                </c:pt>
                <c:pt idx="367">
                  <c:v>43747</c:v>
                </c:pt>
                <c:pt idx="368">
                  <c:v>43748</c:v>
                </c:pt>
                <c:pt idx="369">
                  <c:v>43749</c:v>
                </c:pt>
                <c:pt idx="370">
                  <c:v>43752</c:v>
                </c:pt>
                <c:pt idx="371">
                  <c:v>43753</c:v>
                </c:pt>
                <c:pt idx="372">
                  <c:v>43754</c:v>
                </c:pt>
                <c:pt idx="373">
                  <c:v>43755</c:v>
                </c:pt>
                <c:pt idx="374">
                  <c:v>43756</c:v>
                </c:pt>
                <c:pt idx="375">
                  <c:v>43759</c:v>
                </c:pt>
                <c:pt idx="376">
                  <c:v>43760</c:v>
                </c:pt>
                <c:pt idx="377">
                  <c:v>43761</c:v>
                </c:pt>
                <c:pt idx="378">
                  <c:v>43762</c:v>
                </c:pt>
                <c:pt idx="379">
                  <c:v>43763</c:v>
                </c:pt>
                <c:pt idx="380">
                  <c:v>43766</c:v>
                </c:pt>
                <c:pt idx="381">
                  <c:v>43767</c:v>
                </c:pt>
                <c:pt idx="382">
                  <c:v>43768</c:v>
                </c:pt>
                <c:pt idx="383">
                  <c:v>43769</c:v>
                </c:pt>
                <c:pt idx="384">
                  <c:v>43770</c:v>
                </c:pt>
                <c:pt idx="385">
                  <c:v>43773</c:v>
                </c:pt>
                <c:pt idx="386">
                  <c:v>43774</c:v>
                </c:pt>
                <c:pt idx="387">
                  <c:v>43775</c:v>
                </c:pt>
                <c:pt idx="388">
                  <c:v>43776</c:v>
                </c:pt>
                <c:pt idx="389">
                  <c:v>43777</c:v>
                </c:pt>
                <c:pt idx="390">
                  <c:v>43780</c:v>
                </c:pt>
                <c:pt idx="391">
                  <c:v>43781</c:v>
                </c:pt>
                <c:pt idx="392">
                  <c:v>43782</c:v>
                </c:pt>
                <c:pt idx="393">
                  <c:v>43783</c:v>
                </c:pt>
                <c:pt idx="394">
                  <c:v>43784</c:v>
                </c:pt>
                <c:pt idx="395">
                  <c:v>43787</c:v>
                </c:pt>
                <c:pt idx="396">
                  <c:v>43788</c:v>
                </c:pt>
                <c:pt idx="397">
                  <c:v>43789</c:v>
                </c:pt>
                <c:pt idx="398">
                  <c:v>43790</c:v>
                </c:pt>
                <c:pt idx="399">
                  <c:v>43791</c:v>
                </c:pt>
                <c:pt idx="400">
                  <c:v>43794</c:v>
                </c:pt>
                <c:pt idx="401">
                  <c:v>43795</c:v>
                </c:pt>
                <c:pt idx="402">
                  <c:v>43796</c:v>
                </c:pt>
                <c:pt idx="403">
                  <c:v>43797</c:v>
                </c:pt>
                <c:pt idx="404">
                  <c:v>43798</c:v>
                </c:pt>
                <c:pt idx="405">
                  <c:v>43801</c:v>
                </c:pt>
                <c:pt idx="406">
                  <c:v>43802</c:v>
                </c:pt>
                <c:pt idx="407">
                  <c:v>43803</c:v>
                </c:pt>
                <c:pt idx="408">
                  <c:v>43804</c:v>
                </c:pt>
                <c:pt idx="409">
                  <c:v>43805</c:v>
                </c:pt>
                <c:pt idx="410">
                  <c:v>43808</c:v>
                </c:pt>
                <c:pt idx="411">
                  <c:v>43809</c:v>
                </c:pt>
                <c:pt idx="412">
                  <c:v>43810</c:v>
                </c:pt>
                <c:pt idx="413">
                  <c:v>43811</c:v>
                </c:pt>
                <c:pt idx="414">
                  <c:v>43812</c:v>
                </c:pt>
                <c:pt idx="415">
                  <c:v>43815</c:v>
                </c:pt>
                <c:pt idx="416">
                  <c:v>43816</c:v>
                </c:pt>
                <c:pt idx="417">
                  <c:v>43817</c:v>
                </c:pt>
                <c:pt idx="418">
                  <c:v>43818</c:v>
                </c:pt>
                <c:pt idx="419">
                  <c:v>43819</c:v>
                </c:pt>
                <c:pt idx="420">
                  <c:v>43822</c:v>
                </c:pt>
                <c:pt idx="421">
                  <c:v>43823</c:v>
                </c:pt>
                <c:pt idx="422">
                  <c:v>43826</c:v>
                </c:pt>
                <c:pt idx="423">
                  <c:v>43829</c:v>
                </c:pt>
                <c:pt idx="424">
                  <c:v>43830</c:v>
                </c:pt>
                <c:pt idx="425">
                  <c:v>43832</c:v>
                </c:pt>
                <c:pt idx="426">
                  <c:v>43833</c:v>
                </c:pt>
                <c:pt idx="427">
                  <c:v>43836</c:v>
                </c:pt>
                <c:pt idx="428">
                  <c:v>43837</c:v>
                </c:pt>
                <c:pt idx="429">
                  <c:v>43838</c:v>
                </c:pt>
                <c:pt idx="430">
                  <c:v>43839</c:v>
                </c:pt>
                <c:pt idx="431">
                  <c:v>43840</c:v>
                </c:pt>
                <c:pt idx="432">
                  <c:v>43843</c:v>
                </c:pt>
                <c:pt idx="433">
                  <c:v>43844</c:v>
                </c:pt>
                <c:pt idx="434">
                  <c:v>43845</c:v>
                </c:pt>
                <c:pt idx="435">
                  <c:v>43846</c:v>
                </c:pt>
                <c:pt idx="436">
                  <c:v>43847</c:v>
                </c:pt>
                <c:pt idx="437">
                  <c:v>43850</c:v>
                </c:pt>
                <c:pt idx="438">
                  <c:v>43851</c:v>
                </c:pt>
                <c:pt idx="439">
                  <c:v>43852</c:v>
                </c:pt>
                <c:pt idx="440">
                  <c:v>43853</c:v>
                </c:pt>
                <c:pt idx="441">
                  <c:v>43854</c:v>
                </c:pt>
                <c:pt idx="442">
                  <c:v>43857</c:v>
                </c:pt>
                <c:pt idx="443">
                  <c:v>43858</c:v>
                </c:pt>
                <c:pt idx="444">
                  <c:v>43859</c:v>
                </c:pt>
                <c:pt idx="445">
                  <c:v>43860</c:v>
                </c:pt>
                <c:pt idx="446">
                  <c:v>43861</c:v>
                </c:pt>
                <c:pt idx="447">
                  <c:v>43864</c:v>
                </c:pt>
                <c:pt idx="448">
                  <c:v>43865</c:v>
                </c:pt>
                <c:pt idx="449">
                  <c:v>43866</c:v>
                </c:pt>
                <c:pt idx="450">
                  <c:v>43867</c:v>
                </c:pt>
                <c:pt idx="451">
                  <c:v>43868</c:v>
                </c:pt>
                <c:pt idx="452">
                  <c:v>43871</c:v>
                </c:pt>
                <c:pt idx="453">
                  <c:v>43872</c:v>
                </c:pt>
                <c:pt idx="454">
                  <c:v>43873</c:v>
                </c:pt>
                <c:pt idx="455">
                  <c:v>43874</c:v>
                </c:pt>
                <c:pt idx="456">
                  <c:v>43875</c:v>
                </c:pt>
                <c:pt idx="457">
                  <c:v>43878</c:v>
                </c:pt>
                <c:pt idx="458">
                  <c:v>43879</c:v>
                </c:pt>
                <c:pt idx="459">
                  <c:v>43880</c:v>
                </c:pt>
                <c:pt idx="460">
                  <c:v>43881</c:v>
                </c:pt>
                <c:pt idx="461">
                  <c:v>43882</c:v>
                </c:pt>
                <c:pt idx="462">
                  <c:v>43885</c:v>
                </c:pt>
                <c:pt idx="463">
                  <c:v>43886</c:v>
                </c:pt>
                <c:pt idx="464">
                  <c:v>43887</c:v>
                </c:pt>
                <c:pt idx="465">
                  <c:v>43888</c:v>
                </c:pt>
                <c:pt idx="466">
                  <c:v>43889</c:v>
                </c:pt>
                <c:pt idx="467">
                  <c:v>43892</c:v>
                </c:pt>
                <c:pt idx="468">
                  <c:v>43893</c:v>
                </c:pt>
                <c:pt idx="469">
                  <c:v>43894</c:v>
                </c:pt>
                <c:pt idx="470">
                  <c:v>43895</c:v>
                </c:pt>
                <c:pt idx="471">
                  <c:v>43896</c:v>
                </c:pt>
                <c:pt idx="472">
                  <c:v>43899</c:v>
                </c:pt>
                <c:pt idx="473">
                  <c:v>43900</c:v>
                </c:pt>
                <c:pt idx="474">
                  <c:v>43901</c:v>
                </c:pt>
                <c:pt idx="475">
                  <c:v>43902</c:v>
                </c:pt>
                <c:pt idx="476">
                  <c:v>43903</c:v>
                </c:pt>
                <c:pt idx="477">
                  <c:v>43906</c:v>
                </c:pt>
                <c:pt idx="478">
                  <c:v>43907</c:v>
                </c:pt>
                <c:pt idx="479">
                  <c:v>43908</c:v>
                </c:pt>
                <c:pt idx="480">
                  <c:v>43909</c:v>
                </c:pt>
                <c:pt idx="481">
                  <c:v>43910</c:v>
                </c:pt>
                <c:pt idx="482">
                  <c:v>43913</c:v>
                </c:pt>
                <c:pt idx="483">
                  <c:v>43914</c:v>
                </c:pt>
                <c:pt idx="484">
                  <c:v>43915</c:v>
                </c:pt>
                <c:pt idx="485">
                  <c:v>43916</c:v>
                </c:pt>
                <c:pt idx="486">
                  <c:v>43917</c:v>
                </c:pt>
                <c:pt idx="487">
                  <c:v>43920</c:v>
                </c:pt>
                <c:pt idx="488">
                  <c:v>43921</c:v>
                </c:pt>
                <c:pt idx="489">
                  <c:v>43922</c:v>
                </c:pt>
                <c:pt idx="490">
                  <c:v>43923</c:v>
                </c:pt>
                <c:pt idx="491">
                  <c:v>43924</c:v>
                </c:pt>
                <c:pt idx="492">
                  <c:v>43927</c:v>
                </c:pt>
                <c:pt idx="493">
                  <c:v>43928</c:v>
                </c:pt>
                <c:pt idx="494">
                  <c:v>43929</c:v>
                </c:pt>
                <c:pt idx="495">
                  <c:v>43930</c:v>
                </c:pt>
                <c:pt idx="496">
                  <c:v>43935</c:v>
                </c:pt>
                <c:pt idx="497">
                  <c:v>43936</c:v>
                </c:pt>
                <c:pt idx="498">
                  <c:v>43937</c:v>
                </c:pt>
                <c:pt idx="499">
                  <c:v>43938</c:v>
                </c:pt>
                <c:pt idx="500">
                  <c:v>43941</c:v>
                </c:pt>
                <c:pt idx="501">
                  <c:v>43942</c:v>
                </c:pt>
                <c:pt idx="502">
                  <c:v>43943</c:v>
                </c:pt>
                <c:pt idx="503">
                  <c:v>43944</c:v>
                </c:pt>
                <c:pt idx="504">
                  <c:v>43945</c:v>
                </c:pt>
                <c:pt idx="505">
                  <c:v>43948</c:v>
                </c:pt>
                <c:pt idx="506">
                  <c:v>43949</c:v>
                </c:pt>
                <c:pt idx="507">
                  <c:v>43950</c:v>
                </c:pt>
                <c:pt idx="508">
                  <c:v>43951</c:v>
                </c:pt>
                <c:pt idx="509">
                  <c:v>43955</c:v>
                </c:pt>
                <c:pt idx="510">
                  <c:v>43956</c:v>
                </c:pt>
                <c:pt idx="511">
                  <c:v>43957</c:v>
                </c:pt>
                <c:pt idx="512">
                  <c:v>43958</c:v>
                </c:pt>
                <c:pt idx="513">
                  <c:v>43959</c:v>
                </c:pt>
                <c:pt idx="514">
                  <c:v>43962</c:v>
                </c:pt>
                <c:pt idx="515">
                  <c:v>43963</c:v>
                </c:pt>
                <c:pt idx="516">
                  <c:v>43964</c:v>
                </c:pt>
                <c:pt idx="517">
                  <c:v>43965</c:v>
                </c:pt>
                <c:pt idx="518">
                  <c:v>43966</c:v>
                </c:pt>
                <c:pt idx="519">
                  <c:v>43969</c:v>
                </c:pt>
                <c:pt idx="520">
                  <c:v>43970</c:v>
                </c:pt>
                <c:pt idx="521">
                  <c:v>43971</c:v>
                </c:pt>
                <c:pt idx="522">
                  <c:v>43972</c:v>
                </c:pt>
                <c:pt idx="523">
                  <c:v>43973</c:v>
                </c:pt>
                <c:pt idx="524">
                  <c:v>43976</c:v>
                </c:pt>
                <c:pt idx="525">
                  <c:v>43977</c:v>
                </c:pt>
                <c:pt idx="526">
                  <c:v>43978</c:v>
                </c:pt>
                <c:pt idx="527">
                  <c:v>43979</c:v>
                </c:pt>
                <c:pt idx="528">
                  <c:v>43980</c:v>
                </c:pt>
                <c:pt idx="529">
                  <c:v>43983</c:v>
                </c:pt>
                <c:pt idx="530">
                  <c:v>43984</c:v>
                </c:pt>
                <c:pt idx="531">
                  <c:v>43985</c:v>
                </c:pt>
                <c:pt idx="532">
                  <c:v>43986</c:v>
                </c:pt>
                <c:pt idx="533">
                  <c:v>43987</c:v>
                </c:pt>
                <c:pt idx="534">
                  <c:v>43990</c:v>
                </c:pt>
                <c:pt idx="535">
                  <c:v>43991</c:v>
                </c:pt>
                <c:pt idx="536">
                  <c:v>43992</c:v>
                </c:pt>
                <c:pt idx="537">
                  <c:v>43993</c:v>
                </c:pt>
                <c:pt idx="538">
                  <c:v>43994</c:v>
                </c:pt>
                <c:pt idx="539">
                  <c:v>43997</c:v>
                </c:pt>
                <c:pt idx="540">
                  <c:v>43998</c:v>
                </c:pt>
                <c:pt idx="541">
                  <c:v>43999</c:v>
                </c:pt>
                <c:pt idx="542">
                  <c:v>44000</c:v>
                </c:pt>
                <c:pt idx="543">
                  <c:v>44001</c:v>
                </c:pt>
                <c:pt idx="544">
                  <c:v>44004</c:v>
                </c:pt>
                <c:pt idx="545">
                  <c:v>44005</c:v>
                </c:pt>
                <c:pt idx="546">
                  <c:v>44006</c:v>
                </c:pt>
                <c:pt idx="547">
                  <c:v>44007</c:v>
                </c:pt>
                <c:pt idx="548">
                  <c:v>44008</c:v>
                </c:pt>
                <c:pt idx="549">
                  <c:v>44011</c:v>
                </c:pt>
                <c:pt idx="550">
                  <c:v>44012</c:v>
                </c:pt>
                <c:pt idx="551">
                  <c:v>44013</c:v>
                </c:pt>
                <c:pt idx="552">
                  <c:v>44014</c:v>
                </c:pt>
                <c:pt idx="553">
                  <c:v>44015</c:v>
                </c:pt>
                <c:pt idx="554">
                  <c:v>44018</c:v>
                </c:pt>
                <c:pt idx="555">
                  <c:v>44019</c:v>
                </c:pt>
                <c:pt idx="556">
                  <c:v>44020</c:v>
                </c:pt>
                <c:pt idx="557">
                  <c:v>44021</c:v>
                </c:pt>
                <c:pt idx="558">
                  <c:v>44022</c:v>
                </c:pt>
                <c:pt idx="559">
                  <c:v>44025</c:v>
                </c:pt>
                <c:pt idx="560">
                  <c:v>44026</c:v>
                </c:pt>
                <c:pt idx="561">
                  <c:v>44027</c:v>
                </c:pt>
                <c:pt idx="562">
                  <c:v>44028</c:v>
                </c:pt>
                <c:pt idx="563">
                  <c:v>44029</c:v>
                </c:pt>
                <c:pt idx="564">
                  <c:v>44032</c:v>
                </c:pt>
                <c:pt idx="565">
                  <c:v>44033</c:v>
                </c:pt>
                <c:pt idx="566">
                  <c:v>44034</c:v>
                </c:pt>
                <c:pt idx="567">
                  <c:v>44035</c:v>
                </c:pt>
                <c:pt idx="568">
                  <c:v>44036</c:v>
                </c:pt>
                <c:pt idx="569">
                  <c:v>44039</c:v>
                </c:pt>
                <c:pt idx="570">
                  <c:v>44040</c:v>
                </c:pt>
                <c:pt idx="571">
                  <c:v>44041</c:v>
                </c:pt>
                <c:pt idx="572">
                  <c:v>44042</c:v>
                </c:pt>
                <c:pt idx="573">
                  <c:v>44043</c:v>
                </c:pt>
                <c:pt idx="574">
                  <c:v>44046</c:v>
                </c:pt>
                <c:pt idx="575">
                  <c:v>44047</c:v>
                </c:pt>
                <c:pt idx="576">
                  <c:v>44048</c:v>
                </c:pt>
                <c:pt idx="577">
                  <c:v>44049</c:v>
                </c:pt>
                <c:pt idx="578">
                  <c:v>44050</c:v>
                </c:pt>
                <c:pt idx="579">
                  <c:v>44053</c:v>
                </c:pt>
                <c:pt idx="580">
                  <c:v>44054</c:v>
                </c:pt>
                <c:pt idx="581">
                  <c:v>44055</c:v>
                </c:pt>
                <c:pt idx="582">
                  <c:v>44056</c:v>
                </c:pt>
                <c:pt idx="583">
                  <c:v>44057</c:v>
                </c:pt>
                <c:pt idx="584">
                  <c:v>44060</c:v>
                </c:pt>
                <c:pt idx="585">
                  <c:v>44061</c:v>
                </c:pt>
                <c:pt idx="586">
                  <c:v>44062</c:v>
                </c:pt>
                <c:pt idx="587">
                  <c:v>44063</c:v>
                </c:pt>
                <c:pt idx="588">
                  <c:v>44064</c:v>
                </c:pt>
                <c:pt idx="589">
                  <c:v>44067</c:v>
                </c:pt>
                <c:pt idx="590">
                  <c:v>44068</c:v>
                </c:pt>
                <c:pt idx="591">
                  <c:v>44069</c:v>
                </c:pt>
                <c:pt idx="592">
                  <c:v>44070</c:v>
                </c:pt>
                <c:pt idx="593">
                  <c:v>44071</c:v>
                </c:pt>
                <c:pt idx="594">
                  <c:v>44074</c:v>
                </c:pt>
                <c:pt idx="595">
                  <c:v>44075</c:v>
                </c:pt>
                <c:pt idx="596">
                  <c:v>44076</c:v>
                </c:pt>
                <c:pt idx="597">
                  <c:v>44077</c:v>
                </c:pt>
                <c:pt idx="598">
                  <c:v>44078</c:v>
                </c:pt>
                <c:pt idx="599">
                  <c:v>44081</c:v>
                </c:pt>
                <c:pt idx="600">
                  <c:v>44082</c:v>
                </c:pt>
                <c:pt idx="601">
                  <c:v>44083</c:v>
                </c:pt>
                <c:pt idx="602">
                  <c:v>44084</c:v>
                </c:pt>
                <c:pt idx="603">
                  <c:v>44085</c:v>
                </c:pt>
                <c:pt idx="604">
                  <c:v>44088</c:v>
                </c:pt>
                <c:pt idx="605">
                  <c:v>44089</c:v>
                </c:pt>
                <c:pt idx="606">
                  <c:v>44090</c:v>
                </c:pt>
                <c:pt idx="607">
                  <c:v>44091</c:v>
                </c:pt>
                <c:pt idx="608">
                  <c:v>44092</c:v>
                </c:pt>
                <c:pt idx="609">
                  <c:v>44095</c:v>
                </c:pt>
                <c:pt idx="610">
                  <c:v>44096</c:v>
                </c:pt>
                <c:pt idx="611">
                  <c:v>44097</c:v>
                </c:pt>
                <c:pt idx="612">
                  <c:v>44098</c:v>
                </c:pt>
                <c:pt idx="613">
                  <c:v>44099</c:v>
                </c:pt>
                <c:pt idx="614">
                  <c:v>44102</c:v>
                </c:pt>
                <c:pt idx="615">
                  <c:v>44103</c:v>
                </c:pt>
                <c:pt idx="616">
                  <c:v>44104</c:v>
                </c:pt>
                <c:pt idx="617">
                  <c:v>44105</c:v>
                </c:pt>
                <c:pt idx="618">
                  <c:v>44106</c:v>
                </c:pt>
                <c:pt idx="619">
                  <c:v>44109</c:v>
                </c:pt>
                <c:pt idx="620">
                  <c:v>44110</c:v>
                </c:pt>
                <c:pt idx="621">
                  <c:v>44111</c:v>
                </c:pt>
                <c:pt idx="622">
                  <c:v>44112</c:v>
                </c:pt>
                <c:pt idx="623">
                  <c:v>44113</c:v>
                </c:pt>
                <c:pt idx="624">
                  <c:v>44116</c:v>
                </c:pt>
                <c:pt idx="625">
                  <c:v>44117</c:v>
                </c:pt>
                <c:pt idx="626">
                  <c:v>44118</c:v>
                </c:pt>
                <c:pt idx="627">
                  <c:v>44119</c:v>
                </c:pt>
                <c:pt idx="628">
                  <c:v>44120</c:v>
                </c:pt>
                <c:pt idx="629">
                  <c:v>44123</c:v>
                </c:pt>
                <c:pt idx="630">
                  <c:v>44124</c:v>
                </c:pt>
                <c:pt idx="631">
                  <c:v>44125</c:v>
                </c:pt>
                <c:pt idx="632">
                  <c:v>44126</c:v>
                </c:pt>
                <c:pt idx="633">
                  <c:v>44127</c:v>
                </c:pt>
                <c:pt idx="634">
                  <c:v>44130</c:v>
                </c:pt>
                <c:pt idx="635">
                  <c:v>44131</c:v>
                </c:pt>
                <c:pt idx="636">
                  <c:v>44132</c:v>
                </c:pt>
                <c:pt idx="637">
                  <c:v>44133</c:v>
                </c:pt>
                <c:pt idx="638">
                  <c:v>44134</c:v>
                </c:pt>
                <c:pt idx="639">
                  <c:v>44137</c:v>
                </c:pt>
                <c:pt idx="640">
                  <c:v>44138</c:v>
                </c:pt>
                <c:pt idx="641">
                  <c:v>44139</c:v>
                </c:pt>
                <c:pt idx="642">
                  <c:v>44140</c:v>
                </c:pt>
                <c:pt idx="643">
                  <c:v>44141</c:v>
                </c:pt>
                <c:pt idx="644">
                  <c:v>44144</c:v>
                </c:pt>
                <c:pt idx="645">
                  <c:v>44145</c:v>
                </c:pt>
                <c:pt idx="646">
                  <c:v>44146</c:v>
                </c:pt>
                <c:pt idx="647">
                  <c:v>44147</c:v>
                </c:pt>
                <c:pt idx="648">
                  <c:v>44148</c:v>
                </c:pt>
                <c:pt idx="649">
                  <c:v>44151</c:v>
                </c:pt>
                <c:pt idx="650">
                  <c:v>44152</c:v>
                </c:pt>
                <c:pt idx="651">
                  <c:v>44153</c:v>
                </c:pt>
                <c:pt idx="652">
                  <c:v>44154</c:v>
                </c:pt>
                <c:pt idx="653">
                  <c:v>44155</c:v>
                </c:pt>
                <c:pt idx="654">
                  <c:v>44158</c:v>
                </c:pt>
                <c:pt idx="655">
                  <c:v>44159</c:v>
                </c:pt>
                <c:pt idx="656">
                  <c:v>44160</c:v>
                </c:pt>
                <c:pt idx="657">
                  <c:v>44161</c:v>
                </c:pt>
                <c:pt idx="658">
                  <c:v>44162</c:v>
                </c:pt>
                <c:pt idx="659">
                  <c:v>44165</c:v>
                </c:pt>
                <c:pt idx="660">
                  <c:v>44166</c:v>
                </c:pt>
                <c:pt idx="661">
                  <c:v>44167</c:v>
                </c:pt>
                <c:pt idx="662">
                  <c:v>44168</c:v>
                </c:pt>
                <c:pt idx="663">
                  <c:v>44169</c:v>
                </c:pt>
                <c:pt idx="664">
                  <c:v>44172</c:v>
                </c:pt>
                <c:pt idx="665">
                  <c:v>44173</c:v>
                </c:pt>
                <c:pt idx="666">
                  <c:v>44174</c:v>
                </c:pt>
                <c:pt idx="667">
                  <c:v>44175</c:v>
                </c:pt>
                <c:pt idx="668">
                  <c:v>44176</c:v>
                </c:pt>
                <c:pt idx="669">
                  <c:v>44179</c:v>
                </c:pt>
                <c:pt idx="670">
                  <c:v>44180</c:v>
                </c:pt>
                <c:pt idx="671">
                  <c:v>44181</c:v>
                </c:pt>
                <c:pt idx="672">
                  <c:v>44182</c:v>
                </c:pt>
                <c:pt idx="673">
                  <c:v>44183</c:v>
                </c:pt>
                <c:pt idx="674">
                  <c:v>44186</c:v>
                </c:pt>
                <c:pt idx="675">
                  <c:v>44187</c:v>
                </c:pt>
                <c:pt idx="676">
                  <c:v>44188</c:v>
                </c:pt>
                <c:pt idx="677">
                  <c:v>44189</c:v>
                </c:pt>
                <c:pt idx="678">
                  <c:v>44193</c:v>
                </c:pt>
                <c:pt idx="679">
                  <c:v>44194</c:v>
                </c:pt>
                <c:pt idx="680">
                  <c:v>44195</c:v>
                </c:pt>
                <c:pt idx="681">
                  <c:v>44196</c:v>
                </c:pt>
                <c:pt idx="682">
                  <c:v>44200</c:v>
                </c:pt>
                <c:pt idx="683">
                  <c:v>44201</c:v>
                </c:pt>
                <c:pt idx="684">
                  <c:v>44202</c:v>
                </c:pt>
                <c:pt idx="685">
                  <c:v>44203</c:v>
                </c:pt>
                <c:pt idx="686">
                  <c:v>44204</c:v>
                </c:pt>
                <c:pt idx="687">
                  <c:v>44207</c:v>
                </c:pt>
                <c:pt idx="688">
                  <c:v>44208</c:v>
                </c:pt>
                <c:pt idx="689">
                  <c:v>44209</c:v>
                </c:pt>
                <c:pt idx="690">
                  <c:v>44210</c:v>
                </c:pt>
                <c:pt idx="691">
                  <c:v>44211</c:v>
                </c:pt>
                <c:pt idx="692">
                  <c:v>44214</c:v>
                </c:pt>
                <c:pt idx="693">
                  <c:v>44215</c:v>
                </c:pt>
                <c:pt idx="694">
                  <c:v>44216</c:v>
                </c:pt>
                <c:pt idx="695">
                  <c:v>44217</c:v>
                </c:pt>
                <c:pt idx="696">
                  <c:v>44218</c:v>
                </c:pt>
                <c:pt idx="697">
                  <c:v>44221</c:v>
                </c:pt>
                <c:pt idx="698">
                  <c:v>44222</c:v>
                </c:pt>
                <c:pt idx="699">
                  <c:v>44223</c:v>
                </c:pt>
                <c:pt idx="700">
                  <c:v>44224</c:v>
                </c:pt>
                <c:pt idx="701">
                  <c:v>44225</c:v>
                </c:pt>
                <c:pt idx="702">
                  <c:v>44228</c:v>
                </c:pt>
                <c:pt idx="703">
                  <c:v>44229</c:v>
                </c:pt>
                <c:pt idx="704">
                  <c:v>44230</c:v>
                </c:pt>
                <c:pt idx="705">
                  <c:v>44231</c:v>
                </c:pt>
                <c:pt idx="706">
                  <c:v>44232</c:v>
                </c:pt>
                <c:pt idx="707">
                  <c:v>44235</c:v>
                </c:pt>
                <c:pt idx="708">
                  <c:v>44236</c:v>
                </c:pt>
                <c:pt idx="709">
                  <c:v>44237</c:v>
                </c:pt>
                <c:pt idx="710">
                  <c:v>44238</c:v>
                </c:pt>
                <c:pt idx="711">
                  <c:v>44239</c:v>
                </c:pt>
                <c:pt idx="712">
                  <c:v>44242</c:v>
                </c:pt>
                <c:pt idx="713">
                  <c:v>44243</c:v>
                </c:pt>
                <c:pt idx="714">
                  <c:v>44244</c:v>
                </c:pt>
                <c:pt idx="715">
                  <c:v>44245</c:v>
                </c:pt>
                <c:pt idx="716">
                  <c:v>44246</c:v>
                </c:pt>
                <c:pt idx="717">
                  <c:v>44249</c:v>
                </c:pt>
                <c:pt idx="718">
                  <c:v>44250</c:v>
                </c:pt>
                <c:pt idx="719">
                  <c:v>44251</c:v>
                </c:pt>
                <c:pt idx="720">
                  <c:v>44252</c:v>
                </c:pt>
                <c:pt idx="721">
                  <c:v>44253</c:v>
                </c:pt>
                <c:pt idx="722">
                  <c:v>44256</c:v>
                </c:pt>
                <c:pt idx="723">
                  <c:v>44257</c:v>
                </c:pt>
                <c:pt idx="724">
                  <c:v>44258</c:v>
                </c:pt>
                <c:pt idx="725">
                  <c:v>44259</c:v>
                </c:pt>
                <c:pt idx="726">
                  <c:v>44260</c:v>
                </c:pt>
                <c:pt idx="727">
                  <c:v>44263</c:v>
                </c:pt>
                <c:pt idx="728">
                  <c:v>44264</c:v>
                </c:pt>
                <c:pt idx="729">
                  <c:v>44265</c:v>
                </c:pt>
                <c:pt idx="730">
                  <c:v>44266</c:v>
                </c:pt>
                <c:pt idx="731">
                  <c:v>44267</c:v>
                </c:pt>
                <c:pt idx="732">
                  <c:v>44270</c:v>
                </c:pt>
                <c:pt idx="733">
                  <c:v>44271</c:v>
                </c:pt>
                <c:pt idx="734">
                  <c:v>44272</c:v>
                </c:pt>
                <c:pt idx="735">
                  <c:v>44273</c:v>
                </c:pt>
                <c:pt idx="736">
                  <c:v>44274</c:v>
                </c:pt>
                <c:pt idx="737">
                  <c:v>44277</c:v>
                </c:pt>
                <c:pt idx="738">
                  <c:v>44278</c:v>
                </c:pt>
                <c:pt idx="739">
                  <c:v>44279</c:v>
                </c:pt>
                <c:pt idx="740">
                  <c:v>44280</c:v>
                </c:pt>
                <c:pt idx="741">
                  <c:v>44281</c:v>
                </c:pt>
                <c:pt idx="742">
                  <c:v>44284</c:v>
                </c:pt>
                <c:pt idx="743">
                  <c:v>44285</c:v>
                </c:pt>
                <c:pt idx="744">
                  <c:v>44286</c:v>
                </c:pt>
                <c:pt idx="745">
                  <c:v>44287</c:v>
                </c:pt>
                <c:pt idx="746">
                  <c:v>44292</c:v>
                </c:pt>
                <c:pt idx="747">
                  <c:v>44293</c:v>
                </c:pt>
                <c:pt idx="748">
                  <c:v>44294</c:v>
                </c:pt>
                <c:pt idx="749">
                  <c:v>44295</c:v>
                </c:pt>
                <c:pt idx="750">
                  <c:v>44298</c:v>
                </c:pt>
                <c:pt idx="751">
                  <c:v>44299</c:v>
                </c:pt>
                <c:pt idx="752">
                  <c:v>44300</c:v>
                </c:pt>
                <c:pt idx="753">
                  <c:v>44301</c:v>
                </c:pt>
                <c:pt idx="754">
                  <c:v>44302</c:v>
                </c:pt>
                <c:pt idx="755">
                  <c:v>44305</c:v>
                </c:pt>
                <c:pt idx="756">
                  <c:v>44306</c:v>
                </c:pt>
                <c:pt idx="757">
                  <c:v>44307</c:v>
                </c:pt>
                <c:pt idx="758">
                  <c:v>44308</c:v>
                </c:pt>
                <c:pt idx="759">
                  <c:v>44309</c:v>
                </c:pt>
                <c:pt idx="760">
                  <c:v>44312</c:v>
                </c:pt>
                <c:pt idx="761">
                  <c:v>44313</c:v>
                </c:pt>
                <c:pt idx="762">
                  <c:v>44314</c:v>
                </c:pt>
                <c:pt idx="763">
                  <c:v>44315</c:v>
                </c:pt>
                <c:pt idx="764">
                  <c:v>44316</c:v>
                </c:pt>
                <c:pt idx="765">
                  <c:v>44319</c:v>
                </c:pt>
                <c:pt idx="766">
                  <c:v>44320</c:v>
                </c:pt>
                <c:pt idx="767">
                  <c:v>44321</c:v>
                </c:pt>
                <c:pt idx="768">
                  <c:v>44322</c:v>
                </c:pt>
                <c:pt idx="769">
                  <c:v>44323</c:v>
                </c:pt>
                <c:pt idx="770">
                  <c:v>44326</c:v>
                </c:pt>
                <c:pt idx="771">
                  <c:v>44327</c:v>
                </c:pt>
                <c:pt idx="772">
                  <c:v>44328</c:v>
                </c:pt>
                <c:pt idx="773">
                  <c:v>44329</c:v>
                </c:pt>
                <c:pt idx="774">
                  <c:v>44330</c:v>
                </c:pt>
                <c:pt idx="775">
                  <c:v>44333</c:v>
                </c:pt>
                <c:pt idx="776">
                  <c:v>44334</c:v>
                </c:pt>
                <c:pt idx="777">
                  <c:v>44335</c:v>
                </c:pt>
                <c:pt idx="778">
                  <c:v>44336</c:v>
                </c:pt>
                <c:pt idx="779">
                  <c:v>44337</c:v>
                </c:pt>
                <c:pt idx="780">
                  <c:v>44340</c:v>
                </c:pt>
                <c:pt idx="781">
                  <c:v>44341</c:v>
                </c:pt>
                <c:pt idx="782">
                  <c:v>44342</c:v>
                </c:pt>
                <c:pt idx="783">
                  <c:v>44343</c:v>
                </c:pt>
                <c:pt idx="784">
                  <c:v>44344</c:v>
                </c:pt>
                <c:pt idx="785">
                  <c:v>44347</c:v>
                </c:pt>
                <c:pt idx="786">
                  <c:v>44348</c:v>
                </c:pt>
                <c:pt idx="787">
                  <c:v>44349</c:v>
                </c:pt>
                <c:pt idx="788">
                  <c:v>44350</c:v>
                </c:pt>
                <c:pt idx="789">
                  <c:v>44351</c:v>
                </c:pt>
                <c:pt idx="790">
                  <c:v>44354</c:v>
                </c:pt>
                <c:pt idx="791">
                  <c:v>44355</c:v>
                </c:pt>
                <c:pt idx="792">
                  <c:v>44356</c:v>
                </c:pt>
                <c:pt idx="793">
                  <c:v>44357</c:v>
                </c:pt>
                <c:pt idx="794">
                  <c:v>44358</c:v>
                </c:pt>
                <c:pt idx="795">
                  <c:v>44361</c:v>
                </c:pt>
                <c:pt idx="796">
                  <c:v>44362</c:v>
                </c:pt>
                <c:pt idx="797">
                  <c:v>44363</c:v>
                </c:pt>
                <c:pt idx="798">
                  <c:v>44364</c:v>
                </c:pt>
                <c:pt idx="799">
                  <c:v>44365</c:v>
                </c:pt>
                <c:pt idx="800">
                  <c:v>44368</c:v>
                </c:pt>
                <c:pt idx="801">
                  <c:v>44369</c:v>
                </c:pt>
                <c:pt idx="802">
                  <c:v>44370</c:v>
                </c:pt>
                <c:pt idx="803">
                  <c:v>44371</c:v>
                </c:pt>
                <c:pt idx="804">
                  <c:v>44372</c:v>
                </c:pt>
                <c:pt idx="805">
                  <c:v>44375</c:v>
                </c:pt>
                <c:pt idx="806">
                  <c:v>44376</c:v>
                </c:pt>
                <c:pt idx="807">
                  <c:v>44377</c:v>
                </c:pt>
                <c:pt idx="808">
                  <c:v>44378</c:v>
                </c:pt>
                <c:pt idx="809">
                  <c:v>44379</c:v>
                </c:pt>
                <c:pt idx="810">
                  <c:v>44382</c:v>
                </c:pt>
                <c:pt idx="811">
                  <c:v>44383</c:v>
                </c:pt>
                <c:pt idx="812">
                  <c:v>44384</c:v>
                </c:pt>
                <c:pt idx="813">
                  <c:v>44385</c:v>
                </c:pt>
                <c:pt idx="814">
                  <c:v>44386</c:v>
                </c:pt>
                <c:pt idx="815">
                  <c:v>44389</c:v>
                </c:pt>
                <c:pt idx="816">
                  <c:v>44390</c:v>
                </c:pt>
                <c:pt idx="817">
                  <c:v>44391</c:v>
                </c:pt>
                <c:pt idx="818">
                  <c:v>44392</c:v>
                </c:pt>
                <c:pt idx="819">
                  <c:v>44393</c:v>
                </c:pt>
                <c:pt idx="820">
                  <c:v>44396</c:v>
                </c:pt>
                <c:pt idx="821">
                  <c:v>44397</c:v>
                </c:pt>
                <c:pt idx="822">
                  <c:v>44398</c:v>
                </c:pt>
                <c:pt idx="823">
                  <c:v>44399</c:v>
                </c:pt>
                <c:pt idx="824">
                  <c:v>44400</c:v>
                </c:pt>
                <c:pt idx="825">
                  <c:v>44403</c:v>
                </c:pt>
                <c:pt idx="826">
                  <c:v>44404</c:v>
                </c:pt>
                <c:pt idx="827">
                  <c:v>44405</c:v>
                </c:pt>
                <c:pt idx="828">
                  <c:v>44406</c:v>
                </c:pt>
                <c:pt idx="829">
                  <c:v>44407</c:v>
                </c:pt>
                <c:pt idx="830">
                  <c:v>44410</c:v>
                </c:pt>
                <c:pt idx="831">
                  <c:v>44411</c:v>
                </c:pt>
                <c:pt idx="832">
                  <c:v>44412</c:v>
                </c:pt>
                <c:pt idx="833">
                  <c:v>44413</c:v>
                </c:pt>
                <c:pt idx="834">
                  <c:v>44414</c:v>
                </c:pt>
                <c:pt idx="835">
                  <c:v>44417</c:v>
                </c:pt>
                <c:pt idx="836">
                  <c:v>44418</c:v>
                </c:pt>
                <c:pt idx="837">
                  <c:v>44419</c:v>
                </c:pt>
                <c:pt idx="838">
                  <c:v>44420</c:v>
                </c:pt>
                <c:pt idx="839">
                  <c:v>44421</c:v>
                </c:pt>
                <c:pt idx="840">
                  <c:v>44424</c:v>
                </c:pt>
                <c:pt idx="841">
                  <c:v>44425</c:v>
                </c:pt>
                <c:pt idx="842">
                  <c:v>44426</c:v>
                </c:pt>
                <c:pt idx="843">
                  <c:v>44427</c:v>
                </c:pt>
                <c:pt idx="844">
                  <c:v>44428</c:v>
                </c:pt>
                <c:pt idx="845">
                  <c:v>44431</c:v>
                </c:pt>
                <c:pt idx="846">
                  <c:v>44432</c:v>
                </c:pt>
                <c:pt idx="847">
                  <c:v>44433</c:v>
                </c:pt>
                <c:pt idx="848">
                  <c:v>44434</c:v>
                </c:pt>
                <c:pt idx="849">
                  <c:v>44435</c:v>
                </c:pt>
                <c:pt idx="850">
                  <c:v>44438</c:v>
                </c:pt>
                <c:pt idx="851">
                  <c:v>44439</c:v>
                </c:pt>
                <c:pt idx="852">
                  <c:v>44440</c:v>
                </c:pt>
                <c:pt idx="853">
                  <c:v>44441</c:v>
                </c:pt>
                <c:pt idx="854">
                  <c:v>44442</c:v>
                </c:pt>
                <c:pt idx="855">
                  <c:v>44445</c:v>
                </c:pt>
                <c:pt idx="856">
                  <c:v>44446</c:v>
                </c:pt>
                <c:pt idx="857">
                  <c:v>44447</c:v>
                </c:pt>
                <c:pt idx="858">
                  <c:v>44448</c:v>
                </c:pt>
                <c:pt idx="859">
                  <c:v>44449</c:v>
                </c:pt>
                <c:pt idx="860">
                  <c:v>44452</c:v>
                </c:pt>
                <c:pt idx="861">
                  <c:v>44453</c:v>
                </c:pt>
                <c:pt idx="862">
                  <c:v>44454</c:v>
                </c:pt>
                <c:pt idx="863">
                  <c:v>44455</c:v>
                </c:pt>
                <c:pt idx="864">
                  <c:v>44456</c:v>
                </c:pt>
                <c:pt idx="865">
                  <c:v>44459</c:v>
                </c:pt>
                <c:pt idx="866">
                  <c:v>44460</c:v>
                </c:pt>
                <c:pt idx="867">
                  <c:v>44461</c:v>
                </c:pt>
                <c:pt idx="868">
                  <c:v>44462</c:v>
                </c:pt>
                <c:pt idx="869">
                  <c:v>44463</c:v>
                </c:pt>
                <c:pt idx="870">
                  <c:v>44466</c:v>
                </c:pt>
                <c:pt idx="871">
                  <c:v>44467</c:v>
                </c:pt>
                <c:pt idx="872">
                  <c:v>44468</c:v>
                </c:pt>
                <c:pt idx="873">
                  <c:v>44469</c:v>
                </c:pt>
                <c:pt idx="874">
                  <c:v>44470</c:v>
                </c:pt>
                <c:pt idx="875">
                  <c:v>44473</c:v>
                </c:pt>
                <c:pt idx="876">
                  <c:v>44474</c:v>
                </c:pt>
                <c:pt idx="877">
                  <c:v>44475</c:v>
                </c:pt>
                <c:pt idx="878">
                  <c:v>44476</c:v>
                </c:pt>
                <c:pt idx="879">
                  <c:v>44477</c:v>
                </c:pt>
                <c:pt idx="880">
                  <c:v>44480</c:v>
                </c:pt>
                <c:pt idx="881">
                  <c:v>44481</c:v>
                </c:pt>
                <c:pt idx="882">
                  <c:v>44482</c:v>
                </c:pt>
                <c:pt idx="883">
                  <c:v>44483</c:v>
                </c:pt>
                <c:pt idx="884">
                  <c:v>44484</c:v>
                </c:pt>
                <c:pt idx="885">
                  <c:v>44487</c:v>
                </c:pt>
                <c:pt idx="886">
                  <c:v>44488</c:v>
                </c:pt>
                <c:pt idx="887">
                  <c:v>44489</c:v>
                </c:pt>
                <c:pt idx="888">
                  <c:v>44490</c:v>
                </c:pt>
                <c:pt idx="889">
                  <c:v>44491</c:v>
                </c:pt>
                <c:pt idx="890">
                  <c:v>44494</c:v>
                </c:pt>
                <c:pt idx="891">
                  <c:v>44495</c:v>
                </c:pt>
                <c:pt idx="892">
                  <c:v>44496</c:v>
                </c:pt>
                <c:pt idx="893">
                  <c:v>44497</c:v>
                </c:pt>
                <c:pt idx="894">
                  <c:v>44498</c:v>
                </c:pt>
                <c:pt idx="895">
                  <c:v>44501</c:v>
                </c:pt>
                <c:pt idx="896">
                  <c:v>44502</c:v>
                </c:pt>
                <c:pt idx="897">
                  <c:v>44503</c:v>
                </c:pt>
                <c:pt idx="898">
                  <c:v>44504</c:v>
                </c:pt>
                <c:pt idx="899">
                  <c:v>44505</c:v>
                </c:pt>
                <c:pt idx="900">
                  <c:v>44508</c:v>
                </c:pt>
                <c:pt idx="901">
                  <c:v>44509</c:v>
                </c:pt>
                <c:pt idx="902">
                  <c:v>44510</c:v>
                </c:pt>
                <c:pt idx="903">
                  <c:v>44511</c:v>
                </c:pt>
                <c:pt idx="904">
                  <c:v>44512</c:v>
                </c:pt>
                <c:pt idx="905">
                  <c:v>44515</c:v>
                </c:pt>
                <c:pt idx="906">
                  <c:v>44516</c:v>
                </c:pt>
                <c:pt idx="907">
                  <c:v>44517</c:v>
                </c:pt>
                <c:pt idx="908">
                  <c:v>44518</c:v>
                </c:pt>
                <c:pt idx="909">
                  <c:v>44519</c:v>
                </c:pt>
                <c:pt idx="910">
                  <c:v>44522</c:v>
                </c:pt>
                <c:pt idx="911">
                  <c:v>44523</c:v>
                </c:pt>
                <c:pt idx="912">
                  <c:v>44524</c:v>
                </c:pt>
                <c:pt idx="913">
                  <c:v>44525</c:v>
                </c:pt>
                <c:pt idx="914">
                  <c:v>44526</c:v>
                </c:pt>
                <c:pt idx="915">
                  <c:v>44529</c:v>
                </c:pt>
                <c:pt idx="916">
                  <c:v>44530</c:v>
                </c:pt>
                <c:pt idx="917">
                  <c:v>44531</c:v>
                </c:pt>
                <c:pt idx="918">
                  <c:v>44532</c:v>
                </c:pt>
                <c:pt idx="919">
                  <c:v>44533</c:v>
                </c:pt>
                <c:pt idx="920">
                  <c:v>44536</c:v>
                </c:pt>
                <c:pt idx="921">
                  <c:v>44537</c:v>
                </c:pt>
                <c:pt idx="922">
                  <c:v>44538</c:v>
                </c:pt>
                <c:pt idx="923">
                  <c:v>44539</c:v>
                </c:pt>
                <c:pt idx="924">
                  <c:v>44540</c:v>
                </c:pt>
                <c:pt idx="925">
                  <c:v>44543</c:v>
                </c:pt>
                <c:pt idx="926">
                  <c:v>44544</c:v>
                </c:pt>
                <c:pt idx="927">
                  <c:v>44545</c:v>
                </c:pt>
                <c:pt idx="928">
                  <c:v>44546</c:v>
                </c:pt>
                <c:pt idx="929">
                  <c:v>44547</c:v>
                </c:pt>
                <c:pt idx="930">
                  <c:v>44550</c:v>
                </c:pt>
                <c:pt idx="931">
                  <c:v>44551</c:v>
                </c:pt>
                <c:pt idx="932">
                  <c:v>44552</c:v>
                </c:pt>
                <c:pt idx="933">
                  <c:v>44553</c:v>
                </c:pt>
                <c:pt idx="934">
                  <c:v>44554</c:v>
                </c:pt>
                <c:pt idx="935">
                  <c:v>44557</c:v>
                </c:pt>
                <c:pt idx="936">
                  <c:v>44558</c:v>
                </c:pt>
                <c:pt idx="937">
                  <c:v>44559</c:v>
                </c:pt>
                <c:pt idx="938">
                  <c:v>44560</c:v>
                </c:pt>
                <c:pt idx="939">
                  <c:v>44561</c:v>
                </c:pt>
                <c:pt idx="940">
                  <c:v>44564</c:v>
                </c:pt>
                <c:pt idx="941">
                  <c:v>44565</c:v>
                </c:pt>
                <c:pt idx="942">
                  <c:v>44566</c:v>
                </c:pt>
                <c:pt idx="943">
                  <c:v>44567</c:v>
                </c:pt>
                <c:pt idx="944">
                  <c:v>44568</c:v>
                </c:pt>
                <c:pt idx="945">
                  <c:v>44571</c:v>
                </c:pt>
                <c:pt idx="946">
                  <c:v>44572</c:v>
                </c:pt>
                <c:pt idx="947">
                  <c:v>44573</c:v>
                </c:pt>
                <c:pt idx="948">
                  <c:v>44574</c:v>
                </c:pt>
                <c:pt idx="949">
                  <c:v>44575</c:v>
                </c:pt>
                <c:pt idx="950">
                  <c:v>44578</c:v>
                </c:pt>
                <c:pt idx="951">
                  <c:v>44579</c:v>
                </c:pt>
                <c:pt idx="952">
                  <c:v>44580</c:v>
                </c:pt>
                <c:pt idx="953">
                  <c:v>44581</c:v>
                </c:pt>
                <c:pt idx="954">
                  <c:v>44582</c:v>
                </c:pt>
                <c:pt idx="955">
                  <c:v>44585</c:v>
                </c:pt>
                <c:pt idx="956">
                  <c:v>44586</c:v>
                </c:pt>
                <c:pt idx="957">
                  <c:v>44587</c:v>
                </c:pt>
                <c:pt idx="958">
                  <c:v>44588</c:v>
                </c:pt>
                <c:pt idx="959">
                  <c:v>44589</c:v>
                </c:pt>
                <c:pt idx="960">
                  <c:v>44592</c:v>
                </c:pt>
                <c:pt idx="961">
                  <c:v>44593</c:v>
                </c:pt>
                <c:pt idx="962">
                  <c:v>44594</c:v>
                </c:pt>
                <c:pt idx="963">
                  <c:v>44595</c:v>
                </c:pt>
                <c:pt idx="964">
                  <c:v>44596</c:v>
                </c:pt>
                <c:pt idx="965">
                  <c:v>44599</c:v>
                </c:pt>
                <c:pt idx="966">
                  <c:v>44600</c:v>
                </c:pt>
                <c:pt idx="967">
                  <c:v>44601</c:v>
                </c:pt>
                <c:pt idx="968">
                  <c:v>44602</c:v>
                </c:pt>
                <c:pt idx="969">
                  <c:v>44603</c:v>
                </c:pt>
                <c:pt idx="970">
                  <c:v>44606</c:v>
                </c:pt>
                <c:pt idx="971">
                  <c:v>44607</c:v>
                </c:pt>
                <c:pt idx="972">
                  <c:v>44608</c:v>
                </c:pt>
                <c:pt idx="973">
                  <c:v>44609</c:v>
                </c:pt>
                <c:pt idx="974">
                  <c:v>44610</c:v>
                </c:pt>
                <c:pt idx="975">
                  <c:v>44613</c:v>
                </c:pt>
                <c:pt idx="976">
                  <c:v>44614</c:v>
                </c:pt>
                <c:pt idx="977">
                  <c:v>44615</c:v>
                </c:pt>
                <c:pt idx="978">
                  <c:v>44616</c:v>
                </c:pt>
                <c:pt idx="979">
                  <c:v>44617</c:v>
                </c:pt>
                <c:pt idx="980">
                  <c:v>44620</c:v>
                </c:pt>
                <c:pt idx="981">
                  <c:v>44621</c:v>
                </c:pt>
                <c:pt idx="982">
                  <c:v>44622</c:v>
                </c:pt>
                <c:pt idx="983">
                  <c:v>44623</c:v>
                </c:pt>
                <c:pt idx="984">
                  <c:v>44624</c:v>
                </c:pt>
                <c:pt idx="985">
                  <c:v>44627</c:v>
                </c:pt>
                <c:pt idx="986">
                  <c:v>44628</c:v>
                </c:pt>
                <c:pt idx="987">
                  <c:v>44629</c:v>
                </c:pt>
                <c:pt idx="988">
                  <c:v>44630</c:v>
                </c:pt>
                <c:pt idx="989">
                  <c:v>44631</c:v>
                </c:pt>
                <c:pt idx="990">
                  <c:v>44634</c:v>
                </c:pt>
                <c:pt idx="991">
                  <c:v>44635</c:v>
                </c:pt>
                <c:pt idx="992">
                  <c:v>44636</c:v>
                </c:pt>
                <c:pt idx="993">
                  <c:v>44637</c:v>
                </c:pt>
                <c:pt idx="994">
                  <c:v>44638</c:v>
                </c:pt>
                <c:pt idx="995">
                  <c:v>44641</c:v>
                </c:pt>
                <c:pt idx="996">
                  <c:v>44642</c:v>
                </c:pt>
                <c:pt idx="997">
                  <c:v>44643</c:v>
                </c:pt>
                <c:pt idx="998">
                  <c:v>44644</c:v>
                </c:pt>
                <c:pt idx="999">
                  <c:v>44645</c:v>
                </c:pt>
                <c:pt idx="1000">
                  <c:v>44648</c:v>
                </c:pt>
                <c:pt idx="1001">
                  <c:v>44649</c:v>
                </c:pt>
                <c:pt idx="1002">
                  <c:v>44650</c:v>
                </c:pt>
                <c:pt idx="1003">
                  <c:v>44651</c:v>
                </c:pt>
                <c:pt idx="1004">
                  <c:v>44652</c:v>
                </c:pt>
                <c:pt idx="1005">
                  <c:v>44655</c:v>
                </c:pt>
                <c:pt idx="1006">
                  <c:v>44656</c:v>
                </c:pt>
                <c:pt idx="1007">
                  <c:v>44657</c:v>
                </c:pt>
                <c:pt idx="1008">
                  <c:v>44658</c:v>
                </c:pt>
                <c:pt idx="1009">
                  <c:v>44659</c:v>
                </c:pt>
                <c:pt idx="1010">
                  <c:v>44662</c:v>
                </c:pt>
                <c:pt idx="1011">
                  <c:v>44663</c:v>
                </c:pt>
                <c:pt idx="1012">
                  <c:v>44664</c:v>
                </c:pt>
                <c:pt idx="1013">
                  <c:v>44665</c:v>
                </c:pt>
                <c:pt idx="1014">
                  <c:v>44670</c:v>
                </c:pt>
                <c:pt idx="1015">
                  <c:v>44671</c:v>
                </c:pt>
                <c:pt idx="1016">
                  <c:v>44672</c:v>
                </c:pt>
                <c:pt idx="1017">
                  <c:v>44673</c:v>
                </c:pt>
                <c:pt idx="1018">
                  <c:v>44676</c:v>
                </c:pt>
                <c:pt idx="1019">
                  <c:v>44677</c:v>
                </c:pt>
                <c:pt idx="1020">
                  <c:v>44678</c:v>
                </c:pt>
                <c:pt idx="1021">
                  <c:v>44679</c:v>
                </c:pt>
                <c:pt idx="1022">
                  <c:v>44680</c:v>
                </c:pt>
                <c:pt idx="1023">
                  <c:v>44683</c:v>
                </c:pt>
                <c:pt idx="1024">
                  <c:v>44684</c:v>
                </c:pt>
                <c:pt idx="1025">
                  <c:v>44685</c:v>
                </c:pt>
                <c:pt idx="1026">
                  <c:v>44686</c:v>
                </c:pt>
                <c:pt idx="1027">
                  <c:v>44687</c:v>
                </c:pt>
                <c:pt idx="1028">
                  <c:v>44690</c:v>
                </c:pt>
                <c:pt idx="1029">
                  <c:v>44691</c:v>
                </c:pt>
                <c:pt idx="1030">
                  <c:v>44692</c:v>
                </c:pt>
                <c:pt idx="1031">
                  <c:v>44693</c:v>
                </c:pt>
                <c:pt idx="1032">
                  <c:v>44694</c:v>
                </c:pt>
                <c:pt idx="1033">
                  <c:v>44697</c:v>
                </c:pt>
                <c:pt idx="1034">
                  <c:v>44698</c:v>
                </c:pt>
                <c:pt idx="1035">
                  <c:v>44699</c:v>
                </c:pt>
                <c:pt idx="1036">
                  <c:v>44700</c:v>
                </c:pt>
                <c:pt idx="1037">
                  <c:v>44701</c:v>
                </c:pt>
                <c:pt idx="1038">
                  <c:v>44704</c:v>
                </c:pt>
                <c:pt idx="1039">
                  <c:v>44705</c:v>
                </c:pt>
                <c:pt idx="1040">
                  <c:v>44706</c:v>
                </c:pt>
                <c:pt idx="1041">
                  <c:v>44707</c:v>
                </c:pt>
                <c:pt idx="1042">
                  <c:v>44708</c:v>
                </c:pt>
                <c:pt idx="1043">
                  <c:v>44711</c:v>
                </c:pt>
                <c:pt idx="1044">
                  <c:v>44712</c:v>
                </c:pt>
                <c:pt idx="1045">
                  <c:v>44713</c:v>
                </c:pt>
                <c:pt idx="1046">
                  <c:v>44714</c:v>
                </c:pt>
                <c:pt idx="1047">
                  <c:v>44715</c:v>
                </c:pt>
                <c:pt idx="1048">
                  <c:v>44718</c:v>
                </c:pt>
                <c:pt idx="1049">
                  <c:v>44719</c:v>
                </c:pt>
                <c:pt idx="1050">
                  <c:v>44720</c:v>
                </c:pt>
                <c:pt idx="1051">
                  <c:v>44721</c:v>
                </c:pt>
                <c:pt idx="1052">
                  <c:v>44722</c:v>
                </c:pt>
                <c:pt idx="1053">
                  <c:v>44725</c:v>
                </c:pt>
                <c:pt idx="1054">
                  <c:v>44726</c:v>
                </c:pt>
                <c:pt idx="1055">
                  <c:v>44727</c:v>
                </c:pt>
                <c:pt idx="1056">
                  <c:v>44728</c:v>
                </c:pt>
                <c:pt idx="1057">
                  <c:v>44729</c:v>
                </c:pt>
                <c:pt idx="1058">
                  <c:v>44732</c:v>
                </c:pt>
                <c:pt idx="1059">
                  <c:v>44733</c:v>
                </c:pt>
                <c:pt idx="1060">
                  <c:v>44734</c:v>
                </c:pt>
                <c:pt idx="1061">
                  <c:v>44735</c:v>
                </c:pt>
                <c:pt idx="1062">
                  <c:v>44736</c:v>
                </c:pt>
                <c:pt idx="1063">
                  <c:v>44739</c:v>
                </c:pt>
                <c:pt idx="1064">
                  <c:v>44740</c:v>
                </c:pt>
                <c:pt idx="1065">
                  <c:v>44741</c:v>
                </c:pt>
                <c:pt idx="1066">
                  <c:v>44742</c:v>
                </c:pt>
                <c:pt idx="1067">
                  <c:v>44743</c:v>
                </c:pt>
                <c:pt idx="1068">
                  <c:v>44746</c:v>
                </c:pt>
                <c:pt idx="1069">
                  <c:v>44747</c:v>
                </c:pt>
                <c:pt idx="1070">
                  <c:v>44748</c:v>
                </c:pt>
                <c:pt idx="1071">
                  <c:v>44749</c:v>
                </c:pt>
                <c:pt idx="1072">
                  <c:v>44750</c:v>
                </c:pt>
                <c:pt idx="1073">
                  <c:v>44753</c:v>
                </c:pt>
                <c:pt idx="1074">
                  <c:v>44754</c:v>
                </c:pt>
                <c:pt idx="1075">
                  <c:v>44755</c:v>
                </c:pt>
                <c:pt idx="1076">
                  <c:v>44756</c:v>
                </c:pt>
                <c:pt idx="1077">
                  <c:v>44757</c:v>
                </c:pt>
                <c:pt idx="1078">
                  <c:v>44760</c:v>
                </c:pt>
                <c:pt idx="1079">
                  <c:v>44761</c:v>
                </c:pt>
                <c:pt idx="1080">
                  <c:v>44762</c:v>
                </c:pt>
                <c:pt idx="1081">
                  <c:v>44763</c:v>
                </c:pt>
                <c:pt idx="1082">
                  <c:v>44764</c:v>
                </c:pt>
                <c:pt idx="1083">
                  <c:v>44767</c:v>
                </c:pt>
                <c:pt idx="1084">
                  <c:v>44768</c:v>
                </c:pt>
                <c:pt idx="1085">
                  <c:v>44769</c:v>
                </c:pt>
                <c:pt idx="1086">
                  <c:v>44770</c:v>
                </c:pt>
                <c:pt idx="1087">
                  <c:v>44771</c:v>
                </c:pt>
                <c:pt idx="1088">
                  <c:v>44774</c:v>
                </c:pt>
                <c:pt idx="1089">
                  <c:v>44775</c:v>
                </c:pt>
                <c:pt idx="1090">
                  <c:v>44776</c:v>
                </c:pt>
                <c:pt idx="1091">
                  <c:v>44777</c:v>
                </c:pt>
                <c:pt idx="1092">
                  <c:v>44778</c:v>
                </c:pt>
                <c:pt idx="1093">
                  <c:v>44781</c:v>
                </c:pt>
                <c:pt idx="1094">
                  <c:v>44782</c:v>
                </c:pt>
                <c:pt idx="1095">
                  <c:v>44783</c:v>
                </c:pt>
                <c:pt idx="1096">
                  <c:v>44784</c:v>
                </c:pt>
                <c:pt idx="1097">
                  <c:v>44785</c:v>
                </c:pt>
                <c:pt idx="1098">
                  <c:v>44788</c:v>
                </c:pt>
                <c:pt idx="1099">
                  <c:v>44789</c:v>
                </c:pt>
                <c:pt idx="1100">
                  <c:v>44790</c:v>
                </c:pt>
                <c:pt idx="1101">
                  <c:v>44791</c:v>
                </c:pt>
                <c:pt idx="1102">
                  <c:v>44792</c:v>
                </c:pt>
                <c:pt idx="1103">
                  <c:v>44795</c:v>
                </c:pt>
                <c:pt idx="1104">
                  <c:v>44796</c:v>
                </c:pt>
                <c:pt idx="1105">
                  <c:v>44797</c:v>
                </c:pt>
                <c:pt idx="1106">
                  <c:v>44798</c:v>
                </c:pt>
                <c:pt idx="1107">
                  <c:v>44799</c:v>
                </c:pt>
                <c:pt idx="1108">
                  <c:v>44802</c:v>
                </c:pt>
                <c:pt idx="1109">
                  <c:v>44803</c:v>
                </c:pt>
                <c:pt idx="1110">
                  <c:v>44804</c:v>
                </c:pt>
                <c:pt idx="1111">
                  <c:v>44805</c:v>
                </c:pt>
                <c:pt idx="1112">
                  <c:v>44806</c:v>
                </c:pt>
                <c:pt idx="1113">
                  <c:v>44809</c:v>
                </c:pt>
                <c:pt idx="1114">
                  <c:v>44810</c:v>
                </c:pt>
                <c:pt idx="1115">
                  <c:v>44811</c:v>
                </c:pt>
                <c:pt idx="1116">
                  <c:v>44812</c:v>
                </c:pt>
                <c:pt idx="1117">
                  <c:v>44813</c:v>
                </c:pt>
                <c:pt idx="1118">
                  <c:v>44816</c:v>
                </c:pt>
                <c:pt idx="1119">
                  <c:v>44817</c:v>
                </c:pt>
                <c:pt idx="1120">
                  <c:v>44818</c:v>
                </c:pt>
                <c:pt idx="1121">
                  <c:v>44819</c:v>
                </c:pt>
                <c:pt idx="1122">
                  <c:v>44820</c:v>
                </c:pt>
                <c:pt idx="1123">
                  <c:v>44823</c:v>
                </c:pt>
                <c:pt idx="1124">
                  <c:v>44824</c:v>
                </c:pt>
                <c:pt idx="1125">
                  <c:v>44825</c:v>
                </c:pt>
                <c:pt idx="1126">
                  <c:v>44826</c:v>
                </c:pt>
                <c:pt idx="1127">
                  <c:v>44827</c:v>
                </c:pt>
                <c:pt idx="1128">
                  <c:v>44830</c:v>
                </c:pt>
                <c:pt idx="1129">
                  <c:v>44831</c:v>
                </c:pt>
                <c:pt idx="1130">
                  <c:v>44832</c:v>
                </c:pt>
                <c:pt idx="1131">
                  <c:v>44833</c:v>
                </c:pt>
                <c:pt idx="1132">
                  <c:v>44834</c:v>
                </c:pt>
                <c:pt idx="1133">
                  <c:v>44837</c:v>
                </c:pt>
                <c:pt idx="1134">
                  <c:v>44838</c:v>
                </c:pt>
                <c:pt idx="1135">
                  <c:v>44839</c:v>
                </c:pt>
                <c:pt idx="1136">
                  <c:v>44840</c:v>
                </c:pt>
                <c:pt idx="1137">
                  <c:v>44841</c:v>
                </c:pt>
                <c:pt idx="1138">
                  <c:v>44844</c:v>
                </c:pt>
                <c:pt idx="1139">
                  <c:v>44845</c:v>
                </c:pt>
                <c:pt idx="1140">
                  <c:v>44846</c:v>
                </c:pt>
                <c:pt idx="1141">
                  <c:v>44847</c:v>
                </c:pt>
                <c:pt idx="1142">
                  <c:v>44848</c:v>
                </c:pt>
                <c:pt idx="1143">
                  <c:v>44851</c:v>
                </c:pt>
                <c:pt idx="1144">
                  <c:v>44852</c:v>
                </c:pt>
                <c:pt idx="1145">
                  <c:v>44853</c:v>
                </c:pt>
                <c:pt idx="1146">
                  <c:v>44854</c:v>
                </c:pt>
                <c:pt idx="1147">
                  <c:v>44855</c:v>
                </c:pt>
                <c:pt idx="1148">
                  <c:v>44858</c:v>
                </c:pt>
                <c:pt idx="1149">
                  <c:v>44859</c:v>
                </c:pt>
                <c:pt idx="1150">
                  <c:v>44860</c:v>
                </c:pt>
                <c:pt idx="1151">
                  <c:v>44861</c:v>
                </c:pt>
                <c:pt idx="1152">
                  <c:v>44862</c:v>
                </c:pt>
                <c:pt idx="1153">
                  <c:v>44865</c:v>
                </c:pt>
                <c:pt idx="1154">
                  <c:v>44866</c:v>
                </c:pt>
                <c:pt idx="1155">
                  <c:v>44867</c:v>
                </c:pt>
                <c:pt idx="1156">
                  <c:v>44868</c:v>
                </c:pt>
                <c:pt idx="1157">
                  <c:v>44869</c:v>
                </c:pt>
                <c:pt idx="1158">
                  <c:v>44872</c:v>
                </c:pt>
                <c:pt idx="1159">
                  <c:v>44873</c:v>
                </c:pt>
                <c:pt idx="1160">
                  <c:v>44874</c:v>
                </c:pt>
                <c:pt idx="1161">
                  <c:v>44875</c:v>
                </c:pt>
                <c:pt idx="1162">
                  <c:v>44876</c:v>
                </c:pt>
                <c:pt idx="1163">
                  <c:v>44879</c:v>
                </c:pt>
                <c:pt idx="1164">
                  <c:v>44880</c:v>
                </c:pt>
                <c:pt idx="1165">
                  <c:v>44881</c:v>
                </c:pt>
                <c:pt idx="1166">
                  <c:v>44882</c:v>
                </c:pt>
                <c:pt idx="1167">
                  <c:v>44883</c:v>
                </c:pt>
                <c:pt idx="1168">
                  <c:v>44886</c:v>
                </c:pt>
                <c:pt idx="1169">
                  <c:v>44887</c:v>
                </c:pt>
                <c:pt idx="1170">
                  <c:v>44888</c:v>
                </c:pt>
                <c:pt idx="1171">
                  <c:v>44889</c:v>
                </c:pt>
                <c:pt idx="1172">
                  <c:v>44890</c:v>
                </c:pt>
                <c:pt idx="1173">
                  <c:v>44893</c:v>
                </c:pt>
                <c:pt idx="1174">
                  <c:v>44894</c:v>
                </c:pt>
                <c:pt idx="1175">
                  <c:v>44895</c:v>
                </c:pt>
                <c:pt idx="1176">
                  <c:v>44896</c:v>
                </c:pt>
                <c:pt idx="1177">
                  <c:v>44897</c:v>
                </c:pt>
                <c:pt idx="1178">
                  <c:v>44900</c:v>
                </c:pt>
                <c:pt idx="1179">
                  <c:v>44901</c:v>
                </c:pt>
                <c:pt idx="1180">
                  <c:v>44902</c:v>
                </c:pt>
                <c:pt idx="1181">
                  <c:v>44903</c:v>
                </c:pt>
                <c:pt idx="1182">
                  <c:v>44904</c:v>
                </c:pt>
                <c:pt idx="1183">
                  <c:v>44907</c:v>
                </c:pt>
                <c:pt idx="1184">
                  <c:v>44908</c:v>
                </c:pt>
                <c:pt idx="1185">
                  <c:v>44909</c:v>
                </c:pt>
                <c:pt idx="1186">
                  <c:v>44910</c:v>
                </c:pt>
                <c:pt idx="1187">
                  <c:v>44911</c:v>
                </c:pt>
                <c:pt idx="1188">
                  <c:v>44914</c:v>
                </c:pt>
                <c:pt idx="1189">
                  <c:v>44915</c:v>
                </c:pt>
                <c:pt idx="1190">
                  <c:v>44916</c:v>
                </c:pt>
                <c:pt idx="1191">
                  <c:v>44917</c:v>
                </c:pt>
                <c:pt idx="1192">
                  <c:v>44918</c:v>
                </c:pt>
                <c:pt idx="1193">
                  <c:v>44922</c:v>
                </c:pt>
                <c:pt idx="1194">
                  <c:v>44923</c:v>
                </c:pt>
                <c:pt idx="1195">
                  <c:v>44924</c:v>
                </c:pt>
                <c:pt idx="1196">
                  <c:v>44925</c:v>
                </c:pt>
                <c:pt idx="1197">
                  <c:v>44928</c:v>
                </c:pt>
                <c:pt idx="1198">
                  <c:v>44929</c:v>
                </c:pt>
                <c:pt idx="1199">
                  <c:v>44930</c:v>
                </c:pt>
                <c:pt idx="1200">
                  <c:v>44931</c:v>
                </c:pt>
                <c:pt idx="1201">
                  <c:v>44932</c:v>
                </c:pt>
                <c:pt idx="1202">
                  <c:v>44935</c:v>
                </c:pt>
                <c:pt idx="1203">
                  <c:v>44936</c:v>
                </c:pt>
                <c:pt idx="1204">
                  <c:v>44937</c:v>
                </c:pt>
                <c:pt idx="1205">
                  <c:v>44938</c:v>
                </c:pt>
                <c:pt idx="1206">
                  <c:v>44939</c:v>
                </c:pt>
                <c:pt idx="1207">
                  <c:v>44942</c:v>
                </c:pt>
                <c:pt idx="1208">
                  <c:v>44943</c:v>
                </c:pt>
                <c:pt idx="1209">
                  <c:v>44944</c:v>
                </c:pt>
                <c:pt idx="1210">
                  <c:v>44945</c:v>
                </c:pt>
                <c:pt idx="1211">
                  <c:v>44946</c:v>
                </c:pt>
                <c:pt idx="1212">
                  <c:v>44949</c:v>
                </c:pt>
                <c:pt idx="1213">
                  <c:v>44950</c:v>
                </c:pt>
                <c:pt idx="1214">
                  <c:v>44951</c:v>
                </c:pt>
                <c:pt idx="1215">
                  <c:v>44952</c:v>
                </c:pt>
                <c:pt idx="1216">
                  <c:v>44953</c:v>
                </c:pt>
                <c:pt idx="1217">
                  <c:v>44956</c:v>
                </c:pt>
                <c:pt idx="1218">
                  <c:v>44957</c:v>
                </c:pt>
                <c:pt idx="1219">
                  <c:v>44958</c:v>
                </c:pt>
                <c:pt idx="1220">
                  <c:v>44959</c:v>
                </c:pt>
                <c:pt idx="1221">
                  <c:v>44960</c:v>
                </c:pt>
                <c:pt idx="1222">
                  <c:v>44963</c:v>
                </c:pt>
                <c:pt idx="1223">
                  <c:v>44964</c:v>
                </c:pt>
                <c:pt idx="1224">
                  <c:v>44965</c:v>
                </c:pt>
                <c:pt idx="1225">
                  <c:v>44966</c:v>
                </c:pt>
                <c:pt idx="1226">
                  <c:v>44967</c:v>
                </c:pt>
                <c:pt idx="1227">
                  <c:v>44970</c:v>
                </c:pt>
                <c:pt idx="1228">
                  <c:v>44971</c:v>
                </c:pt>
                <c:pt idx="1229">
                  <c:v>44972</c:v>
                </c:pt>
                <c:pt idx="1230">
                  <c:v>44973</c:v>
                </c:pt>
                <c:pt idx="1231">
                  <c:v>44974</c:v>
                </c:pt>
                <c:pt idx="1232">
                  <c:v>44977</c:v>
                </c:pt>
                <c:pt idx="1233">
                  <c:v>44978</c:v>
                </c:pt>
                <c:pt idx="1234">
                  <c:v>44979</c:v>
                </c:pt>
                <c:pt idx="1235">
                  <c:v>44980</c:v>
                </c:pt>
                <c:pt idx="1236">
                  <c:v>44981</c:v>
                </c:pt>
                <c:pt idx="1237">
                  <c:v>44984</c:v>
                </c:pt>
                <c:pt idx="1238">
                  <c:v>44985</c:v>
                </c:pt>
                <c:pt idx="1239">
                  <c:v>44986</c:v>
                </c:pt>
                <c:pt idx="1240">
                  <c:v>44987</c:v>
                </c:pt>
                <c:pt idx="1241">
                  <c:v>44988</c:v>
                </c:pt>
                <c:pt idx="1242">
                  <c:v>44991</c:v>
                </c:pt>
                <c:pt idx="1243">
                  <c:v>44992</c:v>
                </c:pt>
                <c:pt idx="1244">
                  <c:v>44993</c:v>
                </c:pt>
                <c:pt idx="1245">
                  <c:v>44994</c:v>
                </c:pt>
                <c:pt idx="1246">
                  <c:v>44995</c:v>
                </c:pt>
                <c:pt idx="1247">
                  <c:v>44998</c:v>
                </c:pt>
                <c:pt idx="1248">
                  <c:v>44999</c:v>
                </c:pt>
                <c:pt idx="1249">
                  <c:v>45000</c:v>
                </c:pt>
                <c:pt idx="1250">
                  <c:v>45001</c:v>
                </c:pt>
                <c:pt idx="1251">
                  <c:v>45002</c:v>
                </c:pt>
                <c:pt idx="1252">
                  <c:v>45005</c:v>
                </c:pt>
                <c:pt idx="1253">
                  <c:v>45006</c:v>
                </c:pt>
                <c:pt idx="1254">
                  <c:v>45007</c:v>
                </c:pt>
                <c:pt idx="1255">
                  <c:v>45008</c:v>
                </c:pt>
                <c:pt idx="1256">
                  <c:v>45009</c:v>
                </c:pt>
                <c:pt idx="1257">
                  <c:v>45012</c:v>
                </c:pt>
                <c:pt idx="1258">
                  <c:v>45013</c:v>
                </c:pt>
                <c:pt idx="1259">
                  <c:v>45014</c:v>
                </c:pt>
                <c:pt idx="1260">
                  <c:v>45015</c:v>
                </c:pt>
                <c:pt idx="1261">
                  <c:v>45016</c:v>
                </c:pt>
                <c:pt idx="1262">
                  <c:v>45019</c:v>
                </c:pt>
                <c:pt idx="1263">
                  <c:v>45020</c:v>
                </c:pt>
                <c:pt idx="1264">
                  <c:v>45021</c:v>
                </c:pt>
                <c:pt idx="1265">
                  <c:v>45022</c:v>
                </c:pt>
                <c:pt idx="1266">
                  <c:v>45027</c:v>
                </c:pt>
                <c:pt idx="1267">
                  <c:v>45028</c:v>
                </c:pt>
                <c:pt idx="1268">
                  <c:v>45029</c:v>
                </c:pt>
                <c:pt idx="1269">
                  <c:v>45030</c:v>
                </c:pt>
                <c:pt idx="1270">
                  <c:v>45033</c:v>
                </c:pt>
                <c:pt idx="1271">
                  <c:v>45034</c:v>
                </c:pt>
                <c:pt idx="1272">
                  <c:v>45035</c:v>
                </c:pt>
                <c:pt idx="1273">
                  <c:v>45036</c:v>
                </c:pt>
                <c:pt idx="1274">
                  <c:v>45037</c:v>
                </c:pt>
                <c:pt idx="1275">
                  <c:v>45040</c:v>
                </c:pt>
                <c:pt idx="1276">
                  <c:v>45041</c:v>
                </c:pt>
                <c:pt idx="1277">
                  <c:v>45042</c:v>
                </c:pt>
                <c:pt idx="1278">
                  <c:v>45043</c:v>
                </c:pt>
                <c:pt idx="1279">
                  <c:v>45044</c:v>
                </c:pt>
                <c:pt idx="1280">
                  <c:v>45048</c:v>
                </c:pt>
                <c:pt idx="1281">
                  <c:v>45049</c:v>
                </c:pt>
                <c:pt idx="1282">
                  <c:v>45050</c:v>
                </c:pt>
                <c:pt idx="1283">
                  <c:v>45051</c:v>
                </c:pt>
                <c:pt idx="1284">
                  <c:v>45054</c:v>
                </c:pt>
                <c:pt idx="1285">
                  <c:v>45055</c:v>
                </c:pt>
                <c:pt idx="1286">
                  <c:v>45056</c:v>
                </c:pt>
                <c:pt idx="1287">
                  <c:v>45057</c:v>
                </c:pt>
                <c:pt idx="1288">
                  <c:v>45058</c:v>
                </c:pt>
                <c:pt idx="1289">
                  <c:v>45061</c:v>
                </c:pt>
                <c:pt idx="1290">
                  <c:v>45062</c:v>
                </c:pt>
                <c:pt idx="1291">
                  <c:v>45063</c:v>
                </c:pt>
                <c:pt idx="1292">
                  <c:v>45064</c:v>
                </c:pt>
                <c:pt idx="1293">
                  <c:v>45065</c:v>
                </c:pt>
                <c:pt idx="1294">
                  <c:v>45068</c:v>
                </c:pt>
                <c:pt idx="1295">
                  <c:v>45069</c:v>
                </c:pt>
                <c:pt idx="1296">
                  <c:v>45070</c:v>
                </c:pt>
                <c:pt idx="1297">
                  <c:v>45071</c:v>
                </c:pt>
                <c:pt idx="1298">
                  <c:v>45072</c:v>
                </c:pt>
                <c:pt idx="1299">
                  <c:v>45075</c:v>
                </c:pt>
                <c:pt idx="1300">
                  <c:v>45076</c:v>
                </c:pt>
                <c:pt idx="1301">
                  <c:v>45077</c:v>
                </c:pt>
                <c:pt idx="1302">
                  <c:v>45078</c:v>
                </c:pt>
                <c:pt idx="1303">
                  <c:v>45079</c:v>
                </c:pt>
                <c:pt idx="1304">
                  <c:v>45082</c:v>
                </c:pt>
                <c:pt idx="1305">
                  <c:v>45083</c:v>
                </c:pt>
                <c:pt idx="1306">
                  <c:v>45084</c:v>
                </c:pt>
                <c:pt idx="1307">
                  <c:v>45085</c:v>
                </c:pt>
                <c:pt idx="1308">
                  <c:v>45086</c:v>
                </c:pt>
                <c:pt idx="1309">
                  <c:v>45089</c:v>
                </c:pt>
                <c:pt idx="1310">
                  <c:v>45090</c:v>
                </c:pt>
                <c:pt idx="1311">
                  <c:v>45091</c:v>
                </c:pt>
                <c:pt idx="1312">
                  <c:v>45092</c:v>
                </c:pt>
                <c:pt idx="1313">
                  <c:v>45093</c:v>
                </c:pt>
                <c:pt idx="1314">
                  <c:v>45096</c:v>
                </c:pt>
                <c:pt idx="1315">
                  <c:v>45097</c:v>
                </c:pt>
                <c:pt idx="1316">
                  <c:v>45098</c:v>
                </c:pt>
                <c:pt idx="1317">
                  <c:v>45099</c:v>
                </c:pt>
                <c:pt idx="1318">
                  <c:v>45100</c:v>
                </c:pt>
                <c:pt idx="1319">
                  <c:v>45103</c:v>
                </c:pt>
                <c:pt idx="1320">
                  <c:v>45104</c:v>
                </c:pt>
                <c:pt idx="1321">
                  <c:v>45105</c:v>
                </c:pt>
                <c:pt idx="1322">
                  <c:v>45106</c:v>
                </c:pt>
                <c:pt idx="1323">
                  <c:v>45107</c:v>
                </c:pt>
                <c:pt idx="1324">
                  <c:v>45110</c:v>
                </c:pt>
                <c:pt idx="1325">
                  <c:v>45111</c:v>
                </c:pt>
                <c:pt idx="1326">
                  <c:v>45112</c:v>
                </c:pt>
                <c:pt idx="1327">
                  <c:v>45113</c:v>
                </c:pt>
                <c:pt idx="1328">
                  <c:v>45114</c:v>
                </c:pt>
                <c:pt idx="1329">
                  <c:v>45117</c:v>
                </c:pt>
                <c:pt idx="1330">
                  <c:v>45118</c:v>
                </c:pt>
                <c:pt idx="1331">
                  <c:v>45119</c:v>
                </c:pt>
                <c:pt idx="1332">
                  <c:v>45120</c:v>
                </c:pt>
                <c:pt idx="1333">
                  <c:v>45121</c:v>
                </c:pt>
                <c:pt idx="1334">
                  <c:v>45124</c:v>
                </c:pt>
                <c:pt idx="1335">
                  <c:v>45125</c:v>
                </c:pt>
                <c:pt idx="1336">
                  <c:v>45126</c:v>
                </c:pt>
                <c:pt idx="1337">
                  <c:v>45127</c:v>
                </c:pt>
                <c:pt idx="1338">
                  <c:v>45128</c:v>
                </c:pt>
                <c:pt idx="1339">
                  <c:v>45131</c:v>
                </c:pt>
                <c:pt idx="1340">
                  <c:v>45132</c:v>
                </c:pt>
                <c:pt idx="1341">
                  <c:v>45133</c:v>
                </c:pt>
                <c:pt idx="1342">
                  <c:v>45134</c:v>
                </c:pt>
                <c:pt idx="1343">
                  <c:v>45135</c:v>
                </c:pt>
                <c:pt idx="1344">
                  <c:v>45138</c:v>
                </c:pt>
                <c:pt idx="1345">
                  <c:v>45139</c:v>
                </c:pt>
                <c:pt idx="1346">
                  <c:v>45140</c:v>
                </c:pt>
                <c:pt idx="1347">
                  <c:v>45141</c:v>
                </c:pt>
                <c:pt idx="1348">
                  <c:v>45142</c:v>
                </c:pt>
                <c:pt idx="1349">
                  <c:v>45145</c:v>
                </c:pt>
                <c:pt idx="1350">
                  <c:v>45146</c:v>
                </c:pt>
                <c:pt idx="1351">
                  <c:v>45147</c:v>
                </c:pt>
                <c:pt idx="1352">
                  <c:v>45148</c:v>
                </c:pt>
                <c:pt idx="1353">
                  <c:v>45149</c:v>
                </c:pt>
                <c:pt idx="1354">
                  <c:v>45152</c:v>
                </c:pt>
                <c:pt idx="1355">
                  <c:v>45153</c:v>
                </c:pt>
                <c:pt idx="1356">
                  <c:v>45154</c:v>
                </c:pt>
                <c:pt idx="1357">
                  <c:v>45155</c:v>
                </c:pt>
                <c:pt idx="1358">
                  <c:v>45156</c:v>
                </c:pt>
                <c:pt idx="1359">
                  <c:v>45159</c:v>
                </c:pt>
                <c:pt idx="1360">
                  <c:v>45160</c:v>
                </c:pt>
                <c:pt idx="1361">
                  <c:v>45161</c:v>
                </c:pt>
                <c:pt idx="1362">
                  <c:v>45162</c:v>
                </c:pt>
                <c:pt idx="1363">
                  <c:v>45163</c:v>
                </c:pt>
                <c:pt idx="1364">
                  <c:v>45166</c:v>
                </c:pt>
                <c:pt idx="1365">
                  <c:v>45167</c:v>
                </c:pt>
                <c:pt idx="1366">
                  <c:v>45168</c:v>
                </c:pt>
                <c:pt idx="1367">
                  <c:v>45169</c:v>
                </c:pt>
                <c:pt idx="1368">
                  <c:v>45170</c:v>
                </c:pt>
                <c:pt idx="1369">
                  <c:v>45173</c:v>
                </c:pt>
                <c:pt idx="1370">
                  <c:v>45174</c:v>
                </c:pt>
                <c:pt idx="1371">
                  <c:v>45175</c:v>
                </c:pt>
                <c:pt idx="1372">
                  <c:v>45176</c:v>
                </c:pt>
                <c:pt idx="1373">
                  <c:v>45177</c:v>
                </c:pt>
                <c:pt idx="1374">
                  <c:v>45180</c:v>
                </c:pt>
                <c:pt idx="1375">
                  <c:v>45181</c:v>
                </c:pt>
                <c:pt idx="1376">
                  <c:v>45182</c:v>
                </c:pt>
                <c:pt idx="1377">
                  <c:v>45183</c:v>
                </c:pt>
                <c:pt idx="1378">
                  <c:v>45184</c:v>
                </c:pt>
                <c:pt idx="1379">
                  <c:v>45187</c:v>
                </c:pt>
                <c:pt idx="1380">
                  <c:v>45188</c:v>
                </c:pt>
                <c:pt idx="1381">
                  <c:v>45189</c:v>
                </c:pt>
                <c:pt idx="1382">
                  <c:v>45190</c:v>
                </c:pt>
                <c:pt idx="1383">
                  <c:v>45191</c:v>
                </c:pt>
                <c:pt idx="1384">
                  <c:v>45194</c:v>
                </c:pt>
                <c:pt idx="1385">
                  <c:v>45195</c:v>
                </c:pt>
                <c:pt idx="1386">
                  <c:v>45196</c:v>
                </c:pt>
                <c:pt idx="1387">
                  <c:v>45197</c:v>
                </c:pt>
                <c:pt idx="1388">
                  <c:v>45198</c:v>
                </c:pt>
                <c:pt idx="1389">
                  <c:v>45201</c:v>
                </c:pt>
                <c:pt idx="1390">
                  <c:v>45202</c:v>
                </c:pt>
                <c:pt idx="1391">
                  <c:v>45203</c:v>
                </c:pt>
                <c:pt idx="1392">
                  <c:v>45204</c:v>
                </c:pt>
                <c:pt idx="1393">
                  <c:v>45205</c:v>
                </c:pt>
                <c:pt idx="1394">
                  <c:v>45208</c:v>
                </c:pt>
                <c:pt idx="1395">
                  <c:v>45209</c:v>
                </c:pt>
                <c:pt idx="1396">
                  <c:v>45210</c:v>
                </c:pt>
                <c:pt idx="1397">
                  <c:v>45211</c:v>
                </c:pt>
                <c:pt idx="1398">
                  <c:v>45212</c:v>
                </c:pt>
                <c:pt idx="1399">
                  <c:v>45215</c:v>
                </c:pt>
                <c:pt idx="1400">
                  <c:v>45216</c:v>
                </c:pt>
                <c:pt idx="1401">
                  <c:v>45217</c:v>
                </c:pt>
                <c:pt idx="1402">
                  <c:v>45218</c:v>
                </c:pt>
                <c:pt idx="1403">
                  <c:v>45219</c:v>
                </c:pt>
                <c:pt idx="1404">
                  <c:v>45222</c:v>
                </c:pt>
                <c:pt idx="1405">
                  <c:v>45223</c:v>
                </c:pt>
                <c:pt idx="1406">
                  <c:v>45224</c:v>
                </c:pt>
                <c:pt idx="1407">
                  <c:v>45225</c:v>
                </c:pt>
                <c:pt idx="1408">
                  <c:v>45226</c:v>
                </c:pt>
                <c:pt idx="1409">
                  <c:v>45229</c:v>
                </c:pt>
                <c:pt idx="1410">
                  <c:v>45230</c:v>
                </c:pt>
                <c:pt idx="1411">
                  <c:v>45231</c:v>
                </c:pt>
                <c:pt idx="1412">
                  <c:v>45232</c:v>
                </c:pt>
                <c:pt idx="1413">
                  <c:v>45233</c:v>
                </c:pt>
                <c:pt idx="1414">
                  <c:v>45236</c:v>
                </c:pt>
                <c:pt idx="1415">
                  <c:v>45237</c:v>
                </c:pt>
                <c:pt idx="1416">
                  <c:v>45238</c:v>
                </c:pt>
                <c:pt idx="1417">
                  <c:v>45239</c:v>
                </c:pt>
                <c:pt idx="1418">
                  <c:v>45240</c:v>
                </c:pt>
                <c:pt idx="1419">
                  <c:v>45243</c:v>
                </c:pt>
                <c:pt idx="1420">
                  <c:v>45244</c:v>
                </c:pt>
                <c:pt idx="1421">
                  <c:v>45245</c:v>
                </c:pt>
                <c:pt idx="1422">
                  <c:v>45246</c:v>
                </c:pt>
                <c:pt idx="1423">
                  <c:v>45247</c:v>
                </c:pt>
                <c:pt idx="1424">
                  <c:v>45250</c:v>
                </c:pt>
                <c:pt idx="1425">
                  <c:v>45251</c:v>
                </c:pt>
                <c:pt idx="1426">
                  <c:v>45252</c:v>
                </c:pt>
                <c:pt idx="1427">
                  <c:v>45253</c:v>
                </c:pt>
                <c:pt idx="1428">
                  <c:v>45254</c:v>
                </c:pt>
                <c:pt idx="1429">
                  <c:v>45257</c:v>
                </c:pt>
                <c:pt idx="1430">
                  <c:v>45258</c:v>
                </c:pt>
                <c:pt idx="1431">
                  <c:v>45259</c:v>
                </c:pt>
                <c:pt idx="1432">
                  <c:v>45260</c:v>
                </c:pt>
                <c:pt idx="1433">
                  <c:v>45261</c:v>
                </c:pt>
                <c:pt idx="1434">
                  <c:v>45264</c:v>
                </c:pt>
                <c:pt idx="1435">
                  <c:v>45265</c:v>
                </c:pt>
                <c:pt idx="1436">
                  <c:v>45266</c:v>
                </c:pt>
                <c:pt idx="1437">
                  <c:v>45267</c:v>
                </c:pt>
                <c:pt idx="1438">
                  <c:v>45268</c:v>
                </c:pt>
                <c:pt idx="1439">
                  <c:v>45271</c:v>
                </c:pt>
                <c:pt idx="1440">
                  <c:v>45272</c:v>
                </c:pt>
                <c:pt idx="1441">
                  <c:v>45273</c:v>
                </c:pt>
                <c:pt idx="1442">
                  <c:v>45274</c:v>
                </c:pt>
                <c:pt idx="1443">
                  <c:v>45275</c:v>
                </c:pt>
                <c:pt idx="1444">
                  <c:v>45278</c:v>
                </c:pt>
                <c:pt idx="1445">
                  <c:v>45279</c:v>
                </c:pt>
                <c:pt idx="1446">
                  <c:v>45280</c:v>
                </c:pt>
                <c:pt idx="1447">
                  <c:v>45281</c:v>
                </c:pt>
                <c:pt idx="1448">
                  <c:v>45282</c:v>
                </c:pt>
                <c:pt idx="1449">
                  <c:v>45287</c:v>
                </c:pt>
                <c:pt idx="1450">
                  <c:v>45288</c:v>
                </c:pt>
                <c:pt idx="1451">
                  <c:v>45289</c:v>
                </c:pt>
                <c:pt idx="1452">
                  <c:v>45293</c:v>
                </c:pt>
                <c:pt idx="1453">
                  <c:v>45294</c:v>
                </c:pt>
                <c:pt idx="1454">
                  <c:v>45295</c:v>
                </c:pt>
                <c:pt idx="1455">
                  <c:v>45296</c:v>
                </c:pt>
                <c:pt idx="1456">
                  <c:v>45299</c:v>
                </c:pt>
                <c:pt idx="1457">
                  <c:v>45300</c:v>
                </c:pt>
                <c:pt idx="1458">
                  <c:v>45301</c:v>
                </c:pt>
                <c:pt idx="1459">
                  <c:v>45302</c:v>
                </c:pt>
                <c:pt idx="1460">
                  <c:v>45303</c:v>
                </c:pt>
                <c:pt idx="1461">
                  <c:v>45306</c:v>
                </c:pt>
                <c:pt idx="1462">
                  <c:v>45307</c:v>
                </c:pt>
                <c:pt idx="1463">
                  <c:v>45308</c:v>
                </c:pt>
                <c:pt idx="1464">
                  <c:v>45309</c:v>
                </c:pt>
                <c:pt idx="1465">
                  <c:v>45310</c:v>
                </c:pt>
                <c:pt idx="1466">
                  <c:v>45313</c:v>
                </c:pt>
                <c:pt idx="1467">
                  <c:v>45314</c:v>
                </c:pt>
                <c:pt idx="1468">
                  <c:v>45315</c:v>
                </c:pt>
                <c:pt idx="1469">
                  <c:v>45316</c:v>
                </c:pt>
                <c:pt idx="1470">
                  <c:v>45317</c:v>
                </c:pt>
                <c:pt idx="1471">
                  <c:v>45320</c:v>
                </c:pt>
                <c:pt idx="1472">
                  <c:v>45321</c:v>
                </c:pt>
                <c:pt idx="1473">
                  <c:v>45322</c:v>
                </c:pt>
                <c:pt idx="1474">
                  <c:v>45323</c:v>
                </c:pt>
                <c:pt idx="1475">
                  <c:v>45324</c:v>
                </c:pt>
                <c:pt idx="1476">
                  <c:v>45327</c:v>
                </c:pt>
                <c:pt idx="1477">
                  <c:v>45328</c:v>
                </c:pt>
                <c:pt idx="1478">
                  <c:v>45329</c:v>
                </c:pt>
                <c:pt idx="1479">
                  <c:v>45330</c:v>
                </c:pt>
                <c:pt idx="1480">
                  <c:v>45331</c:v>
                </c:pt>
                <c:pt idx="1481">
                  <c:v>45334</c:v>
                </c:pt>
                <c:pt idx="1482">
                  <c:v>45335</c:v>
                </c:pt>
                <c:pt idx="1483">
                  <c:v>45336</c:v>
                </c:pt>
                <c:pt idx="1484">
                  <c:v>45337</c:v>
                </c:pt>
                <c:pt idx="1485">
                  <c:v>45338</c:v>
                </c:pt>
                <c:pt idx="1486">
                  <c:v>45341</c:v>
                </c:pt>
                <c:pt idx="1487">
                  <c:v>45342</c:v>
                </c:pt>
                <c:pt idx="1488">
                  <c:v>45343</c:v>
                </c:pt>
                <c:pt idx="1489">
                  <c:v>45344</c:v>
                </c:pt>
                <c:pt idx="1490">
                  <c:v>45345</c:v>
                </c:pt>
                <c:pt idx="1491">
                  <c:v>45348</c:v>
                </c:pt>
                <c:pt idx="1492">
                  <c:v>45349</c:v>
                </c:pt>
                <c:pt idx="1493">
                  <c:v>45350</c:v>
                </c:pt>
                <c:pt idx="1494">
                  <c:v>45351</c:v>
                </c:pt>
                <c:pt idx="1495">
                  <c:v>45352</c:v>
                </c:pt>
                <c:pt idx="1496">
                  <c:v>45355</c:v>
                </c:pt>
                <c:pt idx="1497">
                  <c:v>45356</c:v>
                </c:pt>
                <c:pt idx="1498">
                  <c:v>45357</c:v>
                </c:pt>
                <c:pt idx="1499">
                  <c:v>45358</c:v>
                </c:pt>
                <c:pt idx="1500">
                  <c:v>45359</c:v>
                </c:pt>
                <c:pt idx="1501">
                  <c:v>45362</c:v>
                </c:pt>
                <c:pt idx="1502">
                  <c:v>45363</c:v>
                </c:pt>
                <c:pt idx="1503">
                  <c:v>45364</c:v>
                </c:pt>
                <c:pt idx="1504">
                  <c:v>45365</c:v>
                </c:pt>
                <c:pt idx="1505">
                  <c:v>45366</c:v>
                </c:pt>
                <c:pt idx="1506">
                  <c:v>45369</c:v>
                </c:pt>
                <c:pt idx="1507">
                  <c:v>45370</c:v>
                </c:pt>
                <c:pt idx="1508">
                  <c:v>45371</c:v>
                </c:pt>
                <c:pt idx="1509">
                  <c:v>45372</c:v>
                </c:pt>
                <c:pt idx="1510">
                  <c:v>45373</c:v>
                </c:pt>
                <c:pt idx="1511">
                  <c:v>45376</c:v>
                </c:pt>
                <c:pt idx="1512">
                  <c:v>45377</c:v>
                </c:pt>
                <c:pt idx="1513">
                  <c:v>45378</c:v>
                </c:pt>
                <c:pt idx="1514">
                  <c:v>45379</c:v>
                </c:pt>
                <c:pt idx="1515">
                  <c:v>45384</c:v>
                </c:pt>
                <c:pt idx="1516">
                  <c:v>45385</c:v>
                </c:pt>
                <c:pt idx="1517">
                  <c:v>45386</c:v>
                </c:pt>
                <c:pt idx="1518">
                  <c:v>45387</c:v>
                </c:pt>
                <c:pt idx="1519">
                  <c:v>45390</c:v>
                </c:pt>
                <c:pt idx="1520">
                  <c:v>45391</c:v>
                </c:pt>
                <c:pt idx="1521">
                  <c:v>45392</c:v>
                </c:pt>
                <c:pt idx="1522">
                  <c:v>45393</c:v>
                </c:pt>
                <c:pt idx="1523">
                  <c:v>45394</c:v>
                </c:pt>
                <c:pt idx="1524">
                  <c:v>45397</c:v>
                </c:pt>
                <c:pt idx="1525">
                  <c:v>45398</c:v>
                </c:pt>
                <c:pt idx="1526">
                  <c:v>45399</c:v>
                </c:pt>
                <c:pt idx="1527">
                  <c:v>45400</c:v>
                </c:pt>
                <c:pt idx="1528">
                  <c:v>45401</c:v>
                </c:pt>
                <c:pt idx="1529">
                  <c:v>45404</c:v>
                </c:pt>
                <c:pt idx="1530">
                  <c:v>45405</c:v>
                </c:pt>
                <c:pt idx="1531">
                  <c:v>45406</c:v>
                </c:pt>
                <c:pt idx="1532">
                  <c:v>45407</c:v>
                </c:pt>
                <c:pt idx="1533">
                  <c:v>45408</c:v>
                </c:pt>
                <c:pt idx="1534">
                  <c:v>45411</c:v>
                </c:pt>
                <c:pt idx="1535">
                  <c:v>45412</c:v>
                </c:pt>
                <c:pt idx="1536">
                  <c:v>45414</c:v>
                </c:pt>
                <c:pt idx="1537">
                  <c:v>45415</c:v>
                </c:pt>
                <c:pt idx="1538">
                  <c:v>45418</c:v>
                </c:pt>
                <c:pt idx="1539">
                  <c:v>45419</c:v>
                </c:pt>
                <c:pt idx="1540">
                  <c:v>45420</c:v>
                </c:pt>
                <c:pt idx="1541">
                  <c:v>45421</c:v>
                </c:pt>
                <c:pt idx="1542">
                  <c:v>45422</c:v>
                </c:pt>
                <c:pt idx="1543">
                  <c:v>45425</c:v>
                </c:pt>
                <c:pt idx="1544">
                  <c:v>45426</c:v>
                </c:pt>
                <c:pt idx="1545">
                  <c:v>45427</c:v>
                </c:pt>
                <c:pt idx="1546">
                  <c:v>45428</c:v>
                </c:pt>
                <c:pt idx="1547">
                  <c:v>45429</c:v>
                </c:pt>
                <c:pt idx="1548">
                  <c:v>45432</c:v>
                </c:pt>
                <c:pt idx="1549">
                  <c:v>45433</c:v>
                </c:pt>
                <c:pt idx="1550">
                  <c:v>45434</c:v>
                </c:pt>
                <c:pt idx="1551">
                  <c:v>45435</c:v>
                </c:pt>
                <c:pt idx="1552">
                  <c:v>45436</c:v>
                </c:pt>
                <c:pt idx="1553">
                  <c:v>45439</c:v>
                </c:pt>
                <c:pt idx="1554">
                  <c:v>45440</c:v>
                </c:pt>
                <c:pt idx="1555">
                  <c:v>45441</c:v>
                </c:pt>
                <c:pt idx="1556">
                  <c:v>45442</c:v>
                </c:pt>
                <c:pt idx="1557">
                  <c:v>45443</c:v>
                </c:pt>
                <c:pt idx="1558">
                  <c:v>45446</c:v>
                </c:pt>
                <c:pt idx="1559">
                  <c:v>45447</c:v>
                </c:pt>
                <c:pt idx="1560">
                  <c:v>45448</c:v>
                </c:pt>
                <c:pt idx="1561">
                  <c:v>45449</c:v>
                </c:pt>
                <c:pt idx="1562">
                  <c:v>45450</c:v>
                </c:pt>
                <c:pt idx="1563">
                  <c:v>45453</c:v>
                </c:pt>
                <c:pt idx="1564">
                  <c:v>45454</c:v>
                </c:pt>
                <c:pt idx="1565">
                  <c:v>45455</c:v>
                </c:pt>
                <c:pt idx="1566">
                  <c:v>45456</c:v>
                </c:pt>
                <c:pt idx="1567">
                  <c:v>45457</c:v>
                </c:pt>
                <c:pt idx="1568">
                  <c:v>45460</c:v>
                </c:pt>
                <c:pt idx="1569">
                  <c:v>45461</c:v>
                </c:pt>
                <c:pt idx="1570">
                  <c:v>45462</c:v>
                </c:pt>
                <c:pt idx="1571">
                  <c:v>45463</c:v>
                </c:pt>
                <c:pt idx="1572">
                  <c:v>45464</c:v>
                </c:pt>
                <c:pt idx="1573">
                  <c:v>45467</c:v>
                </c:pt>
                <c:pt idx="1574">
                  <c:v>45468</c:v>
                </c:pt>
                <c:pt idx="1575">
                  <c:v>45469</c:v>
                </c:pt>
                <c:pt idx="1576">
                  <c:v>45470</c:v>
                </c:pt>
                <c:pt idx="1577">
                  <c:v>45471</c:v>
                </c:pt>
                <c:pt idx="1578">
                  <c:v>45474</c:v>
                </c:pt>
                <c:pt idx="1579">
                  <c:v>45475</c:v>
                </c:pt>
                <c:pt idx="1580">
                  <c:v>45476</c:v>
                </c:pt>
                <c:pt idx="1581">
                  <c:v>45477</c:v>
                </c:pt>
                <c:pt idx="1582">
                  <c:v>45478</c:v>
                </c:pt>
                <c:pt idx="1583">
                  <c:v>45481</c:v>
                </c:pt>
                <c:pt idx="1584">
                  <c:v>45482</c:v>
                </c:pt>
                <c:pt idx="1585">
                  <c:v>45483</c:v>
                </c:pt>
                <c:pt idx="1586">
                  <c:v>45484</c:v>
                </c:pt>
                <c:pt idx="1587">
                  <c:v>45485</c:v>
                </c:pt>
                <c:pt idx="1588">
                  <c:v>45488</c:v>
                </c:pt>
                <c:pt idx="1589">
                  <c:v>45489</c:v>
                </c:pt>
                <c:pt idx="1590">
                  <c:v>45490</c:v>
                </c:pt>
                <c:pt idx="1591">
                  <c:v>45491</c:v>
                </c:pt>
                <c:pt idx="1592">
                  <c:v>45492</c:v>
                </c:pt>
                <c:pt idx="1593">
                  <c:v>45495</c:v>
                </c:pt>
                <c:pt idx="1594">
                  <c:v>45496</c:v>
                </c:pt>
                <c:pt idx="1595">
                  <c:v>45497</c:v>
                </c:pt>
                <c:pt idx="1596">
                  <c:v>45498</c:v>
                </c:pt>
                <c:pt idx="1597">
                  <c:v>45499</c:v>
                </c:pt>
                <c:pt idx="1598">
                  <c:v>45502</c:v>
                </c:pt>
                <c:pt idx="1599">
                  <c:v>45503</c:v>
                </c:pt>
                <c:pt idx="1600">
                  <c:v>45504</c:v>
                </c:pt>
                <c:pt idx="1601">
                  <c:v>45505</c:v>
                </c:pt>
                <c:pt idx="1602">
                  <c:v>45506</c:v>
                </c:pt>
                <c:pt idx="1603">
                  <c:v>45509</c:v>
                </c:pt>
                <c:pt idx="1604">
                  <c:v>45510</c:v>
                </c:pt>
                <c:pt idx="1605">
                  <c:v>45511</c:v>
                </c:pt>
                <c:pt idx="1606">
                  <c:v>45512</c:v>
                </c:pt>
                <c:pt idx="1607">
                  <c:v>45513</c:v>
                </c:pt>
                <c:pt idx="1608">
                  <c:v>45516</c:v>
                </c:pt>
                <c:pt idx="1609">
                  <c:v>45517</c:v>
                </c:pt>
                <c:pt idx="1610">
                  <c:v>45518</c:v>
                </c:pt>
                <c:pt idx="1611">
                  <c:v>45519</c:v>
                </c:pt>
                <c:pt idx="1612">
                  <c:v>45520</c:v>
                </c:pt>
                <c:pt idx="1613">
                  <c:v>45523</c:v>
                </c:pt>
                <c:pt idx="1614">
                  <c:v>45524</c:v>
                </c:pt>
                <c:pt idx="1615">
                  <c:v>45525</c:v>
                </c:pt>
                <c:pt idx="1616">
                  <c:v>45526</c:v>
                </c:pt>
                <c:pt idx="1617">
                  <c:v>45527</c:v>
                </c:pt>
                <c:pt idx="1618">
                  <c:v>45530</c:v>
                </c:pt>
                <c:pt idx="1619">
                  <c:v>45531</c:v>
                </c:pt>
                <c:pt idx="1620">
                  <c:v>45532</c:v>
                </c:pt>
                <c:pt idx="1621">
                  <c:v>45533</c:v>
                </c:pt>
                <c:pt idx="1622">
                  <c:v>45534</c:v>
                </c:pt>
                <c:pt idx="1623">
                  <c:v>45537</c:v>
                </c:pt>
                <c:pt idx="1624">
                  <c:v>45538</c:v>
                </c:pt>
                <c:pt idx="1625">
                  <c:v>45539</c:v>
                </c:pt>
                <c:pt idx="1626">
                  <c:v>45540</c:v>
                </c:pt>
                <c:pt idx="1627">
                  <c:v>45541</c:v>
                </c:pt>
                <c:pt idx="1628">
                  <c:v>45544</c:v>
                </c:pt>
                <c:pt idx="1629">
                  <c:v>45545</c:v>
                </c:pt>
                <c:pt idx="1630">
                  <c:v>45546</c:v>
                </c:pt>
                <c:pt idx="1631">
                  <c:v>45547</c:v>
                </c:pt>
                <c:pt idx="1632">
                  <c:v>45548</c:v>
                </c:pt>
                <c:pt idx="1633">
                  <c:v>45551</c:v>
                </c:pt>
                <c:pt idx="1634">
                  <c:v>45552</c:v>
                </c:pt>
                <c:pt idx="1635">
                  <c:v>45553</c:v>
                </c:pt>
                <c:pt idx="1636">
                  <c:v>45554</c:v>
                </c:pt>
                <c:pt idx="1637">
                  <c:v>45555</c:v>
                </c:pt>
                <c:pt idx="1638">
                  <c:v>45558</c:v>
                </c:pt>
                <c:pt idx="1639">
                  <c:v>45559</c:v>
                </c:pt>
                <c:pt idx="1640">
                  <c:v>45560</c:v>
                </c:pt>
                <c:pt idx="1641">
                  <c:v>45561</c:v>
                </c:pt>
                <c:pt idx="1642">
                  <c:v>45562</c:v>
                </c:pt>
                <c:pt idx="1643">
                  <c:v>45565</c:v>
                </c:pt>
                <c:pt idx="1644">
                  <c:v>45566</c:v>
                </c:pt>
                <c:pt idx="1645">
                  <c:v>45567</c:v>
                </c:pt>
                <c:pt idx="1646">
                  <c:v>45568</c:v>
                </c:pt>
                <c:pt idx="1647">
                  <c:v>45569</c:v>
                </c:pt>
                <c:pt idx="1648">
                  <c:v>45572</c:v>
                </c:pt>
                <c:pt idx="1649">
                  <c:v>45573</c:v>
                </c:pt>
                <c:pt idx="1650">
                  <c:v>45574</c:v>
                </c:pt>
                <c:pt idx="1651">
                  <c:v>45575</c:v>
                </c:pt>
                <c:pt idx="1652">
                  <c:v>45576</c:v>
                </c:pt>
                <c:pt idx="1653">
                  <c:v>45579</c:v>
                </c:pt>
                <c:pt idx="1654">
                  <c:v>45580</c:v>
                </c:pt>
                <c:pt idx="1655">
                  <c:v>45581</c:v>
                </c:pt>
                <c:pt idx="1656">
                  <c:v>45582</c:v>
                </c:pt>
                <c:pt idx="1657">
                  <c:v>45583</c:v>
                </c:pt>
                <c:pt idx="1658">
                  <c:v>45586</c:v>
                </c:pt>
                <c:pt idx="1659">
                  <c:v>45587</c:v>
                </c:pt>
                <c:pt idx="1660">
                  <c:v>45588</c:v>
                </c:pt>
                <c:pt idx="1661">
                  <c:v>45589</c:v>
                </c:pt>
                <c:pt idx="1662">
                  <c:v>45590</c:v>
                </c:pt>
                <c:pt idx="1663">
                  <c:v>45593</c:v>
                </c:pt>
                <c:pt idx="1664">
                  <c:v>45594</c:v>
                </c:pt>
                <c:pt idx="1665">
                  <c:v>45595</c:v>
                </c:pt>
                <c:pt idx="1666">
                  <c:v>45596</c:v>
                </c:pt>
                <c:pt idx="1667">
                  <c:v>45597</c:v>
                </c:pt>
                <c:pt idx="1668">
                  <c:v>45600</c:v>
                </c:pt>
                <c:pt idx="1669">
                  <c:v>45601</c:v>
                </c:pt>
                <c:pt idx="1670">
                  <c:v>45602</c:v>
                </c:pt>
                <c:pt idx="1671">
                  <c:v>45603</c:v>
                </c:pt>
                <c:pt idx="1672">
                  <c:v>45604</c:v>
                </c:pt>
                <c:pt idx="1673">
                  <c:v>45607</c:v>
                </c:pt>
                <c:pt idx="1674">
                  <c:v>45608</c:v>
                </c:pt>
                <c:pt idx="1675">
                  <c:v>45609</c:v>
                </c:pt>
                <c:pt idx="1676">
                  <c:v>45610</c:v>
                </c:pt>
                <c:pt idx="1677">
                  <c:v>45611</c:v>
                </c:pt>
                <c:pt idx="1678">
                  <c:v>45614</c:v>
                </c:pt>
                <c:pt idx="1679">
                  <c:v>45615</c:v>
                </c:pt>
                <c:pt idx="1680">
                  <c:v>45616</c:v>
                </c:pt>
                <c:pt idx="1681">
                  <c:v>45617</c:v>
                </c:pt>
                <c:pt idx="1682">
                  <c:v>45618</c:v>
                </c:pt>
                <c:pt idx="1683">
                  <c:v>45621</c:v>
                </c:pt>
                <c:pt idx="1684">
                  <c:v>45622</c:v>
                </c:pt>
                <c:pt idx="1685">
                  <c:v>45623</c:v>
                </c:pt>
                <c:pt idx="1686">
                  <c:v>45624</c:v>
                </c:pt>
                <c:pt idx="1687">
                  <c:v>45625</c:v>
                </c:pt>
                <c:pt idx="1688">
                  <c:v>45628</c:v>
                </c:pt>
                <c:pt idx="1689">
                  <c:v>45629</c:v>
                </c:pt>
                <c:pt idx="1690">
                  <c:v>45630</c:v>
                </c:pt>
                <c:pt idx="1691">
                  <c:v>45631</c:v>
                </c:pt>
                <c:pt idx="1692">
                  <c:v>45632</c:v>
                </c:pt>
                <c:pt idx="1693">
                  <c:v>45635</c:v>
                </c:pt>
                <c:pt idx="1694">
                  <c:v>45636</c:v>
                </c:pt>
                <c:pt idx="1695">
                  <c:v>45637</c:v>
                </c:pt>
                <c:pt idx="1696">
                  <c:v>45638</c:v>
                </c:pt>
                <c:pt idx="1697">
                  <c:v>45639</c:v>
                </c:pt>
                <c:pt idx="1698">
                  <c:v>45642</c:v>
                </c:pt>
                <c:pt idx="1699">
                  <c:v>45643</c:v>
                </c:pt>
                <c:pt idx="1700">
                  <c:v>45644</c:v>
                </c:pt>
                <c:pt idx="1701">
                  <c:v>45645</c:v>
                </c:pt>
                <c:pt idx="1702">
                  <c:v>45646</c:v>
                </c:pt>
                <c:pt idx="1703">
                  <c:v>45649</c:v>
                </c:pt>
                <c:pt idx="1704">
                  <c:v>45650</c:v>
                </c:pt>
                <c:pt idx="1705">
                  <c:v>45653</c:v>
                </c:pt>
                <c:pt idx="1706">
                  <c:v>45656</c:v>
                </c:pt>
                <c:pt idx="1707">
                  <c:v>45657</c:v>
                </c:pt>
                <c:pt idx="1708">
                  <c:v>45659</c:v>
                </c:pt>
                <c:pt idx="1709">
                  <c:v>45660</c:v>
                </c:pt>
                <c:pt idx="1710">
                  <c:v>45663</c:v>
                </c:pt>
                <c:pt idx="1711">
                  <c:v>45664</c:v>
                </c:pt>
                <c:pt idx="1712">
                  <c:v>45665</c:v>
                </c:pt>
                <c:pt idx="1713">
                  <c:v>45666</c:v>
                </c:pt>
                <c:pt idx="1714">
                  <c:v>45667</c:v>
                </c:pt>
                <c:pt idx="1715">
                  <c:v>45670</c:v>
                </c:pt>
                <c:pt idx="1716">
                  <c:v>45671</c:v>
                </c:pt>
                <c:pt idx="1717">
                  <c:v>45672</c:v>
                </c:pt>
                <c:pt idx="1718">
                  <c:v>45673</c:v>
                </c:pt>
                <c:pt idx="1719">
                  <c:v>45674</c:v>
                </c:pt>
                <c:pt idx="1720">
                  <c:v>45677</c:v>
                </c:pt>
                <c:pt idx="1721">
                  <c:v>45678</c:v>
                </c:pt>
                <c:pt idx="1722">
                  <c:v>45679</c:v>
                </c:pt>
                <c:pt idx="1723">
                  <c:v>45680</c:v>
                </c:pt>
                <c:pt idx="1724">
                  <c:v>45681</c:v>
                </c:pt>
                <c:pt idx="1725">
                  <c:v>45684</c:v>
                </c:pt>
                <c:pt idx="1726">
                  <c:v>45685</c:v>
                </c:pt>
                <c:pt idx="1727">
                  <c:v>45686</c:v>
                </c:pt>
                <c:pt idx="1728">
                  <c:v>45687</c:v>
                </c:pt>
                <c:pt idx="1729">
                  <c:v>45688</c:v>
                </c:pt>
                <c:pt idx="1730">
                  <c:v>45691</c:v>
                </c:pt>
                <c:pt idx="1731">
                  <c:v>45692</c:v>
                </c:pt>
                <c:pt idx="1732">
                  <c:v>45693</c:v>
                </c:pt>
                <c:pt idx="1733">
                  <c:v>45694</c:v>
                </c:pt>
                <c:pt idx="1734">
                  <c:v>45695</c:v>
                </c:pt>
                <c:pt idx="1735">
                  <c:v>45698</c:v>
                </c:pt>
                <c:pt idx="1736">
                  <c:v>45699</c:v>
                </c:pt>
                <c:pt idx="1737">
                  <c:v>45700</c:v>
                </c:pt>
                <c:pt idx="1738">
                  <c:v>45701</c:v>
                </c:pt>
                <c:pt idx="1739">
                  <c:v>45702</c:v>
                </c:pt>
                <c:pt idx="1740">
                  <c:v>45705</c:v>
                </c:pt>
                <c:pt idx="1741">
                  <c:v>45706</c:v>
                </c:pt>
                <c:pt idx="1742">
                  <c:v>45707</c:v>
                </c:pt>
                <c:pt idx="1743">
                  <c:v>45708</c:v>
                </c:pt>
                <c:pt idx="1744">
                  <c:v>45709</c:v>
                </c:pt>
                <c:pt idx="1745">
                  <c:v>45712</c:v>
                </c:pt>
                <c:pt idx="1746">
                  <c:v>45713</c:v>
                </c:pt>
                <c:pt idx="1747">
                  <c:v>45714</c:v>
                </c:pt>
                <c:pt idx="1748">
                  <c:v>45715</c:v>
                </c:pt>
                <c:pt idx="1749">
                  <c:v>45716</c:v>
                </c:pt>
                <c:pt idx="1750">
                  <c:v>45719</c:v>
                </c:pt>
                <c:pt idx="1751">
                  <c:v>45720</c:v>
                </c:pt>
                <c:pt idx="1752">
                  <c:v>45721</c:v>
                </c:pt>
                <c:pt idx="1753">
                  <c:v>45722</c:v>
                </c:pt>
                <c:pt idx="1754">
                  <c:v>45723</c:v>
                </c:pt>
                <c:pt idx="1755">
                  <c:v>45726</c:v>
                </c:pt>
                <c:pt idx="1756">
                  <c:v>45727</c:v>
                </c:pt>
                <c:pt idx="1757">
                  <c:v>45728</c:v>
                </c:pt>
                <c:pt idx="1758">
                  <c:v>45729</c:v>
                </c:pt>
                <c:pt idx="1759">
                  <c:v>45730</c:v>
                </c:pt>
                <c:pt idx="1760">
                  <c:v>45733</c:v>
                </c:pt>
                <c:pt idx="1761">
                  <c:v>45734</c:v>
                </c:pt>
                <c:pt idx="1762">
                  <c:v>45735</c:v>
                </c:pt>
                <c:pt idx="1763">
                  <c:v>45736</c:v>
                </c:pt>
                <c:pt idx="1764">
                  <c:v>45737</c:v>
                </c:pt>
                <c:pt idx="1765">
                  <c:v>45740</c:v>
                </c:pt>
                <c:pt idx="1766">
                  <c:v>45741</c:v>
                </c:pt>
                <c:pt idx="1767">
                  <c:v>45742</c:v>
                </c:pt>
                <c:pt idx="1768">
                  <c:v>45743</c:v>
                </c:pt>
                <c:pt idx="1769">
                  <c:v>45744</c:v>
                </c:pt>
                <c:pt idx="1770">
                  <c:v>45747</c:v>
                </c:pt>
                <c:pt idx="1771">
                  <c:v>45748</c:v>
                </c:pt>
                <c:pt idx="1772">
                  <c:v>45749</c:v>
                </c:pt>
                <c:pt idx="1773">
                  <c:v>45750</c:v>
                </c:pt>
                <c:pt idx="1774">
                  <c:v>45751</c:v>
                </c:pt>
                <c:pt idx="1775">
                  <c:v>45754</c:v>
                </c:pt>
                <c:pt idx="1776">
                  <c:v>45755</c:v>
                </c:pt>
                <c:pt idx="1777">
                  <c:v>45756</c:v>
                </c:pt>
                <c:pt idx="1778">
                  <c:v>45757</c:v>
                </c:pt>
                <c:pt idx="1779">
                  <c:v>45758</c:v>
                </c:pt>
                <c:pt idx="1780">
                  <c:v>45761</c:v>
                </c:pt>
                <c:pt idx="1781">
                  <c:v>45762</c:v>
                </c:pt>
                <c:pt idx="1782">
                  <c:v>45763</c:v>
                </c:pt>
                <c:pt idx="1783">
                  <c:v>45764</c:v>
                </c:pt>
                <c:pt idx="1784">
                  <c:v>45769</c:v>
                </c:pt>
                <c:pt idx="1785">
                  <c:v>45770</c:v>
                </c:pt>
                <c:pt idx="1786">
                  <c:v>45771</c:v>
                </c:pt>
                <c:pt idx="1787">
                  <c:v>45772</c:v>
                </c:pt>
                <c:pt idx="1788">
                  <c:v>45775</c:v>
                </c:pt>
                <c:pt idx="1789">
                  <c:v>45776</c:v>
                </c:pt>
                <c:pt idx="1790">
                  <c:v>45777</c:v>
                </c:pt>
                <c:pt idx="1791">
                  <c:v>45779</c:v>
                </c:pt>
                <c:pt idx="1792">
                  <c:v>45782</c:v>
                </c:pt>
                <c:pt idx="1793">
                  <c:v>45783</c:v>
                </c:pt>
                <c:pt idx="1794">
                  <c:v>45784</c:v>
                </c:pt>
                <c:pt idx="1795">
                  <c:v>45785</c:v>
                </c:pt>
                <c:pt idx="1796">
                  <c:v>45786</c:v>
                </c:pt>
                <c:pt idx="1797">
                  <c:v>45789</c:v>
                </c:pt>
                <c:pt idx="1798">
                  <c:v>45790</c:v>
                </c:pt>
                <c:pt idx="1799">
                  <c:v>45791</c:v>
                </c:pt>
                <c:pt idx="1800">
                  <c:v>45792</c:v>
                </c:pt>
                <c:pt idx="1801">
                  <c:v>45793</c:v>
                </c:pt>
                <c:pt idx="1802">
                  <c:v>45796</c:v>
                </c:pt>
                <c:pt idx="1803">
                  <c:v>45797</c:v>
                </c:pt>
                <c:pt idx="1804">
                  <c:v>45798</c:v>
                </c:pt>
                <c:pt idx="1805">
                  <c:v>45799</c:v>
                </c:pt>
                <c:pt idx="1806">
                  <c:v>45800</c:v>
                </c:pt>
                <c:pt idx="1807">
                  <c:v>45803</c:v>
                </c:pt>
                <c:pt idx="1808">
                  <c:v>45804</c:v>
                </c:pt>
                <c:pt idx="1809">
                  <c:v>45805</c:v>
                </c:pt>
                <c:pt idx="1810">
                  <c:v>45806</c:v>
                </c:pt>
                <c:pt idx="1811">
                  <c:v>45807</c:v>
                </c:pt>
                <c:pt idx="1812">
                  <c:v>45810</c:v>
                </c:pt>
                <c:pt idx="1813">
                  <c:v>45811</c:v>
                </c:pt>
                <c:pt idx="1814">
                  <c:v>45812</c:v>
                </c:pt>
                <c:pt idx="1815">
                  <c:v>45813</c:v>
                </c:pt>
                <c:pt idx="1816">
                  <c:v>45814</c:v>
                </c:pt>
                <c:pt idx="1817">
                  <c:v>45817</c:v>
                </c:pt>
                <c:pt idx="1818">
                  <c:v>45818</c:v>
                </c:pt>
                <c:pt idx="1819">
                  <c:v>45819</c:v>
                </c:pt>
                <c:pt idx="1820">
                  <c:v>45820</c:v>
                </c:pt>
                <c:pt idx="1821">
                  <c:v>45821</c:v>
                </c:pt>
                <c:pt idx="1822">
                  <c:v>45824</c:v>
                </c:pt>
                <c:pt idx="1823">
                  <c:v>45825</c:v>
                </c:pt>
                <c:pt idx="1824">
                  <c:v>45826</c:v>
                </c:pt>
                <c:pt idx="1825">
                  <c:v>45827</c:v>
                </c:pt>
                <c:pt idx="1826">
                  <c:v>45828</c:v>
                </c:pt>
                <c:pt idx="1827">
                  <c:v>45831</c:v>
                </c:pt>
                <c:pt idx="1828">
                  <c:v>45832</c:v>
                </c:pt>
                <c:pt idx="1829">
                  <c:v>45833</c:v>
                </c:pt>
                <c:pt idx="1830">
                  <c:v>45834</c:v>
                </c:pt>
                <c:pt idx="1831">
                  <c:v>45835</c:v>
                </c:pt>
                <c:pt idx="1832">
                  <c:v>45838</c:v>
                </c:pt>
                <c:pt idx="1833">
                  <c:v>45839</c:v>
                </c:pt>
                <c:pt idx="1834">
                  <c:v>45840</c:v>
                </c:pt>
                <c:pt idx="1835">
                  <c:v>45841</c:v>
                </c:pt>
                <c:pt idx="1836">
                  <c:v>45842</c:v>
                </c:pt>
                <c:pt idx="1837">
                  <c:v>45845</c:v>
                </c:pt>
                <c:pt idx="1838">
                  <c:v>45846</c:v>
                </c:pt>
                <c:pt idx="1839">
                  <c:v>45847</c:v>
                </c:pt>
                <c:pt idx="1840">
                  <c:v>45848</c:v>
                </c:pt>
                <c:pt idx="1841">
                  <c:v>45849</c:v>
                </c:pt>
                <c:pt idx="1842">
                  <c:v>45852</c:v>
                </c:pt>
                <c:pt idx="1843">
                  <c:v>45853</c:v>
                </c:pt>
                <c:pt idx="1844">
                  <c:v>45854</c:v>
                </c:pt>
                <c:pt idx="1845">
                  <c:v>45855</c:v>
                </c:pt>
                <c:pt idx="1846">
                  <c:v>45856</c:v>
                </c:pt>
                <c:pt idx="1847">
                  <c:v>45859</c:v>
                </c:pt>
                <c:pt idx="1848">
                  <c:v>45860</c:v>
                </c:pt>
                <c:pt idx="1849">
                  <c:v>45861</c:v>
                </c:pt>
                <c:pt idx="1850">
                  <c:v>45862</c:v>
                </c:pt>
                <c:pt idx="1851">
                  <c:v>45863</c:v>
                </c:pt>
                <c:pt idx="1852">
                  <c:v>45866</c:v>
                </c:pt>
                <c:pt idx="1853">
                  <c:v>45867</c:v>
                </c:pt>
                <c:pt idx="1854">
                  <c:v>45868</c:v>
                </c:pt>
                <c:pt idx="1855">
                  <c:v>45869</c:v>
                </c:pt>
                <c:pt idx="1856">
                  <c:v>45870</c:v>
                </c:pt>
                <c:pt idx="1857">
                  <c:v>45873</c:v>
                </c:pt>
                <c:pt idx="1858">
                  <c:v>45874</c:v>
                </c:pt>
                <c:pt idx="1859">
                  <c:v>45875</c:v>
                </c:pt>
                <c:pt idx="1860">
                  <c:v>45876</c:v>
                </c:pt>
                <c:pt idx="1861">
                  <c:v>45877</c:v>
                </c:pt>
                <c:pt idx="1862">
                  <c:v>45880</c:v>
                </c:pt>
                <c:pt idx="1863">
                  <c:v>45881</c:v>
                </c:pt>
                <c:pt idx="1864">
                  <c:v>45882</c:v>
                </c:pt>
                <c:pt idx="1865">
                  <c:v>45883</c:v>
                </c:pt>
                <c:pt idx="1866">
                  <c:v>45884</c:v>
                </c:pt>
                <c:pt idx="1867">
                  <c:v>45887</c:v>
                </c:pt>
                <c:pt idx="1868">
                  <c:v>45888</c:v>
                </c:pt>
                <c:pt idx="1869">
                  <c:v>45889</c:v>
                </c:pt>
                <c:pt idx="1870">
                  <c:v>45890</c:v>
                </c:pt>
                <c:pt idx="1871">
                  <c:v>45891</c:v>
                </c:pt>
                <c:pt idx="1872">
                  <c:v>45894</c:v>
                </c:pt>
                <c:pt idx="1873">
                  <c:v>45895</c:v>
                </c:pt>
                <c:pt idx="1874">
                  <c:v>45896</c:v>
                </c:pt>
                <c:pt idx="1875">
                  <c:v>45897</c:v>
                </c:pt>
                <c:pt idx="1876">
                  <c:v>45898</c:v>
                </c:pt>
                <c:pt idx="1877">
                  <c:v>45901</c:v>
                </c:pt>
                <c:pt idx="1878">
                  <c:v>45902</c:v>
                </c:pt>
                <c:pt idx="1879">
                  <c:v>45903</c:v>
                </c:pt>
                <c:pt idx="1880">
                  <c:v>45904</c:v>
                </c:pt>
                <c:pt idx="1881">
                  <c:v>45905</c:v>
                </c:pt>
                <c:pt idx="1882">
                  <c:v>45908</c:v>
                </c:pt>
                <c:pt idx="1883">
                  <c:v>45909</c:v>
                </c:pt>
                <c:pt idx="1884">
                  <c:v>45910</c:v>
                </c:pt>
                <c:pt idx="1885">
                  <c:v>45911</c:v>
                </c:pt>
                <c:pt idx="1886">
                  <c:v>45912</c:v>
                </c:pt>
                <c:pt idx="1887">
                  <c:v>45915</c:v>
                </c:pt>
                <c:pt idx="1888">
                  <c:v>45916</c:v>
                </c:pt>
                <c:pt idx="1889">
                  <c:v>45917</c:v>
                </c:pt>
                <c:pt idx="1890">
                  <c:v>45918</c:v>
                </c:pt>
                <c:pt idx="1891">
                  <c:v>45919</c:v>
                </c:pt>
                <c:pt idx="1892">
                  <c:v>45922</c:v>
                </c:pt>
                <c:pt idx="1893">
                  <c:v>45923</c:v>
                </c:pt>
                <c:pt idx="1894">
                  <c:v>45924</c:v>
                </c:pt>
                <c:pt idx="1895">
                  <c:v>45925</c:v>
                </c:pt>
                <c:pt idx="1896">
                  <c:v>45926</c:v>
                </c:pt>
                <c:pt idx="1897">
                  <c:v>45929</c:v>
                </c:pt>
                <c:pt idx="1898">
                  <c:v>45930</c:v>
                </c:pt>
                <c:pt idx="1899">
                  <c:v>45931</c:v>
                </c:pt>
                <c:pt idx="1900">
                  <c:v>45932</c:v>
                </c:pt>
                <c:pt idx="1901">
                  <c:v>45933</c:v>
                </c:pt>
                <c:pt idx="1902">
                  <c:v>45936</c:v>
                </c:pt>
                <c:pt idx="1903">
                  <c:v>45937</c:v>
                </c:pt>
                <c:pt idx="1904">
                  <c:v>45938</c:v>
                </c:pt>
                <c:pt idx="1905">
                  <c:v>45939</c:v>
                </c:pt>
                <c:pt idx="1906">
                  <c:v>45940</c:v>
                </c:pt>
                <c:pt idx="1907">
                  <c:v>45943</c:v>
                </c:pt>
                <c:pt idx="1908">
                  <c:v>45944</c:v>
                </c:pt>
                <c:pt idx="1909">
                  <c:v>45945</c:v>
                </c:pt>
                <c:pt idx="1910">
                  <c:v>45946</c:v>
                </c:pt>
                <c:pt idx="1911">
                  <c:v>45947</c:v>
                </c:pt>
                <c:pt idx="1912">
                  <c:v>45950</c:v>
                </c:pt>
                <c:pt idx="1913">
                  <c:v>45951</c:v>
                </c:pt>
                <c:pt idx="1914">
                  <c:v>45952</c:v>
                </c:pt>
                <c:pt idx="1915">
                  <c:v>45953</c:v>
                </c:pt>
                <c:pt idx="1916">
                  <c:v>45954</c:v>
                </c:pt>
                <c:pt idx="1917">
                  <c:v>45957</c:v>
                </c:pt>
                <c:pt idx="1918">
                  <c:v>45958</c:v>
                </c:pt>
                <c:pt idx="1919">
                  <c:v>45959</c:v>
                </c:pt>
                <c:pt idx="1920">
                  <c:v>45960</c:v>
                </c:pt>
                <c:pt idx="1921">
                  <c:v>45961</c:v>
                </c:pt>
                <c:pt idx="1922">
                  <c:v>45964</c:v>
                </c:pt>
                <c:pt idx="1923">
                  <c:v>45965</c:v>
                </c:pt>
                <c:pt idx="1924">
                  <c:v>45966</c:v>
                </c:pt>
                <c:pt idx="1925">
                  <c:v>45967</c:v>
                </c:pt>
                <c:pt idx="1926">
                  <c:v>45968</c:v>
                </c:pt>
                <c:pt idx="1927">
                  <c:v>45971</c:v>
                </c:pt>
                <c:pt idx="1928">
                  <c:v>45972</c:v>
                </c:pt>
                <c:pt idx="1929">
                  <c:v>45973</c:v>
                </c:pt>
                <c:pt idx="1930">
                  <c:v>45974</c:v>
                </c:pt>
                <c:pt idx="1931">
                  <c:v>45975</c:v>
                </c:pt>
                <c:pt idx="1932">
                  <c:v>45978</c:v>
                </c:pt>
                <c:pt idx="1933">
                  <c:v>45979</c:v>
                </c:pt>
                <c:pt idx="1934">
                  <c:v>45980</c:v>
                </c:pt>
                <c:pt idx="1935">
                  <c:v>45981</c:v>
                </c:pt>
                <c:pt idx="1936">
                  <c:v>45982</c:v>
                </c:pt>
                <c:pt idx="1937">
                  <c:v>45985</c:v>
                </c:pt>
                <c:pt idx="1938">
                  <c:v>45986</c:v>
                </c:pt>
                <c:pt idx="1939">
                  <c:v>45987</c:v>
                </c:pt>
                <c:pt idx="1940">
                  <c:v>45988</c:v>
                </c:pt>
                <c:pt idx="1941">
                  <c:v>45989</c:v>
                </c:pt>
                <c:pt idx="1942">
                  <c:v>45992</c:v>
                </c:pt>
                <c:pt idx="1943">
                  <c:v>45993</c:v>
                </c:pt>
                <c:pt idx="1944">
                  <c:v>45994</c:v>
                </c:pt>
                <c:pt idx="1945">
                  <c:v>45995</c:v>
                </c:pt>
                <c:pt idx="1946">
                  <c:v>45996</c:v>
                </c:pt>
                <c:pt idx="1947">
                  <c:v>45999</c:v>
                </c:pt>
                <c:pt idx="1948">
                  <c:v>46000</c:v>
                </c:pt>
                <c:pt idx="1949">
                  <c:v>46001</c:v>
                </c:pt>
                <c:pt idx="1950">
                  <c:v>46002</c:v>
                </c:pt>
                <c:pt idx="1951">
                  <c:v>46003</c:v>
                </c:pt>
                <c:pt idx="1952">
                  <c:v>46006</c:v>
                </c:pt>
                <c:pt idx="1953">
                  <c:v>46007</c:v>
                </c:pt>
                <c:pt idx="1954">
                  <c:v>46008</c:v>
                </c:pt>
                <c:pt idx="1955">
                  <c:v>46009</c:v>
                </c:pt>
                <c:pt idx="1956">
                  <c:v>46010</c:v>
                </c:pt>
                <c:pt idx="1957">
                  <c:v>46013</c:v>
                </c:pt>
                <c:pt idx="1958">
                  <c:v>46014</c:v>
                </c:pt>
                <c:pt idx="1959">
                  <c:v>46015</c:v>
                </c:pt>
                <c:pt idx="1960">
                  <c:v>46020</c:v>
                </c:pt>
                <c:pt idx="1961">
                  <c:v>46021</c:v>
                </c:pt>
                <c:pt idx="1962">
                  <c:v>46022</c:v>
                </c:pt>
                <c:pt idx="1963">
                  <c:v>46024</c:v>
                </c:pt>
                <c:pt idx="1964">
                  <c:v>46027</c:v>
                </c:pt>
                <c:pt idx="1965">
                  <c:v>46028</c:v>
                </c:pt>
                <c:pt idx="1966">
                  <c:v>46029</c:v>
                </c:pt>
                <c:pt idx="1967">
                  <c:v>46030</c:v>
                </c:pt>
                <c:pt idx="1968">
                  <c:v>46031</c:v>
                </c:pt>
                <c:pt idx="1969">
                  <c:v>46034</c:v>
                </c:pt>
                <c:pt idx="1970">
                  <c:v>46035</c:v>
                </c:pt>
                <c:pt idx="1971">
                  <c:v>46036</c:v>
                </c:pt>
                <c:pt idx="1972">
                  <c:v>46037</c:v>
                </c:pt>
                <c:pt idx="1973">
                  <c:v>46038</c:v>
                </c:pt>
                <c:pt idx="1974">
                  <c:v>46041</c:v>
                </c:pt>
                <c:pt idx="1975">
                  <c:v>46042</c:v>
                </c:pt>
                <c:pt idx="1976">
                  <c:v>46043</c:v>
                </c:pt>
                <c:pt idx="1977">
                  <c:v>46044</c:v>
                </c:pt>
                <c:pt idx="1978">
                  <c:v>46045</c:v>
                </c:pt>
                <c:pt idx="1979">
                  <c:v>46048</c:v>
                </c:pt>
                <c:pt idx="1980">
                  <c:v>46049</c:v>
                </c:pt>
                <c:pt idx="1981">
                  <c:v>46050</c:v>
                </c:pt>
                <c:pt idx="1982">
                  <c:v>46051</c:v>
                </c:pt>
                <c:pt idx="1983">
                  <c:v>46052</c:v>
                </c:pt>
                <c:pt idx="1984">
                  <c:v>46055</c:v>
                </c:pt>
                <c:pt idx="1985">
                  <c:v>46056</c:v>
                </c:pt>
                <c:pt idx="1986">
                  <c:v>46057</c:v>
                </c:pt>
                <c:pt idx="1987">
                  <c:v>46058</c:v>
                </c:pt>
                <c:pt idx="1988">
                  <c:v>46059</c:v>
                </c:pt>
                <c:pt idx="1989">
                  <c:v>46062</c:v>
                </c:pt>
                <c:pt idx="1990">
                  <c:v>46063</c:v>
                </c:pt>
                <c:pt idx="1991">
                  <c:v>46064</c:v>
                </c:pt>
                <c:pt idx="1992">
                  <c:v>46065</c:v>
                </c:pt>
                <c:pt idx="1993">
                  <c:v>46066</c:v>
                </c:pt>
                <c:pt idx="1994">
                  <c:v>46069</c:v>
                </c:pt>
                <c:pt idx="1995">
                  <c:v>46070</c:v>
                </c:pt>
                <c:pt idx="1996">
                  <c:v>46071</c:v>
                </c:pt>
                <c:pt idx="1997">
                  <c:v>46072</c:v>
                </c:pt>
                <c:pt idx="1998">
                  <c:v>46073</c:v>
                </c:pt>
                <c:pt idx="1999">
                  <c:v>46076</c:v>
                </c:pt>
                <c:pt idx="2000">
                  <c:v>46077</c:v>
                </c:pt>
                <c:pt idx="2001">
                  <c:v>46078</c:v>
                </c:pt>
                <c:pt idx="2002">
                  <c:v>46079</c:v>
                </c:pt>
                <c:pt idx="2003">
                  <c:v>46080</c:v>
                </c:pt>
                <c:pt idx="2004">
                  <c:v>46083</c:v>
                </c:pt>
                <c:pt idx="2005">
                  <c:v>46084</c:v>
                </c:pt>
                <c:pt idx="2006">
                  <c:v>46085</c:v>
                </c:pt>
                <c:pt idx="2007">
                  <c:v>46086</c:v>
                </c:pt>
                <c:pt idx="2008">
                  <c:v>46087</c:v>
                </c:pt>
                <c:pt idx="2009">
                  <c:v>46090</c:v>
                </c:pt>
                <c:pt idx="2010">
                  <c:v>46091</c:v>
                </c:pt>
                <c:pt idx="2011">
                  <c:v>46092</c:v>
                </c:pt>
                <c:pt idx="2012">
                  <c:v>46093</c:v>
                </c:pt>
                <c:pt idx="2013">
                  <c:v>46094</c:v>
                </c:pt>
                <c:pt idx="2014">
                  <c:v>46097</c:v>
                </c:pt>
                <c:pt idx="2015">
                  <c:v>46098</c:v>
                </c:pt>
                <c:pt idx="2016">
                  <c:v>46099</c:v>
                </c:pt>
                <c:pt idx="2017">
                  <c:v>46100</c:v>
                </c:pt>
                <c:pt idx="2018">
                  <c:v>46101</c:v>
                </c:pt>
                <c:pt idx="2019">
                  <c:v>46104</c:v>
                </c:pt>
                <c:pt idx="2020">
                  <c:v>46105</c:v>
                </c:pt>
                <c:pt idx="2021">
                  <c:v>46106</c:v>
                </c:pt>
                <c:pt idx="2022">
                  <c:v>46107</c:v>
                </c:pt>
                <c:pt idx="2023">
                  <c:v>46108</c:v>
                </c:pt>
                <c:pt idx="2024">
                  <c:v>46111</c:v>
                </c:pt>
                <c:pt idx="2025">
                  <c:v>46112</c:v>
                </c:pt>
                <c:pt idx="2026">
                  <c:v>46113</c:v>
                </c:pt>
                <c:pt idx="2027">
                  <c:v>46114</c:v>
                </c:pt>
                <c:pt idx="2028">
                  <c:v>46119</c:v>
                </c:pt>
                <c:pt idx="2029">
                  <c:v>46120</c:v>
                </c:pt>
                <c:pt idx="2030">
                  <c:v>46121</c:v>
                </c:pt>
                <c:pt idx="2031">
                  <c:v>46122</c:v>
                </c:pt>
                <c:pt idx="2032">
                  <c:v>46125</c:v>
                </c:pt>
                <c:pt idx="2033">
                  <c:v>46126</c:v>
                </c:pt>
                <c:pt idx="2034">
                  <c:v>46127</c:v>
                </c:pt>
                <c:pt idx="2035">
                  <c:v>46128</c:v>
                </c:pt>
                <c:pt idx="2036">
                  <c:v>46129</c:v>
                </c:pt>
                <c:pt idx="2037">
                  <c:v>46132</c:v>
                </c:pt>
                <c:pt idx="2038">
                  <c:v>46133</c:v>
                </c:pt>
                <c:pt idx="2039">
                  <c:v>46134</c:v>
                </c:pt>
                <c:pt idx="2040">
                  <c:v>46135</c:v>
                </c:pt>
                <c:pt idx="2041">
                  <c:v>46136</c:v>
                </c:pt>
                <c:pt idx="2042">
                  <c:v>46139</c:v>
                </c:pt>
                <c:pt idx="2043">
                  <c:v>46140</c:v>
                </c:pt>
                <c:pt idx="2044">
                  <c:v>46141</c:v>
                </c:pt>
                <c:pt idx="2045">
                  <c:v>46142</c:v>
                </c:pt>
                <c:pt idx="2046">
                  <c:v>46146</c:v>
                </c:pt>
                <c:pt idx="2047">
                  <c:v>46147</c:v>
                </c:pt>
                <c:pt idx="2048">
                  <c:v>46148</c:v>
                </c:pt>
                <c:pt idx="2049">
                  <c:v>46149</c:v>
                </c:pt>
                <c:pt idx="2050">
                  <c:v>46150</c:v>
                </c:pt>
                <c:pt idx="2051">
                  <c:v>46153</c:v>
                </c:pt>
                <c:pt idx="2052">
                  <c:v>46154</c:v>
                </c:pt>
                <c:pt idx="2053">
                  <c:v>46155</c:v>
                </c:pt>
                <c:pt idx="2054">
                  <c:v>46156</c:v>
                </c:pt>
                <c:pt idx="2055">
                  <c:v>46157</c:v>
                </c:pt>
                <c:pt idx="2056">
                  <c:v>46160</c:v>
                </c:pt>
                <c:pt idx="2057">
                  <c:v>46161</c:v>
                </c:pt>
                <c:pt idx="2058">
                  <c:v>46162</c:v>
                </c:pt>
                <c:pt idx="2059">
                  <c:v>46163</c:v>
                </c:pt>
                <c:pt idx="2060">
                  <c:v>46164</c:v>
                </c:pt>
                <c:pt idx="2061">
                  <c:v>46167</c:v>
                </c:pt>
                <c:pt idx="2062">
                  <c:v>46168</c:v>
                </c:pt>
                <c:pt idx="2063">
                  <c:v>46169</c:v>
                </c:pt>
                <c:pt idx="2064">
                  <c:v>46170</c:v>
                </c:pt>
                <c:pt idx="2065">
                  <c:v>46171</c:v>
                </c:pt>
                <c:pt idx="2066">
                  <c:v>46174</c:v>
                </c:pt>
                <c:pt idx="2067">
                  <c:v>46175</c:v>
                </c:pt>
                <c:pt idx="2068">
                  <c:v>46176</c:v>
                </c:pt>
                <c:pt idx="2069">
                  <c:v>46177</c:v>
                </c:pt>
                <c:pt idx="2070">
                  <c:v>46178</c:v>
                </c:pt>
                <c:pt idx="2071">
                  <c:v>46181</c:v>
                </c:pt>
                <c:pt idx="2072">
                  <c:v>46182</c:v>
                </c:pt>
                <c:pt idx="2073">
                  <c:v>46183</c:v>
                </c:pt>
                <c:pt idx="2074">
                  <c:v>46184</c:v>
                </c:pt>
                <c:pt idx="2075">
                  <c:v>46185</c:v>
                </c:pt>
                <c:pt idx="2076">
                  <c:v>46188</c:v>
                </c:pt>
                <c:pt idx="2077">
                  <c:v>46189</c:v>
                </c:pt>
                <c:pt idx="2078">
                  <c:v>46190</c:v>
                </c:pt>
                <c:pt idx="2079">
                  <c:v>46191</c:v>
                </c:pt>
                <c:pt idx="2080">
                  <c:v>46192</c:v>
                </c:pt>
                <c:pt idx="2081">
                  <c:v>46195</c:v>
                </c:pt>
                <c:pt idx="2082">
                  <c:v>46196</c:v>
                </c:pt>
                <c:pt idx="2083">
                  <c:v>46197</c:v>
                </c:pt>
                <c:pt idx="2084">
                  <c:v>46198</c:v>
                </c:pt>
                <c:pt idx="2085">
                  <c:v>46199</c:v>
                </c:pt>
                <c:pt idx="2086">
                  <c:v>46202</c:v>
                </c:pt>
                <c:pt idx="2087">
                  <c:v>46203</c:v>
                </c:pt>
                <c:pt idx="2088">
                  <c:v>46204</c:v>
                </c:pt>
                <c:pt idx="2089">
                  <c:v>46205</c:v>
                </c:pt>
                <c:pt idx="2090">
                  <c:v>46206</c:v>
                </c:pt>
                <c:pt idx="2091">
                  <c:v>46209</c:v>
                </c:pt>
                <c:pt idx="2092">
                  <c:v>46210</c:v>
                </c:pt>
                <c:pt idx="2093">
                  <c:v>46211</c:v>
                </c:pt>
                <c:pt idx="2094">
                  <c:v>46212</c:v>
                </c:pt>
                <c:pt idx="2095">
                  <c:v>46213</c:v>
                </c:pt>
                <c:pt idx="2096">
                  <c:v>46216</c:v>
                </c:pt>
                <c:pt idx="2097">
                  <c:v>46217</c:v>
                </c:pt>
                <c:pt idx="2098">
                  <c:v>46218</c:v>
                </c:pt>
                <c:pt idx="2099">
                  <c:v>46219</c:v>
                </c:pt>
                <c:pt idx="2100">
                  <c:v>46220</c:v>
                </c:pt>
                <c:pt idx="2101">
                  <c:v>46223</c:v>
                </c:pt>
                <c:pt idx="2102">
                  <c:v>46224</c:v>
                </c:pt>
                <c:pt idx="2103">
                  <c:v>46225</c:v>
                </c:pt>
                <c:pt idx="2104">
                  <c:v>46226</c:v>
                </c:pt>
                <c:pt idx="2105">
                  <c:v>46227</c:v>
                </c:pt>
                <c:pt idx="2106">
                  <c:v>46230</c:v>
                </c:pt>
                <c:pt idx="2107">
                  <c:v>46231</c:v>
                </c:pt>
                <c:pt idx="2108">
                  <c:v>46232</c:v>
                </c:pt>
                <c:pt idx="2109">
                  <c:v>46233</c:v>
                </c:pt>
                <c:pt idx="2110">
                  <c:v>46234</c:v>
                </c:pt>
                <c:pt idx="2111">
                  <c:v>46237</c:v>
                </c:pt>
                <c:pt idx="2112">
                  <c:v>46238</c:v>
                </c:pt>
                <c:pt idx="2113">
                  <c:v>46239</c:v>
                </c:pt>
                <c:pt idx="2114">
                  <c:v>46240</c:v>
                </c:pt>
                <c:pt idx="2115">
                  <c:v>46241</c:v>
                </c:pt>
                <c:pt idx="2116">
                  <c:v>46244</c:v>
                </c:pt>
                <c:pt idx="2117">
                  <c:v>46245</c:v>
                </c:pt>
                <c:pt idx="2118">
                  <c:v>46246</c:v>
                </c:pt>
                <c:pt idx="2119">
                  <c:v>46247</c:v>
                </c:pt>
                <c:pt idx="2120">
                  <c:v>46248</c:v>
                </c:pt>
                <c:pt idx="2121">
                  <c:v>46251</c:v>
                </c:pt>
                <c:pt idx="2122">
                  <c:v>46252</c:v>
                </c:pt>
                <c:pt idx="2123">
                  <c:v>46253</c:v>
                </c:pt>
                <c:pt idx="2124">
                  <c:v>46254</c:v>
                </c:pt>
                <c:pt idx="2125">
                  <c:v>46255</c:v>
                </c:pt>
                <c:pt idx="2126">
                  <c:v>46258</c:v>
                </c:pt>
                <c:pt idx="2127">
                  <c:v>46259</c:v>
                </c:pt>
                <c:pt idx="2128">
                  <c:v>46260</c:v>
                </c:pt>
                <c:pt idx="2129">
                  <c:v>46261</c:v>
                </c:pt>
                <c:pt idx="2130">
                  <c:v>46262</c:v>
                </c:pt>
                <c:pt idx="2131">
                  <c:v>46265</c:v>
                </c:pt>
                <c:pt idx="2132">
                  <c:v>46266</c:v>
                </c:pt>
                <c:pt idx="2133">
                  <c:v>46267</c:v>
                </c:pt>
                <c:pt idx="2134">
                  <c:v>46268</c:v>
                </c:pt>
                <c:pt idx="2135">
                  <c:v>46269</c:v>
                </c:pt>
                <c:pt idx="2136">
                  <c:v>46272</c:v>
                </c:pt>
                <c:pt idx="2137">
                  <c:v>46273</c:v>
                </c:pt>
                <c:pt idx="2138">
                  <c:v>46274</c:v>
                </c:pt>
                <c:pt idx="2139">
                  <c:v>46275</c:v>
                </c:pt>
                <c:pt idx="2140">
                  <c:v>46276</c:v>
                </c:pt>
                <c:pt idx="2141">
                  <c:v>46279</c:v>
                </c:pt>
                <c:pt idx="2142">
                  <c:v>46280</c:v>
                </c:pt>
                <c:pt idx="2143">
                  <c:v>46281</c:v>
                </c:pt>
                <c:pt idx="2144">
                  <c:v>46282</c:v>
                </c:pt>
                <c:pt idx="2145">
                  <c:v>46283</c:v>
                </c:pt>
                <c:pt idx="2146">
                  <c:v>46286</c:v>
                </c:pt>
                <c:pt idx="2147">
                  <c:v>46287</c:v>
                </c:pt>
                <c:pt idx="2148">
                  <c:v>46288</c:v>
                </c:pt>
                <c:pt idx="2149">
                  <c:v>46289</c:v>
                </c:pt>
                <c:pt idx="2150">
                  <c:v>46290</c:v>
                </c:pt>
                <c:pt idx="2151">
                  <c:v>46293</c:v>
                </c:pt>
                <c:pt idx="2152">
                  <c:v>46294</c:v>
                </c:pt>
                <c:pt idx="2153">
                  <c:v>46295</c:v>
                </c:pt>
                <c:pt idx="2154">
                  <c:v>46296</c:v>
                </c:pt>
                <c:pt idx="2155">
                  <c:v>46297</c:v>
                </c:pt>
                <c:pt idx="2156">
                  <c:v>46300</c:v>
                </c:pt>
                <c:pt idx="2157">
                  <c:v>46301</c:v>
                </c:pt>
                <c:pt idx="2158">
                  <c:v>46302</c:v>
                </c:pt>
                <c:pt idx="2159">
                  <c:v>46303</c:v>
                </c:pt>
                <c:pt idx="2160">
                  <c:v>46304</c:v>
                </c:pt>
                <c:pt idx="2161">
                  <c:v>46307</c:v>
                </c:pt>
                <c:pt idx="2162">
                  <c:v>46308</c:v>
                </c:pt>
                <c:pt idx="2163">
                  <c:v>46309</c:v>
                </c:pt>
                <c:pt idx="2164">
                  <c:v>46310</c:v>
                </c:pt>
                <c:pt idx="2165">
                  <c:v>46311</c:v>
                </c:pt>
                <c:pt idx="2166">
                  <c:v>46314</c:v>
                </c:pt>
                <c:pt idx="2167">
                  <c:v>46315</c:v>
                </c:pt>
                <c:pt idx="2168">
                  <c:v>46316</c:v>
                </c:pt>
                <c:pt idx="2169">
                  <c:v>46317</c:v>
                </c:pt>
                <c:pt idx="2170">
                  <c:v>46318</c:v>
                </c:pt>
                <c:pt idx="2171">
                  <c:v>46321</c:v>
                </c:pt>
                <c:pt idx="2172">
                  <c:v>46322</c:v>
                </c:pt>
                <c:pt idx="2173">
                  <c:v>46323</c:v>
                </c:pt>
                <c:pt idx="2174">
                  <c:v>46324</c:v>
                </c:pt>
                <c:pt idx="2175">
                  <c:v>46325</c:v>
                </c:pt>
                <c:pt idx="2176">
                  <c:v>46328</c:v>
                </c:pt>
                <c:pt idx="2177">
                  <c:v>46329</c:v>
                </c:pt>
                <c:pt idx="2178">
                  <c:v>46330</c:v>
                </c:pt>
                <c:pt idx="2179">
                  <c:v>46331</c:v>
                </c:pt>
                <c:pt idx="2180">
                  <c:v>46332</c:v>
                </c:pt>
                <c:pt idx="2181">
                  <c:v>46335</c:v>
                </c:pt>
                <c:pt idx="2182">
                  <c:v>46336</c:v>
                </c:pt>
                <c:pt idx="2183">
                  <c:v>46337</c:v>
                </c:pt>
                <c:pt idx="2184">
                  <c:v>46338</c:v>
                </c:pt>
                <c:pt idx="2185">
                  <c:v>46339</c:v>
                </c:pt>
                <c:pt idx="2186">
                  <c:v>46342</c:v>
                </c:pt>
                <c:pt idx="2187">
                  <c:v>46343</c:v>
                </c:pt>
                <c:pt idx="2188">
                  <c:v>46344</c:v>
                </c:pt>
                <c:pt idx="2189">
                  <c:v>46345</c:v>
                </c:pt>
                <c:pt idx="2190">
                  <c:v>46346</c:v>
                </c:pt>
                <c:pt idx="2191">
                  <c:v>46349</c:v>
                </c:pt>
                <c:pt idx="2192">
                  <c:v>46350</c:v>
                </c:pt>
                <c:pt idx="2193">
                  <c:v>46351</c:v>
                </c:pt>
                <c:pt idx="2194">
                  <c:v>46352</c:v>
                </c:pt>
                <c:pt idx="2195">
                  <c:v>46353</c:v>
                </c:pt>
                <c:pt idx="2196">
                  <c:v>46356</c:v>
                </c:pt>
                <c:pt idx="2197">
                  <c:v>46357</c:v>
                </c:pt>
                <c:pt idx="2198">
                  <c:v>46358</c:v>
                </c:pt>
                <c:pt idx="2199">
                  <c:v>46359</c:v>
                </c:pt>
                <c:pt idx="2200">
                  <c:v>46360</c:v>
                </c:pt>
                <c:pt idx="2201">
                  <c:v>46363</c:v>
                </c:pt>
                <c:pt idx="2202">
                  <c:v>46364</c:v>
                </c:pt>
                <c:pt idx="2203">
                  <c:v>46365</c:v>
                </c:pt>
                <c:pt idx="2204">
                  <c:v>46366</c:v>
                </c:pt>
                <c:pt idx="2205">
                  <c:v>46367</c:v>
                </c:pt>
                <c:pt idx="2206">
                  <c:v>46370</c:v>
                </c:pt>
                <c:pt idx="2207">
                  <c:v>46371</c:v>
                </c:pt>
                <c:pt idx="2208">
                  <c:v>46372</c:v>
                </c:pt>
                <c:pt idx="2209">
                  <c:v>46373</c:v>
                </c:pt>
                <c:pt idx="2210">
                  <c:v>46374</c:v>
                </c:pt>
                <c:pt idx="2211">
                  <c:v>46377</c:v>
                </c:pt>
                <c:pt idx="2212">
                  <c:v>46378</c:v>
                </c:pt>
                <c:pt idx="2213">
                  <c:v>46379</c:v>
                </c:pt>
                <c:pt idx="2214">
                  <c:v>46380</c:v>
                </c:pt>
                <c:pt idx="2215">
                  <c:v>46384</c:v>
                </c:pt>
                <c:pt idx="2216">
                  <c:v>46385</c:v>
                </c:pt>
                <c:pt idx="2217">
                  <c:v>46386</c:v>
                </c:pt>
                <c:pt idx="2218">
                  <c:v>46387</c:v>
                </c:pt>
                <c:pt idx="2219">
                  <c:v>46391</c:v>
                </c:pt>
                <c:pt idx="2220">
                  <c:v>46392</c:v>
                </c:pt>
                <c:pt idx="2221">
                  <c:v>46393</c:v>
                </c:pt>
                <c:pt idx="2222">
                  <c:v>46394</c:v>
                </c:pt>
                <c:pt idx="2223">
                  <c:v>46395</c:v>
                </c:pt>
                <c:pt idx="2224">
                  <c:v>46398</c:v>
                </c:pt>
                <c:pt idx="2225">
                  <c:v>46399</c:v>
                </c:pt>
                <c:pt idx="2226">
                  <c:v>46400</c:v>
                </c:pt>
                <c:pt idx="2227">
                  <c:v>46401</c:v>
                </c:pt>
                <c:pt idx="2228">
                  <c:v>46402</c:v>
                </c:pt>
                <c:pt idx="2229">
                  <c:v>46405</c:v>
                </c:pt>
                <c:pt idx="2230">
                  <c:v>46406</c:v>
                </c:pt>
                <c:pt idx="2231">
                  <c:v>46407</c:v>
                </c:pt>
                <c:pt idx="2232">
                  <c:v>46408</c:v>
                </c:pt>
                <c:pt idx="2233">
                  <c:v>46409</c:v>
                </c:pt>
                <c:pt idx="2234">
                  <c:v>46412</c:v>
                </c:pt>
                <c:pt idx="2235">
                  <c:v>46413</c:v>
                </c:pt>
                <c:pt idx="2236">
                  <c:v>46414</c:v>
                </c:pt>
                <c:pt idx="2237">
                  <c:v>46415</c:v>
                </c:pt>
                <c:pt idx="2238">
                  <c:v>46416</c:v>
                </c:pt>
                <c:pt idx="2239">
                  <c:v>46419</c:v>
                </c:pt>
                <c:pt idx="2240">
                  <c:v>46420</c:v>
                </c:pt>
                <c:pt idx="2241">
                  <c:v>46421</c:v>
                </c:pt>
                <c:pt idx="2242">
                  <c:v>46422</c:v>
                </c:pt>
                <c:pt idx="2243">
                  <c:v>46423</c:v>
                </c:pt>
                <c:pt idx="2244">
                  <c:v>46426</c:v>
                </c:pt>
                <c:pt idx="2245">
                  <c:v>46427</c:v>
                </c:pt>
                <c:pt idx="2246">
                  <c:v>46428</c:v>
                </c:pt>
                <c:pt idx="2247">
                  <c:v>46429</c:v>
                </c:pt>
                <c:pt idx="2248">
                  <c:v>46430</c:v>
                </c:pt>
                <c:pt idx="2249">
                  <c:v>46433</c:v>
                </c:pt>
                <c:pt idx="2250">
                  <c:v>46434</c:v>
                </c:pt>
                <c:pt idx="2251">
                  <c:v>46435</c:v>
                </c:pt>
                <c:pt idx="2252">
                  <c:v>46436</c:v>
                </c:pt>
                <c:pt idx="2253">
                  <c:v>46437</c:v>
                </c:pt>
                <c:pt idx="2254">
                  <c:v>46440</c:v>
                </c:pt>
                <c:pt idx="2255">
                  <c:v>46441</c:v>
                </c:pt>
                <c:pt idx="2256">
                  <c:v>46442</c:v>
                </c:pt>
                <c:pt idx="2257">
                  <c:v>46443</c:v>
                </c:pt>
                <c:pt idx="2258">
                  <c:v>46444</c:v>
                </c:pt>
                <c:pt idx="2259">
                  <c:v>46447</c:v>
                </c:pt>
                <c:pt idx="2260">
                  <c:v>46448</c:v>
                </c:pt>
                <c:pt idx="2261">
                  <c:v>46449</c:v>
                </c:pt>
                <c:pt idx="2262">
                  <c:v>46450</c:v>
                </c:pt>
                <c:pt idx="2263">
                  <c:v>46451</c:v>
                </c:pt>
                <c:pt idx="2264">
                  <c:v>46454</c:v>
                </c:pt>
                <c:pt idx="2265">
                  <c:v>46455</c:v>
                </c:pt>
                <c:pt idx="2266">
                  <c:v>46456</c:v>
                </c:pt>
                <c:pt idx="2267">
                  <c:v>46457</c:v>
                </c:pt>
                <c:pt idx="2268">
                  <c:v>46458</c:v>
                </c:pt>
                <c:pt idx="2269">
                  <c:v>46461</c:v>
                </c:pt>
                <c:pt idx="2270">
                  <c:v>46462</c:v>
                </c:pt>
                <c:pt idx="2271">
                  <c:v>46463</c:v>
                </c:pt>
                <c:pt idx="2272">
                  <c:v>46464</c:v>
                </c:pt>
                <c:pt idx="2273">
                  <c:v>46465</c:v>
                </c:pt>
                <c:pt idx="2274">
                  <c:v>46468</c:v>
                </c:pt>
                <c:pt idx="2275">
                  <c:v>46469</c:v>
                </c:pt>
                <c:pt idx="2276">
                  <c:v>46470</c:v>
                </c:pt>
                <c:pt idx="2277">
                  <c:v>46471</c:v>
                </c:pt>
                <c:pt idx="2278">
                  <c:v>46476</c:v>
                </c:pt>
                <c:pt idx="2279">
                  <c:v>46477</c:v>
                </c:pt>
                <c:pt idx="2280">
                  <c:v>46478</c:v>
                </c:pt>
                <c:pt idx="2281">
                  <c:v>46479</c:v>
                </c:pt>
                <c:pt idx="2282">
                  <c:v>46482</c:v>
                </c:pt>
                <c:pt idx="2283">
                  <c:v>46483</c:v>
                </c:pt>
                <c:pt idx="2284">
                  <c:v>46484</c:v>
                </c:pt>
                <c:pt idx="2285">
                  <c:v>46485</c:v>
                </c:pt>
                <c:pt idx="2286">
                  <c:v>46486</c:v>
                </c:pt>
                <c:pt idx="2287">
                  <c:v>46489</c:v>
                </c:pt>
                <c:pt idx="2288">
                  <c:v>46490</c:v>
                </c:pt>
                <c:pt idx="2289">
                  <c:v>46491</c:v>
                </c:pt>
                <c:pt idx="2290">
                  <c:v>46492</c:v>
                </c:pt>
                <c:pt idx="2291">
                  <c:v>46493</c:v>
                </c:pt>
                <c:pt idx="2292">
                  <c:v>46496</c:v>
                </c:pt>
                <c:pt idx="2293">
                  <c:v>46497</c:v>
                </c:pt>
                <c:pt idx="2294">
                  <c:v>46498</c:v>
                </c:pt>
                <c:pt idx="2295">
                  <c:v>46499</c:v>
                </c:pt>
                <c:pt idx="2296">
                  <c:v>46500</c:v>
                </c:pt>
                <c:pt idx="2297">
                  <c:v>46503</c:v>
                </c:pt>
                <c:pt idx="2298">
                  <c:v>46504</c:v>
                </c:pt>
                <c:pt idx="2299">
                  <c:v>46505</c:v>
                </c:pt>
                <c:pt idx="2300">
                  <c:v>46506</c:v>
                </c:pt>
                <c:pt idx="2301">
                  <c:v>46507</c:v>
                </c:pt>
                <c:pt idx="2302">
                  <c:v>46510</c:v>
                </c:pt>
                <c:pt idx="2303">
                  <c:v>46511</c:v>
                </c:pt>
                <c:pt idx="2304">
                  <c:v>46512</c:v>
                </c:pt>
                <c:pt idx="2305">
                  <c:v>46513</c:v>
                </c:pt>
                <c:pt idx="2306">
                  <c:v>46514</c:v>
                </c:pt>
                <c:pt idx="2307">
                  <c:v>46517</c:v>
                </c:pt>
                <c:pt idx="2308">
                  <c:v>46518</c:v>
                </c:pt>
                <c:pt idx="2309">
                  <c:v>46519</c:v>
                </c:pt>
                <c:pt idx="2310">
                  <c:v>46520</c:v>
                </c:pt>
                <c:pt idx="2311">
                  <c:v>46521</c:v>
                </c:pt>
                <c:pt idx="2312">
                  <c:v>46524</c:v>
                </c:pt>
                <c:pt idx="2313">
                  <c:v>46525</c:v>
                </c:pt>
                <c:pt idx="2314">
                  <c:v>46526</c:v>
                </c:pt>
                <c:pt idx="2315">
                  <c:v>46527</c:v>
                </c:pt>
                <c:pt idx="2316">
                  <c:v>46528</c:v>
                </c:pt>
                <c:pt idx="2317">
                  <c:v>46531</c:v>
                </c:pt>
                <c:pt idx="2318">
                  <c:v>46532</c:v>
                </c:pt>
                <c:pt idx="2319">
                  <c:v>46533</c:v>
                </c:pt>
                <c:pt idx="2320">
                  <c:v>46534</c:v>
                </c:pt>
                <c:pt idx="2321">
                  <c:v>46535</c:v>
                </c:pt>
                <c:pt idx="2322">
                  <c:v>46538</c:v>
                </c:pt>
                <c:pt idx="2323">
                  <c:v>46539</c:v>
                </c:pt>
                <c:pt idx="2324">
                  <c:v>46540</c:v>
                </c:pt>
                <c:pt idx="2325">
                  <c:v>46541</c:v>
                </c:pt>
                <c:pt idx="2326">
                  <c:v>46542</c:v>
                </c:pt>
                <c:pt idx="2327">
                  <c:v>46545</c:v>
                </c:pt>
                <c:pt idx="2328">
                  <c:v>46546</c:v>
                </c:pt>
                <c:pt idx="2329">
                  <c:v>46547</c:v>
                </c:pt>
                <c:pt idx="2330">
                  <c:v>46548</c:v>
                </c:pt>
                <c:pt idx="2331">
                  <c:v>46549</c:v>
                </c:pt>
                <c:pt idx="2332">
                  <c:v>46552</c:v>
                </c:pt>
                <c:pt idx="2333">
                  <c:v>46553</c:v>
                </c:pt>
                <c:pt idx="2334">
                  <c:v>46554</c:v>
                </c:pt>
                <c:pt idx="2335">
                  <c:v>46555</c:v>
                </c:pt>
                <c:pt idx="2336">
                  <c:v>46556</c:v>
                </c:pt>
                <c:pt idx="2337">
                  <c:v>46559</c:v>
                </c:pt>
                <c:pt idx="2338">
                  <c:v>46560</c:v>
                </c:pt>
                <c:pt idx="2339">
                  <c:v>46561</c:v>
                </c:pt>
                <c:pt idx="2340">
                  <c:v>46562</c:v>
                </c:pt>
                <c:pt idx="2341">
                  <c:v>46563</c:v>
                </c:pt>
                <c:pt idx="2342">
                  <c:v>46566</c:v>
                </c:pt>
                <c:pt idx="2343">
                  <c:v>46567</c:v>
                </c:pt>
                <c:pt idx="2344">
                  <c:v>46568</c:v>
                </c:pt>
                <c:pt idx="2345">
                  <c:v>46569</c:v>
                </c:pt>
                <c:pt idx="2346">
                  <c:v>46570</c:v>
                </c:pt>
                <c:pt idx="2347">
                  <c:v>46573</c:v>
                </c:pt>
                <c:pt idx="2348">
                  <c:v>46574</c:v>
                </c:pt>
                <c:pt idx="2349">
                  <c:v>46575</c:v>
                </c:pt>
                <c:pt idx="2350">
                  <c:v>46576</c:v>
                </c:pt>
                <c:pt idx="2351">
                  <c:v>46577</c:v>
                </c:pt>
                <c:pt idx="2352">
                  <c:v>46580</c:v>
                </c:pt>
                <c:pt idx="2353">
                  <c:v>46581</c:v>
                </c:pt>
                <c:pt idx="2354">
                  <c:v>46582</c:v>
                </c:pt>
                <c:pt idx="2355">
                  <c:v>46583</c:v>
                </c:pt>
                <c:pt idx="2356">
                  <c:v>46584</c:v>
                </c:pt>
                <c:pt idx="2357">
                  <c:v>46587</c:v>
                </c:pt>
                <c:pt idx="2358">
                  <c:v>46588</c:v>
                </c:pt>
                <c:pt idx="2359">
                  <c:v>46589</c:v>
                </c:pt>
                <c:pt idx="2360">
                  <c:v>46590</c:v>
                </c:pt>
                <c:pt idx="2361">
                  <c:v>46591</c:v>
                </c:pt>
                <c:pt idx="2362">
                  <c:v>46594</c:v>
                </c:pt>
                <c:pt idx="2363">
                  <c:v>46595</c:v>
                </c:pt>
                <c:pt idx="2364">
                  <c:v>46596</c:v>
                </c:pt>
                <c:pt idx="2365">
                  <c:v>46597</c:v>
                </c:pt>
                <c:pt idx="2366">
                  <c:v>46598</c:v>
                </c:pt>
                <c:pt idx="2367">
                  <c:v>46601</c:v>
                </c:pt>
                <c:pt idx="2368">
                  <c:v>46602</c:v>
                </c:pt>
                <c:pt idx="2369">
                  <c:v>46603</c:v>
                </c:pt>
                <c:pt idx="2370">
                  <c:v>46604</c:v>
                </c:pt>
                <c:pt idx="2371">
                  <c:v>46605</c:v>
                </c:pt>
                <c:pt idx="2372">
                  <c:v>46608</c:v>
                </c:pt>
                <c:pt idx="2373">
                  <c:v>46609</c:v>
                </c:pt>
                <c:pt idx="2374">
                  <c:v>46610</c:v>
                </c:pt>
                <c:pt idx="2375">
                  <c:v>46611</c:v>
                </c:pt>
                <c:pt idx="2376">
                  <c:v>46612</c:v>
                </c:pt>
                <c:pt idx="2377">
                  <c:v>46615</c:v>
                </c:pt>
                <c:pt idx="2378">
                  <c:v>46616</c:v>
                </c:pt>
                <c:pt idx="2379">
                  <c:v>46617</c:v>
                </c:pt>
                <c:pt idx="2380">
                  <c:v>46618</c:v>
                </c:pt>
                <c:pt idx="2381">
                  <c:v>46619</c:v>
                </c:pt>
                <c:pt idx="2382">
                  <c:v>46622</c:v>
                </c:pt>
                <c:pt idx="2383">
                  <c:v>46623</c:v>
                </c:pt>
                <c:pt idx="2384">
                  <c:v>46624</c:v>
                </c:pt>
                <c:pt idx="2385">
                  <c:v>46625</c:v>
                </c:pt>
                <c:pt idx="2386">
                  <c:v>46626</c:v>
                </c:pt>
                <c:pt idx="2387">
                  <c:v>46629</c:v>
                </c:pt>
                <c:pt idx="2388">
                  <c:v>46630</c:v>
                </c:pt>
                <c:pt idx="2389">
                  <c:v>46631</c:v>
                </c:pt>
                <c:pt idx="2390">
                  <c:v>46632</c:v>
                </c:pt>
                <c:pt idx="2391">
                  <c:v>46633</c:v>
                </c:pt>
                <c:pt idx="2392">
                  <c:v>46636</c:v>
                </c:pt>
                <c:pt idx="2393">
                  <c:v>46637</c:v>
                </c:pt>
                <c:pt idx="2394">
                  <c:v>46638</c:v>
                </c:pt>
                <c:pt idx="2395">
                  <c:v>46639</c:v>
                </c:pt>
                <c:pt idx="2396">
                  <c:v>46640</c:v>
                </c:pt>
                <c:pt idx="2397">
                  <c:v>46643</c:v>
                </c:pt>
                <c:pt idx="2398">
                  <c:v>46644</c:v>
                </c:pt>
                <c:pt idx="2399">
                  <c:v>46645</c:v>
                </c:pt>
                <c:pt idx="2400">
                  <c:v>46646</c:v>
                </c:pt>
                <c:pt idx="2401">
                  <c:v>46647</c:v>
                </c:pt>
                <c:pt idx="2402">
                  <c:v>46650</c:v>
                </c:pt>
                <c:pt idx="2403">
                  <c:v>46651</c:v>
                </c:pt>
                <c:pt idx="2404">
                  <c:v>46652</c:v>
                </c:pt>
                <c:pt idx="2405">
                  <c:v>46653</c:v>
                </c:pt>
                <c:pt idx="2406">
                  <c:v>46654</c:v>
                </c:pt>
                <c:pt idx="2407">
                  <c:v>46657</c:v>
                </c:pt>
                <c:pt idx="2408">
                  <c:v>46658</c:v>
                </c:pt>
                <c:pt idx="2409">
                  <c:v>46659</c:v>
                </c:pt>
                <c:pt idx="2410">
                  <c:v>46660</c:v>
                </c:pt>
                <c:pt idx="2411">
                  <c:v>46661</c:v>
                </c:pt>
                <c:pt idx="2412">
                  <c:v>46664</c:v>
                </c:pt>
                <c:pt idx="2413">
                  <c:v>46665</c:v>
                </c:pt>
                <c:pt idx="2414">
                  <c:v>46666</c:v>
                </c:pt>
                <c:pt idx="2415">
                  <c:v>46667</c:v>
                </c:pt>
                <c:pt idx="2416">
                  <c:v>46668</c:v>
                </c:pt>
                <c:pt idx="2417">
                  <c:v>46671</c:v>
                </c:pt>
                <c:pt idx="2418">
                  <c:v>46672</c:v>
                </c:pt>
                <c:pt idx="2419">
                  <c:v>46673</c:v>
                </c:pt>
                <c:pt idx="2420">
                  <c:v>46674</c:v>
                </c:pt>
                <c:pt idx="2421">
                  <c:v>46675</c:v>
                </c:pt>
                <c:pt idx="2422">
                  <c:v>46678</c:v>
                </c:pt>
                <c:pt idx="2423">
                  <c:v>46679</c:v>
                </c:pt>
                <c:pt idx="2424">
                  <c:v>46680</c:v>
                </c:pt>
                <c:pt idx="2425">
                  <c:v>46681</c:v>
                </c:pt>
                <c:pt idx="2426">
                  <c:v>46682</c:v>
                </c:pt>
                <c:pt idx="2427">
                  <c:v>46685</c:v>
                </c:pt>
                <c:pt idx="2428">
                  <c:v>46686</c:v>
                </c:pt>
                <c:pt idx="2429">
                  <c:v>46687</c:v>
                </c:pt>
                <c:pt idx="2430">
                  <c:v>46688</c:v>
                </c:pt>
                <c:pt idx="2431">
                  <c:v>46689</c:v>
                </c:pt>
                <c:pt idx="2432">
                  <c:v>46692</c:v>
                </c:pt>
                <c:pt idx="2433">
                  <c:v>46693</c:v>
                </c:pt>
                <c:pt idx="2434">
                  <c:v>46694</c:v>
                </c:pt>
                <c:pt idx="2435">
                  <c:v>46695</c:v>
                </c:pt>
                <c:pt idx="2436">
                  <c:v>46696</c:v>
                </c:pt>
                <c:pt idx="2437">
                  <c:v>46699</c:v>
                </c:pt>
                <c:pt idx="2438">
                  <c:v>46700</c:v>
                </c:pt>
                <c:pt idx="2439">
                  <c:v>46701</c:v>
                </c:pt>
                <c:pt idx="2440">
                  <c:v>46702</c:v>
                </c:pt>
                <c:pt idx="2441">
                  <c:v>46703</c:v>
                </c:pt>
                <c:pt idx="2442">
                  <c:v>46706</c:v>
                </c:pt>
                <c:pt idx="2443">
                  <c:v>46707</c:v>
                </c:pt>
                <c:pt idx="2444">
                  <c:v>46708</c:v>
                </c:pt>
                <c:pt idx="2445">
                  <c:v>46709</c:v>
                </c:pt>
                <c:pt idx="2446">
                  <c:v>46710</c:v>
                </c:pt>
                <c:pt idx="2447">
                  <c:v>46713</c:v>
                </c:pt>
                <c:pt idx="2448">
                  <c:v>46714</c:v>
                </c:pt>
                <c:pt idx="2449">
                  <c:v>46715</c:v>
                </c:pt>
                <c:pt idx="2450">
                  <c:v>46716</c:v>
                </c:pt>
                <c:pt idx="2451">
                  <c:v>46717</c:v>
                </c:pt>
                <c:pt idx="2452">
                  <c:v>46720</c:v>
                </c:pt>
                <c:pt idx="2453">
                  <c:v>46721</c:v>
                </c:pt>
                <c:pt idx="2454">
                  <c:v>46722</c:v>
                </c:pt>
                <c:pt idx="2455">
                  <c:v>46723</c:v>
                </c:pt>
                <c:pt idx="2456">
                  <c:v>46724</c:v>
                </c:pt>
                <c:pt idx="2457">
                  <c:v>46727</c:v>
                </c:pt>
                <c:pt idx="2458">
                  <c:v>46728</c:v>
                </c:pt>
                <c:pt idx="2459">
                  <c:v>46729</c:v>
                </c:pt>
                <c:pt idx="2460">
                  <c:v>46730</c:v>
                </c:pt>
                <c:pt idx="2461">
                  <c:v>46731</c:v>
                </c:pt>
                <c:pt idx="2462">
                  <c:v>46734</c:v>
                </c:pt>
                <c:pt idx="2463">
                  <c:v>46735</c:v>
                </c:pt>
                <c:pt idx="2464">
                  <c:v>46736</c:v>
                </c:pt>
                <c:pt idx="2465">
                  <c:v>46737</c:v>
                </c:pt>
                <c:pt idx="2466">
                  <c:v>46738</c:v>
                </c:pt>
                <c:pt idx="2467">
                  <c:v>46741</c:v>
                </c:pt>
                <c:pt idx="2468">
                  <c:v>46742</c:v>
                </c:pt>
                <c:pt idx="2469">
                  <c:v>46743</c:v>
                </c:pt>
                <c:pt idx="2470">
                  <c:v>46744</c:v>
                </c:pt>
                <c:pt idx="2471">
                  <c:v>46745</c:v>
                </c:pt>
                <c:pt idx="2472">
                  <c:v>46748</c:v>
                </c:pt>
                <c:pt idx="2473">
                  <c:v>46749</c:v>
                </c:pt>
                <c:pt idx="2474">
                  <c:v>46750</c:v>
                </c:pt>
                <c:pt idx="2475">
                  <c:v>46751</c:v>
                </c:pt>
                <c:pt idx="2476">
                  <c:v>46752</c:v>
                </c:pt>
                <c:pt idx="2477">
                  <c:v>46755</c:v>
                </c:pt>
                <c:pt idx="2478">
                  <c:v>46756</c:v>
                </c:pt>
                <c:pt idx="2479">
                  <c:v>46757</c:v>
                </c:pt>
                <c:pt idx="2480">
                  <c:v>46758</c:v>
                </c:pt>
                <c:pt idx="2481">
                  <c:v>46759</c:v>
                </c:pt>
                <c:pt idx="2482">
                  <c:v>46762</c:v>
                </c:pt>
                <c:pt idx="2483">
                  <c:v>46763</c:v>
                </c:pt>
                <c:pt idx="2484">
                  <c:v>46764</c:v>
                </c:pt>
                <c:pt idx="2485">
                  <c:v>46765</c:v>
                </c:pt>
                <c:pt idx="2486">
                  <c:v>46766</c:v>
                </c:pt>
                <c:pt idx="2487">
                  <c:v>46769</c:v>
                </c:pt>
                <c:pt idx="2488">
                  <c:v>46770</c:v>
                </c:pt>
                <c:pt idx="2489">
                  <c:v>46771</c:v>
                </c:pt>
                <c:pt idx="2490">
                  <c:v>46772</c:v>
                </c:pt>
                <c:pt idx="2491">
                  <c:v>46773</c:v>
                </c:pt>
                <c:pt idx="2492">
                  <c:v>46776</c:v>
                </c:pt>
                <c:pt idx="2493">
                  <c:v>46777</c:v>
                </c:pt>
                <c:pt idx="2494">
                  <c:v>46778</c:v>
                </c:pt>
                <c:pt idx="2495">
                  <c:v>46779</c:v>
                </c:pt>
                <c:pt idx="2496">
                  <c:v>46780</c:v>
                </c:pt>
                <c:pt idx="2497">
                  <c:v>46783</c:v>
                </c:pt>
                <c:pt idx="2498">
                  <c:v>46784</c:v>
                </c:pt>
                <c:pt idx="2499">
                  <c:v>46785</c:v>
                </c:pt>
                <c:pt idx="2500">
                  <c:v>46786</c:v>
                </c:pt>
                <c:pt idx="2501">
                  <c:v>46787</c:v>
                </c:pt>
                <c:pt idx="2502">
                  <c:v>46790</c:v>
                </c:pt>
                <c:pt idx="2503">
                  <c:v>46791</c:v>
                </c:pt>
                <c:pt idx="2504">
                  <c:v>46792</c:v>
                </c:pt>
                <c:pt idx="2505">
                  <c:v>46793</c:v>
                </c:pt>
                <c:pt idx="2506">
                  <c:v>46794</c:v>
                </c:pt>
                <c:pt idx="2507">
                  <c:v>46797</c:v>
                </c:pt>
                <c:pt idx="2508">
                  <c:v>46798</c:v>
                </c:pt>
                <c:pt idx="2509">
                  <c:v>46799</c:v>
                </c:pt>
                <c:pt idx="2510">
                  <c:v>46800</c:v>
                </c:pt>
                <c:pt idx="2511">
                  <c:v>46801</c:v>
                </c:pt>
                <c:pt idx="2512">
                  <c:v>46804</c:v>
                </c:pt>
                <c:pt idx="2513">
                  <c:v>46805</c:v>
                </c:pt>
                <c:pt idx="2514">
                  <c:v>46806</c:v>
                </c:pt>
                <c:pt idx="2515">
                  <c:v>46807</c:v>
                </c:pt>
                <c:pt idx="2516">
                  <c:v>46808</c:v>
                </c:pt>
                <c:pt idx="2517">
                  <c:v>46811</c:v>
                </c:pt>
                <c:pt idx="2518">
                  <c:v>46812</c:v>
                </c:pt>
                <c:pt idx="2519">
                  <c:v>46813</c:v>
                </c:pt>
                <c:pt idx="2520">
                  <c:v>46814</c:v>
                </c:pt>
                <c:pt idx="2521">
                  <c:v>46815</c:v>
                </c:pt>
                <c:pt idx="2522">
                  <c:v>46818</c:v>
                </c:pt>
                <c:pt idx="2523">
                  <c:v>46819</c:v>
                </c:pt>
                <c:pt idx="2524">
                  <c:v>46820</c:v>
                </c:pt>
                <c:pt idx="2525">
                  <c:v>46821</c:v>
                </c:pt>
                <c:pt idx="2526">
                  <c:v>46822</c:v>
                </c:pt>
                <c:pt idx="2527">
                  <c:v>46825</c:v>
                </c:pt>
                <c:pt idx="2528">
                  <c:v>46826</c:v>
                </c:pt>
                <c:pt idx="2529">
                  <c:v>46827</c:v>
                </c:pt>
                <c:pt idx="2530">
                  <c:v>46828</c:v>
                </c:pt>
                <c:pt idx="2531">
                  <c:v>46829</c:v>
                </c:pt>
                <c:pt idx="2532">
                  <c:v>46832</c:v>
                </c:pt>
                <c:pt idx="2533">
                  <c:v>46833</c:v>
                </c:pt>
                <c:pt idx="2534">
                  <c:v>46834</c:v>
                </c:pt>
                <c:pt idx="2535">
                  <c:v>46835</c:v>
                </c:pt>
                <c:pt idx="2536">
                  <c:v>46836</c:v>
                </c:pt>
                <c:pt idx="2537">
                  <c:v>46839</c:v>
                </c:pt>
                <c:pt idx="2538">
                  <c:v>46840</c:v>
                </c:pt>
                <c:pt idx="2539">
                  <c:v>46841</c:v>
                </c:pt>
                <c:pt idx="2540">
                  <c:v>46842</c:v>
                </c:pt>
                <c:pt idx="2541">
                  <c:v>46843</c:v>
                </c:pt>
                <c:pt idx="2542">
                  <c:v>46846</c:v>
                </c:pt>
                <c:pt idx="2543">
                  <c:v>46847</c:v>
                </c:pt>
                <c:pt idx="2544">
                  <c:v>46848</c:v>
                </c:pt>
                <c:pt idx="2545">
                  <c:v>46849</c:v>
                </c:pt>
                <c:pt idx="2546">
                  <c:v>46850</c:v>
                </c:pt>
                <c:pt idx="2547">
                  <c:v>46853</c:v>
                </c:pt>
                <c:pt idx="2548">
                  <c:v>46854</c:v>
                </c:pt>
                <c:pt idx="2549">
                  <c:v>46855</c:v>
                </c:pt>
                <c:pt idx="2550">
                  <c:v>46856</c:v>
                </c:pt>
                <c:pt idx="2551">
                  <c:v>46861</c:v>
                </c:pt>
                <c:pt idx="2552">
                  <c:v>46862</c:v>
                </c:pt>
                <c:pt idx="2553">
                  <c:v>46863</c:v>
                </c:pt>
                <c:pt idx="2554">
                  <c:v>46864</c:v>
                </c:pt>
                <c:pt idx="2555">
                  <c:v>46867</c:v>
                </c:pt>
                <c:pt idx="2556">
                  <c:v>46868</c:v>
                </c:pt>
                <c:pt idx="2557">
                  <c:v>46869</c:v>
                </c:pt>
                <c:pt idx="2558">
                  <c:v>46870</c:v>
                </c:pt>
                <c:pt idx="2559">
                  <c:v>46871</c:v>
                </c:pt>
                <c:pt idx="2560">
                  <c:v>46875</c:v>
                </c:pt>
                <c:pt idx="2561">
                  <c:v>46876</c:v>
                </c:pt>
                <c:pt idx="2562">
                  <c:v>46877</c:v>
                </c:pt>
                <c:pt idx="2563">
                  <c:v>46878</c:v>
                </c:pt>
                <c:pt idx="2564">
                  <c:v>46881</c:v>
                </c:pt>
                <c:pt idx="2565">
                  <c:v>46882</c:v>
                </c:pt>
                <c:pt idx="2566">
                  <c:v>46883</c:v>
                </c:pt>
                <c:pt idx="2567">
                  <c:v>46884</c:v>
                </c:pt>
                <c:pt idx="2568">
                  <c:v>46885</c:v>
                </c:pt>
                <c:pt idx="2569">
                  <c:v>46888</c:v>
                </c:pt>
                <c:pt idx="2570">
                  <c:v>46889</c:v>
                </c:pt>
                <c:pt idx="2571">
                  <c:v>46890</c:v>
                </c:pt>
                <c:pt idx="2572">
                  <c:v>46891</c:v>
                </c:pt>
                <c:pt idx="2573">
                  <c:v>46892</c:v>
                </c:pt>
                <c:pt idx="2574">
                  <c:v>46895</c:v>
                </c:pt>
                <c:pt idx="2575">
                  <c:v>46896</c:v>
                </c:pt>
                <c:pt idx="2576">
                  <c:v>46897</c:v>
                </c:pt>
                <c:pt idx="2577">
                  <c:v>46898</c:v>
                </c:pt>
                <c:pt idx="2578">
                  <c:v>46899</c:v>
                </c:pt>
                <c:pt idx="2579">
                  <c:v>46902</c:v>
                </c:pt>
                <c:pt idx="2580">
                  <c:v>46903</c:v>
                </c:pt>
                <c:pt idx="2581">
                  <c:v>46904</c:v>
                </c:pt>
                <c:pt idx="2582">
                  <c:v>46905</c:v>
                </c:pt>
                <c:pt idx="2583">
                  <c:v>46906</c:v>
                </c:pt>
                <c:pt idx="2584">
                  <c:v>46909</c:v>
                </c:pt>
                <c:pt idx="2585">
                  <c:v>46910</c:v>
                </c:pt>
                <c:pt idx="2586">
                  <c:v>46911</c:v>
                </c:pt>
                <c:pt idx="2587">
                  <c:v>46912</c:v>
                </c:pt>
                <c:pt idx="2588">
                  <c:v>46913</c:v>
                </c:pt>
                <c:pt idx="2589">
                  <c:v>46916</c:v>
                </c:pt>
                <c:pt idx="2590">
                  <c:v>46917</c:v>
                </c:pt>
                <c:pt idx="2591">
                  <c:v>46918</c:v>
                </c:pt>
                <c:pt idx="2592">
                  <c:v>46919</c:v>
                </c:pt>
                <c:pt idx="2593">
                  <c:v>46920</c:v>
                </c:pt>
                <c:pt idx="2594">
                  <c:v>46923</c:v>
                </c:pt>
                <c:pt idx="2595">
                  <c:v>46924</c:v>
                </c:pt>
                <c:pt idx="2596">
                  <c:v>46925</c:v>
                </c:pt>
                <c:pt idx="2597">
                  <c:v>46926</c:v>
                </c:pt>
                <c:pt idx="2598">
                  <c:v>46927</c:v>
                </c:pt>
                <c:pt idx="2599">
                  <c:v>46930</c:v>
                </c:pt>
                <c:pt idx="2600">
                  <c:v>46931</c:v>
                </c:pt>
                <c:pt idx="2601">
                  <c:v>46932</c:v>
                </c:pt>
                <c:pt idx="2602">
                  <c:v>46933</c:v>
                </c:pt>
                <c:pt idx="2603">
                  <c:v>46934</c:v>
                </c:pt>
                <c:pt idx="2604">
                  <c:v>46937</c:v>
                </c:pt>
                <c:pt idx="2605">
                  <c:v>46938</c:v>
                </c:pt>
                <c:pt idx="2606">
                  <c:v>46939</c:v>
                </c:pt>
                <c:pt idx="2607">
                  <c:v>46940</c:v>
                </c:pt>
                <c:pt idx="2608">
                  <c:v>46941</c:v>
                </c:pt>
                <c:pt idx="2609">
                  <c:v>46944</c:v>
                </c:pt>
                <c:pt idx="2610">
                  <c:v>46945</c:v>
                </c:pt>
                <c:pt idx="2611">
                  <c:v>46946</c:v>
                </c:pt>
                <c:pt idx="2612">
                  <c:v>46947</c:v>
                </c:pt>
                <c:pt idx="2613">
                  <c:v>46948</c:v>
                </c:pt>
                <c:pt idx="2614">
                  <c:v>46951</c:v>
                </c:pt>
                <c:pt idx="2615">
                  <c:v>46952</c:v>
                </c:pt>
                <c:pt idx="2616">
                  <c:v>46953</c:v>
                </c:pt>
                <c:pt idx="2617">
                  <c:v>46954</c:v>
                </c:pt>
                <c:pt idx="2618">
                  <c:v>46955</c:v>
                </c:pt>
                <c:pt idx="2619">
                  <c:v>46958</c:v>
                </c:pt>
                <c:pt idx="2620">
                  <c:v>46959</c:v>
                </c:pt>
                <c:pt idx="2621">
                  <c:v>46960</c:v>
                </c:pt>
                <c:pt idx="2622">
                  <c:v>46961</c:v>
                </c:pt>
                <c:pt idx="2623">
                  <c:v>46962</c:v>
                </c:pt>
                <c:pt idx="2624">
                  <c:v>46965</c:v>
                </c:pt>
                <c:pt idx="2625">
                  <c:v>46966</c:v>
                </c:pt>
                <c:pt idx="2626">
                  <c:v>46967</c:v>
                </c:pt>
                <c:pt idx="2627">
                  <c:v>46968</c:v>
                </c:pt>
                <c:pt idx="2628">
                  <c:v>46969</c:v>
                </c:pt>
                <c:pt idx="2629">
                  <c:v>46972</c:v>
                </c:pt>
                <c:pt idx="2630">
                  <c:v>46973</c:v>
                </c:pt>
                <c:pt idx="2631">
                  <c:v>46974</c:v>
                </c:pt>
                <c:pt idx="2632">
                  <c:v>46975</c:v>
                </c:pt>
                <c:pt idx="2633">
                  <c:v>46976</c:v>
                </c:pt>
                <c:pt idx="2634">
                  <c:v>46979</c:v>
                </c:pt>
                <c:pt idx="2635">
                  <c:v>46980</c:v>
                </c:pt>
                <c:pt idx="2636">
                  <c:v>46981</c:v>
                </c:pt>
                <c:pt idx="2637">
                  <c:v>46982</c:v>
                </c:pt>
                <c:pt idx="2638">
                  <c:v>46983</c:v>
                </c:pt>
                <c:pt idx="2639">
                  <c:v>46986</c:v>
                </c:pt>
                <c:pt idx="2640">
                  <c:v>46987</c:v>
                </c:pt>
                <c:pt idx="2641">
                  <c:v>46988</c:v>
                </c:pt>
                <c:pt idx="2642">
                  <c:v>46989</c:v>
                </c:pt>
                <c:pt idx="2643">
                  <c:v>46990</c:v>
                </c:pt>
                <c:pt idx="2644">
                  <c:v>46993</c:v>
                </c:pt>
                <c:pt idx="2645">
                  <c:v>46994</c:v>
                </c:pt>
                <c:pt idx="2646">
                  <c:v>46995</c:v>
                </c:pt>
                <c:pt idx="2647">
                  <c:v>46996</c:v>
                </c:pt>
                <c:pt idx="2648">
                  <c:v>46997</c:v>
                </c:pt>
                <c:pt idx="2649">
                  <c:v>47000</c:v>
                </c:pt>
                <c:pt idx="2650">
                  <c:v>47001</c:v>
                </c:pt>
                <c:pt idx="2651">
                  <c:v>47002</c:v>
                </c:pt>
                <c:pt idx="2652">
                  <c:v>47003</c:v>
                </c:pt>
                <c:pt idx="2653">
                  <c:v>47004</c:v>
                </c:pt>
                <c:pt idx="2654">
                  <c:v>47007</c:v>
                </c:pt>
                <c:pt idx="2655">
                  <c:v>47008</c:v>
                </c:pt>
                <c:pt idx="2656">
                  <c:v>47009</c:v>
                </c:pt>
                <c:pt idx="2657">
                  <c:v>47010</c:v>
                </c:pt>
                <c:pt idx="2658">
                  <c:v>47011</c:v>
                </c:pt>
                <c:pt idx="2659">
                  <c:v>47014</c:v>
                </c:pt>
                <c:pt idx="2660">
                  <c:v>47015</c:v>
                </c:pt>
                <c:pt idx="2661">
                  <c:v>47016</c:v>
                </c:pt>
                <c:pt idx="2662">
                  <c:v>47017</c:v>
                </c:pt>
                <c:pt idx="2663">
                  <c:v>47018</c:v>
                </c:pt>
                <c:pt idx="2664">
                  <c:v>47021</c:v>
                </c:pt>
                <c:pt idx="2665">
                  <c:v>47022</c:v>
                </c:pt>
                <c:pt idx="2666">
                  <c:v>47023</c:v>
                </c:pt>
                <c:pt idx="2667">
                  <c:v>47024</c:v>
                </c:pt>
                <c:pt idx="2668">
                  <c:v>47025</c:v>
                </c:pt>
                <c:pt idx="2669">
                  <c:v>47028</c:v>
                </c:pt>
                <c:pt idx="2670">
                  <c:v>47029</c:v>
                </c:pt>
                <c:pt idx="2671">
                  <c:v>47030</c:v>
                </c:pt>
                <c:pt idx="2672">
                  <c:v>47031</c:v>
                </c:pt>
                <c:pt idx="2673">
                  <c:v>47032</c:v>
                </c:pt>
                <c:pt idx="2674">
                  <c:v>47035</c:v>
                </c:pt>
                <c:pt idx="2675">
                  <c:v>47036</c:v>
                </c:pt>
                <c:pt idx="2676">
                  <c:v>47037</c:v>
                </c:pt>
                <c:pt idx="2677">
                  <c:v>47038</c:v>
                </c:pt>
                <c:pt idx="2678">
                  <c:v>47039</c:v>
                </c:pt>
                <c:pt idx="2679">
                  <c:v>47042</c:v>
                </c:pt>
                <c:pt idx="2680">
                  <c:v>47043</c:v>
                </c:pt>
                <c:pt idx="2681">
                  <c:v>47044</c:v>
                </c:pt>
                <c:pt idx="2682">
                  <c:v>47045</c:v>
                </c:pt>
                <c:pt idx="2683">
                  <c:v>47046</c:v>
                </c:pt>
                <c:pt idx="2684">
                  <c:v>47049</c:v>
                </c:pt>
                <c:pt idx="2685">
                  <c:v>47050</c:v>
                </c:pt>
                <c:pt idx="2686">
                  <c:v>47051</c:v>
                </c:pt>
                <c:pt idx="2687">
                  <c:v>47052</c:v>
                </c:pt>
                <c:pt idx="2688">
                  <c:v>47053</c:v>
                </c:pt>
                <c:pt idx="2689">
                  <c:v>47056</c:v>
                </c:pt>
                <c:pt idx="2690">
                  <c:v>47057</c:v>
                </c:pt>
                <c:pt idx="2691">
                  <c:v>47058</c:v>
                </c:pt>
                <c:pt idx="2692">
                  <c:v>47059</c:v>
                </c:pt>
                <c:pt idx="2693">
                  <c:v>47060</c:v>
                </c:pt>
                <c:pt idx="2694">
                  <c:v>47063</c:v>
                </c:pt>
                <c:pt idx="2695">
                  <c:v>47064</c:v>
                </c:pt>
                <c:pt idx="2696">
                  <c:v>47065</c:v>
                </c:pt>
                <c:pt idx="2697">
                  <c:v>47066</c:v>
                </c:pt>
                <c:pt idx="2698">
                  <c:v>47067</c:v>
                </c:pt>
                <c:pt idx="2699">
                  <c:v>47070</c:v>
                </c:pt>
                <c:pt idx="2700">
                  <c:v>47071</c:v>
                </c:pt>
                <c:pt idx="2701">
                  <c:v>47072</c:v>
                </c:pt>
                <c:pt idx="2702">
                  <c:v>47073</c:v>
                </c:pt>
                <c:pt idx="2703">
                  <c:v>47074</c:v>
                </c:pt>
                <c:pt idx="2704">
                  <c:v>47077</c:v>
                </c:pt>
                <c:pt idx="2705">
                  <c:v>47078</c:v>
                </c:pt>
                <c:pt idx="2706">
                  <c:v>47079</c:v>
                </c:pt>
                <c:pt idx="2707">
                  <c:v>47080</c:v>
                </c:pt>
                <c:pt idx="2708">
                  <c:v>47081</c:v>
                </c:pt>
                <c:pt idx="2709">
                  <c:v>47084</c:v>
                </c:pt>
                <c:pt idx="2710">
                  <c:v>47085</c:v>
                </c:pt>
                <c:pt idx="2711">
                  <c:v>47086</c:v>
                </c:pt>
                <c:pt idx="2712">
                  <c:v>47087</c:v>
                </c:pt>
                <c:pt idx="2713">
                  <c:v>47088</c:v>
                </c:pt>
                <c:pt idx="2714">
                  <c:v>47091</c:v>
                </c:pt>
                <c:pt idx="2715">
                  <c:v>47092</c:v>
                </c:pt>
                <c:pt idx="2716">
                  <c:v>47093</c:v>
                </c:pt>
                <c:pt idx="2717">
                  <c:v>47094</c:v>
                </c:pt>
                <c:pt idx="2718">
                  <c:v>47095</c:v>
                </c:pt>
                <c:pt idx="2719">
                  <c:v>47098</c:v>
                </c:pt>
                <c:pt idx="2720">
                  <c:v>47099</c:v>
                </c:pt>
                <c:pt idx="2721">
                  <c:v>47100</c:v>
                </c:pt>
                <c:pt idx="2722">
                  <c:v>47101</c:v>
                </c:pt>
                <c:pt idx="2723">
                  <c:v>47102</c:v>
                </c:pt>
                <c:pt idx="2724">
                  <c:v>47105</c:v>
                </c:pt>
                <c:pt idx="2725">
                  <c:v>47106</c:v>
                </c:pt>
                <c:pt idx="2726">
                  <c:v>47107</c:v>
                </c:pt>
                <c:pt idx="2727">
                  <c:v>47108</c:v>
                </c:pt>
                <c:pt idx="2728">
                  <c:v>47109</c:v>
                </c:pt>
                <c:pt idx="2729">
                  <c:v>47114</c:v>
                </c:pt>
                <c:pt idx="2730">
                  <c:v>47115</c:v>
                </c:pt>
                <c:pt idx="2731">
                  <c:v>47116</c:v>
                </c:pt>
                <c:pt idx="2732">
                  <c:v>47120</c:v>
                </c:pt>
                <c:pt idx="2733">
                  <c:v>47121</c:v>
                </c:pt>
                <c:pt idx="2734">
                  <c:v>47122</c:v>
                </c:pt>
                <c:pt idx="2735">
                  <c:v>47123</c:v>
                </c:pt>
                <c:pt idx="2736">
                  <c:v>47126</c:v>
                </c:pt>
                <c:pt idx="2737">
                  <c:v>47127</c:v>
                </c:pt>
                <c:pt idx="2738">
                  <c:v>47128</c:v>
                </c:pt>
                <c:pt idx="2739">
                  <c:v>47129</c:v>
                </c:pt>
                <c:pt idx="2740">
                  <c:v>47130</c:v>
                </c:pt>
                <c:pt idx="2741">
                  <c:v>47133</c:v>
                </c:pt>
                <c:pt idx="2742">
                  <c:v>47134</c:v>
                </c:pt>
                <c:pt idx="2743">
                  <c:v>47135</c:v>
                </c:pt>
                <c:pt idx="2744">
                  <c:v>47136</c:v>
                </c:pt>
                <c:pt idx="2745">
                  <c:v>47137</c:v>
                </c:pt>
                <c:pt idx="2746">
                  <c:v>47140</c:v>
                </c:pt>
                <c:pt idx="2747">
                  <c:v>47141</c:v>
                </c:pt>
                <c:pt idx="2748">
                  <c:v>47142</c:v>
                </c:pt>
                <c:pt idx="2749">
                  <c:v>47143</c:v>
                </c:pt>
                <c:pt idx="2750">
                  <c:v>47144</c:v>
                </c:pt>
                <c:pt idx="2751">
                  <c:v>47147</c:v>
                </c:pt>
                <c:pt idx="2752">
                  <c:v>47148</c:v>
                </c:pt>
                <c:pt idx="2753">
                  <c:v>47149</c:v>
                </c:pt>
                <c:pt idx="2754">
                  <c:v>47150</c:v>
                </c:pt>
                <c:pt idx="2755">
                  <c:v>47151</c:v>
                </c:pt>
                <c:pt idx="2756">
                  <c:v>47154</c:v>
                </c:pt>
                <c:pt idx="2757">
                  <c:v>47155</c:v>
                </c:pt>
                <c:pt idx="2758">
                  <c:v>47156</c:v>
                </c:pt>
                <c:pt idx="2759">
                  <c:v>47157</c:v>
                </c:pt>
                <c:pt idx="2760">
                  <c:v>47158</c:v>
                </c:pt>
                <c:pt idx="2761">
                  <c:v>47161</c:v>
                </c:pt>
                <c:pt idx="2762">
                  <c:v>47162</c:v>
                </c:pt>
                <c:pt idx="2763">
                  <c:v>47163</c:v>
                </c:pt>
                <c:pt idx="2764">
                  <c:v>47164</c:v>
                </c:pt>
                <c:pt idx="2765">
                  <c:v>47165</c:v>
                </c:pt>
                <c:pt idx="2766">
                  <c:v>47168</c:v>
                </c:pt>
                <c:pt idx="2767">
                  <c:v>47169</c:v>
                </c:pt>
                <c:pt idx="2768">
                  <c:v>47170</c:v>
                </c:pt>
                <c:pt idx="2769">
                  <c:v>47171</c:v>
                </c:pt>
                <c:pt idx="2770">
                  <c:v>47172</c:v>
                </c:pt>
                <c:pt idx="2771">
                  <c:v>47175</c:v>
                </c:pt>
                <c:pt idx="2772">
                  <c:v>47176</c:v>
                </c:pt>
                <c:pt idx="2773">
                  <c:v>47177</c:v>
                </c:pt>
                <c:pt idx="2774">
                  <c:v>47178</c:v>
                </c:pt>
                <c:pt idx="2775">
                  <c:v>47179</c:v>
                </c:pt>
                <c:pt idx="2776">
                  <c:v>47182</c:v>
                </c:pt>
                <c:pt idx="2777">
                  <c:v>47183</c:v>
                </c:pt>
                <c:pt idx="2778">
                  <c:v>47184</c:v>
                </c:pt>
                <c:pt idx="2779">
                  <c:v>47185</c:v>
                </c:pt>
                <c:pt idx="2780">
                  <c:v>47186</c:v>
                </c:pt>
                <c:pt idx="2781">
                  <c:v>47189</c:v>
                </c:pt>
                <c:pt idx="2782">
                  <c:v>47190</c:v>
                </c:pt>
                <c:pt idx="2783">
                  <c:v>47191</c:v>
                </c:pt>
                <c:pt idx="2784">
                  <c:v>47192</c:v>
                </c:pt>
                <c:pt idx="2785">
                  <c:v>47193</c:v>
                </c:pt>
                <c:pt idx="2786">
                  <c:v>47196</c:v>
                </c:pt>
                <c:pt idx="2787">
                  <c:v>47197</c:v>
                </c:pt>
                <c:pt idx="2788">
                  <c:v>47198</c:v>
                </c:pt>
                <c:pt idx="2789">
                  <c:v>47199</c:v>
                </c:pt>
                <c:pt idx="2790">
                  <c:v>47200</c:v>
                </c:pt>
                <c:pt idx="2791">
                  <c:v>47203</c:v>
                </c:pt>
                <c:pt idx="2792">
                  <c:v>47204</c:v>
                </c:pt>
                <c:pt idx="2793">
                  <c:v>47205</c:v>
                </c:pt>
                <c:pt idx="2794">
                  <c:v>47206</c:v>
                </c:pt>
                <c:pt idx="2795">
                  <c:v>47211</c:v>
                </c:pt>
                <c:pt idx="2796">
                  <c:v>47212</c:v>
                </c:pt>
                <c:pt idx="2797">
                  <c:v>47213</c:v>
                </c:pt>
                <c:pt idx="2798">
                  <c:v>47214</c:v>
                </c:pt>
                <c:pt idx="2799">
                  <c:v>47217</c:v>
                </c:pt>
                <c:pt idx="2800">
                  <c:v>47218</c:v>
                </c:pt>
                <c:pt idx="2801">
                  <c:v>47219</c:v>
                </c:pt>
                <c:pt idx="2802">
                  <c:v>47220</c:v>
                </c:pt>
                <c:pt idx="2803">
                  <c:v>47221</c:v>
                </c:pt>
                <c:pt idx="2804">
                  <c:v>47224</c:v>
                </c:pt>
                <c:pt idx="2805">
                  <c:v>47225</c:v>
                </c:pt>
                <c:pt idx="2806">
                  <c:v>47226</c:v>
                </c:pt>
                <c:pt idx="2807">
                  <c:v>47227</c:v>
                </c:pt>
                <c:pt idx="2808">
                  <c:v>47228</c:v>
                </c:pt>
                <c:pt idx="2809">
                  <c:v>47231</c:v>
                </c:pt>
                <c:pt idx="2810">
                  <c:v>47232</c:v>
                </c:pt>
                <c:pt idx="2811">
                  <c:v>47233</c:v>
                </c:pt>
                <c:pt idx="2812">
                  <c:v>47234</c:v>
                </c:pt>
                <c:pt idx="2813">
                  <c:v>47235</c:v>
                </c:pt>
                <c:pt idx="2814">
                  <c:v>47238</c:v>
                </c:pt>
                <c:pt idx="2815">
                  <c:v>47240</c:v>
                </c:pt>
                <c:pt idx="2816">
                  <c:v>47241</c:v>
                </c:pt>
                <c:pt idx="2817">
                  <c:v>47242</c:v>
                </c:pt>
                <c:pt idx="2818">
                  <c:v>47245</c:v>
                </c:pt>
                <c:pt idx="2819">
                  <c:v>47246</c:v>
                </c:pt>
                <c:pt idx="2820">
                  <c:v>47247</c:v>
                </c:pt>
                <c:pt idx="2821">
                  <c:v>47248</c:v>
                </c:pt>
                <c:pt idx="2822">
                  <c:v>47249</c:v>
                </c:pt>
                <c:pt idx="2823">
                  <c:v>47252</c:v>
                </c:pt>
                <c:pt idx="2824">
                  <c:v>47253</c:v>
                </c:pt>
                <c:pt idx="2825">
                  <c:v>47254</c:v>
                </c:pt>
                <c:pt idx="2826">
                  <c:v>47255</c:v>
                </c:pt>
                <c:pt idx="2827">
                  <c:v>47256</c:v>
                </c:pt>
                <c:pt idx="2828">
                  <c:v>47259</c:v>
                </c:pt>
                <c:pt idx="2829">
                  <c:v>47260</c:v>
                </c:pt>
                <c:pt idx="2830">
                  <c:v>47261</c:v>
                </c:pt>
                <c:pt idx="2831">
                  <c:v>47262</c:v>
                </c:pt>
                <c:pt idx="2832">
                  <c:v>47263</c:v>
                </c:pt>
                <c:pt idx="2833">
                  <c:v>47266</c:v>
                </c:pt>
                <c:pt idx="2834">
                  <c:v>47267</c:v>
                </c:pt>
                <c:pt idx="2835">
                  <c:v>47268</c:v>
                </c:pt>
                <c:pt idx="2836">
                  <c:v>47269</c:v>
                </c:pt>
                <c:pt idx="2837">
                  <c:v>47270</c:v>
                </c:pt>
                <c:pt idx="2838">
                  <c:v>47273</c:v>
                </c:pt>
                <c:pt idx="2839">
                  <c:v>47274</c:v>
                </c:pt>
                <c:pt idx="2840">
                  <c:v>47275</c:v>
                </c:pt>
                <c:pt idx="2841">
                  <c:v>47276</c:v>
                </c:pt>
                <c:pt idx="2842">
                  <c:v>47277</c:v>
                </c:pt>
                <c:pt idx="2843">
                  <c:v>47280</c:v>
                </c:pt>
                <c:pt idx="2844">
                  <c:v>47281</c:v>
                </c:pt>
                <c:pt idx="2845">
                  <c:v>47282</c:v>
                </c:pt>
                <c:pt idx="2846">
                  <c:v>47283</c:v>
                </c:pt>
                <c:pt idx="2847">
                  <c:v>47284</c:v>
                </c:pt>
                <c:pt idx="2848">
                  <c:v>47287</c:v>
                </c:pt>
                <c:pt idx="2849">
                  <c:v>47288</c:v>
                </c:pt>
                <c:pt idx="2850">
                  <c:v>47289</c:v>
                </c:pt>
                <c:pt idx="2851">
                  <c:v>47290</c:v>
                </c:pt>
                <c:pt idx="2852">
                  <c:v>47291</c:v>
                </c:pt>
                <c:pt idx="2853">
                  <c:v>47294</c:v>
                </c:pt>
                <c:pt idx="2854">
                  <c:v>47295</c:v>
                </c:pt>
                <c:pt idx="2855">
                  <c:v>47296</c:v>
                </c:pt>
                <c:pt idx="2856">
                  <c:v>47297</c:v>
                </c:pt>
                <c:pt idx="2857">
                  <c:v>47298</c:v>
                </c:pt>
                <c:pt idx="2858">
                  <c:v>47301</c:v>
                </c:pt>
                <c:pt idx="2859">
                  <c:v>47302</c:v>
                </c:pt>
                <c:pt idx="2860">
                  <c:v>47303</c:v>
                </c:pt>
                <c:pt idx="2861">
                  <c:v>47304</c:v>
                </c:pt>
                <c:pt idx="2862">
                  <c:v>47305</c:v>
                </c:pt>
                <c:pt idx="2863">
                  <c:v>47308</c:v>
                </c:pt>
                <c:pt idx="2864">
                  <c:v>47309</c:v>
                </c:pt>
                <c:pt idx="2865">
                  <c:v>47310</c:v>
                </c:pt>
                <c:pt idx="2866">
                  <c:v>47311</c:v>
                </c:pt>
                <c:pt idx="2867">
                  <c:v>47312</c:v>
                </c:pt>
                <c:pt idx="2868">
                  <c:v>47315</c:v>
                </c:pt>
                <c:pt idx="2869">
                  <c:v>47316</c:v>
                </c:pt>
                <c:pt idx="2870">
                  <c:v>47317</c:v>
                </c:pt>
                <c:pt idx="2871">
                  <c:v>47318</c:v>
                </c:pt>
                <c:pt idx="2872">
                  <c:v>47319</c:v>
                </c:pt>
                <c:pt idx="2873">
                  <c:v>47322</c:v>
                </c:pt>
                <c:pt idx="2874">
                  <c:v>47323</c:v>
                </c:pt>
                <c:pt idx="2875">
                  <c:v>47324</c:v>
                </c:pt>
                <c:pt idx="2876">
                  <c:v>47325</c:v>
                </c:pt>
                <c:pt idx="2877">
                  <c:v>47326</c:v>
                </c:pt>
                <c:pt idx="2878">
                  <c:v>47329</c:v>
                </c:pt>
                <c:pt idx="2879">
                  <c:v>47330</c:v>
                </c:pt>
                <c:pt idx="2880">
                  <c:v>47331</c:v>
                </c:pt>
                <c:pt idx="2881">
                  <c:v>47332</c:v>
                </c:pt>
                <c:pt idx="2882">
                  <c:v>47333</c:v>
                </c:pt>
                <c:pt idx="2883">
                  <c:v>47336</c:v>
                </c:pt>
                <c:pt idx="2884">
                  <c:v>47337</c:v>
                </c:pt>
                <c:pt idx="2885">
                  <c:v>47338</c:v>
                </c:pt>
                <c:pt idx="2886">
                  <c:v>47339</c:v>
                </c:pt>
                <c:pt idx="2887">
                  <c:v>47340</c:v>
                </c:pt>
                <c:pt idx="2888">
                  <c:v>47343</c:v>
                </c:pt>
                <c:pt idx="2889">
                  <c:v>47344</c:v>
                </c:pt>
                <c:pt idx="2890">
                  <c:v>47345</c:v>
                </c:pt>
                <c:pt idx="2891">
                  <c:v>47346</c:v>
                </c:pt>
                <c:pt idx="2892">
                  <c:v>47347</c:v>
                </c:pt>
                <c:pt idx="2893">
                  <c:v>47350</c:v>
                </c:pt>
                <c:pt idx="2894">
                  <c:v>47351</c:v>
                </c:pt>
                <c:pt idx="2895">
                  <c:v>47352</c:v>
                </c:pt>
                <c:pt idx="2896">
                  <c:v>47353</c:v>
                </c:pt>
                <c:pt idx="2897">
                  <c:v>47354</c:v>
                </c:pt>
                <c:pt idx="2898">
                  <c:v>47357</c:v>
                </c:pt>
                <c:pt idx="2899">
                  <c:v>47358</c:v>
                </c:pt>
                <c:pt idx="2900">
                  <c:v>47359</c:v>
                </c:pt>
                <c:pt idx="2901">
                  <c:v>47360</c:v>
                </c:pt>
                <c:pt idx="2902">
                  <c:v>47361</c:v>
                </c:pt>
                <c:pt idx="2903">
                  <c:v>47364</c:v>
                </c:pt>
                <c:pt idx="2904">
                  <c:v>47365</c:v>
                </c:pt>
                <c:pt idx="2905">
                  <c:v>47366</c:v>
                </c:pt>
                <c:pt idx="2906">
                  <c:v>47367</c:v>
                </c:pt>
                <c:pt idx="2907">
                  <c:v>47368</c:v>
                </c:pt>
                <c:pt idx="2908">
                  <c:v>47371</c:v>
                </c:pt>
                <c:pt idx="2909">
                  <c:v>47372</c:v>
                </c:pt>
                <c:pt idx="2910">
                  <c:v>47373</c:v>
                </c:pt>
                <c:pt idx="2911">
                  <c:v>47374</c:v>
                </c:pt>
                <c:pt idx="2912">
                  <c:v>47375</c:v>
                </c:pt>
                <c:pt idx="2913">
                  <c:v>47378</c:v>
                </c:pt>
                <c:pt idx="2914">
                  <c:v>47379</c:v>
                </c:pt>
                <c:pt idx="2915">
                  <c:v>47380</c:v>
                </c:pt>
                <c:pt idx="2916">
                  <c:v>47381</c:v>
                </c:pt>
                <c:pt idx="2917">
                  <c:v>47382</c:v>
                </c:pt>
                <c:pt idx="2918">
                  <c:v>47385</c:v>
                </c:pt>
                <c:pt idx="2919">
                  <c:v>47386</c:v>
                </c:pt>
                <c:pt idx="2920">
                  <c:v>47387</c:v>
                </c:pt>
                <c:pt idx="2921">
                  <c:v>47388</c:v>
                </c:pt>
                <c:pt idx="2922">
                  <c:v>47389</c:v>
                </c:pt>
                <c:pt idx="2923">
                  <c:v>47392</c:v>
                </c:pt>
                <c:pt idx="2924">
                  <c:v>47393</c:v>
                </c:pt>
                <c:pt idx="2925">
                  <c:v>47394</c:v>
                </c:pt>
                <c:pt idx="2926">
                  <c:v>47395</c:v>
                </c:pt>
                <c:pt idx="2927">
                  <c:v>47396</c:v>
                </c:pt>
                <c:pt idx="2928">
                  <c:v>47399</c:v>
                </c:pt>
                <c:pt idx="2929">
                  <c:v>47400</c:v>
                </c:pt>
                <c:pt idx="2930">
                  <c:v>47401</c:v>
                </c:pt>
                <c:pt idx="2931">
                  <c:v>47402</c:v>
                </c:pt>
                <c:pt idx="2932">
                  <c:v>47403</c:v>
                </c:pt>
                <c:pt idx="2933">
                  <c:v>47406</c:v>
                </c:pt>
                <c:pt idx="2934">
                  <c:v>47407</c:v>
                </c:pt>
                <c:pt idx="2935">
                  <c:v>47408</c:v>
                </c:pt>
                <c:pt idx="2936">
                  <c:v>47409</c:v>
                </c:pt>
                <c:pt idx="2937">
                  <c:v>47410</c:v>
                </c:pt>
                <c:pt idx="2938">
                  <c:v>47413</c:v>
                </c:pt>
                <c:pt idx="2939">
                  <c:v>47414</c:v>
                </c:pt>
                <c:pt idx="2940">
                  <c:v>47415</c:v>
                </c:pt>
                <c:pt idx="2941">
                  <c:v>47416</c:v>
                </c:pt>
                <c:pt idx="2942">
                  <c:v>47417</c:v>
                </c:pt>
                <c:pt idx="2943">
                  <c:v>47420</c:v>
                </c:pt>
                <c:pt idx="2944">
                  <c:v>47421</c:v>
                </c:pt>
                <c:pt idx="2945">
                  <c:v>47422</c:v>
                </c:pt>
                <c:pt idx="2946">
                  <c:v>47423</c:v>
                </c:pt>
                <c:pt idx="2947">
                  <c:v>47424</c:v>
                </c:pt>
                <c:pt idx="2948">
                  <c:v>47427</c:v>
                </c:pt>
                <c:pt idx="2949">
                  <c:v>47428</c:v>
                </c:pt>
                <c:pt idx="2950">
                  <c:v>47429</c:v>
                </c:pt>
                <c:pt idx="2951">
                  <c:v>47430</c:v>
                </c:pt>
                <c:pt idx="2952">
                  <c:v>47431</c:v>
                </c:pt>
                <c:pt idx="2953">
                  <c:v>47434</c:v>
                </c:pt>
                <c:pt idx="2954">
                  <c:v>47435</c:v>
                </c:pt>
                <c:pt idx="2955">
                  <c:v>47436</c:v>
                </c:pt>
                <c:pt idx="2956">
                  <c:v>47437</c:v>
                </c:pt>
                <c:pt idx="2957">
                  <c:v>47438</c:v>
                </c:pt>
                <c:pt idx="2958">
                  <c:v>47441</c:v>
                </c:pt>
                <c:pt idx="2959">
                  <c:v>47442</c:v>
                </c:pt>
                <c:pt idx="2960">
                  <c:v>47443</c:v>
                </c:pt>
                <c:pt idx="2961">
                  <c:v>47444</c:v>
                </c:pt>
                <c:pt idx="2962">
                  <c:v>47445</c:v>
                </c:pt>
                <c:pt idx="2963">
                  <c:v>47448</c:v>
                </c:pt>
                <c:pt idx="2964">
                  <c:v>47449</c:v>
                </c:pt>
                <c:pt idx="2965">
                  <c:v>47450</c:v>
                </c:pt>
                <c:pt idx="2966">
                  <c:v>47451</c:v>
                </c:pt>
                <c:pt idx="2967">
                  <c:v>47452</c:v>
                </c:pt>
                <c:pt idx="2968">
                  <c:v>47455</c:v>
                </c:pt>
                <c:pt idx="2969">
                  <c:v>47456</c:v>
                </c:pt>
                <c:pt idx="2970">
                  <c:v>47457</c:v>
                </c:pt>
                <c:pt idx="2971">
                  <c:v>47458</c:v>
                </c:pt>
                <c:pt idx="2972">
                  <c:v>47459</c:v>
                </c:pt>
                <c:pt idx="2973">
                  <c:v>47462</c:v>
                </c:pt>
                <c:pt idx="2974">
                  <c:v>47463</c:v>
                </c:pt>
                <c:pt idx="2975">
                  <c:v>47464</c:v>
                </c:pt>
                <c:pt idx="2976">
                  <c:v>47465</c:v>
                </c:pt>
                <c:pt idx="2977">
                  <c:v>47466</c:v>
                </c:pt>
                <c:pt idx="2978">
                  <c:v>47469</c:v>
                </c:pt>
                <c:pt idx="2979">
                  <c:v>47470</c:v>
                </c:pt>
                <c:pt idx="2980">
                  <c:v>47471</c:v>
                </c:pt>
                <c:pt idx="2981">
                  <c:v>47472</c:v>
                </c:pt>
                <c:pt idx="2982">
                  <c:v>47473</c:v>
                </c:pt>
                <c:pt idx="2983">
                  <c:v>47476</c:v>
                </c:pt>
                <c:pt idx="2984">
                  <c:v>47479</c:v>
                </c:pt>
                <c:pt idx="2985">
                  <c:v>47480</c:v>
                </c:pt>
                <c:pt idx="2986">
                  <c:v>47483</c:v>
                </c:pt>
                <c:pt idx="2987">
                  <c:v>47485</c:v>
                </c:pt>
                <c:pt idx="2988">
                  <c:v>47486</c:v>
                </c:pt>
                <c:pt idx="2989">
                  <c:v>47487</c:v>
                </c:pt>
                <c:pt idx="2990">
                  <c:v>47490</c:v>
                </c:pt>
                <c:pt idx="2991">
                  <c:v>47491</c:v>
                </c:pt>
                <c:pt idx="2992">
                  <c:v>47492</c:v>
                </c:pt>
                <c:pt idx="2993">
                  <c:v>47493</c:v>
                </c:pt>
                <c:pt idx="2994">
                  <c:v>47494</c:v>
                </c:pt>
                <c:pt idx="2995">
                  <c:v>47497</c:v>
                </c:pt>
                <c:pt idx="2996">
                  <c:v>47498</c:v>
                </c:pt>
                <c:pt idx="2997">
                  <c:v>47499</c:v>
                </c:pt>
                <c:pt idx="2998">
                  <c:v>47500</c:v>
                </c:pt>
                <c:pt idx="2999">
                  <c:v>47501</c:v>
                </c:pt>
                <c:pt idx="3000">
                  <c:v>47504</c:v>
                </c:pt>
                <c:pt idx="3001">
                  <c:v>47505</c:v>
                </c:pt>
                <c:pt idx="3002">
                  <c:v>47506</c:v>
                </c:pt>
                <c:pt idx="3003">
                  <c:v>47507</c:v>
                </c:pt>
                <c:pt idx="3004">
                  <c:v>47508</c:v>
                </c:pt>
                <c:pt idx="3005">
                  <c:v>47511</c:v>
                </c:pt>
                <c:pt idx="3006">
                  <c:v>47512</c:v>
                </c:pt>
                <c:pt idx="3007">
                  <c:v>47513</c:v>
                </c:pt>
                <c:pt idx="3008">
                  <c:v>47514</c:v>
                </c:pt>
                <c:pt idx="3009">
                  <c:v>47515</c:v>
                </c:pt>
                <c:pt idx="3010">
                  <c:v>47518</c:v>
                </c:pt>
                <c:pt idx="3011">
                  <c:v>47519</c:v>
                </c:pt>
                <c:pt idx="3012">
                  <c:v>47520</c:v>
                </c:pt>
                <c:pt idx="3013">
                  <c:v>47521</c:v>
                </c:pt>
                <c:pt idx="3014">
                  <c:v>47522</c:v>
                </c:pt>
                <c:pt idx="3015">
                  <c:v>47525</c:v>
                </c:pt>
                <c:pt idx="3016">
                  <c:v>47526</c:v>
                </c:pt>
                <c:pt idx="3017">
                  <c:v>47527</c:v>
                </c:pt>
                <c:pt idx="3018">
                  <c:v>47528</c:v>
                </c:pt>
                <c:pt idx="3019">
                  <c:v>47529</c:v>
                </c:pt>
                <c:pt idx="3020">
                  <c:v>47532</c:v>
                </c:pt>
                <c:pt idx="3021">
                  <c:v>47533</c:v>
                </c:pt>
                <c:pt idx="3022">
                  <c:v>47534</c:v>
                </c:pt>
                <c:pt idx="3023">
                  <c:v>47535</c:v>
                </c:pt>
                <c:pt idx="3024">
                  <c:v>47536</c:v>
                </c:pt>
                <c:pt idx="3025">
                  <c:v>47539</c:v>
                </c:pt>
                <c:pt idx="3026">
                  <c:v>47540</c:v>
                </c:pt>
                <c:pt idx="3027">
                  <c:v>47541</c:v>
                </c:pt>
                <c:pt idx="3028">
                  <c:v>47542</c:v>
                </c:pt>
                <c:pt idx="3029">
                  <c:v>47543</c:v>
                </c:pt>
                <c:pt idx="3030">
                  <c:v>47546</c:v>
                </c:pt>
                <c:pt idx="3031">
                  <c:v>47547</c:v>
                </c:pt>
                <c:pt idx="3032">
                  <c:v>47548</c:v>
                </c:pt>
                <c:pt idx="3033">
                  <c:v>47549</c:v>
                </c:pt>
                <c:pt idx="3034">
                  <c:v>47550</c:v>
                </c:pt>
                <c:pt idx="3035">
                  <c:v>47553</c:v>
                </c:pt>
                <c:pt idx="3036">
                  <c:v>47554</c:v>
                </c:pt>
                <c:pt idx="3037">
                  <c:v>47555</c:v>
                </c:pt>
                <c:pt idx="3038">
                  <c:v>47556</c:v>
                </c:pt>
                <c:pt idx="3039">
                  <c:v>47557</c:v>
                </c:pt>
                <c:pt idx="3040">
                  <c:v>47560</c:v>
                </c:pt>
                <c:pt idx="3041">
                  <c:v>47561</c:v>
                </c:pt>
                <c:pt idx="3042">
                  <c:v>47562</c:v>
                </c:pt>
                <c:pt idx="3043">
                  <c:v>47563</c:v>
                </c:pt>
                <c:pt idx="3044">
                  <c:v>47564</c:v>
                </c:pt>
                <c:pt idx="3045">
                  <c:v>47567</c:v>
                </c:pt>
                <c:pt idx="3046">
                  <c:v>47568</c:v>
                </c:pt>
                <c:pt idx="3047">
                  <c:v>47569</c:v>
                </c:pt>
                <c:pt idx="3048">
                  <c:v>47570</c:v>
                </c:pt>
                <c:pt idx="3049">
                  <c:v>47571</c:v>
                </c:pt>
                <c:pt idx="3050">
                  <c:v>47574</c:v>
                </c:pt>
                <c:pt idx="3051">
                  <c:v>47575</c:v>
                </c:pt>
                <c:pt idx="3052">
                  <c:v>47576</c:v>
                </c:pt>
                <c:pt idx="3053">
                  <c:v>47577</c:v>
                </c:pt>
                <c:pt idx="3054">
                  <c:v>47578</c:v>
                </c:pt>
                <c:pt idx="3055">
                  <c:v>47581</c:v>
                </c:pt>
                <c:pt idx="3056">
                  <c:v>47582</c:v>
                </c:pt>
                <c:pt idx="3057">
                  <c:v>47583</c:v>
                </c:pt>
                <c:pt idx="3058">
                  <c:v>47584</c:v>
                </c:pt>
                <c:pt idx="3059">
                  <c:v>47585</c:v>
                </c:pt>
                <c:pt idx="3060">
                  <c:v>47588</c:v>
                </c:pt>
                <c:pt idx="3061">
                  <c:v>47589</c:v>
                </c:pt>
                <c:pt idx="3062">
                  <c:v>47590</c:v>
                </c:pt>
                <c:pt idx="3063">
                  <c:v>47591</c:v>
                </c:pt>
                <c:pt idx="3064">
                  <c:v>47596</c:v>
                </c:pt>
                <c:pt idx="3065">
                  <c:v>47597</c:v>
                </c:pt>
                <c:pt idx="3066">
                  <c:v>47598</c:v>
                </c:pt>
                <c:pt idx="3067">
                  <c:v>47599</c:v>
                </c:pt>
                <c:pt idx="3068">
                  <c:v>47602</c:v>
                </c:pt>
                <c:pt idx="3069">
                  <c:v>47603</c:v>
                </c:pt>
                <c:pt idx="3070">
                  <c:v>47605</c:v>
                </c:pt>
                <c:pt idx="3071">
                  <c:v>47606</c:v>
                </c:pt>
                <c:pt idx="3072">
                  <c:v>47609</c:v>
                </c:pt>
                <c:pt idx="3073">
                  <c:v>47610</c:v>
                </c:pt>
                <c:pt idx="3074">
                  <c:v>47611</c:v>
                </c:pt>
                <c:pt idx="3075">
                  <c:v>47612</c:v>
                </c:pt>
                <c:pt idx="3076">
                  <c:v>47613</c:v>
                </c:pt>
                <c:pt idx="3077">
                  <c:v>47616</c:v>
                </c:pt>
                <c:pt idx="3078">
                  <c:v>47617</c:v>
                </c:pt>
                <c:pt idx="3079">
                  <c:v>47618</c:v>
                </c:pt>
                <c:pt idx="3080">
                  <c:v>47619</c:v>
                </c:pt>
                <c:pt idx="3081">
                  <c:v>47620</c:v>
                </c:pt>
                <c:pt idx="3082">
                  <c:v>47623</c:v>
                </c:pt>
                <c:pt idx="3083">
                  <c:v>47624</c:v>
                </c:pt>
                <c:pt idx="3084">
                  <c:v>47625</c:v>
                </c:pt>
                <c:pt idx="3085">
                  <c:v>47626</c:v>
                </c:pt>
                <c:pt idx="3086">
                  <c:v>47627</c:v>
                </c:pt>
                <c:pt idx="3087">
                  <c:v>47630</c:v>
                </c:pt>
                <c:pt idx="3088">
                  <c:v>47631</c:v>
                </c:pt>
                <c:pt idx="3089">
                  <c:v>47632</c:v>
                </c:pt>
                <c:pt idx="3090">
                  <c:v>47633</c:v>
                </c:pt>
                <c:pt idx="3091">
                  <c:v>47634</c:v>
                </c:pt>
                <c:pt idx="3092">
                  <c:v>47637</c:v>
                </c:pt>
                <c:pt idx="3093">
                  <c:v>47638</c:v>
                </c:pt>
                <c:pt idx="3094">
                  <c:v>47639</c:v>
                </c:pt>
                <c:pt idx="3095">
                  <c:v>47640</c:v>
                </c:pt>
                <c:pt idx="3096">
                  <c:v>47641</c:v>
                </c:pt>
                <c:pt idx="3097">
                  <c:v>47644</c:v>
                </c:pt>
                <c:pt idx="3098">
                  <c:v>47645</c:v>
                </c:pt>
                <c:pt idx="3099">
                  <c:v>47646</c:v>
                </c:pt>
                <c:pt idx="3100">
                  <c:v>47647</c:v>
                </c:pt>
                <c:pt idx="3101">
                  <c:v>47648</c:v>
                </c:pt>
                <c:pt idx="3102">
                  <c:v>47651</c:v>
                </c:pt>
                <c:pt idx="3103">
                  <c:v>47652</c:v>
                </c:pt>
                <c:pt idx="3104">
                  <c:v>47653</c:v>
                </c:pt>
                <c:pt idx="3105">
                  <c:v>47654</c:v>
                </c:pt>
                <c:pt idx="3106">
                  <c:v>47655</c:v>
                </c:pt>
                <c:pt idx="3107">
                  <c:v>47658</c:v>
                </c:pt>
                <c:pt idx="3108">
                  <c:v>47659</c:v>
                </c:pt>
                <c:pt idx="3109">
                  <c:v>47660</c:v>
                </c:pt>
                <c:pt idx="3110">
                  <c:v>47661</c:v>
                </c:pt>
                <c:pt idx="3111">
                  <c:v>47662</c:v>
                </c:pt>
                <c:pt idx="3112">
                  <c:v>47665</c:v>
                </c:pt>
                <c:pt idx="3113">
                  <c:v>47666</c:v>
                </c:pt>
                <c:pt idx="3114">
                  <c:v>47667</c:v>
                </c:pt>
                <c:pt idx="3115">
                  <c:v>47668</c:v>
                </c:pt>
                <c:pt idx="3116">
                  <c:v>47669</c:v>
                </c:pt>
                <c:pt idx="3117">
                  <c:v>47672</c:v>
                </c:pt>
                <c:pt idx="3118">
                  <c:v>47673</c:v>
                </c:pt>
                <c:pt idx="3119">
                  <c:v>47674</c:v>
                </c:pt>
                <c:pt idx="3120">
                  <c:v>47675</c:v>
                </c:pt>
                <c:pt idx="3121">
                  <c:v>47676</c:v>
                </c:pt>
                <c:pt idx="3122">
                  <c:v>47679</c:v>
                </c:pt>
                <c:pt idx="3123">
                  <c:v>47680</c:v>
                </c:pt>
                <c:pt idx="3124">
                  <c:v>47681</c:v>
                </c:pt>
                <c:pt idx="3125">
                  <c:v>47682</c:v>
                </c:pt>
                <c:pt idx="3126">
                  <c:v>47683</c:v>
                </c:pt>
                <c:pt idx="3127">
                  <c:v>47686</c:v>
                </c:pt>
                <c:pt idx="3128">
                  <c:v>47687</c:v>
                </c:pt>
                <c:pt idx="3129">
                  <c:v>47688</c:v>
                </c:pt>
                <c:pt idx="3130">
                  <c:v>47689</c:v>
                </c:pt>
                <c:pt idx="3131">
                  <c:v>47690</c:v>
                </c:pt>
                <c:pt idx="3132">
                  <c:v>47693</c:v>
                </c:pt>
                <c:pt idx="3133">
                  <c:v>47694</c:v>
                </c:pt>
                <c:pt idx="3134">
                  <c:v>47695</c:v>
                </c:pt>
                <c:pt idx="3135">
                  <c:v>47696</c:v>
                </c:pt>
                <c:pt idx="3136">
                  <c:v>47697</c:v>
                </c:pt>
                <c:pt idx="3137">
                  <c:v>47700</c:v>
                </c:pt>
                <c:pt idx="3138">
                  <c:v>47701</c:v>
                </c:pt>
                <c:pt idx="3139">
                  <c:v>47702</c:v>
                </c:pt>
                <c:pt idx="3140">
                  <c:v>47703</c:v>
                </c:pt>
                <c:pt idx="3141">
                  <c:v>47704</c:v>
                </c:pt>
                <c:pt idx="3142">
                  <c:v>47707</c:v>
                </c:pt>
                <c:pt idx="3143">
                  <c:v>47708</c:v>
                </c:pt>
                <c:pt idx="3144">
                  <c:v>47709</c:v>
                </c:pt>
                <c:pt idx="3145">
                  <c:v>47710</c:v>
                </c:pt>
                <c:pt idx="3146">
                  <c:v>47711</c:v>
                </c:pt>
                <c:pt idx="3147">
                  <c:v>47714</c:v>
                </c:pt>
                <c:pt idx="3148">
                  <c:v>47715</c:v>
                </c:pt>
                <c:pt idx="3149">
                  <c:v>47716</c:v>
                </c:pt>
                <c:pt idx="3150">
                  <c:v>47717</c:v>
                </c:pt>
                <c:pt idx="3151">
                  <c:v>47718</c:v>
                </c:pt>
                <c:pt idx="3152">
                  <c:v>47721</c:v>
                </c:pt>
                <c:pt idx="3153">
                  <c:v>47722</c:v>
                </c:pt>
                <c:pt idx="3154">
                  <c:v>47723</c:v>
                </c:pt>
                <c:pt idx="3155">
                  <c:v>47724</c:v>
                </c:pt>
                <c:pt idx="3156">
                  <c:v>47725</c:v>
                </c:pt>
                <c:pt idx="3157">
                  <c:v>47728</c:v>
                </c:pt>
                <c:pt idx="3158">
                  <c:v>47729</c:v>
                </c:pt>
                <c:pt idx="3159">
                  <c:v>47730</c:v>
                </c:pt>
                <c:pt idx="3160">
                  <c:v>47731</c:v>
                </c:pt>
                <c:pt idx="3161">
                  <c:v>47732</c:v>
                </c:pt>
                <c:pt idx="3162">
                  <c:v>47735</c:v>
                </c:pt>
                <c:pt idx="3163">
                  <c:v>47736</c:v>
                </c:pt>
                <c:pt idx="3164">
                  <c:v>47737</c:v>
                </c:pt>
                <c:pt idx="3165">
                  <c:v>47738</c:v>
                </c:pt>
                <c:pt idx="3166">
                  <c:v>47739</c:v>
                </c:pt>
                <c:pt idx="3167">
                  <c:v>47742</c:v>
                </c:pt>
                <c:pt idx="3168">
                  <c:v>47743</c:v>
                </c:pt>
                <c:pt idx="3169">
                  <c:v>47744</c:v>
                </c:pt>
                <c:pt idx="3170">
                  <c:v>47745</c:v>
                </c:pt>
                <c:pt idx="3171">
                  <c:v>47746</c:v>
                </c:pt>
                <c:pt idx="3172">
                  <c:v>47749</c:v>
                </c:pt>
                <c:pt idx="3173">
                  <c:v>47750</c:v>
                </c:pt>
                <c:pt idx="3174">
                  <c:v>47751</c:v>
                </c:pt>
                <c:pt idx="3175">
                  <c:v>47752</c:v>
                </c:pt>
                <c:pt idx="3176">
                  <c:v>47753</c:v>
                </c:pt>
                <c:pt idx="3177">
                  <c:v>47756</c:v>
                </c:pt>
                <c:pt idx="3178">
                  <c:v>47757</c:v>
                </c:pt>
                <c:pt idx="3179">
                  <c:v>47758</c:v>
                </c:pt>
                <c:pt idx="3180">
                  <c:v>47759</c:v>
                </c:pt>
                <c:pt idx="3181">
                  <c:v>47760</c:v>
                </c:pt>
                <c:pt idx="3182">
                  <c:v>47763</c:v>
                </c:pt>
                <c:pt idx="3183">
                  <c:v>47764</c:v>
                </c:pt>
                <c:pt idx="3184">
                  <c:v>47765</c:v>
                </c:pt>
                <c:pt idx="3185">
                  <c:v>47766</c:v>
                </c:pt>
                <c:pt idx="3186">
                  <c:v>47767</c:v>
                </c:pt>
                <c:pt idx="3187">
                  <c:v>47770</c:v>
                </c:pt>
                <c:pt idx="3188">
                  <c:v>47771</c:v>
                </c:pt>
                <c:pt idx="3189">
                  <c:v>47772</c:v>
                </c:pt>
                <c:pt idx="3190">
                  <c:v>47773</c:v>
                </c:pt>
                <c:pt idx="3191">
                  <c:v>47774</c:v>
                </c:pt>
                <c:pt idx="3192">
                  <c:v>47777</c:v>
                </c:pt>
                <c:pt idx="3193">
                  <c:v>47778</c:v>
                </c:pt>
                <c:pt idx="3194">
                  <c:v>47779</c:v>
                </c:pt>
                <c:pt idx="3195">
                  <c:v>47780</c:v>
                </c:pt>
                <c:pt idx="3196">
                  <c:v>47781</c:v>
                </c:pt>
                <c:pt idx="3197">
                  <c:v>47784</c:v>
                </c:pt>
                <c:pt idx="3198">
                  <c:v>47785</c:v>
                </c:pt>
                <c:pt idx="3199">
                  <c:v>47786</c:v>
                </c:pt>
                <c:pt idx="3200">
                  <c:v>47787</c:v>
                </c:pt>
                <c:pt idx="3201">
                  <c:v>47788</c:v>
                </c:pt>
                <c:pt idx="3202">
                  <c:v>47791</c:v>
                </c:pt>
                <c:pt idx="3203">
                  <c:v>47792</c:v>
                </c:pt>
                <c:pt idx="3204">
                  <c:v>47793</c:v>
                </c:pt>
                <c:pt idx="3205">
                  <c:v>47794</c:v>
                </c:pt>
                <c:pt idx="3206">
                  <c:v>47795</c:v>
                </c:pt>
                <c:pt idx="3207">
                  <c:v>47798</c:v>
                </c:pt>
                <c:pt idx="3208">
                  <c:v>47799</c:v>
                </c:pt>
                <c:pt idx="3209">
                  <c:v>47800</c:v>
                </c:pt>
                <c:pt idx="3210">
                  <c:v>47801</c:v>
                </c:pt>
                <c:pt idx="3211">
                  <c:v>47802</c:v>
                </c:pt>
                <c:pt idx="3212">
                  <c:v>47805</c:v>
                </c:pt>
                <c:pt idx="3213">
                  <c:v>47806</c:v>
                </c:pt>
                <c:pt idx="3214">
                  <c:v>47807</c:v>
                </c:pt>
                <c:pt idx="3215">
                  <c:v>47808</c:v>
                </c:pt>
                <c:pt idx="3216">
                  <c:v>47809</c:v>
                </c:pt>
                <c:pt idx="3217">
                  <c:v>47812</c:v>
                </c:pt>
                <c:pt idx="3218">
                  <c:v>47813</c:v>
                </c:pt>
                <c:pt idx="3219">
                  <c:v>47814</c:v>
                </c:pt>
                <c:pt idx="3220">
                  <c:v>47815</c:v>
                </c:pt>
                <c:pt idx="3221">
                  <c:v>47816</c:v>
                </c:pt>
                <c:pt idx="3222">
                  <c:v>47819</c:v>
                </c:pt>
                <c:pt idx="3223">
                  <c:v>47820</c:v>
                </c:pt>
                <c:pt idx="3224">
                  <c:v>47821</c:v>
                </c:pt>
                <c:pt idx="3225">
                  <c:v>47822</c:v>
                </c:pt>
                <c:pt idx="3226">
                  <c:v>47823</c:v>
                </c:pt>
                <c:pt idx="3227">
                  <c:v>47826</c:v>
                </c:pt>
                <c:pt idx="3228">
                  <c:v>47827</c:v>
                </c:pt>
                <c:pt idx="3229">
                  <c:v>47828</c:v>
                </c:pt>
                <c:pt idx="3230">
                  <c:v>47829</c:v>
                </c:pt>
                <c:pt idx="3231">
                  <c:v>47830</c:v>
                </c:pt>
                <c:pt idx="3232">
                  <c:v>47833</c:v>
                </c:pt>
                <c:pt idx="3233">
                  <c:v>47834</c:v>
                </c:pt>
                <c:pt idx="3234">
                  <c:v>47835</c:v>
                </c:pt>
                <c:pt idx="3235">
                  <c:v>47836</c:v>
                </c:pt>
                <c:pt idx="3236">
                  <c:v>47837</c:v>
                </c:pt>
                <c:pt idx="3237">
                  <c:v>47840</c:v>
                </c:pt>
                <c:pt idx="3238">
                  <c:v>47841</c:v>
                </c:pt>
                <c:pt idx="3239">
                  <c:v>47844</c:v>
                </c:pt>
                <c:pt idx="3240">
                  <c:v>47847</c:v>
                </c:pt>
                <c:pt idx="3241">
                  <c:v>47848</c:v>
                </c:pt>
                <c:pt idx="3242">
                  <c:v>47850</c:v>
                </c:pt>
                <c:pt idx="3243">
                  <c:v>47851</c:v>
                </c:pt>
                <c:pt idx="3244">
                  <c:v>47854</c:v>
                </c:pt>
                <c:pt idx="3245">
                  <c:v>47855</c:v>
                </c:pt>
                <c:pt idx="3246">
                  <c:v>47856</c:v>
                </c:pt>
                <c:pt idx="3247">
                  <c:v>47857</c:v>
                </c:pt>
                <c:pt idx="3248">
                  <c:v>47858</c:v>
                </c:pt>
                <c:pt idx="3249">
                  <c:v>47861</c:v>
                </c:pt>
                <c:pt idx="3250">
                  <c:v>47862</c:v>
                </c:pt>
                <c:pt idx="3251">
                  <c:v>47863</c:v>
                </c:pt>
                <c:pt idx="3252">
                  <c:v>47864</c:v>
                </c:pt>
                <c:pt idx="3253">
                  <c:v>47865</c:v>
                </c:pt>
                <c:pt idx="3254">
                  <c:v>47868</c:v>
                </c:pt>
                <c:pt idx="3255">
                  <c:v>47869</c:v>
                </c:pt>
                <c:pt idx="3256">
                  <c:v>47870</c:v>
                </c:pt>
                <c:pt idx="3257">
                  <c:v>47871</c:v>
                </c:pt>
                <c:pt idx="3258">
                  <c:v>47872</c:v>
                </c:pt>
                <c:pt idx="3259">
                  <c:v>47875</c:v>
                </c:pt>
                <c:pt idx="3260">
                  <c:v>47876</c:v>
                </c:pt>
                <c:pt idx="3261">
                  <c:v>47877</c:v>
                </c:pt>
                <c:pt idx="3262">
                  <c:v>47878</c:v>
                </c:pt>
                <c:pt idx="3263">
                  <c:v>47879</c:v>
                </c:pt>
                <c:pt idx="3264">
                  <c:v>47882</c:v>
                </c:pt>
                <c:pt idx="3265">
                  <c:v>47883</c:v>
                </c:pt>
                <c:pt idx="3266">
                  <c:v>47884</c:v>
                </c:pt>
                <c:pt idx="3267">
                  <c:v>47885</c:v>
                </c:pt>
                <c:pt idx="3268">
                  <c:v>47886</c:v>
                </c:pt>
                <c:pt idx="3269">
                  <c:v>47889</c:v>
                </c:pt>
                <c:pt idx="3270">
                  <c:v>47890</c:v>
                </c:pt>
                <c:pt idx="3271">
                  <c:v>47891</c:v>
                </c:pt>
                <c:pt idx="3272">
                  <c:v>47892</c:v>
                </c:pt>
                <c:pt idx="3273">
                  <c:v>47893</c:v>
                </c:pt>
                <c:pt idx="3274">
                  <c:v>47896</c:v>
                </c:pt>
                <c:pt idx="3275">
                  <c:v>47897</c:v>
                </c:pt>
                <c:pt idx="3276">
                  <c:v>47898</c:v>
                </c:pt>
                <c:pt idx="3277">
                  <c:v>47899</c:v>
                </c:pt>
                <c:pt idx="3278">
                  <c:v>47900</c:v>
                </c:pt>
                <c:pt idx="3279">
                  <c:v>47903</c:v>
                </c:pt>
                <c:pt idx="3280">
                  <c:v>47904</c:v>
                </c:pt>
                <c:pt idx="3281">
                  <c:v>47905</c:v>
                </c:pt>
                <c:pt idx="3282">
                  <c:v>47906</c:v>
                </c:pt>
                <c:pt idx="3283">
                  <c:v>47907</c:v>
                </c:pt>
                <c:pt idx="3284">
                  <c:v>47910</c:v>
                </c:pt>
                <c:pt idx="3285">
                  <c:v>47911</c:v>
                </c:pt>
                <c:pt idx="3286">
                  <c:v>47912</c:v>
                </c:pt>
                <c:pt idx="3287">
                  <c:v>47913</c:v>
                </c:pt>
                <c:pt idx="3288">
                  <c:v>47914</c:v>
                </c:pt>
                <c:pt idx="3289">
                  <c:v>47917</c:v>
                </c:pt>
                <c:pt idx="3290">
                  <c:v>47918</c:v>
                </c:pt>
                <c:pt idx="3291">
                  <c:v>47919</c:v>
                </c:pt>
                <c:pt idx="3292">
                  <c:v>47920</c:v>
                </c:pt>
                <c:pt idx="3293">
                  <c:v>47921</c:v>
                </c:pt>
                <c:pt idx="3294">
                  <c:v>47924</c:v>
                </c:pt>
                <c:pt idx="3295">
                  <c:v>47925</c:v>
                </c:pt>
                <c:pt idx="3296">
                  <c:v>47926</c:v>
                </c:pt>
                <c:pt idx="3297">
                  <c:v>47927</c:v>
                </c:pt>
                <c:pt idx="3298">
                  <c:v>47928</c:v>
                </c:pt>
                <c:pt idx="3299">
                  <c:v>47931</c:v>
                </c:pt>
                <c:pt idx="3300">
                  <c:v>47932</c:v>
                </c:pt>
                <c:pt idx="3301">
                  <c:v>47933</c:v>
                </c:pt>
                <c:pt idx="3302">
                  <c:v>47934</c:v>
                </c:pt>
                <c:pt idx="3303">
                  <c:v>47935</c:v>
                </c:pt>
                <c:pt idx="3304">
                  <c:v>47938</c:v>
                </c:pt>
                <c:pt idx="3305">
                  <c:v>47939</c:v>
                </c:pt>
                <c:pt idx="3306">
                  <c:v>47940</c:v>
                </c:pt>
                <c:pt idx="3307">
                  <c:v>47941</c:v>
                </c:pt>
                <c:pt idx="3308">
                  <c:v>47942</c:v>
                </c:pt>
                <c:pt idx="3309">
                  <c:v>47945</c:v>
                </c:pt>
                <c:pt idx="3310">
                  <c:v>47946</c:v>
                </c:pt>
                <c:pt idx="3311">
                  <c:v>47947</c:v>
                </c:pt>
                <c:pt idx="3312">
                  <c:v>47948</c:v>
                </c:pt>
                <c:pt idx="3313">
                  <c:v>47953</c:v>
                </c:pt>
                <c:pt idx="3314">
                  <c:v>47954</c:v>
                </c:pt>
                <c:pt idx="3315">
                  <c:v>47955</c:v>
                </c:pt>
                <c:pt idx="3316">
                  <c:v>47956</c:v>
                </c:pt>
                <c:pt idx="3317">
                  <c:v>47959</c:v>
                </c:pt>
                <c:pt idx="3318">
                  <c:v>47960</c:v>
                </c:pt>
                <c:pt idx="3319">
                  <c:v>47961</c:v>
                </c:pt>
                <c:pt idx="3320">
                  <c:v>47962</c:v>
                </c:pt>
                <c:pt idx="3321">
                  <c:v>47963</c:v>
                </c:pt>
                <c:pt idx="3322">
                  <c:v>47966</c:v>
                </c:pt>
                <c:pt idx="3323">
                  <c:v>47967</c:v>
                </c:pt>
                <c:pt idx="3324">
                  <c:v>47968</c:v>
                </c:pt>
                <c:pt idx="3325">
                  <c:v>47970</c:v>
                </c:pt>
                <c:pt idx="3326">
                  <c:v>47973</c:v>
                </c:pt>
                <c:pt idx="3327">
                  <c:v>47974</c:v>
                </c:pt>
                <c:pt idx="3328">
                  <c:v>47975</c:v>
                </c:pt>
                <c:pt idx="3329">
                  <c:v>47976</c:v>
                </c:pt>
                <c:pt idx="3330">
                  <c:v>47977</c:v>
                </c:pt>
                <c:pt idx="3331">
                  <c:v>47980</c:v>
                </c:pt>
                <c:pt idx="3332">
                  <c:v>47981</c:v>
                </c:pt>
                <c:pt idx="3333">
                  <c:v>47982</c:v>
                </c:pt>
                <c:pt idx="3334">
                  <c:v>47983</c:v>
                </c:pt>
                <c:pt idx="3335">
                  <c:v>47984</c:v>
                </c:pt>
                <c:pt idx="3336">
                  <c:v>47987</c:v>
                </c:pt>
                <c:pt idx="3337">
                  <c:v>47988</c:v>
                </c:pt>
                <c:pt idx="3338">
                  <c:v>47989</c:v>
                </c:pt>
                <c:pt idx="3339">
                  <c:v>47990</c:v>
                </c:pt>
                <c:pt idx="3340">
                  <c:v>47991</c:v>
                </c:pt>
                <c:pt idx="3341">
                  <c:v>47994</c:v>
                </c:pt>
                <c:pt idx="3342">
                  <c:v>47995</c:v>
                </c:pt>
                <c:pt idx="3343">
                  <c:v>47996</c:v>
                </c:pt>
                <c:pt idx="3344">
                  <c:v>47997</c:v>
                </c:pt>
                <c:pt idx="3345">
                  <c:v>47998</c:v>
                </c:pt>
                <c:pt idx="3346">
                  <c:v>48001</c:v>
                </c:pt>
                <c:pt idx="3347">
                  <c:v>48002</c:v>
                </c:pt>
                <c:pt idx="3348">
                  <c:v>48003</c:v>
                </c:pt>
                <c:pt idx="3349">
                  <c:v>48004</c:v>
                </c:pt>
                <c:pt idx="3350">
                  <c:v>48005</c:v>
                </c:pt>
                <c:pt idx="3351">
                  <c:v>48008</c:v>
                </c:pt>
                <c:pt idx="3352">
                  <c:v>48009</c:v>
                </c:pt>
                <c:pt idx="3353">
                  <c:v>48010</c:v>
                </c:pt>
                <c:pt idx="3354">
                  <c:v>48011</c:v>
                </c:pt>
                <c:pt idx="3355">
                  <c:v>48012</c:v>
                </c:pt>
                <c:pt idx="3356">
                  <c:v>48015</c:v>
                </c:pt>
                <c:pt idx="3357">
                  <c:v>48016</c:v>
                </c:pt>
                <c:pt idx="3358">
                  <c:v>48017</c:v>
                </c:pt>
                <c:pt idx="3359">
                  <c:v>48018</c:v>
                </c:pt>
                <c:pt idx="3360">
                  <c:v>48019</c:v>
                </c:pt>
                <c:pt idx="3361">
                  <c:v>48022</c:v>
                </c:pt>
                <c:pt idx="3362">
                  <c:v>48023</c:v>
                </c:pt>
                <c:pt idx="3363">
                  <c:v>48024</c:v>
                </c:pt>
                <c:pt idx="3364">
                  <c:v>48025</c:v>
                </c:pt>
                <c:pt idx="3365">
                  <c:v>48026</c:v>
                </c:pt>
                <c:pt idx="3366">
                  <c:v>48029</c:v>
                </c:pt>
                <c:pt idx="3367">
                  <c:v>48030</c:v>
                </c:pt>
                <c:pt idx="3368">
                  <c:v>48031</c:v>
                </c:pt>
                <c:pt idx="3369">
                  <c:v>48032</c:v>
                </c:pt>
                <c:pt idx="3370">
                  <c:v>48033</c:v>
                </c:pt>
                <c:pt idx="3371">
                  <c:v>48036</c:v>
                </c:pt>
                <c:pt idx="3372">
                  <c:v>48037</c:v>
                </c:pt>
                <c:pt idx="3373">
                  <c:v>48038</c:v>
                </c:pt>
                <c:pt idx="3374">
                  <c:v>48039</c:v>
                </c:pt>
                <c:pt idx="3375">
                  <c:v>48040</c:v>
                </c:pt>
                <c:pt idx="3376">
                  <c:v>48043</c:v>
                </c:pt>
                <c:pt idx="3377">
                  <c:v>48044</c:v>
                </c:pt>
                <c:pt idx="3378">
                  <c:v>48045</c:v>
                </c:pt>
                <c:pt idx="3379">
                  <c:v>48046</c:v>
                </c:pt>
                <c:pt idx="3380">
                  <c:v>48047</c:v>
                </c:pt>
                <c:pt idx="3381">
                  <c:v>48050</c:v>
                </c:pt>
                <c:pt idx="3382">
                  <c:v>48051</c:v>
                </c:pt>
                <c:pt idx="3383">
                  <c:v>48052</c:v>
                </c:pt>
                <c:pt idx="3384">
                  <c:v>48053</c:v>
                </c:pt>
                <c:pt idx="3385">
                  <c:v>48054</c:v>
                </c:pt>
                <c:pt idx="3386">
                  <c:v>48057</c:v>
                </c:pt>
                <c:pt idx="3387">
                  <c:v>48058</c:v>
                </c:pt>
                <c:pt idx="3388">
                  <c:v>48059</c:v>
                </c:pt>
                <c:pt idx="3389">
                  <c:v>48060</c:v>
                </c:pt>
                <c:pt idx="3390">
                  <c:v>48061</c:v>
                </c:pt>
                <c:pt idx="3391">
                  <c:v>48064</c:v>
                </c:pt>
                <c:pt idx="3392">
                  <c:v>48065</c:v>
                </c:pt>
                <c:pt idx="3393">
                  <c:v>48066</c:v>
                </c:pt>
                <c:pt idx="3394">
                  <c:v>48067</c:v>
                </c:pt>
                <c:pt idx="3395">
                  <c:v>48068</c:v>
                </c:pt>
                <c:pt idx="3396">
                  <c:v>48071</c:v>
                </c:pt>
                <c:pt idx="3397">
                  <c:v>48072</c:v>
                </c:pt>
                <c:pt idx="3398">
                  <c:v>48073</c:v>
                </c:pt>
                <c:pt idx="3399">
                  <c:v>48074</c:v>
                </c:pt>
                <c:pt idx="3400">
                  <c:v>48075</c:v>
                </c:pt>
                <c:pt idx="3401">
                  <c:v>48078</c:v>
                </c:pt>
                <c:pt idx="3402">
                  <c:v>48079</c:v>
                </c:pt>
                <c:pt idx="3403">
                  <c:v>48080</c:v>
                </c:pt>
                <c:pt idx="3404">
                  <c:v>48081</c:v>
                </c:pt>
                <c:pt idx="3405">
                  <c:v>48082</c:v>
                </c:pt>
                <c:pt idx="3406">
                  <c:v>48085</c:v>
                </c:pt>
                <c:pt idx="3407">
                  <c:v>48086</c:v>
                </c:pt>
                <c:pt idx="3408">
                  <c:v>48087</c:v>
                </c:pt>
                <c:pt idx="3409">
                  <c:v>48088</c:v>
                </c:pt>
                <c:pt idx="3410">
                  <c:v>48089</c:v>
                </c:pt>
                <c:pt idx="3411">
                  <c:v>48092</c:v>
                </c:pt>
                <c:pt idx="3412">
                  <c:v>48093</c:v>
                </c:pt>
                <c:pt idx="3413">
                  <c:v>48094</c:v>
                </c:pt>
                <c:pt idx="3414">
                  <c:v>48095</c:v>
                </c:pt>
                <c:pt idx="3415">
                  <c:v>48096</c:v>
                </c:pt>
                <c:pt idx="3416">
                  <c:v>48099</c:v>
                </c:pt>
                <c:pt idx="3417">
                  <c:v>48100</c:v>
                </c:pt>
                <c:pt idx="3418">
                  <c:v>48101</c:v>
                </c:pt>
                <c:pt idx="3419">
                  <c:v>48102</c:v>
                </c:pt>
                <c:pt idx="3420">
                  <c:v>48103</c:v>
                </c:pt>
                <c:pt idx="3421">
                  <c:v>48106</c:v>
                </c:pt>
                <c:pt idx="3422">
                  <c:v>48107</c:v>
                </c:pt>
                <c:pt idx="3423">
                  <c:v>48108</c:v>
                </c:pt>
                <c:pt idx="3424">
                  <c:v>48109</c:v>
                </c:pt>
                <c:pt idx="3425">
                  <c:v>48110</c:v>
                </c:pt>
                <c:pt idx="3426">
                  <c:v>48113</c:v>
                </c:pt>
                <c:pt idx="3427">
                  <c:v>48114</c:v>
                </c:pt>
                <c:pt idx="3428">
                  <c:v>48115</c:v>
                </c:pt>
                <c:pt idx="3429">
                  <c:v>48116</c:v>
                </c:pt>
                <c:pt idx="3430">
                  <c:v>48117</c:v>
                </c:pt>
                <c:pt idx="3431">
                  <c:v>48120</c:v>
                </c:pt>
                <c:pt idx="3432">
                  <c:v>48121</c:v>
                </c:pt>
                <c:pt idx="3433">
                  <c:v>48122</c:v>
                </c:pt>
                <c:pt idx="3434">
                  <c:v>48123</c:v>
                </c:pt>
                <c:pt idx="3435">
                  <c:v>48124</c:v>
                </c:pt>
                <c:pt idx="3436">
                  <c:v>48127</c:v>
                </c:pt>
                <c:pt idx="3437">
                  <c:v>48128</c:v>
                </c:pt>
                <c:pt idx="3438">
                  <c:v>48129</c:v>
                </c:pt>
                <c:pt idx="3439">
                  <c:v>48130</c:v>
                </c:pt>
                <c:pt idx="3440">
                  <c:v>48131</c:v>
                </c:pt>
                <c:pt idx="3441">
                  <c:v>48134</c:v>
                </c:pt>
                <c:pt idx="3442">
                  <c:v>48135</c:v>
                </c:pt>
                <c:pt idx="3443">
                  <c:v>48136</c:v>
                </c:pt>
                <c:pt idx="3444">
                  <c:v>48137</c:v>
                </c:pt>
                <c:pt idx="3445">
                  <c:v>48138</c:v>
                </c:pt>
                <c:pt idx="3446">
                  <c:v>48141</c:v>
                </c:pt>
                <c:pt idx="3447">
                  <c:v>48142</c:v>
                </c:pt>
                <c:pt idx="3448">
                  <c:v>48143</c:v>
                </c:pt>
                <c:pt idx="3449">
                  <c:v>48144</c:v>
                </c:pt>
                <c:pt idx="3450">
                  <c:v>48145</c:v>
                </c:pt>
                <c:pt idx="3451">
                  <c:v>48148</c:v>
                </c:pt>
                <c:pt idx="3452">
                  <c:v>48149</c:v>
                </c:pt>
                <c:pt idx="3453">
                  <c:v>48150</c:v>
                </c:pt>
                <c:pt idx="3454">
                  <c:v>48151</c:v>
                </c:pt>
                <c:pt idx="3455">
                  <c:v>48152</c:v>
                </c:pt>
                <c:pt idx="3456">
                  <c:v>48155</c:v>
                </c:pt>
                <c:pt idx="3457">
                  <c:v>48156</c:v>
                </c:pt>
                <c:pt idx="3458">
                  <c:v>48157</c:v>
                </c:pt>
                <c:pt idx="3459">
                  <c:v>48158</c:v>
                </c:pt>
                <c:pt idx="3460">
                  <c:v>48159</c:v>
                </c:pt>
                <c:pt idx="3461">
                  <c:v>48162</c:v>
                </c:pt>
                <c:pt idx="3462">
                  <c:v>48163</c:v>
                </c:pt>
                <c:pt idx="3463">
                  <c:v>48164</c:v>
                </c:pt>
                <c:pt idx="3464">
                  <c:v>48165</c:v>
                </c:pt>
                <c:pt idx="3465">
                  <c:v>48166</c:v>
                </c:pt>
                <c:pt idx="3466">
                  <c:v>48169</c:v>
                </c:pt>
                <c:pt idx="3467">
                  <c:v>48170</c:v>
                </c:pt>
                <c:pt idx="3468">
                  <c:v>48171</c:v>
                </c:pt>
                <c:pt idx="3469">
                  <c:v>48172</c:v>
                </c:pt>
                <c:pt idx="3470">
                  <c:v>48173</c:v>
                </c:pt>
                <c:pt idx="3471">
                  <c:v>48176</c:v>
                </c:pt>
                <c:pt idx="3472">
                  <c:v>48177</c:v>
                </c:pt>
                <c:pt idx="3473">
                  <c:v>48178</c:v>
                </c:pt>
                <c:pt idx="3474">
                  <c:v>48179</c:v>
                </c:pt>
                <c:pt idx="3475">
                  <c:v>48180</c:v>
                </c:pt>
                <c:pt idx="3476">
                  <c:v>48183</c:v>
                </c:pt>
                <c:pt idx="3477">
                  <c:v>48184</c:v>
                </c:pt>
                <c:pt idx="3478">
                  <c:v>48185</c:v>
                </c:pt>
                <c:pt idx="3479">
                  <c:v>48186</c:v>
                </c:pt>
                <c:pt idx="3480">
                  <c:v>48187</c:v>
                </c:pt>
                <c:pt idx="3481">
                  <c:v>48190</c:v>
                </c:pt>
                <c:pt idx="3482">
                  <c:v>48191</c:v>
                </c:pt>
                <c:pt idx="3483">
                  <c:v>48192</c:v>
                </c:pt>
                <c:pt idx="3484">
                  <c:v>48193</c:v>
                </c:pt>
                <c:pt idx="3485">
                  <c:v>48194</c:v>
                </c:pt>
                <c:pt idx="3486">
                  <c:v>48197</c:v>
                </c:pt>
                <c:pt idx="3487">
                  <c:v>48198</c:v>
                </c:pt>
                <c:pt idx="3488">
                  <c:v>48199</c:v>
                </c:pt>
                <c:pt idx="3489">
                  <c:v>48200</c:v>
                </c:pt>
                <c:pt idx="3490">
                  <c:v>48201</c:v>
                </c:pt>
                <c:pt idx="3491">
                  <c:v>48204</c:v>
                </c:pt>
                <c:pt idx="3492">
                  <c:v>48205</c:v>
                </c:pt>
                <c:pt idx="3493">
                  <c:v>48206</c:v>
                </c:pt>
                <c:pt idx="3494">
                  <c:v>48211</c:v>
                </c:pt>
                <c:pt idx="3495">
                  <c:v>48212</c:v>
                </c:pt>
                <c:pt idx="3496">
                  <c:v>48213</c:v>
                </c:pt>
                <c:pt idx="3497">
                  <c:v>48215</c:v>
                </c:pt>
                <c:pt idx="3498">
                  <c:v>48218</c:v>
                </c:pt>
                <c:pt idx="3499">
                  <c:v>48219</c:v>
                </c:pt>
                <c:pt idx="3500">
                  <c:v>48220</c:v>
                </c:pt>
                <c:pt idx="3501">
                  <c:v>48221</c:v>
                </c:pt>
                <c:pt idx="3502">
                  <c:v>48222</c:v>
                </c:pt>
                <c:pt idx="3503">
                  <c:v>48225</c:v>
                </c:pt>
                <c:pt idx="3504">
                  <c:v>48226</c:v>
                </c:pt>
                <c:pt idx="3505">
                  <c:v>48227</c:v>
                </c:pt>
                <c:pt idx="3506">
                  <c:v>48228</c:v>
                </c:pt>
                <c:pt idx="3507">
                  <c:v>48229</c:v>
                </c:pt>
                <c:pt idx="3508">
                  <c:v>48232</c:v>
                </c:pt>
                <c:pt idx="3509">
                  <c:v>48233</c:v>
                </c:pt>
                <c:pt idx="3510">
                  <c:v>48234</c:v>
                </c:pt>
                <c:pt idx="3511">
                  <c:v>48235</c:v>
                </c:pt>
                <c:pt idx="3512">
                  <c:v>48236</c:v>
                </c:pt>
                <c:pt idx="3513">
                  <c:v>48239</c:v>
                </c:pt>
                <c:pt idx="3514">
                  <c:v>48240</c:v>
                </c:pt>
                <c:pt idx="3515">
                  <c:v>48241</c:v>
                </c:pt>
                <c:pt idx="3516">
                  <c:v>48242</c:v>
                </c:pt>
                <c:pt idx="3517">
                  <c:v>48243</c:v>
                </c:pt>
                <c:pt idx="3518">
                  <c:v>48246</c:v>
                </c:pt>
                <c:pt idx="3519">
                  <c:v>48247</c:v>
                </c:pt>
                <c:pt idx="3520">
                  <c:v>48248</c:v>
                </c:pt>
                <c:pt idx="3521">
                  <c:v>48249</c:v>
                </c:pt>
                <c:pt idx="3522">
                  <c:v>48250</c:v>
                </c:pt>
                <c:pt idx="3523">
                  <c:v>48253</c:v>
                </c:pt>
                <c:pt idx="3524">
                  <c:v>48254</c:v>
                </c:pt>
                <c:pt idx="3525">
                  <c:v>48255</c:v>
                </c:pt>
                <c:pt idx="3526">
                  <c:v>48256</c:v>
                </c:pt>
                <c:pt idx="3527">
                  <c:v>48257</c:v>
                </c:pt>
                <c:pt idx="3528">
                  <c:v>48260</c:v>
                </c:pt>
                <c:pt idx="3529">
                  <c:v>48261</c:v>
                </c:pt>
                <c:pt idx="3530">
                  <c:v>48262</c:v>
                </c:pt>
                <c:pt idx="3531">
                  <c:v>48263</c:v>
                </c:pt>
                <c:pt idx="3532">
                  <c:v>48264</c:v>
                </c:pt>
                <c:pt idx="3533">
                  <c:v>48267</c:v>
                </c:pt>
                <c:pt idx="3534">
                  <c:v>48268</c:v>
                </c:pt>
                <c:pt idx="3535">
                  <c:v>48269</c:v>
                </c:pt>
                <c:pt idx="3536">
                  <c:v>48270</c:v>
                </c:pt>
                <c:pt idx="3537">
                  <c:v>48271</c:v>
                </c:pt>
                <c:pt idx="3538">
                  <c:v>48274</c:v>
                </c:pt>
                <c:pt idx="3539">
                  <c:v>48275</c:v>
                </c:pt>
                <c:pt idx="3540">
                  <c:v>48276</c:v>
                </c:pt>
                <c:pt idx="3541">
                  <c:v>48277</c:v>
                </c:pt>
                <c:pt idx="3542">
                  <c:v>48278</c:v>
                </c:pt>
                <c:pt idx="3543">
                  <c:v>48281</c:v>
                </c:pt>
                <c:pt idx="3544">
                  <c:v>48282</c:v>
                </c:pt>
                <c:pt idx="3545">
                  <c:v>48283</c:v>
                </c:pt>
                <c:pt idx="3546">
                  <c:v>48284</c:v>
                </c:pt>
                <c:pt idx="3547">
                  <c:v>48285</c:v>
                </c:pt>
                <c:pt idx="3548">
                  <c:v>48288</c:v>
                </c:pt>
                <c:pt idx="3549">
                  <c:v>48289</c:v>
                </c:pt>
                <c:pt idx="3550">
                  <c:v>48290</c:v>
                </c:pt>
                <c:pt idx="3551">
                  <c:v>48291</c:v>
                </c:pt>
                <c:pt idx="3552">
                  <c:v>48292</c:v>
                </c:pt>
                <c:pt idx="3553">
                  <c:v>48295</c:v>
                </c:pt>
                <c:pt idx="3554">
                  <c:v>48296</c:v>
                </c:pt>
                <c:pt idx="3555">
                  <c:v>48297</c:v>
                </c:pt>
                <c:pt idx="3556">
                  <c:v>48298</c:v>
                </c:pt>
                <c:pt idx="3557">
                  <c:v>48303</c:v>
                </c:pt>
                <c:pt idx="3558">
                  <c:v>48304</c:v>
                </c:pt>
                <c:pt idx="3559">
                  <c:v>48305</c:v>
                </c:pt>
                <c:pt idx="3560">
                  <c:v>48306</c:v>
                </c:pt>
                <c:pt idx="3561">
                  <c:v>48309</c:v>
                </c:pt>
                <c:pt idx="3562">
                  <c:v>48310</c:v>
                </c:pt>
                <c:pt idx="3563">
                  <c:v>48311</c:v>
                </c:pt>
                <c:pt idx="3564">
                  <c:v>48312</c:v>
                </c:pt>
                <c:pt idx="3565">
                  <c:v>48313</c:v>
                </c:pt>
                <c:pt idx="3566">
                  <c:v>48316</c:v>
                </c:pt>
                <c:pt idx="3567">
                  <c:v>48317</c:v>
                </c:pt>
                <c:pt idx="3568">
                  <c:v>48318</c:v>
                </c:pt>
                <c:pt idx="3569">
                  <c:v>48319</c:v>
                </c:pt>
                <c:pt idx="3570">
                  <c:v>48320</c:v>
                </c:pt>
                <c:pt idx="3571">
                  <c:v>48323</c:v>
                </c:pt>
                <c:pt idx="3572">
                  <c:v>48324</c:v>
                </c:pt>
                <c:pt idx="3573">
                  <c:v>48325</c:v>
                </c:pt>
                <c:pt idx="3574">
                  <c:v>48326</c:v>
                </c:pt>
                <c:pt idx="3575">
                  <c:v>48327</c:v>
                </c:pt>
                <c:pt idx="3576">
                  <c:v>48330</c:v>
                </c:pt>
                <c:pt idx="3577">
                  <c:v>48331</c:v>
                </c:pt>
                <c:pt idx="3578">
                  <c:v>48332</c:v>
                </c:pt>
                <c:pt idx="3579">
                  <c:v>48333</c:v>
                </c:pt>
                <c:pt idx="3580">
                  <c:v>48334</c:v>
                </c:pt>
                <c:pt idx="3581">
                  <c:v>48337</c:v>
                </c:pt>
                <c:pt idx="3582">
                  <c:v>48338</c:v>
                </c:pt>
                <c:pt idx="3583">
                  <c:v>48339</c:v>
                </c:pt>
                <c:pt idx="3584">
                  <c:v>48340</c:v>
                </c:pt>
                <c:pt idx="3585">
                  <c:v>48341</c:v>
                </c:pt>
                <c:pt idx="3586">
                  <c:v>48344</c:v>
                </c:pt>
                <c:pt idx="3587">
                  <c:v>48345</c:v>
                </c:pt>
                <c:pt idx="3588">
                  <c:v>48346</c:v>
                </c:pt>
                <c:pt idx="3589">
                  <c:v>48347</c:v>
                </c:pt>
                <c:pt idx="3590">
                  <c:v>48348</c:v>
                </c:pt>
                <c:pt idx="3591">
                  <c:v>48351</c:v>
                </c:pt>
                <c:pt idx="3592">
                  <c:v>48352</c:v>
                </c:pt>
                <c:pt idx="3593">
                  <c:v>48353</c:v>
                </c:pt>
                <c:pt idx="3594">
                  <c:v>48354</c:v>
                </c:pt>
                <c:pt idx="3595">
                  <c:v>48355</c:v>
                </c:pt>
                <c:pt idx="3596">
                  <c:v>48358</c:v>
                </c:pt>
                <c:pt idx="3597">
                  <c:v>48359</c:v>
                </c:pt>
                <c:pt idx="3598">
                  <c:v>48360</c:v>
                </c:pt>
                <c:pt idx="3599">
                  <c:v>48361</c:v>
                </c:pt>
                <c:pt idx="3600">
                  <c:v>48362</c:v>
                </c:pt>
                <c:pt idx="3601">
                  <c:v>48365</c:v>
                </c:pt>
                <c:pt idx="3602">
                  <c:v>48366</c:v>
                </c:pt>
                <c:pt idx="3603">
                  <c:v>48367</c:v>
                </c:pt>
                <c:pt idx="3604">
                  <c:v>48368</c:v>
                </c:pt>
                <c:pt idx="3605">
                  <c:v>48369</c:v>
                </c:pt>
                <c:pt idx="3606">
                  <c:v>48372</c:v>
                </c:pt>
                <c:pt idx="3607">
                  <c:v>48373</c:v>
                </c:pt>
                <c:pt idx="3608">
                  <c:v>48374</c:v>
                </c:pt>
                <c:pt idx="3609">
                  <c:v>48375</c:v>
                </c:pt>
                <c:pt idx="3610">
                  <c:v>48376</c:v>
                </c:pt>
                <c:pt idx="3611">
                  <c:v>48379</c:v>
                </c:pt>
                <c:pt idx="3612">
                  <c:v>48380</c:v>
                </c:pt>
                <c:pt idx="3613">
                  <c:v>48381</c:v>
                </c:pt>
                <c:pt idx="3614">
                  <c:v>48382</c:v>
                </c:pt>
                <c:pt idx="3615">
                  <c:v>48383</c:v>
                </c:pt>
                <c:pt idx="3616">
                  <c:v>48386</c:v>
                </c:pt>
                <c:pt idx="3617">
                  <c:v>48387</c:v>
                </c:pt>
                <c:pt idx="3618">
                  <c:v>48388</c:v>
                </c:pt>
                <c:pt idx="3619">
                  <c:v>48389</c:v>
                </c:pt>
                <c:pt idx="3620">
                  <c:v>48390</c:v>
                </c:pt>
                <c:pt idx="3621">
                  <c:v>48393</c:v>
                </c:pt>
                <c:pt idx="3622">
                  <c:v>48394</c:v>
                </c:pt>
                <c:pt idx="3623">
                  <c:v>48395</c:v>
                </c:pt>
                <c:pt idx="3624">
                  <c:v>48396</c:v>
                </c:pt>
                <c:pt idx="3625">
                  <c:v>48397</c:v>
                </c:pt>
                <c:pt idx="3626">
                  <c:v>48400</c:v>
                </c:pt>
                <c:pt idx="3627">
                  <c:v>48401</c:v>
                </c:pt>
                <c:pt idx="3628">
                  <c:v>48402</c:v>
                </c:pt>
                <c:pt idx="3629">
                  <c:v>48403</c:v>
                </c:pt>
                <c:pt idx="3630">
                  <c:v>48404</c:v>
                </c:pt>
                <c:pt idx="3631">
                  <c:v>48407</c:v>
                </c:pt>
                <c:pt idx="3632">
                  <c:v>48408</c:v>
                </c:pt>
                <c:pt idx="3633">
                  <c:v>48409</c:v>
                </c:pt>
                <c:pt idx="3634">
                  <c:v>48410</c:v>
                </c:pt>
                <c:pt idx="3635">
                  <c:v>48411</c:v>
                </c:pt>
                <c:pt idx="3636">
                  <c:v>48414</c:v>
                </c:pt>
                <c:pt idx="3637">
                  <c:v>48415</c:v>
                </c:pt>
                <c:pt idx="3638">
                  <c:v>48416</c:v>
                </c:pt>
                <c:pt idx="3639">
                  <c:v>48417</c:v>
                </c:pt>
                <c:pt idx="3640">
                  <c:v>48418</c:v>
                </c:pt>
                <c:pt idx="3641">
                  <c:v>48421</c:v>
                </c:pt>
                <c:pt idx="3642">
                  <c:v>48422</c:v>
                </c:pt>
                <c:pt idx="3643">
                  <c:v>48423</c:v>
                </c:pt>
                <c:pt idx="3644">
                  <c:v>48424</c:v>
                </c:pt>
                <c:pt idx="3645">
                  <c:v>48425</c:v>
                </c:pt>
                <c:pt idx="3646">
                  <c:v>48428</c:v>
                </c:pt>
                <c:pt idx="3647">
                  <c:v>48429</c:v>
                </c:pt>
                <c:pt idx="3648">
                  <c:v>48430</c:v>
                </c:pt>
                <c:pt idx="3649">
                  <c:v>48431</c:v>
                </c:pt>
              </c:numCache>
            </c:numRef>
          </c:cat>
          <c:val>
            <c:numRef>
              <c:f>'Forward Charts'!$F$6:$F$3655</c:f>
              <c:numCache>
                <c:formatCode>0.0000%</c:formatCode>
                <c:ptCount val="3650"/>
                <c:pt idx="0">
                  <c:v>-2.6938709677420116E-3</c:v>
                </c:pt>
                <c:pt idx="1">
                  <c:v>-2.6909677419355567E-3</c:v>
                </c:pt>
                <c:pt idx="2">
                  <c:v>-2.6900000000000717E-3</c:v>
                </c:pt>
                <c:pt idx="3">
                  <c:v>-2.6890322580645867E-3</c:v>
                </c:pt>
                <c:pt idx="4">
                  <c:v>-2.6880645161291017E-3</c:v>
                </c:pt>
                <c:pt idx="5">
                  <c:v>-2.6870967741936167E-3</c:v>
                </c:pt>
                <c:pt idx="6">
                  <c:v>-2.6841935483871613E-3</c:v>
                </c:pt>
                <c:pt idx="7">
                  <c:v>-2.6832258064516763E-3</c:v>
                </c:pt>
                <c:pt idx="8">
                  <c:v>-2.6822580645161913E-3</c:v>
                </c:pt>
                <c:pt idx="9">
                  <c:v>-2.6812903225807063E-3</c:v>
                </c:pt>
                <c:pt idx="10">
                  <c:v>-2.6803225806452213E-3</c:v>
                </c:pt>
                <c:pt idx="11">
                  <c:v>-2.6774193548387663E-3</c:v>
                </c:pt>
                <c:pt idx="12">
                  <c:v>-2.6764516129032813E-3</c:v>
                </c:pt>
                <c:pt idx="13">
                  <c:v>-2.6754838709677964E-3</c:v>
                </c:pt>
                <c:pt idx="14">
                  <c:v>-2.6745161290323114E-3</c:v>
                </c:pt>
                <c:pt idx="15">
                  <c:v>-2.6735483870968264E-3</c:v>
                </c:pt>
                <c:pt idx="16">
                  <c:v>-2.670645161290371E-3</c:v>
                </c:pt>
                <c:pt idx="17">
                  <c:v>-2.669677419354886E-3</c:v>
                </c:pt>
                <c:pt idx="18">
                  <c:v>-2.668709677419401E-3</c:v>
                </c:pt>
                <c:pt idx="19">
                  <c:v>-2.667741935483916E-3</c:v>
                </c:pt>
                <c:pt idx="20">
                  <c:v>-2.666774193548431E-3</c:v>
                </c:pt>
                <c:pt idx="21">
                  <c:v>-2.663870967741976E-3</c:v>
                </c:pt>
                <c:pt idx="22">
                  <c:v>-2.662903225806491E-3</c:v>
                </c:pt>
                <c:pt idx="23">
                  <c:v>-2.661935483871006E-3</c:v>
                </c:pt>
                <c:pt idx="24">
                  <c:v>-2.6609677419355206E-3</c:v>
                </c:pt>
                <c:pt idx="25">
                  <c:v>-2.6600000000000356E-3</c:v>
                </c:pt>
                <c:pt idx="26">
                  <c:v>-2.6570967741935806E-3</c:v>
                </c:pt>
                <c:pt idx="27">
                  <c:v>-2.6561290322580956E-3</c:v>
                </c:pt>
                <c:pt idx="28">
                  <c:v>-2.6551612903226106E-3</c:v>
                </c:pt>
                <c:pt idx="29">
                  <c:v>-2.6541935483871256E-3</c:v>
                </c:pt>
                <c:pt idx="30">
                  <c:v>-2.6532258064516407E-3</c:v>
                </c:pt>
                <c:pt idx="31">
                  <c:v>-2.6503225806451857E-3</c:v>
                </c:pt>
                <c:pt idx="32">
                  <c:v>-2.6493548387097007E-3</c:v>
                </c:pt>
                <c:pt idx="33">
                  <c:v>-2.6483870967742153E-3</c:v>
                </c:pt>
                <c:pt idx="34">
                  <c:v>-2.6474193548387303E-3</c:v>
                </c:pt>
                <c:pt idx="35">
                  <c:v>-2.6464516129032453E-3</c:v>
                </c:pt>
                <c:pt idx="36">
                  <c:v>-2.6435483870967903E-3</c:v>
                </c:pt>
                <c:pt idx="37">
                  <c:v>-2.6425806451613053E-3</c:v>
                </c:pt>
                <c:pt idx="38">
                  <c:v>-2.6416129032258203E-3</c:v>
                </c:pt>
                <c:pt idx="39">
                  <c:v>-2.6406451612903353E-3</c:v>
                </c:pt>
                <c:pt idx="40">
                  <c:v>-2.6396774193548503E-3</c:v>
                </c:pt>
                <c:pt idx="41">
                  <c:v>-2.6367741935483953E-3</c:v>
                </c:pt>
                <c:pt idx="42">
                  <c:v>-2.6358064516129099E-3</c:v>
                </c:pt>
                <c:pt idx="43">
                  <c:v>-2.6348387096774249E-3</c:v>
                </c:pt>
                <c:pt idx="44">
                  <c:v>-2.6338709677419399E-3</c:v>
                </c:pt>
                <c:pt idx="45">
                  <c:v>-2.6329032258064549E-3</c:v>
                </c:pt>
                <c:pt idx="46">
                  <c:v>-2.63E-3</c:v>
                </c:pt>
                <c:pt idx="47">
                  <c:v>-2.6286666666666667E-3</c:v>
                </c:pt>
                <c:pt idx="48">
                  <c:v>-2.6273333333333335E-3</c:v>
                </c:pt>
                <c:pt idx="49">
                  <c:v>-2.6259999999999999E-3</c:v>
                </c:pt>
                <c:pt idx="50">
                  <c:v>-2.6246666666666666E-3</c:v>
                </c:pt>
                <c:pt idx="51">
                  <c:v>-2.6206666666666665E-3</c:v>
                </c:pt>
                <c:pt idx="52">
                  <c:v>-2.6193333333333333E-3</c:v>
                </c:pt>
                <c:pt idx="53">
                  <c:v>-2.6180000000000001E-3</c:v>
                </c:pt>
                <c:pt idx="54">
                  <c:v>-2.6166666666666669E-3</c:v>
                </c:pt>
                <c:pt idx="55">
                  <c:v>-2.6153333333333332E-3</c:v>
                </c:pt>
                <c:pt idx="56">
                  <c:v>-2.6113333333333336E-3</c:v>
                </c:pt>
                <c:pt idx="57">
                  <c:v>-2.6099999999999999E-3</c:v>
                </c:pt>
                <c:pt idx="58">
                  <c:v>-2.6086666666666667E-3</c:v>
                </c:pt>
                <c:pt idx="59">
                  <c:v>-2.6073333333333335E-3</c:v>
                </c:pt>
                <c:pt idx="60">
                  <c:v>-2.6060000000000002E-3</c:v>
                </c:pt>
                <c:pt idx="61">
                  <c:v>-2.6020000000000001E-3</c:v>
                </c:pt>
                <c:pt idx="62">
                  <c:v>-2.6006666666666669E-3</c:v>
                </c:pt>
                <c:pt idx="63">
                  <c:v>-2.5993333333333337E-3</c:v>
                </c:pt>
                <c:pt idx="64">
                  <c:v>-2.598E-3</c:v>
                </c:pt>
                <c:pt idx="65">
                  <c:v>-2.5966666666666668E-3</c:v>
                </c:pt>
                <c:pt idx="66">
                  <c:v>-2.5926666666666667E-3</c:v>
                </c:pt>
                <c:pt idx="67">
                  <c:v>-2.5913333333333335E-3</c:v>
                </c:pt>
                <c:pt idx="68">
                  <c:v>-2.5900000000000003E-3</c:v>
                </c:pt>
                <c:pt idx="69">
                  <c:v>-2.5887878787878792E-3</c:v>
                </c:pt>
                <c:pt idx="70">
                  <c:v>-2.5875757575757577E-3</c:v>
                </c:pt>
                <c:pt idx="71">
                  <c:v>-2.5839393939393941E-3</c:v>
                </c:pt>
                <c:pt idx="72">
                  <c:v>-2.582727272727273E-3</c:v>
                </c:pt>
                <c:pt idx="73">
                  <c:v>-2.5815151515151519E-3</c:v>
                </c:pt>
                <c:pt idx="74">
                  <c:v>-2.5803030303030304E-3</c:v>
                </c:pt>
                <c:pt idx="75">
                  <c:v>-2.5790909090909094E-3</c:v>
                </c:pt>
                <c:pt idx="76">
                  <c:v>-2.5754545454545457E-3</c:v>
                </c:pt>
                <c:pt idx="77">
                  <c:v>-2.5742424242424246E-3</c:v>
                </c:pt>
                <c:pt idx="78">
                  <c:v>-2.5730303030303031E-3</c:v>
                </c:pt>
                <c:pt idx="79">
                  <c:v>-2.5718181818181821E-3</c:v>
                </c:pt>
                <c:pt idx="80">
                  <c:v>-2.570606060606061E-3</c:v>
                </c:pt>
                <c:pt idx="81">
                  <c:v>-2.5669696969696973E-3</c:v>
                </c:pt>
                <c:pt idx="82">
                  <c:v>-2.5657575757575758E-3</c:v>
                </c:pt>
                <c:pt idx="83">
                  <c:v>-2.5645454545454548E-3</c:v>
                </c:pt>
                <c:pt idx="84">
                  <c:v>-2.5633333333333337E-3</c:v>
                </c:pt>
                <c:pt idx="85">
                  <c:v>-2.5621212121212122E-3</c:v>
                </c:pt>
                <c:pt idx="86">
                  <c:v>-2.5584848484848485E-3</c:v>
                </c:pt>
                <c:pt idx="87">
                  <c:v>-2.5572727272727275E-3</c:v>
                </c:pt>
                <c:pt idx="88">
                  <c:v>-2.5560606060606064E-3</c:v>
                </c:pt>
                <c:pt idx="89">
                  <c:v>-2.5548484848484849E-3</c:v>
                </c:pt>
                <c:pt idx="90">
                  <c:v>-2.5536363636363638E-3</c:v>
                </c:pt>
                <c:pt idx="91">
                  <c:v>-2.5500000000000002E-3</c:v>
                </c:pt>
                <c:pt idx="92">
                  <c:v>-2.5475000000000003E-3</c:v>
                </c:pt>
                <c:pt idx="93">
                  <c:v>-2.5450000000000004E-3</c:v>
                </c:pt>
                <c:pt idx="94">
                  <c:v>-2.5425000000000001E-3</c:v>
                </c:pt>
                <c:pt idx="95">
                  <c:v>-2.5400000000000002E-3</c:v>
                </c:pt>
                <c:pt idx="96">
                  <c:v>-2.5325E-3</c:v>
                </c:pt>
                <c:pt idx="97">
                  <c:v>-2.5300000000000001E-3</c:v>
                </c:pt>
                <c:pt idx="98">
                  <c:v>-2.5275000000000002E-3</c:v>
                </c:pt>
                <c:pt idx="99">
                  <c:v>-2.5249999999999999E-3</c:v>
                </c:pt>
                <c:pt idx="100">
                  <c:v>-2.5225E-3</c:v>
                </c:pt>
                <c:pt idx="101">
                  <c:v>-2.5149999999999999E-3</c:v>
                </c:pt>
                <c:pt idx="102">
                  <c:v>-2.5125E-3</c:v>
                </c:pt>
                <c:pt idx="103">
                  <c:v>-2.5100000000000001E-3</c:v>
                </c:pt>
                <c:pt idx="104">
                  <c:v>-2.5075000000000002E-3</c:v>
                </c:pt>
                <c:pt idx="105">
                  <c:v>-2.5049999999999998E-3</c:v>
                </c:pt>
                <c:pt idx="106">
                  <c:v>-2.4974999999999997E-3</c:v>
                </c:pt>
                <c:pt idx="107">
                  <c:v>-2.4949999999999998E-3</c:v>
                </c:pt>
                <c:pt idx="108">
                  <c:v>-2.4924999999999999E-3</c:v>
                </c:pt>
                <c:pt idx="109">
                  <c:v>-2.49E-3</c:v>
                </c:pt>
                <c:pt idx="110">
                  <c:v>-2.4874999999999997E-3</c:v>
                </c:pt>
                <c:pt idx="111">
                  <c:v>-2.48E-3</c:v>
                </c:pt>
                <c:pt idx="112">
                  <c:v>-2.4770967741935567E-3</c:v>
                </c:pt>
                <c:pt idx="113">
                  <c:v>-2.4741935483871139E-3</c:v>
                </c:pt>
                <c:pt idx="114">
                  <c:v>-2.4712903225806711E-3</c:v>
                </c:pt>
                <c:pt idx="115">
                  <c:v>-2.4683870967742278E-3</c:v>
                </c:pt>
                <c:pt idx="116">
                  <c:v>-2.4596774193548989E-3</c:v>
                </c:pt>
                <c:pt idx="117">
                  <c:v>-2.4567741935484556E-3</c:v>
                </c:pt>
                <c:pt idx="118">
                  <c:v>-2.4538709677420128E-3</c:v>
                </c:pt>
                <c:pt idx="119">
                  <c:v>-2.4509677419355699E-3</c:v>
                </c:pt>
                <c:pt idx="120">
                  <c:v>-2.4480645161291266E-3</c:v>
                </c:pt>
                <c:pt idx="121">
                  <c:v>-2.4393548387097977E-3</c:v>
                </c:pt>
                <c:pt idx="122">
                  <c:v>-2.4364516129033544E-3</c:v>
                </c:pt>
                <c:pt idx="123">
                  <c:v>-2.4335483870969116E-3</c:v>
                </c:pt>
                <c:pt idx="124">
                  <c:v>-2.4306451612904683E-3</c:v>
                </c:pt>
                <c:pt idx="125">
                  <c:v>-2.4277419354840255E-3</c:v>
                </c:pt>
                <c:pt idx="126">
                  <c:v>-2.4190322580646966E-3</c:v>
                </c:pt>
                <c:pt idx="127">
                  <c:v>-2.4161290322582533E-3</c:v>
                </c:pt>
                <c:pt idx="128">
                  <c:v>-2.4132258064518105E-3</c:v>
                </c:pt>
                <c:pt idx="129">
                  <c:v>-2.4103225806453672E-3</c:v>
                </c:pt>
                <c:pt idx="130">
                  <c:v>-2.4074193548389244E-3</c:v>
                </c:pt>
                <c:pt idx="131">
                  <c:v>-2.3987096774195954E-3</c:v>
                </c:pt>
                <c:pt idx="132">
                  <c:v>-2.3958064516131526E-3</c:v>
                </c:pt>
                <c:pt idx="133">
                  <c:v>-2.3929032258067093E-3</c:v>
                </c:pt>
                <c:pt idx="134">
                  <c:v>-2.390000000000266E-3</c:v>
                </c:pt>
                <c:pt idx="135">
                  <c:v>-2.387187500000258E-3</c:v>
                </c:pt>
                <c:pt idx="136">
                  <c:v>-2.3787500000002331E-3</c:v>
                </c:pt>
                <c:pt idx="137">
                  <c:v>-2.3759375000002247E-3</c:v>
                </c:pt>
                <c:pt idx="138">
                  <c:v>-2.3731250000002162E-3</c:v>
                </c:pt>
                <c:pt idx="139">
                  <c:v>-2.3703125000002082E-3</c:v>
                </c:pt>
                <c:pt idx="140">
                  <c:v>-2.3675000000001997E-3</c:v>
                </c:pt>
                <c:pt idx="141">
                  <c:v>-2.3590625000001748E-3</c:v>
                </c:pt>
                <c:pt idx="142">
                  <c:v>-2.3562500000001664E-3</c:v>
                </c:pt>
                <c:pt idx="143">
                  <c:v>-2.3534375000001579E-3</c:v>
                </c:pt>
                <c:pt idx="144">
                  <c:v>-2.3506250000001499E-3</c:v>
                </c:pt>
                <c:pt idx="145">
                  <c:v>-2.3478125000001415E-3</c:v>
                </c:pt>
                <c:pt idx="146">
                  <c:v>-2.3393750000001165E-3</c:v>
                </c:pt>
                <c:pt idx="147">
                  <c:v>-2.3365625000001081E-3</c:v>
                </c:pt>
                <c:pt idx="148">
                  <c:v>-2.3337500000000996E-3</c:v>
                </c:pt>
                <c:pt idx="149">
                  <c:v>-2.3309375000000916E-3</c:v>
                </c:pt>
                <c:pt idx="150">
                  <c:v>-2.3281250000000832E-3</c:v>
                </c:pt>
                <c:pt idx="151">
                  <c:v>-2.3196875000000582E-3</c:v>
                </c:pt>
                <c:pt idx="152">
                  <c:v>-2.3168750000000498E-3</c:v>
                </c:pt>
                <c:pt idx="153">
                  <c:v>-2.3140625000000418E-3</c:v>
                </c:pt>
                <c:pt idx="154">
                  <c:v>-2.3112500000000333E-3</c:v>
                </c:pt>
                <c:pt idx="155">
                  <c:v>-2.3084375000000249E-3</c:v>
                </c:pt>
                <c:pt idx="156">
                  <c:v>-2.3E-3</c:v>
                </c:pt>
                <c:pt idx="157">
                  <c:v>-2.2955172413793102E-3</c:v>
                </c:pt>
                <c:pt idx="158">
                  <c:v>-2.2910344827586208E-3</c:v>
                </c:pt>
                <c:pt idx="159">
                  <c:v>-2.286551724137931E-3</c:v>
                </c:pt>
                <c:pt idx="160">
                  <c:v>-2.2820689655172416E-3</c:v>
                </c:pt>
                <c:pt idx="161">
                  <c:v>-2.2686206896551722E-3</c:v>
                </c:pt>
                <c:pt idx="162">
                  <c:v>-2.2641379310344824E-3</c:v>
                </c:pt>
                <c:pt idx="163">
                  <c:v>-2.259655172413793E-3</c:v>
                </c:pt>
                <c:pt idx="164">
                  <c:v>-2.2551724137931032E-3</c:v>
                </c:pt>
                <c:pt idx="165">
                  <c:v>-2.2506896551724139E-3</c:v>
                </c:pt>
                <c:pt idx="166">
                  <c:v>-2.2372413793103449E-3</c:v>
                </c:pt>
                <c:pt idx="167">
                  <c:v>-2.2237931034482755E-3</c:v>
                </c:pt>
                <c:pt idx="168">
                  <c:v>-2.2193103448275861E-3</c:v>
                </c:pt>
                <c:pt idx="169">
                  <c:v>-2.2058620689655172E-3</c:v>
                </c:pt>
                <c:pt idx="170">
                  <c:v>-2.196896551724138E-3</c:v>
                </c:pt>
                <c:pt idx="171">
                  <c:v>-2.1924137931034482E-3</c:v>
                </c:pt>
                <c:pt idx="172">
                  <c:v>-2.1879310344827584E-3</c:v>
                </c:pt>
                <c:pt idx="173">
                  <c:v>-2.1744827586206899E-3</c:v>
                </c:pt>
                <c:pt idx="174">
                  <c:v>-2.1700000000000001E-3</c:v>
                </c:pt>
                <c:pt idx="175">
                  <c:v>-2.1632258064516129E-3</c:v>
                </c:pt>
                <c:pt idx="176">
                  <c:v>-2.1564516129032258E-3</c:v>
                </c:pt>
                <c:pt idx="177">
                  <c:v>-2.1496774193548386E-3</c:v>
                </c:pt>
                <c:pt idx="178">
                  <c:v>-2.1293548387096772E-3</c:v>
                </c:pt>
                <c:pt idx="179">
                  <c:v>-2.1225806451612901E-3</c:v>
                </c:pt>
                <c:pt idx="180">
                  <c:v>-2.1158064516129033E-3</c:v>
                </c:pt>
                <c:pt idx="181">
                  <c:v>-2.1090322580645162E-3</c:v>
                </c:pt>
                <c:pt idx="182">
                  <c:v>-2.1022580645161291E-3</c:v>
                </c:pt>
                <c:pt idx="183">
                  <c:v>-2.0819354838709676E-3</c:v>
                </c:pt>
                <c:pt idx="184">
                  <c:v>-2.0751612903225805E-3</c:v>
                </c:pt>
                <c:pt idx="185">
                  <c:v>-2.0683870967741933E-3</c:v>
                </c:pt>
                <c:pt idx="186">
                  <c:v>-2.0616129032258062E-3</c:v>
                </c:pt>
                <c:pt idx="187">
                  <c:v>-2.0548387096774191E-3</c:v>
                </c:pt>
                <c:pt idx="188">
                  <c:v>-2.0345161290322581E-3</c:v>
                </c:pt>
                <c:pt idx="189">
                  <c:v>-2.0277419354838709E-3</c:v>
                </c:pt>
                <c:pt idx="190">
                  <c:v>-2.0209677419354838E-3</c:v>
                </c:pt>
                <c:pt idx="191">
                  <c:v>-2.0141935483870966E-3</c:v>
                </c:pt>
                <c:pt idx="192">
                  <c:v>-2.0074193548387095E-3</c:v>
                </c:pt>
                <c:pt idx="193">
                  <c:v>-1.9870967741935481E-3</c:v>
                </c:pt>
                <c:pt idx="194">
                  <c:v>-1.9803225806451609E-3</c:v>
                </c:pt>
                <c:pt idx="195">
                  <c:v>-1.9735483870967742E-3</c:v>
                </c:pt>
                <c:pt idx="196">
                  <c:v>-1.9667741935483871E-3</c:v>
                </c:pt>
                <c:pt idx="197">
                  <c:v>-1.9599999999999999E-3</c:v>
                </c:pt>
                <c:pt idx="198">
                  <c:v>-1.9407142857142854E-3</c:v>
                </c:pt>
                <c:pt idx="199">
                  <c:v>-1.9342857142857141E-3</c:v>
                </c:pt>
                <c:pt idx="200">
                  <c:v>-1.9278571428571426E-3</c:v>
                </c:pt>
                <c:pt idx="201">
                  <c:v>-1.9214285714285713E-3</c:v>
                </c:pt>
                <c:pt idx="202">
                  <c:v>-1.9149999999999998E-3</c:v>
                </c:pt>
                <c:pt idx="203">
                  <c:v>-1.8957142857142857E-3</c:v>
                </c:pt>
                <c:pt idx="204">
                  <c:v>-1.8892857142857142E-3</c:v>
                </c:pt>
                <c:pt idx="205">
                  <c:v>-1.8828571428571425E-3</c:v>
                </c:pt>
                <c:pt idx="206">
                  <c:v>-1.8764285714285712E-3</c:v>
                </c:pt>
                <c:pt idx="207">
                  <c:v>-1.8699999999999997E-3</c:v>
                </c:pt>
                <c:pt idx="208">
                  <c:v>-1.8507142857142856E-3</c:v>
                </c:pt>
                <c:pt idx="209">
                  <c:v>-1.8442857142857141E-3</c:v>
                </c:pt>
                <c:pt idx="210">
                  <c:v>-1.8378571428571428E-3</c:v>
                </c:pt>
                <c:pt idx="211">
                  <c:v>-1.8314285714285713E-3</c:v>
                </c:pt>
                <c:pt idx="212">
                  <c:v>-1.8249999999999998E-3</c:v>
                </c:pt>
                <c:pt idx="213">
                  <c:v>-1.8057142857142855E-3</c:v>
                </c:pt>
                <c:pt idx="214">
                  <c:v>-1.7992857142857142E-3</c:v>
                </c:pt>
                <c:pt idx="215">
                  <c:v>-1.7928571428571427E-3</c:v>
                </c:pt>
                <c:pt idx="216">
                  <c:v>-1.7864285714285712E-3</c:v>
                </c:pt>
                <c:pt idx="217">
                  <c:v>-1.7799999999999999E-3</c:v>
                </c:pt>
                <c:pt idx="218">
                  <c:v>-1.7567741935483867E-3</c:v>
                </c:pt>
                <c:pt idx="219">
                  <c:v>-1.7490322580645159E-3</c:v>
                </c:pt>
                <c:pt idx="220">
                  <c:v>-1.7412903225806449E-3</c:v>
                </c:pt>
                <c:pt idx="221">
                  <c:v>-1.733548387096774E-3</c:v>
                </c:pt>
                <c:pt idx="222">
                  <c:v>-1.725806451612903E-3</c:v>
                </c:pt>
                <c:pt idx="223">
                  <c:v>-1.7025806451612903E-3</c:v>
                </c:pt>
                <c:pt idx="224">
                  <c:v>-1.6948387096774192E-3</c:v>
                </c:pt>
                <c:pt idx="225">
                  <c:v>-1.6870967741935484E-3</c:v>
                </c:pt>
                <c:pt idx="226">
                  <c:v>-1.6793548387096771E-3</c:v>
                </c:pt>
                <c:pt idx="227">
                  <c:v>-1.6716129032258061E-3</c:v>
                </c:pt>
                <c:pt idx="228">
                  <c:v>-1.6483870967741933E-3</c:v>
                </c:pt>
                <c:pt idx="229">
                  <c:v>-1.6406451612903225E-3</c:v>
                </c:pt>
                <c:pt idx="230">
                  <c:v>-1.6329032258064514E-3</c:v>
                </c:pt>
                <c:pt idx="231">
                  <c:v>-1.6251612903225806E-3</c:v>
                </c:pt>
                <c:pt idx="232">
                  <c:v>-1.6174193548387096E-3</c:v>
                </c:pt>
                <c:pt idx="233">
                  <c:v>-1.5941935483870964E-3</c:v>
                </c:pt>
                <c:pt idx="234">
                  <c:v>-1.5864516129032256E-3</c:v>
                </c:pt>
                <c:pt idx="235">
                  <c:v>-1.5787096774193545E-3</c:v>
                </c:pt>
                <c:pt idx="236">
                  <c:v>-1.5709677419354837E-3</c:v>
                </c:pt>
                <c:pt idx="237">
                  <c:v>-1.5632258064516126E-3</c:v>
                </c:pt>
                <c:pt idx="238">
                  <c:v>-1.5399999999999999E-3</c:v>
                </c:pt>
                <c:pt idx="239">
                  <c:v>-1.5299999999999971E-3</c:v>
                </c:pt>
                <c:pt idx="240">
                  <c:v>-1.5199999999999938E-3</c:v>
                </c:pt>
                <c:pt idx="241">
                  <c:v>-1.509999999999991E-3</c:v>
                </c:pt>
                <c:pt idx="242">
                  <c:v>-1.4999999999999881E-3</c:v>
                </c:pt>
                <c:pt idx="243">
                  <c:v>-1.4699999999999796E-3</c:v>
                </c:pt>
                <c:pt idx="244">
                  <c:v>-1.4599999999999765E-3</c:v>
                </c:pt>
                <c:pt idx="245">
                  <c:v>-1.4499999999999737E-3</c:v>
                </c:pt>
                <c:pt idx="246">
                  <c:v>-1.4399999999999708E-3</c:v>
                </c:pt>
                <c:pt idx="247">
                  <c:v>-1.3899999999999562E-3</c:v>
                </c:pt>
                <c:pt idx="248">
                  <c:v>-1.3799999999999533E-3</c:v>
                </c:pt>
                <c:pt idx="249">
                  <c:v>-1.3699999999999505E-3</c:v>
                </c:pt>
                <c:pt idx="250">
                  <c:v>-1.3599999999999476E-3</c:v>
                </c:pt>
                <c:pt idx="251">
                  <c:v>-1.3299999999999389E-3</c:v>
                </c:pt>
                <c:pt idx="252">
                  <c:v>-1.3199999999999358E-3</c:v>
                </c:pt>
                <c:pt idx="253">
                  <c:v>-1.2999999999999299E-3</c:v>
                </c:pt>
                <c:pt idx="254">
                  <c:v>-1.2899999999999271E-3</c:v>
                </c:pt>
                <c:pt idx="255">
                  <c:v>-1.2599999999999185E-3</c:v>
                </c:pt>
                <c:pt idx="256">
                  <c:v>-1.2499999999999152E-3</c:v>
                </c:pt>
                <c:pt idx="257">
                  <c:v>-1.2399999999999128E-3</c:v>
                </c:pt>
                <c:pt idx="258">
                  <c:v>-1.2295757674361447E-3</c:v>
                </c:pt>
                <c:pt idx="259">
                  <c:v>-1.2191515348723772E-3</c:v>
                </c:pt>
                <c:pt idx="260">
                  <c:v>-1.1878788371810734E-3</c:v>
                </c:pt>
                <c:pt idx="261">
                  <c:v>-1.1774546046173053E-3</c:v>
                </c:pt>
                <c:pt idx="262">
                  <c:v>-1.1670303720535378E-3</c:v>
                </c:pt>
                <c:pt idx="263">
                  <c:v>-1.1566061394897697E-3</c:v>
                </c:pt>
                <c:pt idx="264">
                  <c:v>-1.1461819069260024E-3</c:v>
                </c:pt>
                <c:pt idx="265">
                  <c:v>-1.1149092092346987E-3</c:v>
                </c:pt>
                <c:pt idx="266">
                  <c:v>-1.1044849766709312E-3</c:v>
                </c:pt>
                <c:pt idx="267">
                  <c:v>-1.094060744107163E-3</c:v>
                </c:pt>
                <c:pt idx="268">
                  <c:v>-1.0836365115433956E-3</c:v>
                </c:pt>
                <c:pt idx="269">
                  <c:v>-1.0732122789796274E-3</c:v>
                </c:pt>
                <c:pt idx="270">
                  <c:v>-1.0419395812883237E-3</c:v>
                </c:pt>
                <c:pt idx="271">
                  <c:v>-1.0315153487245564E-3</c:v>
                </c:pt>
                <c:pt idx="272">
                  <c:v>-1.021091116160788E-3</c:v>
                </c:pt>
                <c:pt idx="273">
                  <c:v>-1.0106668835970208E-3</c:v>
                </c:pt>
                <c:pt idx="274">
                  <c:v>-1.0002426510332526E-3</c:v>
                </c:pt>
                <c:pt idx="275">
                  <c:v>-9.6896995334194876E-4</c:v>
                </c:pt>
                <c:pt idx="276">
                  <c:v>-9.5854572077818138E-4</c:v>
                </c:pt>
                <c:pt idx="277">
                  <c:v>-9.4812148821441324E-4</c:v>
                </c:pt>
                <c:pt idx="278">
                  <c:v>-9.3769725565064576E-4</c:v>
                </c:pt>
                <c:pt idx="279">
                  <c:v>-9.2727302308687762E-4</c:v>
                </c:pt>
                <c:pt idx="280">
                  <c:v>-8.9600032539557473E-4</c:v>
                </c:pt>
                <c:pt idx="281">
                  <c:v>-8.8557609283180648E-4</c:v>
                </c:pt>
                <c:pt idx="282">
                  <c:v>-8.7515186026803911E-4</c:v>
                </c:pt>
                <c:pt idx="283">
                  <c:v>-8.6472762770427097E-4</c:v>
                </c:pt>
                <c:pt idx="284">
                  <c:v>-8.5430339514050273E-4</c:v>
                </c:pt>
                <c:pt idx="285">
                  <c:v>-8.2303069744919972E-4</c:v>
                </c:pt>
                <c:pt idx="286">
                  <c:v>-8.1260646488543159E-4</c:v>
                </c:pt>
                <c:pt idx="287">
                  <c:v>-8.0218223232166421E-4</c:v>
                </c:pt>
                <c:pt idx="288">
                  <c:v>-7.9175799975789597E-4</c:v>
                </c:pt>
                <c:pt idx="289">
                  <c:v>-7.813337671941287E-4</c:v>
                </c:pt>
                <c:pt idx="290">
                  <c:v>-7.5006106950282483E-4</c:v>
                </c:pt>
                <c:pt idx="291">
                  <c:v>-7.3963683693905669E-4</c:v>
                </c:pt>
                <c:pt idx="292">
                  <c:v>-7.2921260437528931E-4</c:v>
                </c:pt>
                <c:pt idx="293">
                  <c:v>-7.1878837181152107E-4</c:v>
                </c:pt>
                <c:pt idx="294">
                  <c:v>-7.0836413924775369E-4</c:v>
                </c:pt>
                <c:pt idx="295">
                  <c:v>-6.7709144155644993E-4</c:v>
                </c:pt>
                <c:pt idx="296">
                  <c:v>-6.6666720899268255E-4</c:v>
                </c:pt>
                <c:pt idx="297">
                  <c:v>-6.5624297642891442E-4</c:v>
                </c:pt>
                <c:pt idx="298">
                  <c:v>-6.4581874386514617E-4</c:v>
                </c:pt>
                <c:pt idx="299">
                  <c:v>-6.3539451130137879E-4</c:v>
                </c:pt>
                <c:pt idx="300">
                  <c:v>-6.0412181361007504E-4</c:v>
                </c:pt>
                <c:pt idx="301">
                  <c:v>-5.9369758104630766E-4</c:v>
                </c:pt>
                <c:pt idx="302">
                  <c:v>-5.8327334848253941E-4</c:v>
                </c:pt>
                <c:pt idx="303">
                  <c:v>-5.7284911591877214E-4</c:v>
                </c:pt>
                <c:pt idx="304">
                  <c:v>-5.624248833550039E-4</c:v>
                </c:pt>
                <c:pt idx="305">
                  <c:v>-5.3115218566370014E-4</c:v>
                </c:pt>
                <c:pt idx="306">
                  <c:v>-5.2072795309993276E-4</c:v>
                </c:pt>
                <c:pt idx="307">
                  <c:v>-5.1030372053616452E-4</c:v>
                </c:pt>
                <c:pt idx="308">
                  <c:v>-4.9987948797239714E-4</c:v>
                </c:pt>
                <c:pt idx="309">
                  <c:v>-4.89455255408629E-4</c:v>
                </c:pt>
                <c:pt idx="310">
                  <c:v>-4.5818255771732524E-4</c:v>
                </c:pt>
                <c:pt idx="311">
                  <c:v>-4.4775832515355786E-4</c:v>
                </c:pt>
                <c:pt idx="312">
                  <c:v>-4.3733409258978962E-4</c:v>
                </c:pt>
                <c:pt idx="313">
                  <c:v>-4.2690986002602224E-4</c:v>
                </c:pt>
                <c:pt idx="314">
                  <c:v>-4.1648562746225411E-4</c:v>
                </c:pt>
                <c:pt idx="315">
                  <c:v>-3.852129297709511E-4</c:v>
                </c:pt>
                <c:pt idx="316">
                  <c:v>-3.7478869720718297E-4</c:v>
                </c:pt>
                <c:pt idx="317">
                  <c:v>-3.6436446464341559E-4</c:v>
                </c:pt>
                <c:pt idx="318">
                  <c:v>-3.5394023207964735E-4</c:v>
                </c:pt>
                <c:pt idx="319">
                  <c:v>-3.4351599951587921E-4</c:v>
                </c:pt>
                <c:pt idx="320">
                  <c:v>-3.1224330182457621E-4</c:v>
                </c:pt>
                <c:pt idx="321">
                  <c:v>-3.0181906926080807E-4</c:v>
                </c:pt>
                <c:pt idx="322">
                  <c:v>-2.9139483669704069E-4</c:v>
                </c:pt>
                <c:pt idx="323">
                  <c:v>-2.8097060413327245E-4</c:v>
                </c:pt>
                <c:pt idx="324">
                  <c:v>-2.7054637156950507E-4</c:v>
                </c:pt>
                <c:pt idx="325">
                  <c:v>-2.3927367387820142E-4</c:v>
                </c:pt>
                <c:pt idx="326">
                  <c:v>-2.2884944131443307E-4</c:v>
                </c:pt>
                <c:pt idx="327">
                  <c:v>-2.184252087506658E-4</c:v>
                </c:pt>
                <c:pt idx="328">
                  <c:v>-2.0800097618689744E-4</c:v>
                </c:pt>
                <c:pt idx="329">
                  <c:v>-1.9757674362313018E-4</c:v>
                </c:pt>
                <c:pt idx="330">
                  <c:v>-1.6630404593182642E-4</c:v>
                </c:pt>
                <c:pt idx="331">
                  <c:v>-1.5587981336805915E-4</c:v>
                </c:pt>
                <c:pt idx="332">
                  <c:v>-1.4545558080429079E-4</c:v>
                </c:pt>
                <c:pt idx="333">
                  <c:v>-1.3503134824052266E-4</c:v>
                </c:pt>
                <c:pt idx="334">
                  <c:v>-1.2460711567675517E-4</c:v>
                </c:pt>
                <c:pt idx="335">
                  <c:v>-9.3334417985451411E-5</c:v>
                </c:pt>
                <c:pt idx="336">
                  <c:v>-8.2910185421684142E-5</c:v>
                </c:pt>
                <c:pt idx="337">
                  <c:v>-7.2485952857916005E-5</c:v>
                </c:pt>
                <c:pt idx="338">
                  <c:v>-6.2061720294148519E-5</c:v>
                </c:pt>
                <c:pt idx="339">
                  <c:v>-5.1637487730380382E-5</c:v>
                </c:pt>
                <c:pt idx="340">
                  <c:v>-2.0364790039076623E-5</c:v>
                </c:pt>
                <c:pt idx="341">
                  <c:v>-9.9405574753091367E-6</c:v>
                </c:pt>
                <c:pt idx="342">
                  <c:v>4.8367508845899992E-7</c:v>
                </c:pt>
                <c:pt idx="343">
                  <c:v>1.0907907652226269E-5</c:v>
                </c:pt>
                <c:pt idx="344">
                  <c:v>2.1332140215994623E-5</c:v>
                </c:pt>
                <c:pt idx="345">
                  <c:v>5.2604837907297515E-5</c:v>
                </c:pt>
                <c:pt idx="346">
                  <c:v>6.3029070471065651E-5</c:v>
                </c:pt>
                <c:pt idx="347">
                  <c:v>7.3453303034834005E-5</c:v>
                </c:pt>
                <c:pt idx="348">
                  <c:v>8.3877535598601274E-5</c:v>
                </c:pt>
                <c:pt idx="349">
                  <c:v>9.4301768162369411E-5</c:v>
                </c:pt>
                <c:pt idx="350">
                  <c:v>1.255744658536723E-4</c:v>
                </c:pt>
                <c:pt idx="351">
                  <c:v>1.3599869841744066E-4</c:v>
                </c:pt>
                <c:pt idx="352">
                  <c:v>1.4642293098120793E-4</c:v>
                </c:pt>
                <c:pt idx="353">
                  <c:v>1.5684716354497628E-4</c:v>
                </c:pt>
                <c:pt idx="354">
                  <c:v>1.6727139610874442E-4</c:v>
                </c:pt>
                <c:pt idx="355">
                  <c:v>1.9854409380004731E-4</c:v>
                </c:pt>
                <c:pt idx="356">
                  <c:v>2.0896832636381544E-4</c:v>
                </c:pt>
                <c:pt idx="357">
                  <c:v>2.1939255892758293E-4</c:v>
                </c:pt>
                <c:pt idx="358">
                  <c:v>2.2981679149135107E-4</c:v>
                </c:pt>
                <c:pt idx="359">
                  <c:v>2.4024102405511855E-4</c:v>
                </c:pt>
                <c:pt idx="360">
                  <c:v>2.7151372174642231E-4</c:v>
                </c:pt>
                <c:pt idx="361">
                  <c:v>2.8193795431019045E-4</c:v>
                </c:pt>
                <c:pt idx="362">
                  <c:v>2.9236218687395772E-4</c:v>
                </c:pt>
                <c:pt idx="363">
                  <c:v>3.0278641943772607E-4</c:v>
                </c:pt>
                <c:pt idx="364">
                  <c:v>3.1321065200149334E-4</c:v>
                </c:pt>
                <c:pt idx="365">
                  <c:v>3.444833496927971E-4</c:v>
                </c:pt>
                <c:pt idx="366">
                  <c:v>3.5490758225656459E-4</c:v>
                </c:pt>
                <c:pt idx="367">
                  <c:v>3.6533181482033272E-4</c:v>
                </c:pt>
                <c:pt idx="368">
                  <c:v>3.7575604738410086E-4</c:v>
                </c:pt>
                <c:pt idx="369">
                  <c:v>3.8618027994786835E-4</c:v>
                </c:pt>
                <c:pt idx="370">
                  <c:v>4.1745297763917211E-4</c:v>
                </c:pt>
                <c:pt idx="371">
                  <c:v>4.2787721020293937E-4</c:v>
                </c:pt>
                <c:pt idx="372">
                  <c:v>4.3830144276670773E-4</c:v>
                </c:pt>
                <c:pt idx="373">
                  <c:v>4.48725675330475E-4</c:v>
                </c:pt>
                <c:pt idx="374">
                  <c:v>4.5914990789424313E-4</c:v>
                </c:pt>
                <c:pt idx="375">
                  <c:v>4.9042260558554689E-4</c:v>
                </c:pt>
                <c:pt idx="376">
                  <c:v>5.0084683814931438E-4</c:v>
                </c:pt>
                <c:pt idx="377">
                  <c:v>5.1127107071308252E-4</c:v>
                </c:pt>
                <c:pt idx="378">
                  <c:v>5.2169530327685E-4</c:v>
                </c:pt>
                <c:pt idx="379">
                  <c:v>5.3211953584061814E-4</c:v>
                </c:pt>
                <c:pt idx="380">
                  <c:v>5.6339223353192103E-4</c:v>
                </c:pt>
                <c:pt idx="381">
                  <c:v>5.7381646609568917E-4</c:v>
                </c:pt>
                <c:pt idx="382">
                  <c:v>5.8424069865945752E-4</c:v>
                </c:pt>
                <c:pt idx="383">
                  <c:v>5.9466493122322479E-4</c:v>
                </c:pt>
                <c:pt idx="384">
                  <c:v>6.0508916378699293E-4</c:v>
                </c:pt>
                <c:pt idx="385">
                  <c:v>6.3636186147829604E-4</c:v>
                </c:pt>
                <c:pt idx="386">
                  <c:v>6.4724744628972067E-4</c:v>
                </c:pt>
                <c:pt idx="387">
                  <c:v>6.5813323978938896E-4</c:v>
                </c:pt>
                <c:pt idx="388">
                  <c:v>6.6901945066554684E-4</c:v>
                </c:pt>
                <c:pt idx="389">
                  <c:v>6.7990628760643832E-4</c:v>
                </c:pt>
                <c:pt idx="390">
                  <c:v>7.1257193364884124E-4</c:v>
                </c:pt>
                <c:pt idx="391">
                  <c:v>7.2346239143884316E-4</c:v>
                </c:pt>
                <c:pt idx="392">
                  <c:v>7.3435388935603162E-4</c:v>
                </c:pt>
                <c:pt idx="393">
                  <c:v>7.4524647874396101E-4</c:v>
                </c:pt>
                <c:pt idx="394">
                  <c:v>7.5614021094618194E-4</c:v>
                </c:pt>
                <c:pt idx="395">
                  <c:v>7.8882877787412502E-4</c:v>
                </c:pt>
                <c:pt idx="396">
                  <c:v>7.9972759476904063E-4</c:v>
                </c:pt>
                <c:pt idx="397">
                  <c:v>8.1062781119600996E-4</c:v>
                </c:pt>
                <c:pt idx="398">
                  <c:v>8.215294784985872E-4</c:v>
                </c:pt>
                <c:pt idx="399">
                  <c:v>8.3243264802032298E-4</c:v>
                </c:pt>
                <c:pt idx="400">
                  <c:v>8.6515168333601287E-4</c:v>
                </c:pt>
                <c:pt idx="401">
                  <c:v>8.7606137516991079E-4</c:v>
                </c:pt>
                <c:pt idx="402">
                  <c:v>8.8697282594073093E-4</c:v>
                </c:pt>
                <c:pt idx="403">
                  <c:v>8.978860869920251E-4</c:v>
                </c:pt>
                <c:pt idx="404">
                  <c:v>9.0880120966734489E-4</c:v>
                </c:pt>
                <c:pt idx="405">
                  <c:v>9.4155826087298923E-4</c:v>
                </c:pt>
                <c:pt idx="406">
                  <c:v>9.5248134347993897E-4</c:v>
                </c:pt>
                <c:pt idx="407">
                  <c:v>9.6340654442867845E-4</c:v>
                </c:pt>
                <c:pt idx="408">
                  <c:v>9.7433391506275818E-4</c:v>
                </c:pt>
                <c:pt idx="409">
                  <c:v>9.8526350672573202E-4</c:v>
                </c:pt>
                <c:pt idx="410">
                  <c:v>1.018066121323538E-3</c:v>
                </c:pt>
                <c:pt idx="411">
                  <c:v>1.0290051105376092E-3</c:v>
                </c:pt>
                <c:pt idx="412">
                  <c:v>1.0399465774983373E-3</c:v>
                </c:pt>
                <c:pt idx="413">
                  <c:v>1.0508905735492719E-3</c:v>
                </c:pt>
                <c:pt idx="414">
                  <c:v>1.0618371500339683E-3</c:v>
                </c:pt>
                <c:pt idx="415">
                  <c:v>1.0946928755261427E-3</c:v>
                </c:pt>
                <c:pt idx="416">
                  <c:v>1.1056502871814053E-3</c:v>
                </c:pt>
                <c:pt idx="417">
                  <c:v>1.1166105359881908E-3</c:v>
                </c:pt>
                <c:pt idx="418">
                  <c:v>1.1275736732900502E-3</c:v>
                </c:pt>
                <c:pt idx="419">
                  <c:v>1.1385397504305378E-3</c:v>
                </c:pt>
                <c:pt idx="420">
                  <c:v>1.1714561343192892E-3</c:v>
                </c:pt>
                <c:pt idx="421">
                  <c:v>1.1824344842498113E-3</c:v>
                </c:pt>
                <c:pt idx="422">
                  <c:v>1.2153889187539251E-3</c:v>
                </c:pt>
                <c:pt idx="423">
                  <c:v>1.2483735085414608E-3</c:v>
                </c:pt>
                <c:pt idx="424">
                  <c:v>1.2593753125813118E-3</c:v>
                </c:pt>
                <c:pt idx="425">
                  <c:v>1.281329471702123E-3</c:v>
                </c:pt>
                <c:pt idx="426">
                  <c:v>1.2923119834066408E-3</c:v>
                </c:pt>
                <c:pt idx="427">
                  <c:v>1.3252818581828674E-3</c:v>
                </c:pt>
                <c:pt idx="428">
                  <c:v>1.3362794327420101E-3</c:v>
                </c:pt>
                <c:pt idx="429">
                  <c:v>1.3472809003244402E-3</c:v>
                </c:pt>
                <c:pt idx="430">
                  <c:v>1.358286311854009E-3</c:v>
                </c:pt>
                <c:pt idx="431">
                  <c:v>1.3692957182545702E-3</c:v>
                </c:pt>
                <c:pt idx="432">
                  <c:v>1.4023484159207335E-3</c:v>
                </c:pt>
                <c:pt idx="433">
                  <c:v>1.4133743110437886E-3</c:v>
                </c:pt>
                <c:pt idx="434">
                  <c:v>1.4244044556570986E-3</c:v>
                </c:pt>
                <c:pt idx="435">
                  <c:v>1.4354389006845155E-3</c:v>
                </c:pt>
                <c:pt idx="436">
                  <c:v>1.4464776970498916E-3</c:v>
                </c:pt>
                <c:pt idx="437">
                  <c:v>1.4796207034123013E-3</c:v>
                </c:pt>
                <c:pt idx="438">
                  <c:v>1.4906774143680394E-3</c:v>
                </c:pt>
                <c:pt idx="439">
                  <c:v>1.5017387312809994E-3</c:v>
                </c:pt>
                <c:pt idx="440">
                  <c:v>1.5128047050750339E-3</c:v>
                </c:pt>
                <c:pt idx="441">
                  <c:v>1.5238753866739952E-3</c:v>
                </c:pt>
                <c:pt idx="442">
                  <c:v>1.5571161875389617E-3</c:v>
                </c:pt>
                <c:pt idx="443">
                  <c:v>1.5682062095961542E-3</c:v>
                </c:pt>
                <c:pt idx="444">
                  <c:v>1.5793011940775344E-3</c:v>
                </c:pt>
                <c:pt idx="445">
                  <c:v>1.5904011919069562E-3</c:v>
                </c:pt>
                <c:pt idx="446">
                  <c:v>1.6015062540082727E-3</c:v>
                </c:pt>
                <c:pt idx="447">
                  <c:v>1.6348523351821073E-3</c:v>
                </c:pt>
                <c:pt idx="448">
                  <c:v>1.6459781636095237E-3</c:v>
                </c:pt>
                <c:pt idx="449">
                  <c:v>1.657109310928095E-3</c:v>
                </c:pt>
                <c:pt idx="450">
                  <c:v>1.6682458280616746E-3</c:v>
                </c:pt>
                <c:pt idx="451">
                  <c:v>1.6793877659341163E-3</c:v>
                </c:pt>
                <c:pt idx="452">
                  <c:v>1.7128466132231303E-3</c:v>
                </c:pt>
                <c:pt idx="453">
                  <c:v>1.7240107432895406E-3</c:v>
                </c:pt>
                <c:pt idx="454">
                  <c:v>1.735180548714074E-3</c:v>
                </c:pt>
                <c:pt idx="455">
                  <c:v>1.746356080420582E-3</c:v>
                </c:pt>
                <c:pt idx="456">
                  <c:v>1.7575373893329188E-3</c:v>
                </c:pt>
                <c:pt idx="457">
                  <c:v>1.7911164885434231E-3</c:v>
                </c:pt>
                <c:pt idx="458">
                  <c:v>1.8023214155175966E-3</c:v>
                </c:pt>
                <c:pt idx="459">
                  <c:v>1.8135323743168617E-3</c:v>
                </c:pt>
                <c:pt idx="460">
                  <c:v>1.8247494158650695E-3</c:v>
                </c:pt>
                <c:pt idx="461">
                  <c:v>1.8359725910860717E-3</c:v>
                </c:pt>
                <c:pt idx="462">
                  <c:v>1.869679428024377E-3</c:v>
                </c:pt>
                <c:pt idx="463">
                  <c:v>1.8809276471750851E-3</c:v>
                </c:pt>
                <c:pt idx="464">
                  <c:v>1.892182254617851E-3</c:v>
                </c:pt>
                <c:pt idx="465">
                  <c:v>1.9034433012765277E-3</c:v>
                </c:pt>
                <c:pt idx="466">
                  <c:v>1.9147108380749671E-3</c:v>
                </c:pt>
                <c:pt idx="467">
                  <c:v>1.9485528985473829E-3</c:v>
                </c:pt>
                <c:pt idx="468">
                  <c:v>1.9598469051433963E-3</c:v>
                </c:pt>
                <c:pt idx="469">
                  <c:v>1.9711476564984341E-3</c:v>
                </c:pt>
                <c:pt idx="470">
                  <c:v>1.9824552035363494E-3</c:v>
                </c:pt>
                <c:pt idx="471">
                  <c:v>1.9937695971809955E-3</c:v>
                </c:pt>
                <c:pt idx="472">
                  <c:v>2.027754366993833E-3</c:v>
                </c:pt>
                <c:pt idx="473">
                  <c:v>2.039096656303922E-3</c:v>
                </c:pt>
                <c:pt idx="474">
                  <c:v>2.050446046840002E-3</c:v>
                </c:pt>
                <c:pt idx="475">
                  <c:v>2.0618025895259265E-3</c:v>
                </c:pt>
                <c:pt idx="476">
                  <c:v>2.0731663352855489E-3</c:v>
                </c:pt>
                <c:pt idx="477">
                  <c:v>2.1073013002451198E-3</c:v>
                </c:pt>
                <c:pt idx="478">
                  <c:v>2.1186943675380542E-3</c:v>
                </c:pt>
                <c:pt idx="479">
                  <c:v>2.1300948925239479E-3</c:v>
                </c:pt>
                <c:pt idx="480">
                  <c:v>2.1415029261266519E-3</c:v>
                </c:pt>
                <c:pt idx="481">
                  <c:v>2.15291851927002E-3</c:v>
                </c:pt>
                <c:pt idx="482">
                  <c:v>2.1872111651826363E-3</c:v>
                </c:pt>
                <c:pt idx="483">
                  <c:v>2.1986575057271851E-3</c:v>
                </c:pt>
                <c:pt idx="484">
                  <c:v>2.210111660431661E-3</c:v>
                </c:pt>
                <c:pt idx="485">
                  <c:v>2.2215736802199161E-3</c:v>
                </c:pt>
                <c:pt idx="486">
                  <c:v>2.2330436160158018E-3</c:v>
                </c:pt>
                <c:pt idx="487">
                  <c:v>2.2675014286877722E-3</c:v>
                </c:pt>
                <c:pt idx="488">
                  <c:v>2.2790035377527073E-3</c:v>
                </c:pt>
                <c:pt idx="489">
                  <c:v>2.2905138174445358E-3</c:v>
                </c:pt>
                <c:pt idx="490">
                  <c:v>2.3020323186871117E-3</c:v>
                </c:pt>
                <c:pt idx="491">
                  <c:v>2.3135590924042854E-3</c:v>
                </c:pt>
                <c:pt idx="492">
                  <c:v>2.3481895576419197E-3</c:v>
                </c:pt>
                <c:pt idx="493">
                  <c:v>2.3597499304960122E-3</c:v>
                </c:pt>
                <c:pt idx="494">
                  <c:v>2.3713188304439639E-3</c:v>
                </c:pt>
                <c:pt idx="495">
                  <c:v>2.3828963084096288E-3</c:v>
                </c:pt>
                <c:pt idx="496">
                  <c:v>2.4409141508384899E-3</c:v>
                </c:pt>
                <c:pt idx="497">
                  <c:v>2.4525441663113363E-3</c:v>
                </c:pt>
                <c:pt idx="498">
                  <c:v>2.4641831162688622E-3</c:v>
                </c:pt>
                <c:pt idx="499">
                  <c:v>2.4758310516349211E-3</c:v>
                </c:pt>
                <c:pt idx="500">
                  <c:v>2.5108292794228187E-3</c:v>
                </c:pt>
                <c:pt idx="501">
                  <c:v>2.5225136656615338E-3</c:v>
                </c:pt>
                <c:pt idx="502">
                  <c:v>2.5342072919280444E-3</c:v>
                </c:pt>
                <c:pt idx="503">
                  <c:v>2.5459102091462018E-3</c:v>
                </c:pt>
                <c:pt idx="504">
                  <c:v>2.5576224682398582E-3</c:v>
                </c:pt>
                <c:pt idx="505">
                  <c:v>2.592815806012355E-3</c:v>
                </c:pt>
                <c:pt idx="506">
                  <c:v>2.6045659418465362E-3</c:v>
                </c:pt>
                <c:pt idx="507">
                  <c:v>2.6163256741754807E-3</c:v>
                </c:pt>
                <c:pt idx="508">
                  <c:v>2.6280950539230396E-3</c:v>
                </c:pt>
                <c:pt idx="509">
                  <c:v>2.6752700655764709E-3</c:v>
                </c:pt>
                <c:pt idx="510">
                  <c:v>2.6870884462748901E-3</c:v>
                </c:pt>
                <c:pt idx="511">
                  <c:v>2.6989167799350371E-3</c:v>
                </c:pt>
                <c:pt idx="512">
                  <c:v>2.7107551174807678E-3</c:v>
                </c:pt>
                <c:pt idx="513">
                  <c:v>2.7226035098359327E-3</c:v>
                </c:pt>
                <c:pt idx="514">
                  <c:v>2.7582087774957313E-3</c:v>
                </c:pt>
                <c:pt idx="515">
                  <c:v>2.770096873974174E-3</c:v>
                </c:pt>
                <c:pt idx="516">
                  <c:v>2.7819946154361381E-3</c:v>
                </c:pt>
                <c:pt idx="517">
                  <c:v>2.7939018866941757E-3</c:v>
                </c:pt>
                <c:pt idx="518">
                  <c:v>2.8058185725608493E-3</c:v>
                </c:pt>
                <c:pt idx="519">
                  <c:v>2.841623965938254E-3</c:v>
                </c:pt>
                <c:pt idx="520">
                  <c:v>2.8535771583650445E-3</c:v>
                </c:pt>
                <c:pt idx="521">
                  <c:v>2.8655391894632574E-3</c:v>
                </c:pt>
                <c:pt idx="522">
                  <c:v>2.8775099440454558E-3</c:v>
                </c:pt>
                <c:pt idx="523">
                  <c:v>2.8894893069241912E-3</c:v>
                </c:pt>
                <c:pt idx="524">
                  <c:v>2.9254778934652195E-3</c:v>
                </c:pt>
                <c:pt idx="525">
                  <c:v>2.9374905376556952E-3</c:v>
                </c:pt>
                <c:pt idx="526">
                  <c:v>2.9495112142055016E-3</c:v>
                </c:pt>
                <c:pt idx="527">
                  <c:v>2.961539807927193E-3</c:v>
                </c:pt>
                <c:pt idx="528">
                  <c:v>2.9735762036333341E-3</c:v>
                </c:pt>
                <c:pt idx="529">
                  <c:v>3.0097310507840023E-3</c:v>
                </c:pt>
                <c:pt idx="530">
                  <c:v>3.021797502553502E-3</c:v>
                </c:pt>
                <c:pt idx="531">
                  <c:v>3.0338711803702379E-3</c:v>
                </c:pt>
                <c:pt idx="532">
                  <c:v>3.0459519690467676E-3</c:v>
                </c:pt>
                <c:pt idx="533">
                  <c:v>3.058039753395646E-3</c:v>
                </c:pt>
                <c:pt idx="534">
                  <c:v>3.0943439286019742E-3</c:v>
                </c:pt>
                <c:pt idx="535">
                  <c:v>3.1064585437658391E-3</c:v>
                </c:pt>
                <c:pt idx="536">
                  <c:v>3.1185795786648428E-3</c:v>
                </c:pt>
                <c:pt idx="537">
                  <c:v>3.1307069181115465E-3</c:v>
                </c:pt>
                <c:pt idx="538">
                  <c:v>3.1428404469185079E-3</c:v>
                </c:pt>
                <c:pt idx="539">
                  <c:v>3.1792770176265091E-3</c:v>
                </c:pt>
                <c:pt idx="540">
                  <c:v>3.1914341520000735E-3</c:v>
                </c:pt>
                <c:pt idx="541">
                  <c:v>3.2035968997966898E-3</c:v>
                </c:pt>
                <c:pt idx="542">
                  <c:v>3.215765145828906E-3</c:v>
                </c:pt>
                <c:pt idx="543">
                  <c:v>3.2279387749092866E-3</c:v>
                </c:pt>
                <c:pt idx="544">
                  <c:v>3.2644908085649798E-3</c:v>
                </c:pt>
                <c:pt idx="545">
                  <c:v>3.2766848179635894E-3</c:v>
                </c:pt>
                <c:pt idx="546">
                  <c:v>3.2888836344731483E-3</c:v>
                </c:pt>
                <c:pt idx="547">
                  <c:v>3.3010871429062214E-3</c:v>
                </c:pt>
                <c:pt idx="548">
                  <c:v>3.3132952280753585E-3</c:v>
                </c:pt>
                <c:pt idx="549">
                  <c:v>3.3499457921247599E-3</c:v>
                </c:pt>
                <c:pt idx="550">
                  <c:v>3.3621710323637503E-3</c:v>
                </c:pt>
                <c:pt idx="551">
                  <c:v>3.3744002734015983E-3</c:v>
                </c:pt>
                <c:pt idx="552">
                  <c:v>3.3866334000508592E-3</c:v>
                </c:pt>
                <c:pt idx="553">
                  <c:v>3.3988702971240979E-3</c:v>
                </c:pt>
                <c:pt idx="554">
                  <c:v>3.4356024590132261E-3</c:v>
                </c:pt>
                <c:pt idx="555">
                  <c:v>3.4478532859079343E-3</c:v>
                </c:pt>
                <c:pt idx="556">
                  <c:v>3.4601073072894079E-3</c:v>
                </c:pt>
                <c:pt idx="557">
                  <c:v>3.4723644079702014E-3</c:v>
                </c:pt>
                <c:pt idx="558">
                  <c:v>3.4846244727628731E-3</c:v>
                </c:pt>
                <c:pt idx="559">
                  <c:v>3.5214212999377464E-3</c:v>
                </c:pt>
                <c:pt idx="560">
                  <c:v>3.5336920693035158E-3</c:v>
                </c:pt>
                <c:pt idx="561">
                  <c:v>3.5459652268439511E-3</c:v>
                </c:pt>
                <c:pt idx="562">
                  <c:v>3.5582406573716153E-3</c:v>
                </c:pt>
                <c:pt idx="563">
                  <c:v>3.5705182456990643E-3</c:v>
                </c:pt>
                <c:pt idx="564">
                  <c:v>3.607362805605697E-3</c:v>
                </c:pt>
                <c:pt idx="565">
                  <c:v>3.6196478732578616E-3</c:v>
                </c:pt>
                <c:pt idx="566">
                  <c:v>3.631934522772605E-3</c:v>
                </c:pt>
                <c:pt idx="567">
                  <c:v>3.6442226389624762E-3</c:v>
                </c:pt>
                <c:pt idx="568">
                  <c:v>3.6565121066400399E-3</c:v>
                </c:pt>
                <c:pt idx="569">
                  <c:v>3.6933874667244506E-3</c:v>
                </c:pt>
                <c:pt idx="570">
                  <c:v>3.7056811884783542E-3</c:v>
                </c:pt>
                <c:pt idx="571">
                  <c:v>3.7179756857827367E-3</c:v>
                </c:pt>
                <c:pt idx="572">
                  <c:v>3.7302708434501603E-3</c:v>
                </c:pt>
                <c:pt idx="573">
                  <c:v>3.7425665462931757E-3</c:v>
                </c:pt>
                <c:pt idx="574">
                  <c:v>3.7794557740013801E-3</c:v>
                </c:pt>
                <c:pt idx="575">
                  <c:v>3.7917525056723601E-3</c:v>
                </c:pt>
                <c:pt idx="576">
                  <c:v>3.804049206581726E-3</c:v>
                </c:pt>
                <c:pt idx="577">
                  <c:v>3.8163457615420331E-3</c:v>
                </c:pt>
                <c:pt idx="578">
                  <c:v>3.8286420553658453E-3</c:v>
                </c:pt>
                <c:pt idx="579">
                  <c:v>3.8655282181438619E-3</c:v>
                </c:pt>
                <c:pt idx="580">
                  <c:v>3.8778223155472549E-3</c:v>
                </c:pt>
                <c:pt idx="581">
                  <c:v>3.890115575876942E-3</c:v>
                </c:pt>
                <c:pt idx="582">
                  <c:v>3.9024078839454772E-3</c:v>
                </c:pt>
                <c:pt idx="583">
                  <c:v>3.9146991245654177E-3</c:v>
                </c:pt>
                <c:pt idx="584">
                  <c:v>3.9515652898592648E-3</c:v>
                </c:pt>
                <c:pt idx="585">
                  <c:v>3.9638511088104147E-3</c:v>
                </c:pt>
                <c:pt idx="586">
                  <c:v>3.9761352843757595E-3</c:v>
                </c:pt>
                <c:pt idx="587">
                  <c:v>3.9884177013678598E-3</c:v>
                </c:pt>
                <c:pt idx="588">
                  <c:v>4.0006982445992727E-3</c:v>
                </c:pt>
                <c:pt idx="589">
                  <c:v>4.0375274798549647E-3</c:v>
                </c:pt>
                <c:pt idx="590">
                  <c:v>4.0497993761692058E-3</c:v>
                </c:pt>
                <c:pt idx="591">
                  <c:v>4.0620688227855526E-3</c:v>
                </c:pt>
                <c:pt idx="592">
                  <c:v>4.0743357045165563E-3</c:v>
                </c:pt>
                <c:pt idx="593">
                  <c:v>4.0865999061747791E-3</c:v>
                </c:pt>
                <c:pt idx="594">
                  <c:v>4.1233752788383347E-3</c:v>
                </c:pt>
                <c:pt idx="595">
                  <c:v>4.1356276083310108E-3</c:v>
                </c:pt>
                <c:pt idx="596">
                  <c:v>4.1478766818136906E-3</c:v>
                </c:pt>
                <c:pt idx="597">
                  <c:v>4.1601223840989406E-3</c:v>
                </c:pt>
                <c:pt idx="598">
                  <c:v>4.172364599999312E-3</c:v>
                </c:pt>
                <c:pt idx="599">
                  <c:v>4.209069177516748E-3</c:v>
                </c:pt>
                <c:pt idx="600">
                  <c:v>4.2212962960031944E-3</c:v>
                </c:pt>
                <c:pt idx="601">
                  <c:v>4.2335193521675545E-3</c:v>
                </c:pt>
                <c:pt idx="602">
                  <c:v>4.2457382308223835E-3</c:v>
                </c:pt>
                <c:pt idx="603">
                  <c:v>4.2579528167802456E-3</c:v>
                </c:pt>
                <c:pt idx="604">
                  <c:v>4.2945696665975799E-3</c:v>
                </c:pt>
                <c:pt idx="605">
                  <c:v>4.3067659298931344E-3</c:v>
                </c:pt>
                <c:pt idx="606">
                  <c:v>4.31895732455451E-3</c:v>
                </c:pt>
                <c:pt idx="607">
                  <c:v>4.3311437353942628E-3</c:v>
                </c:pt>
                <c:pt idx="608">
                  <c:v>4.3433250472249482E-3</c:v>
                </c:pt>
                <c:pt idx="609">
                  <c:v>4.3798372367881994E-3</c:v>
                </c:pt>
                <c:pt idx="610">
                  <c:v>4.391997000708206E-3</c:v>
                </c:pt>
                <c:pt idx="611">
                  <c:v>4.4041510896819349E-3</c:v>
                </c:pt>
                <c:pt idx="612">
                  <c:v>4.4162993885219484E-3</c:v>
                </c:pt>
                <c:pt idx="613">
                  <c:v>4.4284417820408019E-3</c:v>
                </c:pt>
                <c:pt idx="614">
                  <c:v>4.4648323787959835E-3</c:v>
                </c:pt>
                <c:pt idx="615">
                  <c:v>4.4769499991557755E-3</c:v>
                </c:pt>
                <c:pt idx="616">
                  <c:v>4.4890611382572025E-3</c:v>
                </c:pt>
                <c:pt idx="617">
                  <c:v>4.5011656809128145E-3</c:v>
                </c:pt>
                <c:pt idx="618">
                  <c:v>4.5132635119351731E-3</c:v>
                </c:pt>
                <c:pt idx="619">
                  <c:v>4.5495155833283028E-3</c:v>
                </c:pt>
                <c:pt idx="620">
                  <c:v>4.5615854159432251E-3</c:v>
                </c:pt>
                <c:pt idx="621">
                  <c:v>4.5736479609876819E-3</c:v>
                </c:pt>
                <c:pt idx="622">
                  <c:v>4.5857031032742347E-3</c:v>
                </c:pt>
                <c:pt idx="623">
                  <c:v>4.5977507276154369E-3</c:v>
                </c:pt>
                <c:pt idx="624">
                  <c:v>4.6338473410925335E-3</c:v>
                </c:pt>
                <c:pt idx="625">
                  <c:v>4.6458637417779221E-3</c:v>
                </c:pt>
                <c:pt idx="626">
                  <c:v>4.6578720485807518E-3</c:v>
                </c:pt>
                <c:pt idx="627">
                  <c:v>4.6698721463135804E-3</c:v>
                </c:pt>
                <c:pt idx="628">
                  <c:v>4.6818639197889686E-3</c:v>
                </c:pt>
                <c:pt idx="629">
                  <c:v>4.717788142796049E-3</c:v>
                </c:pt>
                <c:pt idx="630">
                  <c:v>4.7297454673672409E-3</c:v>
                </c:pt>
                <c:pt idx="631">
                  <c:v>4.7416938917437829E-3</c:v>
                </c:pt>
                <c:pt idx="632">
                  <c:v>4.7536333007382296E-3</c:v>
                </c:pt>
                <c:pt idx="633">
                  <c:v>4.7655635791631363E-3</c:v>
                </c:pt>
                <c:pt idx="634">
                  <c:v>4.8012984791462191E-3</c:v>
                </c:pt>
                <c:pt idx="635">
                  <c:v>4.813191083418559E-3</c:v>
                </c:pt>
                <c:pt idx="636">
                  <c:v>4.8250739811841487E-3</c:v>
                </c:pt>
                <c:pt idx="637">
                  <c:v>4.8369470572555504E-3</c:v>
                </c:pt>
                <c:pt idx="638">
                  <c:v>4.8488101964453212E-3</c:v>
                </c:pt>
                <c:pt idx="639">
                  <c:v>4.8843388408504199E-3</c:v>
                </c:pt>
                <c:pt idx="640">
                  <c:v>4.8961610806392431E-3</c:v>
                </c:pt>
                <c:pt idx="641">
                  <c:v>4.9079728076092234E-3</c:v>
                </c:pt>
                <c:pt idx="642">
                  <c:v>4.9197739065729197E-3</c:v>
                </c:pt>
                <c:pt idx="643">
                  <c:v>4.9315642623428899E-3</c:v>
                </c:pt>
                <c:pt idx="644">
                  <c:v>4.966869718616024E-3</c:v>
                </c:pt>
                <c:pt idx="645">
                  <c:v>4.9786159696867524E-3</c:v>
                </c:pt>
                <c:pt idx="646">
                  <c:v>4.990351021327037E-3</c:v>
                </c:pt>
                <c:pt idx="647">
                  <c:v>5.002074878049937E-3</c:v>
                </c:pt>
                <c:pt idx="648">
                  <c:v>5.0137875443684978E-3</c:v>
                </c:pt>
                <c:pt idx="649">
                  <c:v>5.0488584460286938E-3</c:v>
                </c:pt>
                <c:pt idx="650">
                  <c:v>5.0605263958604409E-3</c:v>
                </c:pt>
                <c:pt idx="651">
                  <c:v>5.0721831778531151E-3</c:v>
                </c:pt>
                <c:pt idx="652">
                  <c:v>5.083828796519768E-3</c:v>
                </c:pt>
                <c:pt idx="653">
                  <c:v>5.0954632563734578E-3</c:v>
                </c:pt>
                <c:pt idx="654">
                  <c:v>5.1302997281872523E-3</c:v>
                </c:pt>
                <c:pt idx="655">
                  <c:v>5.141889597919602E-3</c:v>
                </c:pt>
                <c:pt idx="656">
                  <c:v>5.15346833140425E-3</c:v>
                </c:pt>
                <c:pt idx="657">
                  <c:v>5.1650359331542484E-3</c:v>
                </c:pt>
                <c:pt idx="658">
                  <c:v>5.1765924076826496E-3</c:v>
                </c:pt>
                <c:pt idx="659">
                  <c:v>5.2111951130688026E-3</c:v>
                </c:pt>
                <c:pt idx="660">
                  <c:v>5.2227071238413452E-3</c:v>
                </c:pt>
                <c:pt idx="661">
                  <c:v>5.2342080299575535E-3</c:v>
                </c:pt>
                <c:pt idx="662">
                  <c:v>5.2456978359304825E-3</c:v>
                </c:pt>
                <c:pt idx="663">
                  <c:v>5.2571765462731852E-3</c:v>
                </c:pt>
                <c:pt idx="664">
                  <c:v>5.2915461486504568E-3</c:v>
                </c:pt>
                <c:pt idx="665">
                  <c:v>5.3029805216027771E-3</c:v>
                </c:pt>
                <c:pt idx="666">
                  <c:v>5.314403821490136E-3</c:v>
                </c:pt>
                <c:pt idx="667">
                  <c:v>5.3258160528255804E-3</c:v>
                </c:pt>
                <c:pt idx="668">
                  <c:v>5.3372172201221714E-3</c:v>
                </c:pt>
                <c:pt idx="669">
                  <c:v>5.3713543829093215E-3</c:v>
                </c:pt>
                <c:pt idx="670">
                  <c:v>5.3827113391810089E-3</c:v>
                </c:pt>
                <c:pt idx="671">
                  <c:v>5.3940572539790997E-3</c:v>
                </c:pt>
                <c:pt idx="672">
                  <c:v>5.4053921318166541E-3</c:v>
                </c:pt>
                <c:pt idx="673">
                  <c:v>5.4167159772067174E-3</c:v>
                </c:pt>
                <c:pt idx="674">
                  <c:v>5.4506213638225061E-3</c:v>
                </c:pt>
                <c:pt idx="675">
                  <c:v>5.4619011245531472E-3</c:v>
                </c:pt>
                <c:pt idx="676">
                  <c:v>5.473169875401562E-3</c:v>
                </c:pt>
                <c:pt idx="677">
                  <c:v>5.4844276208808052E-3</c:v>
                </c:pt>
                <c:pt idx="678">
                  <c:v>5.5293486393671243E-3</c:v>
                </c:pt>
                <c:pt idx="679">
                  <c:v>5.5405514256963023E-3</c:v>
                </c:pt>
                <c:pt idx="680">
                  <c:v>5.5517432337346267E-3</c:v>
                </c:pt>
                <c:pt idx="681">
                  <c:v>5.5629240679951498E-3</c:v>
                </c:pt>
                <c:pt idx="682">
                  <c:v>5.6076597459905776E-3</c:v>
                </c:pt>
                <c:pt idx="683">
                  <c:v>5.6188161259846815E-3</c:v>
                </c:pt>
                <c:pt idx="684">
                  <c:v>5.6299614992773792E-3</c:v>
                </c:pt>
                <c:pt idx="685">
                  <c:v>5.6410958704189206E-3</c:v>
                </c:pt>
                <c:pt idx="686">
                  <c:v>5.6522192439595531E-3</c:v>
                </c:pt>
                <c:pt idx="687">
                  <c:v>5.6855234244784798E-3</c:v>
                </c:pt>
                <c:pt idx="688">
                  <c:v>5.696602853117955E-3</c:v>
                </c:pt>
                <c:pt idx="689">
                  <c:v>5.7076713069077641E-3</c:v>
                </c:pt>
                <c:pt idx="690">
                  <c:v>5.7187287903981542E-3</c:v>
                </c:pt>
                <c:pt idx="691">
                  <c:v>5.7297753081393694E-3</c:v>
                </c:pt>
                <c:pt idx="692">
                  <c:v>5.7628491123704667E-3</c:v>
                </c:pt>
                <c:pt idx="693">
                  <c:v>5.7738518126174759E-3</c:v>
                </c:pt>
                <c:pt idx="694">
                  <c:v>5.784843569866552E-3</c:v>
                </c:pt>
                <c:pt idx="695">
                  <c:v>5.7958243886679457E-3</c:v>
                </c:pt>
                <c:pt idx="696">
                  <c:v>5.8067942735719018E-3</c:v>
                </c:pt>
                <c:pt idx="697">
                  <c:v>5.8396383704016419E-3</c:v>
                </c:pt>
                <c:pt idx="698">
                  <c:v>5.8505645652183382E-3</c:v>
                </c:pt>
                <c:pt idx="699">
                  <c:v>5.8614798488888387E-3</c:v>
                </c:pt>
                <c:pt idx="700">
                  <c:v>5.8723842259633934E-3</c:v>
                </c:pt>
                <c:pt idx="701">
                  <c:v>5.8832777009922479E-3</c:v>
                </c:pt>
                <c:pt idx="702">
                  <c:v>5.9158927593071014E-3</c:v>
                </c:pt>
                <c:pt idx="703">
                  <c:v>5.9267426716556413E-3</c:v>
                </c:pt>
                <c:pt idx="704">
                  <c:v>5.9375817047097245E-3</c:v>
                </c:pt>
                <c:pt idx="705">
                  <c:v>5.9484098630195959E-3</c:v>
                </c:pt>
                <c:pt idx="706">
                  <c:v>5.9592271511355061E-3</c:v>
                </c:pt>
                <c:pt idx="707">
                  <c:v>5.9916138398219436E-3</c:v>
                </c:pt>
                <c:pt idx="708">
                  <c:v>6.0023876926644845E-3</c:v>
                </c:pt>
                <c:pt idx="709">
                  <c:v>6.0131506980643061E-3</c:v>
                </c:pt>
                <c:pt idx="710">
                  <c:v>6.0239028605716515E-3</c:v>
                </c:pt>
                <c:pt idx="711">
                  <c:v>6.0346441847367732E-3</c:v>
                </c:pt>
                <c:pt idx="712">
                  <c:v>6.0668031726812659E-3</c:v>
                </c:pt>
                <c:pt idx="713">
                  <c:v>6.0775011889799644E-3</c:v>
                </c:pt>
                <c:pt idx="714">
                  <c:v>6.0881883896876801E-3</c:v>
                </c:pt>
                <c:pt idx="715">
                  <c:v>6.0988647793546588E-3</c:v>
                </c:pt>
                <c:pt idx="716">
                  <c:v>6.1095303625311468E-3</c:v>
                </c:pt>
                <c:pt idx="717">
                  <c:v>6.1414623186201644E-3</c:v>
                </c:pt>
                <c:pt idx="718">
                  <c:v>6.1520847213371796E-3</c:v>
                </c:pt>
                <c:pt idx="719">
                  <c:v>6.1626963403149477E-3</c:v>
                </c:pt>
                <c:pt idx="720">
                  <c:v>6.1732971801037127E-3</c:v>
                </c:pt>
                <c:pt idx="721">
                  <c:v>6.1838872452537278E-3</c:v>
                </c:pt>
                <c:pt idx="722">
                  <c:v>6.21559283837374E-3</c:v>
                </c:pt>
                <c:pt idx="723">
                  <c:v>6.2261398504712268E-3</c:v>
                </c:pt>
                <c:pt idx="724">
                  <c:v>6.2366761106812021E-3</c:v>
                </c:pt>
                <c:pt idx="725">
                  <c:v>6.2472016235539151E-3</c:v>
                </c:pt>
                <c:pt idx="726">
                  <c:v>6.2577163936396113E-3</c:v>
                </c:pt>
                <c:pt idx="727">
                  <c:v>6.2891962926770895E-3</c:v>
                </c:pt>
                <c:pt idx="728">
                  <c:v>6.2996681371172043E-3</c:v>
                </c:pt>
                <c:pt idx="729">
                  <c:v>6.3101292615215469E-3</c:v>
                </c:pt>
                <c:pt idx="730">
                  <c:v>6.320579670440361E-3</c:v>
                </c:pt>
                <c:pt idx="731">
                  <c:v>6.3310193684238967E-3</c:v>
                </c:pt>
                <c:pt idx="732">
                  <c:v>6.3622742422653105E-3</c:v>
                </c:pt>
                <c:pt idx="733">
                  <c:v>6.3726711420102134E-3</c:v>
                </c:pt>
                <c:pt idx="734">
                  <c:v>6.3830573535710762E-3</c:v>
                </c:pt>
                <c:pt idx="735">
                  <c:v>6.3934328814981472E-3</c:v>
                </c:pt>
                <c:pt idx="736">
                  <c:v>6.4037977303416788E-3</c:v>
                </c:pt>
                <c:pt idx="737">
                  <c:v>6.434828247873503E-3</c:v>
                </c:pt>
                <c:pt idx="738">
                  <c:v>6.445150425885348E-3</c:v>
                </c:pt>
                <c:pt idx="739">
                  <c:v>6.4554619475648885E-3</c:v>
                </c:pt>
                <c:pt idx="740">
                  <c:v>6.4657628174623772E-3</c:v>
                </c:pt>
                <c:pt idx="741">
                  <c:v>6.4760530401280613E-3</c:v>
                </c:pt>
                <c:pt idx="742">
                  <c:v>6.5068598702367622E-3</c:v>
                </c:pt>
                <c:pt idx="743">
                  <c:v>6.5171075494777041E-3</c:v>
                </c:pt>
                <c:pt idx="744">
                  <c:v>6.5273446042380841E-3</c:v>
                </c:pt>
                <c:pt idx="745">
                  <c:v>6.5375710390681461E-3</c:v>
                </c:pt>
                <c:pt idx="746">
                  <c:v>6.5885440735223852E-3</c:v>
                </c:pt>
                <c:pt idx="747">
                  <c:v>6.5987068843257569E-3</c:v>
                </c:pt>
                <c:pt idx="748">
                  <c:v>6.6088591070505489E-3</c:v>
                </c:pt>
                <c:pt idx="749">
                  <c:v>6.6190007462470076E-3</c:v>
                </c:pt>
                <c:pt idx="750">
                  <c:v>6.6493622081688743E-3</c:v>
                </c:pt>
                <c:pt idx="751">
                  <c:v>6.6594615587544865E-3</c:v>
                </c:pt>
                <c:pt idx="752">
                  <c:v>6.6695503485630064E-3</c:v>
                </c:pt>
                <c:pt idx="753">
                  <c:v>6.6796285821446831E-3</c:v>
                </c:pt>
                <c:pt idx="754">
                  <c:v>6.6896962640497675E-3</c:v>
                </c:pt>
                <c:pt idx="755">
                  <c:v>6.7198360452079232E-3</c:v>
                </c:pt>
                <c:pt idx="756">
                  <c:v>6.7298615659091062E-3</c:v>
                </c:pt>
                <c:pt idx="757">
                  <c:v>6.7398765576849326E-3</c:v>
                </c:pt>
                <c:pt idx="758">
                  <c:v>6.7498810250856542E-3</c:v>
                </c:pt>
                <c:pt idx="759">
                  <c:v>6.7598749726615146E-3</c:v>
                </c:pt>
                <c:pt idx="760">
                  <c:v>6.7897937419424334E-3</c:v>
                </c:pt>
                <c:pt idx="761">
                  <c:v>6.7997456557213412E-3</c:v>
                </c:pt>
                <c:pt idx="762">
                  <c:v>6.8096870724266307E-3</c:v>
                </c:pt>
                <c:pt idx="763">
                  <c:v>6.8196179966085527E-3</c:v>
                </c:pt>
                <c:pt idx="764">
                  <c:v>6.8295384328173527E-3</c:v>
                </c:pt>
                <c:pt idx="765">
                  <c:v>6.8592368591074973E-3</c:v>
                </c:pt>
                <c:pt idx="766">
                  <c:v>6.8691153889262908E-3</c:v>
                </c:pt>
                <c:pt idx="767">
                  <c:v>6.8789834535232016E-3</c:v>
                </c:pt>
                <c:pt idx="768">
                  <c:v>6.8888410574484806E-3</c:v>
                </c:pt>
                <c:pt idx="769">
                  <c:v>6.8986882052523733E-3</c:v>
                </c:pt>
                <c:pt idx="770">
                  <c:v>6.9281669574382185E-3</c:v>
                </c:pt>
                <c:pt idx="771">
                  <c:v>6.9379723272591613E-3</c:v>
                </c:pt>
                <c:pt idx="772">
                  <c:v>6.9477672697106181E-3</c:v>
                </c:pt>
                <c:pt idx="773">
                  <c:v>6.9575517953434961E-3</c:v>
                </c:pt>
                <c:pt idx="774">
                  <c:v>6.9673259147087011E-3</c:v>
                </c:pt>
                <c:pt idx="775">
                  <c:v>6.996585940707345E-3</c:v>
                </c:pt>
                <c:pt idx="776">
                  <c:v>7.006318540510926E-3</c:v>
                </c:pt>
                <c:pt idx="777">
                  <c:v>7.0160407868013665E-3</c:v>
                </c:pt>
                <c:pt idx="778">
                  <c:v>7.0257526901295756E-3</c:v>
                </c:pt>
                <c:pt idx="779">
                  <c:v>7.0354542610464605E-3</c:v>
                </c:pt>
                <c:pt idx="780">
                  <c:v>7.0644970848382253E-3</c:v>
                </c:pt>
                <c:pt idx="781">
                  <c:v>7.0741574316188736E-3</c:v>
                </c:pt>
                <c:pt idx="782">
                  <c:v>7.0838074987427278E-3</c:v>
                </c:pt>
                <c:pt idx="783">
                  <c:v>7.0934472967606977E-3</c:v>
                </c:pt>
                <c:pt idx="784">
                  <c:v>7.1030768362236882E-3</c:v>
                </c:pt>
                <c:pt idx="785">
                  <c:v>7.1319040087918575E-3</c:v>
                </c:pt>
                <c:pt idx="786">
                  <c:v>7.1414926195440031E-3</c:v>
                </c:pt>
                <c:pt idx="787">
                  <c:v>7.1510710244957008E-3</c:v>
                </c:pt>
                <c:pt idx="788">
                  <c:v>7.1606392341978598E-3</c:v>
                </c:pt>
                <c:pt idx="789">
                  <c:v>7.1701972592013866E-3</c:v>
                </c:pt>
                <c:pt idx="790">
                  <c:v>7.1988103315292467E-3</c:v>
                </c:pt>
                <c:pt idx="791">
                  <c:v>7.2083277232473158E-3</c:v>
                </c:pt>
                <c:pt idx="792">
                  <c:v>7.2178349830212853E-3</c:v>
                </c:pt>
                <c:pt idx="793">
                  <c:v>7.2273321214020641E-3</c:v>
                </c:pt>
                <c:pt idx="794">
                  <c:v>7.236819148940558E-3</c:v>
                </c:pt>
                <c:pt idx="795">
                  <c:v>7.2652196720113952E-3</c:v>
                </c:pt>
                <c:pt idx="796">
                  <c:v>7.2746663616898152E-3</c:v>
                </c:pt>
                <c:pt idx="797">
                  <c:v>7.2841029932804854E-3</c:v>
                </c:pt>
                <c:pt idx="798">
                  <c:v>7.2935295773343114E-3</c:v>
                </c:pt>
                <c:pt idx="799">
                  <c:v>7.3029461244021989E-3</c:v>
                </c:pt>
                <c:pt idx="800">
                  <c:v>7.3311356491993001E-3</c:v>
                </c:pt>
                <c:pt idx="801">
                  <c:v>7.3405121538325036E-3</c:v>
                </c:pt>
                <c:pt idx="802">
                  <c:v>7.3498786742343027E-3</c:v>
                </c:pt>
                <c:pt idx="803">
                  <c:v>7.3592352209556023E-3</c:v>
                </c:pt>
                <c:pt idx="804">
                  <c:v>7.3685818045473124E-3</c:v>
                </c:pt>
                <c:pt idx="805">
                  <c:v>7.3965618820539666E-3</c:v>
                </c:pt>
                <c:pt idx="806">
                  <c:v>7.4058687186363799E-3</c:v>
                </c:pt>
                <c:pt idx="807">
                  <c:v>7.4151656448437344E-3</c:v>
                </c:pt>
                <c:pt idx="808">
                  <c:v>7.424452671226941E-3</c:v>
                </c:pt>
                <c:pt idx="809">
                  <c:v>7.4337298083369001E-3</c:v>
                </c:pt>
                <c:pt idx="810">
                  <c:v>7.4615019895363892E-3</c:v>
                </c:pt>
                <c:pt idx="811">
                  <c:v>7.4707396750624423E-3</c:v>
                </c:pt>
                <c:pt idx="812">
                  <c:v>7.4799675240697855E-3</c:v>
                </c:pt>
                <c:pt idx="813">
                  <c:v>7.4891855471093246E-3</c:v>
                </c:pt>
                <c:pt idx="814">
                  <c:v>7.4983937547319643E-3</c:v>
                </c:pt>
                <c:pt idx="815">
                  <c:v>7.5259595906075746E-3</c:v>
                </c:pt>
                <c:pt idx="816">
                  <c:v>7.5351286420716956E-3</c:v>
                </c:pt>
                <c:pt idx="817">
                  <c:v>7.5442879308734523E-3</c:v>
                </c:pt>
                <c:pt idx="818">
                  <c:v>7.5534374675637547E-3</c:v>
                </c:pt>
                <c:pt idx="819">
                  <c:v>7.562577262693505E-3</c:v>
                </c:pt>
                <c:pt idx="820">
                  <c:v>7.5899383042285226E-3</c:v>
                </c:pt>
                <c:pt idx="821">
                  <c:v>7.599039238625138E-3</c:v>
                </c:pt>
                <c:pt idx="822">
                  <c:v>7.6081304842157381E-3</c:v>
                </c:pt>
                <c:pt idx="823">
                  <c:v>7.6172120515512311E-3</c:v>
                </c:pt>
                <c:pt idx="824">
                  <c:v>7.6262839511825192E-3</c:v>
                </c:pt>
                <c:pt idx="825">
                  <c:v>7.6534417493602331E-3</c:v>
                </c:pt>
                <c:pt idx="826">
                  <c:v>7.6624750836837745E-3</c:v>
                </c:pt>
                <c:pt idx="827">
                  <c:v>7.6714988030576478E-3</c:v>
                </c:pt>
                <c:pt idx="828">
                  <c:v>7.680512918032757E-3</c:v>
                </c:pt>
                <c:pt idx="829">
                  <c:v>7.6895174391600129E-3</c:v>
                </c:pt>
                <c:pt idx="830">
                  <c:v>7.7164735449637058E-3</c:v>
                </c:pt>
                <c:pt idx="831">
                  <c:v>7.725439796208604E-3</c:v>
                </c:pt>
                <c:pt idx="832">
                  <c:v>7.7343965063601779E-3</c:v>
                </c:pt>
                <c:pt idx="833">
                  <c:v>7.7433436859693349E-3</c:v>
                </c:pt>
                <c:pt idx="834">
                  <c:v>7.752281345586985E-3</c:v>
                </c:pt>
                <c:pt idx="835">
                  <c:v>7.7790373099999449E-3</c:v>
                </c:pt>
                <c:pt idx="836">
                  <c:v>7.7879369951606237E-3</c:v>
                </c:pt>
                <c:pt idx="837">
                  <c:v>7.7968272130843298E-3</c:v>
                </c:pt>
                <c:pt idx="838">
                  <c:v>7.8057079743219645E-3</c:v>
                </c:pt>
                <c:pt idx="839">
                  <c:v>7.8145792894244379E-3</c:v>
                </c:pt>
                <c:pt idx="840">
                  <c:v>7.8411366634299484E-3</c:v>
                </c:pt>
                <c:pt idx="841">
                  <c:v>7.8499702995008403E-3</c:v>
                </c:pt>
                <c:pt idx="842">
                  <c:v>7.8587945421911033E-3</c:v>
                </c:pt>
                <c:pt idx="843">
                  <c:v>7.8676094020516431E-3</c:v>
                </c:pt>
                <c:pt idx="844">
                  <c:v>7.8764148896333687E-3</c:v>
                </c:pt>
                <c:pt idx="845">
                  <c:v>7.9027752242147205E-3</c:v>
                </c:pt>
                <c:pt idx="846">
                  <c:v>7.9115433281902528E-3</c:v>
                </c:pt>
                <c:pt idx="847">
                  <c:v>7.9203021126415009E-3</c:v>
                </c:pt>
                <c:pt idx="848">
                  <c:v>7.9290515881193756E-3</c:v>
                </c:pt>
                <c:pt idx="849">
                  <c:v>7.9377917651747825E-3</c:v>
                </c:pt>
                <c:pt idx="850">
                  <c:v>7.9639566113152618E-3</c:v>
                </c:pt>
                <c:pt idx="851">
                  <c:v>7.9726597001898627E-3</c:v>
                </c:pt>
                <c:pt idx="852">
                  <c:v>7.9813535433965275E-3</c:v>
                </c:pt>
                <c:pt idx="853">
                  <c:v>7.9900381514861653E-3</c:v>
                </c:pt>
                <c:pt idx="854">
                  <c:v>7.99871353500968E-3</c:v>
                </c:pt>
                <c:pt idx="855">
                  <c:v>8.0246844436925695E-3</c:v>
                </c:pt>
                <c:pt idx="856">
                  <c:v>8.0333230344606672E-3</c:v>
                </c:pt>
                <c:pt idx="857">
                  <c:v>8.0419524534171768E-3</c:v>
                </c:pt>
                <c:pt idx="858">
                  <c:v>8.0505727111130059E-3</c:v>
                </c:pt>
                <c:pt idx="859">
                  <c:v>8.0591838180990617E-3</c:v>
                </c:pt>
                <c:pt idx="860">
                  <c:v>8.084962340307646E-3</c:v>
                </c:pt>
                <c:pt idx="861">
                  <c:v>8.0935369499636704E-3</c:v>
                </c:pt>
                <c:pt idx="862">
                  <c:v>8.1021024616644548E-3</c:v>
                </c:pt>
                <c:pt idx="863">
                  <c:v>8.1106588859609051E-3</c:v>
                </c:pt>
                <c:pt idx="864">
                  <c:v>8.1192062334039267E-3</c:v>
                </c:pt>
                <c:pt idx="865">
                  <c:v>8.1447939201214938E-3</c:v>
                </c:pt>
                <c:pt idx="866">
                  <c:v>8.1533050656598747E-3</c:v>
                </c:pt>
                <c:pt idx="867">
                  <c:v>8.1618071870993587E-3</c:v>
                </c:pt>
                <c:pt idx="868">
                  <c:v>8.1703002949908583E-3</c:v>
                </c:pt>
                <c:pt idx="869">
                  <c:v>8.1787843998852774E-3</c:v>
                </c:pt>
                <c:pt idx="870">
                  <c:v>8.2041828020951151E-3</c:v>
                </c:pt>
                <c:pt idx="871">
                  <c:v>8.2126310005102791E-3</c:v>
                </c:pt>
                <c:pt idx="872">
                  <c:v>8.2210702486828942E-3</c:v>
                </c:pt>
                <c:pt idx="873">
                  <c:v>8.2295005571638713E-3</c:v>
                </c:pt>
                <c:pt idx="874">
                  <c:v>8.2379219365041126E-3</c:v>
                </c:pt>
                <c:pt idx="875">
                  <c:v>8.263132605189509E-3</c:v>
                </c:pt>
                <c:pt idx="876">
                  <c:v>8.2715183734758842E-3</c:v>
                </c:pt>
                <c:pt idx="877">
                  <c:v>8.2798952653760586E-3</c:v>
                </c:pt>
                <c:pt idx="878">
                  <c:v>8.2882632914409414E-3</c:v>
                </c:pt>
                <c:pt idx="879">
                  <c:v>8.2966224622214365E-3</c:v>
                </c:pt>
                <c:pt idx="880">
                  <c:v>8.3216469483656727E-3</c:v>
                </c:pt>
                <c:pt idx="881">
                  <c:v>8.3299708035176907E-3</c:v>
                </c:pt>
                <c:pt idx="882">
                  <c:v>8.338285856139856E-3</c:v>
                </c:pt>
                <c:pt idx="883">
                  <c:v>8.3465921167830727E-3</c:v>
                </c:pt>
                <c:pt idx="884">
                  <c:v>8.3548895959982498E-3</c:v>
                </c:pt>
                <c:pt idx="885">
                  <c:v>8.3797294505846154E-3</c:v>
                </c:pt>
                <c:pt idx="886">
                  <c:v>8.3879919095967009E-3</c:v>
                </c:pt>
                <c:pt idx="887">
                  <c:v>8.3962456399352837E-3</c:v>
                </c:pt>
                <c:pt idx="888">
                  <c:v>8.4044906521512659E-3</c:v>
                </c:pt>
                <c:pt idx="889">
                  <c:v>8.4127269567955566E-3</c:v>
                </c:pt>
                <c:pt idx="890">
                  <c:v>8.4373837308073327E-3</c:v>
                </c:pt>
                <c:pt idx="891">
                  <c:v>8.4455853106739174E-3</c:v>
                </c:pt>
                <c:pt idx="892">
                  <c:v>8.453778235723344E-3</c:v>
                </c:pt>
                <c:pt idx="893">
                  <c:v>8.4619625165065198E-3</c:v>
                </c:pt>
                <c:pt idx="894">
                  <c:v>8.4701381635743471E-3</c:v>
                </c:pt>
                <c:pt idx="895">
                  <c:v>8.4946134079948252E-3</c:v>
                </c:pt>
                <c:pt idx="896">
                  <c:v>8.502754625710339E-3</c:v>
                </c:pt>
                <c:pt idx="897">
                  <c:v>8.5108872624650393E-3</c:v>
                </c:pt>
                <c:pt idx="898">
                  <c:v>8.5190113288098352E-3</c:v>
                </c:pt>
                <c:pt idx="899">
                  <c:v>8.5271268352956307E-3</c:v>
                </c:pt>
                <c:pt idx="900">
                  <c:v>8.5514221011080971E-3</c:v>
                </c:pt>
                <c:pt idx="901">
                  <c:v>8.55950347559019E-3</c:v>
                </c:pt>
                <c:pt idx="902">
                  <c:v>8.5675763545071618E-3</c:v>
                </c:pt>
                <c:pt idx="903">
                  <c:v>8.5756407599492605E-3</c:v>
                </c:pt>
                <c:pt idx="904">
                  <c:v>8.5836967140067374E-3</c:v>
                </c:pt>
                <c:pt idx="905">
                  <c:v>8.6078140887739501E-3</c:v>
                </c:pt>
                <c:pt idx="906">
                  <c:v>8.6158364581954468E-3</c:v>
                </c:pt>
                <c:pt idx="907">
                  <c:v>8.6238504866835708E-3</c:v>
                </c:pt>
                <c:pt idx="908">
                  <c:v>8.6318561963285769E-3</c:v>
                </c:pt>
                <c:pt idx="909">
                  <c:v>8.639853609220715E-3</c:v>
                </c:pt>
                <c:pt idx="910">
                  <c:v>8.6637962882824063E-3</c:v>
                </c:pt>
                <c:pt idx="911">
                  <c:v>8.6717607350655646E-3</c:v>
                </c:pt>
                <c:pt idx="912">
                  <c:v>8.6797169955471071E-3</c:v>
                </c:pt>
                <c:pt idx="913">
                  <c:v>8.6876650918172801E-3</c:v>
                </c:pt>
                <c:pt idx="914">
                  <c:v>8.6956050459663353E-3</c:v>
                </c:pt>
                <c:pt idx="915">
                  <c:v>8.7193762765892923E-3</c:v>
                </c:pt>
                <c:pt idx="916">
                  <c:v>8.7272838831563768E-3</c:v>
                </c:pt>
                <c:pt idx="917">
                  <c:v>8.7351834580535921E-3</c:v>
                </c:pt>
                <c:pt idx="918">
                  <c:v>8.7430750233711933E-3</c:v>
                </c:pt>
                <c:pt idx="919">
                  <c:v>8.7509586011994284E-3</c:v>
                </c:pt>
                <c:pt idx="920">
                  <c:v>8.7745616306504331E-3</c:v>
                </c:pt>
                <c:pt idx="921">
                  <c:v>8.7824134794237015E-3</c:v>
                </c:pt>
                <c:pt idx="922">
                  <c:v>8.790257451158856E-3</c:v>
                </c:pt>
                <c:pt idx="923">
                  <c:v>8.7980935679461449E-3</c:v>
                </c:pt>
                <c:pt idx="924">
                  <c:v>8.8059218518758177E-3</c:v>
                </c:pt>
                <c:pt idx="925">
                  <c:v>8.8293599274216518E-3</c:v>
                </c:pt>
                <c:pt idx="926">
                  <c:v>8.837157100823367E-3</c:v>
                </c:pt>
                <c:pt idx="927">
                  <c:v>8.8449465518187186E-3</c:v>
                </c:pt>
                <c:pt idx="928">
                  <c:v>8.8527283024979562E-3</c:v>
                </c:pt>
                <c:pt idx="929">
                  <c:v>8.8605023749513297E-3</c:v>
                </c:pt>
                <c:pt idx="930">
                  <c:v>8.8837787438587716E-3</c:v>
                </c:pt>
                <c:pt idx="931">
                  <c:v>8.8915223243111966E-3</c:v>
                </c:pt>
                <c:pt idx="932">
                  <c:v>8.8992583369890046E-3</c:v>
                </c:pt>
                <c:pt idx="933">
                  <c:v>8.9069868039824539E-3</c:v>
                </c:pt>
                <c:pt idx="934">
                  <c:v>8.9147077473817875E-3</c:v>
                </c:pt>
                <c:pt idx="935">
                  <c:v>8.9378256569176244E-3</c:v>
                </c:pt>
                <c:pt idx="936">
                  <c:v>8.9455167268430134E-3</c:v>
                </c:pt>
                <c:pt idx="937">
                  <c:v>8.9532003836255425E-3</c:v>
                </c:pt>
                <c:pt idx="938">
                  <c:v>8.9608766493554596E-3</c:v>
                </c:pt>
                <c:pt idx="939">
                  <c:v>8.968545546123018E-3</c:v>
                </c:pt>
                <c:pt idx="940">
                  <c:v>8.9915082435540299E-3</c:v>
                </c:pt>
                <c:pt idx="941">
                  <c:v>8.9991478853746476E-3</c:v>
                </c:pt>
                <c:pt idx="942">
                  <c:v>9.0067802686841572E-3</c:v>
                </c:pt>
                <c:pt idx="943">
                  <c:v>9.014405415572805E-3</c:v>
                </c:pt>
                <c:pt idx="944">
                  <c:v>9.0220233481308441E-3</c:v>
                </c:pt>
                <c:pt idx="945">
                  <c:v>9.0448340807238129E-3</c:v>
                </c:pt>
                <c:pt idx="946">
                  <c:v>9.0524233768619206E-3</c:v>
                </c:pt>
                <c:pt idx="947">
                  <c:v>9.0600055691206702E-3</c:v>
                </c:pt>
                <c:pt idx="948">
                  <c:v>9.0675806795903098E-3</c:v>
                </c:pt>
                <c:pt idx="949">
                  <c:v>9.0751487303610961E-3</c:v>
                </c:pt>
                <c:pt idx="950">
                  <c:v>9.0978107453828037E-3</c:v>
                </c:pt>
                <c:pt idx="951">
                  <c:v>9.1053507782606607E-3</c:v>
                </c:pt>
                <c:pt idx="952">
                  <c:v>9.1128838618909115E-3</c:v>
                </c:pt>
                <c:pt idx="953">
                  <c:v>9.1204100183638042E-3</c:v>
                </c:pt>
                <c:pt idx="954">
                  <c:v>9.127929269769592E-3</c:v>
                </c:pt>
                <c:pt idx="955">
                  <c:v>9.1504458144868218E-3</c:v>
                </c:pt>
                <c:pt idx="956">
                  <c:v>9.1579376665266894E-3</c:v>
                </c:pt>
                <c:pt idx="957">
                  <c:v>9.1654227239507009E-3</c:v>
                </c:pt>
                <c:pt idx="958">
                  <c:v>9.1729010088491096E-3</c:v>
                </c:pt>
                <c:pt idx="959">
                  <c:v>9.18037254331216E-3</c:v>
                </c:pt>
                <c:pt idx="960">
                  <c:v>9.2027468649916941E-3</c:v>
                </c:pt>
                <c:pt idx="961">
                  <c:v>9.2101916186158334E-3</c:v>
                </c:pt>
                <c:pt idx="962">
                  <c:v>9.2176297322558668E-3</c:v>
                </c:pt>
                <c:pt idx="963">
                  <c:v>9.2250612280020475E-3</c:v>
                </c:pt>
                <c:pt idx="964">
                  <c:v>9.2324861279446287E-3</c:v>
                </c:pt>
                <c:pt idx="965">
                  <c:v>9.2547214738532488E-3</c:v>
                </c:pt>
                <c:pt idx="966">
                  <c:v>9.2621202114839176E-3</c:v>
                </c:pt>
                <c:pt idx="967">
                  <c:v>9.2695124637622341E-3</c:v>
                </c:pt>
                <c:pt idx="968">
                  <c:v>9.2768982527784514E-3</c:v>
                </c:pt>
                <c:pt idx="969">
                  <c:v>9.2842776006228159E-3</c:v>
                </c:pt>
                <c:pt idx="970">
                  <c:v>9.3063772180273056E-3</c:v>
                </c:pt>
                <c:pt idx="971">
                  <c:v>9.3137310220867686E-3</c:v>
                </c:pt>
                <c:pt idx="972">
                  <c:v>9.3210784954256276E-3</c:v>
                </c:pt>
                <c:pt idx="973">
                  <c:v>9.328419660134141E-3</c:v>
                </c:pt>
                <c:pt idx="974">
                  <c:v>9.3357545383025535E-3</c:v>
                </c:pt>
                <c:pt idx="975">
                  <c:v>9.3577216744696913E-3</c:v>
                </c:pt>
                <c:pt idx="976">
                  <c:v>9.3650316273802079E-3</c:v>
                </c:pt>
                <c:pt idx="977">
                  <c:v>9.3723354042018741E-3</c:v>
                </c:pt>
                <c:pt idx="978">
                  <c:v>9.3796330270249431E-3</c:v>
                </c:pt>
                <c:pt idx="979">
                  <c:v>9.3869245179396613E-3</c:v>
                </c:pt>
                <c:pt idx="980">
                  <c:v>9.4087624201362324E-3</c:v>
                </c:pt>
                <c:pt idx="981">
                  <c:v>9.4160296043200621E-3</c:v>
                </c:pt>
                <c:pt idx="982">
                  <c:v>9.423290767046795E-3</c:v>
                </c:pt>
                <c:pt idx="983">
                  <c:v>9.430545930406679E-3</c:v>
                </c:pt>
                <c:pt idx="984">
                  <c:v>9.4377951164899675E-3</c:v>
                </c:pt>
                <c:pt idx="985">
                  <c:v>9.4595070319827539E-3</c:v>
                </c:pt>
                <c:pt idx="986">
                  <c:v>9.4667325298621579E-3</c:v>
                </c:pt>
                <c:pt idx="987">
                  <c:v>9.4739521609162151E-3</c:v>
                </c:pt>
                <c:pt idx="988">
                  <c:v>9.4811659472351789E-3</c:v>
                </c:pt>
                <c:pt idx="989">
                  <c:v>9.4883739109092972E-3</c:v>
                </c:pt>
                <c:pt idx="990">
                  <c:v>9.5099630869650825E-3</c:v>
                </c:pt>
                <c:pt idx="991">
                  <c:v>9.5171479809623202E-3</c:v>
                </c:pt>
                <c:pt idx="992">
                  <c:v>9.5243271627659665E-3</c:v>
                </c:pt>
                <c:pt idx="993">
                  <c:v>9.5315006544662677E-3</c:v>
                </c:pt>
                <c:pt idx="994">
                  <c:v>9.5386684781534736E-3</c:v>
                </c:pt>
                <c:pt idx="995">
                  <c:v>9.5601381620390394E-3</c:v>
                </c:pt>
                <c:pt idx="996">
                  <c:v>9.5672835345763738E-3</c:v>
                </c:pt>
                <c:pt idx="997">
                  <c:v>9.5744233495518669E-3</c:v>
                </c:pt>
                <c:pt idx="998">
                  <c:v>9.5815576290557668E-3</c:v>
                </c:pt>
                <c:pt idx="999">
                  <c:v>9.5886863951783266E-3</c:v>
                </c:pt>
                <c:pt idx="1000">
                  <c:v>9.6100398341604498E-3</c:v>
                </c:pt>
                <c:pt idx="1001">
                  <c:v>9.6171467676601421E-3</c:v>
                </c:pt>
                <c:pt idx="1002">
                  <c:v>9.6242482982297449E-3</c:v>
                </c:pt>
                <c:pt idx="1003">
                  <c:v>9.6313444479595046E-3</c:v>
                </c:pt>
                <c:pt idx="1004">
                  <c:v>9.6384352389396761E-3</c:v>
                </c:pt>
                <c:pt idx="1005">
                  <c:v>9.659675680285142E-3</c:v>
                </c:pt>
                <c:pt idx="1006">
                  <c:v>9.6667452571694516E-3</c:v>
                </c:pt>
                <c:pt idx="1007">
                  <c:v>9.6738095857554236E-3</c:v>
                </c:pt>
                <c:pt idx="1008">
                  <c:v>9.6808686881333043E-3</c:v>
                </c:pt>
                <c:pt idx="1009">
                  <c:v>9.6879225863933469E-3</c:v>
                </c:pt>
                <c:pt idx="1010">
                  <c:v>9.7090532773689391E-3</c:v>
                </c:pt>
                <c:pt idx="1011">
                  <c:v>9.7160865800601289E-3</c:v>
                </c:pt>
                <c:pt idx="1012">
                  <c:v>9.7231147890847296E-3</c:v>
                </c:pt>
                <c:pt idx="1013">
                  <c:v>9.7301379265329908E-3</c:v>
                </c:pt>
                <c:pt idx="1014">
                  <c:v>9.7651783132879939E-3</c:v>
                </c:pt>
                <c:pt idx="1015">
                  <c:v>9.7721714851734844E-3</c:v>
                </c:pt>
                <c:pt idx="1016">
                  <c:v>9.7791597401143907E-3</c:v>
                </c:pt>
                <c:pt idx="1017">
                  <c:v>9.7861431002009593E-3</c:v>
                </c:pt>
                <c:pt idx="1018">
                  <c:v>9.8070640322371512E-3</c:v>
                </c:pt>
                <c:pt idx="1019">
                  <c:v>9.8140280338088783E-3</c:v>
                </c:pt>
                <c:pt idx="1020">
                  <c:v>9.8209872509775215E-3</c:v>
                </c:pt>
                <c:pt idx="1021">
                  <c:v>9.8279417058333273E-3</c:v>
                </c:pt>
                <c:pt idx="1022">
                  <c:v>9.8348914204665506E-3</c:v>
                </c:pt>
                <c:pt idx="1023">
                  <c:v>9.8557123439332144E-3</c:v>
                </c:pt>
                <c:pt idx="1024">
                  <c:v>9.8626433185786018E-3</c:v>
                </c:pt>
                <c:pt idx="1025">
                  <c:v>9.8695696634526573E-3</c:v>
                </c:pt>
                <c:pt idx="1026">
                  <c:v>9.8764914006456289E-3</c:v>
                </c:pt>
                <c:pt idx="1027">
                  <c:v>9.8834085522477664E-3</c:v>
                </c:pt>
                <c:pt idx="1028">
                  <c:v>9.9041327144116838E-3</c:v>
                </c:pt>
                <c:pt idx="1029">
                  <c:v>9.9110317441996713E-3</c:v>
                </c:pt>
                <c:pt idx="1030">
                  <c:v>9.9179262967281426E-3</c:v>
                </c:pt>
                <c:pt idx="1031">
                  <c:v>9.9248163919674216E-3</c:v>
                </c:pt>
                <c:pt idx="1032">
                  <c:v>9.931702049887815E-3</c:v>
                </c:pt>
                <c:pt idx="1033">
                  <c:v>9.9523325994389095E-3</c:v>
                </c:pt>
                <c:pt idx="1034">
                  <c:v>9.9592007077869676E-3</c:v>
                </c:pt>
                <c:pt idx="1035">
                  <c:v>9.9660644786677306E-3</c:v>
                </c:pt>
                <c:pt idx="1036">
                  <c:v>9.9729239320515261E-3</c:v>
                </c:pt>
                <c:pt idx="1037">
                  <c:v>9.9797790879086658E-3</c:v>
                </c:pt>
                <c:pt idx="1038">
                  <c:v>1.0000318970023327E-2</c:v>
                </c:pt>
                <c:pt idx="1039">
                  <c:v>1.0007157135477023E-2</c:v>
                </c:pt>
                <c:pt idx="1040">
                  <c:v>1.0013991103255652E-2</c:v>
                </c:pt>
                <c:pt idx="1041">
                  <c:v>1.0020820893329532E-2</c:v>
                </c:pt>
                <c:pt idx="1042">
                  <c:v>1.0027646525668977E-2</c:v>
                </c:pt>
                <c:pt idx="1043">
                  <c:v>1.0048098675983908E-2</c:v>
                </c:pt>
                <c:pt idx="1044">
                  <c:v>1.0054907877088806E-2</c:v>
                </c:pt>
                <c:pt idx="1045">
                  <c:v>1.0061713020310861E-2</c:v>
                </c:pt>
                <c:pt idx="1046">
                  <c:v>1.0068514125620391E-2</c:v>
                </c:pt>
                <c:pt idx="1047">
                  <c:v>1.0075311212987714E-2</c:v>
                </c:pt>
                <c:pt idx="1048">
                  <c:v>1.0095678567139608E-2</c:v>
                </c:pt>
                <c:pt idx="1049">
                  <c:v>1.0102459782441278E-2</c:v>
                </c:pt>
                <c:pt idx="1050">
                  <c:v>1.0109237079652328E-2</c:v>
                </c:pt>
                <c:pt idx="1051">
                  <c:v>1.0116010478743076E-2</c:v>
                </c:pt>
                <c:pt idx="1052">
                  <c:v>1.0122779999683841E-2</c:v>
                </c:pt>
                <c:pt idx="1053">
                  <c:v>1.0143065493309405E-2</c:v>
                </c:pt>
                <c:pt idx="1054">
                  <c:v>1.014981970135341E-2</c:v>
                </c:pt>
                <c:pt idx="1055">
                  <c:v>1.0156570131099021E-2</c:v>
                </c:pt>
                <c:pt idx="1056">
                  <c:v>1.016331680251655E-2</c:v>
                </c:pt>
                <c:pt idx="1057">
                  <c:v>1.0170059735576322E-2</c:v>
                </c:pt>
                <c:pt idx="1058">
                  <c:v>1.0190266304312252E-2</c:v>
                </c:pt>
                <c:pt idx="1059">
                  <c:v>1.019699448364416E-2</c:v>
                </c:pt>
                <c:pt idx="1060">
                  <c:v>1.0203719024469898E-2</c:v>
                </c:pt>
                <c:pt idx="1061">
                  <c:v>1.0210439946759778E-2</c:v>
                </c:pt>
                <c:pt idx="1062">
                  <c:v>1.0217157270484124E-2</c:v>
                </c:pt>
                <c:pt idx="1063">
                  <c:v>1.0237287849967122E-2</c:v>
                </c:pt>
                <c:pt idx="1064">
                  <c:v>1.0243990979132497E-2</c:v>
                </c:pt>
                <c:pt idx="1065">
                  <c:v>1.0250690609583928E-2</c:v>
                </c:pt>
                <c:pt idx="1066">
                  <c:v>1.0257386761291724E-2</c:v>
                </c:pt>
                <c:pt idx="1067">
                  <c:v>1.0264079454226215E-2</c:v>
                </c:pt>
                <c:pt idx="1068">
                  <c:v>1.0284136980092971E-2</c:v>
                </c:pt>
                <c:pt idx="1069">
                  <c:v>1.0290816037637384E-2</c:v>
                </c:pt>
                <c:pt idx="1070">
                  <c:v>1.0297491736260073E-2</c:v>
                </c:pt>
                <c:pt idx="1071">
                  <c:v>1.0304164095931356E-2</c:v>
                </c:pt>
                <c:pt idx="1072">
                  <c:v>1.0310833136621549E-2</c:v>
                </c:pt>
                <c:pt idx="1073">
                  <c:v>1.0330820544508771E-2</c:v>
                </c:pt>
                <c:pt idx="1074">
                  <c:v>1.0337476508977787E-2</c:v>
                </c:pt>
                <c:pt idx="1075">
                  <c:v>1.03441292543173E-2</c:v>
                </c:pt>
                <c:pt idx="1076">
                  <c:v>1.0350778800497633E-2</c:v>
                </c:pt>
                <c:pt idx="1077">
                  <c:v>1.0357425167489099E-2</c:v>
                </c:pt>
                <c:pt idx="1078">
                  <c:v>1.0377345393033484E-2</c:v>
                </c:pt>
                <c:pt idx="1079">
                  <c:v>1.038397924297267E-2</c:v>
                </c:pt>
                <c:pt idx="1080">
                  <c:v>1.0390610013574575E-2</c:v>
                </c:pt>
                <c:pt idx="1081">
                  <c:v>1.0397237724809522E-2</c:v>
                </c:pt>
                <c:pt idx="1082">
                  <c:v>1.0403862396647829E-2</c:v>
                </c:pt>
                <c:pt idx="1083">
                  <c:v>1.0423718375486076E-2</c:v>
                </c:pt>
                <c:pt idx="1084">
                  <c:v>1.0430331089440994E-2</c:v>
                </c:pt>
                <c:pt idx="1085">
                  <c:v>1.0436940863850858E-2</c:v>
                </c:pt>
                <c:pt idx="1086">
                  <c:v>1.044354771868599E-2</c:v>
                </c:pt>
                <c:pt idx="1087">
                  <c:v>1.04501516739167E-2</c:v>
                </c:pt>
                <c:pt idx="1088">
                  <c:v>1.0469946341685509E-2</c:v>
                </c:pt>
                <c:pt idx="1089">
                  <c:v>1.0476538898201731E-2</c:v>
                </c:pt>
                <c:pt idx="1090">
                  <c:v>1.048312865496512E-2</c:v>
                </c:pt>
                <c:pt idx="1091">
                  <c:v>1.0489715631945999E-2</c:v>
                </c:pt>
                <c:pt idx="1092">
                  <c:v>1.049629984911468E-2</c:v>
                </c:pt>
                <c:pt idx="1093">
                  <c:v>1.051603614145075E-2</c:v>
                </c:pt>
                <c:pt idx="1094">
                  <c:v>1.0522609519073838E-2</c:v>
                </c:pt>
                <c:pt idx="1095">
                  <c:v>1.0529180236736319E-2</c:v>
                </c:pt>
                <c:pt idx="1096">
                  <c:v>1.0535748314408512E-2</c:v>
                </c:pt>
                <c:pt idx="1097">
                  <c:v>1.0542313772060738E-2</c:v>
                </c:pt>
                <c:pt idx="1098">
                  <c:v>1.0561994624600767E-2</c:v>
                </c:pt>
                <c:pt idx="1099">
                  <c:v>1.0568549801876284E-2</c:v>
                </c:pt>
                <c:pt idx="1100">
                  <c:v>1.0575102458983425E-2</c:v>
                </c:pt>
                <c:pt idx="1101">
                  <c:v>1.0581652615892499E-2</c:v>
                </c:pt>
                <c:pt idx="1102">
                  <c:v>1.0588200292573829E-2</c:v>
                </c:pt>
                <c:pt idx="1103">
                  <c:v>1.0607828640954515E-2</c:v>
                </c:pt>
                <c:pt idx="1104">
                  <c:v>1.0614366596428037E-2</c:v>
                </c:pt>
                <c:pt idx="1105">
                  <c:v>1.0620902171525401E-2</c:v>
                </c:pt>
                <c:pt idx="1106">
                  <c:v>1.0627435386216921E-2</c:v>
                </c:pt>
                <c:pt idx="1107">
                  <c:v>1.0633966260472923E-2</c:v>
                </c:pt>
                <c:pt idx="1108">
                  <c:v>1.0653545040330968E-2</c:v>
                </c:pt>
                <c:pt idx="1109">
                  <c:v>1.0660066752548054E-2</c:v>
                </c:pt>
                <c:pt idx="1110">
                  <c:v>1.0666586224181209E-2</c:v>
                </c:pt>
                <c:pt idx="1111">
                  <c:v>1.0673103475200747E-2</c:v>
                </c:pt>
                <c:pt idx="1112">
                  <c:v>1.0679618525576987E-2</c:v>
                </c:pt>
                <c:pt idx="1113">
                  <c:v>1.0699150672549087E-2</c:v>
                </c:pt>
                <c:pt idx="1114">
                  <c:v>1.0705657120055308E-2</c:v>
                </c:pt>
                <c:pt idx="1115">
                  <c:v>1.0712161466769819E-2</c:v>
                </c:pt>
                <c:pt idx="1116">
                  <c:v>1.0718663732662935E-2</c:v>
                </c:pt>
                <c:pt idx="1117">
                  <c:v>1.0725163937704979E-2</c:v>
                </c:pt>
                <c:pt idx="1118">
                  <c:v>1.0744652387427835E-2</c:v>
                </c:pt>
                <c:pt idx="1119">
                  <c:v>1.0751144548768755E-2</c:v>
                </c:pt>
                <c:pt idx="1120">
                  <c:v>1.0757634749110191E-2</c:v>
                </c:pt>
                <c:pt idx="1121">
                  <c:v>1.0764123008422454E-2</c:v>
                </c:pt>
                <c:pt idx="1122">
                  <c:v>1.0770609346675869E-2</c:v>
                </c:pt>
                <c:pt idx="1123">
                  <c:v>1.0790057034786181E-2</c:v>
                </c:pt>
                <c:pt idx="1124">
                  <c:v>1.0796535888507368E-2</c:v>
                </c:pt>
                <c:pt idx="1125">
                  <c:v>1.0803012921021289E-2</c:v>
                </c:pt>
                <c:pt idx="1126">
                  <c:v>1.0809488152298269E-2</c:v>
                </c:pt>
                <c:pt idx="1127">
                  <c:v>1.081596160230862E-2</c:v>
                </c:pt>
                <c:pt idx="1128">
                  <c:v>1.083537146444309E-2</c:v>
                </c:pt>
                <c:pt idx="1129">
                  <c:v>1.0841837989090107E-2</c:v>
                </c:pt>
                <c:pt idx="1130">
                  <c:v>1.0848302832322083E-2</c:v>
                </c:pt>
                <c:pt idx="1131">
                  <c:v>1.0854766014109346E-2</c:v>
                </c:pt>
                <c:pt idx="1132">
                  <c:v>1.0861227554422197E-2</c:v>
                </c:pt>
                <c:pt idx="1133">
                  <c:v>1.0880602526217519E-2</c:v>
                </c:pt>
                <c:pt idx="1134">
                  <c:v>1.0887057700335937E-2</c:v>
                </c:pt>
                <c:pt idx="1135">
                  <c:v>1.0893511332831536E-2</c:v>
                </c:pt>
                <c:pt idx="1136">
                  <c:v>1.0899963443674643E-2</c:v>
                </c:pt>
                <c:pt idx="1137">
                  <c:v>1.0906414052835565E-2</c:v>
                </c:pt>
                <c:pt idx="1138">
                  <c:v>1.0925757069928439E-2</c:v>
                </c:pt>
                <c:pt idx="1139">
                  <c:v>1.0932201872063823E-2</c:v>
                </c:pt>
                <c:pt idx="1140">
                  <c:v>1.0938645272368612E-2</c:v>
                </c:pt>
                <c:pt idx="1141">
                  <c:v>1.0945087290813131E-2</c:v>
                </c:pt>
                <c:pt idx="1142">
                  <c:v>1.0951527947367692E-2</c:v>
                </c:pt>
                <c:pt idx="1143">
                  <c:v>1.0970841945394815E-2</c:v>
                </c:pt>
                <c:pt idx="1144">
                  <c:v>1.097727735409273E-2</c:v>
                </c:pt>
                <c:pt idx="1145">
                  <c:v>1.0983711500752275E-2</c:v>
                </c:pt>
                <c:pt idx="1146">
                  <c:v>1.0990144405343773E-2</c:v>
                </c:pt>
                <c:pt idx="1147">
                  <c:v>1.0996576087837535E-2</c:v>
                </c:pt>
                <c:pt idx="1148">
                  <c:v>1.1015864002435611E-2</c:v>
                </c:pt>
                <c:pt idx="1149">
                  <c:v>1.1022290996241623E-2</c:v>
                </c:pt>
                <c:pt idx="1150">
                  <c:v>1.102871686780149E-2</c:v>
                </c:pt>
                <c:pt idx="1151">
                  <c:v>1.1035141637085532E-2</c:v>
                </c:pt>
                <c:pt idx="1152">
                  <c:v>1.1041565324064063E-2</c:v>
                </c:pt>
                <c:pt idx="1153">
                  <c:v>1.106083009086979E-2</c:v>
                </c:pt>
                <c:pt idx="1154">
                  <c:v>1.1067249648329464E-2</c:v>
                </c:pt>
                <c:pt idx="1155">
                  <c:v>1.1073668223335222E-2</c:v>
                </c:pt>
                <c:pt idx="1156">
                  <c:v>1.1080085835857375E-2</c:v>
                </c:pt>
                <c:pt idx="1157">
                  <c:v>1.1086502505866245E-2</c:v>
                </c:pt>
                <c:pt idx="1158">
                  <c:v>1.1105747060516317E-2</c:v>
                </c:pt>
                <c:pt idx="1159">
                  <c:v>1.1112160160175227E-2</c:v>
                </c:pt>
                <c:pt idx="1160">
                  <c:v>1.1118572410543587E-2</c:v>
                </c:pt>
                <c:pt idx="1161">
                  <c:v>1.1124983798447469E-2</c:v>
                </c:pt>
                <c:pt idx="1162">
                  <c:v>1.1131394304084097E-2</c:v>
                </c:pt>
                <c:pt idx="1163">
                  <c:v>1.1150620329362634E-2</c:v>
                </c:pt>
                <c:pt idx="1164">
                  <c:v>1.1157027107902432E-2</c:v>
                </c:pt>
                <c:pt idx="1165">
                  <c:v>1.1163432905161072E-2</c:v>
                </c:pt>
                <c:pt idx="1166">
                  <c:v>1.1169837701335774E-2</c:v>
                </c:pt>
                <c:pt idx="1167">
                  <c:v>1.1176241476623758E-2</c:v>
                </c:pt>
                <c:pt idx="1168">
                  <c:v>1.1195446479139589E-2</c:v>
                </c:pt>
                <c:pt idx="1169">
                  <c:v>1.1201845972852896E-2</c:v>
                </c:pt>
                <c:pt idx="1170">
                  <c:v>1.1208244346665581E-2</c:v>
                </c:pt>
                <c:pt idx="1171">
                  <c:v>1.1214641580774867E-2</c:v>
                </c:pt>
                <c:pt idx="1172">
                  <c:v>1.1221037655377974E-2</c:v>
                </c:pt>
                <c:pt idx="1173">
                  <c:v>1.1240218724122409E-2</c:v>
                </c:pt>
                <c:pt idx="1174">
                  <c:v>1.1246609962672991E-2</c:v>
                </c:pt>
                <c:pt idx="1175">
                  <c:v>1.1252999942703488E-2</c:v>
                </c:pt>
                <c:pt idx="1176">
                  <c:v>1.1259388644411127E-2</c:v>
                </c:pt>
                <c:pt idx="1177">
                  <c:v>1.1265776047993127E-2</c:v>
                </c:pt>
                <c:pt idx="1178">
                  <c:v>1.1284930271957462E-2</c:v>
                </c:pt>
                <c:pt idx="1179">
                  <c:v>1.1291312285009087E-2</c:v>
                </c:pt>
                <c:pt idx="1180">
                  <c:v>1.1297692900921169E-2</c:v>
                </c:pt>
                <c:pt idx="1181">
                  <c:v>1.1304072099890932E-2</c:v>
                </c:pt>
                <c:pt idx="1182">
                  <c:v>1.1310449862115586E-2</c:v>
                </c:pt>
                <c:pt idx="1183">
                  <c:v>1.1329574330291128E-2</c:v>
                </c:pt>
                <c:pt idx="1184">
                  <c:v>1.1335946147507568E-2</c:v>
                </c:pt>
                <c:pt idx="1185">
                  <c:v>1.1342316428965002E-2</c:v>
                </c:pt>
                <c:pt idx="1186">
                  <c:v>1.1348685154860649E-2</c:v>
                </c:pt>
                <c:pt idx="1187">
                  <c:v>1.1355052305391732E-2</c:v>
                </c:pt>
                <c:pt idx="1188">
                  <c:v>1.1374144106769785E-2</c:v>
                </c:pt>
                <c:pt idx="1189">
                  <c:v>1.1380504757814804E-2</c:v>
                </c:pt>
                <c:pt idx="1190">
                  <c:v>1.1386863734481356E-2</c:v>
                </c:pt>
                <c:pt idx="1191">
                  <c:v>1.1393221016966661E-2</c:v>
                </c:pt>
                <c:pt idx="1192">
                  <c:v>1.1399576585467941E-2</c:v>
                </c:pt>
                <c:pt idx="1193">
                  <c:v>1.1424981323577169E-2</c:v>
                </c:pt>
                <c:pt idx="1194">
                  <c:v>1.1431328025116609E-2</c:v>
                </c:pt>
                <c:pt idx="1195">
                  <c:v>1.143767289385534E-2</c:v>
                </c:pt>
                <c:pt idx="1196">
                  <c:v>1.144401590999058E-2</c:v>
                </c:pt>
                <c:pt idx="1197">
                  <c:v>1.1463033644747565E-2</c:v>
                </c:pt>
                <c:pt idx="1198">
                  <c:v>1.146936905244105E-2</c:v>
                </c:pt>
                <c:pt idx="1199">
                  <c:v>1.1475702508517141E-2</c:v>
                </c:pt>
                <c:pt idx="1200">
                  <c:v>1.148203399317306E-2</c:v>
                </c:pt>
                <c:pt idx="1201">
                  <c:v>1.1488363486606031E-2</c:v>
                </c:pt>
                <c:pt idx="1202">
                  <c:v>1.1507339821539439E-2</c:v>
                </c:pt>
                <c:pt idx="1203">
                  <c:v>1.1513661152052804E-2</c:v>
                </c:pt>
                <c:pt idx="1204">
                  <c:v>1.1519980392329319E-2</c:v>
                </c:pt>
                <c:pt idx="1205">
                  <c:v>1.15262975225662E-2</c:v>
                </c:pt>
                <c:pt idx="1206">
                  <c:v>1.1532612522960671E-2</c:v>
                </c:pt>
                <c:pt idx="1207">
                  <c:v>1.1551544547061801E-2</c:v>
                </c:pt>
                <c:pt idx="1208">
                  <c:v>1.1557850830058818E-2</c:v>
                </c:pt>
                <c:pt idx="1209">
                  <c:v>1.1564154884199523E-2</c:v>
                </c:pt>
                <c:pt idx="1210">
                  <c:v>1.1570456689681133E-2</c:v>
                </c:pt>
                <c:pt idx="1211">
                  <c:v>1.1576756226700869E-2</c:v>
                </c:pt>
                <c:pt idx="1212">
                  <c:v>1.1595641028961028E-2</c:v>
                </c:pt>
                <c:pt idx="1213">
                  <c:v>1.1601931294105465E-2</c:v>
                </c:pt>
                <c:pt idx="1214">
                  <c:v>1.1608219191774127E-2</c:v>
                </c:pt>
                <c:pt idx="1215">
                  <c:v>1.1614504702164234E-2</c:v>
                </c:pt>
                <c:pt idx="1216">
                  <c:v>1.1620787805473005E-2</c:v>
                </c:pt>
                <c:pt idx="1217">
                  <c:v>1.1639622474883496E-2</c:v>
                </c:pt>
                <c:pt idx="1218">
                  <c:v>1.1645895751839122E-2</c:v>
                </c:pt>
                <c:pt idx="1219">
                  <c:v>1.1652166522699507E-2</c:v>
                </c:pt>
                <c:pt idx="1220">
                  <c:v>1.1658434767661881E-2</c:v>
                </c:pt>
                <c:pt idx="1221">
                  <c:v>1.1664700466923451E-2</c:v>
                </c:pt>
                <c:pt idx="1222">
                  <c:v>1.1683482092475581E-2</c:v>
                </c:pt>
                <c:pt idx="1223">
                  <c:v>1.168973741090616E-2</c:v>
                </c:pt>
                <c:pt idx="1224">
                  <c:v>1.169599008462204E-2</c:v>
                </c:pt>
                <c:pt idx="1225">
                  <c:v>1.1702240093820442E-2</c:v>
                </c:pt>
                <c:pt idx="1226">
                  <c:v>1.1708487418698585E-2</c:v>
                </c:pt>
                <c:pt idx="1227">
                  <c:v>1.1727213089383652E-2</c:v>
                </c:pt>
                <c:pt idx="1228">
                  <c:v>1.1733449478952957E-2</c:v>
                </c:pt>
                <c:pt idx="1229">
                  <c:v>1.1739683085188099E-2</c:v>
                </c:pt>
                <c:pt idx="1230">
                  <c:v>1.1745913888286301E-2</c:v>
                </c:pt>
                <c:pt idx="1231">
                  <c:v>1.175214186844478E-2</c:v>
                </c:pt>
                <c:pt idx="1232">
                  <c:v>1.1770808673254094E-2</c:v>
                </c:pt>
                <c:pt idx="1233">
                  <c:v>1.1777025163625887E-2</c:v>
                </c:pt>
                <c:pt idx="1234">
                  <c:v>1.178323873204406E-2</c:v>
                </c:pt>
                <c:pt idx="1235">
                  <c:v>1.1789449358705828E-2</c:v>
                </c:pt>
                <c:pt idx="1236">
                  <c:v>1.1795657023808415E-2</c:v>
                </c:pt>
                <c:pt idx="1237">
                  <c:v>1.1814262051733271E-2</c:v>
                </c:pt>
                <c:pt idx="1238">
                  <c:v>1.1820457672571326E-2</c:v>
                </c:pt>
                <c:pt idx="1239">
                  <c:v>1.1826650232836295E-2</c:v>
                </c:pt>
                <c:pt idx="1240">
                  <c:v>1.1832839712725401E-2</c:v>
                </c:pt>
                <c:pt idx="1241">
                  <c:v>1.183902609243586E-2</c:v>
                </c:pt>
                <c:pt idx="1242">
                  <c:v>1.1857566432467572E-2</c:v>
                </c:pt>
                <c:pt idx="1243">
                  <c:v>1.186374021343565E-2</c:v>
                </c:pt>
                <c:pt idx="1244">
                  <c:v>1.1869910795211184E-2</c:v>
                </c:pt>
                <c:pt idx="1245">
                  <c:v>1.1876078157991393E-2</c:v>
                </c:pt>
                <c:pt idx="1246">
                  <c:v>1.1882242281973493E-2</c:v>
                </c:pt>
                <c:pt idx="1247">
                  <c:v>1.190071502310336E-2</c:v>
                </c:pt>
                <c:pt idx="1248">
                  <c:v>1.1906865993865234E-2</c:v>
                </c:pt>
                <c:pt idx="1249">
                  <c:v>1.1913013626815102E-2</c:v>
                </c:pt>
                <c:pt idx="1250">
                  <c:v>1.1919157902150179E-2</c:v>
                </c:pt>
                <c:pt idx="1251">
                  <c:v>1.1925298800067692E-2</c:v>
                </c:pt>
                <c:pt idx="1252">
                  <c:v>1.1943701031287014E-2</c:v>
                </c:pt>
                <c:pt idx="1253">
                  <c:v>1.1949828221506451E-2</c:v>
                </c:pt>
                <c:pt idx="1254">
                  <c:v>1.1955951935294421E-2</c:v>
                </c:pt>
                <c:pt idx="1255">
                  <c:v>1.1962072152848139E-2</c:v>
                </c:pt>
                <c:pt idx="1256">
                  <c:v>1.1968188854364828E-2</c:v>
                </c:pt>
                <c:pt idx="1257">
                  <c:v>1.1986517664664912E-2</c:v>
                </c:pt>
                <c:pt idx="1258">
                  <c:v>1.199262010400568E-2</c:v>
                </c:pt>
                <c:pt idx="1259">
                  <c:v>1.1998718928295517E-2</c:v>
                </c:pt>
                <c:pt idx="1260">
                  <c:v>1.2004814117731643E-2</c:v>
                </c:pt>
                <c:pt idx="1261">
                  <c:v>1.2010905652511278E-2</c:v>
                </c:pt>
                <c:pt idx="1262">
                  <c:v>1.2029158130883427E-2</c:v>
                </c:pt>
                <c:pt idx="1263">
                  <c:v>1.2035234849009292E-2</c:v>
                </c:pt>
                <c:pt idx="1264">
                  <c:v>1.2041307813464767E-2</c:v>
                </c:pt>
                <c:pt idx="1265">
                  <c:v>1.2047377004447067E-2</c:v>
                </c:pt>
                <c:pt idx="1266">
                  <c:v>1.207766566416367E-2</c:v>
                </c:pt>
                <c:pt idx="1267">
                  <c:v>1.2083711798448546E-2</c:v>
                </c:pt>
                <c:pt idx="1268">
                  <c:v>1.2089754020640789E-2</c:v>
                </c:pt>
                <c:pt idx="1269">
                  <c:v>1.2095792310937619E-2</c:v>
                </c:pt>
                <c:pt idx="1270">
                  <c:v>1.2113883392427813E-2</c:v>
                </c:pt>
                <c:pt idx="1271">
                  <c:v>1.211990575711518E-2</c:v>
                </c:pt>
                <c:pt idx="1272">
                  <c:v>1.212592409089323E-2</c:v>
                </c:pt>
                <c:pt idx="1273">
                  <c:v>1.2131938373959183E-2</c:v>
                </c:pt>
                <c:pt idx="1274">
                  <c:v>1.213794858651026E-2</c:v>
                </c:pt>
                <c:pt idx="1275">
                  <c:v>1.2155954603046431E-2</c:v>
                </c:pt>
                <c:pt idx="1276">
                  <c:v>1.21619483355102E-2</c:v>
                </c:pt>
                <c:pt idx="1277">
                  <c:v>1.2167937898445192E-2</c:v>
                </c:pt>
                <c:pt idx="1278">
                  <c:v>1.2173923272048625E-2</c:v>
                </c:pt>
                <c:pt idx="1279">
                  <c:v>1.217990443651772E-2</c:v>
                </c:pt>
                <c:pt idx="1280">
                  <c:v>1.2203786606995108E-2</c:v>
                </c:pt>
                <c:pt idx="1281">
                  <c:v>1.2209746428750806E-2</c:v>
                </c:pt>
                <c:pt idx="1282">
                  <c:v>1.2215701922555486E-2</c:v>
                </c:pt>
                <c:pt idx="1283">
                  <c:v>1.2221653068606368E-2</c:v>
                </c:pt>
                <c:pt idx="1284">
                  <c:v>1.2239480222208401E-2</c:v>
                </c:pt>
                <c:pt idx="1285">
                  <c:v>1.224541378659752E-2</c:v>
                </c:pt>
                <c:pt idx="1286">
                  <c:v>1.2251342948506409E-2</c:v>
                </c:pt>
                <c:pt idx="1287">
                  <c:v>1.2257267732419749E-2</c:v>
                </c:pt>
                <c:pt idx="1288">
                  <c:v>1.2263188162822227E-2</c:v>
                </c:pt>
                <c:pt idx="1289">
                  <c:v>1.2280923577811367E-2</c:v>
                </c:pt>
                <c:pt idx="1290">
                  <c:v>1.2286826839017273E-2</c:v>
                </c:pt>
                <c:pt idx="1291">
                  <c:v>1.2292725869135752E-2</c:v>
                </c:pt>
                <c:pt idx="1292">
                  <c:v>1.2298620692651486E-2</c:v>
                </c:pt>
                <c:pt idx="1293">
                  <c:v>1.2304511334049169E-2</c:v>
                </c:pt>
                <c:pt idx="1294">
                  <c:v>1.2322158410380774E-2</c:v>
                </c:pt>
                <c:pt idx="1295">
                  <c:v>1.2328032568153116E-2</c:v>
                </c:pt>
                <c:pt idx="1296">
                  <c:v>1.2333902666230839E-2</c:v>
                </c:pt>
                <c:pt idx="1297">
                  <c:v>1.2339768729098626E-2</c:v>
                </c:pt>
                <c:pt idx="1298">
                  <c:v>1.2345630781241171E-2</c:v>
                </c:pt>
                <c:pt idx="1299">
                  <c:v>1.2363193118164193E-2</c:v>
                </c:pt>
                <c:pt idx="1300">
                  <c:v>1.2369039372252628E-2</c:v>
                </c:pt>
                <c:pt idx="1301">
                  <c:v>1.2374881738039243E-2</c:v>
                </c:pt>
                <c:pt idx="1302">
                  <c:v>1.238072024000874E-2</c:v>
                </c:pt>
                <c:pt idx="1303">
                  <c:v>1.2386554902645796E-2</c:v>
                </c:pt>
                <c:pt idx="1304">
                  <c:v>1.2404036099409203E-2</c:v>
                </c:pt>
                <c:pt idx="1305">
                  <c:v>1.2409855649563378E-2</c:v>
                </c:pt>
                <c:pt idx="1306">
                  <c:v>1.2415671482808545E-2</c:v>
                </c:pt>
                <c:pt idx="1307">
                  <c:v>1.2421483623629397E-2</c:v>
                </c:pt>
                <c:pt idx="1308">
                  <c:v>1.2427292096510618E-2</c:v>
                </c:pt>
                <c:pt idx="1309">
                  <c:v>1.2444695752363368E-2</c:v>
                </c:pt>
                <c:pt idx="1310">
                  <c:v>1.2450489798332937E-2</c:v>
                </c:pt>
                <c:pt idx="1311">
                  <c:v>1.2456280298786307E-2</c:v>
                </c:pt>
                <c:pt idx="1312">
                  <c:v>1.2462067278208172E-2</c:v>
                </c:pt>
                <c:pt idx="1313">
                  <c:v>1.2467850761083209E-2</c:v>
                </c:pt>
                <c:pt idx="1314">
                  <c:v>1.2485180475274263E-2</c:v>
                </c:pt>
                <c:pt idx="1315">
                  <c:v>1.2490950216808882E-2</c:v>
                </c:pt>
                <c:pt idx="1316">
                  <c:v>1.2496716584220108E-2</c:v>
                </c:pt>
                <c:pt idx="1317">
                  <c:v>1.2502479601992637E-2</c:v>
                </c:pt>
                <c:pt idx="1318">
                  <c:v>1.2508239294611145E-2</c:v>
                </c:pt>
                <c:pt idx="1319">
                  <c:v>1.252549866638946E-2</c:v>
                </c:pt>
                <c:pt idx="1320">
                  <c:v>1.2531245303238779E-2</c:v>
                </c:pt>
                <c:pt idx="1321">
                  <c:v>1.2536988737357519E-2</c:v>
                </c:pt>
                <c:pt idx="1322">
                  <c:v>1.254272899323036E-2</c:v>
                </c:pt>
                <c:pt idx="1323">
                  <c:v>1.2548466095341998E-2</c:v>
                </c:pt>
                <c:pt idx="1324">
                  <c:v>1.2565658723956531E-2</c:v>
                </c:pt>
                <c:pt idx="1325">
                  <c:v>1.2571383455870205E-2</c:v>
                </c:pt>
                <c:pt idx="1326">
                  <c:v>1.2577105156446108E-2</c:v>
                </c:pt>
                <c:pt idx="1327">
                  <c:v>1.2582823850168923E-2</c:v>
                </c:pt>
                <c:pt idx="1328">
                  <c:v>1.2588539561523336E-2</c:v>
                </c:pt>
                <c:pt idx="1329">
                  <c:v>1.260566904622305E-2</c:v>
                </c:pt>
                <c:pt idx="1330">
                  <c:v>1.2611373072950731E-2</c:v>
                </c:pt>
                <c:pt idx="1331">
                  <c:v>1.2617074239733449E-2</c:v>
                </c:pt>
                <c:pt idx="1332">
                  <c:v>1.2622772571055887E-2</c:v>
                </c:pt>
                <c:pt idx="1333">
                  <c:v>1.2628468091402733E-2</c:v>
                </c:pt>
                <c:pt idx="1334">
                  <c:v>1.2645538031436586E-2</c:v>
                </c:pt>
                <c:pt idx="1335">
                  <c:v>1.2651222552727928E-2</c:v>
                </c:pt>
                <c:pt idx="1336">
                  <c:v>1.2656904385467118E-2</c:v>
                </c:pt>
                <c:pt idx="1337">
                  <c:v>1.2662583554138832E-2</c:v>
                </c:pt>
                <c:pt idx="1338">
                  <c:v>1.2668260083227762E-2</c:v>
                </c:pt>
                <c:pt idx="1339">
                  <c:v>1.2685274077844713E-2</c:v>
                </c:pt>
                <c:pt idx="1340">
                  <c:v>1.2690940293449372E-2</c:v>
                </c:pt>
                <c:pt idx="1341">
                  <c:v>1.2696603991894682E-2</c:v>
                </c:pt>
                <c:pt idx="1342">
                  <c:v>1.2702265197665324E-2</c:v>
                </c:pt>
                <c:pt idx="1343">
                  <c:v>1.2707923935245996E-2</c:v>
                </c:pt>
                <c:pt idx="1344">
                  <c:v>1.2724885583695004E-2</c:v>
                </c:pt>
                <c:pt idx="1345">
                  <c:v>1.2730534693362631E-2</c:v>
                </c:pt>
                <c:pt idx="1346">
                  <c:v>1.2736181457263717E-2</c:v>
                </c:pt>
                <c:pt idx="1347">
                  <c:v>1.2741825899882944E-2</c:v>
                </c:pt>
                <c:pt idx="1348">
                  <c:v>1.2747468045705004E-2</c:v>
                </c:pt>
                <c:pt idx="1349">
                  <c:v>1.2764380947235029E-2</c:v>
                </c:pt>
                <c:pt idx="1350">
                  <c:v>1.2770014150715278E-2</c:v>
                </c:pt>
                <c:pt idx="1351">
                  <c:v>1.2775645179821792E-2</c:v>
                </c:pt>
                <c:pt idx="1352">
                  <c:v>1.2781274059039255E-2</c:v>
                </c:pt>
                <c:pt idx="1353">
                  <c:v>1.2786900812852357E-2</c:v>
                </c:pt>
                <c:pt idx="1354">
                  <c:v>1.2803768566712361E-2</c:v>
                </c:pt>
                <c:pt idx="1355">
                  <c:v>1.2809387063754885E-2</c:v>
                </c:pt>
                <c:pt idx="1356">
                  <c:v>1.2815003557816481E-2</c:v>
                </c:pt>
                <c:pt idx="1357">
                  <c:v>1.2820618073381832E-2</c:v>
                </c:pt>
                <c:pt idx="1358">
                  <c:v>1.2826230634935633E-2</c:v>
                </c:pt>
                <c:pt idx="1359">
                  <c:v>1.2843056840374576E-2</c:v>
                </c:pt>
                <c:pt idx="1360">
                  <c:v>1.2848661830729026E-2</c:v>
                </c:pt>
                <c:pt idx="1361">
                  <c:v>1.2854264989495353E-2</c:v>
                </c:pt>
                <c:pt idx="1362">
                  <c:v>1.2859866341158252E-2</c:v>
                </c:pt>
                <c:pt idx="1363">
                  <c:v>1.2865465910202403E-2</c:v>
                </c:pt>
                <c:pt idx="1364">
                  <c:v>1.2882254166469239E-2</c:v>
                </c:pt>
                <c:pt idx="1365">
                  <c:v>1.2887846849885273E-2</c:v>
                </c:pt>
                <c:pt idx="1366">
                  <c:v>1.2893437873105989E-2</c:v>
                </c:pt>
                <c:pt idx="1367">
                  <c:v>1.2899027260616083E-2</c:v>
                </c:pt>
                <c:pt idx="1368">
                  <c:v>1.2904615036900234E-2</c:v>
                </c:pt>
                <c:pt idx="1369">
                  <c:v>1.2921368943243926E-2</c:v>
                </c:pt>
                <c:pt idx="1370">
                  <c:v>1.2926950519471191E-2</c:v>
                </c:pt>
                <c:pt idx="1371">
                  <c:v>1.2932530606895953E-2</c:v>
                </c:pt>
                <c:pt idx="1372">
                  <c:v>1.2938109230002895E-2</c:v>
                </c:pt>
                <c:pt idx="1373">
                  <c:v>1.2943686413276704E-2</c:v>
                </c:pt>
                <c:pt idx="1374">
                  <c:v>1.2960409568946216E-2</c:v>
                </c:pt>
                <c:pt idx="1375">
                  <c:v>1.2965981237734365E-2</c:v>
                </c:pt>
                <c:pt idx="1376">
                  <c:v>1.2971551589112819E-2</c:v>
                </c:pt>
                <c:pt idx="1377">
                  <c:v>1.2977120647566263E-2</c:v>
                </c:pt>
                <c:pt idx="1378">
                  <c:v>1.2982688437579383E-2</c:v>
                </c:pt>
                <c:pt idx="1379">
                  <c:v>1.2999384441823665E-2</c:v>
                </c:pt>
                <c:pt idx="1380">
                  <c:v>1.3004947402922358E-2</c:v>
                </c:pt>
                <c:pt idx="1381">
                  <c:v>1.3010509218004162E-2</c:v>
                </c:pt>
                <c:pt idx="1382">
                  <c:v>1.3016069911553759E-2</c:v>
                </c:pt>
                <c:pt idx="1383">
                  <c:v>1.302162950805584E-2</c:v>
                </c:pt>
                <c:pt idx="1384">
                  <c:v>1.3038301960123859E-2</c:v>
                </c:pt>
                <c:pt idx="1385">
                  <c:v>1.3043857413282747E-2</c:v>
                </c:pt>
                <c:pt idx="1386">
                  <c:v>1.3049411891817551E-2</c:v>
                </c:pt>
                <c:pt idx="1387">
                  <c:v>1.3054965420212955E-2</c:v>
                </c:pt>
                <c:pt idx="1388">
                  <c:v>1.3060518022953655E-2</c:v>
                </c:pt>
                <c:pt idx="1389">
                  <c:v>1.3077170522094365E-2</c:v>
                </c:pt>
                <c:pt idx="1390">
                  <c:v>1.3082719667063099E-2</c:v>
                </c:pt>
                <c:pt idx="1391">
                  <c:v>1.3088268008800556E-2</c:v>
                </c:pt>
                <c:pt idx="1392">
                  <c:v>1.3093815571791425E-2</c:v>
                </c:pt>
                <c:pt idx="1393">
                  <c:v>1.3099362380520393E-2</c:v>
                </c:pt>
                <c:pt idx="1394">
                  <c:v>1.3115998525982758E-2</c:v>
                </c:pt>
                <c:pt idx="1395">
                  <c:v>1.3121542562510989E-2</c:v>
                </c:pt>
                <c:pt idx="1396">
                  <c:v>1.3127085967200754E-2</c:v>
                </c:pt>
                <c:pt idx="1397">
                  <c:v>1.313262876453674E-2</c:v>
                </c:pt>
                <c:pt idx="1398">
                  <c:v>1.3138170979003628E-2</c:v>
                </c:pt>
                <c:pt idx="1399">
                  <c:v>1.3154794370036606E-2</c:v>
                </c:pt>
                <c:pt idx="1400">
                  <c:v>1.3160334497873991E-2</c:v>
                </c:pt>
                <c:pt idx="1401">
                  <c:v>1.3165874165265714E-2</c:v>
                </c:pt>
                <c:pt idx="1402">
                  <c:v>1.3171413396696467E-2</c:v>
                </c:pt>
                <c:pt idx="1403">
                  <c:v>1.3176952216650935E-2</c:v>
                </c:pt>
                <c:pt idx="1404">
                  <c:v>1.3193566452503486E-2</c:v>
                </c:pt>
                <c:pt idx="1405">
                  <c:v>1.3199103871399675E-2</c:v>
                </c:pt>
                <c:pt idx="1406">
                  <c:v>1.3204641001243012E-2</c:v>
                </c:pt>
                <c:pt idx="1407">
                  <c:v>1.3210177866518185E-2</c:v>
                </c:pt>
                <c:pt idx="1408">
                  <c:v>1.3215714491709883E-2</c:v>
                </c:pt>
                <c:pt idx="1409">
                  <c:v>1.3232323171630964E-2</c:v>
                </c:pt>
                <c:pt idx="1410">
                  <c:v>1.3237859081335613E-2</c:v>
                </c:pt>
                <c:pt idx="1411">
                  <c:v>1.3243394873380219E-2</c:v>
                </c:pt>
                <c:pt idx="1412">
                  <c:v>1.3248930572249467E-2</c:v>
                </c:pt>
                <c:pt idx="1413">
                  <c:v>1.3254466202428041E-2</c:v>
                </c:pt>
                <c:pt idx="1414">
                  <c:v>1.3271072925666618E-2</c:v>
                </c:pt>
                <c:pt idx="1415">
                  <c:v>1.3276608525929379E-2</c:v>
                </c:pt>
                <c:pt idx="1416">
                  <c:v>1.3282144179924904E-2</c:v>
                </c:pt>
                <c:pt idx="1417">
                  <c:v>1.328767990536032E-2</c:v>
                </c:pt>
                <c:pt idx="1418">
                  <c:v>1.3293215692832511E-2</c:v>
                </c:pt>
                <c:pt idx="1419">
                  <c:v>1.3309823265663018E-2</c:v>
                </c:pt>
                <c:pt idx="1420">
                  <c:v>1.3315359139475588E-2</c:v>
                </c:pt>
                <c:pt idx="1421">
                  <c:v>1.3320894994421567E-2</c:v>
                </c:pt>
                <c:pt idx="1422">
                  <c:v>1.3326430814320287E-2</c:v>
                </c:pt>
                <c:pt idx="1423">
                  <c:v>1.3331966582991071E-2</c:v>
                </c:pt>
                <c:pt idx="1424">
                  <c:v>1.3348573419829085E-2</c:v>
                </c:pt>
                <c:pt idx="1425">
                  <c:v>1.3354108821781398E-2</c:v>
                </c:pt>
                <c:pt idx="1426">
                  <c:v>1.3359644091602414E-2</c:v>
                </c:pt>
                <c:pt idx="1427">
                  <c:v>1.3365179213111455E-2</c:v>
                </c:pt>
                <c:pt idx="1428">
                  <c:v>1.3370714170127848E-2</c:v>
                </c:pt>
                <c:pt idx="1429">
                  <c:v>1.3387317892414423E-2</c:v>
                </c:pt>
                <c:pt idx="1430">
                  <c:v>1.3392852029653504E-2</c:v>
                </c:pt>
                <c:pt idx="1431">
                  <c:v>1.3398385921496571E-2</c:v>
                </c:pt>
                <c:pt idx="1432">
                  <c:v>1.3403919551762952E-2</c:v>
                </c:pt>
                <c:pt idx="1433">
                  <c:v>1.3409452904271974E-2</c:v>
                </c:pt>
                <c:pt idx="1434">
                  <c:v>1.3426051133448167E-2</c:v>
                </c:pt>
                <c:pt idx="1435">
                  <c:v>1.3431583213121028E-2</c:v>
                </c:pt>
                <c:pt idx="1436">
                  <c:v>1.3437114934133167E-2</c:v>
                </c:pt>
                <c:pt idx="1437">
                  <c:v>1.3442646280303906E-2</c:v>
                </c:pt>
                <c:pt idx="1438">
                  <c:v>1.3448177235452578E-2</c:v>
                </c:pt>
                <c:pt idx="1439">
                  <c:v>1.3464767592959443E-2</c:v>
                </c:pt>
                <c:pt idx="1440">
                  <c:v>1.3470296822213105E-2</c:v>
                </c:pt>
                <c:pt idx="1441">
                  <c:v>1.347582557954133E-2</c:v>
                </c:pt>
                <c:pt idx="1442">
                  <c:v>1.3481353848763448E-2</c:v>
                </c:pt>
                <c:pt idx="1443">
                  <c:v>1.3486881613698787E-2</c:v>
                </c:pt>
                <c:pt idx="1444">
                  <c:v>1.350346172097738E-2</c:v>
                </c:pt>
                <c:pt idx="1445">
                  <c:v>1.3508987306958859E-2</c:v>
                </c:pt>
                <c:pt idx="1446">
                  <c:v>1.3514512307750196E-2</c:v>
                </c:pt>
                <c:pt idx="1447">
                  <c:v>1.352003670717071E-2</c:v>
                </c:pt>
                <c:pt idx="1448">
                  <c:v>1.3525560489039731E-2</c:v>
                </c:pt>
                <c:pt idx="1449">
                  <c:v>1.3553169568788886E-2</c:v>
                </c:pt>
                <c:pt idx="1450">
                  <c:v>1.3558689305554815E-2</c:v>
                </c:pt>
                <c:pt idx="1451">
                  <c:v>1.356420831150454E-2</c:v>
                </c:pt>
                <c:pt idx="1452">
                  <c:v>1.3586246564074745E-2</c:v>
                </c:pt>
                <c:pt idx="1453">
                  <c:v>1.3591746610216881E-2</c:v>
                </c:pt>
                <c:pt idx="1454">
                  <c:v>1.3597245833108541E-2</c:v>
                </c:pt>
                <c:pt idx="1455">
                  <c:v>1.360274421670132E-2</c:v>
                </c:pt>
                <c:pt idx="1456">
                  <c:v>1.361923417120231E-2</c:v>
                </c:pt>
                <c:pt idx="1457">
                  <c:v>1.36247290371155E-2</c:v>
                </c:pt>
                <c:pt idx="1458">
                  <c:v>1.3630222983487782E-2</c:v>
                </c:pt>
                <c:pt idx="1459">
                  <c:v>1.3635715994270737E-2</c:v>
                </c:pt>
                <c:pt idx="1460">
                  <c:v>1.3641208053415966E-2</c:v>
                </c:pt>
                <c:pt idx="1461">
                  <c:v>1.3657678360541228E-2</c:v>
                </c:pt>
                <c:pt idx="1462">
                  <c:v>1.3663166452651481E-2</c:v>
                </c:pt>
                <c:pt idx="1463">
                  <c:v>1.3668653512881974E-2</c:v>
                </c:pt>
                <c:pt idx="1464">
                  <c:v>1.3674139525184304E-2</c:v>
                </c:pt>
                <c:pt idx="1465">
                  <c:v>1.3679624473510057E-2</c:v>
                </c:pt>
                <c:pt idx="1466">
                  <c:v>1.3696072774143806E-2</c:v>
                </c:pt>
                <c:pt idx="1467">
                  <c:v>1.37015533060792E-2</c:v>
                </c:pt>
                <c:pt idx="1468">
                  <c:v>1.3707032693795985E-2</c:v>
                </c:pt>
                <c:pt idx="1469">
                  <c:v>1.3712510921245756E-2</c:v>
                </c:pt>
                <c:pt idx="1470">
                  <c:v>1.3717987972380108E-2</c:v>
                </c:pt>
                <c:pt idx="1471">
                  <c:v>1.373441190740657E-2</c:v>
                </c:pt>
                <c:pt idx="1472">
                  <c:v>1.3739884092795172E-2</c:v>
                </c:pt>
                <c:pt idx="1473">
                  <c:v>1.3745355021626321E-2</c:v>
                </c:pt>
                <c:pt idx="1474">
                  <c:v>1.3750824677851608E-2</c:v>
                </c:pt>
                <c:pt idx="1475">
                  <c:v>1.3756293045422627E-2</c:v>
                </c:pt>
                <c:pt idx="1476">
                  <c:v>1.3772690255726021E-2</c:v>
                </c:pt>
                <c:pt idx="1477">
                  <c:v>1.3778153308195908E-2</c:v>
                </c:pt>
                <c:pt idx="1478">
                  <c:v>1.3783614991769491E-2</c:v>
                </c:pt>
                <c:pt idx="1479">
                  <c:v>1.378907529039837E-2</c:v>
                </c:pt>
                <c:pt idx="1480">
                  <c:v>1.3794534188034136E-2</c:v>
                </c:pt>
                <c:pt idx="1481">
                  <c:v>1.3810902314498677E-2</c:v>
                </c:pt>
                <c:pt idx="1482">
                  <c:v>1.381635544767792E-2</c:v>
                </c:pt>
                <c:pt idx="1483">
                  <c:v>1.3821807099622017E-2</c:v>
                </c:pt>
                <c:pt idx="1484">
                  <c:v>1.3827257254282556E-2</c:v>
                </c:pt>
                <c:pt idx="1485">
                  <c:v>1.3832705895611138E-2</c:v>
                </c:pt>
                <c:pt idx="1486">
                  <c:v>1.3849042579121052E-2</c:v>
                </c:pt>
                <c:pt idx="1487">
                  <c:v>1.3854485006637723E-2</c:v>
                </c:pt>
                <c:pt idx="1488">
                  <c:v>1.3859925840580404E-2</c:v>
                </c:pt>
                <c:pt idx="1489">
                  <c:v>1.3865365064900683E-2</c:v>
                </c:pt>
                <c:pt idx="1490">
                  <c:v>1.3870802663550154E-2</c:v>
                </c:pt>
                <c:pt idx="1491">
                  <c:v>1.3887105544989658E-2</c:v>
                </c:pt>
                <c:pt idx="1492">
                  <c:v>1.3892536480471835E-2</c:v>
                </c:pt>
                <c:pt idx="1493">
                  <c:v>1.3897965710041168E-2</c:v>
                </c:pt>
                <c:pt idx="1494">
                  <c:v>1.3903393217649256E-2</c:v>
                </c:pt>
                <c:pt idx="1495">
                  <c:v>1.3908818987247695E-2</c:v>
                </c:pt>
                <c:pt idx="1496">
                  <c:v>1.3925085707501009E-2</c:v>
                </c:pt>
                <c:pt idx="1497">
                  <c:v>1.3930504364576761E-2</c:v>
                </c:pt>
                <c:pt idx="1498">
                  <c:v>1.3935921203400828E-2</c:v>
                </c:pt>
                <c:pt idx="1499">
                  <c:v>1.3941336207924798E-2</c:v>
                </c:pt>
                <c:pt idx="1500">
                  <c:v>1.394674936210027E-2</c:v>
                </c:pt>
                <c:pt idx="1501">
                  <c:v>1.3962977562051612E-2</c:v>
                </c:pt>
                <c:pt idx="1502">
                  <c:v>1.3968383154349021E-2</c:v>
                </c:pt>
                <c:pt idx="1503">
                  <c:v>1.3973786816055886E-2</c:v>
                </c:pt>
                <c:pt idx="1504">
                  <c:v>1.3979188531123813E-2</c:v>
                </c:pt>
                <c:pt idx="1505">
                  <c:v>1.3984588283504396E-2</c:v>
                </c:pt>
                <c:pt idx="1506">
                  <c:v>1.4000775604037992E-2</c:v>
                </c:pt>
                <c:pt idx="1507">
                  <c:v>1.4006167345185117E-2</c:v>
                </c:pt>
                <c:pt idx="1508">
                  <c:v>1.4011557043402866E-2</c:v>
                </c:pt>
                <c:pt idx="1509">
                  <c:v>1.4016944682642822E-2</c:v>
                </c:pt>
                <c:pt idx="1510">
                  <c:v>1.4022330246856587E-2</c:v>
                </c:pt>
                <c:pt idx="1511">
                  <c:v>1.4038474328856654E-2</c:v>
                </c:pt>
                <c:pt idx="1512">
                  <c:v>1.4043851432481574E-2</c:v>
                </c:pt>
                <c:pt idx="1513">
                  <c:v>1.404922638083827E-2</c:v>
                </c:pt>
                <c:pt idx="1514">
                  <c:v>1.4054599157878335E-2</c:v>
                </c:pt>
                <c:pt idx="1515">
                  <c:v>1.4081429911634899E-2</c:v>
                </c:pt>
                <c:pt idx="1516">
                  <c:v>1.4086789323758623E-2</c:v>
                </c:pt>
                <c:pt idx="1517">
                  <c:v>1.409214645222686E-2</c:v>
                </c:pt>
                <c:pt idx="1518">
                  <c:v>1.4097501280991211E-2</c:v>
                </c:pt>
                <c:pt idx="1519">
                  <c:v>1.4113551808576878E-2</c:v>
                </c:pt>
                <c:pt idx="1520">
                  <c:v>1.4118897278041611E-2</c:v>
                </c:pt>
                <c:pt idx="1521">
                  <c:v>1.4124240367560428E-2</c:v>
                </c:pt>
                <c:pt idx="1522">
                  <c:v>1.4129581061084917E-2</c:v>
                </c:pt>
                <c:pt idx="1523">
                  <c:v>1.413491934256667E-2</c:v>
                </c:pt>
                <c:pt idx="1524">
                  <c:v>1.4150919554271467E-2</c:v>
                </c:pt>
                <c:pt idx="1525">
                  <c:v>1.4156248027098219E-2</c:v>
                </c:pt>
                <c:pt idx="1526">
                  <c:v>1.4161574007640204E-2</c:v>
                </c:pt>
                <c:pt idx="1527">
                  <c:v>1.4166897479849016E-2</c:v>
                </c:pt>
                <c:pt idx="1528">
                  <c:v>1.4172218427676247E-2</c:v>
                </c:pt>
                <c:pt idx="1529">
                  <c:v>1.4188165964384391E-2</c:v>
                </c:pt>
                <c:pt idx="1530">
                  <c:v>1.4193476654201233E-2</c:v>
                </c:pt>
                <c:pt idx="1531">
                  <c:v>1.4198784739394463E-2</c:v>
                </c:pt>
                <c:pt idx="1532">
                  <c:v>1.4204090203915673E-2</c:v>
                </c:pt>
                <c:pt idx="1533">
                  <c:v>1.4209393031716453E-2</c:v>
                </c:pt>
                <c:pt idx="1534">
                  <c:v>1.4225285534312165E-2</c:v>
                </c:pt>
                <c:pt idx="1535">
                  <c:v>1.4230577654747174E-2</c:v>
                </c:pt>
                <c:pt idx="1536">
                  <c:v>1.4241153728681396E-2</c:v>
                </c:pt>
                <c:pt idx="1537">
                  <c:v>1.42464376500838E-2</c:v>
                </c:pt>
                <c:pt idx="1538">
                  <c:v>1.4262272759451303E-2</c:v>
                </c:pt>
                <c:pt idx="1539">
                  <c:v>1.4267545524132546E-2</c:v>
                </c:pt>
                <c:pt idx="1540">
                  <c:v>1.4272815459512481E-2</c:v>
                </c:pt>
                <c:pt idx="1541">
                  <c:v>1.4278082552103761E-2</c:v>
                </c:pt>
                <c:pt idx="1542">
                  <c:v>1.4283346798663272E-2</c:v>
                </c:pt>
                <c:pt idx="1543">
                  <c:v>1.4299122455330632E-2</c:v>
                </c:pt>
                <c:pt idx="1544">
                  <c:v>1.4304375310942509E-2</c:v>
                </c:pt>
                <c:pt idx="1545">
                  <c:v>1.4309625317112338E-2</c:v>
                </c:pt>
                <c:pt idx="1546">
                  <c:v>1.4314872473158068E-2</c:v>
                </c:pt>
                <c:pt idx="1547">
                  <c:v>1.4320116778397634E-2</c:v>
                </c:pt>
                <c:pt idx="1548">
                  <c:v>1.4335832582458836E-2</c:v>
                </c:pt>
                <c:pt idx="1549">
                  <c:v>1.4341065477653219E-2</c:v>
                </c:pt>
                <c:pt idx="1550">
                  <c:v>1.4346295518631161E-2</c:v>
                </c:pt>
                <c:pt idx="1551">
                  <c:v>1.4351522704710615E-2</c:v>
                </c:pt>
                <c:pt idx="1552">
                  <c:v>1.4356747035209521E-2</c:v>
                </c:pt>
                <c:pt idx="1553">
                  <c:v>1.4372402886402394E-2</c:v>
                </c:pt>
                <c:pt idx="1554">
                  <c:v>1.4377615787758556E-2</c:v>
                </c:pt>
                <c:pt idx="1555">
                  <c:v>1.4382825830123892E-2</c:v>
                </c:pt>
                <c:pt idx="1556">
                  <c:v>1.4388033012816347E-2</c:v>
                </c:pt>
                <c:pt idx="1557">
                  <c:v>1.4393237335153866E-2</c:v>
                </c:pt>
                <c:pt idx="1558">
                  <c:v>1.4408833133216253E-2</c:v>
                </c:pt>
                <c:pt idx="1559">
                  <c:v>1.4414026007313474E-2</c:v>
                </c:pt>
                <c:pt idx="1560">
                  <c:v>1.4419216017645479E-2</c:v>
                </c:pt>
                <c:pt idx="1561">
                  <c:v>1.4424403163530214E-2</c:v>
                </c:pt>
                <c:pt idx="1562">
                  <c:v>1.4429587444285625E-2</c:v>
                </c:pt>
                <c:pt idx="1563">
                  <c:v>1.4445123088955351E-2</c:v>
                </c:pt>
                <c:pt idx="1564">
                  <c:v>1.4450295902372906E-2</c:v>
                </c:pt>
                <c:pt idx="1565">
                  <c:v>1.4455465847250862E-2</c:v>
                </c:pt>
                <c:pt idx="1566">
                  <c:v>1.4460632922907153E-2</c:v>
                </c:pt>
                <c:pt idx="1567">
                  <c:v>1.4465797128659735E-2</c:v>
                </c:pt>
                <c:pt idx="1568">
                  <c:v>1.4481272519674635E-2</c:v>
                </c:pt>
                <c:pt idx="1569">
                  <c:v>1.4486425238991804E-2</c:v>
                </c:pt>
                <c:pt idx="1570">
                  <c:v>1.4491575084994983E-2</c:v>
                </c:pt>
                <c:pt idx="1571">
                  <c:v>1.4496722057002111E-2</c:v>
                </c:pt>
                <c:pt idx="1572">
                  <c:v>1.4501866154331137E-2</c:v>
                </c:pt>
                <c:pt idx="1573">
                  <c:v>1.4517281191429044E-2</c:v>
                </c:pt>
                <c:pt idx="1574">
                  <c:v>1.4522413783225106E-2</c:v>
                </c:pt>
                <c:pt idx="1575">
                  <c:v>1.4527543496932784E-2</c:v>
                </c:pt>
                <c:pt idx="1576">
                  <c:v>1.4532670331870027E-2</c:v>
                </c:pt>
                <c:pt idx="1577">
                  <c:v>1.453779428735478E-2</c:v>
                </c:pt>
                <c:pt idx="1578">
                  <c:v>1.4553148870273527E-2</c:v>
                </c:pt>
                <c:pt idx="1579">
                  <c:v>1.4558261301127758E-2</c:v>
                </c:pt>
                <c:pt idx="1580">
                  <c:v>1.4563370849119215E-2</c:v>
                </c:pt>
                <c:pt idx="1581">
                  <c:v>1.4568477513565851E-2</c:v>
                </c:pt>
                <c:pt idx="1582">
                  <c:v>1.4573581293785606E-2</c:v>
                </c:pt>
                <c:pt idx="1583">
                  <c:v>1.4588875322263026E-2</c:v>
                </c:pt>
                <c:pt idx="1584">
                  <c:v>1.4593967558754703E-2</c:v>
                </c:pt>
                <c:pt idx="1585">
                  <c:v>1.459905690760922E-2</c:v>
                </c:pt>
                <c:pt idx="1586">
                  <c:v>1.4604143368144522E-2</c:v>
                </c:pt>
                <c:pt idx="1587">
                  <c:v>1.4609226939678557E-2</c:v>
                </c:pt>
                <c:pt idx="1588">
                  <c:v>1.4624460313452485E-2</c:v>
                </c:pt>
                <c:pt idx="1589">
                  <c:v>1.4629532322160885E-2</c:v>
                </c:pt>
                <c:pt idx="1590">
                  <c:v>1.4634601438457738E-2</c:v>
                </c:pt>
                <c:pt idx="1591">
                  <c:v>1.4639667661660988E-2</c:v>
                </c:pt>
                <c:pt idx="1592">
                  <c:v>1.4644730991088576E-2</c:v>
                </c:pt>
                <c:pt idx="1593">
                  <c:v>1.4659903609896847E-2</c:v>
                </c:pt>
                <c:pt idx="1594">
                  <c:v>1.4664955357401246E-2</c:v>
                </c:pt>
                <c:pt idx="1595">
                  <c:v>1.4670004207719712E-2</c:v>
                </c:pt>
                <c:pt idx="1596">
                  <c:v>1.4675050160170188E-2</c:v>
                </c:pt>
                <c:pt idx="1597">
                  <c:v>1.4680093214070612E-2</c:v>
                </c:pt>
                <c:pt idx="1598">
                  <c:v>1.4695204977651054E-2</c:v>
                </c:pt>
                <c:pt idx="1599">
                  <c:v>1.4700236430530733E-2</c:v>
                </c:pt>
                <c:pt idx="1600">
                  <c:v>1.470526498145009E-2</c:v>
                </c:pt>
                <c:pt idx="1601">
                  <c:v>1.4710290629727068E-2</c:v>
                </c:pt>
                <c:pt idx="1602">
                  <c:v>1.4715313374679604E-2</c:v>
                </c:pt>
                <c:pt idx="1603">
                  <c:v>1.473036418277005E-2</c:v>
                </c:pt>
                <c:pt idx="1604">
                  <c:v>1.4735375307604288E-2</c:v>
                </c:pt>
                <c:pt idx="1605">
                  <c:v>1.4740383525703813E-2</c:v>
                </c:pt>
                <c:pt idx="1606">
                  <c:v>1.4745388836386568E-2</c:v>
                </c:pt>
                <c:pt idx="1607">
                  <c:v>1.4750391238970496E-2</c:v>
                </c:pt>
                <c:pt idx="1608">
                  <c:v>1.476538099130878E-2</c:v>
                </c:pt>
                <c:pt idx="1609">
                  <c:v>1.4770371754676851E-2</c:v>
                </c:pt>
                <c:pt idx="1610">
                  <c:v>1.4775359606535823E-2</c:v>
                </c:pt>
                <c:pt idx="1611">
                  <c:v>1.4780344546203637E-2</c:v>
                </c:pt>
                <c:pt idx="1612">
                  <c:v>1.4785326572998235E-2</c:v>
                </c:pt>
                <c:pt idx="1613">
                  <c:v>1.4800255169322188E-2</c:v>
                </c:pt>
                <c:pt idx="1614">
                  <c:v>1.4805225537803371E-2</c:v>
                </c:pt>
                <c:pt idx="1615">
                  <c:v>1.4810192990001067E-2</c:v>
                </c:pt>
                <c:pt idx="1616">
                  <c:v>1.4815157525233215E-2</c:v>
                </c:pt>
                <c:pt idx="1617">
                  <c:v>1.4820119142817757E-2</c:v>
                </c:pt>
                <c:pt idx="1618">
                  <c:v>1.4834986482865218E-2</c:v>
                </c:pt>
                <c:pt idx="1619">
                  <c:v>1.4839936423038793E-2</c:v>
                </c:pt>
                <c:pt idx="1620">
                  <c:v>1.4844883442154486E-2</c:v>
                </c:pt>
                <c:pt idx="1621">
                  <c:v>1.4849827539530248E-2</c:v>
                </c:pt>
                <c:pt idx="1622">
                  <c:v>1.4854768714484013E-2</c:v>
                </c:pt>
                <c:pt idx="1623">
                  <c:v>1.4869574697992808E-2</c:v>
                </c:pt>
                <c:pt idx="1624">
                  <c:v>1.4874504176438054E-2</c:v>
                </c:pt>
                <c:pt idx="1625">
                  <c:v>1.4879430729051027E-2</c:v>
                </c:pt>
                <c:pt idx="1626">
                  <c:v>1.4884354355149674E-2</c:v>
                </c:pt>
                <c:pt idx="1627">
                  <c:v>1.4889275054051946E-2</c:v>
                </c:pt>
                <c:pt idx="1628">
                  <c:v>1.4904019580759908E-2</c:v>
                </c:pt>
                <c:pt idx="1629">
                  <c:v>1.4908928564056101E-2</c:v>
                </c:pt>
                <c:pt idx="1630">
                  <c:v>1.4913834616745633E-2</c:v>
                </c:pt>
                <c:pt idx="1631">
                  <c:v>1.4918737738146448E-2</c:v>
                </c:pt>
                <c:pt idx="1632">
                  <c:v>1.4923637927576495E-2</c:v>
                </c:pt>
                <c:pt idx="1633">
                  <c:v>1.4938320897221462E-2</c:v>
                </c:pt>
                <c:pt idx="1634">
                  <c:v>1.4943209351947876E-2</c:v>
                </c:pt>
                <c:pt idx="1635">
                  <c:v>1.4948094871293241E-2</c:v>
                </c:pt>
                <c:pt idx="1636">
                  <c:v>1.49529774545755E-2</c:v>
                </c:pt>
                <c:pt idx="1637">
                  <c:v>1.4957857101112604E-2</c:v>
                </c:pt>
                <c:pt idx="1638">
                  <c:v>1.4972478413432409E-2</c:v>
                </c:pt>
                <c:pt idx="1639">
                  <c:v>1.4977346306168326E-2</c:v>
                </c:pt>
                <c:pt idx="1640">
                  <c:v>1.4982211258748802E-2</c:v>
                </c:pt>
                <c:pt idx="1641">
                  <c:v>1.4987073270491787E-2</c:v>
                </c:pt>
                <c:pt idx="1642">
                  <c:v>1.4991932340715223E-2</c:v>
                </c:pt>
                <c:pt idx="1643">
                  <c:v>1.5006491895447699E-2</c:v>
                </c:pt>
                <c:pt idx="1644">
                  <c:v>1.5011339192772389E-2</c:v>
                </c:pt>
                <c:pt idx="1645">
                  <c:v>1.5016183545167254E-2</c:v>
                </c:pt>
                <c:pt idx="1646">
                  <c:v>1.502102495195024E-2</c:v>
                </c:pt>
                <c:pt idx="1647">
                  <c:v>1.5025863412439291E-2</c:v>
                </c:pt>
                <c:pt idx="1648">
                  <c:v>1.5040361109322265E-2</c:v>
                </c:pt>
                <c:pt idx="1649">
                  <c:v>1.5045187777815014E-2</c:v>
                </c:pt>
                <c:pt idx="1650">
                  <c:v>1.5050011496603547E-2</c:v>
                </c:pt>
                <c:pt idx="1651">
                  <c:v>1.5054832265005815E-2</c:v>
                </c:pt>
                <c:pt idx="1652">
                  <c:v>1.505965008233975E-2</c:v>
                </c:pt>
                <c:pt idx="1653">
                  <c:v>1.507408582111106E-2</c:v>
                </c:pt>
                <c:pt idx="1654">
                  <c:v>1.5078891827351141E-2</c:v>
                </c:pt>
                <c:pt idx="1655">
                  <c:v>1.5083694879112621E-2</c:v>
                </c:pt>
                <c:pt idx="1656">
                  <c:v>1.5088494975713442E-2</c:v>
                </c:pt>
                <c:pt idx="1657">
                  <c:v>1.5093292116471547E-2</c:v>
                </c:pt>
                <c:pt idx="1658">
                  <c:v>1.5107665796869025E-2</c:v>
                </c:pt>
                <c:pt idx="1659">
                  <c:v>1.5112451107435717E-2</c:v>
                </c:pt>
                <c:pt idx="1660">
                  <c:v>1.5117233458749419E-2</c:v>
                </c:pt>
                <c:pt idx="1661">
                  <c:v>1.5122012850128074E-2</c:v>
                </c:pt>
                <c:pt idx="1662">
                  <c:v>1.5126789280889624E-2</c:v>
                </c:pt>
                <c:pt idx="1663">
                  <c:v>1.5141100802651101E-2</c:v>
                </c:pt>
                <c:pt idx="1664">
                  <c:v>1.5145865384123684E-2</c:v>
                </c:pt>
                <c:pt idx="1665">
                  <c:v>1.5150627001568885E-2</c:v>
                </c:pt>
                <c:pt idx="1666">
                  <c:v>1.5155385654304651E-2</c:v>
                </c:pt>
                <c:pt idx="1667">
                  <c:v>1.5160141341648926E-2</c:v>
                </c:pt>
                <c:pt idx="1668">
                  <c:v>1.5174390604512237E-2</c:v>
                </c:pt>
                <c:pt idx="1669">
                  <c:v>1.5179134423469985E-2</c:v>
                </c:pt>
                <c:pt idx="1670">
                  <c:v>1.5183875273625967E-2</c:v>
                </c:pt>
                <c:pt idx="1671">
                  <c:v>1.518861315429812E-2</c:v>
                </c:pt>
                <c:pt idx="1672">
                  <c:v>1.5193348064804393E-2</c:v>
                </c:pt>
                <c:pt idx="1673">
                  <c:v>1.5207534935453479E-2</c:v>
                </c:pt>
                <c:pt idx="1674">
                  <c:v>1.5212257913179596E-2</c:v>
                </c:pt>
                <c:pt idx="1675">
                  <c:v>1.5216977887948317E-2</c:v>
                </c:pt>
                <c:pt idx="1676">
                  <c:v>1.5221694851732271E-2</c:v>
                </c:pt>
                <c:pt idx="1677">
                  <c:v>1.5226408796504101E-2</c:v>
                </c:pt>
                <c:pt idx="1678">
                  <c:v>1.5240532436473164E-2</c:v>
                </c:pt>
                <c:pt idx="1679">
                  <c:v>1.5245234224922828E-2</c:v>
                </c:pt>
                <c:pt idx="1680">
                  <c:v>1.5249932954223536E-2</c:v>
                </c:pt>
                <c:pt idx="1681">
                  <c:v>1.5254628616347925E-2</c:v>
                </c:pt>
                <c:pt idx="1682">
                  <c:v>1.5259321203268629E-2</c:v>
                </c:pt>
                <c:pt idx="1683">
                  <c:v>1.5273380432534974E-2</c:v>
                </c:pt>
                <c:pt idx="1684">
                  <c:v>1.5278060638367284E-2</c:v>
                </c:pt>
                <c:pt idx="1685">
                  <c:v>1.5282737728859082E-2</c:v>
                </c:pt>
                <c:pt idx="1686">
                  <c:v>1.5287411695983005E-2</c:v>
                </c:pt>
                <c:pt idx="1687">
                  <c:v>1.5292082531711684E-2</c:v>
                </c:pt>
                <c:pt idx="1688">
                  <c:v>1.5306076170252616E-2</c:v>
                </c:pt>
                <c:pt idx="1689">
                  <c:v>1.5310734400126676E-2</c:v>
                </c:pt>
                <c:pt idx="1690">
                  <c:v>1.5315389458468665E-2</c:v>
                </c:pt>
                <c:pt idx="1691">
                  <c:v>1.532004133725122E-2</c:v>
                </c:pt>
                <c:pt idx="1692">
                  <c:v>1.5324690028446978E-2</c:v>
                </c:pt>
                <c:pt idx="1693">
                  <c:v>1.53386168962398E-2</c:v>
                </c:pt>
                <c:pt idx="1694">
                  <c:v>1.5343252756814705E-2</c:v>
                </c:pt>
                <c:pt idx="1695">
                  <c:v>1.5347885389665989E-2</c:v>
                </c:pt>
                <c:pt idx="1696">
                  <c:v>1.535251478676628E-2</c:v>
                </c:pt>
                <c:pt idx="1697">
                  <c:v>1.5357140940088216E-2</c:v>
                </c:pt>
                <c:pt idx="1698">
                  <c:v>1.5370999857110232E-2</c:v>
                </c:pt>
                <c:pt idx="1699">
                  <c:v>1.537561295504509E-2</c:v>
                </c:pt>
                <c:pt idx="1700">
                  <c:v>1.5380222769064767E-2</c:v>
                </c:pt>
                <c:pt idx="1701">
                  <c:v>1.5384829291141896E-2</c:v>
                </c:pt>
                <c:pt idx="1702">
                  <c:v>1.538943251324911E-2</c:v>
                </c:pt>
                <c:pt idx="1703">
                  <c:v>1.5403222299477624E-2</c:v>
                </c:pt>
                <c:pt idx="1704">
                  <c:v>1.5407812241431531E-2</c:v>
                </c:pt>
                <c:pt idx="1705">
                  <c:v>1.5421561994543365E-2</c:v>
                </c:pt>
                <c:pt idx="1706">
                  <c:v>1.5435281469955681E-2</c:v>
                </c:pt>
                <c:pt idx="1707">
                  <c:v>1.5439847862587747E-2</c:v>
                </c:pt>
                <c:pt idx="1708">
                  <c:v>1.5448995425602607E-2</c:v>
                </c:pt>
                <c:pt idx="1709">
                  <c:v>1.5453564064475765E-2</c:v>
                </c:pt>
                <c:pt idx="1710">
                  <c:v>1.546724931343583E-2</c:v>
                </c:pt>
                <c:pt idx="1711">
                  <c:v>1.5471804146890972E-2</c:v>
                </c:pt>
                <c:pt idx="1712">
                  <c:v>1.5476355508757795E-2</c:v>
                </c:pt>
                <c:pt idx="1713">
                  <c:v>1.5480903390942784E-2</c:v>
                </c:pt>
                <c:pt idx="1714">
                  <c:v>1.5485447785352408E-2</c:v>
                </c:pt>
                <c:pt idx="1715">
                  <c:v>1.5499059960993844E-2</c:v>
                </c:pt>
                <c:pt idx="1716">
                  <c:v>1.5503590323366763E-2</c:v>
                </c:pt>
                <c:pt idx="1717">
                  <c:v>1.55081171574967E-2</c:v>
                </c:pt>
                <c:pt idx="1718">
                  <c:v>1.5512640455290123E-2</c:v>
                </c:pt>
                <c:pt idx="1719">
                  <c:v>1.551716020865351E-2</c:v>
                </c:pt>
                <c:pt idx="1720">
                  <c:v>1.5530698121228212E-2</c:v>
                </c:pt>
                <c:pt idx="1721">
                  <c:v>1.5535203615936211E-2</c:v>
                </c:pt>
                <c:pt idx="1722">
                  <c:v>1.553970552574655E-2</c:v>
                </c:pt>
                <c:pt idx="1723">
                  <c:v>1.5544203842565704E-2</c:v>
                </c:pt>
                <c:pt idx="1724">
                  <c:v>1.5548698558300154E-2</c:v>
                </c:pt>
                <c:pt idx="1725">
                  <c:v>1.556216101806001E-2</c:v>
                </c:pt>
                <c:pt idx="1726">
                  <c:v>1.5566641248520382E-2</c:v>
                </c:pt>
                <c:pt idx="1727">
                  <c:v>1.5571117837428426E-2</c:v>
                </c:pt>
                <c:pt idx="1728">
                  <c:v>1.557559077669061E-2</c:v>
                </c:pt>
                <c:pt idx="1729">
                  <c:v>1.5580060058213416E-2</c:v>
                </c:pt>
                <c:pt idx="1730">
                  <c:v>1.5593445875410316E-2</c:v>
                </c:pt>
                <c:pt idx="1731">
                  <c:v>1.5597900445040358E-2</c:v>
                </c:pt>
                <c:pt idx="1732">
                  <c:v>1.5602351316463401E-2</c:v>
                </c:pt>
                <c:pt idx="1733">
                  <c:v>1.5606798481585913E-2</c:v>
                </c:pt>
                <c:pt idx="1734">
                  <c:v>1.5611241932314376E-2</c:v>
                </c:pt>
                <c:pt idx="1735">
                  <c:v>1.5624549917200211E-2</c:v>
                </c:pt>
                <c:pt idx="1736">
                  <c:v>1.5628978429417219E-2</c:v>
                </c:pt>
                <c:pt idx="1737">
                  <c:v>1.563340318677256E-2</c:v>
                </c:pt>
                <c:pt idx="1738">
                  <c:v>1.5637824181172696E-2</c:v>
                </c:pt>
                <c:pt idx="1739">
                  <c:v>1.564224140452411E-2</c:v>
                </c:pt>
                <c:pt idx="1740">
                  <c:v>1.5655470367350769E-2</c:v>
                </c:pt>
                <c:pt idx="1741">
                  <c:v>1.5659872425572048E-2</c:v>
                </c:pt>
                <c:pt idx="1742">
                  <c:v>1.5664270672276975E-2</c:v>
                </c:pt>
                <c:pt idx="1743">
                  <c:v>1.5668665099372033E-2</c:v>
                </c:pt>
                <c:pt idx="1744">
                  <c:v>1.5673055698763698E-2</c:v>
                </c:pt>
                <c:pt idx="1745">
                  <c:v>1.5686204449783074E-2</c:v>
                </c:pt>
                <c:pt idx="1746">
                  <c:v>1.5690579657425912E-2</c:v>
                </c:pt>
                <c:pt idx="1747">
                  <c:v>1.569495099689773E-2</c:v>
                </c:pt>
                <c:pt idx="1748">
                  <c:v>1.5699318460105006E-2</c:v>
                </c:pt>
                <c:pt idx="1749">
                  <c:v>1.5703682038954218E-2</c:v>
                </c:pt>
                <c:pt idx="1750">
                  <c:v>1.5716749388418199E-2</c:v>
                </c:pt>
                <c:pt idx="1751">
                  <c:v>1.5721097348899898E-2</c:v>
                </c:pt>
                <c:pt idx="1752">
                  <c:v>1.5725441384555904E-2</c:v>
                </c:pt>
                <c:pt idx="1753">
                  <c:v>1.5729781487292694E-2</c:v>
                </c:pt>
                <c:pt idx="1754">
                  <c:v>1.5734117649016745E-2</c:v>
                </c:pt>
                <c:pt idx="1755">
                  <c:v>1.5747102407177221E-2</c:v>
                </c:pt>
                <c:pt idx="1756">
                  <c:v>1.5751422723915075E-2</c:v>
                </c:pt>
                <c:pt idx="1757">
                  <c:v>1.5755739059172564E-2</c:v>
                </c:pt>
                <c:pt idx="1758">
                  <c:v>1.576005140485617E-2</c:v>
                </c:pt>
                <c:pt idx="1759">
                  <c:v>1.5764359752872364E-2</c:v>
                </c:pt>
                <c:pt idx="1760">
                  <c:v>1.577726072998123E-2</c:v>
                </c:pt>
                <c:pt idx="1761">
                  <c:v>1.5781553006392536E-2</c:v>
                </c:pt>
                <c:pt idx="1762">
                  <c:v>1.5785841244668804E-2</c:v>
                </c:pt>
                <c:pt idx="1763">
                  <c:v>1.5790125436716516E-2</c:v>
                </c:pt>
                <c:pt idx="1764">
                  <c:v>1.5794405574442144E-2</c:v>
                </c:pt>
                <c:pt idx="1765">
                  <c:v>1.5807221580751291E-2</c:v>
                </c:pt>
                <c:pt idx="1766">
                  <c:v>1.5811485420253343E-2</c:v>
                </c:pt>
                <c:pt idx="1767">
                  <c:v>1.5815745164965693E-2</c:v>
                </c:pt>
                <c:pt idx="1768">
                  <c:v>1.5820000806794809E-2</c:v>
                </c:pt>
                <c:pt idx="1769">
                  <c:v>1.5824252337647175E-2</c:v>
                </c:pt>
                <c:pt idx="1770">
                  <c:v>1.5836982183408493E-2</c:v>
                </c:pt>
                <c:pt idx="1771">
                  <c:v>1.5841217189418586E-2</c:v>
                </c:pt>
                <c:pt idx="1772">
                  <c:v>1.5845448043984314E-2</c:v>
                </c:pt>
                <c:pt idx="1773">
                  <c:v>1.584967473901213E-2</c:v>
                </c:pt>
                <c:pt idx="1774">
                  <c:v>1.5853897266408526E-2</c:v>
                </c:pt>
                <c:pt idx="1775">
                  <c:v>1.58665397618739E-2</c:v>
                </c:pt>
                <c:pt idx="1776">
                  <c:v>1.5870745537809341E-2</c:v>
                </c:pt>
                <c:pt idx="1777">
                  <c:v>1.5874947105645736E-2</c:v>
                </c:pt>
                <c:pt idx="1778">
                  <c:v>1.5879144457289555E-2</c:v>
                </c:pt>
                <c:pt idx="1779">
                  <c:v>1.5883337584647276E-2</c:v>
                </c:pt>
                <c:pt idx="1780">
                  <c:v>1.5895891540068603E-2</c:v>
                </c:pt>
                <c:pt idx="1781">
                  <c:v>1.5900067689346684E-2</c:v>
                </c:pt>
                <c:pt idx="1782">
                  <c:v>1.5904239573871048E-2</c:v>
                </c:pt>
                <c:pt idx="1783">
                  <c:v>1.5908407185548163E-2</c:v>
                </c:pt>
                <c:pt idx="1784">
                  <c:v>1.5929180867951694E-2</c:v>
                </c:pt>
                <c:pt idx="1785">
                  <c:v>1.5933322672581324E-2</c:v>
                </c:pt>
                <c:pt idx="1786">
                  <c:v>1.5937460147709033E-2</c:v>
                </c:pt>
                <c:pt idx="1787">
                  <c:v>1.59415932852413E-2</c:v>
                </c:pt>
                <c:pt idx="1788">
                  <c:v>1.59539665913302E-2</c:v>
                </c:pt>
                <c:pt idx="1789">
                  <c:v>1.5958082297545452E-2</c:v>
                </c:pt>
                <c:pt idx="1790">
                  <c:v>1.5962193625697639E-2</c:v>
                </c:pt>
                <c:pt idx="1791">
                  <c:v>1.5970403115438726E-2</c:v>
                </c:pt>
                <c:pt idx="1792">
                  <c:v>1.5982684312239249E-2</c:v>
                </c:pt>
                <c:pt idx="1793">
                  <c:v>1.5986769202049032E-2</c:v>
                </c:pt>
                <c:pt idx="1794">
                  <c:v>1.5990849657141079E-2</c:v>
                </c:pt>
                <c:pt idx="1795">
                  <c:v>1.5994925669421865E-2</c:v>
                </c:pt>
                <c:pt idx="1796">
                  <c:v>1.5998997235399021E-2</c:v>
                </c:pt>
                <c:pt idx="1797">
                  <c:v>1.6011185423035673E-2</c:v>
                </c:pt>
                <c:pt idx="1798">
                  <c:v>1.6015239380527596E-2</c:v>
                </c:pt>
                <c:pt idx="1799">
                  <c:v>1.6019288984681686E-2</c:v>
                </c:pt>
                <c:pt idx="1800">
                  <c:v>1.6023334255011342E-2</c:v>
                </c:pt>
                <c:pt idx="1801">
                  <c:v>1.602737521102995E-2</c:v>
                </c:pt>
                <c:pt idx="1802">
                  <c:v>1.6039472388353404E-2</c:v>
                </c:pt>
                <c:pt idx="1803">
                  <c:v>1.6043496282261743E-2</c:v>
                </c:pt>
                <c:pt idx="1804">
                  <c:v>1.6047515959425981E-2</c:v>
                </c:pt>
                <c:pt idx="1805">
                  <c:v>1.6051531439359529E-2</c:v>
                </c:pt>
                <c:pt idx="1806">
                  <c:v>1.6055542741575762E-2</c:v>
                </c:pt>
                <c:pt idx="1807">
                  <c:v>1.6067551777054538E-2</c:v>
                </c:pt>
                <c:pt idx="1808">
                  <c:v>1.6071546563535453E-2</c:v>
                </c:pt>
                <c:pt idx="1809">
                  <c:v>1.6075537269866023E-2</c:v>
                </c:pt>
                <c:pt idx="1810">
                  <c:v>1.6079523915559626E-2</c:v>
                </c:pt>
                <c:pt idx="1811">
                  <c:v>1.6083506520129669E-2</c:v>
                </c:pt>
                <c:pt idx="1812">
                  <c:v>1.6095430282232287E-2</c:v>
                </c:pt>
                <c:pt idx="1813">
                  <c:v>1.6099396917441961E-2</c:v>
                </c:pt>
                <c:pt idx="1814">
                  <c:v>1.6103359609095026E-2</c:v>
                </c:pt>
                <c:pt idx="1815">
                  <c:v>1.6107318376704864E-2</c:v>
                </c:pt>
                <c:pt idx="1816">
                  <c:v>1.6111273239784882E-2</c:v>
                </c:pt>
                <c:pt idx="1817">
                  <c:v>1.6123114596979855E-2</c:v>
                </c:pt>
                <c:pt idx="1818">
                  <c:v>1.612705403707446E-2</c:v>
                </c:pt>
                <c:pt idx="1819">
                  <c:v>1.6130989670206194E-2</c:v>
                </c:pt>
                <c:pt idx="1820">
                  <c:v>1.6134921515888443E-2</c:v>
                </c:pt>
                <c:pt idx="1821">
                  <c:v>1.6138849593634607E-2</c:v>
                </c:pt>
                <c:pt idx="1822">
                  <c:v>1.6150611414390458E-2</c:v>
                </c:pt>
                <c:pt idx="1823">
                  <c:v>1.6154524615526165E-2</c:v>
                </c:pt>
                <c:pt idx="1824">
                  <c:v>1.6158434146292745E-2</c:v>
                </c:pt>
                <c:pt idx="1825">
                  <c:v>1.6162340026203578E-2</c:v>
                </c:pt>
                <c:pt idx="1826">
                  <c:v>1.616624227477206E-2</c:v>
                </c:pt>
                <c:pt idx="1827">
                  <c:v>1.6177927427557307E-2</c:v>
                </c:pt>
                <c:pt idx="1828">
                  <c:v>1.6181815345890294E-2</c:v>
                </c:pt>
                <c:pt idx="1829">
                  <c:v>1.6185699730447891E-2</c:v>
                </c:pt>
                <c:pt idx="1830">
                  <c:v>1.6189580600743478E-2</c:v>
                </c:pt>
                <c:pt idx="1831">
                  <c:v>1.6193457976290453E-2</c:v>
                </c:pt>
                <c:pt idx="1832">
                  <c:v>1.6205069329573614E-2</c:v>
                </c:pt>
                <c:pt idx="1833">
                  <c:v>1.6208932921260057E-2</c:v>
                </c:pt>
                <c:pt idx="1834">
                  <c:v>1.6212793115764835E-2</c:v>
                </c:pt>
                <c:pt idx="1835">
                  <c:v>1.6216649932601353E-2</c:v>
                </c:pt>
                <c:pt idx="1836">
                  <c:v>1.6220503391283E-2</c:v>
                </c:pt>
                <c:pt idx="1837">
                  <c:v>1.6232043813532597E-2</c:v>
                </c:pt>
                <c:pt idx="1838">
                  <c:v>1.623588403472866E-2</c:v>
                </c:pt>
                <c:pt idx="1839">
                  <c:v>1.6239720995336802E-2</c:v>
                </c:pt>
                <c:pt idx="1840">
                  <c:v>1.6243554714870424E-2</c:v>
                </c:pt>
                <c:pt idx="1841">
                  <c:v>1.6247385212842903E-2</c:v>
                </c:pt>
                <c:pt idx="1842">
                  <c:v>1.6258857572527458E-2</c:v>
                </c:pt>
                <c:pt idx="1843">
                  <c:v>1.6262675379389319E-2</c:v>
                </c:pt>
                <c:pt idx="1844">
                  <c:v>1.6266490062257E-2</c:v>
                </c:pt>
                <c:pt idx="1845">
                  <c:v>1.6270301640643893E-2</c:v>
                </c:pt>
                <c:pt idx="1846">
                  <c:v>1.6274110134063387E-2</c:v>
                </c:pt>
                <c:pt idx="1847">
                  <c:v>1.6285517299651418E-2</c:v>
                </c:pt>
                <c:pt idx="1848">
                  <c:v>1.6289313648335243E-2</c:v>
                </c:pt>
                <c:pt idx="1849">
                  <c:v>1.6293107009618633E-2</c:v>
                </c:pt>
                <c:pt idx="1850">
                  <c:v>1.6296897403014973E-2</c:v>
                </c:pt>
                <c:pt idx="1851">
                  <c:v>1.6300684848037653E-2</c:v>
                </c:pt>
                <c:pt idx="1852">
                  <c:v>1.6312029687997678E-2</c:v>
                </c:pt>
                <c:pt idx="1853">
                  <c:v>1.6315805534659649E-2</c:v>
                </c:pt>
                <c:pt idx="1854">
                  <c:v>1.6319578530514918E-2</c:v>
                </c:pt>
                <c:pt idx="1855">
                  <c:v>1.6323348695076879E-2</c:v>
                </c:pt>
                <c:pt idx="1856">
                  <c:v>1.6327116047858924E-2</c:v>
                </c:pt>
                <c:pt idx="1857">
                  <c:v>1.6338401430659455E-2</c:v>
                </c:pt>
                <c:pt idx="1858">
                  <c:v>1.6342157731455743E-2</c:v>
                </c:pt>
                <c:pt idx="1859">
                  <c:v>1.6345911318039068E-2</c:v>
                </c:pt>
                <c:pt idx="1860">
                  <c:v>1.634966220992282E-2</c:v>
                </c:pt>
                <c:pt idx="1861">
                  <c:v>1.6353410426620398E-2</c:v>
                </c:pt>
                <c:pt idx="1862">
                  <c:v>1.6364639220729962E-2</c:v>
                </c:pt>
                <c:pt idx="1863">
                  <c:v>1.6368376931816742E-2</c:v>
                </c:pt>
                <c:pt idx="1864">
                  <c:v>1.6372112065284293E-2</c:v>
                </c:pt>
                <c:pt idx="1865">
                  <c:v>1.6375844640646012E-2</c:v>
                </c:pt>
                <c:pt idx="1866">
                  <c:v>1.6379574677415295E-2</c:v>
                </c:pt>
                <c:pt idx="1867">
                  <c:v>1.6390749751302416E-2</c:v>
                </c:pt>
                <c:pt idx="1868">
                  <c:v>1.6394469828835849E-2</c:v>
                </c:pt>
                <c:pt idx="1869">
                  <c:v>1.6398187465343803E-2</c:v>
                </c:pt>
                <c:pt idx="1870">
                  <c:v>1.6401902680339666E-2</c:v>
                </c:pt>
                <c:pt idx="1871">
                  <c:v>1.6405615493336828E-2</c:v>
                </c:pt>
                <c:pt idx="1872">
                  <c:v>1.6416739715470016E-2</c:v>
                </c:pt>
                <c:pt idx="1873">
                  <c:v>1.6420443115606288E-2</c:v>
                </c:pt>
                <c:pt idx="1874">
                  <c:v>1.6424144211310814E-2</c:v>
                </c:pt>
                <c:pt idx="1875">
                  <c:v>1.6427843022096992E-2</c:v>
                </c:pt>
                <c:pt idx="1876">
                  <c:v>1.6431539567478202E-2</c:v>
                </c:pt>
                <c:pt idx="1877">
                  <c:v>1.6442615806325982E-2</c:v>
                </c:pt>
                <c:pt idx="1878">
                  <c:v>1.6446303485221265E-2</c:v>
                </c:pt>
                <c:pt idx="1879">
                  <c:v>1.6449988996278534E-2</c:v>
                </c:pt>
                <c:pt idx="1880">
                  <c:v>1.6453672359011198E-2</c:v>
                </c:pt>
                <c:pt idx="1881">
                  <c:v>1.6457353592932631E-2</c:v>
                </c:pt>
                <c:pt idx="1882">
                  <c:v>1.6468384716963522E-2</c:v>
                </c:pt>
                <c:pt idx="1883">
                  <c:v>1.6472057630773983E-2</c:v>
                </c:pt>
                <c:pt idx="1884">
                  <c:v>1.6475728513340178E-2</c:v>
                </c:pt>
                <c:pt idx="1885">
                  <c:v>1.6479397384175497E-2</c:v>
                </c:pt>
                <c:pt idx="1886">
                  <c:v>1.6483064262793331E-2</c:v>
                </c:pt>
                <c:pt idx="1887">
                  <c:v>1.6494053140475851E-2</c:v>
                </c:pt>
                <c:pt idx="1888">
                  <c:v>1.6497712245357666E-2</c:v>
                </c:pt>
                <c:pt idx="1889">
                  <c:v>1.6501369455588957E-2</c:v>
                </c:pt>
                <c:pt idx="1890">
                  <c:v>1.6505024790683106E-2</c:v>
                </c:pt>
                <c:pt idx="1891">
                  <c:v>1.650867827015351E-2</c:v>
                </c:pt>
                <c:pt idx="1892">
                  <c:v>1.6519627769956181E-2</c:v>
                </c:pt>
                <c:pt idx="1893">
                  <c:v>1.6523274022065527E-2</c:v>
                </c:pt>
                <c:pt idx="1894">
                  <c:v>1.6526918516118077E-2</c:v>
                </c:pt>
                <c:pt idx="1895">
                  <c:v>1.6530561271627237E-2</c:v>
                </c:pt>
                <c:pt idx="1896">
                  <c:v>1.6534202308106385E-2</c:v>
                </c:pt>
                <c:pt idx="1897">
                  <c:v>1.6545115298497722E-2</c:v>
                </c:pt>
                <c:pt idx="1898">
                  <c:v>1.6548749653990766E-2</c:v>
                </c:pt>
                <c:pt idx="1899">
                  <c:v>1.6552382388020755E-2</c:v>
                </c:pt>
                <c:pt idx="1900">
                  <c:v>1.6556013520101092E-2</c:v>
                </c:pt>
                <c:pt idx="1901">
                  <c:v>1.655964306974516E-2</c:v>
                </c:pt>
                <c:pt idx="1902">
                  <c:v>1.6570522419193684E-2</c:v>
                </c:pt>
                <c:pt idx="1903">
                  <c:v>1.6574145834226599E-2</c:v>
                </c:pt>
                <c:pt idx="1904">
                  <c:v>1.6577767764390208E-2</c:v>
                </c:pt>
                <c:pt idx="1905">
                  <c:v>1.6581388229197892E-2</c:v>
                </c:pt>
                <c:pt idx="1906">
                  <c:v>1.6585007248163055E-2</c:v>
                </c:pt>
                <c:pt idx="1907">
                  <c:v>1.6595855825137281E-2</c:v>
                </c:pt>
                <c:pt idx="1908">
                  <c:v>1.6599469255866244E-2</c:v>
                </c:pt>
                <c:pt idx="1909">
                  <c:v>1.6603081338319635E-2</c:v>
                </c:pt>
                <c:pt idx="1910">
                  <c:v>1.660669209201085E-2</c:v>
                </c:pt>
                <c:pt idx="1911">
                  <c:v>1.6610301536453272E-2</c:v>
                </c:pt>
                <c:pt idx="1912">
                  <c:v>1.6621122209421725E-2</c:v>
                </c:pt>
                <c:pt idx="1913">
                  <c:v>1.6624726612002906E-2</c:v>
                </c:pt>
                <c:pt idx="1914">
                  <c:v>1.6628329802902256E-2</c:v>
                </c:pt>
                <c:pt idx="1915">
                  <c:v>1.6631931801633169E-2</c:v>
                </c:pt>
                <c:pt idx="1916">
                  <c:v>1.6635532627709029E-2</c:v>
                </c:pt>
                <c:pt idx="1917">
                  <c:v>1.6646328265140228E-2</c:v>
                </c:pt>
                <c:pt idx="1918">
                  <c:v>1.6649924595729799E-2</c:v>
                </c:pt>
                <c:pt idx="1919">
                  <c:v>1.6653519851231285E-2</c:v>
                </c:pt>
                <c:pt idx="1920">
                  <c:v>1.6657114051158065E-2</c:v>
                </c:pt>
                <c:pt idx="1921">
                  <c:v>1.6660707215023534E-2</c:v>
                </c:pt>
                <c:pt idx="1922">
                  <c:v>1.6671480685385997E-2</c:v>
                </c:pt>
                <c:pt idx="1923">
                  <c:v>1.6675069900140137E-2</c:v>
                </c:pt>
                <c:pt idx="1924">
                  <c:v>1.6678658176399925E-2</c:v>
                </c:pt>
                <c:pt idx="1925">
                  <c:v>1.6682245533678749E-2</c:v>
                </c:pt>
                <c:pt idx="1926">
                  <c:v>1.6685831991490003E-2</c:v>
                </c:pt>
                <c:pt idx="1927">
                  <c:v>1.6696586163252248E-2</c:v>
                </c:pt>
                <c:pt idx="1928">
                  <c:v>1.6700169214748119E-2</c:v>
                </c:pt>
                <c:pt idx="1929">
                  <c:v>1.6703751442869303E-2</c:v>
                </c:pt>
                <c:pt idx="1930">
                  <c:v>1.6707332845655138E-2</c:v>
                </c:pt>
                <c:pt idx="1931">
                  <c:v>1.6710913421144929E-2</c:v>
                </c:pt>
                <c:pt idx="1932">
                  <c:v>1.6721650164231352E-2</c:v>
                </c:pt>
                <c:pt idx="1933">
                  <c:v>1.6725227410930247E-2</c:v>
                </c:pt>
                <c:pt idx="1934">
                  <c:v>1.6728803820529731E-2</c:v>
                </c:pt>
                <c:pt idx="1935">
                  <c:v>1.6732379391069124E-2</c:v>
                </c:pt>
                <c:pt idx="1936">
                  <c:v>1.6735954120587752E-2</c:v>
                </c:pt>
                <c:pt idx="1937">
                  <c:v>1.674667324341228E-2</c:v>
                </c:pt>
                <c:pt idx="1938">
                  <c:v>1.6750244589241084E-2</c:v>
                </c:pt>
                <c:pt idx="1939">
                  <c:v>1.6753815084245744E-2</c:v>
                </c:pt>
                <c:pt idx="1940">
                  <c:v>1.6757384726465579E-2</c:v>
                </c:pt>
                <c:pt idx="1941">
                  <c:v>1.6760953513939917E-2</c:v>
                </c:pt>
                <c:pt idx="1942">
                  <c:v>1.6771654728283184E-2</c:v>
                </c:pt>
                <c:pt idx="1943">
                  <c:v>1.6775220077168772E-2</c:v>
                </c:pt>
                <c:pt idx="1944">
                  <c:v>1.6778784561505482E-2</c:v>
                </c:pt>
                <c:pt idx="1945">
                  <c:v>1.6782348179332638E-2</c:v>
                </c:pt>
                <c:pt idx="1946">
                  <c:v>1.6785910928689567E-2</c:v>
                </c:pt>
                <c:pt idx="1947">
                  <c:v>1.6796593946332206E-2</c:v>
                </c:pt>
                <c:pt idx="1948">
                  <c:v>1.6800153202201448E-2</c:v>
                </c:pt>
                <c:pt idx="1949">
                  <c:v>1.6803711579797084E-2</c:v>
                </c:pt>
                <c:pt idx="1950">
                  <c:v>1.6807269077158439E-2</c:v>
                </c:pt>
                <c:pt idx="1951">
                  <c:v>1.6810825692324831E-2</c:v>
                </c:pt>
                <c:pt idx="1952">
                  <c:v>1.6821490225047472E-2</c:v>
                </c:pt>
                <c:pt idx="1953">
                  <c:v>1.6825043291827255E-2</c:v>
                </c:pt>
                <c:pt idx="1954">
                  <c:v>1.6828595466608698E-2</c:v>
                </c:pt>
                <c:pt idx="1955">
                  <c:v>1.683214674743112E-2</c:v>
                </c:pt>
                <c:pt idx="1956">
                  <c:v>1.6835697132333852E-2</c:v>
                </c:pt>
                <c:pt idx="1957">
                  <c:v>1.6846342891917131E-2</c:v>
                </c:pt>
                <c:pt idx="1958">
                  <c:v>1.6849889673534329E-2</c:v>
                </c:pt>
                <c:pt idx="1959">
                  <c:v>1.6853435549428454E-2</c:v>
                </c:pt>
                <c:pt idx="1960">
                  <c:v>1.687115127442932E-2</c:v>
                </c:pt>
                <c:pt idx="1961">
                  <c:v>1.6874691674810809E-2</c:v>
                </c:pt>
                <c:pt idx="1962">
                  <c:v>1.6878231155744494E-2</c:v>
                </c:pt>
                <c:pt idx="1963">
                  <c:v>1.6885307351425745E-2</c:v>
                </c:pt>
                <c:pt idx="1964">
                  <c:v>1.6895914700072179E-2</c:v>
                </c:pt>
                <c:pt idx="1965">
                  <c:v>1.6899448623144839E-2</c:v>
                </c:pt>
                <c:pt idx="1966">
                  <c:v>1.6902981613044956E-2</c:v>
                </c:pt>
                <c:pt idx="1967">
                  <c:v>1.6906513667811866E-2</c:v>
                </c:pt>
                <c:pt idx="1968">
                  <c:v>1.6910044785484885E-2</c:v>
                </c:pt>
                <c:pt idx="1969">
                  <c:v>1.692063249633385E-2</c:v>
                </c:pt>
                <c:pt idx="1970">
                  <c:v>1.6924159846024554E-2</c:v>
                </c:pt>
                <c:pt idx="1971">
                  <c:v>1.6927686248817984E-2</c:v>
                </c:pt>
                <c:pt idx="1972">
                  <c:v>1.6931211702753475E-2</c:v>
                </c:pt>
                <c:pt idx="1973">
                  <c:v>1.6934736205870347E-2</c:v>
                </c:pt>
                <c:pt idx="1974">
                  <c:v>1.6945303990702466E-2</c:v>
                </c:pt>
                <c:pt idx="1975">
                  <c:v>1.6948824670938091E-2</c:v>
                </c:pt>
                <c:pt idx="1976">
                  <c:v>1.6952344390551721E-2</c:v>
                </c:pt>
                <c:pt idx="1977">
                  <c:v>1.6955863147582666E-2</c:v>
                </c:pt>
                <c:pt idx="1978">
                  <c:v>1.6959380940070264E-2</c:v>
                </c:pt>
                <c:pt idx="1979">
                  <c:v>1.6969928510666175E-2</c:v>
                </c:pt>
                <c:pt idx="1980">
                  <c:v>1.6973442425373596E-2</c:v>
                </c:pt>
                <c:pt idx="1981">
                  <c:v>1.6976955365734292E-2</c:v>
                </c:pt>
                <c:pt idx="1982">
                  <c:v>1.6980467329787578E-2</c:v>
                </c:pt>
                <c:pt idx="1983">
                  <c:v>1.6983978315572777E-2</c:v>
                </c:pt>
                <c:pt idx="1984">
                  <c:v>1.699450538371311E-2</c:v>
                </c:pt>
                <c:pt idx="1985">
                  <c:v>1.6998012436819213E-2</c:v>
                </c:pt>
                <c:pt idx="1986">
                  <c:v>1.7001518501853847E-2</c:v>
                </c:pt>
                <c:pt idx="1987">
                  <c:v>1.7005023576856345E-2</c:v>
                </c:pt>
                <c:pt idx="1988">
                  <c:v>1.7008527659866029E-2</c:v>
                </c:pt>
                <c:pt idx="1989">
                  <c:v>1.7019033937331413E-2</c:v>
                </c:pt>
                <c:pt idx="1990">
                  <c:v>1.7022534032763069E-2</c:v>
                </c:pt>
                <c:pt idx="1991">
                  <c:v>1.7026033126398527E-2</c:v>
                </c:pt>
                <c:pt idx="1992">
                  <c:v>1.7029531216277118E-2</c:v>
                </c:pt>
                <c:pt idx="1993">
                  <c:v>1.7033028300438156E-2</c:v>
                </c:pt>
                <c:pt idx="1994">
                  <c:v>1.7043513499009223E-2</c:v>
                </c:pt>
                <c:pt idx="1995">
                  <c:v>1.704700654069331E-2</c:v>
                </c:pt>
                <c:pt idx="1996">
                  <c:v>1.7050498566856469E-2</c:v>
                </c:pt>
                <c:pt idx="1997">
                  <c:v>1.7053989575538022E-2</c:v>
                </c:pt>
                <c:pt idx="1998">
                  <c:v>1.7057479564777298E-2</c:v>
                </c:pt>
                <c:pt idx="1999">
                  <c:v>1.7067943396234679E-2</c:v>
                </c:pt>
                <c:pt idx="2000">
                  <c:v>1.7071429288098076E-2</c:v>
                </c:pt>
                <c:pt idx="2001">
                  <c:v>1.7074914150715811E-2</c:v>
                </c:pt>
                <c:pt idx="2002">
                  <c:v>1.7078397982127208E-2</c:v>
                </c:pt>
                <c:pt idx="2003">
                  <c:v>1.7081880780371594E-2</c:v>
                </c:pt>
                <c:pt idx="2004">
                  <c:v>1.7092322956495924E-2</c:v>
                </c:pt>
                <c:pt idx="2005">
                  <c:v>1.7095801602465505E-2</c:v>
                </c:pt>
                <c:pt idx="2006">
                  <c:v>1.7099279205464692E-2</c:v>
                </c:pt>
                <c:pt idx="2007">
                  <c:v>1.7102755763532811E-2</c:v>
                </c:pt>
                <c:pt idx="2008">
                  <c:v>1.7106231274709189E-2</c:v>
                </c:pt>
                <c:pt idx="2009">
                  <c:v>1.7116651507281099E-2</c:v>
                </c:pt>
                <c:pt idx="2010">
                  <c:v>1.7120122811283736E-2</c:v>
                </c:pt>
                <c:pt idx="2011">
                  <c:v>1.7123593058591253E-2</c:v>
                </c:pt>
                <c:pt idx="2012">
                  <c:v>1.7127062247242975E-2</c:v>
                </c:pt>
                <c:pt idx="2013">
                  <c:v>1.7130530375278216E-2</c:v>
                </c:pt>
                <c:pt idx="2014">
                  <c:v>1.7140928376078331E-2</c:v>
                </c:pt>
                <c:pt idx="2015">
                  <c:v>1.7144392242040913E-2</c:v>
                </c:pt>
                <c:pt idx="2016">
                  <c:v>1.7147855037583638E-2</c:v>
                </c:pt>
                <c:pt idx="2017">
                  <c:v>1.7151316760745831E-2</c:v>
                </c:pt>
                <c:pt idx="2018">
                  <c:v>1.7154777409566821E-2</c:v>
                </c:pt>
                <c:pt idx="2019">
                  <c:v>1.7165152890375773E-2</c:v>
                </c:pt>
                <c:pt idx="2020">
                  <c:v>1.716860922222517E-2</c:v>
                </c:pt>
                <c:pt idx="2021">
                  <c:v>1.7172064469929981E-2</c:v>
                </c:pt>
                <c:pt idx="2022">
                  <c:v>1.7175518631529527E-2</c:v>
                </c:pt>
                <c:pt idx="2023">
                  <c:v>1.7178971705063134E-2</c:v>
                </c:pt>
                <c:pt idx="2024">
                  <c:v>1.7189324377661557E-2</c:v>
                </c:pt>
                <c:pt idx="2025">
                  <c:v>1.7192773079324649E-2</c:v>
                </c:pt>
                <c:pt idx="2026">
                  <c:v>1.7196220683118421E-2</c:v>
                </c:pt>
                <c:pt idx="2027">
                  <c:v>1.7199667187082199E-2</c:v>
                </c:pt>
                <c:pt idx="2028">
                  <c:v>1.7216883140827494E-2</c:v>
                </c:pt>
                <c:pt idx="2029">
                  <c:v>1.7220323004637099E-2</c:v>
                </c:pt>
                <c:pt idx="2030">
                  <c:v>1.7223761754891983E-2</c:v>
                </c:pt>
                <c:pt idx="2031">
                  <c:v>1.7227199389631465E-2</c:v>
                </c:pt>
                <c:pt idx="2032">
                  <c:v>1.7237505581150725E-2</c:v>
                </c:pt>
                <c:pt idx="2033">
                  <c:v>1.724093873422183E-2</c:v>
                </c:pt>
                <c:pt idx="2034">
                  <c:v>1.7244370761974159E-2</c:v>
                </c:pt>
                <c:pt idx="2035">
                  <c:v>1.7247801662447024E-2</c:v>
                </c:pt>
                <c:pt idx="2036">
                  <c:v>1.7251231433679758E-2</c:v>
                </c:pt>
                <c:pt idx="2037">
                  <c:v>1.7261513952330384E-2</c:v>
                </c:pt>
                <c:pt idx="2038">
                  <c:v>1.7264939186995815E-2</c:v>
                </c:pt>
                <c:pt idx="2039">
                  <c:v>1.7268363282617737E-2</c:v>
                </c:pt>
                <c:pt idx="2040">
                  <c:v>1.7271786237235461E-2</c:v>
                </c:pt>
                <c:pt idx="2041">
                  <c:v>1.7275208048888321E-2</c:v>
                </c:pt>
                <c:pt idx="2042">
                  <c:v>1.7285466606450944E-2</c:v>
                </c:pt>
                <c:pt idx="2043">
                  <c:v>1.7288883826637576E-2</c:v>
                </c:pt>
                <c:pt idx="2044">
                  <c:v>1.7292299894055965E-2</c:v>
                </c:pt>
                <c:pt idx="2045">
                  <c:v>1.7295714806745431E-2</c:v>
                </c:pt>
                <c:pt idx="2046">
                  <c:v>1.7309362871000548E-2</c:v>
                </c:pt>
                <c:pt idx="2047">
                  <c:v>1.7312771980635258E-2</c:v>
                </c:pt>
                <c:pt idx="2048">
                  <c:v>1.7316179923776997E-2</c:v>
                </c:pt>
                <c:pt idx="2049">
                  <c:v>1.7319586698465072E-2</c:v>
                </c:pt>
                <c:pt idx="2050">
                  <c:v>1.7322992302738826E-2</c:v>
                </c:pt>
                <c:pt idx="2051">
                  <c:v>1.7333202151181483E-2</c:v>
                </c:pt>
                <c:pt idx="2052">
                  <c:v>1.7336603160688323E-2</c:v>
                </c:pt>
                <c:pt idx="2053">
                  <c:v>1.734000305905669E-2</c:v>
                </c:pt>
                <c:pt idx="2054">
                  <c:v>1.734340186159573E-2</c:v>
                </c:pt>
                <c:pt idx="2055">
                  <c:v>1.734679958361458E-2</c:v>
                </c:pt>
                <c:pt idx="2056">
                  <c:v>1.7356986419641295E-2</c:v>
                </c:pt>
                <c:pt idx="2057">
                  <c:v>1.7360379972670714E-2</c:v>
                </c:pt>
                <c:pt idx="2058">
                  <c:v>1.7363772521725607E-2</c:v>
                </c:pt>
                <c:pt idx="2059">
                  <c:v>1.7367164082115121E-2</c:v>
                </c:pt>
                <c:pt idx="2060">
                  <c:v>1.7370554669148386E-2</c:v>
                </c:pt>
                <c:pt idx="2061">
                  <c:v>1.7380720743202027E-2</c:v>
                </c:pt>
                <c:pt idx="2062">
                  <c:v>1.7384107589901648E-2</c:v>
                </c:pt>
                <c:pt idx="2063">
                  <c:v>1.7387493539790692E-2</c:v>
                </c:pt>
                <c:pt idx="2064">
                  <c:v>1.7390878608178298E-2</c:v>
                </c:pt>
                <c:pt idx="2065">
                  <c:v>1.7394262810373595E-2</c:v>
                </c:pt>
                <c:pt idx="2066">
                  <c:v>1.7404410372897035E-2</c:v>
                </c:pt>
                <c:pt idx="2067">
                  <c:v>1.7407791263414477E-2</c:v>
                </c:pt>
                <c:pt idx="2068">
                  <c:v>1.7411171364285292E-2</c:v>
                </c:pt>
                <c:pt idx="2069">
                  <c:v>1.7414550690818612E-2</c:v>
                </c:pt>
                <c:pt idx="2070">
                  <c:v>1.7417929258323576E-2</c:v>
                </c:pt>
                <c:pt idx="2071">
                  <c:v>1.7428060559759678E-2</c:v>
                </c:pt>
                <c:pt idx="2072">
                  <c:v>1.7431436244242569E-2</c:v>
                </c:pt>
                <c:pt idx="2073">
                  <c:v>1.7434811246242774E-2</c:v>
                </c:pt>
                <c:pt idx="2074">
                  <c:v>1.7438185581069434E-2</c:v>
                </c:pt>
                <c:pt idx="2075">
                  <c:v>1.7441559264031684E-2</c:v>
                </c:pt>
                <c:pt idx="2076">
                  <c:v>1.7451676554823319E-2</c:v>
                </c:pt>
                <c:pt idx="2077">
                  <c:v>1.7455047783419275E-2</c:v>
                </c:pt>
                <c:pt idx="2078">
                  <c:v>1.7458418436696502E-2</c:v>
                </c:pt>
                <c:pt idx="2079">
                  <c:v>1.746178852996412E-2</c:v>
                </c:pt>
                <c:pt idx="2080">
                  <c:v>1.7465158078531277E-2</c:v>
                </c:pt>
                <c:pt idx="2081">
                  <c:v>1.747526360912131E-2</c:v>
                </c:pt>
                <c:pt idx="2082">
                  <c:v>1.7478631131977961E-2</c:v>
                </c:pt>
                <c:pt idx="2083">
                  <c:v>1.7481998186679823E-2</c:v>
                </c:pt>
                <c:pt idx="2084">
                  <c:v>1.7485364788536028E-2</c:v>
                </c:pt>
                <c:pt idx="2085">
                  <c:v>1.7488730952855715E-2</c:v>
                </c:pt>
                <c:pt idx="2086">
                  <c:v>1.7498826973687018E-2</c:v>
                </c:pt>
                <c:pt idx="2087">
                  <c:v>1.7502191540951981E-2</c:v>
                </c:pt>
                <c:pt idx="2088">
                  <c:v>1.7505555747226103E-2</c:v>
                </c:pt>
                <c:pt idx="2089">
                  <c:v>1.7508919607818516E-2</c:v>
                </c:pt>
                <c:pt idx="2090">
                  <c:v>1.7512283138038359E-2</c:v>
                </c:pt>
                <c:pt idx="2091">
                  <c:v>1.7522371899553794E-2</c:v>
                </c:pt>
                <c:pt idx="2092">
                  <c:v>1.7525734261374697E-2</c:v>
                </c:pt>
                <c:pt idx="2093">
                  <c:v>1.7529096369368703E-2</c:v>
                </c:pt>
                <c:pt idx="2094">
                  <c:v>1.7532458238844945E-2</c:v>
                </c:pt>
                <c:pt idx="2095">
                  <c:v>1.7535819885112561E-2</c:v>
                </c:pt>
                <c:pt idx="2096">
                  <c:v>1.7545903637755003E-2</c:v>
                </c:pt>
                <c:pt idx="2097">
                  <c:v>1.7549264544279467E-2</c:v>
                </c:pt>
                <c:pt idx="2098">
                  <c:v>1.7552625304140979E-2</c:v>
                </c:pt>
                <c:pt idx="2099">
                  <c:v>1.7555985932648673E-2</c:v>
                </c:pt>
                <c:pt idx="2100">
                  <c:v>1.7559346445111691E-2</c:v>
                </c:pt>
                <c:pt idx="2101">
                  <c:v>1.7569427439324003E-2</c:v>
                </c:pt>
                <c:pt idx="2102">
                  <c:v>1.7572787640699649E-2</c:v>
                </c:pt>
                <c:pt idx="2103">
                  <c:v>1.7576147802576287E-2</c:v>
                </c:pt>
                <c:pt idx="2104">
                  <c:v>1.7579507940263063E-2</c:v>
                </c:pt>
                <c:pt idx="2105">
                  <c:v>1.7582868069069096E-2</c:v>
                </c:pt>
                <c:pt idx="2106">
                  <c:v>1.7592948555294152E-2</c:v>
                </c:pt>
                <c:pt idx="2107">
                  <c:v>1.7596308801668605E-2</c:v>
                </c:pt>
                <c:pt idx="2108">
                  <c:v>1.7599669115707994E-2</c:v>
                </c:pt>
                <c:pt idx="2109">
                  <c:v>1.7603029512721465E-2</c:v>
                </c:pt>
                <c:pt idx="2110">
                  <c:v>1.7606390008018148E-2</c:v>
                </c:pt>
                <c:pt idx="2111">
                  <c:v>1.7616472236698804E-2</c:v>
                </c:pt>
                <c:pt idx="2112">
                  <c:v>1.7619833278219688E-2</c:v>
                </c:pt>
                <c:pt idx="2113">
                  <c:v>1.7623194494569453E-2</c:v>
                </c:pt>
                <c:pt idx="2114">
                  <c:v>1.7626555901057248E-2</c:v>
                </c:pt>
                <c:pt idx="2115">
                  <c:v>1.7629917512992189E-2</c:v>
                </c:pt>
                <c:pt idx="2116">
                  <c:v>1.7640003734571332E-2</c:v>
                </c:pt>
                <c:pt idx="2117">
                  <c:v>1.7643366321386258E-2</c:v>
                </c:pt>
                <c:pt idx="2118">
                  <c:v>1.7646729190194024E-2</c:v>
                </c:pt>
                <c:pt idx="2119">
                  <c:v>1.7650092356303757E-2</c:v>
                </c:pt>
                <c:pt idx="2120">
                  <c:v>1.7653455835024597E-2</c:v>
                </c:pt>
                <c:pt idx="2121">
                  <c:v>1.7663548299945087E-2</c:v>
                </c:pt>
                <c:pt idx="2122">
                  <c:v>1.7666913182201687E-2</c:v>
                </c:pt>
                <c:pt idx="2123">
                  <c:v>1.7670278453615074E-2</c:v>
                </c:pt>
                <c:pt idx="2124">
                  <c:v>1.7673644129494372E-2</c:v>
                </c:pt>
                <c:pt idx="2125">
                  <c:v>1.7677010225148719E-2</c:v>
                </c:pt>
                <c:pt idx="2126">
                  <c:v>1.7687111183853417E-2</c:v>
                </c:pt>
                <c:pt idx="2127">
                  <c:v>1.7690479111699318E-2</c:v>
                </c:pt>
                <c:pt idx="2128">
                  <c:v>1.7693847535865947E-2</c:v>
                </c:pt>
                <c:pt idx="2129">
                  <c:v>1.7697216471662433E-2</c:v>
                </c:pt>
                <c:pt idx="2130">
                  <c:v>1.7700585934397921E-2</c:v>
                </c:pt>
                <c:pt idx="2131">
                  <c:v>1.7710697637329697E-2</c:v>
                </c:pt>
                <c:pt idx="2132">
                  <c:v>1.7714069360912518E-2</c:v>
                </c:pt>
                <c:pt idx="2133">
                  <c:v>1.7717441687980014E-2</c:v>
                </c:pt>
                <c:pt idx="2134">
                  <c:v>1.7720814633841311E-2</c:v>
                </c:pt>
                <c:pt idx="2135">
                  <c:v>1.7724188213805551E-2</c:v>
                </c:pt>
                <c:pt idx="2136">
                  <c:v>1.7734312911407285E-2</c:v>
                </c:pt>
                <c:pt idx="2137">
                  <c:v>1.7737689180874646E-2</c:v>
                </c:pt>
                <c:pt idx="2138">
                  <c:v>1.7741066160990627E-2</c:v>
                </c:pt>
                <c:pt idx="2139">
                  <c:v>1.774444386706436E-2</c:v>
                </c:pt>
                <c:pt idx="2140">
                  <c:v>1.7747822314404981E-2</c:v>
                </c:pt>
                <c:pt idx="2141">
                  <c:v>1.7757962257119533E-2</c:v>
                </c:pt>
                <c:pt idx="2142">
                  <c:v>1.7761343822619062E-2</c:v>
                </c:pt>
                <c:pt idx="2143">
                  <c:v>1.7764726205931149E-2</c:v>
                </c:pt>
                <c:pt idx="2144">
                  <c:v>1.7768109422364942E-2</c:v>
                </c:pt>
                <c:pt idx="2145">
                  <c:v>1.7771493487229565E-2</c:v>
                </c:pt>
                <c:pt idx="2146">
                  <c:v>1.7781650925499801E-2</c:v>
                </c:pt>
                <c:pt idx="2147">
                  <c:v>1.7785038537179117E-2</c:v>
                </c:pt>
                <c:pt idx="2148">
                  <c:v>1.7788427073834941E-2</c:v>
                </c:pt>
                <c:pt idx="2149">
                  <c:v>1.7791816550776413E-2</c:v>
                </c:pt>
                <c:pt idx="2150">
                  <c:v>1.7795206983312661E-2</c:v>
                </c:pt>
                <c:pt idx="2151">
                  <c:v>1.7805384167581449E-2</c:v>
                </c:pt>
                <c:pt idx="2152">
                  <c:v>1.7808778575588175E-2</c:v>
                </c:pt>
                <c:pt idx="2153">
                  <c:v>1.7812174015735358E-2</c:v>
                </c:pt>
                <c:pt idx="2154">
                  <c:v>1.7815570503332129E-2</c:v>
                </c:pt>
                <c:pt idx="2155">
                  <c:v>1.7818968053687625E-2</c:v>
                </c:pt>
                <c:pt idx="2156">
                  <c:v>1.7829167234397841E-2</c:v>
                </c:pt>
                <c:pt idx="2157">
                  <c:v>1.7832569188879599E-2</c:v>
                </c:pt>
                <c:pt idx="2158">
                  <c:v>1.7835972282665757E-2</c:v>
                </c:pt>
                <c:pt idx="2159">
                  <c:v>1.7839376531065456E-2</c:v>
                </c:pt>
                <c:pt idx="2160">
                  <c:v>1.7842781949387824E-2</c:v>
                </c:pt>
                <c:pt idx="2161">
                  <c:v>1.7853005376982329E-2</c:v>
                </c:pt>
                <c:pt idx="2162">
                  <c:v>1.7856415628086743E-2</c:v>
                </c:pt>
                <c:pt idx="2163">
                  <c:v>1.7859827125659505E-2</c:v>
                </c:pt>
                <c:pt idx="2164">
                  <c:v>1.7863239885009752E-2</c:v>
                </c:pt>
                <c:pt idx="2165">
                  <c:v>1.7866653921446617E-2</c:v>
                </c:pt>
                <c:pt idx="2166">
                  <c:v>1.7876903846368277E-2</c:v>
                </c:pt>
                <c:pt idx="2167">
                  <c:v>1.7880323144242968E-2</c:v>
                </c:pt>
                <c:pt idx="2168">
                  <c:v>1.7883743795749956E-2</c:v>
                </c:pt>
                <c:pt idx="2169">
                  <c:v>1.7887165816198369E-2</c:v>
                </c:pt>
                <c:pt idx="2170">
                  <c:v>1.7890589220897351E-2</c:v>
                </c:pt>
                <c:pt idx="2171">
                  <c:v>1.7900867893589037E-2</c:v>
                </c:pt>
                <c:pt idx="2172">
                  <c:v>1.790429698838163E-2</c:v>
                </c:pt>
                <c:pt idx="2173">
                  <c:v>1.7907727543970464E-2</c:v>
                </c:pt>
                <c:pt idx="2174">
                  <c:v>1.7911159575664679E-2</c:v>
                </c:pt>
                <c:pt idx="2175">
                  <c:v>1.7914593098773399E-2</c:v>
                </c:pt>
                <c:pt idx="2176">
                  <c:v>1.7924902769677977E-2</c:v>
                </c:pt>
                <c:pt idx="2177">
                  <c:v>1.7928342411536093E-2</c:v>
                </c:pt>
                <c:pt idx="2178">
                  <c:v>1.7931783621354398E-2</c:v>
                </c:pt>
                <c:pt idx="2179">
                  <c:v>1.7935226414442024E-2</c:v>
                </c:pt>
                <c:pt idx="2180">
                  <c:v>1.7938670806108104E-2</c:v>
                </c:pt>
                <c:pt idx="2181">
                  <c:v>1.7949013725668452E-2</c:v>
                </c:pt>
                <c:pt idx="2182">
                  <c:v>1.7952464655437601E-2</c:v>
                </c:pt>
                <c:pt idx="2183">
                  <c:v>1.7955917204518196E-2</c:v>
                </c:pt>
                <c:pt idx="2184">
                  <c:v>1.795937133240668E-2</c:v>
                </c:pt>
                <c:pt idx="2185">
                  <c:v>1.7962826998599513E-2</c:v>
                </c:pt>
                <c:pt idx="2186">
                  <c:v>1.7973202821968515E-2</c:v>
                </c:pt>
                <c:pt idx="2187">
                  <c:v>1.7976664236343181E-2</c:v>
                </c:pt>
                <c:pt idx="2188">
                  <c:v>1.7980126986504429E-2</c:v>
                </c:pt>
                <c:pt idx="2189">
                  <c:v>1.7983591031948701E-2</c:v>
                </c:pt>
                <c:pt idx="2190">
                  <c:v>1.7987056332172451E-2</c:v>
                </c:pt>
                <c:pt idx="2191">
                  <c:v>1.7997459356485005E-2</c:v>
                </c:pt>
                <c:pt idx="2192">
                  <c:v>1.8000929270791121E-2</c:v>
                </c:pt>
                <c:pt idx="2193">
                  <c:v>1.8004400237358956E-2</c:v>
                </c:pt>
                <c:pt idx="2194">
                  <c:v>1.8007872215684943E-2</c:v>
                </c:pt>
                <c:pt idx="2195">
                  <c:v>1.8011345165265542E-2</c:v>
                </c:pt>
                <c:pt idx="2196">
                  <c:v>1.8021769436499451E-2</c:v>
                </c:pt>
                <c:pt idx="2197">
                  <c:v>1.8025245866062956E-2</c:v>
                </c:pt>
                <c:pt idx="2198">
                  <c:v>1.8028723064363306E-2</c:v>
                </c:pt>
                <c:pt idx="2199">
                  <c:v>1.8032200990896943E-2</c:v>
                </c:pt>
                <c:pt idx="2200">
                  <c:v>1.8035679605160327E-2</c:v>
                </c:pt>
                <c:pt idx="2201">
                  <c:v>1.8046119169293391E-2</c:v>
                </c:pt>
                <c:pt idx="2202">
                  <c:v>1.8049600129440214E-2</c:v>
                </c:pt>
                <c:pt idx="2203">
                  <c:v>1.8053081574799009E-2</c:v>
                </c:pt>
                <c:pt idx="2204">
                  <c:v>1.8056563464866237E-2</c:v>
                </c:pt>
                <c:pt idx="2205">
                  <c:v>1.8060045759138332E-2</c:v>
                </c:pt>
                <c:pt idx="2206">
                  <c:v>1.8070494662148349E-2</c:v>
                </c:pt>
                <c:pt idx="2207">
                  <c:v>1.807397816820442E-2</c:v>
                </c:pt>
                <c:pt idx="2208">
                  <c:v>1.8077461875947606E-2</c:v>
                </c:pt>
                <c:pt idx="2209">
                  <c:v>1.8080945744874347E-2</c:v>
                </c:pt>
                <c:pt idx="2210">
                  <c:v>1.8084429734481093E-2</c:v>
                </c:pt>
                <c:pt idx="2211">
                  <c:v>1.8094882022345861E-2</c:v>
                </c:pt>
                <c:pt idx="2212">
                  <c:v>1.8098366089637118E-2</c:v>
                </c:pt>
                <c:pt idx="2213">
                  <c:v>1.8101850075090617E-2</c:v>
                </c:pt>
                <c:pt idx="2214">
                  <c:v>1.8105333938202808E-2</c:v>
                </c:pt>
                <c:pt idx="2215">
                  <c:v>1.811926735716746E-2</c:v>
                </c:pt>
                <c:pt idx="2216">
                  <c:v>1.8122750001019827E-2</c:v>
                </c:pt>
                <c:pt idx="2217">
                  <c:v>1.8126232279509578E-2</c:v>
                </c:pt>
                <c:pt idx="2218">
                  <c:v>1.8129714152133155E-2</c:v>
                </c:pt>
                <c:pt idx="2219">
                  <c:v>1.8143636773894675E-2</c:v>
                </c:pt>
                <c:pt idx="2220">
                  <c:v>1.814711600963409E-2</c:v>
                </c:pt>
                <c:pt idx="2221">
                  <c:v>1.8150594596486026E-2</c:v>
                </c:pt>
                <c:pt idx="2222">
                  <c:v>1.8154072493946918E-2</c:v>
                </c:pt>
                <c:pt idx="2223">
                  <c:v>1.8157549661513214E-2</c:v>
                </c:pt>
                <c:pt idx="2224">
                  <c:v>1.816797637980903E-2</c:v>
                </c:pt>
                <c:pt idx="2225">
                  <c:v>1.8171450222761433E-2</c:v>
                </c:pt>
                <c:pt idx="2226">
                  <c:v>1.8174923133301484E-2</c:v>
                </c:pt>
                <c:pt idx="2227">
                  <c:v>1.8178395070925626E-2</c:v>
                </c:pt>
                <c:pt idx="2228">
                  <c:v>1.818186599513031E-2</c:v>
                </c:pt>
                <c:pt idx="2229">
                  <c:v>1.8192272282192074E-2</c:v>
                </c:pt>
                <c:pt idx="2230">
                  <c:v>1.8195738747683394E-2</c:v>
                </c:pt>
                <c:pt idx="2231">
                  <c:v>1.8199203997237491E-2</c:v>
                </c:pt>
                <c:pt idx="2232">
                  <c:v>1.8202667990350817E-2</c:v>
                </c:pt>
                <c:pt idx="2233">
                  <c:v>1.8206130686519814E-2</c:v>
                </c:pt>
                <c:pt idx="2234">
                  <c:v>1.8216510588325328E-2</c:v>
                </c:pt>
                <c:pt idx="2235">
                  <c:v>1.8219967691681493E-2</c:v>
                </c:pt>
                <c:pt idx="2236">
                  <c:v>1.8223423295575577E-2</c:v>
                </c:pt>
                <c:pt idx="2237">
                  <c:v>1.8226877359504012E-2</c:v>
                </c:pt>
                <c:pt idx="2238">
                  <c:v>1.8230329842963262E-2</c:v>
                </c:pt>
                <c:pt idx="2239">
                  <c:v>1.8240677405490322E-2</c:v>
                </c:pt>
                <c:pt idx="2240">
                  <c:v>1.8244123162037277E-2</c:v>
                </c:pt>
                <c:pt idx="2241">
                  <c:v>1.8247567135597272E-2</c:v>
                </c:pt>
                <c:pt idx="2242">
                  <c:v>1.825100928566676E-2</c:v>
                </c:pt>
                <c:pt idx="2243">
                  <c:v>1.8254449571742191E-2</c:v>
                </c:pt>
                <c:pt idx="2244">
                  <c:v>1.8264758840968592E-2</c:v>
                </c:pt>
                <c:pt idx="2245">
                  <c:v>1.8268191266032262E-2</c:v>
                </c:pt>
                <c:pt idx="2246">
                  <c:v>1.8271621624584105E-2</c:v>
                </c:pt>
                <c:pt idx="2247">
                  <c:v>1.8275049876120577E-2</c:v>
                </c:pt>
                <c:pt idx="2248">
                  <c:v>1.8278475980138122E-2</c:v>
                </c:pt>
                <c:pt idx="2249">
                  <c:v>1.828874100204167E-2</c:v>
                </c:pt>
                <c:pt idx="2250">
                  <c:v>1.8292158110947986E-2</c:v>
                </c:pt>
                <c:pt idx="2251">
                  <c:v>1.829557286981761E-2</c:v>
                </c:pt>
                <c:pt idx="2252">
                  <c:v>1.8298985238146999E-2</c:v>
                </c:pt>
                <c:pt idx="2253">
                  <c:v>1.8302395175432595E-2</c:v>
                </c:pt>
                <c:pt idx="2254">
                  <c:v>1.8312609995991089E-2</c:v>
                </c:pt>
                <c:pt idx="2255">
                  <c:v>1.8316009804065985E-2</c:v>
                </c:pt>
                <c:pt idx="2256">
                  <c:v>1.8319406978579325E-2</c:v>
                </c:pt>
                <c:pt idx="2257">
                  <c:v>1.832280147902756E-2</c:v>
                </c:pt>
                <c:pt idx="2258">
                  <c:v>1.8326193264907135E-2</c:v>
                </c:pt>
                <c:pt idx="2259">
                  <c:v>1.8336351930098378E-2</c:v>
                </c:pt>
                <c:pt idx="2260">
                  <c:v>1.833973245266779E-2</c:v>
                </c:pt>
                <c:pt idx="2261">
                  <c:v>1.8343110058150775E-2</c:v>
                </c:pt>
                <c:pt idx="2262">
                  <c:v>1.8346484706043793E-2</c:v>
                </c:pt>
                <c:pt idx="2263">
                  <c:v>1.834985635584328E-2</c:v>
                </c:pt>
                <c:pt idx="2264">
                  <c:v>1.8359952911645064E-2</c:v>
                </c:pt>
                <c:pt idx="2265">
                  <c:v>1.8363312164034924E-2</c:v>
                </c:pt>
                <c:pt idx="2266">
                  <c:v>1.8366668215813495E-2</c:v>
                </c:pt>
                <c:pt idx="2267">
                  <c:v>1.8370021026477223E-2</c:v>
                </c:pt>
                <c:pt idx="2268">
                  <c:v>1.8373370555522562E-2</c:v>
                </c:pt>
                <c:pt idx="2269">
                  <c:v>1.8383399047912689E-2</c:v>
                </c:pt>
                <c:pt idx="2270">
                  <c:v>1.8386735045448927E-2</c:v>
                </c:pt>
                <c:pt idx="2271">
                  <c:v>1.8390067558849015E-2</c:v>
                </c:pt>
                <c:pt idx="2272">
                  <c:v>1.8393396547609388E-2</c:v>
                </c:pt>
                <c:pt idx="2273">
                  <c:v>1.8396721971226507E-2</c:v>
                </c:pt>
                <c:pt idx="2274">
                  <c:v>1.8406676446182779E-2</c:v>
                </c:pt>
                <c:pt idx="2275">
                  <c:v>1.840998720419133E-2</c:v>
                </c:pt>
                <c:pt idx="2276">
                  <c:v>1.8413294194538864E-2</c:v>
                </c:pt>
                <c:pt idx="2277">
                  <c:v>1.841659737672182E-2</c:v>
                </c:pt>
                <c:pt idx="2278">
                  <c:v>1.8433054747543667E-2</c:v>
                </c:pt>
                <c:pt idx="2279">
                  <c:v>1.8436334230164577E-2</c:v>
                </c:pt>
                <c:pt idx="2280">
                  <c:v>1.8439609621096049E-2</c:v>
                </c:pt>
                <c:pt idx="2281">
                  <c:v>1.8442880879834526E-2</c:v>
                </c:pt>
                <c:pt idx="2282">
                  <c:v>1.8452669457856476E-2</c:v>
                </c:pt>
                <c:pt idx="2283">
                  <c:v>1.8455923782787462E-2</c:v>
                </c:pt>
                <c:pt idx="2284">
                  <c:v>1.8459173773007684E-2</c:v>
                </c:pt>
                <c:pt idx="2285">
                  <c:v>1.8462419388013605E-2</c:v>
                </c:pt>
                <c:pt idx="2286">
                  <c:v>1.8465660587301664E-2</c:v>
                </c:pt>
                <c:pt idx="2287">
                  <c:v>1.8475357285823155E-2</c:v>
                </c:pt>
                <c:pt idx="2288">
                  <c:v>1.8478580417204248E-2</c:v>
                </c:pt>
                <c:pt idx="2289">
                  <c:v>1.8481798930349725E-2</c:v>
                </c:pt>
                <c:pt idx="2290">
                  <c:v>1.8485012784756023E-2</c:v>
                </c:pt>
                <c:pt idx="2291">
                  <c:v>1.8488221939919593E-2</c:v>
                </c:pt>
                <c:pt idx="2292">
                  <c:v>1.8497820804918425E-2</c:v>
                </c:pt>
                <c:pt idx="2293">
                  <c:v>1.8501010758075562E-2</c:v>
                </c:pt>
                <c:pt idx="2294">
                  <c:v>1.8504195809472219E-2</c:v>
                </c:pt>
                <c:pt idx="2295">
                  <c:v>1.8507375918604831E-2</c:v>
                </c:pt>
                <c:pt idx="2296">
                  <c:v>1.8510551044969851E-2</c:v>
                </c:pt>
                <c:pt idx="2297">
                  <c:v>1.8520046122423816E-2</c:v>
                </c:pt>
                <c:pt idx="2298">
                  <c:v>1.8523200912682936E-2</c:v>
                </c:pt>
                <c:pt idx="2299">
                  <c:v>1.8526350517656703E-2</c:v>
                </c:pt>
                <c:pt idx="2300">
                  <c:v>1.852949489684156E-2</c:v>
                </c:pt>
                <c:pt idx="2301">
                  <c:v>1.8532634009733959E-2</c:v>
                </c:pt>
                <c:pt idx="2302">
                  <c:v>1.8542019345620869E-2</c:v>
                </c:pt>
                <c:pt idx="2303">
                  <c:v>1.8545136988307898E-2</c:v>
                </c:pt>
                <c:pt idx="2304">
                  <c:v>1.8548249162184709E-2</c:v>
                </c:pt>
                <c:pt idx="2305">
                  <c:v>1.8551355826747745E-2</c:v>
                </c:pt>
                <c:pt idx="2306">
                  <c:v>1.855445694149346E-2</c:v>
                </c:pt>
                <c:pt idx="2307">
                  <c:v>1.8563726581791104E-2</c:v>
                </c:pt>
                <c:pt idx="2308">
                  <c:v>1.8566805102925698E-2</c:v>
                </c:pt>
                <c:pt idx="2309">
                  <c:v>1.8569877935887484E-2</c:v>
                </c:pt>
                <c:pt idx="2310">
                  <c:v>1.8572945104335194E-2</c:v>
                </c:pt>
                <c:pt idx="2311">
                  <c:v>1.8576006631927558E-2</c:v>
                </c:pt>
                <c:pt idx="2312">
                  <c:v>1.8585157606159884E-2</c:v>
                </c:pt>
                <c:pt idx="2313">
                  <c:v>1.8588196806918169E-2</c:v>
                </c:pt>
                <c:pt idx="2314">
                  <c:v>1.8591230485114765E-2</c:v>
                </c:pt>
                <c:pt idx="2315">
                  <c:v>1.8594258664408388E-2</c:v>
                </c:pt>
                <c:pt idx="2316">
                  <c:v>1.8597281368457782E-2</c:v>
                </c:pt>
                <c:pt idx="2317">
                  <c:v>1.8606316865727866E-2</c:v>
                </c:pt>
                <c:pt idx="2318">
                  <c:v>1.8609317905387626E-2</c:v>
                </c:pt>
                <c:pt idx="2319">
                  <c:v>1.8612313588096802E-2</c:v>
                </c:pt>
                <c:pt idx="2320">
                  <c:v>1.8615303937514132E-2</c:v>
                </c:pt>
                <c:pt idx="2321">
                  <c:v>1.8618288977298336E-2</c:v>
                </c:pt>
                <c:pt idx="2322">
                  <c:v>1.8627212475439525E-2</c:v>
                </c:pt>
                <c:pt idx="2323">
                  <c:v>1.8630176513278543E-2</c:v>
                </c:pt>
                <c:pt idx="2324">
                  <c:v>1.8633135359778091E-2</c:v>
                </c:pt>
                <c:pt idx="2325">
                  <c:v>1.8636089038596901E-2</c:v>
                </c:pt>
                <c:pt idx="2326">
                  <c:v>1.8639037573393701E-2</c:v>
                </c:pt>
                <c:pt idx="2327">
                  <c:v>1.8647852550239336E-2</c:v>
                </c:pt>
                <c:pt idx="2328">
                  <c:v>1.86507807455354E-2</c:v>
                </c:pt>
                <c:pt idx="2329">
                  <c:v>1.8653703915103102E-2</c:v>
                </c:pt>
                <c:pt idx="2330">
                  <c:v>1.8656622082601174E-2</c:v>
                </c:pt>
                <c:pt idx="2331">
                  <c:v>1.865953527168835E-2</c:v>
                </c:pt>
                <c:pt idx="2332">
                  <c:v>1.8668245205071789E-2</c:v>
                </c:pt>
                <c:pt idx="2333">
                  <c:v>1.8671138717102673E-2</c:v>
                </c:pt>
                <c:pt idx="2334">
                  <c:v>1.867402736901631E-2</c:v>
                </c:pt>
                <c:pt idx="2335">
                  <c:v>1.8676911184471436E-2</c:v>
                </c:pt>
                <c:pt idx="2336">
                  <c:v>1.8679790187126771E-2</c:v>
                </c:pt>
                <c:pt idx="2337">
                  <c:v>1.8688398554881358E-2</c:v>
                </c:pt>
                <c:pt idx="2338">
                  <c:v>1.8691258542924853E-2</c:v>
                </c:pt>
                <c:pt idx="2339">
                  <c:v>1.8694113836462207E-2</c:v>
                </c:pt>
                <c:pt idx="2340">
                  <c:v>1.8696964459152157E-2</c:v>
                </c:pt>
                <c:pt idx="2341">
                  <c:v>1.8699810434653439E-2</c:v>
                </c:pt>
                <c:pt idx="2342">
                  <c:v>1.8708320714612522E-2</c:v>
                </c:pt>
                <c:pt idx="2343">
                  <c:v>1.8711148337946404E-2</c:v>
                </c:pt>
                <c:pt idx="2344">
                  <c:v>1.8713971432385259E-2</c:v>
                </c:pt>
                <c:pt idx="2345">
                  <c:v>1.8716790021587826E-2</c:v>
                </c:pt>
                <c:pt idx="2346">
                  <c:v>1.8719604129212829E-2</c:v>
                </c:pt>
                <c:pt idx="2347">
                  <c:v>1.8728019799209763E-2</c:v>
                </c:pt>
                <c:pt idx="2348">
                  <c:v>1.8730816217111815E-2</c:v>
                </c:pt>
                <c:pt idx="2349">
                  <c:v>1.8733608271729957E-2</c:v>
                </c:pt>
                <c:pt idx="2350">
                  <c:v>1.8736395986722915E-2</c:v>
                </c:pt>
                <c:pt idx="2351">
                  <c:v>1.8739179385749424E-2</c:v>
                </c:pt>
                <c:pt idx="2352">
                  <c:v>1.8747503923617553E-2</c:v>
                </c:pt>
                <c:pt idx="2353">
                  <c:v>1.8750270295365561E-2</c:v>
                </c:pt>
                <c:pt idx="2354">
                  <c:v>1.8753032469440767E-2</c:v>
                </c:pt>
                <c:pt idx="2355">
                  <c:v>1.8755790469501904E-2</c:v>
                </c:pt>
                <c:pt idx="2356">
                  <c:v>1.8758544319207707E-2</c:v>
                </c:pt>
                <c:pt idx="2357">
                  <c:v>1.8766781202780379E-2</c:v>
                </c:pt>
                <c:pt idx="2358">
                  <c:v>1.8769518687652125E-2</c:v>
                </c:pt>
                <c:pt idx="2359">
                  <c:v>1.8772252140462183E-2</c:v>
                </c:pt>
                <c:pt idx="2360">
                  <c:v>1.8774981584869281E-2</c:v>
                </c:pt>
                <c:pt idx="2361">
                  <c:v>1.8777707044532153E-2</c:v>
                </c:pt>
                <c:pt idx="2362">
                  <c:v>1.8785859751642715E-2</c:v>
                </c:pt>
                <c:pt idx="2363">
                  <c:v>1.878856950891598E-2</c:v>
                </c:pt>
                <c:pt idx="2364">
                  <c:v>1.8791275399738669E-2</c:v>
                </c:pt>
                <c:pt idx="2365">
                  <c:v>1.8793977447769512E-2</c:v>
                </c:pt>
                <c:pt idx="2366">
                  <c:v>1.8796675676667245E-2</c:v>
                </c:pt>
                <c:pt idx="2367">
                  <c:v>1.8804747685149045E-2</c:v>
                </c:pt>
                <c:pt idx="2368">
                  <c:v>1.8807430874101611E-2</c:v>
                </c:pt>
                <c:pt idx="2369">
                  <c:v>1.8810110362214721E-2</c:v>
                </c:pt>
                <c:pt idx="2370">
                  <c:v>1.8812786173147088E-2</c:v>
                </c:pt>
                <c:pt idx="2371">
                  <c:v>1.8815458330557457E-2</c:v>
                </c:pt>
                <c:pt idx="2372">
                  <c:v>1.8823453118243839E-2</c:v>
                </c:pt>
                <c:pt idx="2373">
                  <c:v>1.8826110898153496E-2</c:v>
                </c:pt>
                <c:pt idx="2374">
                  <c:v>1.88287651428348E-2</c:v>
                </c:pt>
                <c:pt idx="2375">
                  <c:v>1.8831415875946479E-2</c:v>
                </c:pt>
                <c:pt idx="2376">
                  <c:v>1.8834063121147274E-2</c:v>
                </c:pt>
                <c:pt idx="2377">
                  <c:v>1.884198416587159E-2</c:v>
                </c:pt>
                <c:pt idx="2378">
                  <c:v>1.8844617696016114E-2</c:v>
                </c:pt>
                <c:pt idx="2379">
                  <c:v>1.8847247856543396E-2</c:v>
                </c:pt>
                <c:pt idx="2380">
                  <c:v>1.8849874671112175E-2</c:v>
                </c:pt>
                <c:pt idx="2381">
                  <c:v>1.8852498163381165E-2</c:v>
                </c:pt>
                <c:pt idx="2382">
                  <c:v>1.8860348942976769E-2</c:v>
                </c:pt>
                <c:pt idx="2383">
                  <c:v>1.8862959382633947E-2</c:v>
                </c:pt>
                <c:pt idx="2384">
                  <c:v>1.8865566618284993E-2</c:v>
                </c:pt>
                <c:pt idx="2385">
                  <c:v>1.886817067358864E-2</c:v>
                </c:pt>
                <c:pt idx="2386">
                  <c:v>1.8870771572203619E-2</c:v>
                </c:pt>
                <c:pt idx="2387">
                  <c:v>1.8878555564503855E-2</c:v>
                </c:pt>
                <c:pt idx="2388">
                  <c:v>1.8881144072951463E-2</c:v>
                </c:pt>
                <c:pt idx="2389">
                  <c:v>1.8883729543004057E-2</c:v>
                </c:pt>
                <c:pt idx="2390">
                  <c:v>1.8886311998320367E-2</c:v>
                </c:pt>
                <c:pt idx="2391">
                  <c:v>1.8888891462559114E-2</c:v>
                </c:pt>
                <c:pt idx="2392">
                  <c:v>1.889661214539733E-2</c:v>
                </c:pt>
                <c:pt idx="2393">
                  <c:v>1.8899179881913159E-2</c:v>
                </c:pt>
                <c:pt idx="2394">
                  <c:v>1.8901744745645082E-2</c:v>
                </c:pt>
                <c:pt idx="2395">
                  <c:v>1.8904306760251826E-2</c:v>
                </c:pt>
                <c:pt idx="2396">
                  <c:v>1.8906865949392129E-2</c:v>
                </c:pt>
                <c:pt idx="2397">
                  <c:v>1.8914526800601673E-2</c:v>
                </c:pt>
                <c:pt idx="2398">
                  <c:v>1.8917074924463498E-2</c:v>
                </c:pt>
                <c:pt idx="2399">
                  <c:v>1.8919620341152535E-2</c:v>
                </c:pt>
                <c:pt idx="2400">
                  <c:v>1.8922163074327501E-2</c:v>
                </c:pt>
                <c:pt idx="2401">
                  <c:v>1.8924703147647139E-2</c:v>
                </c:pt>
                <c:pt idx="2402">
                  <c:v>1.8932307645061361E-2</c:v>
                </c:pt>
                <c:pt idx="2403">
                  <c:v>1.893483731554697E-2</c:v>
                </c:pt>
                <c:pt idx="2404">
                  <c:v>1.8937364444470899E-2</c:v>
                </c:pt>
                <c:pt idx="2405">
                  <c:v>1.8939889055491876E-2</c:v>
                </c:pt>
                <c:pt idx="2406">
                  <c:v>1.8942411172268629E-2</c:v>
                </c:pt>
                <c:pt idx="2407">
                  <c:v>1.8949962793720878E-2</c:v>
                </c:pt>
                <c:pt idx="2408">
                  <c:v>1.8952475170108049E-2</c:v>
                </c:pt>
                <c:pt idx="2409">
                  <c:v>1.8954985170544655E-2</c:v>
                </c:pt>
                <c:pt idx="2410">
                  <c:v>1.8957492818689421E-2</c:v>
                </c:pt>
                <c:pt idx="2411">
                  <c:v>1.8959998138201078E-2</c:v>
                </c:pt>
                <c:pt idx="2412">
                  <c:v>1.8967500361524694E-2</c:v>
                </c:pt>
                <c:pt idx="2413">
                  <c:v>1.8969996603091215E-2</c:v>
                </c:pt>
                <c:pt idx="2414">
                  <c:v>1.897249063431828E-2</c:v>
                </c:pt>
                <c:pt idx="2415">
                  <c:v>1.8974982478864616E-2</c:v>
                </c:pt>
                <c:pt idx="2416">
                  <c:v>1.8977472160388958E-2</c:v>
                </c:pt>
                <c:pt idx="2417">
                  <c:v>1.8984928463417296E-2</c:v>
                </c:pt>
                <c:pt idx="2418">
                  <c:v>1.8987409729440952E-2</c:v>
                </c:pt>
                <c:pt idx="2419">
                  <c:v>1.8989888950736257E-2</c:v>
                </c:pt>
                <c:pt idx="2420">
                  <c:v>1.8992366150961951E-2</c:v>
                </c:pt>
                <c:pt idx="2421">
                  <c:v>1.899484135377676E-2</c:v>
                </c:pt>
                <c:pt idx="2422">
                  <c:v>1.9002255214343164E-2</c:v>
                </c:pt>
                <c:pt idx="2423">
                  <c:v>1.9004722664101734E-2</c:v>
                </c:pt>
                <c:pt idx="2424">
                  <c:v>1.900718823474306E-2</c:v>
                </c:pt>
                <c:pt idx="2425">
                  <c:v>1.9009651949925894E-2</c:v>
                </c:pt>
                <c:pt idx="2426">
                  <c:v>1.9012113833308943E-2</c:v>
                </c:pt>
                <c:pt idx="2427">
                  <c:v>1.9019488729246772E-2</c:v>
                </c:pt>
                <c:pt idx="2428">
                  <c:v>1.9021943522018039E-2</c:v>
                </c:pt>
                <c:pt idx="2429">
                  <c:v>1.9024396601283178E-2</c:v>
                </c:pt>
                <c:pt idx="2430">
                  <c:v>1.9026847990700924E-2</c:v>
                </c:pt>
                <c:pt idx="2431">
                  <c:v>1.9029297713930009E-2</c:v>
                </c:pt>
                <c:pt idx="2432">
                  <c:v>1.9036637123072603E-2</c:v>
                </c:pt>
                <c:pt idx="2433">
                  <c:v>1.903908041813435E-2</c:v>
                </c:pt>
                <c:pt idx="2434">
                  <c:v>1.9041522165301077E-2</c:v>
                </c:pt>
                <c:pt idx="2435">
                  <c:v>1.9043962388231528E-2</c:v>
                </c:pt>
                <c:pt idx="2436">
                  <c:v>1.9046401110584428E-2</c:v>
                </c:pt>
                <c:pt idx="2437">
                  <c:v>1.9053708510765138E-2</c:v>
                </c:pt>
                <c:pt idx="2438">
                  <c:v>1.9056141463664713E-2</c:v>
                </c:pt>
                <c:pt idx="2439">
                  <c:v>1.9058573011897825E-2</c:v>
                </c:pt>
                <c:pt idx="2440">
                  <c:v>1.9061003156740641E-2</c:v>
                </c:pt>
                <c:pt idx="2441">
                  <c:v>1.9063431899469324E-2</c:v>
                </c:pt>
                <c:pt idx="2442">
                  <c:v>1.9070709727732251E-2</c:v>
                </c:pt>
                <c:pt idx="2443">
                  <c:v>1.9073132874766075E-2</c:v>
                </c:pt>
                <c:pt idx="2444">
                  <c:v>1.9075554626066592E-2</c:v>
                </c:pt>
                <c:pt idx="2445">
                  <c:v>1.9077974982909977E-2</c:v>
                </c:pt>
                <c:pt idx="2446">
                  <c:v>1.9080393946572394E-2</c:v>
                </c:pt>
                <c:pt idx="2447">
                  <c:v>1.9087642491235471E-2</c:v>
                </c:pt>
                <c:pt idx="2448">
                  <c:v>1.9090055894935665E-2</c:v>
                </c:pt>
                <c:pt idx="2449">
                  <c:v>1.9092467911835723E-2</c:v>
                </c:pt>
                <c:pt idx="2450">
                  <c:v>1.9094878543211798E-2</c:v>
                </c:pt>
                <c:pt idx="2451">
                  <c:v>1.9097287790340072E-2</c:v>
                </c:pt>
                <c:pt idx="2452">
                  <c:v>1.9104507238999698E-2</c:v>
                </c:pt>
                <c:pt idx="2453">
                  <c:v>1.9106910961898396E-2</c:v>
                </c:pt>
                <c:pt idx="2454">
                  <c:v>1.910931330693012E-2</c:v>
                </c:pt>
                <c:pt idx="2455">
                  <c:v>1.911171427537103E-2</c:v>
                </c:pt>
                <c:pt idx="2456">
                  <c:v>1.9114113868497293E-2</c:v>
                </c:pt>
                <c:pt idx="2457">
                  <c:v>1.9121304408749859E-2</c:v>
                </c:pt>
                <c:pt idx="2458">
                  <c:v>1.9123698513379191E-2</c:v>
                </c:pt>
                <c:pt idx="2459">
                  <c:v>1.9126091249074714E-2</c:v>
                </c:pt>
                <c:pt idx="2460">
                  <c:v>1.9128482617112579E-2</c:v>
                </c:pt>
                <c:pt idx="2461">
                  <c:v>1.9130872618768963E-2</c:v>
                </c:pt>
                <c:pt idx="2462">
                  <c:v>1.9138034438210862E-2</c:v>
                </c:pt>
                <c:pt idx="2463">
                  <c:v>1.9140418987102965E-2</c:v>
                </c:pt>
                <c:pt idx="2464">
                  <c:v>1.914280217599441E-2</c:v>
                </c:pt>
                <c:pt idx="2465">
                  <c:v>1.9145184006161369E-2</c:v>
                </c:pt>
                <c:pt idx="2466">
                  <c:v>1.9147564478880004E-2</c:v>
                </c:pt>
                <c:pt idx="2467">
                  <c:v>1.9154697765107625E-2</c:v>
                </c:pt>
                <c:pt idx="2468">
                  <c:v>1.9157072820794624E-2</c:v>
                </c:pt>
                <c:pt idx="2469">
                  <c:v>1.9159446525414136E-2</c:v>
                </c:pt>
                <c:pt idx="2470">
                  <c:v>1.9161818880242314E-2</c:v>
                </c:pt>
                <c:pt idx="2471">
                  <c:v>1.9164189886555331E-2</c:v>
                </c:pt>
                <c:pt idx="2472">
                  <c:v>1.9171294827165071E-2</c:v>
                </c:pt>
                <c:pt idx="2473">
                  <c:v>1.9173660452179098E-2</c:v>
                </c:pt>
                <c:pt idx="2474">
                  <c:v>1.9176024735058798E-2</c:v>
                </c:pt>
                <c:pt idx="2475">
                  <c:v>1.9178387677080327E-2</c:v>
                </c:pt>
                <c:pt idx="2476">
                  <c:v>1.9180749279519859E-2</c:v>
                </c:pt>
                <c:pt idx="2477">
                  <c:v>1.9187806743014926E-2</c:v>
                </c:pt>
                <c:pt idx="2478">
                  <c:v>1.9190156574748016E-2</c:v>
                </c:pt>
                <c:pt idx="2479">
                  <c:v>1.9192505080541364E-2</c:v>
                </c:pt>
                <c:pt idx="2480">
                  <c:v>1.9194852261660709E-2</c:v>
                </c:pt>
                <c:pt idx="2481">
                  <c:v>1.9197198119371775E-2</c:v>
                </c:pt>
                <c:pt idx="2482">
                  <c:v>1.9204227764712679E-2</c:v>
                </c:pt>
                <c:pt idx="2483">
                  <c:v>1.9206568341447992E-2</c:v>
                </c:pt>
                <c:pt idx="2484">
                  <c:v>1.9208907601103706E-2</c:v>
                </c:pt>
                <c:pt idx="2485">
                  <c:v>1.9211245544945549E-2</c:v>
                </c:pt>
                <c:pt idx="2486">
                  <c:v>1.9213582174239255E-2</c:v>
                </c:pt>
                <c:pt idx="2487">
                  <c:v>1.9220584187488909E-2</c:v>
                </c:pt>
                <c:pt idx="2488">
                  <c:v>1.9222915571247418E-2</c:v>
                </c:pt>
                <c:pt idx="2489">
                  <c:v>1.9225245646786463E-2</c:v>
                </c:pt>
                <c:pt idx="2490">
                  <c:v>1.9227574415371779E-2</c:v>
                </c:pt>
                <c:pt idx="2491">
                  <c:v>1.92299018782691E-2</c:v>
                </c:pt>
                <c:pt idx="2492">
                  <c:v>1.9236876445490419E-2</c:v>
                </c:pt>
                <c:pt idx="2493">
                  <c:v>1.9239198698293096E-2</c:v>
                </c:pt>
                <c:pt idx="2494">
                  <c:v>1.9241519651736445E-2</c:v>
                </c:pt>
                <c:pt idx="2495">
                  <c:v>1.9243839307086202E-2</c:v>
                </c:pt>
                <c:pt idx="2496">
                  <c:v>1.9246157665608103E-2</c:v>
                </c:pt>
                <c:pt idx="2497">
                  <c:v>1.9253104972864008E-2</c:v>
                </c:pt>
                <c:pt idx="2498">
                  <c:v>1.9255418156731822E-2</c:v>
                </c:pt>
                <c:pt idx="2499">
                  <c:v>1.9257730050100445E-2</c:v>
                </c:pt>
                <c:pt idx="2500">
                  <c:v>1.9260040654235623E-2</c:v>
                </c:pt>
                <c:pt idx="2501">
                  <c:v>1.9262349970403079E-2</c:v>
                </c:pt>
                <c:pt idx="2502">
                  <c:v>1.9269270203756479E-2</c:v>
                </c:pt>
                <c:pt idx="2503">
                  <c:v>1.92715743807104E-2</c:v>
                </c:pt>
                <c:pt idx="2504">
                  <c:v>1.9273877276025277E-2</c:v>
                </c:pt>
                <c:pt idx="2505">
                  <c:v>1.927617889096684E-2</c:v>
                </c:pt>
                <c:pt idx="2506">
                  <c:v>1.9278479226800822E-2</c:v>
                </c:pt>
                <c:pt idx="2507">
                  <c:v>1.9285372572314632E-2</c:v>
                </c:pt>
                <c:pt idx="2508">
                  <c:v>1.9287667804375637E-2</c:v>
                </c:pt>
                <c:pt idx="2509">
                  <c:v>1.9289961763657732E-2</c:v>
                </c:pt>
                <c:pt idx="2510">
                  <c:v>1.9292254451426651E-2</c:v>
                </c:pt>
                <c:pt idx="2511">
                  <c:v>1.9294545868948128E-2</c:v>
                </c:pt>
                <c:pt idx="2512">
                  <c:v>1.930141251268527E-2</c:v>
                </c:pt>
                <c:pt idx="2513">
                  <c:v>1.9303698861874326E-2</c:v>
                </c:pt>
                <c:pt idx="2514">
                  <c:v>1.9305983947144615E-2</c:v>
                </c:pt>
                <c:pt idx="2515">
                  <c:v>1.9308267769761862E-2</c:v>
                </c:pt>
                <c:pt idx="2516">
                  <c:v>1.931055033099181E-2</c:v>
                </c:pt>
                <c:pt idx="2517">
                  <c:v>1.9317390459015187E-2</c:v>
                </c:pt>
                <c:pt idx="2518">
                  <c:v>1.9319667987353267E-2</c:v>
                </c:pt>
                <c:pt idx="2519">
                  <c:v>1.9321944260632721E-2</c:v>
                </c:pt>
                <c:pt idx="2520">
                  <c:v>1.9324219280119272E-2</c:v>
                </c:pt>
                <c:pt idx="2521">
                  <c:v>1.9326493047078664E-2</c:v>
                </c:pt>
                <c:pt idx="2522">
                  <c:v>1.933330684545119E-2</c:v>
                </c:pt>
                <c:pt idx="2523">
                  <c:v>1.9335575614959272E-2</c:v>
                </c:pt>
                <c:pt idx="2524">
                  <c:v>1.9337843138268859E-2</c:v>
                </c:pt>
                <c:pt idx="2525">
                  <c:v>1.9340109416645688E-2</c:v>
                </c:pt>
                <c:pt idx="2526">
                  <c:v>1.9342374451355483E-2</c:v>
                </c:pt>
                <c:pt idx="2527">
                  <c:v>1.9349162106140086E-2</c:v>
                </c:pt>
                <c:pt idx="2528">
                  <c:v>1.9351422178839131E-2</c:v>
                </c:pt>
                <c:pt idx="2529">
                  <c:v>1.9353681014199826E-2</c:v>
                </c:pt>
                <c:pt idx="2530">
                  <c:v>1.9355938613487896E-2</c:v>
                </c:pt>
                <c:pt idx="2531">
                  <c:v>1.9358194977969083E-2</c:v>
                </c:pt>
                <c:pt idx="2532">
                  <c:v>1.9364956675228667E-2</c:v>
                </c:pt>
                <c:pt idx="2533">
                  <c:v>1.9367208113139654E-2</c:v>
                </c:pt>
                <c:pt idx="2534">
                  <c:v>1.9369458322572423E-2</c:v>
                </c:pt>
                <c:pt idx="2535">
                  <c:v>1.937170730479271E-2</c:v>
                </c:pt>
                <c:pt idx="2536">
                  <c:v>1.9373955061066254E-2</c:v>
                </c:pt>
                <c:pt idx="2537">
                  <c:v>1.9380690986863739E-2</c:v>
                </c:pt>
                <c:pt idx="2538">
                  <c:v>1.9382933852007636E-2</c:v>
                </c:pt>
                <c:pt idx="2539">
                  <c:v>1.9385175497533453E-2</c:v>
                </c:pt>
                <c:pt idx="2540">
                  <c:v>1.9387415924706931E-2</c:v>
                </c:pt>
                <c:pt idx="2541">
                  <c:v>1.93896551347938E-2</c:v>
                </c:pt>
                <c:pt idx="2542">
                  <c:v>1.9396365475192103E-2</c:v>
                </c:pt>
                <c:pt idx="2543">
                  <c:v>1.9398599829589878E-2</c:v>
                </c:pt>
                <c:pt idx="2544">
                  <c:v>1.9400832973229719E-2</c:v>
                </c:pt>
                <c:pt idx="2545">
                  <c:v>1.9403064907377358E-2</c:v>
                </c:pt>
                <c:pt idx="2546">
                  <c:v>1.9405295633298524E-2</c:v>
                </c:pt>
                <c:pt idx="2547">
                  <c:v>1.9411980574360551E-2</c:v>
                </c:pt>
                <c:pt idx="2548">
                  <c:v>1.9414206480033183E-2</c:v>
                </c:pt>
                <c:pt idx="2549">
                  <c:v>1.9416431183808019E-2</c:v>
                </c:pt>
                <c:pt idx="2550">
                  <c:v>1.9418654686950785E-2</c:v>
                </c:pt>
                <c:pt idx="2551">
                  <c:v>1.9429754237484352E-2</c:v>
                </c:pt>
                <c:pt idx="2552">
                  <c:v>1.9431970563415151E-2</c:v>
                </c:pt>
                <c:pt idx="2553">
                  <c:v>1.9434185697574029E-2</c:v>
                </c:pt>
                <c:pt idx="2554">
                  <c:v>1.9436399641226704E-2</c:v>
                </c:pt>
                <c:pt idx="2555">
                  <c:v>1.944303434180494E-2</c:v>
                </c:pt>
                <c:pt idx="2556">
                  <c:v>1.9445243536090191E-2</c:v>
                </c:pt>
                <c:pt idx="2557">
                  <c:v>1.9447451546197928E-2</c:v>
                </c:pt>
                <c:pt idx="2558">
                  <c:v>1.9449658373393873E-2</c:v>
                </c:pt>
                <c:pt idx="2559">
                  <c:v>1.9451864018943766E-2</c:v>
                </c:pt>
                <c:pt idx="2560">
                  <c:v>1.9460674809997497E-2</c:v>
                </c:pt>
                <c:pt idx="2561">
                  <c:v>1.9462874566303138E-2</c:v>
                </c:pt>
                <c:pt idx="2562">
                  <c:v>1.9465073148557131E-2</c:v>
                </c:pt>
                <c:pt idx="2563">
                  <c:v>1.9467270558025208E-2</c:v>
                </c:pt>
                <c:pt idx="2564">
                  <c:v>1.9473855762371303E-2</c:v>
                </c:pt>
                <c:pt idx="2565">
                  <c:v>1.9476048490605982E-2</c:v>
                </c:pt>
                <c:pt idx="2566">
                  <c:v>1.9478240035900894E-2</c:v>
                </c:pt>
                <c:pt idx="2567">
                  <c:v>1.948043038303927E-2</c:v>
                </c:pt>
                <c:pt idx="2568">
                  <c:v>1.9482619516804311E-2</c:v>
                </c:pt>
                <c:pt idx="2569">
                  <c:v>1.9489179485691625E-2</c:v>
                </c:pt>
                <c:pt idx="2570">
                  <c:v>1.9491363613795512E-2</c:v>
                </c:pt>
                <c:pt idx="2571">
                  <c:v>1.9493546452442154E-2</c:v>
                </c:pt>
                <c:pt idx="2572">
                  <c:v>1.9495727986414763E-2</c:v>
                </c:pt>
                <c:pt idx="2573">
                  <c:v>1.9497908200496558E-2</c:v>
                </c:pt>
                <c:pt idx="2574">
                  <c:v>1.950444077122921E-2</c:v>
                </c:pt>
                <c:pt idx="2575">
                  <c:v>1.9506615553579902E-2</c:v>
                </c:pt>
                <c:pt idx="2576">
                  <c:v>1.9508788939955862E-2</c:v>
                </c:pt>
                <c:pt idx="2577">
                  <c:v>1.9510960915140308E-2</c:v>
                </c:pt>
                <c:pt idx="2578">
                  <c:v>1.9513131463916443E-2</c:v>
                </c:pt>
                <c:pt idx="2579">
                  <c:v>1.9519634399627214E-2</c:v>
                </c:pt>
                <c:pt idx="2580">
                  <c:v>1.952179909060231E-2</c:v>
                </c:pt>
                <c:pt idx="2581">
                  <c:v>1.9523962279085181E-2</c:v>
                </c:pt>
                <c:pt idx="2582">
                  <c:v>1.9526123949859055E-2</c:v>
                </c:pt>
                <c:pt idx="2583">
                  <c:v>1.9528284087707137E-2</c:v>
                </c:pt>
                <c:pt idx="2584">
                  <c:v>1.9534755151528815E-2</c:v>
                </c:pt>
                <c:pt idx="2585">
                  <c:v>1.9536909005505903E-2</c:v>
                </c:pt>
                <c:pt idx="2586">
                  <c:v>1.9539061250473288E-2</c:v>
                </c:pt>
                <c:pt idx="2587">
                  <c:v>1.954121187121418E-2</c:v>
                </c:pt>
                <c:pt idx="2588">
                  <c:v>1.9543360852511793E-2</c:v>
                </c:pt>
                <c:pt idx="2589">
                  <c:v>1.9549797807577162E-2</c:v>
                </c:pt>
                <c:pt idx="2590">
                  <c:v>1.9551940078933842E-2</c:v>
                </c:pt>
                <c:pt idx="2591">
                  <c:v>1.955408063476333E-2</c:v>
                </c:pt>
                <c:pt idx="2592">
                  <c:v>1.9556219459848839E-2</c:v>
                </c:pt>
                <c:pt idx="2593">
                  <c:v>1.9558356538973583E-2</c:v>
                </c:pt>
                <c:pt idx="2594">
                  <c:v>1.9564757148415424E-2</c:v>
                </c:pt>
                <c:pt idx="2595">
                  <c:v>1.9566887091529293E-2</c:v>
                </c:pt>
                <c:pt idx="2596">
                  <c:v>1.9569015212598476E-2</c:v>
                </c:pt>
                <c:pt idx="2597">
                  <c:v>1.9571141496406198E-2</c:v>
                </c:pt>
                <c:pt idx="2598">
                  <c:v>1.9573265927735669E-2</c:v>
                </c:pt>
                <c:pt idx="2599">
                  <c:v>1.9579627954686766E-2</c:v>
                </c:pt>
                <c:pt idx="2600">
                  <c:v>1.9581744823935415E-2</c:v>
                </c:pt>
                <c:pt idx="2601">
                  <c:v>1.9583859764621892E-2</c:v>
                </c:pt>
                <c:pt idx="2602">
                  <c:v>1.9585972761529423E-2</c:v>
                </c:pt>
                <c:pt idx="2603">
                  <c:v>1.9588083799441217E-2</c:v>
                </c:pt>
                <c:pt idx="2604">
                  <c:v>1.9594405007034355E-2</c:v>
                </c:pt>
                <c:pt idx="2605">
                  <c:v>1.9596508056795376E-2</c:v>
                </c:pt>
                <c:pt idx="2606">
                  <c:v>1.9598609071476741E-2</c:v>
                </c:pt>
                <c:pt idx="2607">
                  <c:v>1.9600708035861669E-2</c:v>
                </c:pt>
                <c:pt idx="2608">
                  <c:v>1.9602804934733379E-2</c:v>
                </c:pt>
                <c:pt idx="2609">
                  <c:v>1.9609083086101344E-2</c:v>
                </c:pt>
                <c:pt idx="2610">
                  <c:v>1.9611171570752334E-2</c:v>
                </c:pt>
                <c:pt idx="2611">
                  <c:v>1.9613257913806182E-2</c:v>
                </c:pt>
                <c:pt idx="2612">
                  <c:v>1.9615342100046111E-2</c:v>
                </c:pt>
                <c:pt idx="2613">
                  <c:v>1.9617424114255329E-2</c:v>
                </c:pt>
                <c:pt idx="2614">
                  <c:v>1.962365697253091E-2</c:v>
                </c:pt>
                <c:pt idx="2615">
                  <c:v>1.9625730146449461E-2</c:v>
                </c:pt>
                <c:pt idx="2616">
                  <c:v>1.9627801072253388E-2</c:v>
                </c:pt>
                <c:pt idx="2617">
                  <c:v>1.9629869734725906E-2</c:v>
                </c:pt>
                <c:pt idx="2618">
                  <c:v>1.9631936118650231E-2</c:v>
                </c:pt>
                <c:pt idx="2619">
                  <c:v>1.9638121446966205E-2</c:v>
                </c:pt>
                <c:pt idx="2620">
                  <c:v>1.9640178564529917E-2</c:v>
                </c:pt>
                <c:pt idx="2621">
                  <c:v>1.9642233327461515E-2</c:v>
                </c:pt>
                <c:pt idx="2622">
                  <c:v>1.9644285720544219E-2</c:v>
                </c:pt>
                <c:pt idx="2623">
                  <c:v>1.9646335728561243E-2</c:v>
                </c:pt>
                <c:pt idx="2624">
                  <c:v>1.9652471290050395E-2</c:v>
                </c:pt>
                <c:pt idx="2625">
                  <c:v>1.9654511605636863E-2</c:v>
                </c:pt>
                <c:pt idx="2626">
                  <c:v>1.9656549460073728E-2</c:v>
                </c:pt>
                <c:pt idx="2627">
                  <c:v>1.9658584838144214E-2</c:v>
                </c:pt>
                <c:pt idx="2628">
                  <c:v>1.9660617724631534E-2</c:v>
                </c:pt>
                <c:pt idx="2629">
                  <c:v>1.9666701282426653E-2</c:v>
                </c:pt>
                <c:pt idx="2630">
                  <c:v>1.9668724050413467E-2</c:v>
                </c:pt>
                <c:pt idx="2631">
                  <c:v>1.9670744250733195E-2</c:v>
                </c:pt>
                <c:pt idx="2632">
                  <c:v>1.9672761868169058E-2</c:v>
                </c:pt>
                <c:pt idx="2633">
                  <c:v>1.9674776887504266E-2</c:v>
                </c:pt>
                <c:pt idx="2634">
                  <c:v>1.9680806204738135E-2</c:v>
                </c:pt>
                <c:pt idx="2635">
                  <c:v>1.968281067950289E-2</c:v>
                </c:pt>
                <c:pt idx="2636">
                  <c:v>1.9684812480083077E-2</c:v>
                </c:pt>
                <c:pt idx="2637">
                  <c:v>1.9686811591261909E-2</c:v>
                </c:pt>
                <c:pt idx="2638">
                  <c:v>1.9688807997822601E-2</c:v>
                </c:pt>
                <c:pt idx="2639">
                  <c:v>1.9694780837627997E-2</c:v>
                </c:pt>
                <c:pt idx="2640">
                  <c:v>1.9696766273548296E-2</c:v>
                </c:pt>
                <c:pt idx="2641">
                  <c:v>1.9698748928766534E-2</c:v>
                </c:pt>
                <c:pt idx="2642">
                  <c:v>1.9700728788065926E-2</c:v>
                </c:pt>
                <c:pt idx="2643">
                  <c:v>1.9702705836229698E-2</c:v>
                </c:pt>
                <c:pt idx="2644">
                  <c:v>1.9708619961739417E-2</c:v>
                </c:pt>
                <c:pt idx="2645">
                  <c:v>1.9710585613192846E-2</c:v>
                </c:pt>
                <c:pt idx="2646">
                  <c:v>1.9712548377426732E-2</c:v>
                </c:pt>
                <c:pt idx="2647">
                  <c:v>1.9714508239224288E-2</c:v>
                </c:pt>
                <c:pt idx="2648">
                  <c:v>1.9716465183368732E-2</c:v>
                </c:pt>
                <c:pt idx="2649">
                  <c:v>1.9722318357715551E-2</c:v>
                </c:pt>
                <c:pt idx="2650">
                  <c:v>1.9724263479079705E-2</c:v>
                </c:pt>
                <c:pt idx="2651">
                  <c:v>1.9726205606706834E-2</c:v>
                </c:pt>
                <c:pt idx="2652">
                  <c:v>1.9728144725380148E-2</c:v>
                </c:pt>
                <c:pt idx="2653">
                  <c:v>1.9730080819882857E-2</c:v>
                </c:pt>
                <c:pt idx="2654">
                  <c:v>1.9735870806199565E-2</c:v>
                </c:pt>
                <c:pt idx="2655">
                  <c:v>1.9737794651852044E-2</c:v>
                </c:pt>
                <c:pt idx="2656">
                  <c:v>1.9739715397250009E-2</c:v>
                </c:pt>
                <c:pt idx="2657">
                  <c:v>1.9741633027176669E-2</c:v>
                </c:pt>
                <c:pt idx="2658">
                  <c:v>1.9743547526415245E-2</c:v>
                </c:pt>
                <c:pt idx="2659">
                  <c:v>1.9749272087834623E-2</c:v>
                </c:pt>
                <c:pt idx="2660">
                  <c:v>1.9751173912153017E-2</c:v>
                </c:pt>
                <c:pt idx="2661">
                  <c:v>1.9753072529699409E-2</c:v>
                </c:pt>
                <c:pt idx="2662">
                  <c:v>1.9754967925257015E-2</c:v>
                </c:pt>
                <c:pt idx="2663">
                  <c:v>1.9756860083609051E-2</c:v>
                </c:pt>
                <c:pt idx="2664">
                  <c:v>1.9762516983263884E-2</c:v>
                </c:pt>
                <c:pt idx="2665">
                  <c:v>1.9764396040625794E-2</c:v>
                </c:pt>
                <c:pt idx="2666">
                  <c:v>1.9766271784698215E-2</c:v>
                </c:pt>
                <c:pt idx="2667">
                  <c:v>1.9768144200264359E-2</c:v>
                </c:pt>
                <c:pt idx="2668">
                  <c:v>1.9770013272107444E-2</c:v>
                </c:pt>
                <c:pt idx="2669">
                  <c:v>1.9775600273130519E-2</c:v>
                </c:pt>
                <c:pt idx="2670">
                  <c:v>1.9777455817913531E-2</c:v>
                </c:pt>
                <c:pt idx="2671">
                  <c:v>1.9779307942889571E-2</c:v>
                </c:pt>
                <c:pt idx="2672">
                  <c:v>1.9781156632841846E-2</c:v>
                </c:pt>
                <c:pt idx="2673">
                  <c:v>1.9783001872553586E-2</c:v>
                </c:pt>
                <c:pt idx="2674">
                  <c:v>1.9788516738077681E-2</c:v>
                </c:pt>
                <c:pt idx="2675">
                  <c:v>1.9790348024659402E-2</c:v>
                </c:pt>
                <c:pt idx="2676">
                  <c:v>1.9792175784916658E-2</c:v>
                </c:pt>
                <c:pt idx="2677">
                  <c:v>1.9794000003632659E-2</c:v>
                </c:pt>
                <c:pt idx="2678">
                  <c:v>1.9795820665590637E-2</c:v>
                </c:pt>
                <c:pt idx="2679">
                  <c:v>1.9801261158748546E-2</c:v>
                </c:pt>
                <c:pt idx="2680">
                  <c:v>1.9803067441506561E-2</c:v>
                </c:pt>
                <c:pt idx="2681">
                  <c:v>1.9804870091422625E-2</c:v>
                </c:pt>
                <c:pt idx="2682">
                  <c:v>1.9806669093279956E-2</c:v>
                </c:pt>
                <c:pt idx="2683">
                  <c:v>1.980846443186177E-2</c:v>
                </c:pt>
                <c:pt idx="2684">
                  <c:v>1.9813828315786267E-2</c:v>
                </c:pt>
                <c:pt idx="2685">
                  <c:v>1.9815608849098172E-2</c:v>
                </c:pt>
                <c:pt idx="2686">
                  <c:v>1.9817385643050644E-2</c:v>
                </c:pt>
                <c:pt idx="2687">
                  <c:v>1.9819158682426893E-2</c:v>
                </c:pt>
                <c:pt idx="2688">
                  <c:v>1.9820927952010143E-2</c:v>
                </c:pt>
                <c:pt idx="2689">
                  <c:v>1.9826212989834016E-2</c:v>
                </c:pt>
                <c:pt idx="2690">
                  <c:v>1.982796702807741E-2</c:v>
                </c:pt>
                <c:pt idx="2691">
                  <c:v>1.9829717220443879E-2</c:v>
                </c:pt>
                <c:pt idx="2692">
                  <c:v>1.9831463551716638E-2</c:v>
                </c:pt>
                <c:pt idx="2693">
                  <c:v>1.9833206006678917E-2</c:v>
                </c:pt>
                <c:pt idx="2694">
                  <c:v>1.9838409961534954E-2</c:v>
                </c:pt>
                <c:pt idx="2695">
                  <c:v>1.9840136759087426E-2</c:v>
                </c:pt>
                <c:pt idx="2696">
                  <c:v>1.984185960424549E-2</c:v>
                </c:pt>
                <c:pt idx="2697">
                  <c:v>1.9843578486561899E-2</c:v>
                </c:pt>
                <c:pt idx="2698">
                  <c:v>1.9845293414667547E-2</c:v>
                </c:pt>
                <c:pt idx="2699">
                  <c:v>1.985041460772426E-2</c:v>
                </c:pt>
                <c:pt idx="2700">
                  <c:v>1.98521138529912E-2</c:v>
                </c:pt>
                <c:pt idx="2701">
                  <c:v>1.9853809211049546E-2</c:v>
                </c:pt>
                <c:pt idx="2702">
                  <c:v>1.9855500695299729E-2</c:v>
                </c:pt>
                <c:pt idx="2703">
                  <c:v>1.9857188319142186E-2</c:v>
                </c:pt>
                <c:pt idx="2704">
                  <c:v>1.9862228162227519E-2</c:v>
                </c:pt>
                <c:pt idx="2705">
                  <c:v>1.9863900478443396E-2</c:v>
                </c:pt>
                <c:pt idx="2706">
                  <c:v>1.9865569001253712E-2</c:v>
                </c:pt>
                <c:pt idx="2707">
                  <c:v>1.9867233744058899E-2</c:v>
                </c:pt>
                <c:pt idx="2708">
                  <c:v>1.9868894720259388E-2</c:v>
                </c:pt>
                <c:pt idx="2709">
                  <c:v>1.9873855183237015E-2</c:v>
                </c:pt>
                <c:pt idx="2710">
                  <c:v>1.9875501227023053E-2</c:v>
                </c:pt>
                <c:pt idx="2711">
                  <c:v>1.9877143571206561E-2</c:v>
                </c:pt>
                <c:pt idx="2712">
                  <c:v>1.9878782229187975E-2</c:v>
                </c:pt>
                <c:pt idx="2713">
                  <c:v>1.9880417214367722E-2</c:v>
                </c:pt>
                <c:pt idx="2714">
                  <c:v>1.9885300267101311E-2</c:v>
                </c:pt>
                <c:pt idx="2715">
                  <c:v>1.988692069507874E-2</c:v>
                </c:pt>
                <c:pt idx="2716">
                  <c:v>1.9888537517256666E-2</c:v>
                </c:pt>
                <c:pt idx="2717">
                  <c:v>1.9890150747035529E-2</c:v>
                </c:pt>
                <c:pt idx="2718">
                  <c:v>1.9891760397815761E-2</c:v>
                </c:pt>
                <c:pt idx="2719">
                  <c:v>1.9896568010168991E-2</c:v>
                </c:pt>
                <c:pt idx="2720">
                  <c:v>1.9898163478959025E-2</c:v>
                </c:pt>
                <c:pt idx="2721">
                  <c:v>1.9899755435752595E-2</c:v>
                </c:pt>
                <c:pt idx="2722">
                  <c:v>1.9901343893950135E-2</c:v>
                </c:pt>
                <c:pt idx="2723">
                  <c:v>1.9902928866952069E-2</c:v>
                </c:pt>
                <c:pt idx="2724">
                  <c:v>1.9907663008788615E-2</c:v>
                </c:pt>
                <c:pt idx="2725">
                  <c:v>1.9909234175012485E-2</c:v>
                </c:pt>
                <c:pt idx="2726">
                  <c:v>1.9910801923042922E-2</c:v>
                </c:pt>
                <c:pt idx="2727">
                  <c:v>1.991236626628036E-2</c:v>
                </c:pt>
                <c:pt idx="2728">
                  <c:v>1.9913927218125224E-2</c:v>
                </c:pt>
                <c:pt idx="2729">
                  <c:v>1.9921681575476219E-2</c:v>
                </c:pt>
                <c:pt idx="2730">
                  <c:v>1.9923222460374774E-2</c:v>
                </c:pt>
                <c:pt idx="2731">
                  <c:v>1.9924760047683801E-2</c:v>
                </c:pt>
                <c:pt idx="2732">
                  <c:v>1.993088603371582E-2</c:v>
                </c:pt>
                <c:pt idx="2733">
                  <c:v>1.9932411479891349E-2</c:v>
                </c:pt>
                <c:pt idx="2734">
                  <c:v>1.9933933691338116E-2</c:v>
                </c:pt>
                <c:pt idx="2735">
                  <c:v>1.9935452681566997E-2</c:v>
                </c:pt>
                <c:pt idx="2736">
                  <c:v>1.9939990460055079E-2</c:v>
                </c:pt>
                <c:pt idx="2737">
                  <c:v>1.9941496700521175E-2</c:v>
                </c:pt>
                <c:pt idx="2738">
                  <c:v>1.9942999787323761E-2</c:v>
                </c:pt>
                <c:pt idx="2739">
                  <c:v>1.9944499733973716E-2</c:v>
                </c:pt>
                <c:pt idx="2740">
                  <c:v>1.994599655398192E-2</c:v>
                </c:pt>
                <c:pt idx="2741">
                  <c:v>1.9950468389264737E-2</c:v>
                </c:pt>
                <c:pt idx="2742">
                  <c:v>1.995195283781467E-2</c:v>
                </c:pt>
                <c:pt idx="2743">
                  <c:v>1.9953434227277227E-2</c:v>
                </c:pt>
                <c:pt idx="2744">
                  <c:v>1.9954912571163278E-2</c:v>
                </c:pt>
                <c:pt idx="2745">
                  <c:v>1.9956387882983709E-2</c:v>
                </c:pt>
                <c:pt idx="2746">
                  <c:v>1.9960795761159996E-2</c:v>
                </c:pt>
                <c:pt idx="2747">
                  <c:v>1.9962259079826676E-2</c:v>
                </c:pt>
                <c:pt idx="2748">
                  <c:v>1.9963719433982115E-2</c:v>
                </c:pt>
                <c:pt idx="2749">
                  <c:v>1.9965176837137173E-2</c:v>
                </c:pt>
                <c:pt idx="2750">
                  <c:v>1.9966631302802747E-2</c:v>
                </c:pt>
                <c:pt idx="2751">
                  <c:v>1.9970977209971236E-2</c:v>
                </c:pt>
                <c:pt idx="2752">
                  <c:v>1.9972420060787574E-2</c:v>
                </c:pt>
                <c:pt idx="2753">
                  <c:v>1.99738600416688E-2</c:v>
                </c:pt>
                <c:pt idx="2754">
                  <c:v>1.9975297166125786E-2</c:v>
                </c:pt>
                <c:pt idx="2755">
                  <c:v>1.9976731447669403E-2</c:v>
                </c:pt>
                <c:pt idx="2756">
                  <c:v>1.998101736992882E-2</c:v>
                </c:pt>
                <c:pt idx="2757">
                  <c:v>1.9982440414927732E-2</c:v>
                </c:pt>
                <c:pt idx="2758">
                  <c:v>1.9983860684567659E-2</c:v>
                </c:pt>
                <c:pt idx="2759">
                  <c:v>1.9985278192359474E-2</c:v>
                </c:pt>
                <c:pt idx="2760">
                  <c:v>1.9986692951814055E-2</c:v>
                </c:pt>
                <c:pt idx="2761">
                  <c:v>1.9990920875263139E-2</c:v>
                </c:pt>
                <c:pt idx="2762">
                  <c:v>1.999232477647753E-2</c:v>
                </c:pt>
                <c:pt idx="2763">
                  <c:v>1.9993725996909073E-2</c:v>
                </c:pt>
                <c:pt idx="2764">
                  <c:v>1.9995124550068633E-2</c:v>
                </c:pt>
                <c:pt idx="2765">
                  <c:v>1.9996520449467078E-2</c:v>
                </c:pt>
                <c:pt idx="2766">
                  <c:v>2.0000692360204561E-2</c:v>
                </c:pt>
                <c:pt idx="2767">
                  <c:v>2.0002077779667348E-2</c:v>
                </c:pt>
                <c:pt idx="2768">
                  <c:v>2.0003460612923407E-2</c:v>
                </c:pt>
                <c:pt idx="2769">
                  <c:v>2.0004840873483611E-2</c:v>
                </c:pt>
                <c:pt idx="2770">
                  <c:v>2.0006218574858847E-2</c:v>
                </c:pt>
                <c:pt idx="2771">
                  <c:v>2.0010336458983459E-2</c:v>
                </c:pt>
                <c:pt idx="2772">
                  <c:v>2.0011704058727549E-2</c:v>
                </c:pt>
                <c:pt idx="2773">
                  <c:v>2.0013069166841039E-2</c:v>
                </c:pt>
                <c:pt idx="2774">
                  <c:v>2.0014431796834813E-2</c:v>
                </c:pt>
                <c:pt idx="2775">
                  <c:v>2.0015791962219743E-2</c:v>
                </c:pt>
                <c:pt idx="2776">
                  <c:v>2.0019857805830207E-2</c:v>
                </c:pt>
                <c:pt idx="2777">
                  <c:v>2.002120824788851E-2</c:v>
                </c:pt>
                <c:pt idx="2778">
                  <c:v>2.002255629289235E-2</c:v>
                </c:pt>
                <c:pt idx="2779">
                  <c:v>2.0023901954352597E-2</c:v>
                </c:pt>
                <c:pt idx="2780">
                  <c:v>2.0025245245780126E-2</c:v>
                </c:pt>
                <c:pt idx="2781">
                  <c:v>2.0029261034975186E-2</c:v>
                </c:pt>
                <c:pt idx="2782">
                  <c:v>2.0030594981380614E-2</c:v>
                </c:pt>
                <c:pt idx="2783">
                  <c:v>2.0031926625307703E-2</c:v>
                </c:pt>
                <c:pt idx="2784">
                  <c:v>2.0033255980267336E-2</c:v>
                </c:pt>
                <c:pt idx="2785">
                  <c:v>2.0034583059770381E-2</c:v>
                </c:pt>
                <c:pt idx="2786">
                  <c:v>2.0038550780648767E-2</c:v>
                </c:pt>
                <c:pt idx="2787">
                  <c:v>2.0039868893434232E-2</c:v>
                </c:pt>
                <c:pt idx="2788">
                  <c:v>2.0041184798317489E-2</c:v>
                </c:pt>
                <c:pt idx="2789">
                  <c:v>2.0042498508809417E-2</c:v>
                </c:pt>
                <c:pt idx="2790">
                  <c:v>2.0043810038420883E-2</c:v>
                </c:pt>
                <c:pt idx="2791">
                  <c:v>2.0047731677081328E-2</c:v>
                </c:pt>
                <c:pt idx="2792">
                  <c:v>2.0049034618279737E-2</c:v>
                </c:pt>
                <c:pt idx="2793">
                  <c:v>2.0050335446152066E-2</c:v>
                </c:pt>
                <c:pt idx="2794">
                  <c:v>2.0051634174209198E-2</c:v>
                </c:pt>
                <c:pt idx="2795">
                  <c:v>2.0058096790147507E-2</c:v>
                </c:pt>
                <c:pt idx="2796">
                  <c:v>2.005938320304182E-2</c:v>
                </c:pt>
                <c:pt idx="2797">
                  <c:v>2.0060667610697074E-2</c:v>
                </c:pt>
                <c:pt idx="2798">
                  <c:v>2.0061950026624129E-2</c:v>
                </c:pt>
                <c:pt idx="2799">
                  <c:v>2.0065785459144881E-2</c:v>
                </c:pt>
                <c:pt idx="2800">
                  <c:v>2.0067060043267908E-2</c:v>
                </c:pt>
                <c:pt idx="2801">
                  <c:v>2.0068332703217125E-2</c:v>
                </c:pt>
                <c:pt idx="2802">
                  <c:v>2.0069603452503405E-2</c:v>
                </c:pt>
                <c:pt idx="2803">
                  <c:v>2.0070872304637614E-2</c:v>
                </c:pt>
                <c:pt idx="2804">
                  <c:v>2.0074667613236619E-2</c:v>
                </c:pt>
                <c:pt idx="2805">
                  <c:v>2.0075929011871333E-2</c:v>
                </c:pt>
                <c:pt idx="2806">
                  <c:v>2.0077188580908352E-2</c:v>
                </c:pt>
                <c:pt idx="2807">
                  <c:v>2.0078446333858569E-2</c:v>
                </c:pt>
                <c:pt idx="2808">
                  <c:v>2.007970228423285E-2</c:v>
                </c:pt>
                <c:pt idx="2809">
                  <c:v>2.0083459455008838E-2</c:v>
                </c:pt>
                <c:pt idx="2810">
                  <c:v>2.008470833018814E-2</c:v>
                </c:pt>
                <c:pt idx="2811">
                  <c:v>2.0085955470345883E-2</c:v>
                </c:pt>
                <c:pt idx="2812">
                  <c:v>2.0087200888992941E-2</c:v>
                </c:pt>
                <c:pt idx="2813">
                  <c:v>2.0088444599640203E-2</c:v>
                </c:pt>
                <c:pt idx="2814">
                  <c:v>2.0092165618691912E-2</c:v>
                </c:pt>
                <c:pt idx="2815">
                  <c:v>2.0094638005760081E-2</c:v>
                </c:pt>
                <c:pt idx="2816">
                  <c:v>2.0095871752136906E-2</c:v>
                </c:pt>
                <c:pt idx="2817">
                  <c:v>2.0097103885090055E-2</c:v>
                </c:pt>
                <c:pt idx="2818">
                  <c:v>2.010079073851621E-2</c:v>
                </c:pt>
                <c:pt idx="2819">
                  <c:v>2.010201655288342E-2</c:v>
                </c:pt>
                <c:pt idx="2820">
                  <c:v>2.0103240820716028E-2</c:v>
                </c:pt>
                <c:pt idx="2821">
                  <c:v>2.0104463552198398E-2</c:v>
                </c:pt>
                <c:pt idx="2822">
                  <c:v>2.0105684756849575E-2</c:v>
                </c:pt>
                <c:pt idx="2823">
                  <c:v>2.010933930500652E-2</c:v>
                </c:pt>
                <c:pt idx="2824">
                  <c:v>2.0110554497523487E-2</c:v>
                </c:pt>
                <c:pt idx="2825">
                  <c:v>2.0111768210804532E-2</c:v>
                </c:pt>
                <c:pt idx="2826">
                  <c:v>2.0112980454368712E-2</c:v>
                </c:pt>
                <c:pt idx="2827">
                  <c:v>2.0114191237735082E-2</c:v>
                </c:pt>
                <c:pt idx="2828">
                  <c:v>2.0117814921837857E-2</c:v>
                </c:pt>
                <c:pt idx="2829">
                  <c:v>2.0119019959603517E-2</c:v>
                </c:pt>
                <c:pt idx="2830">
                  <c:v>2.0120223584766631E-2</c:v>
                </c:pt>
                <c:pt idx="2831">
                  <c:v>2.0121425806846262E-2</c:v>
                </c:pt>
                <c:pt idx="2832">
                  <c:v>2.0122626635361452E-2</c:v>
                </c:pt>
                <c:pt idx="2833">
                  <c:v>2.0126220854710958E-2</c:v>
                </c:pt>
                <c:pt idx="2834">
                  <c:v>2.0127416204158952E-2</c:v>
                </c:pt>
                <c:pt idx="2835">
                  <c:v>2.0128610207637777E-2</c:v>
                </c:pt>
                <c:pt idx="2836">
                  <c:v>2.0129802874666487E-2</c:v>
                </c:pt>
                <c:pt idx="2837">
                  <c:v>2.0130994214764136E-2</c:v>
                </c:pt>
                <c:pt idx="2838">
                  <c:v>2.0134560368661281E-2</c:v>
                </c:pt>
                <c:pt idx="2839">
                  <c:v>2.0135746496225237E-2</c:v>
                </c:pt>
                <c:pt idx="2840">
                  <c:v>2.0136931344453404E-2</c:v>
                </c:pt>
                <c:pt idx="2841">
                  <c:v>2.0138114922864835E-2</c:v>
                </c:pt>
                <c:pt idx="2842">
                  <c:v>2.0139297240978581E-2</c:v>
                </c:pt>
                <c:pt idx="2843">
                  <c:v>2.0142836728724269E-2</c:v>
                </c:pt>
                <c:pt idx="2844">
                  <c:v>2.0144014100837829E-2</c:v>
                </c:pt>
                <c:pt idx="2845">
                  <c:v>2.0145190260248969E-2</c:v>
                </c:pt>
                <c:pt idx="2846">
                  <c:v>2.0146365216476756E-2</c:v>
                </c:pt>
                <c:pt idx="2847">
                  <c:v>2.014753897904023E-2</c:v>
                </c:pt>
                <c:pt idx="2848">
                  <c:v>2.0151053199935369E-2</c:v>
                </c:pt>
                <c:pt idx="2849">
                  <c:v>2.0152222283032161E-2</c:v>
                </c:pt>
                <c:pt idx="2850">
                  <c:v>2.0153390220059918E-2</c:v>
                </c:pt>
                <c:pt idx="2851">
                  <c:v>2.0154557020537693E-2</c:v>
                </c:pt>
                <c:pt idx="2852">
                  <c:v>2.0155722693984537E-2</c:v>
                </c:pt>
                <c:pt idx="2853">
                  <c:v>2.0159213047330028E-2</c:v>
                </c:pt>
                <c:pt idx="2854">
                  <c:v>2.016037430784369E-2</c:v>
                </c:pt>
                <c:pt idx="2855">
                  <c:v>2.0161534488921693E-2</c:v>
                </c:pt>
                <c:pt idx="2856">
                  <c:v>2.0162693600083093E-2</c:v>
                </c:pt>
                <c:pt idx="2857">
                  <c:v>2.0163851650846935E-2</c:v>
                </c:pt>
                <c:pt idx="2858">
                  <c:v>2.0167319535943692E-2</c:v>
                </c:pt>
                <c:pt idx="2859">
                  <c:v>2.0168473440307862E-2</c:v>
                </c:pt>
                <c:pt idx="2860">
                  <c:v>2.016962633186975E-2</c:v>
                </c:pt>
                <c:pt idx="2861">
                  <c:v>2.0170778220148403E-2</c:v>
                </c:pt>
                <c:pt idx="2862">
                  <c:v>2.0171929114662888E-2</c:v>
                </c:pt>
                <c:pt idx="2863">
                  <c:v>2.0175375930811805E-2</c:v>
                </c:pt>
                <c:pt idx="2864">
                  <c:v>2.0176522945460119E-2</c:v>
                </c:pt>
                <c:pt idx="2865">
                  <c:v>2.0177669013939525E-2</c:v>
                </c:pt>
                <c:pt idx="2866">
                  <c:v>2.0178814145769077E-2</c:v>
                </c:pt>
                <c:pt idx="2867">
                  <c:v>2.0179958350467826E-2</c:v>
                </c:pt>
                <c:pt idx="2868">
                  <c:v>2.0183385496969818E-2</c:v>
                </c:pt>
                <c:pt idx="2869">
                  <c:v>2.0184526088335913E-2</c:v>
                </c:pt>
                <c:pt idx="2870">
                  <c:v>2.0185665800166466E-2</c:v>
                </c:pt>
                <c:pt idx="2871">
                  <c:v>2.0186804641980548E-2</c:v>
                </c:pt>
                <c:pt idx="2872">
                  <c:v>2.0187942623297206E-2</c:v>
                </c:pt>
                <c:pt idx="2873">
                  <c:v>2.019135149945318E-2</c:v>
                </c:pt>
                <c:pt idx="2874">
                  <c:v>2.0192486133970681E-2</c:v>
                </c:pt>
                <c:pt idx="2875">
                  <c:v>2.019361995558603E-2</c:v>
                </c:pt>
                <c:pt idx="2876">
                  <c:v>2.0194752973818276E-2</c:v>
                </c:pt>
                <c:pt idx="2877">
                  <c:v>2.0195885198186474E-2</c:v>
                </c:pt>
                <c:pt idx="2878">
                  <c:v>2.0199277203297335E-2</c:v>
                </c:pt>
                <c:pt idx="2879">
                  <c:v>2.020040634739988E-2</c:v>
                </c:pt>
                <c:pt idx="2880">
                  <c:v>2.0201534745233656E-2</c:v>
                </c:pt>
                <c:pt idx="2881">
                  <c:v>2.0202662406317701E-2</c:v>
                </c:pt>
                <c:pt idx="2882">
                  <c:v>2.0203789340171075E-2</c:v>
                </c:pt>
                <c:pt idx="2883">
                  <c:v>2.0207165873537724E-2</c:v>
                </c:pt>
                <c:pt idx="2884">
                  <c:v>2.0208289993658955E-2</c:v>
                </c:pt>
                <c:pt idx="2885">
                  <c:v>2.0209413434144789E-2</c:v>
                </c:pt>
                <c:pt idx="2886">
                  <c:v>2.0210536204514268E-2</c:v>
                </c:pt>
                <c:pt idx="2887">
                  <c:v>2.0211658314286462E-2</c:v>
                </c:pt>
                <c:pt idx="2888">
                  <c:v>2.0215020775209799E-2</c:v>
                </c:pt>
                <c:pt idx="2889">
                  <c:v>2.0216140337783347E-2</c:v>
                </c:pt>
                <c:pt idx="2890">
                  <c:v>2.0217259287354877E-2</c:v>
                </c:pt>
                <c:pt idx="2891">
                  <c:v>2.0218377633443429E-2</c:v>
                </c:pt>
                <c:pt idx="2892">
                  <c:v>2.0219495385568068E-2</c:v>
                </c:pt>
                <c:pt idx="2893">
                  <c:v>2.0222845173349008E-2</c:v>
                </c:pt>
                <c:pt idx="2894">
                  <c:v>2.0223960644808515E-2</c:v>
                </c:pt>
                <c:pt idx="2895">
                  <c:v>2.0225075569899369E-2</c:v>
                </c:pt>
                <c:pt idx="2896">
                  <c:v>2.0226189958140628E-2</c:v>
                </c:pt>
                <c:pt idx="2897">
                  <c:v>2.022730381905135E-2</c:v>
                </c:pt>
                <c:pt idx="2898">
                  <c:v>2.0230642332990798E-2</c:v>
                </c:pt>
                <c:pt idx="2899">
                  <c:v>2.0231754179769891E-2</c:v>
                </c:pt>
                <c:pt idx="2900">
                  <c:v>2.0232865546813708E-2</c:v>
                </c:pt>
                <c:pt idx="2901">
                  <c:v>2.0233976443641315E-2</c:v>
                </c:pt>
                <c:pt idx="2902">
                  <c:v>2.0235086879771748E-2</c:v>
                </c:pt>
                <c:pt idx="2903">
                  <c:v>2.0238415519170612E-2</c:v>
                </c:pt>
                <c:pt idx="2904">
                  <c:v>2.023952420770293E-2</c:v>
                </c:pt>
                <c:pt idx="2905">
                  <c:v>2.0240632483133351E-2</c:v>
                </c:pt>
                <c:pt idx="2906">
                  <c:v>2.0241740354980931E-2</c:v>
                </c:pt>
                <c:pt idx="2907">
                  <c:v>2.024284783276472E-2</c:v>
                </c:pt>
                <c:pt idx="2908">
                  <c:v>2.02461679969239E-2</c:v>
                </c:pt>
                <c:pt idx="2909">
                  <c:v>2.0247273993643074E-2</c:v>
                </c:pt>
                <c:pt idx="2910">
                  <c:v>2.0248379643893734E-2</c:v>
                </c:pt>
                <c:pt idx="2911">
                  <c:v>2.0249484957194922E-2</c:v>
                </c:pt>
                <c:pt idx="2912">
                  <c:v>2.0250589943065698E-2</c:v>
                </c:pt>
                <c:pt idx="2913">
                  <c:v>2.0253903031286109E-2</c:v>
                </c:pt>
                <c:pt idx="2914">
                  <c:v>2.0255006802625777E-2</c:v>
                </c:pt>
                <c:pt idx="2915">
                  <c:v>2.0256110294130308E-2</c:v>
                </c:pt>
                <c:pt idx="2916">
                  <c:v>2.0257213515318742E-2</c:v>
                </c:pt>
                <c:pt idx="2917">
                  <c:v>2.025831647571015E-2</c:v>
                </c:pt>
                <c:pt idx="2918">
                  <c:v>2.0261623887292683E-2</c:v>
                </c:pt>
                <c:pt idx="2919">
                  <c:v>2.0262725899686484E-2</c:v>
                </c:pt>
                <c:pt idx="2920">
                  <c:v>2.0263827698878516E-2</c:v>
                </c:pt>
                <c:pt idx="2921">
                  <c:v>2.0264929294387838E-2</c:v>
                </c:pt>
                <c:pt idx="2922">
                  <c:v>2.0266030695733499E-2</c:v>
                </c:pt>
                <c:pt idx="2923">
                  <c:v>2.0269333829979072E-2</c:v>
                </c:pt>
                <c:pt idx="2924">
                  <c:v>2.0270434549860633E-2</c:v>
                </c:pt>
                <c:pt idx="2925">
                  <c:v>2.0271535123173808E-2</c:v>
                </c:pt>
                <c:pt idx="2926">
                  <c:v>2.0272635559437646E-2</c:v>
                </c:pt>
                <c:pt idx="2927">
                  <c:v>2.0273735868171203E-2</c:v>
                </c:pt>
                <c:pt idx="2928">
                  <c:v>2.0277036124380719E-2</c:v>
                </c:pt>
                <c:pt idx="2929">
                  <c:v>2.0278136018183682E-2</c:v>
                </c:pt>
                <c:pt idx="2930">
                  <c:v>2.0279235832051636E-2</c:v>
                </c:pt>
                <c:pt idx="2931">
                  <c:v>2.0280335575503627E-2</c:v>
                </c:pt>
                <c:pt idx="2932">
                  <c:v>2.0281435258058714E-2</c:v>
                </c:pt>
                <c:pt idx="2933">
                  <c:v>2.0284734035533072E-2</c:v>
                </c:pt>
                <c:pt idx="2934">
                  <c:v>2.0285833569691072E-2</c:v>
                </c:pt>
                <c:pt idx="2935">
                  <c:v>2.0286933090547434E-2</c:v>
                </c:pt>
                <c:pt idx="2936">
                  <c:v>2.0288032607621215E-2</c:v>
                </c:pt>
                <c:pt idx="2937">
                  <c:v>2.0289132130431466E-2</c:v>
                </c:pt>
                <c:pt idx="2938">
                  <c:v>2.0292430828471576E-2</c:v>
                </c:pt>
                <c:pt idx="2939">
                  <c:v>2.0293530469418248E-2</c:v>
                </c:pt>
                <c:pt idx="2940">
                  <c:v>2.0294630163696658E-2</c:v>
                </c:pt>
                <c:pt idx="2941">
                  <c:v>2.0295729920825862E-2</c:v>
                </c:pt>
                <c:pt idx="2942">
                  <c:v>2.0296829750324916E-2</c:v>
                </c:pt>
                <c:pt idx="2943">
                  <c:v>2.0300129768231687E-2</c:v>
                </c:pt>
                <c:pt idx="2944">
                  <c:v>2.0301229982400665E-2</c:v>
                </c:pt>
                <c:pt idx="2945">
                  <c:v>2.0302330316534757E-2</c:v>
                </c:pt>
                <c:pt idx="2946">
                  <c:v>2.0303430780153019E-2</c:v>
                </c:pt>
                <c:pt idx="2947">
                  <c:v>2.0304531382774504E-2</c:v>
                </c:pt>
                <c:pt idx="2948">
                  <c:v>2.0307834119848839E-2</c:v>
                </c:pt>
                <c:pt idx="2949">
                  <c:v>2.0308935373673759E-2</c:v>
                </c:pt>
                <c:pt idx="2950">
                  <c:v>2.0310036814097172E-2</c:v>
                </c:pt>
                <c:pt idx="2951">
                  <c:v>2.0311138450638127E-2</c:v>
                </c:pt>
                <c:pt idx="2952">
                  <c:v>2.0312240288901367E-2</c:v>
                </c:pt>
                <c:pt idx="2953">
                  <c:v>2.0315546897842283E-2</c:v>
                </c:pt>
                <c:pt idx="2954">
                  <c:v>2.0316649418983514E-2</c:v>
                </c:pt>
                <c:pt idx="2955">
                  <c:v>2.0317752075927144E-2</c:v>
                </c:pt>
                <c:pt idx="2956">
                  <c:v>2.0318854854706327E-2</c:v>
                </c:pt>
                <c:pt idx="2957">
                  <c:v>2.0319957741354224E-2</c:v>
                </c:pt>
                <c:pt idx="2958">
                  <c:v>2.0323266908841803E-2</c:v>
                </c:pt>
                <c:pt idx="2959">
                  <c:v>2.0324370087296151E-2</c:v>
                </c:pt>
                <c:pt idx="2960">
                  <c:v>2.0325473303785015E-2</c:v>
                </c:pt>
                <c:pt idx="2961">
                  <c:v>2.0326576544341543E-2</c:v>
                </c:pt>
                <c:pt idx="2962">
                  <c:v>2.0327679794998901E-2</c:v>
                </c:pt>
                <c:pt idx="2963">
                  <c:v>2.033098946790755E-2</c:v>
                </c:pt>
                <c:pt idx="2964">
                  <c:v>2.0332092619299816E-2</c:v>
                </c:pt>
                <c:pt idx="2965">
                  <c:v>2.033319571095871E-2</c:v>
                </c:pt>
                <c:pt idx="2966">
                  <c:v>2.0334298728917382E-2</c:v>
                </c:pt>
                <c:pt idx="2967">
                  <c:v>2.033540165920901E-2</c:v>
                </c:pt>
                <c:pt idx="2968">
                  <c:v>2.0338709784413128E-2</c:v>
                </c:pt>
                <c:pt idx="2969">
                  <c:v>2.0339812224368117E-2</c:v>
                </c:pt>
                <c:pt idx="2970">
                  <c:v>2.0340914506821843E-2</c:v>
                </c:pt>
                <c:pt idx="2971">
                  <c:v>2.0342016617807469E-2</c:v>
                </c:pt>
                <c:pt idx="2972">
                  <c:v>2.0343118543358157E-2</c:v>
                </c:pt>
                <c:pt idx="2973">
                  <c:v>2.0346423067732156E-2</c:v>
                </c:pt>
                <c:pt idx="2974">
                  <c:v>2.0347524111874668E-2</c:v>
                </c:pt>
                <c:pt idx="2975">
                  <c:v>2.0348624900748031E-2</c:v>
                </c:pt>
                <c:pt idx="2976">
                  <c:v>2.034972542038541E-2</c:v>
                </c:pt>
                <c:pt idx="2977">
                  <c:v>2.0350825656819962E-2</c:v>
                </c:pt>
                <c:pt idx="2978">
                  <c:v>2.0354124527238247E-2</c:v>
                </c:pt>
                <c:pt idx="2979">
                  <c:v>2.0355223491193081E-2</c:v>
                </c:pt>
                <c:pt idx="2980">
                  <c:v>2.0356322102110889E-2</c:v>
                </c:pt>
                <c:pt idx="2981">
                  <c:v>2.0357420346024818E-2</c:v>
                </c:pt>
                <c:pt idx="2982">
                  <c:v>2.035851820896804E-2</c:v>
                </c:pt>
                <c:pt idx="2983">
                  <c:v>2.0361809372305015E-2</c:v>
                </c:pt>
                <c:pt idx="2984">
                  <c:v>2.0365096604099308E-2</c:v>
                </c:pt>
                <c:pt idx="2985">
                  <c:v>2.0366191409176001E-2</c:v>
                </c:pt>
                <c:pt idx="2986">
                  <c:v>2.0369472812306076E-2</c:v>
                </c:pt>
                <c:pt idx="2987">
                  <c:v>2.0371657764641053E-2</c:v>
                </c:pt>
                <c:pt idx="2988">
                  <c:v>2.0372749403982499E-2</c:v>
                </c:pt>
                <c:pt idx="2989">
                  <c:v>2.037384046681746E-2</c:v>
                </c:pt>
                <c:pt idx="2990">
                  <c:v>2.0377110056615039E-2</c:v>
                </c:pt>
                <c:pt idx="2991">
                  <c:v>2.0378198673755659E-2</c:v>
                </c:pt>
                <c:pt idx="2992">
                  <c:v>2.0379286644555593E-2</c:v>
                </c:pt>
                <c:pt idx="2993">
                  <c:v>2.0380373955047996E-2</c:v>
                </c:pt>
                <c:pt idx="2994">
                  <c:v>2.0381460591266033E-2</c:v>
                </c:pt>
                <c:pt idx="2995">
                  <c:v>2.0384716314605519E-2</c:v>
                </c:pt>
                <c:pt idx="2996">
                  <c:v>2.0385800114057676E-2</c:v>
                </c:pt>
                <c:pt idx="2997">
                  <c:v>2.0386883169401255E-2</c:v>
                </c:pt>
                <c:pt idx="2998">
                  <c:v>2.0387965466669419E-2</c:v>
                </c:pt>
                <c:pt idx="2999">
                  <c:v>2.0389046991895331E-2</c:v>
                </c:pt>
                <c:pt idx="3000">
                  <c:v>2.0392286795651134E-2</c:v>
                </c:pt>
                <c:pt idx="3001">
                  <c:v>2.0393365093039625E-2</c:v>
                </c:pt>
                <c:pt idx="3002">
                  <c:v>2.0394442548551651E-2</c:v>
                </c:pt>
                <c:pt idx="3003">
                  <c:v>2.0395519148220385E-2</c:v>
                </c:pt>
                <c:pt idx="3004">
                  <c:v>2.0396594878078971E-2</c:v>
                </c:pt>
                <c:pt idx="3005">
                  <c:v>2.0399816709125499E-2</c:v>
                </c:pt>
                <c:pt idx="3006">
                  <c:v>2.0400888820075121E-2</c:v>
                </c:pt>
                <c:pt idx="3007">
                  <c:v>2.0401959991380402E-2</c:v>
                </c:pt>
                <c:pt idx="3008">
                  <c:v>2.0403030209074496E-2</c:v>
                </c:pt>
                <c:pt idx="3009">
                  <c:v>2.0404099459190569E-2</c:v>
                </c:pt>
                <c:pt idx="3010">
                  <c:v>2.0407301264402225E-2</c:v>
                </c:pt>
                <c:pt idx="3011">
                  <c:v>2.0408366504537784E-2</c:v>
                </c:pt>
                <c:pt idx="3012">
                  <c:v>2.0409430707261117E-2</c:v>
                </c:pt>
                <c:pt idx="3013">
                  <c:v>2.0410493858605376E-2</c:v>
                </c:pt>
                <c:pt idx="3014">
                  <c:v>2.041155594460373E-2</c:v>
                </c:pt>
                <c:pt idx="3015">
                  <c:v>2.0414735670854917E-2</c:v>
                </c:pt>
                <c:pt idx="3016">
                  <c:v>2.0415793355801216E-2</c:v>
                </c:pt>
                <c:pt idx="3017">
                  <c:v>2.041684990556741E-2</c:v>
                </c:pt>
                <c:pt idx="3018">
                  <c:v>2.0417905306186642E-2</c:v>
                </c:pt>
                <c:pt idx="3019">
                  <c:v>2.0418959543692074E-2</c:v>
                </c:pt>
                <c:pt idx="3020">
                  <c:v>2.0422115137857202E-2</c:v>
                </c:pt>
                <c:pt idx="3021">
                  <c:v>2.0423164583239044E-2</c:v>
                </c:pt>
                <c:pt idx="3022">
                  <c:v>2.0424212795672893E-2</c:v>
                </c:pt>
                <c:pt idx="3023">
                  <c:v>2.0425259761191899E-2</c:v>
                </c:pt>
                <c:pt idx="3024">
                  <c:v>2.0426305465829218E-2</c:v>
                </c:pt>
                <c:pt idx="3025">
                  <c:v>2.0429434874782691E-2</c:v>
                </c:pt>
                <c:pt idx="3026">
                  <c:v>2.0430475396224879E-2</c:v>
                </c:pt>
                <c:pt idx="3027">
                  <c:v>2.043151458695118E-2</c:v>
                </c:pt>
                <c:pt idx="3028">
                  <c:v>2.0432552432994761E-2</c:v>
                </c:pt>
                <c:pt idx="3029">
                  <c:v>2.0433588920388771E-2</c:v>
                </c:pt>
                <c:pt idx="3030">
                  <c:v>2.0436690091004996E-2</c:v>
                </c:pt>
                <c:pt idx="3031">
                  <c:v>2.0437721004132329E-2</c:v>
                </c:pt>
                <c:pt idx="3032">
                  <c:v>2.0438750488775893E-2</c:v>
                </c:pt>
                <c:pt idx="3033">
                  <c:v>2.0439778530968844E-2</c:v>
                </c:pt>
                <c:pt idx="3034">
                  <c:v>2.0440805116744343E-2</c:v>
                </c:pt>
                <c:pt idx="3035">
                  <c:v>2.0443875995897726E-2</c:v>
                </c:pt>
                <c:pt idx="3036">
                  <c:v>2.0444896616335011E-2</c:v>
                </c:pt>
                <c:pt idx="3037">
                  <c:v>2.0445915710520637E-2</c:v>
                </c:pt>
                <c:pt idx="3038">
                  <c:v>2.0446933264487769E-2</c:v>
                </c:pt>
                <c:pt idx="3039">
                  <c:v>2.0447949264269561E-2</c:v>
                </c:pt>
                <c:pt idx="3040">
                  <c:v>2.0450987798834506E-2</c:v>
                </c:pt>
                <c:pt idx="3041">
                  <c:v>2.0451997442206538E-2</c:v>
                </c:pt>
                <c:pt idx="3042">
                  <c:v>2.0453005461559027E-2</c:v>
                </c:pt>
                <c:pt idx="3043">
                  <c:v>2.0454011842925141E-2</c:v>
                </c:pt>
                <c:pt idx="3044">
                  <c:v>2.0455016572338027E-2</c:v>
                </c:pt>
                <c:pt idx="3045">
                  <c:v>2.0458020709188937E-2</c:v>
                </c:pt>
                <c:pt idx="3046">
                  <c:v>2.0459018691120528E-2</c:v>
                </c:pt>
                <c:pt idx="3047">
                  <c:v>2.0460014951264684E-2</c:v>
                </c:pt>
                <c:pt idx="3048">
                  <c:v>2.0461009475654574E-2</c:v>
                </c:pt>
                <c:pt idx="3049">
                  <c:v>2.0462002250323356E-2</c:v>
                </c:pt>
                <c:pt idx="3050">
                  <c:v>2.0464969936334645E-2</c:v>
                </c:pt>
                <c:pt idx="3051">
                  <c:v>2.0465955572450584E-2</c:v>
                </c:pt>
                <c:pt idx="3052">
                  <c:v>2.0466939389011212E-2</c:v>
                </c:pt>
                <c:pt idx="3053">
                  <c:v>2.0467921372049686E-2</c:v>
                </c:pt>
                <c:pt idx="3054">
                  <c:v>2.0468901507599165E-2</c:v>
                </c:pt>
                <c:pt idx="3055">
                  <c:v>2.0471830689645233E-2</c:v>
                </c:pt>
                <c:pt idx="3056">
                  <c:v>2.0472803295570333E-2</c:v>
                </c:pt>
                <c:pt idx="3057">
                  <c:v>2.047377398417223E-2</c:v>
                </c:pt>
                <c:pt idx="3058">
                  <c:v>2.047474274148409E-2</c:v>
                </c:pt>
                <c:pt idx="3059">
                  <c:v>2.047570955353907E-2</c:v>
                </c:pt>
                <c:pt idx="3060">
                  <c:v>2.0478598178494324E-2</c:v>
                </c:pt>
                <c:pt idx="3061">
                  <c:v>2.0479557069853379E-2</c:v>
                </c:pt>
                <c:pt idx="3062">
                  <c:v>2.048051394612135E-2</c:v>
                </c:pt>
                <c:pt idx="3063">
                  <c:v>2.04814687933314E-2</c:v>
                </c:pt>
                <c:pt idx="3064">
                  <c:v>2.0486212104673343E-2</c:v>
                </c:pt>
                <c:pt idx="3065">
                  <c:v>2.0487154484232196E-2</c:v>
                </c:pt>
                <c:pt idx="3066">
                  <c:v>2.048809473696523E-2</c:v>
                </c:pt>
                <c:pt idx="3067">
                  <c:v>2.0489032848905617E-2</c:v>
                </c:pt>
                <c:pt idx="3068">
                  <c:v>2.0491834200302466E-2</c:v>
                </c:pt>
                <c:pt idx="3069">
                  <c:v>2.0492763609403841E-2</c:v>
                </c:pt>
                <c:pt idx="3070">
                  <c:v>2.0494615781759189E-2</c:v>
                </c:pt>
                <c:pt idx="3071">
                  <c:v>2.0495538517079484E-2</c:v>
                </c:pt>
                <c:pt idx="3072">
                  <c:v>2.0498293152008736E-2</c:v>
                </c:pt>
                <c:pt idx="3073">
                  <c:v>2.0499206793418479E-2</c:v>
                </c:pt>
                <c:pt idx="3074">
                  <c:v>2.0500118126433479E-2</c:v>
                </c:pt>
                <c:pt idx="3075">
                  <c:v>2.0501027141156623E-2</c:v>
                </c:pt>
                <c:pt idx="3076">
                  <c:v>2.05019338439697E-2</c:v>
                </c:pt>
                <c:pt idx="3077">
                  <c:v>2.0504640185463635E-2</c:v>
                </c:pt>
                <c:pt idx="3078">
                  <c:v>2.0505537745151549E-2</c:v>
                </c:pt>
                <c:pt idx="3079">
                  <c:v>2.0506433045186949E-2</c:v>
                </c:pt>
                <c:pt idx="3080">
                  <c:v>2.0507326096021357E-2</c:v>
                </c:pt>
                <c:pt idx="3081">
                  <c:v>2.0508216908106267E-2</c:v>
                </c:pt>
                <c:pt idx="3082">
                  <c:v>2.0510876016379184E-2</c:v>
                </c:pt>
                <c:pt idx="3083">
                  <c:v>2.0511757977981254E-2</c:v>
                </c:pt>
                <c:pt idx="3084">
                  <c:v>2.0512637753091392E-2</c:v>
                </c:pt>
                <c:pt idx="3085">
                  <c:v>2.0513515352161105E-2</c:v>
                </c:pt>
                <c:pt idx="3086">
                  <c:v>2.0514390785641913E-2</c:v>
                </c:pt>
                <c:pt idx="3087">
                  <c:v>2.051700419706599E-2</c:v>
                </c:pt>
                <c:pt idx="3088">
                  <c:v>2.0517871072706272E-2</c:v>
                </c:pt>
                <c:pt idx="3089">
                  <c:v>2.0518735835015199E-2</c:v>
                </c:pt>
                <c:pt idx="3090">
                  <c:v>2.0519598494444288E-2</c:v>
                </c:pt>
                <c:pt idx="3091">
                  <c:v>2.0520459061445045E-2</c:v>
                </c:pt>
                <c:pt idx="3092">
                  <c:v>2.0523028312392451E-2</c:v>
                </c:pt>
                <c:pt idx="3093">
                  <c:v>2.0523880614195005E-2</c:v>
                </c:pt>
                <c:pt idx="3094">
                  <c:v>2.0524730875826784E-2</c:v>
                </c:pt>
                <c:pt idx="3095">
                  <c:v>2.0525579107739302E-2</c:v>
                </c:pt>
                <c:pt idx="3096">
                  <c:v>2.0526425320384071E-2</c:v>
                </c:pt>
                <c:pt idx="3097">
                  <c:v>2.0528951947226988E-2</c:v>
                </c:pt>
                <c:pt idx="3098">
                  <c:v>2.0529790187315867E-2</c:v>
                </c:pt>
                <c:pt idx="3099">
                  <c:v>2.0530626460394552E-2</c:v>
                </c:pt>
                <c:pt idx="3100">
                  <c:v>2.0531460776914558E-2</c:v>
                </c:pt>
                <c:pt idx="3101">
                  <c:v>2.0532293147327393E-2</c:v>
                </c:pt>
                <c:pt idx="3102">
                  <c:v>2.053477868643799E-2</c:v>
                </c:pt>
                <c:pt idx="3103">
                  <c:v>2.0535603376937255E-2</c:v>
                </c:pt>
                <c:pt idx="3104">
                  <c:v>2.0536426173586905E-2</c:v>
                </c:pt>
                <c:pt idx="3105">
                  <c:v>2.0537247086838462E-2</c:v>
                </c:pt>
                <c:pt idx="3106">
                  <c:v>2.0538066127143418E-2</c:v>
                </c:pt>
                <c:pt idx="3107">
                  <c:v>2.0540512114893869E-2</c:v>
                </c:pt>
                <c:pt idx="3108">
                  <c:v>2.0541323767927583E-2</c:v>
                </c:pt>
                <c:pt idx="3109">
                  <c:v>2.0542133600272256E-2</c:v>
                </c:pt>
                <c:pt idx="3110">
                  <c:v>2.0542941622379414E-2</c:v>
                </c:pt>
                <c:pt idx="3111">
                  <c:v>2.0543747844700561E-2</c:v>
                </c:pt>
                <c:pt idx="3112">
                  <c:v>2.0546155817463038E-2</c:v>
                </c:pt>
                <c:pt idx="3113">
                  <c:v>2.0546954945155252E-2</c:v>
                </c:pt>
                <c:pt idx="3114">
                  <c:v>2.0547752325319007E-2</c:v>
                </c:pt>
                <c:pt idx="3115">
                  <c:v>2.0548547968405825E-2</c:v>
                </c:pt>
                <c:pt idx="3116">
                  <c:v>2.054934188486721E-2</c:v>
                </c:pt>
                <c:pt idx="3117">
                  <c:v>2.0551713379013892E-2</c:v>
                </c:pt>
                <c:pt idx="3118">
                  <c:v>2.0552500493488664E-2</c:v>
                </c:pt>
                <c:pt idx="3119">
                  <c:v>2.0553285933595563E-2</c:v>
                </c:pt>
                <c:pt idx="3120">
                  <c:v>2.0554069709786099E-2</c:v>
                </c:pt>
                <c:pt idx="3121">
                  <c:v>2.0554851832511784E-2</c:v>
                </c:pt>
                <c:pt idx="3122">
                  <c:v>2.0557188384414841E-2</c:v>
                </c:pt>
                <c:pt idx="3123">
                  <c:v>2.0557963997796233E-2</c:v>
                </c:pt>
                <c:pt idx="3124">
                  <c:v>2.055873800997033E-2</c:v>
                </c:pt>
                <c:pt idx="3125">
                  <c:v>2.0559510431388643E-2</c:v>
                </c:pt>
                <c:pt idx="3126">
                  <c:v>2.0560281272502687E-2</c:v>
                </c:pt>
                <c:pt idx="3127">
                  <c:v>2.0562584418534296E-2</c:v>
                </c:pt>
                <c:pt idx="3128">
                  <c:v>2.0563349042946356E-2</c:v>
                </c:pt>
                <c:pt idx="3129">
                  <c:v>2.0564112139311714E-2</c:v>
                </c:pt>
                <c:pt idx="3130">
                  <c:v>2.0564873718081866E-2</c:v>
                </c:pt>
                <c:pt idx="3131">
                  <c:v>2.0565633789708323E-2</c:v>
                </c:pt>
                <c:pt idx="3132">
                  <c:v>2.0567905066240653E-2</c:v>
                </c:pt>
                <c:pt idx="3133">
                  <c:v>2.0568659213807454E-2</c:v>
                </c:pt>
                <c:pt idx="3134">
                  <c:v>2.0569411906488123E-2</c:v>
                </c:pt>
                <c:pt idx="3135">
                  <c:v>2.0570163154734165E-2</c:v>
                </c:pt>
                <c:pt idx="3136">
                  <c:v>2.0570912968997098E-2</c:v>
                </c:pt>
                <c:pt idx="3137">
                  <c:v>2.0573153912402321E-2</c:v>
                </c:pt>
                <c:pt idx="3138">
                  <c:v>2.0573898095247917E-2</c:v>
                </c:pt>
                <c:pt idx="3139">
                  <c:v>2.0574640896367954E-2</c:v>
                </c:pt>
                <c:pt idx="3140">
                  <c:v>2.0575382326213951E-2</c:v>
                </c:pt>
                <c:pt idx="3141">
                  <c:v>2.0576122395237411E-2</c:v>
                </c:pt>
                <c:pt idx="3142">
                  <c:v>2.0578334541887712E-2</c:v>
                </c:pt>
                <c:pt idx="3143">
                  <c:v>2.0579069272136159E-2</c:v>
                </c:pt>
                <c:pt idx="3144">
                  <c:v>2.0579802693819628E-2</c:v>
                </c:pt>
                <c:pt idx="3145">
                  <c:v>2.0580534817389633E-2</c:v>
                </c:pt>
                <c:pt idx="3146">
                  <c:v>2.0581265653297681E-2</c:v>
                </c:pt>
                <c:pt idx="3147">
                  <c:v>2.0583450539565232E-2</c:v>
                </c:pt>
                <c:pt idx="3148">
                  <c:v>2.0584176329340582E-2</c:v>
                </c:pt>
                <c:pt idx="3149">
                  <c:v>2.0584900883711538E-2</c:v>
                </c:pt>
                <c:pt idx="3150">
                  <c:v>2.0585624213129611E-2</c:v>
                </c:pt>
                <c:pt idx="3151">
                  <c:v>2.0586346328046307E-2</c:v>
                </c:pt>
                <c:pt idx="3152">
                  <c:v>2.0588505490303277E-2</c:v>
                </c:pt>
                <c:pt idx="3153">
                  <c:v>2.0589222851729597E-2</c:v>
                </c:pt>
                <c:pt idx="3154">
                  <c:v>2.0589939050912092E-2</c:v>
                </c:pt>
                <c:pt idx="3155">
                  <c:v>2.059065409830229E-2</c:v>
                </c:pt>
                <c:pt idx="3156">
                  <c:v>2.0591368004351698E-2</c:v>
                </c:pt>
                <c:pt idx="3157">
                  <c:v>2.0593502978970259E-2</c:v>
                </c:pt>
                <c:pt idx="3158">
                  <c:v>2.0594212424171601E-2</c:v>
                </c:pt>
                <c:pt idx="3159">
                  <c:v>2.0594920780289707E-2</c:v>
                </c:pt>
                <c:pt idx="3160">
                  <c:v>2.0595628057776087E-2</c:v>
                </c:pt>
                <c:pt idx="3161">
                  <c:v>2.0596334267082253E-2</c:v>
                </c:pt>
                <c:pt idx="3162">
                  <c:v>2.0598446590434583E-2</c:v>
                </c:pt>
                <c:pt idx="3163">
                  <c:v>2.0599148631535003E-2</c:v>
                </c:pt>
                <c:pt idx="3164">
                  <c:v>2.0599849656712774E-2</c:v>
                </c:pt>
                <c:pt idx="3165">
                  <c:v>2.0600549676419392E-2</c:v>
                </c:pt>
                <c:pt idx="3166">
                  <c:v>2.060124870110638E-2</c:v>
                </c:pt>
                <c:pt idx="3167">
                  <c:v>2.0603339909564655E-2</c:v>
                </c:pt>
                <c:pt idx="3168">
                  <c:v>2.0604035058688217E-2</c:v>
                </c:pt>
                <c:pt idx="3169">
                  <c:v>2.0604729265049703E-2</c:v>
                </c:pt>
                <c:pt idx="3170">
                  <c:v>2.0605422539100627E-2</c:v>
                </c:pt>
                <c:pt idx="3171">
                  <c:v>2.0606114891292493E-2</c:v>
                </c:pt>
                <c:pt idx="3172">
                  <c:v>2.0608186521228877E-2</c:v>
                </c:pt>
                <c:pt idx="3173">
                  <c:v>2.0608875290499644E-2</c:v>
                </c:pt>
                <c:pt idx="3174">
                  <c:v>2.0609563190168906E-2</c:v>
                </c:pt>
                <c:pt idx="3175">
                  <c:v>2.0610250230688187E-2</c:v>
                </c:pt>
                <c:pt idx="3176">
                  <c:v>2.0610936422508989E-2</c:v>
                </c:pt>
                <c:pt idx="3177">
                  <c:v>2.0612990010295661E-2</c:v>
                </c:pt>
                <c:pt idx="3178">
                  <c:v>2.0613672911837681E-2</c:v>
                </c:pt>
                <c:pt idx="3179">
                  <c:v>2.0614355016938785E-2</c:v>
                </c:pt>
                <c:pt idx="3180">
                  <c:v>2.0615036336050475E-2</c:v>
                </c:pt>
                <c:pt idx="3181">
                  <c:v>2.0615716879624275E-2</c:v>
                </c:pt>
                <c:pt idx="3182">
                  <c:v>2.0617753961633414E-2</c:v>
                </c:pt>
                <c:pt idx="3183">
                  <c:v>2.0618431507570745E-2</c:v>
                </c:pt>
                <c:pt idx="3184">
                  <c:v>2.0619108330227742E-2</c:v>
                </c:pt>
                <c:pt idx="3185">
                  <c:v>2.0619784440055907E-2</c:v>
                </c:pt>
                <c:pt idx="3186">
                  <c:v>2.062045984750676E-2</c:v>
                </c:pt>
                <c:pt idx="3187">
                  <c:v>2.0622481960110534E-2</c:v>
                </c:pt>
                <c:pt idx="3188">
                  <c:v>2.0623154662567238E-2</c:v>
                </c:pt>
                <c:pt idx="3189">
                  <c:v>2.0623826714904182E-2</c:v>
                </c:pt>
                <c:pt idx="3190">
                  <c:v>2.0624498127572884E-2</c:v>
                </c:pt>
                <c:pt idx="3191">
                  <c:v>2.0625168911024849E-2</c:v>
                </c:pt>
                <c:pt idx="3192">
                  <c:v>2.0627177590595437E-2</c:v>
                </c:pt>
                <c:pt idx="3193">
                  <c:v>2.0627845961695566E-2</c:v>
                </c:pt>
                <c:pt idx="3194">
                  <c:v>2.0628513755836523E-2</c:v>
                </c:pt>
                <c:pt idx="3195">
                  <c:v>2.0629180983469813E-2</c:v>
                </c:pt>
                <c:pt idx="3196">
                  <c:v>2.062984765504694E-2</c:v>
                </c:pt>
                <c:pt idx="3197">
                  <c:v>2.0631844437956518E-2</c:v>
                </c:pt>
                <c:pt idx="3198">
                  <c:v>2.063250898982414E-2</c:v>
                </c:pt>
                <c:pt idx="3199">
                  <c:v>2.0633173037893159E-2</c:v>
                </c:pt>
                <c:pt idx="3200">
                  <c:v>2.0633836592615095E-2</c:v>
                </c:pt>
                <c:pt idx="3201">
                  <c:v>2.0634499664441454E-2</c:v>
                </c:pt>
                <c:pt idx="3202">
                  <c:v>2.0636486087062183E-2</c:v>
                </c:pt>
                <c:pt idx="3203">
                  <c:v>2.0637147331821357E-2</c:v>
                </c:pt>
                <c:pt idx="3204">
                  <c:v>2.0637808145942502E-2</c:v>
                </c:pt>
                <c:pt idx="3205">
                  <c:v>2.063846853987714E-2</c:v>
                </c:pt>
                <c:pt idx="3206">
                  <c:v>2.0639128524076785E-2</c:v>
                </c:pt>
                <c:pt idx="3207">
                  <c:v>2.0641105978688182E-2</c:v>
                </c:pt>
                <c:pt idx="3208">
                  <c:v>2.0641764231002634E-2</c:v>
                </c:pt>
                <c:pt idx="3209">
                  <c:v>2.0642421997757274E-2</c:v>
                </c:pt>
                <c:pt idx="3210">
                  <c:v>2.0643079257383023E-2</c:v>
                </c:pt>
                <c:pt idx="3211">
                  <c:v>2.0643735988310798E-2</c:v>
                </c:pt>
                <c:pt idx="3212">
                  <c:v>2.0645702793215478E-2</c:v>
                </c:pt>
                <c:pt idx="3213">
                  <c:v>2.0646357193660547E-2</c:v>
                </c:pt>
                <c:pt idx="3214">
                  <c:v>2.0647010957562245E-2</c:v>
                </c:pt>
                <c:pt idx="3215">
                  <c:v>2.064766406335148E-2</c:v>
                </c:pt>
                <c:pt idx="3216">
                  <c:v>2.0648316489459171E-2</c:v>
                </c:pt>
                <c:pt idx="3217">
                  <c:v>2.0650269474002191E-2</c:v>
                </c:pt>
                <c:pt idx="3218">
                  <c:v>2.0650918965692915E-2</c:v>
                </c:pt>
                <c:pt idx="3219">
                  <c:v>2.065156766985668E-2</c:v>
                </c:pt>
                <c:pt idx="3220">
                  <c:v>2.0652215564924425E-2</c:v>
                </c:pt>
                <c:pt idx="3221">
                  <c:v>2.0652862629327053E-2</c:v>
                </c:pt>
                <c:pt idx="3222">
                  <c:v>2.0654798622853476E-2</c:v>
                </c:pt>
                <c:pt idx="3223">
                  <c:v>2.0655442148904853E-2</c:v>
                </c:pt>
                <c:pt idx="3224">
                  <c:v>2.0656084736445719E-2</c:v>
                </c:pt>
                <c:pt idx="3225">
                  <c:v>2.0656726363906981E-2</c:v>
                </c:pt>
                <c:pt idx="3226">
                  <c:v>2.0657367009719568E-2</c:v>
                </c:pt>
                <c:pt idx="3227">
                  <c:v>2.0659282841574447E-2</c:v>
                </c:pt>
                <c:pt idx="3228">
                  <c:v>2.0659919345101512E-2</c:v>
                </c:pt>
                <c:pt idx="3229">
                  <c:v>2.0660554759134486E-2</c:v>
                </c:pt>
                <c:pt idx="3230">
                  <c:v>2.0661189062104294E-2</c:v>
                </c:pt>
                <c:pt idx="3231">
                  <c:v>2.0661822232441861E-2</c:v>
                </c:pt>
                <c:pt idx="3232">
                  <c:v>2.0663714731970255E-2</c:v>
                </c:pt>
                <c:pt idx="3233">
                  <c:v>2.0664343156088019E-2</c:v>
                </c:pt>
                <c:pt idx="3234">
                  <c:v>2.0664970339728129E-2</c:v>
                </c:pt>
                <c:pt idx="3235">
                  <c:v>2.0665596261321507E-2</c:v>
                </c:pt>
                <c:pt idx="3236">
                  <c:v>2.0666220899299068E-2</c:v>
                </c:pt>
                <c:pt idx="3237">
                  <c:v>2.0668086895846035E-2</c:v>
                </c:pt>
                <c:pt idx="3238">
                  <c:v>2.0668706183669519E-2</c:v>
                </c:pt>
                <c:pt idx="3239">
                  <c:v>2.0670555612096318E-2</c:v>
                </c:pt>
                <c:pt idx="3240">
                  <c:v>2.0672391935006928E-2</c:v>
                </c:pt>
                <c:pt idx="3241">
                  <c:v>2.0673001029651149E-2</c:v>
                </c:pt>
                <c:pt idx="3242">
                  <c:v>2.067421457003615E-2</c:v>
                </c:pt>
                <c:pt idx="3243">
                  <c:v>2.0674818972638762E-2</c:v>
                </c:pt>
                <c:pt idx="3244">
                  <c:v>2.0676622451258061E-2</c:v>
                </c:pt>
                <c:pt idx="3245">
                  <c:v>2.0677220295838048E-2</c:v>
                </c:pt>
                <c:pt idx="3246">
                  <c:v>2.0677816446989673E-2</c:v>
                </c:pt>
                <c:pt idx="3247">
                  <c:v>2.0678410883143861E-2</c:v>
                </c:pt>
                <c:pt idx="3248">
                  <c:v>2.0679003582731524E-2</c:v>
                </c:pt>
                <c:pt idx="3249">
                  <c:v>2.0680771046404579E-2</c:v>
                </c:pt>
                <c:pt idx="3250">
                  <c:v>2.0681356584035342E-2</c:v>
                </c:pt>
                <c:pt idx="3251">
                  <c:v>2.0681940277254188E-2</c:v>
                </c:pt>
                <c:pt idx="3252">
                  <c:v>2.0682522104492018E-2</c:v>
                </c:pt>
                <c:pt idx="3253">
                  <c:v>2.0683102044179755E-2</c:v>
                </c:pt>
                <c:pt idx="3254">
                  <c:v>2.0684830322251619E-2</c:v>
                </c:pt>
                <c:pt idx="3255">
                  <c:v>2.0685402496048187E-2</c:v>
                </c:pt>
                <c:pt idx="3256">
                  <c:v>2.0685972674449254E-2</c:v>
                </c:pt>
                <c:pt idx="3257">
                  <c:v>2.0686540835885746E-2</c:v>
                </c:pt>
                <c:pt idx="3258">
                  <c:v>2.068710695878858E-2</c:v>
                </c:pt>
                <c:pt idx="3259">
                  <c:v>2.068879288060432E-2</c:v>
                </c:pt>
                <c:pt idx="3260">
                  <c:v>2.0689350633681707E-2</c:v>
                </c:pt>
                <c:pt idx="3261">
                  <c:v>2.0689906240380026E-2</c:v>
                </c:pt>
                <c:pt idx="3262">
                  <c:v>2.0690459679130201E-2</c:v>
                </c:pt>
                <c:pt idx="3263">
                  <c:v>2.0691010928363143E-2</c:v>
                </c:pt>
                <c:pt idx="3264">
                  <c:v>2.0692651323267811E-2</c:v>
                </c:pt>
                <c:pt idx="3265">
                  <c:v>2.0693193598741041E-2</c:v>
                </c:pt>
                <c:pt idx="3266">
                  <c:v>2.0693733576851631E-2</c:v>
                </c:pt>
                <c:pt idx="3267">
                  <c:v>2.0694271236030504E-2</c:v>
                </c:pt>
                <c:pt idx="3268">
                  <c:v>2.0694806554708584E-2</c:v>
                </c:pt>
                <c:pt idx="3269">
                  <c:v>2.0696398252047239E-2</c:v>
                </c:pt>
                <c:pt idx="3270">
                  <c:v>2.0696923993031323E-2</c:v>
                </c:pt>
                <c:pt idx="3271">
                  <c:v>2.0697447285669201E-2</c:v>
                </c:pt>
                <c:pt idx="3272">
                  <c:v>2.0697968108391803E-2</c:v>
                </c:pt>
                <c:pt idx="3273">
                  <c:v>2.0698486439630032E-2</c:v>
                </c:pt>
                <c:pt idx="3274">
                  <c:v>2.0700026268747736E-2</c:v>
                </c:pt>
                <c:pt idx="3275">
                  <c:v>2.0700534418357695E-2</c:v>
                </c:pt>
                <c:pt idx="3276">
                  <c:v>2.070103996863789E-2</c:v>
                </c:pt>
                <c:pt idx="3277">
                  <c:v>2.0701542898019225E-2</c:v>
                </c:pt>
                <c:pt idx="3278">
                  <c:v>2.0702043184932635E-2</c:v>
                </c:pt>
                <c:pt idx="3279">
                  <c:v>2.0703527975174437E-2</c:v>
                </c:pt>
                <c:pt idx="3280">
                  <c:v>2.0704017476525297E-2</c:v>
                </c:pt>
                <c:pt idx="3281">
                  <c:v>2.0704504227562821E-2</c:v>
                </c:pt>
                <c:pt idx="3282">
                  <c:v>2.0704988206717921E-2</c:v>
                </c:pt>
                <c:pt idx="3283">
                  <c:v>2.0705469392421516E-2</c:v>
                </c:pt>
                <c:pt idx="3284">
                  <c:v>2.0706895973132487E-2</c:v>
                </c:pt>
                <c:pt idx="3285">
                  <c:v>2.0707365769339264E-2</c:v>
                </c:pt>
                <c:pt idx="3286">
                  <c:v>2.070783266424913E-2</c:v>
                </c:pt>
                <c:pt idx="3287">
                  <c:v>2.0708296636293012E-2</c:v>
                </c:pt>
                <c:pt idx="3288">
                  <c:v>2.0708757663901824E-2</c:v>
                </c:pt>
                <c:pt idx="3289">
                  <c:v>2.0710122864427017E-2</c:v>
                </c:pt>
                <c:pt idx="3290">
                  <c:v>2.0710571898604733E-2</c:v>
                </c:pt>
                <c:pt idx="3291">
                  <c:v>2.0711017880501972E-2</c:v>
                </c:pt>
                <c:pt idx="3292">
                  <c:v>2.071146078854965E-2</c:v>
                </c:pt>
                <c:pt idx="3293">
                  <c:v>2.0711900601178692E-2</c:v>
                </c:pt>
                <c:pt idx="3294">
                  <c:v>2.0713201250863164E-2</c:v>
                </c:pt>
                <c:pt idx="3295">
                  <c:v>2.071362846612684E-2</c:v>
                </c:pt>
                <c:pt idx="3296">
                  <c:v>2.0714052478126462E-2</c:v>
                </c:pt>
                <c:pt idx="3297">
                  <c:v>2.0714473265292965E-2</c:v>
                </c:pt>
                <c:pt idx="3298">
                  <c:v>2.0714890806057255E-2</c:v>
                </c:pt>
                <c:pt idx="3299">
                  <c:v>2.0716123734246073E-2</c:v>
                </c:pt>
                <c:pt idx="3300">
                  <c:v>2.0716528073710719E-2</c:v>
                </c:pt>
                <c:pt idx="3301">
                  <c:v>2.0716929058927757E-2</c:v>
                </c:pt>
                <c:pt idx="3302">
                  <c:v>2.0717326668328092E-2</c:v>
                </c:pt>
                <c:pt idx="3303">
                  <c:v>2.0717720880342655E-2</c:v>
                </c:pt>
                <c:pt idx="3304">
                  <c:v>2.0718882916380875E-2</c:v>
                </c:pt>
                <c:pt idx="3305">
                  <c:v>2.0719263323161513E-2</c:v>
                </c:pt>
                <c:pt idx="3306">
                  <c:v>2.0719640224710976E-2</c:v>
                </c:pt>
                <c:pt idx="3307">
                  <c:v>2.0720013599460175E-2</c:v>
                </c:pt>
                <c:pt idx="3308">
                  <c:v>2.0720383425840028E-2</c:v>
                </c:pt>
                <c:pt idx="3309">
                  <c:v>2.07214713990727E-2</c:v>
                </c:pt>
                <c:pt idx="3310">
                  <c:v>2.0721826816284362E-2</c:v>
                </c:pt>
                <c:pt idx="3311">
                  <c:v>2.0722178577281265E-2</c:v>
                </c:pt>
                <c:pt idx="3312">
                  <c:v>2.0722526660494345E-2</c:v>
                </c:pt>
                <c:pt idx="3313">
                  <c:v>2.0724211154884393E-2</c:v>
                </c:pt>
                <c:pt idx="3314">
                  <c:v>2.0724536718443771E-2</c:v>
                </c:pt>
                <c:pt idx="3315">
                  <c:v>2.0724858453235746E-2</c:v>
                </c:pt>
                <c:pt idx="3316">
                  <c:v>2.0725176337691241E-2</c:v>
                </c:pt>
                <c:pt idx="3317">
                  <c:v>2.0726106673348007E-2</c:v>
                </c:pt>
                <c:pt idx="3318">
                  <c:v>2.0726408940766754E-2</c:v>
                </c:pt>
                <c:pt idx="3319">
                  <c:v>2.0726707250003619E-2</c:v>
                </c:pt>
                <c:pt idx="3320">
                  <c:v>2.072700157948951E-2</c:v>
                </c:pt>
                <c:pt idx="3321">
                  <c:v>2.0727291907655349E-2</c:v>
                </c:pt>
                <c:pt idx="3322">
                  <c:v>2.0728138668541753E-2</c:v>
                </c:pt>
                <c:pt idx="3323">
                  <c:v>2.0728412775736581E-2</c:v>
                </c:pt>
                <c:pt idx="3324">
                  <c:v>2.0728682773765945E-2</c:v>
                </c:pt>
                <c:pt idx="3325">
                  <c:v>2.0729210356051984E-2</c:v>
                </c:pt>
                <c:pt idx="3326">
                  <c:v>2.0729970371513081E-2</c:v>
                </c:pt>
                <c:pt idx="3327">
                  <c:v>2.0730215261599003E-2</c:v>
                </c:pt>
                <c:pt idx="3328">
                  <c:v>2.0730455891535892E-2</c:v>
                </c:pt>
                <c:pt idx="3329">
                  <c:v>2.073069223975468E-2</c:v>
                </c:pt>
                <c:pt idx="3330">
                  <c:v>2.0730924291915691E-2</c:v>
                </c:pt>
                <c:pt idx="3331">
                  <c:v>2.0731594846749399E-2</c:v>
                </c:pt>
                <c:pt idx="3332">
                  <c:v>2.0731809903835476E-2</c:v>
                </c:pt>
                <c:pt idx="3333">
                  <c:v>2.0732020766671272E-2</c:v>
                </c:pt>
                <c:pt idx="3334">
                  <c:v>2.0732227457064167E-2</c:v>
                </c:pt>
                <c:pt idx="3335">
                  <c:v>2.0732429996821549E-2</c:v>
                </c:pt>
                <c:pt idx="3336">
                  <c:v>2.0733012930354424E-2</c:v>
                </c:pt>
                <c:pt idx="3337">
                  <c:v>2.0733199085643562E-2</c:v>
                </c:pt>
                <c:pt idx="3338">
                  <c:v>2.0733381199334096E-2</c:v>
                </c:pt>
                <c:pt idx="3339">
                  <c:v>2.0733559293233405E-2</c:v>
                </c:pt>
                <c:pt idx="3340">
                  <c:v>2.0733733389148877E-2</c:v>
                </c:pt>
                <c:pt idx="3341">
                  <c:v>2.0734231907066039E-2</c:v>
                </c:pt>
                <c:pt idx="3342">
                  <c:v>2.0734390229119957E-2</c:v>
                </c:pt>
                <c:pt idx="3343">
                  <c:v>2.0734544662226937E-2</c:v>
                </c:pt>
                <c:pt idx="3344">
                  <c:v>2.0734695228194367E-2</c:v>
                </c:pt>
                <c:pt idx="3345">
                  <c:v>2.0734841948829637E-2</c:v>
                </c:pt>
                <c:pt idx="3346">
                  <c:v>2.0735259256816223E-2</c:v>
                </c:pt>
                <c:pt idx="3347">
                  <c:v>2.073539081419663E-2</c:v>
                </c:pt>
                <c:pt idx="3348">
                  <c:v>2.0735518635281773E-2</c:v>
                </c:pt>
                <c:pt idx="3349">
                  <c:v>2.0735642741879039E-2</c:v>
                </c:pt>
                <c:pt idx="3350">
                  <c:v>2.0735763155795808E-2</c:v>
                </c:pt>
                <c:pt idx="3351">
                  <c:v>2.0736102459536953E-2</c:v>
                </c:pt>
                <c:pt idx="3352">
                  <c:v>2.0736208320805558E-2</c:v>
                </c:pt>
                <c:pt idx="3353">
                  <c:v>2.0736310598430573E-2</c:v>
                </c:pt>
                <c:pt idx="3354">
                  <c:v>2.0736409314219384E-2</c:v>
                </c:pt>
                <c:pt idx="3355">
                  <c:v>2.0736504489979369E-2</c:v>
                </c:pt>
                <c:pt idx="3356">
                  <c:v>2.0736768995160203E-2</c:v>
                </c:pt>
                <c:pt idx="3357">
                  <c:v>2.0736850228878716E-2</c:v>
                </c:pt>
                <c:pt idx="3358">
                  <c:v>2.0736928031605317E-2</c:v>
                </c:pt>
                <c:pt idx="3359">
                  <c:v>2.0737002425147377E-2</c:v>
                </c:pt>
                <c:pt idx="3360">
                  <c:v>2.073707343131229E-2</c:v>
                </c:pt>
                <c:pt idx="3361">
                  <c:v>2.0737266343617951E-2</c:v>
                </c:pt>
                <c:pt idx="3362">
                  <c:v>2.0737324018348081E-2</c:v>
                </c:pt>
                <c:pt idx="3363">
                  <c:v>2.073737841473797E-2</c:v>
                </c:pt>
                <c:pt idx="3364">
                  <c:v>2.0737429554595E-2</c:v>
                </c:pt>
                <c:pt idx="3365">
                  <c:v>2.0737477459726553E-2</c:v>
                </c:pt>
                <c:pt idx="3366">
                  <c:v>2.0737601984842167E-2</c:v>
                </c:pt>
                <c:pt idx="3367">
                  <c:v>2.0737637169145628E-2</c:v>
                </c:pt>
                <c:pt idx="3368">
                  <c:v>2.0737669227760519E-2</c:v>
                </c:pt>
                <c:pt idx="3369">
                  <c:v>2.0737698182494227E-2</c:v>
                </c:pt>
                <c:pt idx="3370">
                  <c:v>2.0737724055154127E-2</c:v>
                </c:pt>
                <c:pt idx="3371">
                  <c:v>2.0737783398764826E-2</c:v>
                </c:pt>
                <c:pt idx="3372">
                  <c:v>2.0737797161203327E-2</c:v>
                </c:pt>
                <c:pt idx="3373">
                  <c:v>2.0737807950604936E-2</c:v>
                </c:pt>
                <c:pt idx="3374">
                  <c:v>2.073781578877703E-2</c:v>
                </c:pt>
                <c:pt idx="3375">
                  <c:v>2.0737820697526988E-2</c:v>
                </c:pt>
                <c:pt idx="3376">
                  <c:v>2.0737818065317909E-2</c:v>
                </c:pt>
                <c:pt idx="3377">
                  <c:v>2.0737811474453159E-2</c:v>
                </c:pt>
                <c:pt idx="3378">
                  <c:v>2.0737802063203192E-2</c:v>
                </c:pt>
                <c:pt idx="3379">
                  <c:v>2.0737789853375387E-2</c:v>
                </c:pt>
                <c:pt idx="3380">
                  <c:v>2.0737774866777116E-2</c:v>
                </c:pt>
                <c:pt idx="3381">
                  <c:v>2.0737713464433382E-2</c:v>
                </c:pt>
                <c:pt idx="3382">
                  <c:v>2.0737687588827096E-2</c:v>
                </c:pt>
                <c:pt idx="3383">
                  <c:v>2.0737659045487265E-2</c:v>
                </c:pt>
                <c:pt idx="3384">
                  <c:v>2.0737627856221266E-2</c:v>
                </c:pt>
                <c:pt idx="3385">
                  <c:v>2.0737594042836479E-2</c:v>
                </c:pt>
                <c:pt idx="3386">
                  <c:v>2.0737477076043228E-2</c:v>
                </c:pt>
                <c:pt idx="3387">
                  <c:v>2.0737432984257117E-2</c:v>
                </c:pt>
                <c:pt idx="3388">
                  <c:v>2.0737386377389134E-2</c:v>
                </c:pt>
                <c:pt idx="3389">
                  <c:v>2.0737337277246647E-2</c:v>
                </c:pt>
                <c:pt idx="3390">
                  <c:v>2.0737285705637053E-2</c:v>
                </c:pt>
                <c:pt idx="3391">
                  <c:v>2.0737116380079419E-2</c:v>
                </c:pt>
                <c:pt idx="3392">
                  <c:v>2.0737055140675194E-2</c:v>
                </c:pt>
                <c:pt idx="3393">
                  <c:v>2.073699153884076E-2</c:v>
                </c:pt>
                <c:pt idx="3394">
                  <c:v>2.0736925596383512E-2</c:v>
                </c:pt>
                <c:pt idx="3395">
                  <c:v>2.0736857335110822E-2</c:v>
                </c:pt>
                <c:pt idx="3396">
                  <c:v>2.0736638856473928E-2</c:v>
                </c:pt>
                <c:pt idx="3397">
                  <c:v>2.0736561538013298E-2</c:v>
                </c:pt>
                <c:pt idx="3398">
                  <c:v>2.0736482009774137E-2</c:v>
                </c:pt>
                <c:pt idx="3399">
                  <c:v>2.0736400293563828E-2</c:v>
                </c:pt>
                <c:pt idx="3400">
                  <c:v>2.073631641118975E-2</c:v>
                </c:pt>
                <c:pt idx="3401">
                  <c:v>2.0736051985158738E-2</c:v>
                </c:pt>
                <c:pt idx="3402">
                  <c:v>2.0735959656203413E-2</c:v>
                </c:pt>
                <c:pt idx="3403">
                  <c:v>2.0735865270121234E-2</c:v>
                </c:pt>
                <c:pt idx="3404">
                  <c:v>2.0735768848719568E-2</c:v>
                </c:pt>
                <c:pt idx="3405">
                  <c:v>2.0735670413805817E-2</c:v>
                </c:pt>
                <c:pt idx="3406">
                  <c:v>2.0735363246065817E-2</c:v>
                </c:pt>
                <c:pt idx="3407">
                  <c:v>2.0735256975177512E-2</c:v>
                </c:pt>
                <c:pt idx="3408">
                  <c:v>2.0735148799814015E-2</c:v>
                </c:pt>
                <c:pt idx="3409">
                  <c:v>2.0735038741782716E-2</c:v>
                </c:pt>
                <c:pt idx="3410">
                  <c:v>2.0734926822890999E-2</c:v>
                </c:pt>
                <c:pt idx="3411">
                  <c:v>2.0734580119127141E-2</c:v>
                </c:pt>
                <c:pt idx="3412">
                  <c:v>2.0734460974867558E-2</c:v>
                </c:pt>
                <c:pt idx="3413">
                  <c:v>2.0734340078784465E-2</c:v>
                </c:pt>
                <c:pt idx="3414">
                  <c:v>2.0734217452685243E-2</c:v>
                </c:pt>
                <c:pt idx="3415">
                  <c:v>2.0734093118377268E-2</c:v>
                </c:pt>
                <c:pt idx="3416">
                  <c:v>2.0733710084274687E-2</c:v>
                </c:pt>
                <c:pt idx="3417">
                  <c:v>2.0733579135205543E-2</c:v>
                </c:pt>
                <c:pt idx="3418">
                  <c:v>2.0733446586964559E-2</c:v>
                </c:pt>
                <c:pt idx="3419">
                  <c:v>2.0733312461359121E-2</c:v>
                </c:pt>
                <c:pt idx="3420">
                  <c:v>2.0733176780196604E-2</c:v>
                </c:pt>
                <c:pt idx="3421">
                  <c:v>2.073276062144043E-2</c:v>
                </c:pt>
                <c:pt idx="3422">
                  <c:v>2.0732618936123434E-2</c:v>
                </c:pt>
                <c:pt idx="3423">
                  <c:v>2.0732475804286273E-2</c:v>
                </c:pt>
                <c:pt idx="3424">
                  <c:v>2.0732331247736324E-2</c:v>
                </c:pt>
                <c:pt idx="3425">
                  <c:v>2.0732185288280979E-2</c:v>
                </c:pt>
                <c:pt idx="3426">
                  <c:v>2.0731739210556342E-2</c:v>
                </c:pt>
                <c:pt idx="3427">
                  <c:v>2.0731587857553205E-2</c:v>
                </c:pt>
                <c:pt idx="3428">
                  <c:v>2.0731435210681576E-2</c:v>
                </c:pt>
                <c:pt idx="3429">
                  <c:v>2.0731281291748838E-2</c:v>
                </c:pt>
                <c:pt idx="3430">
                  <c:v>2.0731126122562369E-2</c:v>
                </c:pt>
                <c:pt idx="3431">
                  <c:v>2.07306533315544E-2</c:v>
                </c:pt>
                <c:pt idx="3432">
                  <c:v>2.0730493379426836E-2</c:v>
                </c:pt>
                <c:pt idx="3433">
                  <c:v>2.073033228608245E-2</c:v>
                </c:pt>
                <c:pt idx="3434">
                  <c:v>2.073017007332862E-2</c:v>
                </c:pt>
                <c:pt idx="3435">
                  <c:v>2.0730006762972743E-2</c:v>
                </c:pt>
                <c:pt idx="3436">
                  <c:v>2.0729510464366583E-2</c:v>
                </c:pt>
                <c:pt idx="3437">
                  <c:v>2.0729342981676297E-2</c:v>
                </c:pt>
                <c:pt idx="3438">
                  <c:v>2.0729174510420865E-2</c:v>
                </c:pt>
                <c:pt idx="3439">
                  <c:v>2.0729005072407668E-2</c:v>
                </c:pt>
                <c:pt idx="3440">
                  <c:v>2.0728834689444083E-2</c:v>
                </c:pt>
                <c:pt idx="3441">
                  <c:v>2.0728318088924867E-2</c:v>
                </c:pt>
                <c:pt idx="3442">
                  <c:v>2.0728144144233563E-2</c:v>
                </c:pt>
                <c:pt idx="3443">
                  <c:v>2.0727969363628796E-2</c:v>
                </c:pt>
                <c:pt idx="3444">
                  <c:v>2.0727793768917938E-2</c:v>
                </c:pt>
                <c:pt idx="3445">
                  <c:v>2.0727617381908363E-2</c:v>
                </c:pt>
                <c:pt idx="3446">
                  <c:v>2.0727083685161209E-2</c:v>
                </c:pt>
                <c:pt idx="3447">
                  <c:v>2.0726904347030617E-2</c:v>
                </c:pt>
                <c:pt idx="3448">
                  <c:v>2.0726724325638223E-2</c:v>
                </c:pt>
                <c:pt idx="3449">
                  <c:v>2.072654364279141E-2</c:v>
                </c:pt>
                <c:pt idx="3450">
                  <c:v>2.0726362320297557E-2</c:v>
                </c:pt>
                <c:pt idx="3451">
                  <c:v>2.0725814733007608E-2</c:v>
                </c:pt>
                <c:pt idx="3452">
                  <c:v>2.0725631069999424E-2</c:v>
                </c:pt>
                <c:pt idx="3453">
                  <c:v>2.0725446876381119E-2</c:v>
                </c:pt>
                <c:pt idx="3454">
                  <c:v>2.0725262173960063E-2</c:v>
                </c:pt>
                <c:pt idx="3455">
                  <c:v>2.0725076984543643E-2</c:v>
                </c:pt>
                <c:pt idx="3456">
                  <c:v>2.0724518712396025E-2</c:v>
                </c:pt>
                <c:pt idx="3457">
                  <c:v>2.0724331793071968E-2</c:v>
                </c:pt>
                <c:pt idx="3458">
                  <c:v>2.0724144495789455E-2</c:v>
                </c:pt>
                <c:pt idx="3459">
                  <c:v>2.0723956842355871E-2</c:v>
                </c:pt>
                <c:pt idx="3460">
                  <c:v>2.0723768854578599E-2</c:v>
                </c:pt>
                <c:pt idx="3461">
                  <c:v>2.0723203103258439E-2</c:v>
                </c:pt>
                <c:pt idx="3462">
                  <c:v>2.0723013993656201E-2</c:v>
                </c:pt>
                <c:pt idx="3463">
                  <c:v>2.0722824643603092E-2</c:v>
                </c:pt>
                <c:pt idx="3464">
                  <c:v>2.0722635059762413E-2</c:v>
                </c:pt>
                <c:pt idx="3465">
                  <c:v>2.0722445248797444E-2</c:v>
                </c:pt>
                <c:pt idx="3466">
                  <c:v>2.0721874519789768E-2</c:v>
                </c:pt>
                <c:pt idx="3467">
                  <c:v>2.0721683866960598E-2</c:v>
                </c:pt>
                <c:pt idx="3468">
                  <c:v>2.0721493020323615E-2</c:v>
                </c:pt>
                <c:pt idx="3469">
                  <c:v>2.0721301986542109E-2</c:v>
                </c:pt>
                <c:pt idx="3470">
                  <c:v>2.0721110772279366E-2</c:v>
                </c:pt>
                <c:pt idx="3471">
                  <c:v>2.0720536113236706E-2</c:v>
                </c:pt>
                <c:pt idx="3472">
                  <c:v>2.0720344243681982E-2</c:v>
                </c:pt>
                <c:pt idx="3473">
                  <c:v>2.0720152226962493E-2</c:v>
                </c:pt>
                <c:pt idx="3474">
                  <c:v>2.0719960069741538E-2</c:v>
                </c:pt>
                <c:pt idx="3475">
                  <c:v>2.0719767778682407E-2</c:v>
                </c:pt>
                <c:pt idx="3476">
                  <c:v>2.0719190169108882E-2</c:v>
                </c:pt>
                <c:pt idx="3477">
                  <c:v>2.0718997409329972E-2</c:v>
                </c:pt>
                <c:pt idx="3478">
                  <c:v>2.0718804549029361E-2</c:v>
                </c:pt>
                <c:pt idx="3479">
                  <c:v>2.0718611594870331E-2</c:v>
                </c:pt>
                <c:pt idx="3480">
                  <c:v>2.071841855351618E-2</c:v>
                </c:pt>
                <c:pt idx="3481">
                  <c:v>2.0717838972915927E-2</c:v>
                </c:pt>
                <c:pt idx="3482">
                  <c:v>2.071764564941422E-2</c:v>
                </c:pt>
                <c:pt idx="3483">
                  <c:v>2.0717452272033855E-2</c:v>
                </c:pt>
                <c:pt idx="3484">
                  <c:v>2.0717258847438129E-2</c:v>
                </c:pt>
                <c:pt idx="3485">
                  <c:v>2.0717065382290335E-2</c:v>
                </c:pt>
                <c:pt idx="3486">
                  <c:v>2.0716484810167475E-2</c:v>
                </c:pt>
                <c:pt idx="3487">
                  <c:v>2.0716291249444341E-2</c:v>
                </c:pt>
                <c:pt idx="3488">
                  <c:v>2.0716097681485603E-2</c:v>
                </c:pt>
                <c:pt idx="3489">
                  <c:v>2.0715904112954559E-2</c:v>
                </c:pt>
                <c:pt idx="3490">
                  <c:v>2.07157105505145E-2</c:v>
                </c:pt>
                <c:pt idx="3491">
                  <c:v>2.0715129966373164E-2</c:v>
                </c:pt>
                <c:pt idx="3492">
                  <c:v>2.0714936494929975E-2</c:v>
                </c:pt>
                <c:pt idx="3493">
                  <c:v>2.0714743062894243E-2</c:v>
                </c:pt>
                <c:pt idx="3494">
                  <c:v>2.0713776727042624E-2</c:v>
                </c:pt>
                <c:pt idx="3495">
                  <c:v>2.0713583671380764E-2</c:v>
                </c:pt>
                <c:pt idx="3496">
                  <c:v>2.0713390701769412E-2</c:v>
                </c:pt>
                <c:pt idx="3497">
                  <c:v>2.071300610049839E-2</c:v>
                </c:pt>
                <c:pt idx="3498">
                  <c:v>2.0712430005805235E-2</c:v>
                </c:pt>
                <c:pt idx="3499">
                  <c:v>2.0712238215933057E-2</c:v>
                </c:pt>
                <c:pt idx="3500">
                  <c:v>2.0712046557921686E-2</c:v>
                </c:pt>
                <c:pt idx="3501">
                  <c:v>2.0711855038379953E-2</c:v>
                </c:pt>
                <c:pt idx="3502">
                  <c:v>2.071166366391668E-2</c:v>
                </c:pt>
                <c:pt idx="3503">
                  <c:v>2.0711090477085879E-2</c:v>
                </c:pt>
                <c:pt idx="3504">
                  <c:v>2.0710899749024701E-2</c:v>
                </c:pt>
                <c:pt idx="3505">
                  <c:v>2.0710709199086113E-2</c:v>
                </c:pt>
                <c:pt idx="3506">
                  <c:v>2.0710518833878939E-2</c:v>
                </c:pt>
                <c:pt idx="3507">
                  <c:v>2.0710328660012E-2</c:v>
                </c:pt>
                <c:pt idx="3508">
                  <c:v>2.0709759352540876E-2</c:v>
                </c:pt>
                <c:pt idx="3509">
                  <c:v>2.0709570010123145E-2</c:v>
                </c:pt>
                <c:pt idx="3510">
                  <c:v>2.070938089208978E-2</c:v>
                </c:pt>
                <c:pt idx="3511">
                  <c:v>2.0709192005049601E-2</c:v>
                </c:pt>
                <c:pt idx="3512">
                  <c:v>2.0709003355611443E-2</c:v>
                </c:pt>
                <c:pt idx="3513">
                  <c:v>2.070843889899731E-2</c:v>
                </c:pt>
                <c:pt idx="3514">
                  <c:v>2.0708251266055466E-2</c:v>
                </c:pt>
                <c:pt idx="3515">
                  <c:v>2.070806390375976E-2</c:v>
                </c:pt>
                <c:pt idx="3516">
                  <c:v>2.070787681871903E-2</c:v>
                </c:pt>
                <c:pt idx="3517">
                  <c:v>2.070769001754209E-2</c:v>
                </c:pt>
                <c:pt idx="3518">
                  <c:v>2.0707131383282271E-2</c:v>
                </c:pt>
                <c:pt idx="3519">
                  <c:v>2.0706945783648758E-2</c:v>
                </c:pt>
                <c:pt idx="3520">
                  <c:v>2.0706760500923158E-2</c:v>
                </c:pt>
                <c:pt idx="3521">
                  <c:v>2.0706575541714307E-2</c:v>
                </c:pt>
                <c:pt idx="3522">
                  <c:v>2.0706390912631021E-2</c:v>
                </c:pt>
                <c:pt idx="3523">
                  <c:v>2.0705839072222849E-2</c:v>
                </c:pt>
                <c:pt idx="3524">
                  <c:v>2.07056558297301E-2</c:v>
                </c:pt>
                <c:pt idx="3525">
                  <c:v>2.0705472950407047E-2</c:v>
                </c:pt>
                <c:pt idx="3526">
                  <c:v>2.0705290440862518E-2</c:v>
                </c:pt>
                <c:pt idx="3527">
                  <c:v>2.0705108307705333E-2</c:v>
                </c:pt>
                <c:pt idx="3528">
                  <c:v>2.0704564232646123E-2</c:v>
                </c:pt>
                <c:pt idx="3529">
                  <c:v>2.0704383671126581E-2</c:v>
                </c:pt>
                <c:pt idx="3530">
                  <c:v>2.0704203519038518E-2</c:v>
                </c:pt>
                <c:pt idx="3531">
                  <c:v>2.0704023782990754E-2</c:v>
                </c:pt>
                <c:pt idx="3532">
                  <c:v>2.0703844469592107E-2</c:v>
                </c:pt>
                <c:pt idx="3533">
                  <c:v>2.0703309131379185E-2</c:v>
                </c:pt>
                <c:pt idx="3534">
                  <c:v>2.0703131574665291E-2</c:v>
                </c:pt>
                <c:pt idx="3535">
                  <c:v>2.0702954473644654E-2</c:v>
                </c:pt>
                <c:pt idx="3536">
                  <c:v>2.0702777834926089E-2</c:v>
                </c:pt>
                <c:pt idx="3537">
                  <c:v>2.070260166511843E-2</c:v>
                </c:pt>
                <c:pt idx="3538">
                  <c:v>2.0702076035249112E-2</c:v>
                </c:pt>
                <c:pt idx="3539">
                  <c:v>2.0701901807173313E-2</c:v>
                </c:pt>
                <c:pt idx="3540">
                  <c:v>2.0701728081052542E-2</c:v>
                </c:pt>
                <c:pt idx="3541">
                  <c:v>2.0701554863495623E-2</c:v>
                </c:pt>
                <c:pt idx="3542">
                  <c:v>2.0701382161111389E-2</c:v>
                </c:pt>
                <c:pt idx="3543">
                  <c:v>2.0700867211083E-2</c:v>
                </c:pt>
                <c:pt idx="3544">
                  <c:v>2.0700696635477731E-2</c:v>
                </c:pt>
                <c:pt idx="3545">
                  <c:v>2.0700526608089267E-2</c:v>
                </c:pt>
                <c:pt idx="3546">
                  <c:v>2.0700357135526436E-2</c:v>
                </c:pt>
                <c:pt idx="3547">
                  <c:v>2.0700188224398064E-2</c:v>
                </c:pt>
                <c:pt idx="3548">
                  <c:v>2.069968492570793E-2</c:v>
                </c:pt>
                <c:pt idx="3549">
                  <c:v>2.0699518326405635E-2</c:v>
                </c:pt>
                <c:pt idx="3550">
                  <c:v>2.0699352321581922E-2</c:v>
                </c:pt>
                <c:pt idx="3551">
                  <c:v>2.0699186917845617E-2</c:v>
                </c:pt>
                <c:pt idx="3552">
                  <c:v>2.0699022121805542E-2</c:v>
                </c:pt>
                <c:pt idx="3553">
                  <c:v>2.0698531445950987E-2</c:v>
                </c:pt>
                <c:pt idx="3554">
                  <c:v>2.0698369146784107E-2</c:v>
                </c:pt>
                <c:pt idx="3555">
                  <c:v>2.0698207488357583E-2</c:v>
                </c:pt>
                <c:pt idx="3556">
                  <c:v>2.0698046477280244E-2</c:v>
                </c:pt>
                <c:pt idx="3557">
                  <c:v>2.0697251363440229E-2</c:v>
                </c:pt>
                <c:pt idx="3558">
                  <c:v>2.0697094375243343E-2</c:v>
                </c:pt>
                <c:pt idx="3559">
                  <c:v>2.0696938080657409E-2</c:v>
                </c:pt>
                <c:pt idx="3560">
                  <c:v>2.0696782486291272E-2</c:v>
                </c:pt>
                <c:pt idx="3561">
                  <c:v>2.0696319970599834E-2</c:v>
                </c:pt>
                <c:pt idx="3562">
                  <c:v>2.0696167243201103E-2</c:v>
                </c:pt>
                <c:pt idx="3563">
                  <c:v>2.0696015249066283E-2</c:v>
                </c:pt>
                <c:pt idx="3564">
                  <c:v>2.0695863994804203E-2</c:v>
                </c:pt>
                <c:pt idx="3565">
                  <c:v>2.069571348702369E-2</c:v>
                </c:pt>
                <c:pt idx="3566">
                  <c:v>2.0695266508659795E-2</c:v>
                </c:pt>
                <c:pt idx="3567">
                  <c:v>2.0695119052893795E-2</c:v>
                </c:pt>
                <c:pt idx="3568">
                  <c:v>2.0694972376653489E-2</c:v>
                </c:pt>
                <c:pt idx="3569">
                  <c:v>2.0694826486547704E-2</c:v>
                </c:pt>
                <c:pt idx="3570">
                  <c:v>2.0694681389185253E-2</c:v>
                </c:pt>
                <c:pt idx="3571">
                  <c:v>2.0694250919646228E-2</c:v>
                </c:pt>
                <c:pt idx="3572">
                  <c:v>2.0694109059345406E-2</c:v>
                </c:pt>
                <c:pt idx="3573">
                  <c:v>2.069396802483205E-2</c:v>
                </c:pt>
                <c:pt idx="3574">
                  <c:v>2.0693827822714995E-2</c:v>
                </c:pt>
                <c:pt idx="3575">
                  <c:v>2.0693688459603059E-2</c:v>
                </c:pt>
                <c:pt idx="3576">
                  <c:v>2.069327547038622E-2</c:v>
                </c:pt>
                <c:pt idx="3577">
                  <c:v>2.0693139529383012E-2</c:v>
                </c:pt>
                <c:pt idx="3578">
                  <c:v>2.069300446042906E-2</c:v>
                </c:pt>
                <c:pt idx="3579">
                  <c:v>2.0692870270133168E-2</c:v>
                </c:pt>
                <c:pt idx="3580">
                  <c:v>2.0692736965104184E-2</c:v>
                </c:pt>
                <c:pt idx="3581">
                  <c:v>2.0692342427706858E-2</c:v>
                </c:pt>
                <c:pt idx="3582">
                  <c:v>2.0692212729833712E-2</c:v>
                </c:pt>
                <c:pt idx="3583">
                  <c:v>2.0692083950271587E-2</c:v>
                </c:pt>
                <c:pt idx="3584">
                  <c:v>2.0691956095629318E-2</c:v>
                </c:pt>
                <c:pt idx="3585">
                  <c:v>2.0691829172515719E-2</c:v>
                </c:pt>
                <c:pt idx="3586">
                  <c:v>2.0691454058435223E-2</c:v>
                </c:pt>
                <c:pt idx="3587">
                  <c:v>2.0691330922706204E-2</c:v>
                </c:pt>
                <c:pt idx="3588">
                  <c:v>2.0691208722639746E-2</c:v>
                </c:pt>
                <c:pt idx="3589">
                  <c:v>2.0691087435934442E-2</c:v>
                </c:pt>
                <c:pt idx="3590">
                  <c:v>2.0690967040288874E-2</c:v>
                </c:pt>
                <c:pt idx="3591">
                  <c:v>2.0690610976696468E-2</c:v>
                </c:pt>
                <c:pt idx="3592">
                  <c:v>2.0690493922275725E-2</c:v>
                </c:pt>
                <c:pt idx="3593">
                  <c:v>2.0690377647407662E-2</c:v>
                </c:pt>
                <c:pt idx="3594">
                  <c:v>2.0690262129790856E-2</c:v>
                </c:pt>
                <c:pt idx="3595">
                  <c:v>2.0690147347123898E-2</c:v>
                </c:pt>
                <c:pt idx="3596">
                  <c:v>2.0689807185807998E-2</c:v>
                </c:pt>
                <c:pt idx="3597">
                  <c:v>2.0689695119926316E-2</c:v>
                </c:pt>
                <c:pt idx="3598">
                  <c:v>2.0689583677487414E-2</c:v>
                </c:pt>
                <c:pt idx="3599">
                  <c:v>2.0689472836189896E-2</c:v>
                </c:pt>
                <c:pt idx="3600">
                  <c:v>2.0689362573732328E-2</c:v>
                </c:pt>
                <c:pt idx="3601">
                  <c:v>2.0689035036385278E-2</c:v>
                </c:pt>
                <c:pt idx="3602">
                  <c:v>2.0688926866273431E-2</c:v>
                </c:pt>
                <c:pt idx="3603">
                  <c:v>2.0688819163494482E-2</c:v>
                </c:pt>
                <c:pt idx="3604">
                  <c:v>2.0688711905747021E-2</c:v>
                </c:pt>
                <c:pt idx="3605">
                  <c:v>2.0688605070729633E-2</c:v>
                </c:pt>
                <c:pt idx="3606">
                  <c:v>2.0688286879043769E-2</c:v>
                </c:pt>
                <c:pt idx="3607">
                  <c:v>2.0688181511932541E-2</c:v>
                </c:pt>
                <c:pt idx="3608">
                  <c:v>2.0688076456044324E-2</c:v>
                </c:pt>
                <c:pt idx="3609">
                  <c:v>2.0687971689077708E-2</c:v>
                </c:pt>
                <c:pt idx="3610">
                  <c:v>2.0687867188731269E-2</c:v>
                </c:pt>
                <c:pt idx="3611">
                  <c:v>2.0687555064398937E-2</c:v>
                </c:pt>
                <c:pt idx="3612">
                  <c:v>2.0687451407519111E-2</c:v>
                </c:pt>
                <c:pt idx="3613">
                  <c:v>2.0687347905752405E-2</c:v>
                </c:pt>
                <c:pt idx="3614">
                  <c:v>2.0687244536797409E-2</c:v>
                </c:pt>
                <c:pt idx="3615">
                  <c:v>2.0687141278352708E-2</c:v>
                </c:pt>
                <c:pt idx="3616">
                  <c:v>2.0686831943066253E-2</c:v>
                </c:pt>
                <c:pt idx="3617">
                  <c:v>2.0686728903648605E-2</c:v>
                </c:pt>
                <c:pt idx="3618">
                  <c:v>2.06866258632342E-2</c:v>
                </c:pt>
                <c:pt idx="3619">
                  <c:v>2.0686522799521604E-2</c:v>
                </c:pt>
                <c:pt idx="3620">
                  <c:v>2.0686419690209418E-2</c:v>
                </c:pt>
                <c:pt idx="3621">
                  <c:v>2.0686109865661176E-2</c:v>
                </c:pt>
                <c:pt idx="3622">
                  <c:v>2.0686006350936495E-2</c:v>
                </c:pt>
                <c:pt idx="3623">
                  <c:v>2.0685902679105157E-2</c:v>
                </c:pt>
                <c:pt idx="3624">
                  <c:v>2.068579882786575E-2</c:v>
                </c:pt>
                <c:pt idx="3625">
                  <c:v>2.0685694774916861E-2</c:v>
                </c:pt>
                <c:pt idx="3626">
                  <c:v>2.0685381182799178E-2</c:v>
                </c:pt>
                <c:pt idx="3627">
                  <c:v>2.0685276099998241E-2</c:v>
                </c:pt>
                <c:pt idx="3628">
                  <c:v>2.0685170703980751E-2</c:v>
                </c:pt>
                <c:pt idx="3629">
                  <c:v>2.0685064972445311E-2</c:v>
                </c:pt>
                <c:pt idx="3630">
                  <c:v>2.0684958883090507E-2</c:v>
                </c:pt>
                <c:pt idx="3631">
                  <c:v>2.0684638245095723E-2</c:v>
                </c:pt>
                <c:pt idx="3632">
                  <c:v>2.0684530501449309E-2</c:v>
                </c:pt>
                <c:pt idx="3633">
                  <c:v>2.0684422288476455E-2</c:v>
                </c:pt>
                <c:pt idx="3634">
                  <c:v>2.068431358387576E-2</c:v>
                </c:pt>
                <c:pt idx="3635">
                  <c:v>2.0684204365345807E-2</c:v>
                </c:pt>
                <c:pt idx="3636">
                  <c:v>2.0683873403166273E-2</c:v>
                </c:pt>
                <c:pt idx="3637">
                  <c:v>2.0683761905905162E-2</c:v>
                </c:pt>
                <c:pt idx="3638">
                  <c:v>2.0683649783207726E-2</c:v>
                </c:pt>
                <c:pt idx="3639">
                  <c:v>2.0683537012772556E-2</c:v>
                </c:pt>
                <c:pt idx="3640">
                  <c:v>2.0683423572298243E-2</c:v>
                </c:pt>
                <c:pt idx="3641">
                  <c:v>2.0683079007626295E-2</c:v>
                </c:pt>
                <c:pt idx="3642">
                  <c:v>2.0682962663981268E-2</c:v>
                </c:pt>
                <c:pt idx="3643">
                  <c:v>2.0682845538790032E-2</c:v>
                </c:pt>
                <c:pt idx="3644">
                  <c:v>2.0682727609751171E-2</c:v>
                </c:pt>
                <c:pt idx="3645">
                  <c:v>2.0682608854563279E-2</c:v>
                </c:pt>
                <c:pt idx="3646">
                  <c:v>2.0682247409091258E-2</c:v>
                </c:pt>
                <c:pt idx="3647">
                  <c:v>2.0682125126293093E-2</c:v>
                </c:pt>
                <c:pt idx="3648">
                  <c:v>2.0682001905838836E-2</c:v>
                </c:pt>
                <c:pt idx="3649">
                  <c:v>2.0681877725427067E-2</c:v>
                </c:pt>
              </c:numCache>
            </c:numRef>
          </c:val>
          <c:smooth val="1"/>
        </c:ser>
        <c:ser>
          <c:idx val="1"/>
          <c:order val="1"/>
          <c:tx>
            <c:v>SnapShot</c:v>
          </c:tx>
          <c:marker>
            <c:symbol val="none"/>
          </c:marker>
          <c:cat>
            <c:numRef>
              <c:f>'Forward Charts'!$E$6:$E$3655</c:f>
              <c:numCache>
                <c:formatCode>d\-mmm\-yy</c:formatCode>
                <c:ptCount val="3650"/>
                <c:pt idx="0">
                  <c:v>43224</c:v>
                </c:pt>
                <c:pt idx="1">
                  <c:v>43227</c:v>
                </c:pt>
                <c:pt idx="2">
                  <c:v>43228</c:v>
                </c:pt>
                <c:pt idx="3">
                  <c:v>43229</c:v>
                </c:pt>
                <c:pt idx="4">
                  <c:v>43230</c:v>
                </c:pt>
                <c:pt idx="5">
                  <c:v>43231</c:v>
                </c:pt>
                <c:pt idx="6">
                  <c:v>43234</c:v>
                </c:pt>
                <c:pt idx="7">
                  <c:v>43235</c:v>
                </c:pt>
                <c:pt idx="8">
                  <c:v>43236</c:v>
                </c:pt>
                <c:pt idx="9">
                  <c:v>43237</c:v>
                </c:pt>
                <c:pt idx="10">
                  <c:v>43238</c:v>
                </c:pt>
                <c:pt idx="11">
                  <c:v>43241</c:v>
                </c:pt>
                <c:pt idx="12">
                  <c:v>43242</c:v>
                </c:pt>
                <c:pt idx="13">
                  <c:v>43243</c:v>
                </c:pt>
                <c:pt idx="14">
                  <c:v>43244</c:v>
                </c:pt>
                <c:pt idx="15">
                  <c:v>43245</c:v>
                </c:pt>
                <c:pt idx="16">
                  <c:v>43248</c:v>
                </c:pt>
                <c:pt idx="17">
                  <c:v>43249</c:v>
                </c:pt>
                <c:pt idx="18">
                  <c:v>43250</c:v>
                </c:pt>
                <c:pt idx="19">
                  <c:v>43251</c:v>
                </c:pt>
                <c:pt idx="20">
                  <c:v>43252</c:v>
                </c:pt>
                <c:pt idx="21">
                  <c:v>43255</c:v>
                </c:pt>
                <c:pt idx="22">
                  <c:v>43256</c:v>
                </c:pt>
                <c:pt idx="23">
                  <c:v>43257</c:v>
                </c:pt>
                <c:pt idx="24">
                  <c:v>43258</c:v>
                </c:pt>
                <c:pt idx="25">
                  <c:v>43259</c:v>
                </c:pt>
                <c:pt idx="26">
                  <c:v>43262</c:v>
                </c:pt>
                <c:pt idx="27">
                  <c:v>43263</c:v>
                </c:pt>
                <c:pt idx="28">
                  <c:v>43264</c:v>
                </c:pt>
                <c:pt idx="29">
                  <c:v>43265</c:v>
                </c:pt>
                <c:pt idx="30">
                  <c:v>43266</c:v>
                </c:pt>
                <c:pt idx="31">
                  <c:v>43269</c:v>
                </c:pt>
                <c:pt idx="32">
                  <c:v>43270</c:v>
                </c:pt>
                <c:pt idx="33">
                  <c:v>43271</c:v>
                </c:pt>
                <c:pt idx="34">
                  <c:v>43272</c:v>
                </c:pt>
                <c:pt idx="35">
                  <c:v>43273</c:v>
                </c:pt>
                <c:pt idx="36">
                  <c:v>43276</c:v>
                </c:pt>
                <c:pt idx="37">
                  <c:v>43277</c:v>
                </c:pt>
                <c:pt idx="38">
                  <c:v>43278</c:v>
                </c:pt>
                <c:pt idx="39">
                  <c:v>43279</c:v>
                </c:pt>
                <c:pt idx="40">
                  <c:v>43280</c:v>
                </c:pt>
                <c:pt idx="41">
                  <c:v>43283</c:v>
                </c:pt>
                <c:pt idx="42">
                  <c:v>43284</c:v>
                </c:pt>
                <c:pt idx="43">
                  <c:v>43285</c:v>
                </c:pt>
                <c:pt idx="44">
                  <c:v>43286</c:v>
                </c:pt>
                <c:pt idx="45">
                  <c:v>43287</c:v>
                </c:pt>
                <c:pt idx="46">
                  <c:v>43290</c:v>
                </c:pt>
                <c:pt idx="47">
                  <c:v>43291</c:v>
                </c:pt>
                <c:pt idx="48">
                  <c:v>43292</c:v>
                </c:pt>
                <c:pt idx="49">
                  <c:v>43293</c:v>
                </c:pt>
                <c:pt idx="50">
                  <c:v>43294</c:v>
                </c:pt>
                <c:pt idx="51">
                  <c:v>43297</c:v>
                </c:pt>
                <c:pt idx="52">
                  <c:v>43298</c:v>
                </c:pt>
                <c:pt idx="53">
                  <c:v>43299</c:v>
                </c:pt>
                <c:pt idx="54">
                  <c:v>43300</c:v>
                </c:pt>
                <c:pt idx="55">
                  <c:v>43301</c:v>
                </c:pt>
                <c:pt idx="56">
                  <c:v>43304</c:v>
                </c:pt>
                <c:pt idx="57">
                  <c:v>43305</c:v>
                </c:pt>
                <c:pt idx="58">
                  <c:v>43306</c:v>
                </c:pt>
                <c:pt idx="59">
                  <c:v>43307</c:v>
                </c:pt>
                <c:pt idx="60">
                  <c:v>43308</c:v>
                </c:pt>
                <c:pt idx="61">
                  <c:v>43311</c:v>
                </c:pt>
                <c:pt idx="62">
                  <c:v>43312</c:v>
                </c:pt>
                <c:pt idx="63">
                  <c:v>43313</c:v>
                </c:pt>
                <c:pt idx="64">
                  <c:v>43314</c:v>
                </c:pt>
                <c:pt idx="65">
                  <c:v>43315</c:v>
                </c:pt>
                <c:pt idx="66">
                  <c:v>43318</c:v>
                </c:pt>
                <c:pt idx="67">
                  <c:v>43319</c:v>
                </c:pt>
                <c:pt idx="68">
                  <c:v>43320</c:v>
                </c:pt>
                <c:pt idx="69">
                  <c:v>43321</c:v>
                </c:pt>
                <c:pt idx="70">
                  <c:v>43322</c:v>
                </c:pt>
                <c:pt idx="71">
                  <c:v>43325</c:v>
                </c:pt>
                <c:pt idx="72">
                  <c:v>43326</c:v>
                </c:pt>
                <c:pt idx="73">
                  <c:v>43327</c:v>
                </c:pt>
                <c:pt idx="74">
                  <c:v>43328</c:v>
                </c:pt>
                <c:pt idx="75">
                  <c:v>43329</c:v>
                </c:pt>
                <c:pt idx="76">
                  <c:v>43332</c:v>
                </c:pt>
                <c:pt idx="77">
                  <c:v>43333</c:v>
                </c:pt>
                <c:pt idx="78">
                  <c:v>43334</c:v>
                </c:pt>
                <c:pt idx="79">
                  <c:v>43335</c:v>
                </c:pt>
                <c:pt idx="80">
                  <c:v>43336</c:v>
                </c:pt>
                <c:pt idx="81">
                  <c:v>43339</c:v>
                </c:pt>
                <c:pt idx="82">
                  <c:v>43340</c:v>
                </c:pt>
                <c:pt idx="83">
                  <c:v>43341</c:v>
                </c:pt>
                <c:pt idx="84">
                  <c:v>43342</c:v>
                </c:pt>
                <c:pt idx="85">
                  <c:v>43343</c:v>
                </c:pt>
                <c:pt idx="86">
                  <c:v>43346</c:v>
                </c:pt>
                <c:pt idx="87">
                  <c:v>43347</c:v>
                </c:pt>
                <c:pt idx="88">
                  <c:v>43348</c:v>
                </c:pt>
                <c:pt idx="89">
                  <c:v>43349</c:v>
                </c:pt>
                <c:pt idx="90">
                  <c:v>43350</c:v>
                </c:pt>
                <c:pt idx="91">
                  <c:v>43353</c:v>
                </c:pt>
                <c:pt idx="92">
                  <c:v>43354</c:v>
                </c:pt>
                <c:pt idx="93">
                  <c:v>43355</c:v>
                </c:pt>
                <c:pt idx="94">
                  <c:v>43356</c:v>
                </c:pt>
                <c:pt idx="95">
                  <c:v>43357</c:v>
                </c:pt>
                <c:pt idx="96">
                  <c:v>43360</c:v>
                </c:pt>
                <c:pt idx="97">
                  <c:v>43361</c:v>
                </c:pt>
                <c:pt idx="98">
                  <c:v>43362</c:v>
                </c:pt>
                <c:pt idx="99">
                  <c:v>43363</c:v>
                </c:pt>
                <c:pt idx="100">
                  <c:v>43364</c:v>
                </c:pt>
                <c:pt idx="101">
                  <c:v>43367</c:v>
                </c:pt>
                <c:pt idx="102">
                  <c:v>43368</c:v>
                </c:pt>
                <c:pt idx="103">
                  <c:v>43369</c:v>
                </c:pt>
                <c:pt idx="104">
                  <c:v>43370</c:v>
                </c:pt>
                <c:pt idx="105">
                  <c:v>43371</c:v>
                </c:pt>
                <c:pt idx="106">
                  <c:v>43374</c:v>
                </c:pt>
                <c:pt idx="107">
                  <c:v>43375</c:v>
                </c:pt>
                <c:pt idx="108">
                  <c:v>43376</c:v>
                </c:pt>
                <c:pt idx="109">
                  <c:v>43377</c:v>
                </c:pt>
                <c:pt idx="110">
                  <c:v>43378</c:v>
                </c:pt>
                <c:pt idx="111">
                  <c:v>43381</c:v>
                </c:pt>
                <c:pt idx="112">
                  <c:v>43382</c:v>
                </c:pt>
                <c:pt idx="113">
                  <c:v>43383</c:v>
                </c:pt>
                <c:pt idx="114">
                  <c:v>43384</c:v>
                </c:pt>
                <c:pt idx="115">
                  <c:v>43385</c:v>
                </c:pt>
                <c:pt idx="116">
                  <c:v>43388</c:v>
                </c:pt>
                <c:pt idx="117">
                  <c:v>43389</c:v>
                </c:pt>
                <c:pt idx="118">
                  <c:v>43390</c:v>
                </c:pt>
                <c:pt idx="119">
                  <c:v>43391</c:v>
                </c:pt>
                <c:pt idx="120">
                  <c:v>43392</c:v>
                </c:pt>
                <c:pt idx="121">
                  <c:v>43395</c:v>
                </c:pt>
                <c:pt idx="122">
                  <c:v>43396</c:v>
                </c:pt>
                <c:pt idx="123">
                  <c:v>43397</c:v>
                </c:pt>
                <c:pt idx="124">
                  <c:v>43398</c:v>
                </c:pt>
                <c:pt idx="125">
                  <c:v>43399</c:v>
                </c:pt>
                <c:pt idx="126">
                  <c:v>43402</c:v>
                </c:pt>
                <c:pt idx="127">
                  <c:v>43403</c:v>
                </c:pt>
                <c:pt idx="128">
                  <c:v>43404</c:v>
                </c:pt>
                <c:pt idx="129">
                  <c:v>43405</c:v>
                </c:pt>
                <c:pt idx="130">
                  <c:v>43406</c:v>
                </c:pt>
                <c:pt idx="131">
                  <c:v>43409</c:v>
                </c:pt>
                <c:pt idx="132">
                  <c:v>43410</c:v>
                </c:pt>
                <c:pt idx="133">
                  <c:v>43411</c:v>
                </c:pt>
                <c:pt idx="134">
                  <c:v>43412</c:v>
                </c:pt>
                <c:pt idx="135">
                  <c:v>43413</c:v>
                </c:pt>
                <c:pt idx="136">
                  <c:v>43416</c:v>
                </c:pt>
                <c:pt idx="137">
                  <c:v>43417</c:v>
                </c:pt>
                <c:pt idx="138">
                  <c:v>43418</c:v>
                </c:pt>
                <c:pt idx="139">
                  <c:v>43419</c:v>
                </c:pt>
                <c:pt idx="140">
                  <c:v>43420</c:v>
                </c:pt>
                <c:pt idx="141">
                  <c:v>43423</c:v>
                </c:pt>
                <c:pt idx="142">
                  <c:v>43424</c:v>
                </c:pt>
                <c:pt idx="143">
                  <c:v>43425</c:v>
                </c:pt>
                <c:pt idx="144">
                  <c:v>43426</c:v>
                </c:pt>
                <c:pt idx="145">
                  <c:v>43427</c:v>
                </c:pt>
                <c:pt idx="146">
                  <c:v>43430</c:v>
                </c:pt>
                <c:pt idx="147">
                  <c:v>43431</c:v>
                </c:pt>
                <c:pt idx="148">
                  <c:v>43432</c:v>
                </c:pt>
                <c:pt idx="149">
                  <c:v>43433</c:v>
                </c:pt>
                <c:pt idx="150">
                  <c:v>43434</c:v>
                </c:pt>
                <c:pt idx="151">
                  <c:v>43437</c:v>
                </c:pt>
                <c:pt idx="152">
                  <c:v>43438</c:v>
                </c:pt>
                <c:pt idx="153">
                  <c:v>43439</c:v>
                </c:pt>
                <c:pt idx="154">
                  <c:v>43440</c:v>
                </c:pt>
                <c:pt idx="155">
                  <c:v>43441</c:v>
                </c:pt>
                <c:pt idx="156">
                  <c:v>43444</c:v>
                </c:pt>
                <c:pt idx="157">
                  <c:v>43445</c:v>
                </c:pt>
                <c:pt idx="158">
                  <c:v>43446</c:v>
                </c:pt>
                <c:pt idx="159">
                  <c:v>43447</c:v>
                </c:pt>
                <c:pt idx="160">
                  <c:v>43448</c:v>
                </c:pt>
                <c:pt idx="161">
                  <c:v>43451</c:v>
                </c:pt>
                <c:pt idx="162">
                  <c:v>43452</c:v>
                </c:pt>
                <c:pt idx="163">
                  <c:v>43453</c:v>
                </c:pt>
                <c:pt idx="164">
                  <c:v>43454</c:v>
                </c:pt>
                <c:pt idx="165">
                  <c:v>43455</c:v>
                </c:pt>
                <c:pt idx="166">
                  <c:v>43458</c:v>
                </c:pt>
                <c:pt idx="167">
                  <c:v>43461</c:v>
                </c:pt>
                <c:pt idx="168">
                  <c:v>43462</c:v>
                </c:pt>
                <c:pt idx="169">
                  <c:v>43465</c:v>
                </c:pt>
                <c:pt idx="170">
                  <c:v>43467</c:v>
                </c:pt>
                <c:pt idx="171">
                  <c:v>43468</c:v>
                </c:pt>
                <c:pt idx="172">
                  <c:v>43469</c:v>
                </c:pt>
                <c:pt idx="173">
                  <c:v>43472</c:v>
                </c:pt>
                <c:pt idx="174">
                  <c:v>43473</c:v>
                </c:pt>
                <c:pt idx="175">
                  <c:v>43474</c:v>
                </c:pt>
                <c:pt idx="176">
                  <c:v>43475</c:v>
                </c:pt>
                <c:pt idx="177">
                  <c:v>43476</c:v>
                </c:pt>
                <c:pt idx="178">
                  <c:v>43479</c:v>
                </c:pt>
                <c:pt idx="179">
                  <c:v>43480</c:v>
                </c:pt>
                <c:pt idx="180">
                  <c:v>43481</c:v>
                </c:pt>
                <c:pt idx="181">
                  <c:v>43482</c:v>
                </c:pt>
                <c:pt idx="182">
                  <c:v>43483</c:v>
                </c:pt>
                <c:pt idx="183">
                  <c:v>43486</c:v>
                </c:pt>
                <c:pt idx="184">
                  <c:v>43487</c:v>
                </c:pt>
                <c:pt idx="185">
                  <c:v>43488</c:v>
                </c:pt>
                <c:pt idx="186">
                  <c:v>43489</c:v>
                </c:pt>
                <c:pt idx="187">
                  <c:v>43490</c:v>
                </c:pt>
                <c:pt idx="188">
                  <c:v>43493</c:v>
                </c:pt>
                <c:pt idx="189">
                  <c:v>43494</c:v>
                </c:pt>
                <c:pt idx="190">
                  <c:v>43495</c:v>
                </c:pt>
                <c:pt idx="191">
                  <c:v>43496</c:v>
                </c:pt>
                <c:pt idx="192">
                  <c:v>43497</c:v>
                </c:pt>
                <c:pt idx="193">
                  <c:v>43500</c:v>
                </c:pt>
                <c:pt idx="194">
                  <c:v>43501</c:v>
                </c:pt>
                <c:pt idx="195">
                  <c:v>43502</c:v>
                </c:pt>
                <c:pt idx="196">
                  <c:v>43503</c:v>
                </c:pt>
                <c:pt idx="197">
                  <c:v>43504</c:v>
                </c:pt>
                <c:pt idx="198">
                  <c:v>43507</c:v>
                </c:pt>
                <c:pt idx="199">
                  <c:v>43508</c:v>
                </c:pt>
                <c:pt idx="200">
                  <c:v>43509</c:v>
                </c:pt>
                <c:pt idx="201">
                  <c:v>43510</c:v>
                </c:pt>
                <c:pt idx="202">
                  <c:v>43511</c:v>
                </c:pt>
                <c:pt idx="203">
                  <c:v>43514</c:v>
                </c:pt>
                <c:pt idx="204">
                  <c:v>43515</c:v>
                </c:pt>
                <c:pt idx="205">
                  <c:v>43516</c:v>
                </c:pt>
                <c:pt idx="206">
                  <c:v>43517</c:v>
                </c:pt>
                <c:pt idx="207">
                  <c:v>43518</c:v>
                </c:pt>
                <c:pt idx="208">
                  <c:v>43521</c:v>
                </c:pt>
                <c:pt idx="209">
                  <c:v>43522</c:v>
                </c:pt>
                <c:pt idx="210">
                  <c:v>43523</c:v>
                </c:pt>
                <c:pt idx="211">
                  <c:v>43524</c:v>
                </c:pt>
                <c:pt idx="212">
                  <c:v>43525</c:v>
                </c:pt>
                <c:pt idx="213">
                  <c:v>43528</c:v>
                </c:pt>
                <c:pt idx="214">
                  <c:v>43529</c:v>
                </c:pt>
                <c:pt idx="215">
                  <c:v>43530</c:v>
                </c:pt>
                <c:pt idx="216">
                  <c:v>43531</c:v>
                </c:pt>
                <c:pt idx="217">
                  <c:v>43532</c:v>
                </c:pt>
                <c:pt idx="218">
                  <c:v>43535</c:v>
                </c:pt>
                <c:pt idx="219">
                  <c:v>43536</c:v>
                </c:pt>
                <c:pt idx="220">
                  <c:v>43537</c:v>
                </c:pt>
                <c:pt idx="221">
                  <c:v>43538</c:v>
                </c:pt>
                <c:pt idx="222">
                  <c:v>43539</c:v>
                </c:pt>
                <c:pt idx="223">
                  <c:v>43542</c:v>
                </c:pt>
                <c:pt idx="224">
                  <c:v>43543</c:v>
                </c:pt>
                <c:pt idx="225">
                  <c:v>43544</c:v>
                </c:pt>
                <c:pt idx="226">
                  <c:v>43545</c:v>
                </c:pt>
                <c:pt idx="227">
                  <c:v>43546</c:v>
                </c:pt>
                <c:pt idx="228">
                  <c:v>43549</c:v>
                </c:pt>
                <c:pt idx="229">
                  <c:v>43550</c:v>
                </c:pt>
                <c:pt idx="230">
                  <c:v>43551</c:v>
                </c:pt>
                <c:pt idx="231">
                  <c:v>43552</c:v>
                </c:pt>
                <c:pt idx="232">
                  <c:v>43553</c:v>
                </c:pt>
                <c:pt idx="233">
                  <c:v>43556</c:v>
                </c:pt>
                <c:pt idx="234">
                  <c:v>43557</c:v>
                </c:pt>
                <c:pt idx="235">
                  <c:v>43558</c:v>
                </c:pt>
                <c:pt idx="236">
                  <c:v>43559</c:v>
                </c:pt>
                <c:pt idx="237">
                  <c:v>43560</c:v>
                </c:pt>
                <c:pt idx="238">
                  <c:v>43563</c:v>
                </c:pt>
                <c:pt idx="239">
                  <c:v>43564</c:v>
                </c:pt>
                <c:pt idx="240">
                  <c:v>43565</c:v>
                </c:pt>
                <c:pt idx="241">
                  <c:v>43566</c:v>
                </c:pt>
                <c:pt idx="242">
                  <c:v>43567</c:v>
                </c:pt>
                <c:pt idx="243">
                  <c:v>43570</c:v>
                </c:pt>
                <c:pt idx="244">
                  <c:v>43571</c:v>
                </c:pt>
                <c:pt idx="245">
                  <c:v>43572</c:v>
                </c:pt>
                <c:pt idx="246">
                  <c:v>43573</c:v>
                </c:pt>
                <c:pt idx="247">
                  <c:v>43578</c:v>
                </c:pt>
                <c:pt idx="248">
                  <c:v>43579</c:v>
                </c:pt>
                <c:pt idx="249">
                  <c:v>43580</c:v>
                </c:pt>
                <c:pt idx="250">
                  <c:v>43581</c:v>
                </c:pt>
                <c:pt idx="251">
                  <c:v>43584</c:v>
                </c:pt>
                <c:pt idx="252">
                  <c:v>43585</c:v>
                </c:pt>
                <c:pt idx="253">
                  <c:v>43587</c:v>
                </c:pt>
                <c:pt idx="254">
                  <c:v>43588</c:v>
                </c:pt>
                <c:pt idx="255">
                  <c:v>43591</c:v>
                </c:pt>
                <c:pt idx="256">
                  <c:v>43592</c:v>
                </c:pt>
                <c:pt idx="257">
                  <c:v>43593</c:v>
                </c:pt>
                <c:pt idx="258">
                  <c:v>43594</c:v>
                </c:pt>
                <c:pt idx="259">
                  <c:v>43595</c:v>
                </c:pt>
                <c:pt idx="260">
                  <c:v>43598</c:v>
                </c:pt>
                <c:pt idx="261">
                  <c:v>43599</c:v>
                </c:pt>
                <c:pt idx="262">
                  <c:v>43600</c:v>
                </c:pt>
                <c:pt idx="263">
                  <c:v>43601</c:v>
                </c:pt>
                <c:pt idx="264">
                  <c:v>43602</c:v>
                </c:pt>
                <c:pt idx="265">
                  <c:v>43605</c:v>
                </c:pt>
                <c:pt idx="266">
                  <c:v>43606</c:v>
                </c:pt>
                <c:pt idx="267">
                  <c:v>43607</c:v>
                </c:pt>
                <c:pt idx="268">
                  <c:v>43608</c:v>
                </c:pt>
                <c:pt idx="269">
                  <c:v>43609</c:v>
                </c:pt>
                <c:pt idx="270">
                  <c:v>43612</c:v>
                </c:pt>
                <c:pt idx="271">
                  <c:v>43613</c:v>
                </c:pt>
                <c:pt idx="272">
                  <c:v>43614</c:v>
                </c:pt>
                <c:pt idx="273">
                  <c:v>43615</c:v>
                </c:pt>
                <c:pt idx="274">
                  <c:v>43616</c:v>
                </c:pt>
                <c:pt idx="275">
                  <c:v>43619</c:v>
                </c:pt>
                <c:pt idx="276">
                  <c:v>43620</c:v>
                </c:pt>
                <c:pt idx="277">
                  <c:v>43621</c:v>
                </c:pt>
                <c:pt idx="278">
                  <c:v>43622</c:v>
                </c:pt>
                <c:pt idx="279">
                  <c:v>43623</c:v>
                </c:pt>
                <c:pt idx="280">
                  <c:v>43626</c:v>
                </c:pt>
                <c:pt idx="281">
                  <c:v>43627</c:v>
                </c:pt>
                <c:pt idx="282">
                  <c:v>43628</c:v>
                </c:pt>
                <c:pt idx="283">
                  <c:v>43629</c:v>
                </c:pt>
                <c:pt idx="284">
                  <c:v>43630</c:v>
                </c:pt>
                <c:pt idx="285">
                  <c:v>43633</c:v>
                </c:pt>
                <c:pt idx="286">
                  <c:v>43634</c:v>
                </c:pt>
                <c:pt idx="287">
                  <c:v>43635</c:v>
                </c:pt>
                <c:pt idx="288">
                  <c:v>43636</c:v>
                </c:pt>
                <c:pt idx="289">
                  <c:v>43637</c:v>
                </c:pt>
                <c:pt idx="290">
                  <c:v>43640</c:v>
                </c:pt>
                <c:pt idx="291">
                  <c:v>43641</c:v>
                </c:pt>
                <c:pt idx="292">
                  <c:v>43642</c:v>
                </c:pt>
                <c:pt idx="293">
                  <c:v>43643</c:v>
                </c:pt>
                <c:pt idx="294">
                  <c:v>43644</c:v>
                </c:pt>
                <c:pt idx="295">
                  <c:v>43647</c:v>
                </c:pt>
                <c:pt idx="296">
                  <c:v>43648</c:v>
                </c:pt>
                <c:pt idx="297">
                  <c:v>43649</c:v>
                </c:pt>
                <c:pt idx="298">
                  <c:v>43650</c:v>
                </c:pt>
                <c:pt idx="299">
                  <c:v>43651</c:v>
                </c:pt>
                <c:pt idx="300">
                  <c:v>43654</c:v>
                </c:pt>
                <c:pt idx="301">
                  <c:v>43655</c:v>
                </c:pt>
                <c:pt idx="302">
                  <c:v>43656</c:v>
                </c:pt>
                <c:pt idx="303">
                  <c:v>43657</c:v>
                </c:pt>
                <c:pt idx="304">
                  <c:v>43658</c:v>
                </c:pt>
                <c:pt idx="305">
                  <c:v>43661</c:v>
                </c:pt>
                <c:pt idx="306">
                  <c:v>43662</c:v>
                </c:pt>
                <c:pt idx="307">
                  <c:v>43663</c:v>
                </c:pt>
                <c:pt idx="308">
                  <c:v>43664</c:v>
                </c:pt>
                <c:pt idx="309">
                  <c:v>43665</c:v>
                </c:pt>
                <c:pt idx="310">
                  <c:v>43668</c:v>
                </c:pt>
                <c:pt idx="311">
                  <c:v>43669</c:v>
                </c:pt>
                <c:pt idx="312">
                  <c:v>43670</c:v>
                </c:pt>
                <c:pt idx="313">
                  <c:v>43671</c:v>
                </c:pt>
                <c:pt idx="314">
                  <c:v>43672</c:v>
                </c:pt>
                <c:pt idx="315">
                  <c:v>43675</c:v>
                </c:pt>
                <c:pt idx="316">
                  <c:v>43676</c:v>
                </c:pt>
                <c:pt idx="317">
                  <c:v>43677</c:v>
                </c:pt>
                <c:pt idx="318">
                  <c:v>43678</c:v>
                </c:pt>
                <c:pt idx="319">
                  <c:v>43679</c:v>
                </c:pt>
                <c:pt idx="320">
                  <c:v>43682</c:v>
                </c:pt>
                <c:pt idx="321">
                  <c:v>43683</c:v>
                </c:pt>
                <c:pt idx="322">
                  <c:v>43684</c:v>
                </c:pt>
                <c:pt idx="323">
                  <c:v>43685</c:v>
                </c:pt>
                <c:pt idx="324">
                  <c:v>43686</c:v>
                </c:pt>
                <c:pt idx="325">
                  <c:v>43689</c:v>
                </c:pt>
                <c:pt idx="326">
                  <c:v>43690</c:v>
                </c:pt>
                <c:pt idx="327">
                  <c:v>43691</c:v>
                </c:pt>
                <c:pt idx="328">
                  <c:v>43692</c:v>
                </c:pt>
                <c:pt idx="329">
                  <c:v>43693</c:v>
                </c:pt>
                <c:pt idx="330">
                  <c:v>43696</c:v>
                </c:pt>
                <c:pt idx="331">
                  <c:v>43697</c:v>
                </c:pt>
                <c:pt idx="332">
                  <c:v>43698</c:v>
                </c:pt>
                <c:pt idx="333">
                  <c:v>43699</c:v>
                </c:pt>
                <c:pt idx="334">
                  <c:v>43700</c:v>
                </c:pt>
                <c:pt idx="335">
                  <c:v>43703</c:v>
                </c:pt>
                <c:pt idx="336">
                  <c:v>43704</c:v>
                </c:pt>
                <c:pt idx="337">
                  <c:v>43705</c:v>
                </c:pt>
                <c:pt idx="338">
                  <c:v>43706</c:v>
                </c:pt>
                <c:pt idx="339">
                  <c:v>43707</c:v>
                </c:pt>
                <c:pt idx="340">
                  <c:v>43710</c:v>
                </c:pt>
                <c:pt idx="341">
                  <c:v>43711</c:v>
                </c:pt>
                <c:pt idx="342">
                  <c:v>43712</c:v>
                </c:pt>
                <c:pt idx="343">
                  <c:v>43713</c:v>
                </c:pt>
                <c:pt idx="344">
                  <c:v>43714</c:v>
                </c:pt>
                <c:pt idx="345">
                  <c:v>43717</c:v>
                </c:pt>
                <c:pt idx="346">
                  <c:v>43718</c:v>
                </c:pt>
                <c:pt idx="347">
                  <c:v>43719</c:v>
                </c:pt>
                <c:pt idx="348">
                  <c:v>43720</c:v>
                </c:pt>
                <c:pt idx="349">
                  <c:v>43721</c:v>
                </c:pt>
                <c:pt idx="350">
                  <c:v>43724</c:v>
                </c:pt>
                <c:pt idx="351">
                  <c:v>43725</c:v>
                </c:pt>
                <c:pt idx="352">
                  <c:v>43726</c:v>
                </c:pt>
                <c:pt idx="353">
                  <c:v>43727</c:v>
                </c:pt>
                <c:pt idx="354">
                  <c:v>43728</c:v>
                </c:pt>
                <c:pt idx="355">
                  <c:v>43731</c:v>
                </c:pt>
                <c:pt idx="356">
                  <c:v>43732</c:v>
                </c:pt>
                <c:pt idx="357">
                  <c:v>43733</c:v>
                </c:pt>
                <c:pt idx="358">
                  <c:v>43734</c:v>
                </c:pt>
                <c:pt idx="359">
                  <c:v>43735</c:v>
                </c:pt>
                <c:pt idx="360">
                  <c:v>43738</c:v>
                </c:pt>
                <c:pt idx="361">
                  <c:v>43739</c:v>
                </c:pt>
                <c:pt idx="362">
                  <c:v>43740</c:v>
                </c:pt>
                <c:pt idx="363">
                  <c:v>43741</c:v>
                </c:pt>
                <c:pt idx="364">
                  <c:v>43742</c:v>
                </c:pt>
                <c:pt idx="365">
                  <c:v>43745</c:v>
                </c:pt>
                <c:pt idx="366">
                  <c:v>43746</c:v>
                </c:pt>
                <c:pt idx="367">
                  <c:v>43747</c:v>
                </c:pt>
                <c:pt idx="368">
                  <c:v>43748</c:v>
                </c:pt>
                <c:pt idx="369">
                  <c:v>43749</c:v>
                </c:pt>
                <c:pt idx="370">
                  <c:v>43752</c:v>
                </c:pt>
                <c:pt idx="371">
                  <c:v>43753</c:v>
                </c:pt>
                <c:pt idx="372">
                  <c:v>43754</c:v>
                </c:pt>
                <c:pt idx="373">
                  <c:v>43755</c:v>
                </c:pt>
                <c:pt idx="374">
                  <c:v>43756</c:v>
                </c:pt>
                <c:pt idx="375">
                  <c:v>43759</c:v>
                </c:pt>
                <c:pt idx="376">
                  <c:v>43760</c:v>
                </c:pt>
                <c:pt idx="377">
                  <c:v>43761</c:v>
                </c:pt>
                <c:pt idx="378">
                  <c:v>43762</c:v>
                </c:pt>
                <c:pt idx="379">
                  <c:v>43763</c:v>
                </c:pt>
                <c:pt idx="380">
                  <c:v>43766</c:v>
                </c:pt>
                <c:pt idx="381">
                  <c:v>43767</c:v>
                </c:pt>
                <c:pt idx="382">
                  <c:v>43768</c:v>
                </c:pt>
                <c:pt idx="383">
                  <c:v>43769</c:v>
                </c:pt>
                <c:pt idx="384">
                  <c:v>43770</c:v>
                </c:pt>
                <c:pt idx="385">
                  <c:v>43773</c:v>
                </c:pt>
                <c:pt idx="386">
                  <c:v>43774</c:v>
                </c:pt>
                <c:pt idx="387">
                  <c:v>43775</c:v>
                </c:pt>
                <c:pt idx="388">
                  <c:v>43776</c:v>
                </c:pt>
                <c:pt idx="389">
                  <c:v>43777</c:v>
                </c:pt>
                <c:pt idx="390">
                  <c:v>43780</c:v>
                </c:pt>
                <c:pt idx="391">
                  <c:v>43781</c:v>
                </c:pt>
                <c:pt idx="392">
                  <c:v>43782</c:v>
                </c:pt>
                <c:pt idx="393">
                  <c:v>43783</c:v>
                </c:pt>
                <c:pt idx="394">
                  <c:v>43784</c:v>
                </c:pt>
                <c:pt idx="395">
                  <c:v>43787</c:v>
                </c:pt>
                <c:pt idx="396">
                  <c:v>43788</c:v>
                </c:pt>
                <c:pt idx="397">
                  <c:v>43789</c:v>
                </c:pt>
                <c:pt idx="398">
                  <c:v>43790</c:v>
                </c:pt>
                <c:pt idx="399">
                  <c:v>43791</c:v>
                </c:pt>
                <c:pt idx="400">
                  <c:v>43794</c:v>
                </c:pt>
                <c:pt idx="401">
                  <c:v>43795</c:v>
                </c:pt>
                <c:pt idx="402">
                  <c:v>43796</c:v>
                </c:pt>
                <c:pt idx="403">
                  <c:v>43797</c:v>
                </c:pt>
                <c:pt idx="404">
                  <c:v>43798</c:v>
                </c:pt>
                <c:pt idx="405">
                  <c:v>43801</c:v>
                </c:pt>
                <c:pt idx="406">
                  <c:v>43802</c:v>
                </c:pt>
                <c:pt idx="407">
                  <c:v>43803</c:v>
                </c:pt>
                <c:pt idx="408">
                  <c:v>43804</c:v>
                </c:pt>
                <c:pt idx="409">
                  <c:v>43805</c:v>
                </c:pt>
                <c:pt idx="410">
                  <c:v>43808</c:v>
                </c:pt>
                <c:pt idx="411">
                  <c:v>43809</c:v>
                </c:pt>
                <c:pt idx="412">
                  <c:v>43810</c:v>
                </c:pt>
                <c:pt idx="413">
                  <c:v>43811</c:v>
                </c:pt>
                <c:pt idx="414">
                  <c:v>43812</c:v>
                </c:pt>
                <c:pt idx="415">
                  <c:v>43815</c:v>
                </c:pt>
                <c:pt idx="416">
                  <c:v>43816</c:v>
                </c:pt>
                <c:pt idx="417">
                  <c:v>43817</c:v>
                </c:pt>
                <c:pt idx="418">
                  <c:v>43818</c:v>
                </c:pt>
                <c:pt idx="419">
                  <c:v>43819</c:v>
                </c:pt>
                <c:pt idx="420">
                  <c:v>43822</c:v>
                </c:pt>
                <c:pt idx="421">
                  <c:v>43823</c:v>
                </c:pt>
                <c:pt idx="422">
                  <c:v>43826</c:v>
                </c:pt>
                <c:pt idx="423">
                  <c:v>43829</c:v>
                </c:pt>
                <c:pt idx="424">
                  <c:v>43830</c:v>
                </c:pt>
                <c:pt idx="425">
                  <c:v>43832</c:v>
                </c:pt>
                <c:pt idx="426">
                  <c:v>43833</c:v>
                </c:pt>
                <c:pt idx="427">
                  <c:v>43836</c:v>
                </c:pt>
                <c:pt idx="428">
                  <c:v>43837</c:v>
                </c:pt>
                <c:pt idx="429">
                  <c:v>43838</c:v>
                </c:pt>
                <c:pt idx="430">
                  <c:v>43839</c:v>
                </c:pt>
                <c:pt idx="431">
                  <c:v>43840</c:v>
                </c:pt>
                <c:pt idx="432">
                  <c:v>43843</c:v>
                </c:pt>
                <c:pt idx="433">
                  <c:v>43844</c:v>
                </c:pt>
                <c:pt idx="434">
                  <c:v>43845</c:v>
                </c:pt>
                <c:pt idx="435">
                  <c:v>43846</c:v>
                </c:pt>
                <c:pt idx="436">
                  <c:v>43847</c:v>
                </c:pt>
                <c:pt idx="437">
                  <c:v>43850</c:v>
                </c:pt>
                <c:pt idx="438">
                  <c:v>43851</c:v>
                </c:pt>
                <c:pt idx="439">
                  <c:v>43852</c:v>
                </c:pt>
                <c:pt idx="440">
                  <c:v>43853</c:v>
                </c:pt>
                <c:pt idx="441">
                  <c:v>43854</c:v>
                </c:pt>
                <c:pt idx="442">
                  <c:v>43857</c:v>
                </c:pt>
                <c:pt idx="443">
                  <c:v>43858</c:v>
                </c:pt>
                <c:pt idx="444">
                  <c:v>43859</c:v>
                </c:pt>
                <c:pt idx="445">
                  <c:v>43860</c:v>
                </c:pt>
                <c:pt idx="446">
                  <c:v>43861</c:v>
                </c:pt>
                <c:pt idx="447">
                  <c:v>43864</c:v>
                </c:pt>
                <c:pt idx="448">
                  <c:v>43865</c:v>
                </c:pt>
                <c:pt idx="449">
                  <c:v>43866</c:v>
                </c:pt>
                <c:pt idx="450">
                  <c:v>43867</c:v>
                </c:pt>
                <c:pt idx="451">
                  <c:v>43868</c:v>
                </c:pt>
                <c:pt idx="452">
                  <c:v>43871</c:v>
                </c:pt>
                <c:pt idx="453">
                  <c:v>43872</c:v>
                </c:pt>
                <c:pt idx="454">
                  <c:v>43873</c:v>
                </c:pt>
                <c:pt idx="455">
                  <c:v>43874</c:v>
                </c:pt>
                <c:pt idx="456">
                  <c:v>43875</c:v>
                </c:pt>
                <c:pt idx="457">
                  <c:v>43878</c:v>
                </c:pt>
                <c:pt idx="458">
                  <c:v>43879</c:v>
                </c:pt>
                <c:pt idx="459">
                  <c:v>43880</c:v>
                </c:pt>
                <c:pt idx="460">
                  <c:v>43881</c:v>
                </c:pt>
                <c:pt idx="461">
                  <c:v>43882</c:v>
                </c:pt>
                <c:pt idx="462">
                  <c:v>43885</c:v>
                </c:pt>
                <c:pt idx="463">
                  <c:v>43886</c:v>
                </c:pt>
                <c:pt idx="464">
                  <c:v>43887</c:v>
                </c:pt>
                <c:pt idx="465">
                  <c:v>43888</c:v>
                </c:pt>
                <c:pt idx="466">
                  <c:v>43889</c:v>
                </c:pt>
                <c:pt idx="467">
                  <c:v>43892</c:v>
                </c:pt>
                <c:pt idx="468">
                  <c:v>43893</c:v>
                </c:pt>
                <c:pt idx="469">
                  <c:v>43894</c:v>
                </c:pt>
                <c:pt idx="470">
                  <c:v>43895</c:v>
                </c:pt>
                <c:pt idx="471">
                  <c:v>43896</c:v>
                </c:pt>
                <c:pt idx="472">
                  <c:v>43899</c:v>
                </c:pt>
                <c:pt idx="473">
                  <c:v>43900</c:v>
                </c:pt>
                <c:pt idx="474">
                  <c:v>43901</c:v>
                </c:pt>
                <c:pt idx="475">
                  <c:v>43902</c:v>
                </c:pt>
                <c:pt idx="476">
                  <c:v>43903</c:v>
                </c:pt>
                <c:pt idx="477">
                  <c:v>43906</c:v>
                </c:pt>
                <c:pt idx="478">
                  <c:v>43907</c:v>
                </c:pt>
                <c:pt idx="479">
                  <c:v>43908</c:v>
                </c:pt>
                <c:pt idx="480">
                  <c:v>43909</c:v>
                </c:pt>
                <c:pt idx="481">
                  <c:v>43910</c:v>
                </c:pt>
                <c:pt idx="482">
                  <c:v>43913</c:v>
                </c:pt>
                <c:pt idx="483">
                  <c:v>43914</c:v>
                </c:pt>
                <c:pt idx="484">
                  <c:v>43915</c:v>
                </c:pt>
                <c:pt idx="485">
                  <c:v>43916</c:v>
                </c:pt>
                <c:pt idx="486">
                  <c:v>43917</c:v>
                </c:pt>
                <c:pt idx="487">
                  <c:v>43920</c:v>
                </c:pt>
                <c:pt idx="488">
                  <c:v>43921</c:v>
                </c:pt>
                <c:pt idx="489">
                  <c:v>43922</c:v>
                </c:pt>
                <c:pt idx="490">
                  <c:v>43923</c:v>
                </c:pt>
                <c:pt idx="491">
                  <c:v>43924</c:v>
                </c:pt>
                <c:pt idx="492">
                  <c:v>43927</c:v>
                </c:pt>
                <c:pt idx="493">
                  <c:v>43928</c:v>
                </c:pt>
                <c:pt idx="494">
                  <c:v>43929</c:v>
                </c:pt>
                <c:pt idx="495">
                  <c:v>43930</c:v>
                </c:pt>
                <c:pt idx="496">
                  <c:v>43935</c:v>
                </c:pt>
                <c:pt idx="497">
                  <c:v>43936</c:v>
                </c:pt>
                <c:pt idx="498">
                  <c:v>43937</c:v>
                </c:pt>
                <c:pt idx="499">
                  <c:v>43938</c:v>
                </c:pt>
                <c:pt idx="500">
                  <c:v>43941</c:v>
                </c:pt>
                <c:pt idx="501">
                  <c:v>43942</c:v>
                </c:pt>
                <c:pt idx="502">
                  <c:v>43943</c:v>
                </c:pt>
                <c:pt idx="503">
                  <c:v>43944</c:v>
                </c:pt>
                <c:pt idx="504">
                  <c:v>43945</c:v>
                </c:pt>
                <c:pt idx="505">
                  <c:v>43948</c:v>
                </c:pt>
                <c:pt idx="506">
                  <c:v>43949</c:v>
                </c:pt>
                <c:pt idx="507">
                  <c:v>43950</c:v>
                </c:pt>
                <c:pt idx="508">
                  <c:v>43951</c:v>
                </c:pt>
                <c:pt idx="509">
                  <c:v>43955</c:v>
                </c:pt>
                <c:pt idx="510">
                  <c:v>43956</c:v>
                </c:pt>
                <c:pt idx="511">
                  <c:v>43957</c:v>
                </c:pt>
                <c:pt idx="512">
                  <c:v>43958</c:v>
                </c:pt>
                <c:pt idx="513">
                  <c:v>43959</c:v>
                </c:pt>
                <c:pt idx="514">
                  <c:v>43962</c:v>
                </c:pt>
                <c:pt idx="515">
                  <c:v>43963</c:v>
                </c:pt>
                <c:pt idx="516">
                  <c:v>43964</c:v>
                </c:pt>
                <c:pt idx="517">
                  <c:v>43965</c:v>
                </c:pt>
                <c:pt idx="518">
                  <c:v>43966</c:v>
                </c:pt>
                <c:pt idx="519">
                  <c:v>43969</c:v>
                </c:pt>
                <c:pt idx="520">
                  <c:v>43970</c:v>
                </c:pt>
                <c:pt idx="521">
                  <c:v>43971</c:v>
                </c:pt>
                <c:pt idx="522">
                  <c:v>43972</c:v>
                </c:pt>
                <c:pt idx="523">
                  <c:v>43973</c:v>
                </c:pt>
                <c:pt idx="524">
                  <c:v>43976</c:v>
                </c:pt>
                <c:pt idx="525">
                  <c:v>43977</c:v>
                </c:pt>
                <c:pt idx="526">
                  <c:v>43978</c:v>
                </c:pt>
                <c:pt idx="527">
                  <c:v>43979</c:v>
                </c:pt>
                <c:pt idx="528">
                  <c:v>43980</c:v>
                </c:pt>
                <c:pt idx="529">
                  <c:v>43983</c:v>
                </c:pt>
                <c:pt idx="530">
                  <c:v>43984</c:v>
                </c:pt>
                <c:pt idx="531">
                  <c:v>43985</c:v>
                </c:pt>
                <c:pt idx="532">
                  <c:v>43986</c:v>
                </c:pt>
                <c:pt idx="533">
                  <c:v>43987</c:v>
                </c:pt>
                <c:pt idx="534">
                  <c:v>43990</c:v>
                </c:pt>
                <c:pt idx="535">
                  <c:v>43991</c:v>
                </c:pt>
                <c:pt idx="536">
                  <c:v>43992</c:v>
                </c:pt>
                <c:pt idx="537">
                  <c:v>43993</c:v>
                </c:pt>
                <c:pt idx="538">
                  <c:v>43994</c:v>
                </c:pt>
                <c:pt idx="539">
                  <c:v>43997</c:v>
                </c:pt>
                <c:pt idx="540">
                  <c:v>43998</c:v>
                </c:pt>
                <c:pt idx="541">
                  <c:v>43999</c:v>
                </c:pt>
                <c:pt idx="542">
                  <c:v>44000</c:v>
                </c:pt>
                <c:pt idx="543">
                  <c:v>44001</c:v>
                </c:pt>
                <c:pt idx="544">
                  <c:v>44004</c:v>
                </c:pt>
                <c:pt idx="545">
                  <c:v>44005</c:v>
                </c:pt>
                <c:pt idx="546">
                  <c:v>44006</c:v>
                </c:pt>
                <c:pt idx="547">
                  <c:v>44007</c:v>
                </c:pt>
                <c:pt idx="548">
                  <c:v>44008</c:v>
                </c:pt>
                <c:pt idx="549">
                  <c:v>44011</c:v>
                </c:pt>
                <c:pt idx="550">
                  <c:v>44012</c:v>
                </c:pt>
                <c:pt idx="551">
                  <c:v>44013</c:v>
                </c:pt>
                <c:pt idx="552">
                  <c:v>44014</c:v>
                </c:pt>
                <c:pt idx="553">
                  <c:v>44015</c:v>
                </c:pt>
                <c:pt idx="554">
                  <c:v>44018</c:v>
                </c:pt>
                <c:pt idx="555">
                  <c:v>44019</c:v>
                </c:pt>
                <c:pt idx="556">
                  <c:v>44020</c:v>
                </c:pt>
                <c:pt idx="557">
                  <c:v>44021</c:v>
                </c:pt>
                <c:pt idx="558">
                  <c:v>44022</c:v>
                </c:pt>
                <c:pt idx="559">
                  <c:v>44025</c:v>
                </c:pt>
                <c:pt idx="560">
                  <c:v>44026</c:v>
                </c:pt>
                <c:pt idx="561">
                  <c:v>44027</c:v>
                </c:pt>
                <c:pt idx="562">
                  <c:v>44028</c:v>
                </c:pt>
                <c:pt idx="563">
                  <c:v>44029</c:v>
                </c:pt>
                <c:pt idx="564">
                  <c:v>44032</c:v>
                </c:pt>
                <c:pt idx="565">
                  <c:v>44033</c:v>
                </c:pt>
                <c:pt idx="566">
                  <c:v>44034</c:v>
                </c:pt>
                <c:pt idx="567">
                  <c:v>44035</c:v>
                </c:pt>
                <c:pt idx="568">
                  <c:v>44036</c:v>
                </c:pt>
                <c:pt idx="569">
                  <c:v>44039</c:v>
                </c:pt>
                <c:pt idx="570">
                  <c:v>44040</c:v>
                </c:pt>
                <c:pt idx="571">
                  <c:v>44041</c:v>
                </c:pt>
                <c:pt idx="572">
                  <c:v>44042</c:v>
                </c:pt>
                <c:pt idx="573">
                  <c:v>44043</c:v>
                </c:pt>
                <c:pt idx="574">
                  <c:v>44046</c:v>
                </c:pt>
                <c:pt idx="575">
                  <c:v>44047</c:v>
                </c:pt>
                <c:pt idx="576">
                  <c:v>44048</c:v>
                </c:pt>
                <c:pt idx="577">
                  <c:v>44049</c:v>
                </c:pt>
                <c:pt idx="578">
                  <c:v>44050</c:v>
                </c:pt>
                <c:pt idx="579">
                  <c:v>44053</c:v>
                </c:pt>
                <c:pt idx="580">
                  <c:v>44054</c:v>
                </c:pt>
                <c:pt idx="581">
                  <c:v>44055</c:v>
                </c:pt>
                <c:pt idx="582">
                  <c:v>44056</c:v>
                </c:pt>
                <c:pt idx="583">
                  <c:v>44057</c:v>
                </c:pt>
                <c:pt idx="584">
                  <c:v>44060</c:v>
                </c:pt>
                <c:pt idx="585">
                  <c:v>44061</c:v>
                </c:pt>
                <c:pt idx="586">
                  <c:v>44062</c:v>
                </c:pt>
                <c:pt idx="587">
                  <c:v>44063</c:v>
                </c:pt>
                <c:pt idx="588">
                  <c:v>44064</c:v>
                </c:pt>
                <c:pt idx="589">
                  <c:v>44067</c:v>
                </c:pt>
                <c:pt idx="590">
                  <c:v>44068</c:v>
                </c:pt>
                <c:pt idx="591">
                  <c:v>44069</c:v>
                </c:pt>
                <c:pt idx="592">
                  <c:v>44070</c:v>
                </c:pt>
                <c:pt idx="593">
                  <c:v>44071</c:v>
                </c:pt>
                <c:pt idx="594">
                  <c:v>44074</c:v>
                </c:pt>
                <c:pt idx="595">
                  <c:v>44075</c:v>
                </c:pt>
                <c:pt idx="596">
                  <c:v>44076</c:v>
                </c:pt>
                <c:pt idx="597">
                  <c:v>44077</c:v>
                </c:pt>
                <c:pt idx="598">
                  <c:v>44078</c:v>
                </c:pt>
                <c:pt idx="599">
                  <c:v>44081</c:v>
                </c:pt>
                <c:pt idx="600">
                  <c:v>44082</c:v>
                </c:pt>
                <c:pt idx="601">
                  <c:v>44083</c:v>
                </c:pt>
                <c:pt idx="602">
                  <c:v>44084</c:v>
                </c:pt>
                <c:pt idx="603">
                  <c:v>44085</c:v>
                </c:pt>
                <c:pt idx="604">
                  <c:v>44088</c:v>
                </c:pt>
                <c:pt idx="605">
                  <c:v>44089</c:v>
                </c:pt>
                <c:pt idx="606">
                  <c:v>44090</c:v>
                </c:pt>
                <c:pt idx="607">
                  <c:v>44091</c:v>
                </c:pt>
                <c:pt idx="608">
                  <c:v>44092</c:v>
                </c:pt>
                <c:pt idx="609">
                  <c:v>44095</c:v>
                </c:pt>
                <c:pt idx="610">
                  <c:v>44096</c:v>
                </c:pt>
                <c:pt idx="611">
                  <c:v>44097</c:v>
                </c:pt>
                <c:pt idx="612">
                  <c:v>44098</c:v>
                </c:pt>
                <c:pt idx="613">
                  <c:v>44099</c:v>
                </c:pt>
                <c:pt idx="614">
                  <c:v>44102</c:v>
                </c:pt>
                <c:pt idx="615">
                  <c:v>44103</c:v>
                </c:pt>
                <c:pt idx="616">
                  <c:v>44104</c:v>
                </c:pt>
                <c:pt idx="617">
                  <c:v>44105</c:v>
                </c:pt>
                <c:pt idx="618">
                  <c:v>44106</c:v>
                </c:pt>
                <c:pt idx="619">
                  <c:v>44109</c:v>
                </c:pt>
                <c:pt idx="620">
                  <c:v>44110</c:v>
                </c:pt>
                <c:pt idx="621">
                  <c:v>44111</c:v>
                </c:pt>
                <c:pt idx="622">
                  <c:v>44112</c:v>
                </c:pt>
                <c:pt idx="623">
                  <c:v>44113</c:v>
                </c:pt>
                <c:pt idx="624">
                  <c:v>44116</c:v>
                </c:pt>
                <c:pt idx="625">
                  <c:v>44117</c:v>
                </c:pt>
                <c:pt idx="626">
                  <c:v>44118</c:v>
                </c:pt>
                <c:pt idx="627">
                  <c:v>44119</c:v>
                </c:pt>
                <c:pt idx="628">
                  <c:v>44120</c:v>
                </c:pt>
                <c:pt idx="629">
                  <c:v>44123</c:v>
                </c:pt>
                <c:pt idx="630">
                  <c:v>44124</c:v>
                </c:pt>
                <c:pt idx="631">
                  <c:v>44125</c:v>
                </c:pt>
                <c:pt idx="632">
                  <c:v>44126</c:v>
                </c:pt>
                <c:pt idx="633">
                  <c:v>44127</c:v>
                </c:pt>
                <c:pt idx="634">
                  <c:v>44130</c:v>
                </c:pt>
                <c:pt idx="635">
                  <c:v>44131</c:v>
                </c:pt>
                <c:pt idx="636">
                  <c:v>44132</c:v>
                </c:pt>
                <c:pt idx="637">
                  <c:v>44133</c:v>
                </c:pt>
                <c:pt idx="638">
                  <c:v>44134</c:v>
                </c:pt>
                <c:pt idx="639">
                  <c:v>44137</c:v>
                </c:pt>
                <c:pt idx="640">
                  <c:v>44138</c:v>
                </c:pt>
                <c:pt idx="641">
                  <c:v>44139</c:v>
                </c:pt>
                <c:pt idx="642">
                  <c:v>44140</c:v>
                </c:pt>
                <c:pt idx="643">
                  <c:v>44141</c:v>
                </c:pt>
                <c:pt idx="644">
                  <c:v>44144</c:v>
                </c:pt>
                <c:pt idx="645">
                  <c:v>44145</c:v>
                </c:pt>
                <c:pt idx="646">
                  <c:v>44146</c:v>
                </c:pt>
                <c:pt idx="647">
                  <c:v>44147</c:v>
                </c:pt>
                <c:pt idx="648">
                  <c:v>44148</c:v>
                </c:pt>
                <c:pt idx="649">
                  <c:v>44151</c:v>
                </c:pt>
                <c:pt idx="650">
                  <c:v>44152</c:v>
                </c:pt>
                <c:pt idx="651">
                  <c:v>44153</c:v>
                </c:pt>
                <c:pt idx="652">
                  <c:v>44154</c:v>
                </c:pt>
                <c:pt idx="653">
                  <c:v>44155</c:v>
                </c:pt>
                <c:pt idx="654">
                  <c:v>44158</c:v>
                </c:pt>
                <c:pt idx="655">
                  <c:v>44159</c:v>
                </c:pt>
                <c:pt idx="656">
                  <c:v>44160</c:v>
                </c:pt>
                <c:pt idx="657">
                  <c:v>44161</c:v>
                </c:pt>
                <c:pt idx="658">
                  <c:v>44162</c:v>
                </c:pt>
                <c:pt idx="659">
                  <c:v>44165</c:v>
                </c:pt>
                <c:pt idx="660">
                  <c:v>44166</c:v>
                </c:pt>
                <c:pt idx="661">
                  <c:v>44167</c:v>
                </c:pt>
                <c:pt idx="662">
                  <c:v>44168</c:v>
                </c:pt>
                <c:pt idx="663">
                  <c:v>44169</c:v>
                </c:pt>
                <c:pt idx="664">
                  <c:v>44172</c:v>
                </c:pt>
                <c:pt idx="665">
                  <c:v>44173</c:v>
                </c:pt>
                <c:pt idx="666">
                  <c:v>44174</c:v>
                </c:pt>
                <c:pt idx="667">
                  <c:v>44175</c:v>
                </c:pt>
                <c:pt idx="668">
                  <c:v>44176</c:v>
                </c:pt>
                <c:pt idx="669">
                  <c:v>44179</c:v>
                </c:pt>
                <c:pt idx="670">
                  <c:v>44180</c:v>
                </c:pt>
                <c:pt idx="671">
                  <c:v>44181</c:v>
                </c:pt>
                <c:pt idx="672">
                  <c:v>44182</c:v>
                </c:pt>
                <c:pt idx="673">
                  <c:v>44183</c:v>
                </c:pt>
                <c:pt idx="674">
                  <c:v>44186</c:v>
                </c:pt>
                <c:pt idx="675">
                  <c:v>44187</c:v>
                </c:pt>
                <c:pt idx="676">
                  <c:v>44188</c:v>
                </c:pt>
                <c:pt idx="677">
                  <c:v>44189</c:v>
                </c:pt>
                <c:pt idx="678">
                  <c:v>44193</c:v>
                </c:pt>
                <c:pt idx="679">
                  <c:v>44194</c:v>
                </c:pt>
                <c:pt idx="680">
                  <c:v>44195</c:v>
                </c:pt>
                <c:pt idx="681">
                  <c:v>44196</c:v>
                </c:pt>
                <c:pt idx="682">
                  <c:v>44200</c:v>
                </c:pt>
                <c:pt idx="683">
                  <c:v>44201</c:v>
                </c:pt>
                <c:pt idx="684">
                  <c:v>44202</c:v>
                </c:pt>
                <c:pt idx="685">
                  <c:v>44203</c:v>
                </c:pt>
                <c:pt idx="686">
                  <c:v>44204</c:v>
                </c:pt>
                <c:pt idx="687">
                  <c:v>44207</c:v>
                </c:pt>
                <c:pt idx="688">
                  <c:v>44208</c:v>
                </c:pt>
                <c:pt idx="689">
                  <c:v>44209</c:v>
                </c:pt>
                <c:pt idx="690">
                  <c:v>44210</c:v>
                </c:pt>
                <c:pt idx="691">
                  <c:v>44211</c:v>
                </c:pt>
                <c:pt idx="692">
                  <c:v>44214</c:v>
                </c:pt>
                <c:pt idx="693">
                  <c:v>44215</c:v>
                </c:pt>
                <c:pt idx="694">
                  <c:v>44216</c:v>
                </c:pt>
                <c:pt idx="695">
                  <c:v>44217</c:v>
                </c:pt>
                <c:pt idx="696">
                  <c:v>44218</c:v>
                </c:pt>
                <c:pt idx="697">
                  <c:v>44221</c:v>
                </c:pt>
                <c:pt idx="698">
                  <c:v>44222</c:v>
                </c:pt>
                <c:pt idx="699">
                  <c:v>44223</c:v>
                </c:pt>
                <c:pt idx="700">
                  <c:v>44224</c:v>
                </c:pt>
                <c:pt idx="701">
                  <c:v>44225</c:v>
                </c:pt>
                <c:pt idx="702">
                  <c:v>44228</c:v>
                </c:pt>
                <c:pt idx="703">
                  <c:v>44229</c:v>
                </c:pt>
                <c:pt idx="704">
                  <c:v>44230</c:v>
                </c:pt>
                <c:pt idx="705">
                  <c:v>44231</c:v>
                </c:pt>
                <c:pt idx="706">
                  <c:v>44232</c:v>
                </c:pt>
                <c:pt idx="707">
                  <c:v>44235</c:v>
                </c:pt>
                <c:pt idx="708">
                  <c:v>44236</c:v>
                </c:pt>
                <c:pt idx="709">
                  <c:v>44237</c:v>
                </c:pt>
                <c:pt idx="710">
                  <c:v>44238</c:v>
                </c:pt>
                <c:pt idx="711">
                  <c:v>44239</c:v>
                </c:pt>
                <c:pt idx="712">
                  <c:v>44242</c:v>
                </c:pt>
                <c:pt idx="713">
                  <c:v>44243</c:v>
                </c:pt>
                <c:pt idx="714">
                  <c:v>44244</c:v>
                </c:pt>
                <c:pt idx="715">
                  <c:v>44245</c:v>
                </c:pt>
                <c:pt idx="716">
                  <c:v>44246</c:v>
                </c:pt>
                <c:pt idx="717">
                  <c:v>44249</c:v>
                </c:pt>
                <c:pt idx="718">
                  <c:v>44250</c:v>
                </c:pt>
                <c:pt idx="719">
                  <c:v>44251</c:v>
                </c:pt>
                <c:pt idx="720">
                  <c:v>44252</c:v>
                </c:pt>
                <c:pt idx="721">
                  <c:v>44253</c:v>
                </c:pt>
                <c:pt idx="722">
                  <c:v>44256</c:v>
                </c:pt>
                <c:pt idx="723">
                  <c:v>44257</c:v>
                </c:pt>
                <c:pt idx="724">
                  <c:v>44258</c:v>
                </c:pt>
                <c:pt idx="725">
                  <c:v>44259</c:v>
                </c:pt>
                <c:pt idx="726">
                  <c:v>44260</c:v>
                </c:pt>
                <c:pt idx="727">
                  <c:v>44263</c:v>
                </c:pt>
                <c:pt idx="728">
                  <c:v>44264</c:v>
                </c:pt>
                <c:pt idx="729">
                  <c:v>44265</c:v>
                </c:pt>
                <c:pt idx="730">
                  <c:v>44266</c:v>
                </c:pt>
                <c:pt idx="731">
                  <c:v>44267</c:v>
                </c:pt>
                <c:pt idx="732">
                  <c:v>44270</c:v>
                </c:pt>
                <c:pt idx="733">
                  <c:v>44271</c:v>
                </c:pt>
                <c:pt idx="734">
                  <c:v>44272</c:v>
                </c:pt>
                <c:pt idx="735">
                  <c:v>44273</c:v>
                </c:pt>
                <c:pt idx="736">
                  <c:v>44274</c:v>
                </c:pt>
                <c:pt idx="737">
                  <c:v>44277</c:v>
                </c:pt>
                <c:pt idx="738">
                  <c:v>44278</c:v>
                </c:pt>
                <c:pt idx="739">
                  <c:v>44279</c:v>
                </c:pt>
                <c:pt idx="740">
                  <c:v>44280</c:v>
                </c:pt>
                <c:pt idx="741">
                  <c:v>44281</c:v>
                </c:pt>
                <c:pt idx="742">
                  <c:v>44284</c:v>
                </c:pt>
                <c:pt idx="743">
                  <c:v>44285</c:v>
                </c:pt>
                <c:pt idx="744">
                  <c:v>44286</c:v>
                </c:pt>
                <c:pt idx="745">
                  <c:v>44287</c:v>
                </c:pt>
                <c:pt idx="746">
                  <c:v>44292</c:v>
                </c:pt>
                <c:pt idx="747">
                  <c:v>44293</c:v>
                </c:pt>
                <c:pt idx="748">
                  <c:v>44294</c:v>
                </c:pt>
                <c:pt idx="749">
                  <c:v>44295</c:v>
                </c:pt>
                <c:pt idx="750">
                  <c:v>44298</c:v>
                </c:pt>
                <c:pt idx="751">
                  <c:v>44299</c:v>
                </c:pt>
                <c:pt idx="752">
                  <c:v>44300</c:v>
                </c:pt>
                <c:pt idx="753">
                  <c:v>44301</c:v>
                </c:pt>
                <c:pt idx="754">
                  <c:v>44302</c:v>
                </c:pt>
                <c:pt idx="755">
                  <c:v>44305</c:v>
                </c:pt>
                <c:pt idx="756">
                  <c:v>44306</c:v>
                </c:pt>
                <c:pt idx="757">
                  <c:v>44307</c:v>
                </c:pt>
                <c:pt idx="758">
                  <c:v>44308</c:v>
                </c:pt>
                <c:pt idx="759">
                  <c:v>44309</c:v>
                </c:pt>
                <c:pt idx="760">
                  <c:v>44312</c:v>
                </c:pt>
                <c:pt idx="761">
                  <c:v>44313</c:v>
                </c:pt>
                <c:pt idx="762">
                  <c:v>44314</c:v>
                </c:pt>
                <c:pt idx="763">
                  <c:v>44315</c:v>
                </c:pt>
                <c:pt idx="764">
                  <c:v>44316</c:v>
                </c:pt>
                <c:pt idx="765">
                  <c:v>44319</c:v>
                </c:pt>
                <c:pt idx="766">
                  <c:v>44320</c:v>
                </c:pt>
                <c:pt idx="767">
                  <c:v>44321</c:v>
                </c:pt>
                <c:pt idx="768">
                  <c:v>44322</c:v>
                </c:pt>
                <c:pt idx="769">
                  <c:v>44323</c:v>
                </c:pt>
                <c:pt idx="770">
                  <c:v>44326</c:v>
                </c:pt>
                <c:pt idx="771">
                  <c:v>44327</c:v>
                </c:pt>
                <c:pt idx="772">
                  <c:v>44328</c:v>
                </c:pt>
                <c:pt idx="773">
                  <c:v>44329</c:v>
                </c:pt>
                <c:pt idx="774">
                  <c:v>44330</c:v>
                </c:pt>
                <c:pt idx="775">
                  <c:v>44333</c:v>
                </c:pt>
                <c:pt idx="776">
                  <c:v>44334</c:v>
                </c:pt>
                <c:pt idx="777">
                  <c:v>44335</c:v>
                </c:pt>
                <c:pt idx="778">
                  <c:v>44336</c:v>
                </c:pt>
                <c:pt idx="779">
                  <c:v>44337</c:v>
                </c:pt>
                <c:pt idx="780">
                  <c:v>44340</c:v>
                </c:pt>
                <c:pt idx="781">
                  <c:v>44341</c:v>
                </c:pt>
                <c:pt idx="782">
                  <c:v>44342</c:v>
                </c:pt>
                <c:pt idx="783">
                  <c:v>44343</c:v>
                </c:pt>
                <c:pt idx="784">
                  <c:v>44344</c:v>
                </c:pt>
                <c:pt idx="785">
                  <c:v>44347</c:v>
                </c:pt>
                <c:pt idx="786">
                  <c:v>44348</c:v>
                </c:pt>
                <c:pt idx="787">
                  <c:v>44349</c:v>
                </c:pt>
                <c:pt idx="788">
                  <c:v>44350</c:v>
                </c:pt>
                <c:pt idx="789">
                  <c:v>44351</c:v>
                </c:pt>
                <c:pt idx="790">
                  <c:v>44354</c:v>
                </c:pt>
                <c:pt idx="791">
                  <c:v>44355</c:v>
                </c:pt>
                <c:pt idx="792">
                  <c:v>44356</c:v>
                </c:pt>
                <c:pt idx="793">
                  <c:v>44357</c:v>
                </c:pt>
                <c:pt idx="794">
                  <c:v>44358</c:v>
                </c:pt>
                <c:pt idx="795">
                  <c:v>44361</c:v>
                </c:pt>
                <c:pt idx="796">
                  <c:v>44362</c:v>
                </c:pt>
                <c:pt idx="797">
                  <c:v>44363</c:v>
                </c:pt>
                <c:pt idx="798">
                  <c:v>44364</c:v>
                </c:pt>
                <c:pt idx="799">
                  <c:v>44365</c:v>
                </c:pt>
                <c:pt idx="800">
                  <c:v>44368</c:v>
                </c:pt>
                <c:pt idx="801">
                  <c:v>44369</c:v>
                </c:pt>
                <c:pt idx="802">
                  <c:v>44370</c:v>
                </c:pt>
                <c:pt idx="803">
                  <c:v>44371</c:v>
                </c:pt>
                <c:pt idx="804">
                  <c:v>44372</c:v>
                </c:pt>
                <c:pt idx="805">
                  <c:v>44375</c:v>
                </c:pt>
                <c:pt idx="806">
                  <c:v>44376</c:v>
                </c:pt>
                <c:pt idx="807">
                  <c:v>44377</c:v>
                </c:pt>
                <c:pt idx="808">
                  <c:v>44378</c:v>
                </c:pt>
                <c:pt idx="809">
                  <c:v>44379</c:v>
                </c:pt>
                <c:pt idx="810">
                  <c:v>44382</c:v>
                </c:pt>
                <c:pt idx="811">
                  <c:v>44383</c:v>
                </c:pt>
                <c:pt idx="812">
                  <c:v>44384</c:v>
                </c:pt>
                <c:pt idx="813">
                  <c:v>44385</c:v>
                </c:pt>
                <c:pt idx="814">
                  <c:v>44386</c:v>
                </c:pt>
                <c:pt idx="815">
                  <c:v>44389</c:v>
                </c:pt>
                <c:pt idx="816">
                  <c:v>44390</c:v>
                </c:pt>
                <c:pt idx="817">
                  <c:v>44391</c:v>
                </c:pt>
                <c:pt idx="818">
                  <c:v>44392</c:v>
                </c:pt>
                <c:pt idx="819">
                  <c:v>44393</c:v>
                </c:pt>
                <c:pt idx="820">
                  <c:v>44396</c:v>
                </c:pt>
                <c:pt idx="821">
                  <c:v>44397</c:v>
                </c:pt>
                <c:pt idx="822">
                  <c:v>44398</c:v>
                </c:pt>
                <c:pt idx="823">
                  <c:v>44399</c:v>
                </c:pt>
                <c:pt idx="824">
                  <c:v>44400</c:v>
                </c:pt>
                <c:pt idx="825">
                  <c:v>44403</c:v>
                </c:pt>
                <c:pt idx="826">
                  <c:v>44404</c:v>
                </c:pt>
                <c:pt idx="827">
                  <c:v>44405</c:v>
                </c:pt>
                <c:pt idx="828">
                  <c:v>44406</c:v>
                </c:pt>
                <c:pt idx="829">
                  <c:v>44407</c:v>
                </c:pt>
                <c:pt idx="830">
                  <c:v>44410</c:v>
                </c:pt>
                <c:pt idx="831">
                  <c:v>44411</c:v>
                </c:pt>
                <c:pt idx="832">
                  <c:v>44412</c:v>
                </c:pt>
                <c:pt idx="833">
                  <c:v>44413</c:v>
                </c:pt>
                <c:pt idx="834">
                  <c:v>44414</c:v>
                </c:pt>
                <c:pt idx="835">
                  <c:v>44417</c:v>
                </c:pt>
                <c:pt idx="836">
                  <c:v>44418</c:v>
                </c:pt>
                <c:pt idx="837">
                  <c:v>44419</c:v>
                </c:pt>
                <c:pt idx="838">
                  <c:v>44420</c:v>
                </c:pt>
                <c:pt idx="839">
                  <c:v>44421</c:v>
                </c:pt>
                <c:pt idx="840">
                  <c:v>44424</c:v>
                </c:pt>
                <c:pt idx="841">
                  <c:v>44425</c:v>
                </c:pt>
                <c:pt idx="842">
                  <c:v>44426</c:v>
                </c:pt>
                <c:pt idx="843">
                  <c:v>44427</c:v>
                </c:pt>
                <c:pt idx="844">
                  <c:v>44428</c:v>
                </c:pt>
                <c:pt idx="845">
                  <c:v>44431</c:v>
                </c:pt>
                <c:pt idx="846">
                  <c:v>44432</c:v>
                </c:pt>
                <c:pt idx="847">
                  <c:v>44433</c:v>
                </c:pt>
                <c:pt idx="848">
                  <c:v>44434</c:v>
                </c:pt>
                <c:pt idx="849">
                  <c:v>44435</c:v>
                </c:pt>
                <c:pt idx="850">
                  <c:v>44438</c:v>
                </c:pt>
                <c:pt idx="851">
                  <c:v>44439</c:v>
                </c:pt>
                <c:pt idx="852">
                  <c:v>44440</c:v>
                </c:pt>
                <c:pt idx="853">
                  <c:v>44441</c:v>
                </c:pt>
                <c:pt idx="854">
                  <c:v>44442</c:v>
                </c:pt>
                <c:pt idx="855">
                  <c:v>44445</c:v>
                </c:pt>
                <c:pt idx="856">
                  <c:v>44446</c:v>
                </c:pt>
                <c:pt idx="857">
                  <c:v>44447</c:v>
                </c:pt>
                <c:pt idx="858">
                  <c:v>44448</c:v>
                </c:pt>
                <c:pt idx="859">
                  <c:v>44449</c:v>
                </c:pt>
                <c:pt idx="860">
                  <c:v>44452</c:v>
                </c:pt>
                <c:pt idx="861">
                  <c:v>44453</c:v>
                </c:pt>
                <c:pt idx="862">
                  <c:v>44454</c:v>
                </c:pt>
                <c:pt idx="863">
                  <c:v>44455</c:v>
                </c:pt>
                <c:pt idx="864">
                  <c:v>44456</c:v>
                </c:pt>
                <c:pt idx="865">
                  <c:v>44459</c:v>
                </c:pt>
                <c:pt idx="866">
                  <c:v>44460</c:v>
                </c:pt>
                <c:pt idx="867">
                  <c:v>44461</c:v>
                </c:pt>
                <c:pt idx="868">
                  <c:v>44462</c:v>
                </c:pt>
                <c:pt idx="869">
                  <c:v>44463</c:v>
                </c:pt>
                <c:pt idx="870">
                  <c:v>44466</c:v>
                </c:pt>
                <c:pt idx="871">
                  <c:v>44467</c:v>
                </c:pt>
                <c:pt idx="872">
                  <c:v>44468</c:v>
                </c:pt>
                <c:pt idx="873">
                  <c:v>44469</c:v>
                </c:pt>
                <c:pt idx="874">
                  <c:v>44470</c:v>
                </c:pt>
                <c:pt idx="875">
                  <c:v>44473</c:v>
                </c:pt>
                <c:pt idx="876">
                  <c:v>44474</c:v>
                </c:pt>
                <c:pt idx="877">
                  <c:v>44475</c:v>
                </c:pt>
                <c:pt idx="878">
                  <c:v>44476</c:v>
                </c:pt>
                <c:pt idx="879">
                  <c:v>44477</c:v>
                </c:pt>
                <c:pt idx="880">
                  <c:v>44480</c:v>
                </c:pt>
                <c:pt idx="881">
                  <c:v>44481</c:v>
                </c:pt>
                <c:pt idx="882">
                  <c:v>44482</c:v>
                </c:pt>
                <c:pt idx="883">
                  <c:v>44483</c:v>
                </c:pt>
                <c:pt idx="884">
                  <c:v>44484</c:v>
                </c:pt>
                <c:pt idx="885">
                  <c:v>44487</c:v>
                </c:pt>
                <c:pt idx="886">
                  <c:v>44488</c:v>
                </c:pt>
                <c:pt idx="887">
                  <c:v>44489</c:v>
                </c:pt>
                <c:pt idx="888">
                  <c:v>44490</c:v>
                </c:pt>
                <c:pt idx="889">
                  <c:v>44491</c:v>
                </c:pt>
                <c:pt idx="890">
                  <c:v>44494</c:v>
                </c:pt>
                <c:pt idx="891">
                  <c:v>44495</c:v>
                </c:pt>
                <c:pt idx="892">
                  <c:v>44496</c:v>
                </c:pt>
                <c:pt idx="893">
                  <c:v>44497</c:v>
                </c:pt>
                <c:pt idx="894">
                  <c:v>44498</c:v>
                </c:pt>
                <c:pt idx="895">
                  <c:v>44501</c:v>
                </c:pt>
                <c:pt idx="896">
                  <c:v>44502</c:v>
                </c:pt>
                <c:pt idx="897">
                  <c:v>44503</c:v>
                </c:pt>
                <c:pt idx="898">
                  <c:v>44504</c:v>
                </c:pt>
                <c:pt idx="899">
                  <c:v>44505</c:v>
                </c:pt>
                <c:pt idx="900">
                  <c:v>44508</c:v>
                </c:pt>
                <c:pt idx="901">
                  <c:v>44509</c:v>
                </c:pt>
                <c:pt idx="902">
                  <c:v>44510</c:v>
                </c:pt>
                <c:pt idx="903">
                  <c:v>44511</c:v>
                </c:pt>
                <c:pt idx="904">
                  <c:v>44512</c:v>
                </c:pt>
                <c:pt idx="905">
                  <c:v>44515</c:v>
                </c:pt>
                <c:pt idx="906">
                  <c:v>44516</c:v>
                </c:pt>
                <c:pt idx="907">
                  <c:v>44517</c:v>
                </c:pt>
                <c:pt idx="908">
                  <c:v>44518</c:v>
                </c:pt>
                <c:pt idx="909">
                  <c:v>44519</c:v>
                </c:pt>
                <c:pt idx="910">
                  <c:v>44522</c:v>
                </c:pt>
                <c:pt idx="911">
                  <c:v>44523</c:v>
                </c:pt>
                <c:pt idx="912">
                  <c:v>44524</c:v>
                </c:pt>
                <c:pt idx="913">
                  <c:v>44525</c:v>
                </c:pt>
                <c:pt idx="914">
                  <c:v>44526</c:v>
                </c:pt>
                <c:pt idx="915">
                  <c:v>44529</c:v>
                </c:pt>
                <c:pt idx="916">
                  <c:v>44530</c:v>
                </c:pt>
                <c:pt idx="917">
                  <c:v>44531</c:v>
                </c:pt>
                <c:pt idx="918">
                  <c:v>44532</c:v>
                </c:pt>
                <c:pt idx="919">
                  <c:v>44533</c:v>
                </c:pt>
                <c:pt idx="920">
                  <c:v>44536</c:v>
                </c:pt>
                <c:pt idx="921">
                  <c:v>44537</c:v>
                </c:pt>
                <c:pt idx="922">
                  <c:v>44538</c:v>
                </c:pt>
                <c:pt idx="923">
                  <c:v>44539</c:v>
                </c:pt>
                <c:pt idx="924">
                  <c:v>44540</c:v>
                </c:pt>
                <c:pt idx="925">
                  <c:v>44543</c:v>
                </c:pt>
                <c:pt idx="926">
                  <c:v>44544</c:v>
                </c:pt>
                <c:pt idx="927">
                  <c:v>44545</c:v>
                </c:pt>
                <c:pt idx="928">
                  <c:v>44546</c:v>
                </c:pt>
                <c:pt idx="929">
                  <c:v>44547</c:v>
                </c:pt>
                <c:pt idx="930">
                  <c:v>44550</c:v>
                </c:pt>
                <c:pt idx="931">
                  <c:v>44551</c:v>
                </c:pt>
                <c:pt idx="932">
                  <c:v>44552</c:v>
                </c:pt>
                <c:pt idx="933">
                  <c:v>44553</c:v>
                </c:pt>
                <c:pt idx="934">
                  <c:v>44554</c:v>
                </c:pt>
                <c:pt idx="935">
                  <c:v>44557</c:v>
                </c:pt>
                <c:pt idx="936">
                  <c:v>44558</c:v>
                </c:pt>
                <c:pt idx="937">
                  <c:v>44559</c:v>
                </c:pt>
                <c:pt idx="938">
                  <c:v>44560</c:v>
                </c:pt>
                <c:pt idx="939">
                  <c:v>44561</c:v>
                </c:pt>
                <c:pt idx="940">
                  <c:v>44564</c:v>
                </c:pt>
                <c:pt idx="941">
                  <c:v>44565</c:v>
                </c:pt>
                <c:pt idx="942">
                  <c:v>44566</c:v>
                </c:pt>
                <c:pt idx="943">
                  <c:v>44567</c:v>
                </c:pt>
                <c:pt idx="944">
                  <c:v>44568</c:v>
                </c:pt>
                <c:pt idx="945">
                  <c:v>44571</c:v>
                </c:pt>
                <c:pt idx="946">
                  <c:v>44572</c:v>
                </c:pt>
                <c:pt idx="947">
                  <c:v>44573</c:v>
                </c:pt>
                <c:pt idx="948">
                  <c:v>44574</c:v>
                </c:pt>
                <c:pt idx="949">
                  <c:v>44575</c:v>
                </c:pt>
                <c:pt idx="950">
                  <c:v>44578</c:v>
                </c:pt>
                <c:pt idx="951">
                  <c:v>44579</c:v>
                </c:pt>
                <c:pt idx="952">
                  <c:v>44580</c:v>
                </c:pt>
                <c:pt idx="953">
                  <c:v>44581</c:v>
                </c:pt>
                <c:pt idx="954">
                  <c:v>44582</c:v>
                </c:pt>
                <c:pt idx="955">
                  <c:v>44585</c:v>
                </c:pt>
                <c:pt idx="956">
                  <c:v>44586</c:v>
                </c:pt>
                <c:pt idx="957">
                  <c:v>44587</c:v>
                </c:pt>
                <c:pt idx="958">
                  <c:v>44588</c:v>
                </c:pt>
                <c:pt idx="959">
                  <c:v>44589</c:v>
                </c:pt>
                <c:pt idx="960">
                  <c:v>44592</c:v>
                </c:pt>
                <c:pt idx="961">
                  <c:v>44593</c:v>
                </c:pt>
                <c:pt idx="962">
                  <c:v>44594</c:v>
                </c:pt>
                <c:pt idx="963">
                  <c:v>44595</c:v>
                </c:pt>
                <c:pt idx="964">
                  <c:v>44596</c:v>
                </c:pt>
                <c:pt idx="965">
                  <c:v>44599</c:v>
                </c:pt>
                <c:pt idx="966">
                  <c:v>44600</c:v>
                </c:pt>
                <c:pt idx="967">
                  <c:v>44601</c:v>
                </c:pt>
                <c:pt idx="968">
                  <c:v>44602</c:v>
                </c:pt>
                <c:pt idx="969">
                  <c:v>44603</c:v>
                </c:pt>
                <c:pt idx="970">
                  <c:v>44606</c:v>
                </c:pt>
                <c:pt idx="971">
                  <c:v>44607</c:v>
                </c:pt>
                <c:pt idx="972">
                  <c:v>44608</c:v>
                </c:pt>
                <c:pt idx="973">
                  <c:v>44609</c:v>
                </c:pt>
                <c:pt idx="974">
                  <c:v>44610</c:v>
                </c:pt>
                <c:pt idx="975">
                  <c:v>44613</c:v>
                </c:pt>
                <c:pt idx="976">
                  <c:v>44614</c:v>
                </c:pt>
                <c:pt idx="977">
                  <c:v>44615</c:v>
                </c:pt>
                <c:pt idx="978">
                  <c:v>44616</c:v>
                </c:pt>
                <c:pt idx="979">
                  <c:v>44617</c:v>
                </c:pt>
                <c:pt idx="980">
                  <c:v>44620</c:v>
                </c:pt>
                <c:pt idx="981">
                  <c:v>44621</c:v>
                </c:pt>
                <c:pt idx="982">
                  <c:v>44622</c:v>
                </c:pt>
                <c:pt idx="983">
                  <c:v>44623</c:v>
                </c:pt>
                <c:pt idx="984">
                  <c:v>44624</c:v>
                </c:pt>
                <c:pt idx="985">
                  <c:v>44627</c:v>
                </c:pt>
                <c:pt idx="986">
                  <c:v>44628</c:v>
                </c:pt>
                <c:pt idx="987">
                  <c:v>44629</c:v>
                </c:pt>
                <c:pt idx="988">
                  <c:v>44630</c:v>
                </c:pt>
                <c:pt idx="989">
                  <c:v>44631</c:v>
                </c:pt>
                <c:pt idx="990">
                  <c:v>44634</c:v>
                </c:pt>
                <c:pt idx="991">
                  <c:v>44635</c:v>
                </c:pt>
                <c:pt idx="992">
                  <c:v>44636</c:v>
                </c:pt>
                <c:pt idx="993">
                  <c:v>44637</c:v>
                </c:pt>
                <c:pt idx="994">
                  <c:v>44638</c:v>
                </c:pt>
                <c:pt idx="995">
                  <c:v>44641</c:v>
                </c:pt>
                <c:pt idx="996">
                  <c:v>44642</c:v>
                </c:pt>
                <c:pt idx="997">
                  <c:v>44643</c:v>
                </c:pt>
                <c:pt idx="998">
                  <c:v>44644</c:v>
                </c:pt>
                <c:pt idx="999">
                  <c:v>44645</c:v>
                </c:pt>
                <c:pt idx="1000">
                  <c:v>44648</c:v>
                </c:pt>
                <c:pt idx="1001">
                  <c:v>44649</c:v>
                </c:pt>
                <c:pt idx="1002">
                  <c:v>44650</c:v>
                </c:pt>
                <c:pt idx="1003">
                  <c:v>44651</c:v>
                </c:pt>
                <c:pt idx="1004">
                  <c:v>44652</c:v>
                </c:pt>
                <c:pt idx="1005">
                  <c:v>44655</c:v>
                </c:pt>
                <c:pt idx="1006">
                  <c:v>44656</c:v>
                </c:pt>
                <c:pt idx="1007">
                  <c:v>44657</c:v>
                </c:pt>
                <c:pt idx="1008">
                  <c:v>44658</c:v>
                </c:pt>
                <c:pt idx="1009">
                  <c:v>44659</c:v>
                </c:pt>
                <c:pt idx="1010">
                  <c:v>44662</c:v>
                </c:pt>
                <c:pt idx="1011">
                  <c:v>44663</c:v>
                </c:pt>
                <c:pt idx="1012">
                  <c:v>44664</c:v>
                </c:pt>
                <c:pt idx="1013">
                  <c:v>44665</c:v>
                </c:pt>
                <c:pt idx="1014">
                  <c:v>44670</c:v>
                </c:pt>
                <c:pt idx="1015">
                  <c:v>44671</c:v>
                </c:pt>
                <c:pt idx="1016">
                  <c:v>44672</c:v>
                </c:pt>
                <c:pt idx="1017">
                  <c:v>44673</c:v>
                </c:pt>
                <c:pt idx="1018">
                  <c:v>44676</c:v>
                </c:pt>
                <c:pt idx="1019">
                  <c:v>44677</c:v>
                </c:pt>
                <c:pt idx="1020">
                  <c:v>44678</c:v>
                </c:pt>
                <c:pt idx="1021">
                  <c:v>44679</c:v>
                </c:pt>
                <c:pt idx="1022">
                  <c:v>44680</c:v>
                </c:pt>
                <c:pt idx="1023">
                  <c:v>44683</c:v>
                </c:pt>
                <c:pt idx="1024">
                  <c:v>44684</c:v>
                </c:pt>
                <c:pt idx="1025">
                  <c:v>44685</c:v>
                </c:pt>
                <c:pt idx="1026">
                  <c:v>44686</c:v>
                </c:pt>
                <c:pt idx="1027">
                  <c:v>44687</c:v>
                </c:pt>
                <c:pt idx="1028">
                  <c:v>44690</c:v>
                </c:pt>
                <c:pt idx="1029">
                  <c:v>44691</c:v>
                </c:pt>
                <c:pt idx="1030">
                  <c:v>44692</c:v>
                </c:pt>
                <c:pt idx="1031">
                  <c:v>44693</c:v>
                </c:pt>
                <c:pt idx="1032">
                  <c:v>44694</c:v>
                </c:pt>
                <c:pt idx="1033">
                  <c:v>44697</c:v>
                </c:pt>
                <c:pt idx="1034">
                  <c:v>44698</c:v>
                </c:pt>
                <c:pt idx="1035">
                  <c:v>44699</c:v>
                </c:pt>
                <c:pt idx="1036">
                  <c:v>44700</c:v>
                </c:pt>
                <c:pt idx="1037">
                  <c:v>44701</c:v>
                </c:pt>
                <c:pt idx="1038">
                  <c:v>44704</c:v>
                </c:pt>
                <c:pt idx="1039">
                  <c:v>44705</c:v>
                </c:pt>
                <c:pt idx="1040">
                  <c:v>44706</c:v>
                </c:pt>
                <c:pt idx="1041">
                  <c:v>44707</c:v>
                </c:pt>
                <c:pt idx="1042">
                  <c:v>44708</c:v>
                </c:pt>
                <c:pt idx="1043">
                  <c:v>44711</c:v>
                </c:pt>
                <c:pt idx="1044">
                  <c:v>44712</c:v>
                </c:pt>
                <c:pt idx="1045">
                  <c:v>44713</c:v>
                </c:pt>
                <c:pt idx="1046">
                  <c:v>44714</c:v>
                </c:pt>
                <c:pt idx="1047">
                  <c:v>44715</c:v>
                </c:pt>
                <c:pt idx="1048">
                  <c:v>44718</c:v>
                </c:pt>
                <c:pt idx="1049">
                  <c:v>44719</c:v>
                </c:pt>
                <c:pt idx="1050">
                  <c:v>44720</c:v>
                </c:pt>
                <c:pt idx="1051">
                  <c:v>44721</c:v>
                </c:pt>
                <c:pt idx="1052">
                  <c:v>44722</c:v>
                </c:pt>
                <c:pt idx="1053">
                  <c:v>44725</c:v>
                </c:pt>
                <c:pt idx="1054">
                  <c:v>44726</c:v>
                </c:pt>
                <c:pt idx="1055">
                  <c:v>44727</c:v>
                </c:pt>
                <c:pt idx="1056">
                  <c:v>44728</c:v>
                </c:pt>
                <c:pt idx="1057">
                  <c:v>44729</c:v>
                </c:pt>
                <c:pt idx="1058">
                  <c:v>44732</c:v>
                </c:pt>
                <c:pt idx="1059">
                  <c:v>44733</c:v>
                </c:pt>
                <c:pt idx="1060">
                  <c:v>44734</c:v>
                </c:pt>
                <c:pt idx="1061">
                  <c:v>44735</c:v>
                </c:pt>
                <c:pt idx="1062">
                  <c:v>44736</c:v>
                </c:pt>
                <c:pt idx="1063">
                  <c:v>44739</c:v>
                </c:pt>
                <c:pt idx="1064">
                  <c:v>44740</c:v>
                </c:pt>
                <c:pt idx="1065">
                  <c:v>44741</c:v>
                </c:pt>
                <c:pt idx="1066">
                  <c:v>44742</c:v>
                </c:pt>
                <c:pt idx="1067">
                  <c:v>44743</c:v>
                </c:pt>
                <c:pt idx="1068">
                  <c:v>44746</c:v>
                </c:pt>
                <c:pt idx="1069">
                  <c:v>44747</c:v>
                </c:pt>
                <c:pt idx="1070">
                  <c:v>44748</c:v>
                </c:pt>
                <c:pt idx="1071">
                  <c:v>44749</c:v>
                </c:pt>
                <c:pt idx="1072">
                  <c:v>44750</c:v>
                </c:pt>
                <c:pt idx="1073">
                  <c:v>44753</c:v>
                </c:pt>
                <c:pt idx="1074">
                  <c:v>44754</c:v>
                </c:pt>
                <c:pt idx="1075">
                  <c:v>44755</c:v>
                </c:pt>
                <c:pt idx="1076">
                  <c:v>44756</c:v>
                </c:pt>
                <c:pt idx="1077">
                  <c:v>44757</c:v>
                </c:pt>
                <c:pt idx="1078">
                  <c:v>44760</c:v>
                </c:pt>
                <c:pt idx="1079">
                  <c:v>44761</c:v>
                </c:pt>
                <c:pt idx="1080">
                  <c:v>44762</c:v>
                </c:pt>
                <c:pt idx="1081">
                  <c:v>44763</c:v>
                </c:pt>
                <c:pt idx="1082">
                  <c:v>44764</c:v>
                </c:pt>
                <c:pt idx="1083">
                  <c:v>44767</c:v>
                </c:pt>
                <c:pt idx="1084">
                  <c:v>44768</c:v>
                </c:pt>
                <c:pt idx="1085">
                  <c:v>44769</c:v>
                </c:pt>
                <c:pt idx="1086">
                  <c:v>44770</c:v>
                </c:pt>
                <c:pt idx="1087">
                  <c:v>44771</c:v>
                </c:pt>
                <c:pt idx="1088">
                  <c:v>44774</c:v>
                </c:pt>
                <c:pt idx="1089">
                  <c:v>44775</c:v>
                </c:pt>
                <c:pt idx="1090">
                  <c:v>44776</c:v>
                </c:pt>
                <c:pt idx="1091">
                  <c:v>44777</c:v>
                </c:pt>
                <c:pt idx="1092">
                  <c:v>44778</c:v>
                </c:pt>
                <c:pt idx="1093">
                  <c:v>44781</c:v>
                </c:pt>
                <c:pt idx="1094">
                  <c:v>44782</c:v>
                </c:pt>
                <c:pt idx="1095">
                  <c:v>44783</c:v>
                </c:pt>
                <c:pt idx="1096">
                  <c:v>44784</c:v>
                </c:pt>
                <c:pt idx="1097">
                  <c:v>44785</c:v>
                </c:pt>
                <c:pt idx="1098">
                  <c:v>44788</c:v>
                </c:pt>
                <c:pt idx="1099">
                  <c:v>44789</c:v>
                </c:pt>
                <c:pt idx="1100">
                  <c:v>44790</c:v>
                </c:pt>
                <c:pt idx="1101">
                  <c:v>44791</c:v>
                </c:pt>
                <c:pt idx="1102">
                  <c:v>44792</c:v>
                </c:pt>
                <c:pt idx="1103">
                  <c:v>44795</c:v>
                </c:pt>
                <c:pt idx="1104">
                  <c:v>44796</c:v>
                </c:pt>
                <c:pt idx="1105">
                  <c:v>44797</c:v>
                </c:pt>
                <c:pt idx="1106">
                  <c:v>44798</c:v>
                </c:pt>
                <c:pt idx="1107">
                  <c:v>44799</c:v>
                </c:pt>
                <c:pt idx="1108">
                  <c:v>44802</c:v>
                </c:pt>
                <c:pt idx="1109">
                  <c:v>44803</c:v>
                </c:pt>
                <c:pt idx="1110">
                  <c:v>44804</c:v>
                </c:pt>
                <c:pt idx="1111">
                  <c:v>44805</c:v>
                </c:pt>
                <c:pt idx="1112">
                  <c:v>44806</c:v>
                </c:pt>
                <c:pt idx="1113">
                  <c:v>44809</c:v>
                </c:pt>
                <c:pt idx="1114">
                  <c:v>44810</c:v>
                </c:pt>
                <c:pt idx="1115">
                  <c:v>44811</c:v>
                </c:pt>
                <c:pt idx="1116">
                  <c:v>44812</c:v>
                </c:pt>
                <c:pt idx="1117">
                  <c:v>44813</c:v>
                </c:pt>
                <c:pt idx="1118">
                  <c:v>44816</c:v>
                </c:pt>
                <c:pt idx="1119">
                  <c:v>44817</c:v>
                </c:pt>
                <c:pt idx="1120">
                  <c:v>44818</c:v>
                </c:pt>
                <c:pt idx="1121">
                  <c:v>44819</c:v>
                </c:pt>
                <c:pt idx="1122">
                  <c:v>44820</c:v>
                </c:pt>
                <c:pt idx="1123">
                  <c:v>44823</c:v>
                </c:pt>
                <c:pt idx="1124">
                  <c:v>44824</c:v>
                </c:pt>
                <c:pt idx="1125">
                  <c:v>44825</c:v>
                </c:pt>
                <c:pt idx="1126">
                  <c:v>44826</c:v>
                </c:pt>
                <c:pt idx="1127">
                  <c:v>44827</c:v>
                </c:pt>
                <c:pt idx="1128">
                  <c:v>44830</c:v>
                </c:pt>
                <c:pt idx="1129">
                  <c:v>44831</c:v>
                </c:pt>
                <c:pt idx="1130">
                  <c:v>44832</c:v>
                </c:pt>
                <c:pt idx="1131">
                  <c:v>44833</c:v>
                </c:pt>
                <c:pt idx="1132">
                  <c:v>44834</c:v>
                </c:pt>
                <c:pt idx="1133">
                  <c:v>44837</c:v>
                </c:pt>
                <c:pt idx="1134">
                  <c:v>44838</c:v>
                </c:pt>
                <c:pt idx="1135">
                  <c:v>44839</c:v>
                </c:pt>
                <c:pt idx="1136">
                  <c:v>44840</c:v>
                </c:pt>
                <c:pt idx="1137">
                  <c:v>44841</c:v>
                </c:pt>
                <c:pt idx="1138">
                  <c:v>44844</c:v>
                </c:pt>
                <c:pt idx="1139">
                  <c:v>44845</c:v>
                </c:pt>
                <c:pt idx="1140">
                  <c:v>44846</c:v>
                </c:pt>
                <c:pt idx="1141">
                  <c:v>44847</c:v>
                </c:pt>
                <c:pt idx="1142">
                  <c:v>44848</c:v>
                </c:pt>
                <c:pt idx="1143">
                  <c:v>44851</c:v>
                </c:pt>
                <c:pt idx="1144">
                  <c:v>44852</c:v>
                </c:pt>
                <c:pt idx="1145">
                  <c:v>44853</c:v>
                </c:pt>
                <c:pt idx="1146">
                  <c:v>44854</c:v>
                </c:pt>
                <c:pt idx="1147">
                  <c:v>44855</c:v>
                </c:pt>
                <c:pt idx="1148">
                  <c:v>44858</c:v>
                </c:pt>
                <c:pt idx="1149">
                  <c:v>44859</c:v>
                </c:pt>
                <c:pt idx="1150">
                  <c:v>44860</c:v>
                </c:pt>
                <c:pt idx="1151">
                  <c:v>44861</c:v>
                </c:pt>
                <c:pt idx="1152">
                  <c:v>44862</c:v>
                </c:pt>
                <c:pt idx="1153">
                  <c:v>44865</c:v>
                </c:pt>
                <c:pt idx="1154">
                  <c:v>44866</c:v>
                </c:pt>
                <c:pt idx="1155">
                  <c:v>44867</c:v>
                </c:pt>
                <c:pt idx="1156">
                  <c:v>44868</c:v>
                </c:pt>
                <c:pt idx="1157">
                  <c:v>44869</c:v>
                </c:pt>
                <c:pt idx="1158">
                  <c:v>44872</c:v>
                </c:pt>
                <c:pt idx="1159">
                  <c:v>44873</c:v>
                </c:pt>
                <c:pt idx="1160">
                  <c:v>44874</c:v>
                </c:pt>
                <c:pt idx="1161">
                  <c:v>44875</c:v>
                </c:pt>
                <c:pt idx="1162">
                  <c:v>44876</c:v>
                </c:pt>
                <c:pt idx="1163">
                  <c:v>44879</c:v>
                </c:pt>
                <c:pt idx="1164">
                  <c:v>44880</c:v>
                </c:pt>
                <c:pt idx="1165">
                  <c:v>44881</c:v>
                </c:pt>
                <c:pt idx="1166">
                  <c:v>44882</c:v>
                </c:pt>
                <c:pt idx="1167">
                  <c:v>44883</c:v>
                </c:pt>
                <c:pt idx="1168">
                  <c:v>44886</c:v>
                </c:pt>
                <c:pt idx="1169">
                  <c:v>44887</c:v>
                </c:pt>
                <c:pt idx="1170">
                  <c:v>44888</c:v>
                </c:pt>
                <c:pt idx="1171">
                  <c:v>44889</c:v>
                </c:pt>
                <c:pt idx="1172">
                  <c:v>44890</c:v>
                </c:pt>
                <c:pt idx="1173">
                  <c:v>44893</c:v>
                </c:pt>
                <c:pt idx="1174">
                  <c:v>44894</c:v>
                </c:pt>
                <c:pt idx="1175">
                  <c:v>44895</c:v>
                </c:pt>
                <c:pt idx="1176">
                  <c:v>44896</c:v>
                </c:pt>
                <c:pt idx="1177">
                  <c:v>44897</c:v>
                </c:pt>
                <c:pt idx="1178">
                  <c:v>44900</c:v>
                </c:pt>
                <c:pt idx="1179">
                  <c:v>44901</c:v>
                </c:pt>
                <c:pt idx="1180">
                  <c:v>44902</c:v>
                </c:pt>
                <c:pt idx="1181">
                  <c:v>44903</c:v>
                </c:pt>
                <c:pt idx="1182">
                  <c:v>44904</c:v>
                </c:pt>
                <c:pt idx="1183">
                  <c:v>44907</c:v>
                </c:pt>
                <c:pt idx="1184">
                  <c:v>44908</c:v>
                </c:pt>
                <c:pt idx="1185">
                  <c:v>44909</c:v>
                </c:pt>
                <c:pt idx="1186">
                  <c:v>44910</c:v>
                </c:pt>
                <c:pt idx="1187">
                  <c:v>44911</c:v>
                </c:pt>
                <c:pt idx="1188">
                  <c:v>44914</c:v>
                </c:pt>
                <c:pt idx="1189">
                  <c:v>44915</c:v>
                </c:pt>
                <c:pt idx="1190">
                  <c:v>44916</c:v>
                </c:pt>
                <c:pt idx="1191">
                  <c:v>44917</c:v>
                </c:pt>
                <c:pt idx="1192">
                  <c:v>44918</c:v>
                </c:pt>
                <c:pt idx="1193">
                  <c:v>44922</c:v>
                </c:pt>
                <c:pt idx="1194">
                  <c:v>44923</c:v>
                </c:pt>
                <c:pt idx="1195">
                  <c:v>44924</c:v>
                </c:pt>
                <c:pt idx="1196">
                  <c:v>44925</c:v>
                </c:pt>
                <c:pt idx="1197">
                  <c:v>44928</c:v>
                </c:pt>
                <c:pt idx="1198">
                  <c:v>44929</c:v>
                </c:pt>
                <c:pt idx="1199">
                  <c:v>44930</c:v>
                </c:pt>
                <c:pt idx="1200">
                  <c:v>44931</c:v>
                </c:pt>
                <c:pt idx="1201">
                  <c:v>44932</c:v>
                </c:pt>
                <c:pt idx="1202">
                  <c:v>44935</c:v>
                </c:pt>
                <c:pt idx="1203">
                  <c:v>44936</c:v>
                </c:pt>
                <c:pt idx="1204">
                  <c:v>44937</c:v>
                </c:pt>
                <c:pt idx="1205">
                  <c:v>44938</c:v>
                </c:pt>
                <c:pt idx="1206">
                  <c:v>44939</c:v>
                </c:pt>
                <c:pt idx="1207">
                  <c:v>44942</c:v>
                </c:pt>
                <c:pt idx="1208">
                  <c:v>44943</c:v>
                </c:pt>
                <c:pt idx="1209">
                  <c:v>44944</c:v>
                </c:pt>
                <c:pt idx="1210">
                  <c:v>44945</c:v>
                </c:pt>
                <c:pt idx="1211">
                  <c:v>44946</c:v>
                </c:pt>
                <c:pt idx="1212">
                  <c:v>44949</c:v>
                </c:pt>
                <c:pt idx="1213">
                  <c:v>44950</c:v>
                </c:pt>
                <c:pt idx="1214">
                  <c:v>44951</c:v>
                </c:pt>
                <c:pt idx="1215">
                  <c:v>44952</c:v>
                </c:pt>
                <c:pt idx="1216">
                  <c:v>44953</c:v>
                </c:pt>
                <c:pt idx="1217">
                  <c:v>44956</c:v>
                </c:pt>
                <c:pt idx="1218">
                  <c:v>44957</c:v>
                </c:pt>
                <c:pt idx="1219">
                  <c:v>44958</c:v>
                </c:pt>
                <c:pt idx="1220">
                  <c:v>44959</c:v>
                </c:pt>
                <c:pt idx="1221">
                  <c:v>44960</c:v>
                </c:pt>
                <c:pt idx="1222">
                  <c:v>44963</c:v>
                </c:pt>
                <c:pt idx="1223">
                  <c:v>44964</c:v>
                </c:pt>
                <c:pt idx="1224">
                  <c:v>44965</c:v>
                </c:pt>
                <c:pt idx="1225">
                  <c:v>44966</c:v>
                </c:pt>
                <c:pt idx="1226">
                  <c:v>44967</c:v>
                </c:pt>
                <c:pt idx="1227">
                  <c:v>44970</c:v>
                </c:pt>
                <c:pt idx="1228">
                  <c:v>44971</c:v>
                </c:pt>
                <c:pt idx="1229">
                  <c:v>44972</c:v>
                </c:pt>
                <c:pt idx="1230">
                  <c:v>44973</c:v>
                </c:pt>
                <c:pt idx="1231">
                  <c:v>44974</c:v>
                </c:pt>
                <c:pt idx="1232">
                  <c:v>44977</c:v>
                </c:pt>
                <c:pt idx="1233">
                  <c:v>44978</c:v>
                </c:pt>
                <c:pt idx="1234">
                  <c:v>44979</c:v>
                </c:pt>
                <c:pt idx="1235">
                  <c:v>44980</c:v>
                </c:pt>
                <c:pt idx="1236">
                  <c:v>44981</c:v>
                </c:pt>
                <c:pt idx="1237">
                  <c:v>44984</c:v>
                </c:pt>
                <c:pt idx="1238">
                  <c:v>44985</c:v>
                </c:pt>
                <c:pt idx="1239">
                  <c:v>44986</c:v>
                </c:pt>
                <c:pt idx="1240">
                  <c:v>44987</c:v>
                </c:pt>
                <c:pt idx="1241">
                  <c:v>44988</c:v>
                </c:pt>
                <c:pt idx="1242">
                  <c:v>44991</c:v>
                </c:pt>
                <c:pt idx="1243">
                  <c:v>44992</c:v>
                </c:pt>
                <c:pt idx="1244">
                  <c:v>44993</c:v>
                </c:pt>
                <c:pt idx="1245">
                  <c:v>44994</c:v>
                </c:pt>
                <c:pt idx="1246">
                  <c:v>44995</c:v>
                </c:pt>
                <c:pt idx="1247">
                  <c:v>44998</c:v>
                </c:pt>
                <c:pt idx="1248">
                  <c:v>44999</c:v>
                </c:pt>
                <c:pt idx="1249">
                  <c:v>45000</c:v>
                </c:pt>
                <c:pt idx="1250">
                  <c:v>45001</c:v>
                </c:pt>
                <c:pt idx="1251">
                  <c:v>45002</c:v>
                </c:pt>
                <c:pt idx="1252">
                  <c:v>45005</c:v>
                </c:pt>
                <c:pt idx="1253">
                  <c:v>45006</c:v>
                </c:pt>
                <c:pt idx="1254">
                  <c:v>45007</c:v>
                </c:pt>
                <c:pt idx="1255">
                  <c:v>45008</c:v>
                </c:pt>
                <c:pt idx="1256">
                  <c:v>45009</c:v>
                </c:pt>
                <c:pt idx="1257">
                  <c:v>45012</c:v>
                </c:pt>
                <c:pt idx="1258">
                  <c:v>45013</c:v>
                </c:pt>
                <c:pt idx="1259">
                  <c:v>45014</c:v>
                </c:pt>
                <c:pt idx="1260">
                  <c:v>45015</c:v>
                </c:pt>
                <c:pt idx="1261">
                  <c:v>45016</c:v>
                </c:pt>
                <c:pt idx="1262">
                  <c:v>45019</c:v>
                </c:pt>
                <c:pt idx="1263">
                  <c:v>45020</c:v>
                </c:pt>
                <c:pt idx="1264">
                  <c:v>45021</c:v>
                </c:pt>
                <c:pt idx="1265">
                  <c:v>45022</c:v>
                </c:pt>
                <c:pt idx="1266">
                  <c:v>45027</c:v>
                </c:pt>
                <c:pt idx="1267">
                  <c:v>45028</c:v>
                </c:pt>
                <c:pt idx="1268">
                  <c:v>45029</c:v>
                </c:pt>
                <c:pt idx="1269">
                  <c:v>45030</c:v>
                </c:pt>
                <c:pt idx="1270">
                  <c:v>45033</c:v>
                </c:pt>
                <c:pt idx="1271">
                  <c:v>45034</c:v>
                </c:pt>
                <c:pt idx="1272">
                  <c:v>45035</c:v>
                </c:pt>
                <c:pt idx="1273">
                  <c:v>45036</c:v>
                </c:pt>
                <c:pt idx="1274">
                  <c:v>45037</c:v>
                </c:pt>
                <c:pt idx="1275">
                  <c:v>45040</c:v>
                </c:pt>
                <c:pt idx="1276">
                  <c:v>45041</c:v>
                </c:pt>
                <c:pt idx="1277">
                  <c:v>45042</c:v>
                </c:pt>
                <c:pt idx="1278">
                  <c:v>45043</c:v>
                </c:pt>
                <c:pt idx="1279">
                  <c:v>45044</c:v>
                </c:pt>
                <c:pt idx="1280">
                  <c:v>45048</c:v>
                </c:pt>
                <c:pt idx="1281">
                  <c:v>45049</c:v>
                </c:pt>
                <c:pt idx="1282">
                  <c:v>45050</c:v>
                </c:pt>
                <c:pt idx="1283">
                  <c:v>45051</c:v>
                </c:pt>
                <c:pt idx="1284">
                  <c:v>45054</c:v>
                </c:pt>
                <c:pt idx="1285">
                  <c:v>45055</c:v>
                </c:pt>
                <c:pt idx="1286">
                  <c:v>45056</c:v>
                </c:pt>
                <c:pt idx="1287">
                  <c:v>45057</c:v>
                </c:pt>
                <c:pt idx="1288">
                  <c:v>45058</c:v>
                </c:pt>
                <c:pt idx="1289">
                  <c:v>45061</c:v>
                </c:pt>
                <c:pt idx="1290">
                  <c:v>45062</c:v>
                </c:pt>
                <c:pt idx="1291">
                  <c:v>45063</c:v>
                </c:pt>
                <c:pt idx="1292">
                  <c:v>45064</c:v>
                </c:pt>
                <c:pt idx="1293">
                  <c:v>45065</c:v>
                </c:pt>
                <c:pt idx="1294">
                  <c:v>45068</c:v>
                </c:pt>
                <c:pt idx="1295">
                  <c:v>45069</c:v>
                </c:pt>
                <c:pt idx="1296">
                  <c:v>45070</c:v>
                </c:pt>
                <c:pt idx="1297">
                  <c:v>45071</c:v>
                </c:pt>
                <c:pt idx="1298">
                  <c:v>45072</c:v>
                </c:pt>
                <c:pt idx="1299">
                  <c:v>45075</c:v>
                </c:pt>
                <c:pt idx="1300">
                  <c:v>45076</c:v>
                </c:pt>
                <c:pt idx="1301">
                  <c:v>45077</c:v>
                </c:pt>
                <c:pt idx="1302">
                  <c:v>45078</c:v>
                </c:pt>
                <c:pt idx="1303">
                  <c:v>45079</c:v>
                </c:pt>
                <c:pt idx="1304">
                  <c:v>45082</c:v>
                </c:pt>
                <c:pt idx="1305">
                  <c:v>45083</c:v>
                </c:pt>
                <c:pt idx="1306">
                  <c:v>45084</c:v>
                </c:pt>
                <c:pt idx="1307">
                  <c:v>45085</c:v>
                </c:pt>
                <c:pt idx="1308">
                  <c:v>45086</c:v>
                </c:pt>
                <c:pt idx="1309">
                  <c:v>45089</c:v>
                </c:pt>
                <c:pt idx="1310">
                  <c:v>45090</c:v>
                </c:pt>
                <c:pt idx="1311">
                  <c:v>45091</c:v>
                </c:pt>
                <c:pt idx="1312">
                  <c:v>45092</c:v>
                </c:pt>
                <c:pt idx="1313">
                  <c:v>45093</c:v>
                </c:pt>
                <c:pt idx="1314">
                  <c:v>45096</c:v>
                </c:pt>
                <c:pt idx="1315">
                  <c:v>45097</c:v>
                </c:pt>
                <c:pt idx="1316">
                  <c:v>45098</c:v>
                </c:pt>
                <c:pt idx="1317">
                  <c:v>45099</c:v>
                </c:pt>
                <c:pt idx="1318">
                  <c:v>45100</c:v>
                </c:pt>
                <c:pt idx="1319">
                  <c:v>45103</c:v>
                </c:pt>
                <c:pt idx="1320">
                  <c:v>45104</c:v>
                </c:pt>
                <c:pt idx="1321">
                  <c:v>45105</c:v>
                </c:pt>
                <c:pt idx="1322">
                  <c:v>45106</c:v>
                </c:pt>
                <c:pt idx="1323">
                  <c:v>45107</c:v>
                </c:pt>
                <c:pt idx="1324">
                  <c:v>45110</c:v>
                </c:pt>
                <c:pt idx="1325">
                  <c:v>45111</c:v>
                </c:pt>
                <c:pt idx="1326">
                  <c:v>45112</c:v>
                </c:pt>
                <c:pt idx="1327">
                  <c:v>45113</c:v>
                </c:pt>
                <c:pt idx="1328">
                  <c:v>45114</c:v>
                </c:pt>
                <c:pt idx="1329">
                  <c:v>45117</c:v>
                </c:pt>
                <c:pt idx="1330">
                  <c:v>45118</c:v>
                </c:pt>
                <c:pt idx="1331">
                  <c:v>45119</c:v>
                </c:pt>
                <c:pt idx="1332">
                  <c:v>45120</c:v>
                </c:pt>
                <c:pt idx="1333">
                  <c:v>45121</c:v>
                </c:pt>
                <c:pt idx="1334">
                  <c:v>45124</c:v>
                </c:pt>
                <c:pt idx="1335">
                  <c:v>45125</c:v>
                </c:pt>
                <c:pt idx="1336">
                  <c:v>45126</c:v>
                </c:pt>
                <c:pt idx="1337">
                  <c:v>45127</c:v>
                </c:pt>
                <c:pt idx="1338">
                  <c:v>45128</c:v>
                </c:pt>
                <c:pt idx="1339">
                  <c:v>45131</c:v>
                </c:pt>
                <c:pt idx="1340">
                  <c:v>45132</c:v>
                </c:pt>
                <c:pt idx="1341">
                  <c:v>45133</c:v>
                </c:pt>
                <c:pt idx="1342">
                  <c:v>45134</c:v>
                </c:pt>
                <c:pt idx="1343">
                  <c:v>45135</c:v>
                </c:pt>
                <c:pt idx="1344">
                  <c:v>45138</c:v>
                </c:pt>
                <c:pt idx="1345">
                  <c:v>45139</c:v>
                </c:pt>
                <c:pt idx="1346">
                  <c:v>45140</c:v>
                </c:pt>
                <c:pt idx="1347">
                  <c:v>45141</c:v>
                </c:pt>
                <c:pt idx="1348">
                  <c:v>45142</c:v>
                </c:pt>
                <c:pt idx="1349">
                  <c:v>45145</c:v>
                </c:pt>
                <c:pt idx="1350">
                  <c:v>45146</c:v>
                </c:pt>
                <c:pt idx="1351">
                  <c:v>45147</c:v>
                </c:pt>
                <c:pt idx="1352">
                  <c:v>45148</c:v>
                </c:pt>
                <c:pt idx="1353">
                  <c:v>45149</c:v>
                </c:pt>
                <c:pt idx="1354">
                  <c:v>45152</c:v>
                </c:pt>
                <c:pt idx="1355">
                  <c:v>45153</c:v>
                </c:pt>
                <c:pt idx="1356">
                  <c:v>45154</c:v>
                </c:pt>
                <c:pt idx="1357">
                  <c:v>45155</c:v>
                </c:pt>
                <c:pt idx="1358">
                  <c:v>45156</c:v>
                </c:pt>
                <c:pt idx="1359">
                  <c:v>45159</c:v>
                </c:pt>
                <c:pt idx="1360">
                  <c:v>45160</c:v>
                </c:pt>
                <c:pt idx="1361">
                  <c:v>45161</c:v>
                </c:pt>
                <c:pt idx="1362">
                  <c:v>45162</c:v>
                </c:pt>
                <c:pt idx="1363">
                  <c:v>45163</c:v>
                </c:pt>
                <c:pt idx="1364">
                  <c:v>45166</c:v>
                </c:pt>
                <c:pt idx="1365">
                  <c:v>45167</c:v>
                </c:pt>
                <c:pt idx="1366">
                  <c:v>45168</c:v>
                </c:pt>
                <c:pt idx="1367">
                  <c:v>45169</c:v>
                </c:pt>
                <c:pt idx="1368">
                  <c:v>45170</c:v>
                </c:pt>
                <c:pt idx="1369">
                  <c:v>45173</c:v>
                </c:pt>
                <c:pt idx="1370">
                  <c:v>45174</c:v>
                </c:pt>
                <c:pt idx="1371">
                  <c:v>45175</c:v>
                </c:pt>
                <c:pt idx="1372">
                  <c:v>45176</c:v>
                </c:pt>
                <c:pt idx="1373">
                  <c:v>45177</c:v>
                </c:pt>
                <c:pt idx="1374">
                  <c:v>45180</c:v>
                </c:pt>
                <c:pt idx="1375">
                  <c:v>45181</c:v>
                </c:pt>
                <c:pt idx="1376">
                  <c:v>45182</c:v>
                </c:pt>
                <c:pt idx="1377">
                  <c:v>45183</c:v>
                </c:pt>
                <c:pt idx="1378">
                  <c:v>45184</c:v>
                </c:pt>
                <c:pt idx="1379">
                  <c:v>45187</c:v>
                </c:pt>
                <c:pt idx="1380">
                  <c:v>45188</c:v>
                </c:pt>
                <c:pt idx="1381">
                  <c:v>45189</c:v>
                </c:pt>
                <c:pt idx="1382">
                  <c:v>45190</c:v>
                </c:pt>
                <c:pt idx="1383">
                  <c:v>45191</c:v>
                </c:pt>
                <c:pt idx="1384">
                  <c:v>45194</c:v>
                </c:pt>
                <c:pt idx="1385">
                  <c:v>45195</c:v>
                </c:pt>
                <c:pt idx="1386">
                  <c:v>45196</c:v>
                </c:pt>
                <c:pt idx="1387">
                  <c:v>45197</c:v>
                </c:pt>
                <c:pt idx="1388">
                  <c:v>45198</c:v>
                </c:pt>
                <c:pt idx="1389">
                  <c:v>45201</c:v>
                </c:pt>
                <c:pt idx="1390">
                  <c:v>45202</c:v>
                </c:pt>
                <c:pt idx="1391">
                  <c:v>45203</c:v>
                </c:pt>
                <c:pt idx="1392">
                  <c:v>45204</c:v>
                </c:pt>
                <c:pt idx="1393">
                  <c:v>45205</c:v>
                </c:pt>
                <c:pt idx="1394">
                  <c:v>45208</c:v>
                </c:pt>
                <c:pt idx="1395">
                  <c:v>45209</c:v>
                </c:pt>
                <c:pt idx="1396">
                  <c:v>45210</c:v>
                </c:pt>
                <c:pt idx="1397">
                  <c:v>45211</c:v>
                </c:pt>
                <c:pt idx="1398">
                  <c:v>45212</c:v>
                </c:pt>
                <c:pt idx="1399">
                  <c:v>45215</c:v>
                </c:pt>
                <c:pt idx="1400">
                  <c:v>45216</c:v>
                </c:pt>
                <c:pt idx="1401">
                  <c:v>45217</c:v>
                </c:pt>
                <c:pt idx="1402">
                  <c:v>45218</c:v>
                </c:pt>
                <c:pt idx="1403">
                  <c:v>45219</c:v>
                </c:pt>
                <c:pt idx="1404">
                  <c:v>45222</c:v>
                </c:pt>
                <c:pt idx="1405">
                  <c:v>45223</c:v>
                </c:pt>
                <c:pt idx="1406">
                  <c:v>45224</c:v>
                </c:pt>
                <c:pt idx="1407">
                  <c:v>45225</c:v>
                </c:pt>
                <c:pt idx="1408">
                  <c:v>45226</c:v>
                </c:pt>
                <c:pt idx="1409">
                  <c:v>45229</c:v>
                </c:pt>
                <c:pt idx="1410">
                  <c:v>45230</c:v>
                </c:pt>
                <c:pt idx="1411">
                  <c:v>45231</c:v>
                </c:pt>
                <c:pt idx="1412">
                  <c:v>45232</c:v>
                </c:pt>
                <c:pt idx="1413">
                  <c:v>45233</c:v>
                </c:pt>
                <c:pt idx="1414">
                  <c:v>45236</c:v>
                </c:pt>
                <c:pt idx="1415">
                  <c:v>45237</c:v>
                </c:pt>
                <c:pt idx="1416">
                  <c:v>45238</c:v>
                </c:pt>
                <c:pt idx="1417">
                  <c:v>45239</c:v>
                </c:pt>
                <c:pt idx="1418">
                  <c:v>45240</c:v>
                </c:pt>
                <c:pt idx="1419">
                  <c:v>45243</c:v>
                </c:pt>
                <c:pt idx="1420">
                  <c:v>45244</c:v>
                </c:pt>
                <c:pt idx="1421">
                  <c:v>45245</c:v>
                </c:pt>
                <c:pt idx="1422">
                  <c:v>45246</c:v>
                </c:pt>
                <c:pt idx="1423">
                  <c:v>45247</c:v>
                </c:pt>
                <c:pt idx="1424">
                  <c:v>45250</c:v>
                </c:pt>
                <c:pt idx="1425">
                  <c:v>45251</c:v>
                </c:pt>
                <c:pt idx="1426">
                  <c:v>45252</c:v>
                </c:pt>
                <c:pt idx="1427">
                  <c:v>45253</c:v>
                </c:pt>
                <c:pt idx="1428">
                  <c:v>45254</c:v>
                </c:pt>
                <c:pt idx="1429">
                  <c:v>45257</c:v>
                </c:pt>
                <c:pt idx="1430">
                  <c:v>45258</c:v>
                </c:pt>
                <c:pt idx="1431">
                  <c:v>45259</c:v>
                </c:pt>
                <c:pt idx="1432">
                  <c:v>45260</c:v>
                </c:pt>
                <c:pt idx="1433">
                  <c:v>45261</c:v>
                </c:pt>
                <c:pt idx="1434">
                  <c:v>45264</c:v>
                </c:pt>
                <c:pt idx="1435">
                  <c:v>45265</c:v>
                </c:pt>
                <c:pt idx="1436">
                  <c:v>45266</c:v>
                </c:pt>
                <c:pt idx="1437">
                  <c:v>45267</c:v>
                </c:pt>
                <c:pt idx="1438">
                  <c:v>45268</c:v>
                </c:pt>
                <c:pt idx="1439">
                  <c:v>45271</c:v>
                </c:pt>
                <c:pt idx="1440">
                  <c:v>45272</c:v>
                </c:pt>
                <c:pt idx="1441">
                  <c:v>45273</c:v>
                </c:pt>
                <c:pt idx="1442">
                  <c:v>45274</c:v>
                </c:pt>
                <c:pt idx="1443">
                  <c:v>45275</c:v>
                </c:pt>
                <c:pt idx="1444">
                  <c:v>45278</c:v>
                </c:pt>
                <c:pt idx="1445">
                  <c:v>45279</c:v>
                </c:pt>
                <c:pt idx="1446">
                  <c:v>45280</c:v>
                </c:pt>
                <c:pt idx="1447">
                  <c:v>45281</c:v>
                </c:pt>
                <c:pt idx="1448">
                  <c:v>45282</c:v>
                </c:pt>
                <c:pt idx="1449">
                  <c:v>45287</c:v>
                </c:pt>
                <c:pt idx="1450">
                  <c:v>45288</c:v>
                </c:pt>
                <c:pt idx="1451">
                  <c:v>45289</c:v>
                </c:pt>
                <c:pt idx="1452">
                  <c:v>45293</c:v>
                </c:pt>
                <c:pt idx="1453">
                  <c:v>45294</c:v>
                </c:pt>
                <c:pt idx="1454">
                  <c:v>45295</c:v>
                </c:pt>
                <c:pt idx="1455">
                  <c:v>45296</c:v>
                </c:pt>
                <c:pt idx="1456">
                  <c:v>45299</c:v>
                </c:pt>
                <c:pt idx="1457">
                  <c:v>45300</c:v>
                </c:pt>
                <c:pt idx="1458">
                  <c:v>45301</c:v>
                </c:pt>
                <c:pt idx="1459">
                  <c:v>45302</c:v>
                </c:pt>
                <c:pt idx="1460">
                  <c:v>45303</c:v>
                </c:pt>
                <c:pt idx="1461">
                  <c:v>45306</c:v>
                </c:pt>
                <c:pt idx="1462">
                  <c:v>45307</c:v>
                </c:pt>
                <c:pt idx="1463">
                  <c:v>45308</c:v>
                </c:pt>
                <c:pt idx="1464">
                  <c:v>45309</c:v>
                </c:pt>
                <c:pt idx="1465">
                  <c:v>45310</c:v>
                </c:pt>
                <c:pt idx="1466">
                  <c:v>45313</c:v>
                </c:pt>
                <c:pt idx="1467">
                  <c:v>45314</c:v>
                </c:pt>
                <c:pt idx="1468">
                  <c:v>45315</c:v>
                </c:pt>
                <c:pt idx="1469">
                  <c:v>45316</c:v>
                </c:pt>
                <c:pt idx="1470">
                  <c:v>45317</c:v>
                </c:pt>
                <c:pt idx="1471">
                  <c:v>45320</c:v>
                </c:pt>
                <c:pt idx="1472">
                  <c:v>45321</c:v>
                </c:pt>
                <c:pt idx="1473">
                  <c:v>45322</c:v>
                </c:pt>
                <c:pt idx="1474">
                  <c:v>45323</c:v>
                </c:pt>
                <c:pt idx="1475">
                  <c:v>45324</c:v>
                </c:pt>
                <c:pt idx="1476">
                  <c:v>45327</c:v>
                </c:pt>
                <c:pt idx="1477">
                  <c:v>45328</c:v>
                </c:pt>
                <c:pt idx="1478">
                  <c:v>45329</c:v>
                </c:pt>
                <c:pt idx="1479">
                  <c:v>45330</c:v>
                </c:pt>
                <c:pt idx="1480">
                  <c:v>45331</c:v>
                </c:pt>
                <c:pt idx="1481">
                  <c:v>45334</c:v>
                </c:pt>
                <c:pt idx="1482">
                  <c:v>45335</c:v>
                </c:pt>
                <c:pt idx="1483">
                  <c:v>45336</c:v>
                </c:pt>
                <c:pt idx="1484">
                  <c:v>45337</c:v>
                </c:pt>
                <c:pt idx="1485">
                  <c:v>45338</c:v>
                </c:pt>
                <c:pt idx="1486">
                  <c:v>45341</c:v>
                </c:pt>
                <c:pt idx="1487">
                  <c:v>45342</c:v>
                </c:pt>
                <c:pt idx="1488">
                  <c:v>45343</c:v>
                </c:pt>
                <c:pt idx="1489">
                  <c:v>45344</c:v>
                </c:pt>
                <c:pt idx="1490">
                  <c:v>45345</c:v>
                </c:pt>
                <c:pt idx="1491">
                  <c:v>45348</c:v>
                </c:pt>
                <c:pt idx="1492">
                  <c:v>45349</c:v>
                </c:pt>
                <c:pt idx="1493">
                  <c:v>45350</c:v>
                </c:pt>
                <c:pt idx="1494">
                  <c:v>45351</c:v>
                </c:pt>
                <c:pt idx="1495">
                  <c:v>45352</c:v>
                </c:pt>
                <c:pt idx="1496">
                  <c:v>45355</c:v>
                </c:pt>
                <c:pt idx="1497">
                  <c:v>45356</c:v>
                </c:pt>
                <c:pt idx="1498">
                  <c:v>45357</c:v>
                </c:pt>
                <c:pt idx="1499">
                  <c:v>45358</c:v>
                </c:pt>
                <c:pt idx="1500">
                  <c:v>45359</c:v>
                </c:pt>
                <c:pt idx="1501">
                  <c:v>45362</c:v>
                </c:pt>
                <c:pt idx="1502">
                  <c:v>45363</c:v>
                </c:pt>
                <c:pt idx="1503">
                  <c:v>45364</c:v>
                </c:pt>
                <c:pt idx="1504">
                  <c:v>45365</c:v>
                </c:pt>
                <c:pt idx="1505">
                  <c:v>45366</c:v>
                </c:pt>
                <c:pt idx="1506">
                  <c:v>45369</c:v>
                </c:pt>
                <c:pt idx="1507">
                  <c:v>45370</c:v>
                </c:pt>
                <c:pt idx="1508">
                  <c:v>45371</c:v>
                </c:pt>
                <c:pt idx="1509">
                  <c:v>45372</c:v>
                </c:pt>
                <c:pt idx="1510">
                  <c:v>45373</c:v>
                </c:pt>
                <c:pt idx="1511">
                  <c:v>45376</c:v>
                </c:pt>
                <c:pt idx="1512">
                  <c:v>45377</c:v>
                </c:pt>
                <c:pt idx="1513">
                  <c:v>45378</c:v>
                </c:pt>
                <c:pt idx="1514">
                  <c:v>45379</c:v>
                </c:pt>
                <c:pt idx="1515">
                  <c:v>45384</c:v>
                </c:pt>
                <c:pt idx="1516">
                  <c:v>45385</c:v>
                </c:pt>
                <c:pt idx="1517">
                  <c:v>45386</c:v>
                </c:pt>
                <c:pt idx="1518">
                  <c:v>45387</c:v>
                </c:pt>
                <c:pt idx="1519">
                  <c:v>45390</c:v>
                </c:pt>
                <c:pt idx="1520">
                  <c:v>45391</c:v>
                </c:pt>
                <c:pt idx="1521">
                  <c:v>45392</c:v>
                </c:pt>
                <c:pt idx="1522">
                  <c:v>45393</c:v>
                </c:pt>
                <c:pt idx="1523">
                  <c:v>45394</c:v>
                </c:pt>
                <c:pt idx="1524">
                  <c:v>45397</c:v>
                </c:pt>
                <c:pt idx="1525">
                  <c:v>45398</c:v>
                </c:pt>
                <c:pt idx="1526">
                  <c:v>45399</c:v>
                </c:pt>
                <c:pt idx="1527">
                  <c:v>45400</c:v>
                </c:pt>
                <c:pt idx="1528">
                  <c:v>45401</c:v>
                </c:pt>
                <c:pt idx="1529">
                  <c:v>45404</c:v>
                </c:pt>
                <c:pt idx="1530">
                  <c:v>45405</c:v>
                </c:pt>
                <c:pt idx="1531">
                  <c:v>45406</c:v>
                </c:pt>
                <c:pt idx="1532">
                  <c:v>45407</c:v>
                </c:pt>
                <c:pt idx="1533">
                  <c:v>45408</c:v>
                </c:pt>
                <c:pt idx="1534">
                  <c:v>45411</c:v>
                </c:pt>
                <c:pt idx="1535">
                  <c:v>45412</c:v>
                </c:pt>
                <c:pt idx="1536">
                  <c:v>45414</c:v>
                </c:pt>
                <c:pt idx="1537">
                  <c:v>45415</c:v>
                </c:pt>
                <c:pt idx="1538">
                  <c:v>45418</c:v>
                </c:pt>
                <c:pt idx="1539">
                  <c:v>45419</c:v>
                </c:pt>
                <c:pt idx="1540">
                  <c:v>45420</c:v>
                </c:pt>
                <c:pt idx="1541">
                  <c:v>45421</c:v>
                </c:pt>
                <c:pt idx="1542">
                  <c:v>45422</c:v>
                </c:pt>
                <c:pt idx="1543">
                  <c:v>45425</c:v>
                </c:pt>
                <c:pt idx="1544">
                  <c:v>45426</c:v>
                </c:pt>
                <c:pt idx="1545">
                  <c:v>45427</c:v>
                </c:pt>
                <c:pt idx="1546">
                  <c:v>45428</c:v>
                </c:pt>
                <c:pt idx="1547">
                  <c:v>45429</c:v>
                </c:pt>
                <c:pt idx="1548">
                  <c:v>45432</c:v>
                </c:pt>
                <c:pt idx="1549">
                  <c:v>45433</c:v>
                </c:pt>
                <c:pt idx="1550">
                  <c:v>45434</c:v>
                </c:pt>
                <c:pt idx="1551">
                  <c:v>45435</c:v>
                </c:pt>
                <c:pt idx="1552">
                  <c:v>45436</c:v>
                </c:pt>
                <c:pt idx="1553">
                  <c:v>45439</c:v>
                </c:pt>
                <c:pt idx="1554">
                  <c:v>45440</c:v>
                </c:pt>
                <c:pt idx="1555">
                  <c:v>45441</c:v>
                </c:pt>
                <c:pt idx="1556">
                  <c:v>45442</c:v>
                </c:pt>
                <c:pt idx="1557">
                  <c:v>45443</c:v>
                </c:pt>
                <c:pt idx="1558">
                  <c:v>45446</c:v>
                </c:pt>
                <c:pt idx="1559">
                  <c:v>45447</c:v>
                </c:pt>
                <c:pt idx="1560">
                  <c:v>45448</c:v>
                </c:pt>
                <c:pt idx="1561">
                  <c:v>45449</c:v>
                </c:pt>
                <c:pt idx="1562">
                  <c:v>45450</c:v>
                </c:pt>
                <c:pt idx="1563">
                  <c:v>45453</c:v>
                </c:pt>
                <c:pt idx="1564">
                  <c:v>45454</c:v>
                </c:pt>
                <c:pt idx="1565">
                  <c:v>45455</c:v>
                </c:pt>
                <c:pt idx="1566">
                  <c:v>45456</c:v>
                </c:pt>
                <c:pt idx="1567">
                  <c:v>45457</c:v>
                </c:pt>
                <c:pt idx="1568">
                  <c:v>45460</c:v>
                </c:pt>
                <c:pt idx="1569">
                  <c:v>45461</c:v>
                </c:pt>
                <c:pt idx="1570">
                  <c:v>45462</c:v>
                </c:pt>
                <c:pt idx="1571">
                  <c:v>45463</c:v>
                </c:pt>
                <c:pt idx="1572">
                  <c:v>45464</c:v>
                </c:pt>
                <c:pt idx="1573">
                  <c:v>45467</c:v>
                </c:pt>
                <c:pt idx="1574">
                  <c:v>45468</c:v>
                </c:pt>
                <c:pt idx="1575">
                  <c:v>45469</c:v>
                </c:pt>
                <c:pt idx="1576">
                  <c:v>45470</c:v>
                </c:pt>
                <c:pt idx="1577">
                  <c:v>45471</c:v>
                </c:pt>
                <c:pt idx="1578">
                  <c:v>45474</c:v>
                </c:pt>
                <c:pt idx="1579">
                  <c:v>45475</c:v>
                </c:pt>
                <c:pt idx="1580">
                  <c:v>45476</c:v>
                </c:pt>
                <c:pt idx="1581">
                  <c:v>45477</c:v>
                </c:pt>
                <c:pt idx="1582">
                  <c:v>45478</c:v>
                </c:pt>
                <c:pt idx="1583">
                  <c:v>45481</c:v>
                </c:pt>
                <c:pt idx="1584">
                  <c:v>45482</c:v>
                </c:pt>
                <c:pt idx="1585">
                  <c:v>45483</c:v>
                </c:pt>
                <c:pt idx="1586">
                  <c:v>45484</c:v>
                </c:pt>
                <c:pt idx="1587">
                  <c:v>45485</c:v>
                </c:pt>
                <c:pt idx="1588">
                  <c:v>45488</c:v>
                </c:pt>
                <c:pt idx="1589">
                  <c:v>45489</c:v>
                </c:pt>
                <c:pt idx="1590">
                  <c:v>45490</c:v>
                </c:pt>
                <c:pt idx="1591">
                  <c:v>45491</c:v>
                </c:pt>
                <c:pt idx="1592">
                  <c:v>45492</c:v>
                </c:pt>
                <c:pt idx="1593">
                  <c:v>45495</c:v>
                </c:pt>
                <c:pt idx="1594">
                  <c:v>45496</c:v>
                </c:pt>
                <c:pt idx="1595">
                  <c:v>45497</c:v>
                </c:pt>
                <c:pt idx="1596">
                  <c:v>45498</c:v>
                </c:pt>
                <c:pt idx="1597">
                  <c:v>45499</c:v>
                </c:pt>
                <c:pt idx="1598">
                  <c:v>45502</c:v>
                </c:pt>
                <c:pt idx="1599">
                  <c:v>45503</c:v>
                </c:pt>
                <c:pt idx="1600">
                  <c:v>45504</c:v>
                </c:pt>
                <c:pt idx="1601">
                  <c:v>45505</c:v>
                </c:pt>
                <c:pt idx="1602">
                  <c:v>45506</c:v>
                </c:pt>
                <c:pt idx="1603">
                  <c:v>45509</c:v>
                </c:pt>
                <c:pt idx="1604">
                  <c:v>45510</c:v>
                </c:pt>
                <c:pt idx="1605">
                  <c:v>45511</c:v>
                </c:pt>
                <c:pt idx="1606">
                  <c:v>45512</c:v>
                </c:pt>
                <c:pt idx="1607">
                  <c:v>45513</c:v>
                </c:pt>
                <c:pt idx="1608">
                  <c:v>45516</c:v>
                </c:pt>
                <c:pt idx="1609">
                  <c:v>45517</c:v>
                </c:pt>
                <c:pt idx="1610">
                  <c:v>45518</c:v>
                </c:pt>
                <c:pt idx="1611">
                  <c:v>45519</c:v>
                </c:pt>
                <c:pt idx="1612">
                  <c:v>45520</c:v>
                </c:pt>
                <c:pt idx="1613">
                  <c:v>45523</c:v>
                </c:pt>
                <c:pt idx="1614">
                  <c:v>45524</c:v>
                </c:pt>
                <c:pt idx="1615">
                  <c:v>45525</c:v>
                </c:pt>
                <c:pt idx="1616">
                  <c:v>45526</c:v>
                </c:pt>
                <c:pt idx="1617">
                  <c:v>45527</c:v>
                </c:pt>
                <c:pt idx="1618">
                  <c:v>45530</c:v>
                </c:pt>
                <c:pt idx="1619">
                  <c:v>45531</c:v>
                </c:pt>
                <c:pt idx="1620">
                  <c:v>45532</c:v>
                </c:pt>
                <c:pt idx="1621">
                  <c:v>45533</c:v>
                </c:pt>
                <c:pt idx="1622">
                  <c:v>45534</c:v>
                </c:pt>
                <c:pt idx="1623">
                  <c:v>45537</c:v>
                </c:pt>
                <c:pt idx="1624">
                  <c:v>45538</c:v>
                </c:pt>
                <c:pt idx="1625">
                  <c:v>45539</c:v>
                </c:pt>
                <c:pt idx="1626">
                  <c:v>45540</c:v>
                </c:pt>
                <c:pt idx="1627">
                  <c:v>45541</c:v>
                </c:pt>
                <c:pt idx="1628">
                  <c:v>45544</c:v>
                </c:pt>
                <c:pt idx="1629">
                  <c:v>45545</c:v>
                </c:pt>
                <c:pt idx="1630">
                  <c:v>45546</c:v>
                </c:pt>
                <c:pt idx="1631">
                  <c:v>45547</c:v>
                </c:pt>
                <c:pt idx="1632">
                  <c:v>45548</c:v>
                </c:pt>
                <c:pt idx="1633">
                  <c:v>45551</c:v>
                </c:pt>
                <c:pt idx="1634">
                  <c:v>45552</c:v>
                </c:pt>
                <c:pt idx="1635">
                  <c:v>45553</c:v>
                </c:pt>
                <c:pt idx="1636">
                  <c:v>45554</c:v>
                </c:pt>
                <c:pt idx="1637">
                  <c:v>45555</c:v>
                </c:pt>
                <c:pt idx="1638">
                  <c:v>45558</c:v>
                </c:pt>
                <c:pt idx="1639">
                  <c:v>45559</c:v>
                </c:pt>
                <c:pt idx="1640">
                  <c:v>45560</c:v>
                </c:pt>
                <c:pt idx="1641">
                  <c:v>45561</c:v>
                </c:pt>
                <c:pt idx="1642">
                  <c:v>45562</c:v>
                </c:pt>
                <c:pt idx="1643">
                  <c:v>45565</c:v>
                </c:pt>
                <c:pt idx="1644">
                  <c:v>45566</c:v>
                </c:pt>
                <c:pt idx="1645">
                  <c:v>45567</c:v>
                </c:pt>
                <c:pt idx="1646">
                  <c:v>45568</c:v>
                </c:pt>
                <c:pt idx="1647">
                  <c:v>45569</c:v>
                </c:pt>
                <c:pt idx="1648">
                  <c:v>45572</c:v>
                </c:pt>
                <c:pt idx="1649">
                  <c:v>45573</c:v>
                </c:pt>
                <c:pt idx="1650">
                  <c:v>45574</c:v>
                </c:pt>
                <c:pt idx="1651">
                  <c:v>45575</c:v>
                </c:pt>
                <c:pt idx="1652">
                  <c:v>45576</c:v>
                </c:pt>
                <c:pt idx="1653">
                  <c:v>45579</c:v>
                </c:pt>
                <c:pt idx="1654">
                  <c:v>45580</c:v>
                </c:pt>
                <c:pt idx="1655">
                  <c:v>45581</c:v>
                </c:pt>
                <c:pt idx="1656">
                  <c:v>45582</c:v>
                </c:pt>
                <c:pt idx="1657">
                  <c:v>45583</c:v>
                </c:pt>
                <c:pt idx="1658">
                  <c:v>45586</c:v>
                </c:pt>
                <c:pt idx="1659">
                  <c:v>45587</c:v>
                </c:pt>
                <c:pt idx="1660">
                  <c:v>45588</c:v>
                </c:pt>
                <c:pt idx="1661">
                  <c:v>45589</c:v>
                </c:pt>
                <c:pt idx="1662">
                  <c:v>45590</c:v>
                </c:pt>
                <c:pt idx="1663">
                  <c:v>45593</c:v>
                </c:pt>
                <c:pt idx="1664">
                  <c:v>45594</c:v>
                </c:pt>
                <c:pt idx="1665">
                  <c:v>45595</c:v>
                </c:pt>
                <c:pt idx="1666">
                  <c:v>45596</c:v>
                </c:pt>
                <c:pt idx="1667">
                  <c:v>45597</c:v>
                </c:pt>
                <c:pt idx="1668">
                  <c:v>45600</c:v>
                </c:pt>
                <c:pt idx="1669">
                  <c:v>45601</c:v>
                </c:pt>
                <c:pt idx="1670">
                  <c:v>45602</c:v>
                </c:pt>
                <c:pt idx="1671">
                  <c:v>45603</c:v>
                </c:pt>
                <c:pt idx="1672">
                  <c:v>45604</c:v>
                </c:pt>
                <c:pt idx="1673">
                  <c:v>45607</c:v>
                </c:pt>
                <c:pt idx="1674">
                  <c:v>45608</c:v>
                </c:pt>
                <c:pt idx="1675">
                  <c:v>45609</c:v>
                </c:pt>
                <c:pt idx="1676">
                  <c:v>45610</c:v>
                </c:pt>
                <c:pt idx="1677">
                  <c:v>45611</c:v>
                </c:pt>
                <c:pt idx="1678">
                  <c:v>45614</c:v>
                </c:pt>
                <c:pt idx="1679">
                  <c:v>45615</c:v>
                </c:pt>
                <c:pt idx="1680">
                  <c:v>45616</c:v>
                </c:pt>
                <c:pt idx="1681">
                  <c:v>45617</c:v>
                </c:pt>
                <c:pt idx="1682">
                  <c:v>45618</c:v>
                </c:pt>
                <c:pt idx="1683">
                  <c:v>45621</c:v>
                </c:pt>
                <c:pt idx="1684">
                  <c:v>45622</c:v>
                </c:pt>
                <c:pt idx="1685">
                  <c:v>45623</c:v>
                </c:pt>
                <c:pt idx="1686">
                  <c:v>45624</c:v>
                </c:pt>
                <c:pt idx="1687">
                  <c:v>45625</c:v>
                </c:pt>
                <c:pt idx="1688">
                  <c:v>45628</c:v>
                </c:pt>
                <c:pt idx="1689">
                  <c:v>45629</c:v>
                </c:pt>
                <c:pt idx="1690">
                  <c:v>45630</c:v>
                </c:pt>
                <c:pt idx="1691">
                  <c:v>45631</c:v>
                </c:pt>
                <c:pt idx="1692">
                  <c:v>45632</c:v>
                </c:pt>
                <c:pt idx="1693">
                  <c:v>45635</c:v>
                </c:pt>
                <c:pt idx="1694">
                  <c:v>45636</c:v>
                </c:pt>
                <c:pt idx="1695">
                  <c:v>45637</c:v>
                </c:pt>
                <c:pt idx="1696">
                  <c:v>45638</c:v>
                </c:pt>
                <c:pt idx="1697">
                  <c:v>45639</c:v>
                </c:pt>
                <c:pt idx="1698">
                  <c:v>45642</c:v>
                </c:pt>
                <c:pt idx="1699">
                  <c:v>45643</c:v>
                </c:pt>
                <c:pt idx="1700">
                  <c:v>45644</c:v>
                </c:pt>
                <c:pt idx="1701">
                  <c:v>45645</c:v>
                </c:pt>
                <c:pt idx="1702">
                  <c:v>45646</c:v>
                </c:pt>
                <c:pt idx="1703">
                  <c:v>45649</c:v>
                </c:pt>
                <c:pt idx="1704">
                  <c:v>45650</c:v>
                </c:pt>
                <c:pt idx="1705">
                  <c:v>45653</c:v>
                </c:pt>
                <c:pt idx="1706">
                  <c:v>45656</c:v>
                </c:pt>
                <c:pt idx="1707">
                  <c:v>45657</c:v>
                </c:pt>
                <c:pt idx="1708">
                  <c:v>45659</c:v>
                </c:pt>
                <c:pt idx="1709">
                  <c:v>45660</c:v>
                </c:pt>
                <c:pt idx="1710">
                  <c:v>45663</c:v>
                </c:pt>
                <c:pt idx="1711">
                  <c:v>45664</c:v>
                </c:pt>
                <c:pt idx="1712">
                  <c:v>45665</c:v>
                </c:pt>
                <c:pt idx="1713">
                  <c:v>45666</c:v>
                </c:pt>
                <c:pt idx="1714">
                  <c:v>45667</c:v>
                </c:pt>
                <c:pt idx="1715">
                  <c:v>45670</c:v>
                </c:pt>
                <c:pt idx="1716">
                  <c:v>45671</c:v>
                </c:pt>
                <c:pt idx="1717">
                  <c:v>45672</c:v>
                </c:pt>
                <c:pt idx="1718">
                  <c:v>45673</c:v>
                </c:pt>
                <c:pt idx="1719">
                  <c:v>45674</c:v>
                </c:pt>
                <c:pt idx="1720">
                  <c:v>45677</c:v>
                </c:pt>
                <c:pt idx="1721">
                  <c:v>45678</c:v>
                </c:pt>
                <c:pt idx="1722">
                  <c:v>45679</c:v>
                </c:pt>
                <c:pt idx="1723">
                  <c:v>45680</c:v>
                </c:pt>
                <c:pt idx="1724">
                  <c:v>45681</c:v>
                </c:pt>
                <c:pt idx="1725">
                  <c:v>45684</c:v>
                </c:pt>
                <c:pt idx="1726">
                  <c:v>45685</c:v>
                </c:pt>
                <c:pt idx="1727">
                  <c:v>45686</c:v>
                </c:pt>
                <c:pt idx="1728">
                  <c:v>45687</c:v>
                </c:pt>
                <c:pt idx="1729">
                  <c:v>45688</c:v>
                </c:pt>
                <c:pt idx="1730">
                  <c:v>45691</c:v>
                </c:pt>
                <c:pt idx="1731">
                  <c:v>45692</c:v>
                </c:pt>
                <c:pt idx="1732">
                  <c:v>45693</c:v>
                </c:pt>
                <c:pt idx="1733">
                  <c:v>45694</c:v>
                </c:pt>
                <c:pt idx="1734">
                  <c:v>45695</c:v>
                </c:pt>
                <c:pt idx="1735">
                  <c:v>45698</c:v>
                </c:pt>
                <c:pt idx="1736">
                  <c:v>45699</c:v>
                </c:pt>
                <c:pt idx="1737">
                  <c:v>45700</c:v>
                </c:pt>
                <c:pt idx="1738">
                  <c:v>45701</c:v>
                </c:pt>
                <c:pt idx="1739">
                  <c:v>45702</c:v>
                </c:pt>
                <c:pt idx="1740">
                  <c:v>45705</c:v>
                </c:pt>
                <c:pt idx="1741">
                  <c:v>45706</c:v>
                </c:pt>
                <c:pt idx="1742">
                  <c:v>45707</c:v>
                </c:pt>
                <c:pt idx="1743">
                  <c:v>45708</c:v>
                </c:pt>
                <c:pt idx="1744">
                  <c:v>45709</c:v>
                </c:pt>
                <c:pt idx="1745">
                  <c:v>45712</c:v>
                </c:pt>
                <c:pt idx="1746">
                  <c:v>45713</c:v>
                </c:pt>
                <c:pt idx="1747">
                  <c:v>45714</c:v>
                </c:pt>
                <c:pt idx="1748">
                  <c:v>45715</c:v>
                </c:pt>
                <c:pt idx="1749">
                  <c:v>45716</c:v>
                </c:pt>
                <c:pt idx="1750">
                  <c:v>45719</c:v>
                </c:pt>
                <c:pt idx="1751">
                  <c:v>45720</c:v>
                </c:pt>
                <c:pt idx="1752">
                  <c:v>45721</c:v>
                </c:pt>
                <c:pt idx="1753">
                  <c:v>45722</c:v>
                </c:pt>
                <c:pt idx="1754">
                  <c:v>45723</c:v>
                </c:pt>
                <c:pt idx="1755">
                  <c:v>45726</c:v>
                </c:pt>
                <c:pt idx="1756">
                  <c:v>45727</c:v>
                </c:pt>
                <c:pt idx="1757">
                  <c:v>45728</c:v>
                </c:pt>
                <c:pt idx="1758">
                  <c:v>45729</c:v>
                </c:pt>
                <c:pt idx="1759">
                  <c:v>45730</c:v>
                </c:pt>
                <c:pt idx="1760">
                  <c:v>45733</c:v>
                </c:pt>
                <c:pt idx="1761">
                  <c:v>45734</c:v>
                </c:pt>
                <c:pt idx="1762">
                  <c:v>45735</c:v>
                </c:pt>
                <c:pt idx="1763">
                  <c:v>45736</c:v>
                </c:pt>
                <c:pt idx="1764">
                  <c:v>45737</c:v>
                </c:pt>
                <c:pt idx="1765">
                  <c:v>45740</c:v>
                </c:pt>
                <c:pt idx="1766">
                  <c:v>45741</c:v>
                </c:pt>
                <c:pt idx="1767">
                  <c:v>45742</c:v>
                </c:pt>
                <c:pt idx="1768">
                  <c:v>45743</c:v>
                </c:pt>
                <c:pt idx="1769">
                  <c:v>45744</c:v>
                </c:pt>
                <c:pt idx="1770">
                  <c:v>45747</c:v>
                </c:pt>
                <c:pt idx="1771">
                  <c:v>45748</c:v>
                </c:pt>
                <c:pt idx="1772">
                  <c:v>45749</c:v>
                </c:pt>
                <c:pt idx="1773">
                  <c:v>45750</c:v>
                </c:pt>
                <c:pt idx="1774">
                  <c:v>45751</c:v>
                </c:pt>
                <c:pt idx="1775">
                  <c:v>45754</c:v>
                </c:pt>
                <c:pt idx="1776">
                  <c:v>45755</c:v>
                </c:pt>
                <c:pt idx="1777">
                  <c:v>45756</c:v>
                </c:pt>
                <c:pt idx="1778">
                  <c:v>45757</c:v>
                </c:pt>
                <c:pt idx="1779">
                  <c:v>45758</c:v>
                </c:pt>
                <c:pt idx="1780">
                  <c:v>45761</c:v>
                </c:pt>
                <c:pt idx="1781">
                  <c:v>45762</c:v>
                </c:pt>
                <c:pt idx="1782">
                  <c:v>45763</c:v>
                </c:pt>
                <c:pt idx="1783">
                  <c:v>45764</c:v>
                </c:pt>
                <c:pt idx="1784">
                  <c:v>45769</c:v>
                </c:pt>
                <c:pt idx="1785">
                  <c:v>45770</c:v>
                </c:pt>
                <c:pt idx="1786">
                  <c:v>45771</c:v>
                </c:pt>
                <c:pt idx="1787">
                  <c:v>45772</c:v>
                </c:pt>
                <c:pt idx="1788">
                  <c:v>45775</c:v>
                </c:pt>
                <c:pt idx="1789">
                  <c:v>45776</c:v>
                </c:pt>
                <c:pt idx="1790">
                  <c:v>45777</c:v>
                </c:pt>
                <c:pt idx="1791">
                  <c:v>45779</c:v>
                </c:pt>
                <c:pt idx="1792">
                  <c:v>45782</c:v>
                </c:pt>
                <c:pt idx="1793">
                  <c:v>45783</c:v>
                </c:pt>
                <c:pt idx="1794">
                  <c:v>45784</c:v>
                </c:pt>
                <c:pt idx="1795">
                  <c:v>45785</c:v>
                </c:pt>
                <c:pt idx="1796">
                  <c:v>45786</c:v>
                </c:pt>
                <c:pt idx="1797">
                  <c:v>45789</c:v>
                </c:pt>
                <c:pt idx="1798">
                  <c:v>45790</c:v>
                </c:pt>
                <c:pt idx="1799">
                  <c:v>45791</c:v>
                </c:pt>
                <c:pt idx="1800">
                  <c:v>45792</c:v>
                </c:pt>
                <c:pt idx="1801">
                  <c:v>45793</c:v>
                </c:pt>
                <c:pt idx="1802">
                  <c:v>45796</c:v>
                </c:pt>
                <c:pt idx="1803">
                  <c:v>45797</c:v>
                </c:pt>
                <c:pt idx="1804">
                  <c:v>45798</c:v>
                </c:pt>
                <c:pt idx="1805">
                  <c:v>45799</c:v>
                </c:pt>
                <c:pt idx="1806">
                  <c:v>45800</c:v>
                </c:pt>
                <c:pt idx="1807">
                  <c:v>45803</c:v>
                </c:pt>
                <c:pt idx="1808">
                  <c:v>45804</c:v>
                </c:pt>
                <c:pt idx="1809">
                  <c:v>45805</c:v>
                </c:pt>
                <c:pt idx="1810">
                  <c:v>45806</c:v>
                </c:pt>
                <c:pt idx="1811">
                  <c:v>45807</c:v>
                </c:pt>
                <c:pt idx="1812">
                  <c:v>45810</c:v>
                </c:pt>
                <c:pt idx="1813">
                  <c:v>45811</c:v>
                </c:pt>
                <c:pt idx="1814">
                  <c:v>45812</c:v>
                </c:pt>
                <c:pt idx="1815">
                  <c:v>45813</c:v>
                </c:pt>
                <c:pt idx="1816">
                  <c:v>45814</c:v>
                </c:pt>
                <c:pt idx="1817">
                  <c:v>45817</c:v>
                </c:pt>
                <c:pt idx="1818">
                  <c:v>45818</c:v>
                </c:pt>
                <c:pt idx="1819">
                  <c:v>45819</c:v>
                </c:pt>
                <c:pt idx="1820">
                  <c:v>45820</c:v>
                </c:pt>
                <c:pt idx="1821">
                  <c:v>45821</c:v>
                </c:pt>
                <c:pt idx="1822">
                  <c:v>45824</c:v>
                </c:pt>
                <c:pt idx="1823">
                  <c:v>45825</c:v>
                </c:pt>
                <c:pt idx="1824">
                  <c:v>45826</c:v>
                </c:pt>
                <c:pt idx="1825">
                  <c:v>45827</c:v>
                </c:pt>
                <c:pt idx="1826">
                  <c:v>45828</c:v>
                </c:pt>
                <c:pt idx="1827">
                  <c:v>45831</c:v>
                </c:pt>
                <c:pt idx="1828">
                  <c:v>45832</c:v>
                </c:pt>
                <c:pt idx="1829">
                  <c:v>45833</c:v>
                </c:pt>
                <c:pt idx="1830">
                  <c:v>45834</c:v>
                </c:pt>
                <c:pt idx="1831">
                  <c:v>45835</c:v>
                </c:pt>
                <c:pt idx="1832">
                  <c:v>45838</c:v>
                </c:pt>
                <c:pt idx="1833">
                  <c:v>45839</c:v>
                </c:pt>
                <c:pt idx="1834">
                  <c:v>45840</c:v>
                </c:pt>
                <c:pt idx="1835">
                  <c:v>45841</c:v>
                </c:pt>
                <c:pt idx="1836">
                  <c:v>45842</c:v>
                </c:pt>
                <c:pt idx="1837">
                  <c:v>45845</c:v>
                </c:pt>
                <c:pt idx="1838">
                  <c:v>45846</c:v>
                </c:pt>
                <c:pt idx="1839">
                  <c:v>45847</c:v>
                </c:pt>
                <c:pt idx="1840">
                  <c:v>45848</c:v>
                </c:pt>
                <c:pt idx="1841">
                  <c:v>45849</c:v>
                </c:pt>
                <c:pt idx="1842">
                  <c:v>45852</c:v>
                </c:pt>
                <c:pt idx="1843">
                  <c:v>45853</c:v>
                </c:pt>
                <c:pt idx="1844">
                  <c:v>45854</c:v>
                </c:pt>
                <c:pt idx="1845">
                  <c:v>45855</c:v>
                </c:pt>
                <c:pt idx="1846">
                  <c:v>45856</c:v>
                </c:pt>
                <c:pt idx="1847">
                  <c:v>45859</c:v>
                </c:pt>
                <c:pt idx="1848">
                  <c:v>45860</c:v>
                </c:pt>
                <c:pt idx="1849">
                  <c:v>45861</c:v>
                </c:pt>
                <c:pt idx="1850">
                  <c:v>45862</c:v>
                </c:pt>
                <c:pt idx="1851">
                  <c:v>45863</c:v>
                </c:pt>
                <c:pt idx="1852">
                  <c:v>45866</c:v>
                </c:pt>
                <c:pt idx="1853">
                  <c:v>45867</c:v>
                </c:pt>
                <c:pt idx="1854">
                  <c:v>45868</c:v>
                </c:pt>
                <c:pt idx="1855">
                  <c:v>45869</c:v>
                </c:pt>
                <c:pt idx="1856">
                  <c:v>45870</c:v>
                </c:pt>
                <c:pt idx="1857">
                  <c:v>45873</c:v>
                </c:pt>
                <c:pt idx="1858">
                  <c:v>45874</c:v>
                </c:pt>
                <c:pt idx="1859">
                  <c:v>45875</c:v>
                </c:pt>
                <c:pt idx="1860">
                  <c:v>45876</c:v>
                </c:pt>
                <c:pt idx="1861">
                  <c:v>45877</c:v>
                </c:pt>
                <c:pt idx="1862">
                  <c:v>45880</c:v>
                </c:pt>
                <c:pt idx="1863">
                  <c:v>45881</c:v>
                </c:pt>
                <c:pt idx="1864">
                  <c:v>45882</c:v>
                </c:pt>
                <c:pt idx="1865">
                  <c:v>45883</c:v>
                </c:pt>
                <c:pt idx="1866">
                  <c:v>45884</c:v>
                </c:pt>
                <c:pt idx="1867">
                  <c:v>45887</c:v>
                </c:pt>
                <c:pt idx="1868">
                  <c:v>45888</c:v>
                </c:pt>
                <c:pt idx="1869">
                  <c:v>45889</c:v>
                </c:pt>
                <c:pt idx="1870">
                  <c:v>45890</c:v>
                </c:pt>
                <c:pt idx="1871">
                  <c:v>45891</c:v>
                </c:pt>
                <c:pt idx="1872">
                  <c:v>45894</c:v>
                </c:pt>
                <c:pt idx="1873">
                  <c:v>45895</c:v>
                </c:pt>
                <c:pt idx="1874">
                  <c:v>45896</c:v>
                </c:pt>
                <c:pt idx="1875">
                  <c:v>45897</c:v>
                </c:pt>
                <c:pt idx="1876">
                  <c:v>45898</c:v>
                </c:pt>
                <c:pt idx="1877">
                  <c:v>45901</c:v>
                </c:pt>
                <c:pt idx="1878">
                  <c:v>45902</c:v>
                </c:pt>
                <c:pt idx="1879">
                  <c:v>45903</c:v>
                </c:pt>
                <c:pt idx="1880">
                  <c:v>45904</c:v>
                </c:pt>
                <c:pt idx="1881">
                  <c:v>45905</c:v>
                </c:pt>
                <c:pt idx="1882">
                  <c:v>45908</c:v>
                </c:pt>
                <c:pt idx="1883">
                  <c:v>45909</c:v>
                </c:pt>
                <c:pt idx="1884">
                  <c:v>45910</c:v>
                </c:pt>
                <c:pt idx="1885">
                  <c:v>45911</c:v>
                </c:pt>
                <c:pt idx="1886">
                  <c:v>45912</c:v>
                </c:pt>
                <c:pt idx="1887">
                  <c:v>45915</c:v>
                </c:pt>
                <c:pt idx="1888">
                  <c:v>45916</c:v>
                </c:pt>
                <c:pt idx="1889">
                  <c:v>45917</c:v>
                </c:pt>
                <c:pt idx="1890">
                  <c:v>45918</c:v>
                </c:pt>
                <c:pt idx="1891">
                  <c:v>45919</c:v>
                </c:pt>
                <c:pt idx="1892">
                  <c:v>45922</c:v>
                </c:pt>
                <c:pt idx="1893">
                  <c:v>45923</c:v>
                </c:pt>
                <c:pt idx="1894">
                  <c:v>45924</c:v>
                </c:pt>
                <c:pt idx="1895">
                  <c:v>45925</c:v>
                </c:pt>
                <c:pt idx="1896">
                  <c:v>45926</c:v>
                </c:pt>
                <c:pt idx="1897">
                  <c:v>45929</c:v>
                </c:pt>
                <c:pt idx="1898">
                  <c:v>45930</c:v>
                </c:pt>
                <c:pt idx="1899">
                  <c:v>45931</c:v>
                </c:pt>
                <c:pt idx="1900">
                  <c:v>45932</c:v>
                </c:pt>
                <c:pt idx="1901">
                  <c:v>45933</c:v>
                </c:pt>
                <c:pt idx="1902">
                  <c:v>45936</c:v>
                </c:pt>
                <c:pt idx="1903">
                  <c:v>45937</c:v>
                </c:pt>
                <c:pt idx="1904">
                  <c:v>45938</c:v>
                </c:pt>
                <c:pt idx="1905">
                  <c:v>45939</c:v>
                </c:pt>
                <c:pt idx="1906">
                  <c:v>45940</c:v>
                </c:pt>
                <c:pt idx="1907">
                  <c:v>45943</c:v>
                </c:pt>
                <c:pt idx="1908">
                  <c:v>45944</c:v>
                </c:pt>
                <c:pt idx="1909">
                  <c:v>45945</c:v>
                </c:pt>
                <c:pt idx="1910">
                  <c:v>45946</c:v>
                </c:pt>
                <c:pt idx="1911">
                  <c:v>45947</c:v>
                </c:pt>
                <c:pt idx="1912">
                  <c:v>45950</c:v>
                </c:pt>
                <c:pt idx="1913">
                  <c:v>45951</c:v>
                </c:pt>
                <c:pt idx="1914">
                  <c:v>45952</c:v>
                </c:pt>
                <c:pt idx="1915">
                  <c:v>45953</c:v>
                </c:pt>
                <c:pt idx="1916">
                  <c:v>45954</c:v>
                </c:pt>
                <c:pt idx="1917">
                  <c:v>45957</c:v>
                </c:pt>
                <c:pt idx="1918">
                  <c:v>45958</c:v>
                </c:pt>
                <c:pt idx="1919">
                  <c:v>45959</c:v>
                </c:pt>
                <c:pt idx="1920">
                  <c:v>45960</c:v>
                </c:pt>
                <c:pt idx="1921">
                  <c:v>45961</c:v>
                </c:pt>
                <c:pt idx="1922">
                  <c:v>45964</c:v>
                </c:pt>
                <c:pt idx="1923">
                  <c:v>45965</c:v>
                </c:pt>
                <c:pt idx="1924">
                  <c:v>45966</c:v>
                </c:pt>
                <c:pt idx="1925">
                  <c:v>45967</c:v>
                </c:pt>
                <c:pt idx="1926">
                  <c:v>45968</c:v>
                </c:pt>
                <c:pt idx="1927">
                  <c:v>45971</c:v>
                </c:pt>
                <c:pt idx="1928">
                  <c:v>45972</c:v>
                </c:pt>
                <c:pt idx="1929">
                  <c:v>45973</c:v>
                </c:pt>
                <c:pt idx="1930">
                  <c:v>45974</c:v>
                </c:pt>
                <c:pt idx="1931">
                  <c:v>45975</c:v>
                </c:pt>
                <c:pt idx="1932">
                  <c:v>45978</c:v>
                </c:pt>
                <c:pt idx="1933">
                  <c:v>45979</c:v>
                </c:pt>
                <c:pt idx="1934">
                  <c:v>45980</c:v>
                </c:pt>
                <c:pt idx="1935">
                  <c:v>45981</c:v>
                </c:pt>
                <c:pt idx="1936">
                  <c:v>45982</c:v>
                </c:pt>
                <c:pt idx="1937">
                  <c:v>45985</c:v>
                </c:pt>
                <c:pt idx="1938">
                  <c:v>45986</c:v>
                </c:pt>
                <c:pt idx="1939">
                  <c:v>45987</c:v>
                </c:pt>
                <c:pt idx="1940">
                  <c:v>45988</c:v>
                </c:pt>
                <c:pt idx="1941">
                  <c:v>45989</c:v>
                </c:pt>
                <c:pt idx="1942">
                  <c:v>45992</c:v>
                </c:pt>
                <c:pt idx="1943">
                  <c:v>45993</c:v>
                </c:pt>
                <c:pt idx="1944">
                  <c:v>45994</c:v>
                </c:pt>
                <c:pt idx="1945">
                  <c:v>45995</c:v>
                </c:pt>
                <c:pt idx="1946">
                  <c:v>45996</c:v>
                </c:pt>
                <c:pt idx="1947">
                  <c:v>45999</c:v>
                </c:pt>
                <c:pt idx="1948">
                  <c:v>46000</c:v>
                </c:pt>
                <c:pt idx="1949">
                  <c:v>46001</c:v>
                </c:pt>
                <c:pt idx="1950">
                  <c:v>46002</c:v>
                </c:pt>
                <c:pt idx="1951">
                  <c:v>46003</c:v>
                </c:pt>
                <c:pt idx="1952">
                  <c:v>46006</c:v>
                </c:pt>
                <c:pt idx="1953">
                  <c:v>46007</c:v>
                </c:pt>
                <c:pt idx="1954">
                  <c:v>46008</c:v>
                </c:pt>
                <c:pt idx="1955">
                  <c:v>46009</c:v>
                </c:pt>
                <c:pt idx="1956">
                  <c:v>46010</c:v>
                </c:pt>
                <c:pt idx="1957">
                  <c:v>46013</c:v>
                </c:pt>
                <c:pt idx="1958">
                  <c:v>46014</c:v>
                </c:pt>
                <c:pt idx="1959">
                  <c:v>46015</c:v>
                </c:pt>
                <c:pt idx="1960">
                  <c:v>46020</c:v>
                </c:pt>
                <c:pt idx="1961">
                  <c:v>46021</c:v>
                </c:pt>
                <c:pt idx="1962">
                  <c:v>46022</c:v>
                </c:pt>
                <c:pt idx="1963">
                  <c:v>46024</c:v>
                </c:pt>
                <c:pt idx="1964">
                  <c:v>46027</c:v>
                </c:pt>
                <c:pt idx="1965">
                  <c:v>46028</c:v>
                </c:pt>
                <c:pt idx="1966">
                  <c:v>46029</c:v>
                </c:pt>
                <c:pt idx="1967">
                  <c:v>46030</c:v>
                </c:pt>
                <c:pt idx="1968">
                  <c:v>46031</c:v>
                </c:pt>
                <c:pt idx="1969">
                  <c:v>46034</c:v>
                </c:pt>
                <c:pt idx="1970">
                  <c:v>46035</c:v>
                </c:pt>
                <c:pt idx="1971">
                  <c:v>46036</c:v>
                </c:pt>
                <c:pt idx="1972">
                  <c:v>46037</c:v>
                </c:pt>
                <c:pt idx="1973">
                  <c:v>46038</c:v>
                </c:pt>
                <c:pt idx="1974">
                  <c:v>46041</c:v>
                </c:pt>
                <c:pt idx="1975">
                  <c:v>46042</c:v>
                </c:pt>
                <c:pt idx="1976">
                  <c:v>46043</c:v>
                </c:pt>
                <c:pt idx="1977">
                  <c:v>46044</c:v>
                </c:pt>
                <c:pt idx="1978">
                  <c:v>46045</c:v>
                </c:pt>
                <c:pt idx="1979">
                  <c:v>46048</c:v>
                </c:pt>
                <c:pt idx="1980">
                  <c:v>46049</c:v>
                </c:pt>
                <c:pt idx="1981">
                  <c:v>46050</c:v>
                </c:pt>
                <c:pt idx="1982">
                  <c:v>46051</c:v>
                </c:pt>
                <c:pt idx="1983">
                  <c:v>46052</c:v>
                </c:pt>
                <c:pt idx="1984">
                  <c:v>46055</c:v>
                </c:pt>
                <c:pt idx="1985">
                  <c:v>46056</c:v>
                </c:pt>
                <c:pt idx="1986">
                  <c:v>46057</c:v>
                </c:pt>
                <c:pt idx="1987">
                  <c:v>46058</c:v>
                </c:pt>
                <c:pt idx="1988">
                  <c:v>46059</c:v>
                </c:pt>
                <c:pt idx="1989">
                  <c:v>46062</c:v>
                </c:pt>
                <c:pt idx="1990">
                  <c:v>46063</c:v>
                </c:pt>
                <c:pt idx="1991">
                  <c:v>46064</c:v>
                </c:pt>
                <c:pt idx="1992">
                  <c:v>46065</c:v>
                </c:pt>
                <c:pt idx="1993">
                  <c:v>46066</c:v>
                </c:pt>
                <c:pt idx="1994">
                  <c:v>46069</c:v>
                </c:pt>
                <c:pt idx="1995">
                  <c:v>46070</c:v>
                </c:pt>
                <c:pt idx="1996">
                  <c:v>46071</c:v>
                </c:pt>
                <c:pt idx="1997">
                  <c:v>46072</c:v>
                </c:pt>
                <c:pt idx="1998">
                  <c:v>46073</c:v>
                </c:pt>
                <c:pt idx="1999">
                  <c:v>46076</c:v>
                </c:pt>
                <c:pt idx="2000">
                  <c:v>46077</c:v>
                </c:pt>
                <c:pt idx="2001">
                  <c:v>46078</c:v>
                </c:pt>
                <c:pt idx="2002">
                  <c:v>46079</c:v>
                </c:pt>
                <c:pt idx="2003">
                  <c:v>46080</c:v>
                </c:pt>
                <c:pt idx="2004">
                  <c:v>46083</c:v>
                </c:pt>
                <c:pt idx="2005">
                  <c:v>46084</c:v>
                </c:pt>
                <c:pt idx="2006">
                  <c:v>46085</c:v>
                </c:pt>
                <c:pt idx="2007">
                  <c:v>46086</c:v>
                </c:pt>
                <c:pt idx="2008">
                  <c:v>46087</c:v>
                </c:pt>
                <c:pt idx="2009">
                  <c:v>46090</c:v>
                </c:pt>
                <c:pt idx="2010">
                  <c:v>46091</c:v>
                </c:pt>
                <c:pt idx="2011">
                  <c:v>46092</c:v>
                </c:pt>
                <c:pt idx="2012">
                  <c:v>46093</c:v>
                </c:pt>
                <c:pt idx="2013">
                  <c:v>46094</c:v>
                </c:pt>
                <c:pt idx="2014">
                  <c:v>46097</c:v>
                </c:pt>
                <c:pt idx="2015">
                  <c:v>46098</c:v>
                </c:pt>
                <c:pt idx="2016">
                  <c:v>46099</c:v>
                </c:pt>
                <c:pt idx="2017">
                  <c:v>46100</c:v>
                </c:pt>
                <c:pt idx="2018">
                  <c:v>46101</c:v>
                </c:pt>
                <c:pt idx="2019">
                  <c:v>46104</c:v>
                </c:pt>
                <c:pt idx="2020">
                  <c:v>46105</c:v>
                </c:pt>
                <c:pt idx="2021">
                  <c:v>46106</c:v>
                </c:pt>
                <c:pt idx="2022">
                  <c:v>46107</c:v>
                </c:pt>
                <c:pt idx="2023">
                  <c:v>46108</c:v>
                </c:pt>
                <c:pt idx="2024">
                  <c:v>46111</c:v>
                </c:pt>
                <c:pt idx="2025">
                  <c:v>46112</c:v>
                </c:pt>
                <c:pt idx="2026">
                  <c:v>46113</c:v>
                </c:pt>
                <c:pt idx="2027">
                  <c:v>46114</c:v>
                </c:pt>
                <c:pt idx="2028">
                  <c:v>46119</c:v>
                </c:pt>
                <c:pt idx="2029">
                  <c:v>46120</c:v>
                </c:pt>
                <c:pt idx="2030">
                  <c:v>46121</c:v>
                </c:pt>
                <c:pt idx="2031">
                  <c:v>46122</c:v>
                </c:pt>
                <c:pt idx="2032">
                  <c:v>46125</c:v>
                </c:pt>
                <c:pt idx="2033">
                  <c:v>46126</c:v>
                </c:pt>
                <c:pt idx="2034">
                  <c:v>46127</c:v>
                </c:pt>
                <c:pt idx="2035">
                  <c:v>46128</c:v>
                </c:pt>
                <c:pt idx="2036">
                  <c:v>46129</c:v>
                </c:pt>
                <c:pt idx="2037">
                  <c:v>46132</c:v>
                </c:pt>
                <c:pt idx="2038">
                  <c:v>46133</c:v>
                </c:pt>
                <c:pt idx="2039">
                  <c:v>46134</c:v>
                </c:pt>
                <c:pt idx="2040">
                  <c:v>46135</c:v>
                </c:pt>
                <c:pt idx="2041">
                  <c:v>46136</c:v>
                </c:pt>
                <c:pt idx="2042">
                  <c:v>46139</c:v>
                </c:pt>
                <c:pt idx="2043">
                  <c:v>46140</c:v>
                </c:pt>
                <c:pt idx="2044">
                  <c:v>46141</c:v>
                </c:pt>
                <c:pt idx="2045">
                  <c:v>46142</c:v>
                </c:pt>
                <c:pt idx="2046">
                  <c:v>46146</c:v>
                </c:pt>
                <c:pt idx="2047">
                  <c:v>46147</c:v>
                </c:pt>
                <c:pt idx="2048">
                  <c:v>46148</c:v>
                </c:pt>
                <c:pt idx="2049">
                  <c:v>46149</c:v>
                </c:pt>
                <c:pt idx="2050">
                  <c:v>46150</c:v>
                </c:pt>
                <c:pt idx="2051">
                  <c:v>46153</c:v>
                </c:pt>
                <c:pt idx="2052">
                  <c:v>46154</c:v>
                </c:pt>
                <c:pt idx="2053">
                  <c:v>46155</c:v>
                </c:pt>
                <c:pt idx="2054">
                  <c:v>46156</c:v>
                </c:pt>
                <c:pt idx="2055">
                  <c:v>46157</c:v>
                </c:pt>
                <c:pt idx="2056">
                  <c:v>46160</c:v>
                </c:pt>
                <c:pt idx="2057">
                  <c:v>46161</c:v>
                </c:pt>
                <c:pt idx="2058">
                  <c:v>46162</c:v>
                </c:pt>
                <c:pt idx="2059">
                  <c:v>46163</c:v>
                </c:pt>
                <c:pt idx="2060">
                  <c:v>46164</c:v>
                </c:pt>
                <c:pt idx="2061">
                  <c:v>46167</c:v>
                </c:pt>
                <c:pt idx="2062">
                  <c:v>46168</c:v>
                </c:pt>
                <c:pt idx="2063">
                  <c:v>46169</c:v>
                </c:pt>
                <c:pt idx="2064">
                  <c:v>46170</c:v>
                </c:pt>
                <c:pt idx="2065">
                  <c:v>46171</c:v>
                </c:pt>
                <c:pt idx="2066">
                  <c:v>46174</c:v>
                </c:pt>
                <c:pt idx="2067">
                  <c:v>46175</c:v>
                </c:pt>
                <c:pt idx="2068">
                  <c:v>46176</c:v>
                </c:pt>
                <c:pt idx="2069">
                  <c:v>46177</c:v>
                </c:pt>
                <c:pt idx="2070">
                  <c:v>46178</c:v>
                </c:pt>
                <c:pt idx="2071">
                  <c:v>46181</c:v>
                </c:pt>
                <c:pt idx="2072">
                  <c:v>46182</c:v>
                </c:pt>
                <c:pt idx="2073">
                  <c:v>46183</c:v>
                </c:pt>
                <c:pt idx="2074">
                  <c:v>46184</c:v>
                </c:pt>
                <c:pt idx="2075">
                  <c:v>46185</c:v>
                </c:pt>
                <c:pt idx="2076">
                  <c:v>46188</c:v>
                </c:pt>
                <c:pt idx="2077">
                  <c:v>46189</c:v>
                </c:pt>
                <c:pt idx="2078">
                  <c:v>46190</c:v>
                </c:pt>
                <c:pt idx="2079">
                  <c:v>46191</c:v>
                </c:pt>
                <c:pt idx="2080">
                  <c:v>46192</c:v>
                </c:pt>
                <c:pt idx="2081">
                  <c:v>46195</c:v>
                </c:pt>
                <c:pt idx="2082">
                  <c:v>46196</c:v>
                </c:pt>
                <c:pt idx="2083">
                  <c:v>46197</c:v>
                </c:pt>
                <c:pt idx="2084">
                  <c:v>46198</c:v>
                </c:pt>
                <c:pt idx="2085">
                  <c:v>46199</c:v>
                </c:pt>
                <c:pt idx="2086">
                  <c:v>46202</c:v>
                </c:pt>
                <c:pt idx="2087">
                  <c:v>46203</c:v>
                </c:pt>
                <c:pt idx="2088">
                  <c:v>46204</c:v>
                </c:pt>
                <c:pt idx="2089">
                  <c:v>46205</c:v>
                </c:pt>
                <c:pt idx="2090">
                  <c:v>46206</c:v>
                </c:pt>
                <c:pt idx="2091">
                  <c:v>46209</c:v>
                </c:pt>
                <c:pt idx="2092">
                  <c:v>46210</c:v>
                </c:pt>
                <c:pt idx="2093">
                  <c:v>46211</c:v>
                </c:pt>
                <c:pt idx="2094">
                  <c:v>46212</c:v>
                </c:pt>
                <c:pt idx="2095">
                  <c:v>46213</c:v>
                </c:pt>
                <c:pt idx="2096">
                  <c:v>46216</c:v>
                </c:pt>
                <c:pt idx="2097">
                  <c:v>46217</c:v>
                </c:pt>
                <c:pt idx="2098">
                  <c:v>46218</c:v>
                </c:pt>
                <c:pt idx="2099">
                  <c:v>46219</c:v>
                </c:pt>
                <c:pt idx="2100">
                  <c:v>46220</c:v>
                </c:pt>
                <c:pt idx="2101">
                  <c:v>46223</c:v>
                </c:pt>
                <c:pt idx="2102">
                  <c:v>46224</c:v>
                </c:pt>
                <c:pt idx="2103">
                  <c:v>46225</c:v>
                </c:pt>
                <c:pt idx="2104">
                  <c:v>46226</c:v>
                </c:pt>
                <c:pt idx="2105">
                  <c:v>46227</c:v>
                </c:pt>
                <c:pt idx="2106">
                  <c:v>46230</c:v>
                </c:pt>
                <c:pt idx="2107">
                  <c:v>46231</c:v>
                </c:pt>
                <c:pt idx="2108">
                  <c:v>46232</c:v>
                </c:pt>
                <c:pt idx="2109">
                  <c:v>46233</c:v>
                </c:pt>
                <c:pt idx="2110">
                  <c:v>46234</c:v>
                </c:pt>
                <c:pt idx="2111">
                  <c:v>46237</c:v>
                </c:pt>
                <c:pt idx="2112">
                  <c:v>46238</c:v>
                </c:pt>
                <c:pt idx="2113">
                  <c:v>46239</c:v>
                </c:pt>
                <c:pt idx="2114">
                  <c:v>46240</c:v>
                </c:pt>
                <c:pt idx="2115">
                  <c:v>46241</c:v>
                </c:pt>
                <c:pt idx="2116">
                  <c:v>46244</c:v>
                </c:pt>
                <c:pt idx="2117">
                  <c:v>46245</c:v>
                </c:pt>
                <c:pt idx="2118">
                  <c:v>46246</c:v>
                </c:pt>
                <c:pt idx="2119">
                  <c:v>46247</c:v>
                </c:pt>
                <c:pt idx="2120">
                  <c:v>46248</c:v>
                </c:pt>
                <c:pt idx="2121">
                  <c:v>46251</c:v>
                </c:pt>
                <c:pt idx="2122">
                  <c:v>46252</c:v>
                </c:pt>
                <c:pt idx="2123">
                  <c:v>46253</c:v>
                </c:pt>
                <c:pt idx="2124">
                  <c:v>46254</c:v>
                </c:pt>
                <c:pt idx="2125">
                  <c:v>46255</c:v>
                </c:pt>
                <c:pt idx="2126">
                  <c:v>46258</c:v>
                </c:pt>
                <c:pt idx="2127">
                  <c:v>46259</c:v>
                </c:pt>
                <c:pt idx="2128">
                  <c:v>46260</c:v>
                </c:pt>
                <c:pt idx="2129">
                  <c:v>46261</c:v>
                </c:pt>
                <c:pt idx="2130">
                  <c:v>46262</c:v>
                </c:pt>
                <c:pt idx="2131">
                  <c:v>46265</c:v>
                </c:pt>
                <c:pt idx="2132">
                  <c:v>46266</c:v>
                </c:pt>
                <c:pt idx="2133">
                  <c:v>46267</c:v>
                </c:pt>
                <c:pt idx="2134">
                  <c:v>46268</c:v>
                </c:pt>
                <c:pt idx="2135">
                  <c:v>46269</c:v>
                </c:pt>
                <c:pt idx="2136">
                  <c:v>46272</c:v>
                </c:pt>
                <c:pt idx="2137">
                  <c:v>46273</c:v>
                </c:pt>
                <c:pt idx="2138">
                  <c:v>46274</c:v>
                </c:pt>
                <c:pt idx="2139">
                  <c:v>46275</c:v>
                </c:pt>
                <c:pt idx="2140">
                  <c:v>46276</c:v>
                </c:pt>
                <c:pt idx="2141">
                  <c:v>46279</c:v>
                </c:pt>
                <c:pt idx="2142">
                  <c:v>46280</c:v>
                </c:pt>
                <c:pt idx="2143">
                  <c:v>46281</c:v>
                </c:pt>
                <c:pt idx="2144">
                  <c:v>46282</c:v>
                </c:pt>
                <c:pt idx="2145">
                  <c:v>46283</c:v>
                </c:pt>
                <c:pt idx="2146">
                  <c:v>46286</c:v>
                </c:pt>
                <c:pt idx="2147">
                  <c:v>46287</c:v>
                </c:pt>
                <c:pt idx="2148">
                  <c:v>46288</c:v>
                </c:pt>
                <c:pt idx="2149">
                  <c:v>46289</c:v>
                </c:pt>
                <c:pt idx="2150">
                  <c:v>46290</c:v>
                </c:pt>
                <c:pt idx="2151">
                  <c:v>46293</c:v>
                </c:pt>
                <c:pt idx="2152">
                  <c:v>46294</c:v>
                </c:pt>
                <c:pt idx="2153">
                  <c:v>46295</c:v>
                </c:pt>
                <c:pt idx="2154">
                  <c:v>46296</c:v>
                </c:pt>
                <c:pt idx="2155">
                  <c:v>46297</c:v>
                </c:pt>
                <c:pt idx="2156">
                  <c:v>46300</c:v>
                </c:pt>
                <c:pt idx="2157">
                  <c:v>46301</c:v>
                </c:pt>
                <c:pt idx="2158">
                  <c:v>46302</c:v>
                </c:pt>
                <c:pt idx="2159">
                  <c:v>46303</c:v>
                </c:pt>
                <c:pt idx="2160">
                  <c:v>46304</c:v>
                </c:pt>
                <c:pt idx="2161">
                  <c:v>46307</c:v>
                </c:pt>
                <c:pt idx="2162">
                  <c:v>46308</c:v>
                </c:pt>
                <c:pt idx="2163">
                  <c:v>46309</c:v>
                </c:pt>
                <c:pt idx="2164">
                  <c:v>46310</c:v>
                </c:pt>
                <c:pt idx="2165">
                  <c:v>46311</c:v>
                </c:pt>
                <c:pt idx="2166">
                  <c:v>46314</c:v>
                </c:pt>
                <c:pt idx="2167">
                  <c:v>46315</c:v>
                </c:pt>
                <c:pt idx="2168">
                  <c:v>46316</c:v>
                </c:pt>
                <c:pt idx="2169">
                  <c:v>46317</c:v>
                </c:pt>
                <c:pt idx="2170">
                  <c:v>46318</c:v>
                </c:pt>
                <c:pt idx="2171">
                  <c:v>46321</c:v>
                </c:pt>
                <c:pt idx="2172">
                  <c:v>46322</c:v>
                </c:pt>
                <c:pt idx="2173">
                  <c:v>46323</c:v>
                </c:pt>
                <c:pt idx="2174">
                  <c:v>46324</c:v>
                </c:pt>
                <c:pt idx="2175">
                  <c:v>46325</c:v>
                </c:pt>
                <c:pt idx="2176">
                  <c:v>46328</c:v>
                </c:pt>
                <c:pt idx="2177">
                  <c:v>46329</c:v>
                </c:pt>
                <c:pt idx="2178">
                  <c:v>46330</c:v>
                </c:pt>
                <c:pt idx="2179">
                  <c:v>46331</c:v>
                </c:pt>
                <c:pt idx="2180">
                  <c:v>46332</c:v>
                </c:pt>
                <c:pt idx="2181">
                  <c:v>46335</c:v>
                </c:pt>
                <c:pt idx="2182">
                  <c:v>46336</c:v>
                </c:pt>
                <c:pt idx="2183">
                  <c:v>46337</c:v>
                </c:pt>
                <c:pt idx="2184">
                  <c:v>46338</c:v>
                </c:pt>
                <c:pt idx="2185">
                  <c:v>46339</c:v>
                </c:pt>
                <c:pt idx="2186">
                  <c:v>46342</c:v>
                </c:pt>
                <c:pt idx="2187">
                  <c:v>46343</c:v>
                </c:pt>
                <c:pt idx="2188">
                  <c:v>46344</c:v>
                </c:pt>
                <c:pt idx="2189">
                  <c:v>46345</c:v>
                </c:pt>
                <c:pt idx="2190">
                  <c:v>46346</c:v>
                </c:pt>
                <c:pt idx="2191">
                  <c:v>46349</c:v>
                </c:pt>
                <c:pt idx="2192">
                  <c:v>46350</c:v>
                </c:pt>
                <c:pt idx="2193">
                  <c:v>46351</c:v>
                </c:pt>
                <c:pt idx="2194">
                  <c:v>46352</c:v>
                </c:pt>
                <c:pt idx="2195">
                  <c:v>46353</c:v>
                </c:pt>
                <c:pt idx="2196">
                  <c:v>46356</c:v>
                </c:pt>
                <c:pt idx="2197">
                  <c:v>46357</c:v>
                </c:pt>
                <c:pt idx="2198">
                  <c:v>46358</c:v>
                </c:pt>
                <c:pt idx="2199">
                  <c:v>46359</c:v>
                </c:pt>
                <c:pt idx="2200">
                  <c:v>46360</c:v>
                </c:pt>
                <c:pt idx="2201">
                  <c:v>46363</c:v>
                </c:pt>
                <c:pt idx="2202">
                  <c:v>46364</c:v>
                </c:pt>
                <c:pt idx="2203">
                  <c:v>46365</c:v>
                </c:pt>
                <c:pt idx="2204">
                  <c:v>46366</c:v>
                </c:pt>
                <c:pt idx="2205">
                  <c:v>46367</c:v>
                </c:pt>
                <c:pt idx="2206">
                  <c:v>46370</c:v>
                </c:pt>
                <c:pt idx="2207">
                  <c:v>46371</c:v>
                </c:pt>
                <c:pt idx="2208">
                  <c:v>46372</c:v>
                </c:pt>
                <c:pt idx="2209">
                  <c:v>46373</c:v>
                </c:pt>
                <c:pt idx="2210">
                  <c:v>46374</c:v>
                </c:pt>
                <c:pt idx="2211">
                  <c:v>46377</c:v>
                </c:pt>
                <c:pt idx="2212">
                  <c:v>46378</c:v>
                </c:pt>
                <c:pt idx="2213">
                  <c:v>46379</c:v>
                </c:pt>
                <c:pt idx="2214">
                  <c:v>46380</c:v>
                </c:pt>
                <c:pt idx="2215">
                  <c:v>46384</c:v>
                </c:pt>
                <c:pt idx="2216">
                  <c:v>46385</c:v>
                </c:pt>
                <c:pt idx="2217">
                  <c:v>46386</c:v>
                </c:pt>
                <c:pt idx="2218">
                  <c:v>46387</c:v>
                </c:pt>
                <c:pt idx="2219">
                  <c:v>46391</c:v>
                </c:pt>
                <c:pt idx="2220">
                  <c:v>46392</c:v>
                </c:pt>
                <c:pt idx="2221">
                  <c:v>46393</c:v>
                </c:pt>
                <c:pt idx="2222">
                  <c:v>46394</c:v>
                </c:pt>
                <c:pt idx="2223">
                  <c:v>46395</c:v>
                </c:pt>
                <c:pt idx="2224">
                  <c:v>46398</c:v>
                </c:pt>
                <c:pt idx="2225">
                  <c:v>46399</c:v>
                </c:pt>
                <c:pt idx="2226">
                  <c:v>46400</c:v>
                </c:pt>
                <c:pt idx="2227">
                  <c:v>46401</c:v>
                </c:pt>
                <c:pt idx="2228">
                  <c:v>46402</c:v>
                </c:pt>
                <c:pt idx="2229">
                  <c:v>46405</c:v>
                </c:pt>
                <c:pt idx="2230">
                  <c:v>46406</c:v>
                </c:pt>
                <c:pt idx="2231">
                  <c:v>46407</c:v>
                </c:pt>
                <c:pt idx="2232">
                  <c:v>46408</c:v>
                </c:pt>
                <c:pt idx="2233">
                  <c:v>46409</c:v>
                </c:pt>
                <c:pt idx="2234">
                  <c:v>46412</c:v>
                </c:pt>
                <c:pt idx="2235">
                  <c:v>46413</c:v>
                </c:pt>
                <c:pt idx="2236">
                  <c:v>46414</c:v>
                </c:pt>
                <c:pt idx="2237">
                  <c:v>46415</c:v>
                </c:pt>
                <c:pt idx="2238">
                  <c:v>46416</c:v>
                </c:pt>
                <c:pt idx="2239">
                  <c:v>46419</c:v>
                </c:pt>
                <c:pt idx="2240">
                  <c:v>46420</c:v>
                </c:pt>
                <c:pt idx="2241">
                  <c:v>46421</c:v>
                </c:pt>
                <c:pt idx="2242">
                  <c:v>46422</c:v>
                </c:pt>
                <c:pt idx="2243">
                  <c:v>46423</c:v>
                </c:pt>
                <c:pt idx="2244">
                  <c:v>46426</c:v>
                </c:pt>
                <c:pt idx="2245">
                  <c:v>46427</c:v>
                </c:pt>
                <c:pt idx="2246">
                  <c:v>46428</c:v>
                </c:pt>
                <c:pt idx="2247">
                  <c:v>46429</c:v>
                </c:pt>
                <c:pt idx="2248">
                  <c:v>46430</c:v>
                </c:pt>
                <c:pt idx="2249">
                  <c:v>46433</c:v>
                </c:pt>
                <c:pt idx="2250">
                  <c:v>46434</c:v>
                </c:pt>
                <c:pt idx="2251">
                  <c:v>46435</c:v>
                </c:pt>
                <c:pt idx="2252">
                  <c:v>46436</c:v>
                </c:pt>
                <c:pt idx="2253">
                  <c:v>46437</c:v>
                </c:pt>
                <c:pt idx="2254">
                  <c:v>46440</c:v>
                </c:pt>
                <c:pt idx="2255">
                  <c:v>46441</c:v>
                </c:pt>
                <c:pt idx="2256">
                  <c:v>46442</c:v>
                </c:pt>
                <c:pt idx="2257">
                  <c:v>46443</c:v>
                </c:pt>
                <c:pt idx="2258">
                  <c:v>46444</c:v>
                </c:pt>
                <c:pt idx="2259">
                  <c:v>46447</c:v>
                </c:pt>
                <c:pt idx="2260">
                  <c:v>46448</c:v>
                </c:pt>
                <c:pt idx="2261">
                  <c:v>46449</c:v>
                </c:pt>
                <c:pt idx="2262">
                  <c:v>46450</c:v>
                </c:pt>
                <c:pt idx="2263">
                  <c:v>46451</c:v>
                </c:pt>
                <c:pt idx="2264">
                  <c:v>46454</c:v>
                </c:pt>
                <c:pt idx="2265">
                  <c:v>46455</c:v>
                </c:pt>
                <c:pt idx="2266">
                  <c:v>46456</c:v>
                </c:pt>
                <c:pt idx="2267">
                  <c:v>46457</c:v>
                </c:pt>
                <c:pt idx="2268">
                  <c:v>46458</c:v>
                </c:pt>
                <c:pt idx="2269">
                  <c:v>46461</c:v>
                </c:pt>
                <c:pt idx="2270">
                  <c:v>46462</c:v>
                </c:pt>
                <c:pt idx="2271">
                  <c:v>46463</c:v>
                </c:pt>
                <c:pt idx="2272">
                  <c:v>46464</c:v>
                </c:pt>
                <c:pt idx="2273">
                  <c:v>46465</c:v>
                </c:pt>
                <c:pt idx="2274">
                  <c:v>46468</c:v>
                </c:pt>
                <c:pt idx="2275">
                  <c:v>46469</c:v>
                </c:pt>
                <c:pt idx="2276">
                  <c:v>46470</c:v>
                </c:pt>
                <c:pt idx="2277">
                  <c:v>46471</c:v>
                </c:pt>
                <c:pt idx="2278">
                  <c:v>46476</c:v>
                </c:pt>
                <c:pt idx="2279">
                  <c:v>46477</c:v>
                </c:pt>
                <c:pt idx="2280">
                  <c:v>46478</c:v>
                </c:pt>
                <c:pt idx="2281">
                  <c:v>46479</c:v>
                </c:pt>
                <c:pt idx="2282">
                  <c:v>46482</c:v>
                </c:pt>
                <c:pt idx="2283">
                  <c:v>46483</c:v>
                </c:pt>
                <c:pt idx="2284">
                  <c:v>46484</c:v>
                </c:pt>
                <c:pt idx="2285">
                  <c:v>46485</c:v>
                </c:pt>
                <c:pt idx="2286">
                  <c:v>46486</c:v>
                </c:pt>
                <c:pt idx="2287">
                  <c:v>46489</c:v>
                </c:pt>
                <c:pt idx="2288">
                  <c:v>46490</c:v>
                </c:pt>
                <c:pt idx="2289">
                  <c:v>46491</c:v>
                </c:pt>
                <c:pt idx="2290">
                  <c:v>46492</c:v>
                </c:pt>
                <c:pt idx="2291">
                  <c:v>46493</c:v>
                </c:pt>
                <c:pt idx="2292">
                  <c:v>46496</c:v>
                </c:pt>
                <c:pt idx="2293">
                  <c:v>46497</c:v>
                </c:pt>
                <c:pt idx="2294">
                  <c:v>46498</c:v>
                </c:pt>
                <c:pt idx="2295">
                  <c:v>46499</c:v>
                </c:pt>
                <c:pt idx="2296">
                  <c:v>46500</c:v>
                </c:pt>
                <c:pt idx="2297">
                  <c:v>46503</c:v>
                </c:pt>
                <c:pt idx="2298">
                  <c:v>46504</c:v>
                </c:pt>
                <c:pt idx="2299">
                  <c:v>46505</c:v>
                </c:pt>
                <c:pt idx="2300">
                  <c:v>46506</c:v>
                </c:pt>
                <c:pt idx="2301">
                  <c:v>46507</c:v>
                </c:pt>
                <c:pt idx="2302">
                  <c:v>46510</c:v>
                </c:pt>
                <c:pt idx="2303">
                  <c:v>46511</c:v>
                </c:pt>
                <c:pt idx="2304">
                  <c:v>46512</c:v>
                </c:pt>
                <c:pt idx="2305">
                  <c:v>46513</c:v>
                </c:pt>
                <c:pt idx="2306">
                  <c:v>46514</c:v>
                </c:pt>
                <c:pt idx="2307">
                  <c:v>46517</c:v>
                </c:pt>
                <c:pt idx="2308">
                  <c:v>46518</c:v>
                </c:pt>
                <c:pt idx="2309">
                  <c:v>46519</c:v>
                </c:pt>
                <c:pt idx="2310">
                  <c:v>46520</c:v>
                </c:pt>
                <c:pt idx="2311">
                  <c:v>46521</c:v>
                </c:pt>
                <c:pt idx="2312">
                  <c:v>46524</c:v>
                </c:pt>
                <c:pt idx="2313">
                  <c:v>46525</c:v>
                </c:pt>
                <c:pt idx="2314">
                  <c:v>46526</c:v>
                </c:pt>
                <c:pt idx="2315">
                  <c:v>46527</c:v>
                </c:pt>
                <c:pt idx="2316">
                  <c:v>46528</c:v>
                </c:pt>
                <c:pt idx="2317">
                  <c:v>46531</c:v>
                </c:pt>
                <c:pt idx="2318">
                  <c:v>46532</c:v>
                </c:pt>
                <c:pt idx="2319">
                  <c:v>46533</c:v>
                </c:pt>
                <c:pt idx="2320">
                  <c:v>46534</c:v>
                </c:pt>
                <c:pt idx="2321">
                  <c:v>46535</c:v>
                </c:pt>
                <c:pt idx="2322">
                  <c:v>46538</c:v>
                </c:pt>
                <c:pt idx="2323">
                  <c:v>46539</c:v>
                </c:pt>
                <c:pt idx="2324">
                  <c:v>46540</c:v>
                </c:pt>
                <c:pt idx="2325">
                  <c:v>46541</c:v>
                </c:pt>
                <c:pt idx="2326">
                  <c:v>46542</c:v>
                </c:pt>
                <c:pt idx="2327">
                  <c:v>46545</c:v>
                </c:pt>
                <c:pt idx="2328">
                  <c:v>46546</c:v>
                </c:pt>
                <c:pt idx="2329">
                  <c:v>46547</c:v>
                </c:pt>
                <c:pt idx="2330">
                  <c:v>46548</c:v>
                </c:pt>
                <c:pt idx="2331">
                  <c:v>46549</c:v>
                </c:pt>
                <c:pt idx="2332">
                  <c:v>46552</c:v>
                </c:pt>
                <c:pt idx="2333">
                  <c:v>46553</c:v>
                </c:pt>
                <c:pt idx="2334">
                  <c:v>46554</c:v>
                </c:pt>
                <c:pt idx="2335">
                  <c:v>46555</c:v>
                </c:pt>
                <c:pt idx="2336">
                  <c:v>46556</c:v>
                </c:pt>
                <c:pt idx="2337">
                  <c:v>46559</c:v>
                </c:pt>
                <c:pt idx="2338">
                  <c:v>46560</c:v>
                </c:pt>
                <c:pt idx="2339">
                  <c:v>46561</c:v>
                </c:pt>
                <c:pt idx="2340">
                  <c:v>46562</c:v>
                </c:pt>
                <c:pt idx="2341">
                  <c:v>46563</c:v>
                </c:pt>
                <c:pt idx="2342">
                  <c:v>46566</c:v>
                </c:pt>
                <c:pt idx="2343">
                  <c:v>46567</c:v>
                </c:pt>
                <c:pt idx="2344">
                  <c:v>46568</c:v>
                </c:pt>
                <c:pt idx="2345">
                  <c:v>46569</c:v>
                </c:pt>
                <c:pt idx="2346">
                  <c:v>46570</c:v>
                </c:pt>
                <c:pt idx="2347">
                  <c:v>46573</c:v>
                </c:pt>
                <c:pt idx="2348">
                  <c:v>46574</c:v>
                </c:pt>
                <c:pt idx="2349">
                  <c:v>46575</c:v>
                </c:pt>
                <c:pt idx="2350">
                  <c:v>46576</c:v>
                </c:pt>
                <c:pt idx="2351">
                  <c:v>46577</c:v>
                </c:pt>
                <c:pt idx="2352">
                  <c:v>46580</c:v>
                </c:pt>
                <c:pt idx="2353">
                  <c:v>46581</c:v>
                </c:pt>
                <c:pt idx="2354">
                  <c:v>46582</c:v>
                </c:pt>
                <c:pt idx="2355">
                  <c:v>46583</c:v>
                </c:pt>
                <c:pt idx="2356">
                  <c:v>46584</c:v>
                </c:pt>
                <c:pt idx="2357">
                  <c:v>46587</c:v>
                </c:pt>
                <c:pt idx="2358">
                  <c:v>46588</c:v>
                </c:pt>
                <c:pt idx="2359">
                  <c:v>46589</c:v>
                </c:pt>
                <c:pt idx="2360">
                  <c:v>46590</c:v>
                </c:pt>
                <c:pt idx="2361">
                  <c:v>46591</c:v>
                </c:pt>
                <c:pt idx="2362">
                  <c:v>46594</c:v>
                </c:pt>
                <c:pt idx="2363">
                  <c:v>46595</c:v>
                </c:pt>
                <c:pt idx="2364">
                  <c:v>46596</c:v>
                </c:pt>
                <c:pt idx="2365">
                  <c:v>46597</c:v>
                </c:pt>
                <c:pt idx="2366">
                  <c:v>46598</c:v>
                </c:pt>
                <c:pt idx="2367">
                  <c:v>46601</c:v>
                </c:pt>
                <c:pt idx="2368">
                  <c:v>46602</c:v>
                </c:pt>
                <c:pt idx="2369">
                  <c:v>46603</c:v>
                </c:pt>
                <c:pt idx="2370">
                  <c:v>46604</c:v>
                </c:pt>
                <c:pt idx="2371">
                  <c:v>46605</c:v>
                </c:pt>
                <c:pt idx="2372">
                  <c:v>46608</c:v>
                </c:pt>
                <c:pt idx="2373">
                  <c:v>46609</c:v>
                </c:pt>
                <c:pt idx="2374">
                  <c:v>46610</c:v>
                </c:pt>
                <c:pt idx="2375">
                  <c:v>46611</c:v>
                </c:pt>
                <c:pt idx="2376">
                  <c:v>46612</c:v>
                </c:pt>
                <c:pt idx="2377">
                  <c:v>46615</c:v>
                </c:pt>
                <c:pt idx="2378">
                  <c:v>46616</c:v>
                </c:pt>
                <c:pt idx="2379">
                  <c:v>46617</c:v>
                </c:pt>
                <c:pt idx="2380">
                  <c:v>46618</c:v>
                </c:pt>
                <c:pt idx="2381">
                  <c:v>46619</c:v>
                </c:pt>
                <c:pt idx="2382">
                  <c:v>46622</c:v>
                </c:pt>
                <c:pt idx="2383">
                  <c:v>46623</c:v>
                </c:pt>
                <c:pt idx="2384">
                  <c:v>46624</c:v>
                </c:pt>
                <c:pt idx="2385">
                  <c:v>46625</c:v>
                </c:pt>
                <c:pt idx="2386">
                  <c:v>46626</c:v>
                </c:pt>
                <c:pt idx="2387">
                  <c:v>46629</c:v>
                </c:pt>
                <c:pt idx="2388">
                  <c:v>46630</c:v>
                </c:pt>
                <c:pt idx="2389">
                  <c:v>46631</c:v>
                </c:pt>
                <c:pt idx="2390">
                  <c:v>46632</c:v>
                </c:pt>
                <c:pt idx="2391">
                  <c:v>46633</c:v>
                </c:pt>
                <c:pt idx="2392">
                  <c:v>46636</c:v>
                </c:pt>
                <c:pt idx="2393">
                  <c:v>46637</c:v>
                </c:pt>
                <c:pt idx="2394">
                  <c:v>46638</c:v>
                </c:pt>
                <c:pt idx="2395">
                  <c:v>46639</c:v>
                </c:pt>
                <c:pt idx="2396">
                  <c:v>46640</c:v>
                </c:pt>
                <c:pt idx="2397">
                  <c:v>46643</c:v>
                </c:pt>
                <c:pt idx="2398">
                  <c:v>46644</c:v>
                </c:pt>
                <c:pt idx="2399">
                  <c:v>46645</c:v>
                </c:pt>
                <c:pt idx="2400">
                  <c:v>46646</c:v>
                </c:pt>
                <c:pt idx="2401">
                  <c:v>46647</c:v>
                </c:pt>
                <c:pt idx="2402">
                  <c:v>46650</c:v>
                </c:pt>
                <c:pt idx="2403">
                  <c:v>46651</c:v>
                </c:pt>
                <c:pt idx="2404">
                  <c:v>46652</c:v>
                </c:pt>
                <c:pt idx="2405">
                  <c:v>46653</c:v>
                </c:pt>
                <c:pt idx="2406">
                  <c:v>46654</c:v>
                </c:pt>
                <c:pt idx="2407">
                  <c:v>46657</c:v>
                </c:pt>
                <c:pt idx="2408">
                  <c:v>46658</c:v>
                </c:pt>
                <c:pt idx="2409">
                  <c:v>46659</c:v>
                </c:pt>
                <c:pt idx="2410">
                  <c:v>46660</c:v>
                </c:pt>
                <c:pt idx="2411">
                  <c:v>46661</c:v>
                </c:pt>
                <c:pt idx="2412">
                  <c:v>46664</c:v>
                </c:pt>
                <c:pt idx="2413">
                  <c:v>46665</c:v>
                </c:pt>
                <c:pt idx="2414">
                  <c:v>46666</c:v>
                </c:pt>
                <c:pt idx="2415">
                  <c:v>46667</c:v>
                </c:pt>
                <c:pt idx="2416">
                  <c:v>46668</c:v>
                </c:pt>
                <c:pt idx="2417">
                  <c:v>46671</c:v>
                </c:pt>
                <c:pt idx="2418">
                  <c:v>46672</c:v>
                </c:pt>
                <c:pt idx="2419">
                  <c:v>46673</c:v>
                </c:pt>
                <c:pt idx="2420">
                  <c:v>46674</c:v>
                </c:pt>
                <c:pt idx="2421">
                  <c:v>46675</c:v>
                </c:pt>
                <c:pt idx="2422">
                  <c:v>46678</c:v>
                </c:pt>
                <c:pt idx="2423">
                  <c:v>46679</c:v>
                </c:pt>
                <c:pt idx="2424">
                  <c:v>46680</c:v>
                </c:pt>
                <c:pt idx="2425">
                  <c:v>46681</c:v>
                </c:pt>
                <c:pt idx="2426">
                  <c:v>46682</c:v>
                </c:pt>
                <c:pt idx="2427">
                  <c:v>46685</c:v>
                </c:pt>
                <c:pt idx="2428">
                  <c:v>46686</c:v>
                </c:pt>
                <c:pt idx="2429">
                  <c:v>46687</c:v>
                </c:pt>
                <c:pt idx="2430">
                  <c:v>46688</c:v>
                </c:pt>
                <c:pt idx="2431">
                  <c:v>46689</c:v>
                </c:pt>
                <c:pt idx="2432">
                  <c:v>46692</c:v>
                </c:pt>
                <c:pt idx="2433">
                  <c:v>46693</c:v>
                </c:pt>
                <c:pt idx="2434">
                  <c:v>46694</c:v>
                </c:pt>
                <c:pt idx="2435">
                  <c:v>46695</c:v>
                </c:pt>
                <c:pt idx="2436">
                  <c:v>46696</c:v>
                </c:pt>
                <c:pt idx="2437">
                  <c:v>46699</c:v>
                </c:pt>
                <c:pt idx="2438">
                  <c:v>46700</c:v>
                </c:pt>
                <c:pt idx="2439">
                  <c:v>46701</c:v>
                </c:pt>
                <c:pt idx="2440">
                  <c:v>46702</c:v>
                </c:pt>
                <c:pt idx="2441">
                  <c:v>46703</c:v>
                </c:pt>
                <c:pt idx="2442">
                  <c:v>46706</c:v>
                </c:pt>
                <c:pt idx="2443">
                  <c:v>46707</c:v>
                </c:pt>
                <c:pt idx="2444">
                  <c:v>46708</c:v>
                </c:pt>
                <c:pt idx="2445">
                  <c:v>46709</c:v>
                </c:pt>
                <c:pt idx="2446">
                  <c:v>46710</c:v>
                </c:pt>
                <c:pt idx="2447">
                  <c:v>46713</c:v>
                </c:pt>
                <c:pt idx="2448">
                  <c:v>46714</c:v>
                </c:pt>
                <c:pt idx="2449">
                  <c:v>46715</c:v>
                </c:pt>
                <c:pt idx="2450">
                  <c:v>46716</c:v>
                </c:pt>
                <c:pt idx="2451">
                  <c:v>46717</c:v>
                </c:pt>
                <c:pt idx="2452">
                  <c:v>46720</c:v>
                </c:pt>
                <c:pt idx="2453">
                  <c:v>46721</c:v>
                </c:pt>
                <c:pt idx="2454">
                  <c:v>46722</c:v>
                </c:pt>
                <c:pt idx="2455">
                  <c:v>46723</c:v>
                </c:pt>
                <c:pt idx="2456">
                  <c:v>46724</c:v>
                </c:pt>
                <c:pt idx="2457">
                  <c:v>46727</c:v>
                </c:pt>
                <c:pt idx="2458">
                  <c:v>46728</c:v>
                </c:pt>
                <c:pt idx="2459">
                  <c:v>46729</c:v>
                </c:pt>
                <c:pt idx="2460">
                  <c:v>46730</c:v>
                </c:pt>
                <c:pt idx="2461">
                  <c:v>46731</c:v>
                </c:pt>
                <c:pt idx="2462">
                  <c:v>46734</c:v>
                </c:pt>
                <c:pt idx="2463">
                  <c:v>46735</c:v>
                </c:pt>
                <c:pt idx="2464">
                  <c:v>46736</c:v>
                </c:pt>
                <c:pt idx="2465">
                  <c:v>46737</c:v>
                </c:pt>
                <c:pt idx="2466">
                  <c:v>46738</c:v>
                </c:pt>
                <c:pt idx="2467">
                  <c:v>46741</c:v>
                </c:pt>
                <c:pt idx="2468">
                  <c:v>46742</c:v>
                </c:pt>
                <c:pt idx="2469">
                  <c:v>46743</c:v>
                </c:pt>
                <c:pt idx="2470">
                  <c:v>46744</c:v>
                </c:pt>
                <c:pt idx="2471">
                  <c:v>46745</c:v>
                </c:pt>
                <c:pt idx="2472">
                  <c:v>46748</c:v>
                </c:pt>
                <c:pt idx="2473">
                  <c:v>46749</c:v>
                </c:pt>
                <c:pt idx="2474">
                  <c:v>46750</c:v>
                </c:pt>
                <c:pt idx="2475">
                  <c:v>46751</c:v>
                </c:pt>
                <c:pt idx="2476">
                  <c:v>46752</c:v>
                </c:pt>
                <c:pt idx="2477">
                  <c:v>46755</c:v>
                </c:pt>
                <c:pt idx="2478">
                  <c:v>46756</c:v>
                </c:pt>
                <c:pt idx="2479">
                  <c:v>46757</c:v>
                </c:pt>
                <c:pt idx="2480">
                  <c:v>46758</c:v>
                </c:pt>
                <c:pt idx="2481">
                  <c:v>46759</c:v>
                </c:pt>
                <c:pt idx="2482">
                  <c:v>46762</c:v>
                </c:pt>
                <c:pt idx="2483">
                  <c:v>46763</c:v>
                </c:pt>
                <c:pt idx="2484">
                  <c:v>46764</c:v>
                </c:pt>
                <c:pt idx="2485">
                  <c:v>46765</c:v>
                </c:pt>
                <c:pt idx="2486">
                  <c:v>46766</c:v>
                </c:pt>
                <c:pt idx="2487">
                  <c:v>46769</c:v>
                </c:pt>
                <c:pt idx="2488">
                  <c:v>46770</c:v>
                </c:pt>
                <c:pt idx="2489">
                  <c:v>46771</c:v>
                </c:pt>
                <c:pt idx="2490">
                  <c:v>46772</c:v>
                </c:pt>
                <c:pt idx="2491">
                  <c:v>46773</c:v>
                </c:pt>
                <c:pt idx="2492">
                  <c:v>46776</c:v>
                </c:pt>
                <c:pt idx="2493">
                  <c:v>46777</c:v>
                </c:pt>
                <c:pt idx="2494">
                  <c:v>46778</c:v>
                </c:pt>
                <c:pt idx="2495">
                  <c:v>46779</c:v>
                </c:pt>
                <c:pt idx="2496">
                  <c:v>46780</c:v>
                </c:pt>
                <c:pt idx="2497">
                  <c:v>46783</c:v>
                </c:pt>
                <c:pt idx="2498">
                  <c:v>46784</c:v>
                </c:pt>
                <c:pt idx="2499">
                  <c:v>46785</c:v>
                </c:pt>
                <c:pt idx="2500">
                  <c:v>46786</c:v>
                </c:pt>
                <c:pt idx="2501">
                  <c:v>46787</c:v>
                </c:pt>
                <c:pt idx="2502">
                  <c:v>46790</c:v>
                </c:pt>
                <c:pt idx="2503">
                  <c:v>46791</c:v>
                </c:pt>
                <c:pt idx="2504">
                  <c:v>46792</c:v>
                </c:pt>
                <c:pt idx="2505">
                  <c:v>46793</c:v>
                </c:pt>
                <c:pt idx="2506">
                  <c:v>46794</c:v>
                </c:pt>
                <c:pt idx="2507">
                  <c:v>46797</c:v>
                </c:pt>
                <c:pt idx="2508">
                  <c:v>46798</c:v>
                </c:pt>
                <c:pt idx="2509">
                  <c:v>46799</c:v>
                </c:pt>
                <c:pt idx="2510">
                  <c:v>46800</c:v>
                </c:pt>
                <c:pt idx="2511">
                  <c:v>46801</c:v>
                </c:pt>
                <c:pt idx="2512">
                  <c:v>46804</c:v>
                </c:pt>
                <c:pt idx="2513">
                  <c:v>46805</c:v>
                </c:pt>
                <c:pt idx="2514">
                  <c:v>46806</c:v>
                </c:pt>
                <c:pt idx="2515">
                  <c:v>46807</c:v>
                </c:pt>
                <c:pt idx="2516">
                  <c:v>46808</c:v>
                </c:pt>
                <c:pt idx="2517">
                  <c:v>46811</c:v>
                </c:pt>
                <c:pt idx="2518">
                  <c:v>46812</c:v>
                </c:pt>
                <c:pt idx="2519">
                  <c:v>46813</c:v>
                </c:pt>
                <c:pt idx="2520">
                  <c:v>46814</c:v>
                </c:pt>
                <c:pt idx="2521">
                  <c:v>46815</c:v>
                </c:pt>
                <c:pt idx="2522">
                  <c:v>46818</c:v>
                </c:pt>
                <c:pt idx="2523">
                  <c:v>46819</c:v>
                </c:pt>
                <c:pt idx="2524">
                  <c:v>46820</c:v>
                </c:pt>
                <c:pt idx="2525">
                  <c:v>46821</c:v>
                </c:pt>
                <c:pt idx="2526">
                  <c:v>46822</c:v>
                </c:pt>
                <c:pt idx="2527">
                  <c:v>46825</c:v>
                </c:pt>
                <c:pt idx="2528">
                  <c:v>46826</c:v>
                </c:pt>
                <c:pt idx="2529">
                  <c:v>46827</c:v>
                </c:pt>
                <c:pt idx="2530">
                  <c:v>46828</c:v>
                </c:pt>
                <c:pt idx="2531">
                  <c:v>46829</c:v>
                </c:pt>
                <c:pt idx="2532">
                  <c:v>46832</c:v>
                </c:pt>
                <c:pt idx="2533">
                  <c:v>46833</c:v>
                </c:pt>
                <c:pt idx="2534">
                  <c:v>46834</c:v>
                </c:pt>
                <c:pt idx="2535">
                  <c:v>46835</c:v>
                </c:pt>
                <c:pt idx="2536">
                  <c:v>46836</c:v>
                </c:pt>
                <c:pt idx="2537">
                  <c:v>46839</c:v>
                </c:pt>
                <c:pt idx="2538">
                  <c:v>46840</c:v>
                </c:pt>
                <c:pt idx="2539">
                  <c:v>46841</c:v>
                </c:pt>
                <c:pt idx="2540">
                  <c:v>46842</c:v>
                </c:pt>
                <c:pt idx="2541">
                  <c:v>46843</c:v>
                </c:pt>
                <c:pt idx="2542">
                  <c:v>46846</c:v>
                </c:pt>
                <c:pt idx="2543">
                  <c:v>46847</c:v>
                </c:pt>
                <c:pt idx="2544">
                  <c:v>46848</c:v>
                </c:pt>
                <c:pt idx="2545">
                  <c:v>46849</c:v>
                </c:pt>
                <c:pt idx="2546">
                  <c:v>46850</c:v>
                </c:pt>
                <c:pt idx="2547">
                  <c:v>46853</c:v>
                </c:pt>
                <c:pt idx="2548">
                  <c:v>46854</c:v>
                </c:pt>
                <c:pt idx="2549">
                  <c:v>46855</c:v>
                </c:pt>
                <c:pt idx="2550">
                  <c:v>46856</c:v>
                </c:pt>
                <c:pt idx="2551">
                  <c:v>46861</c:v>
                </c:pt>
                <c:pt idx="2552">
                  <c:v>46862</c:v>
                </c:pt>
                <c:pt idx="2553">
                  <c:v>46863</c:v>
                </c:pt>
                <c:pt idx="2554">
                  <c:v>46864</c:v>
                </c:pt>
                <c:pt idx="2555">
                  <c:v>46867</c:v>
                </c:pt>
                <c:pt idx="2556">
                  <c:v>46868</c:v>
                </c:pt>
                <c:pt idx="2557">
                  <c:v>46869</c:v>
                </c:pt>
                <c:pt idx="2558">
                  <c:v>46870</c:v>
                </c:pt>
                <c:pt idx="2559">
                  <c:v>46871</c:v>
                </c:pt>
                <c:pt idx="2560">
                  <c:v>46875</c:v>
                </c:pt>
                <c:pt idx="2561">
                  <c:v>46876</c:v>
                </c:pt>
                <c:pt idx="2562">
                  <c:v>46877</c:v>
                </c:pt>
                <c:pt idx="2563">
                  <c:v>46878</c:v>
                </c:pt>
                <c:pt idx="2564">
                  <c:v>46881</c:v>
                </c:pt>
                <c:pt idx="2565">
                  <c:v>46882</c:v>
                </c:pt>
                <c:pt idx="2566">
                  <c:v>46883</c:v>
                </c:pt>
                <c:pt idx="2567">
                  <c:v>46884</c:v>
                </c:pt>
                <c:pt idx="2568">
                  <c:v>46885</c:v>
                </c:pt>
                <c:pt idx="2569">
                  <c:v>46888</c:v>
                </c:pt>
                <c:pt idx="2570">
                  <c:v>46889</c:v>
                </c:pt>
                <c:pt idx="2571">
                  <c:v>46890</c:v>
                </c:pt>
                <c:pt idx="2572">
                  <c:v>46891</c:v>
                </c:pt>
                <c:pt idx="2573">
                  <c:v>46892</c:v>
                </c:pt>
                <c:pt idx="2574">
                  <c:v>46895</c:v>
                </c:pt>
                <c:pt idx="2575">
                  <c:v>46896</c:v>
                </c:pt>
                <c:pt idx="2576">
                  <c:v>46897</c:v>
                </c:pt>
                <c:pt idx="2577">
                  <c:v>46898</c:v>
                </c:pt>
                <c:pt idx="2578">
                  <c:v>46899</c:v>
                </c:pt>
                <c:pt idx="2579">
                  <c:v>46902</c:v>
                </c:pt>
                <c:pt idx="2580">
                  <c:v>46903</c:v>
                </c:pt>
                <c:pt idx="2581">
                  <c:v>46904</c:v>
                </c:pt>
                <c:pt idx="2582">
                  <c:v>46905</c:v>
                </c:pt>
                <c:pt idx="2583">
                  <c:v>46906</c:v>
                </c:pt>
                <c:pt idx="2584">
                  <c:v>46909</c:v>
                </c:pt>
                <c:pt idx="2585">
                  <c:v>46910</c:v>
                </c:pt>
                <c:pt idx="2586">
                  <c:v>46911</c:v>
                </c:pt>
                <c:pt idx="2587">
                  <c:v>46912</c:v>
                </c:pt>
                <c:pt idx="2588">
                  <c:v>46913</c:v>
                </c:pt>
                <c:pt idx="2589">
                  <c:v>46916</c:v>
                </c:pt>
                <c:pt idx="2590">
                  <c:v>46917</c:v>
                </c:pt>
                <c:pt idx="2591">
                  <c:v>46918</c:v>
                </c:pt>
                <c:pt idx="2592">
                  <c:v>46919</c:v>
                </c:pt>
                <c:pt idx="2593">
                  <c:v>46920</c:v>
                </c:pt>
                <c:pt idx="2594">
                  <c:v>46923</c:v>
                </c:pt>
                <c:pt idx="2595">
                  <c:v>46924</c:v>
                </c:pt>
                <c:pt idx="2596">
                  <c:v>46925</c:v>
                </c:pt>
                <c:pt idx="2597">
                  <c:v>46926</c:v>
                </c:pt>
                <c:pt idx="2598">
                  <c:v>46927</c:v>
                </c:pt>
                <c:pt idx="2599">
                  <c:v>46930</c:v>
                </c:pt>
                <c:pt idx="2600">
                  <c:v>46931</c:v>
                </c:pt>
                <c:pt idx="2601">
                  <c:v>46932</c:v>
                </c:pt>
                <c:pt idx="2602">
                  <c:v>46933</c:v>
                </c:pt>
                <c:pt idx="2603">
                  <c:v>46934</c:v>
                </c:pt>
                <c:pt idx="2604">
                  <c:v>46937</c:v>
                </c:pt>
                <c:pt idx="2605">
                  <c:v>46938</c:v>
                </c:pt>
                <c:pt idx="2606">
                  <c:v>46939</c:v>
                </c:pt>
                <c:pt idx="2607">
                  <c:v>46940</c:v>
                </c:pt>
                <c:pt idx="2608">
                  <c:v>46941</c:v>
                </c:pt>
                <c:pt idx="2609">
                  <c:v>46944</c:v>
                </c:pt>
                <c:pt idx="2610">
                  <c:v>46945</c:v>
                </c:pt>
                <c:pt idx="2611">
                  <c:v>46946</c:v>
                </c:pt>
                <c:pt idx="2612">
                  <c:v>46947</c:v>
                </c:pt>
                <c:pt idx="2613">
                  <c:v>46948</c:v>
                </c:pt>
                <c:pt idx="2614">
                  <c:v>46951</c:v>
                </c:pt>
                <c:pt idx="2615">
                  <c:v>46952</c:v>
                </c:pt>
                <c:pt idx="2616">
                  <c:v>46953</c:v>
                </c:pt>
                <c:pt idx="2617">
                  <c:v>46954</c:v>
                </c:pt>
                <c:pt idx="2618">
                  <c:v>46955</c:v>
                </c:pt>
                <c:pt idx="2619">
                  <c:v>46958</c:v>
                </c:pt>
                <c:pt idx="2620">
                  <c:v>46959</c:v>
                </c:pt>
                <c:pt idx="2621">
                  <c:v>46960</c:v>
                </c:pt>
                <c:pt idx="2622">
                  <c:v>46961</c:v>
                </c:pt>
                <c:pt idx="2623">
                  <c:v>46962</c:v>
                </c:pt>
                <c:pt idx="2624">
                  <c:v>46965</c:v>
                </c:pt>
                <c:pt idx="2625">
                  <c:v>46966</c:v>
                </c:pt>
                <c:pt idx="2626">
                  <c:v>46967</c:v>
                </c:pt>
                <c:pt idx="2627">
                  <c:v>46968</c:v>
                </c:pt>
                <c:pt idx="2628">
                  <c:v>46969</c:v>
                </c:pt>
                <c:pt idx="2629">
                  <c:v>46972</c:v>
                </c:pt>
                <c:pt idx="2630">
                  <c:v>46973</c:v>
                </c:pt>
                <c:pt idx="2631">
                  <c:v>46974</c:v>
                </c:pt>
                <c:pt idx="2632">
                  <c:v>46975</c:v>
                </c:pt>
                <c:pt idx="2633">
                  <c:v>46976</c:v>
                </c:pt>
                <c:pt idx="2634">
                  <c:v>46979</c:v>
                </c:pt>
                <c:pt idx="2635">
                  <c:v>46980</c:v>
                </c:pt>
                <c:pt idx="2636">
                  <c:v>46981</c:v>
                </c:pt>
                <c:pt idx="2637">
                  <c:v>46982</c:v>
                </c:pt>
                <c:pt idx="2638">
                  <c:v>46983</c:v>
                </c:pt>
                <c:pt idx="2639">
                  <c:v>46986</c:v>
                </c:pt>
                <c:pt idx="2640">
                  <c:v>46987</c:v>
                </c:pt>
                <c:pt idx="2641">
                  <c:v>46988</c:v>
                </c:pt>
                <c:pt idx="2642">
                  <c:v>46989</c:v>
                </c:pt>
                <c:pt idx="2643">
                  <c:v>46990</c:v>
                </c:pt>
                <c:pt idx="2644">
                  <c:v>46993</c:v>
                </c:pt>
                <c:pt idx="2645">
                  <c:v>46994</c:v>
                </c:pt>
                <c:pt idx="2646">
                  <c:v>46995</c:v>
                </c:pt>
                <c:pt idx="2647">
                  <c:v>46996</c:v>
                </c:pt>
                <c:pt idx="2648">
                  <c:v>46997</c:v>
                </c:pt>
                <c:pt idx="2649">
                  <c:v>47000</c:v>
                </c:pt>
                <c:pt idx="2650">
                  <c:v>47001</c:v>
                </c:pt>
                <c:pt idx="2651">
                  <c:v>47002</c:v>
                </c:pt>
                <c:pt idx="2652">
                  <c:v>47003</c:v>
                </c:pt>
                <c:pt idx="2653">
                  <c:v>47004</c:v>
                </c:pt>
                <c:pt idx="2654">
                  <c:v>47007</c:v>
                </c:pt>
                <c:pt idx="2655">
                  <c:v>47008</c:v>
                </c:pt>
                <c:pt idx="2656">
                  <c:v>47009</c:v>
                </c:pt>
                <c:pt idx="2657">
                  <c:v>47010</c:v>
                </c:pt>
                <c:pt idx="2658">
                  <c:v>47011</c:v>
                </c:pt>
                <c:pt idx="2659">
                  <c:v>47014</c:v>
                </c:pt>
                <c:pt idx="2660">
                  <c:v>47015</c:v>
                </c:pt>
                <c:pt idx="2661">
                  <c:v>47016</c:v>
                </c:pt>
                <c:pt idx="2662">
                  <c:v>47017</c:v>
                </c:pt>
                <c:pt idx="2663">
                  <c:v>47018</c:v>
                </c:pt>
                <c:pt idx="2664">
                  <c:v>47021</c:v>
                </c:pt>
                <c:pt idx="2665">
                  <c:v>47022</c:v>
                </c:pt>
                <c:pt idx="2666">
                  <c:v>47023</c:v>
                </c:pt>
                <c:pt idx="2667">
                  <c:v>47024</c:v>
                </c:pt>
                <c:pt idx="2668">
                  <c:v>47025</c:v>
                </c:pt>
                <c:pt idx="2669">
                  <c:v>47028</c:v>
                </c:pt>
                <c:pt idx="2670">
                  <c:v>47029</c:v>
                </c:pt>
                <c:pt idx="2671">
                  <c:v>47030</c:v>
                </c:pt>
                <c:pt idx="2672">
                  <c:v>47031</c:v>
                </c:pt>
                <c:pt idx="2673">
                  <c:v>47032</c:v>
                </c:pt>
                <c:pt idx="2674">
                  <c:v>47035</c:v>
                </c:pt>
                <c:pt idx="2675">
                  <c:v>47036</c:v>
                </c:pt>
                <c:pt idx="2676">
                  <c:v>47037</c:v>
                </c:pt>
                <c:pt idx="2677">
                  <c:v>47038</c:v>
                </c:pt>
                <c:pt idx="2678">
                  <c:v>47039</c:v>
                </c:pt>
                <c:pt idx="2679">
                  <c:v>47042</c:v>
                </c:pt>
                <c:pt idx="2680">
                  <c:v>47043</c:v>
                </c:pt>
                <c:pt idx="2681">
                  <c:v>47044</c:v>
                </c:pt>
                <c:pt idx="2682">
                  <c:v>47045</c:v>
                </c:pt>
                <c:pt idx="2683">
                  <c:v>47046</c:v>
                </c:pt>
                <c:pt idx="2684">
                  <c:v>47049</c:v>
                </c:pt>
                <c:pt idx="2685">
                  <c:v>47050</c:v>
                </c:pt>
                <c:pt idx="2686">
                  <c:v>47051</c:v>
                </c:pt>
                <c:pt idx="2687">
                  <c:v>47052</c:v>
                </c:pt>
                <c:pt idx="2688">
                  <c:v>47053</c:v>
                </c:pt>
                <c:pt idx="2689">
                  <c:v>47056</c:v>
                </c:pt>
                <c:pt idx="2690">
                  <c:v>47057</c:v>
                </c:pt>
                <c:pt idx="2691">
                  <c:v>47058</c:v>
                </c:pt>
                <c:pt idx="2692">
                  <c:v>47059</c:v>
                </c:pt>
                <c:pt idx="2693">
                  <c:v>47060</c:v>
                </c:pt>
                <c:pt idx="2694">
                  <c:v>47063</c:v>
                </c:pt>
                <c:pt idx="2695">
                  <c:v>47064</c:v>
                </c:pt>
                <c:pt idx="2696">
                  <c:v>47065</c:v>
                </c:pt>
                <c:pt idx="2697">
                  <c:v>47066</c:v>
                </c:pt>
                <c:pt idx="2698">
                  <c:v>47067</c:v>
                </c:pt>
                <c:pt idx="2699">
                  <c:v>47070</c:v>
                </c:pt>
                <c:pt idx="2700">
                  <c:v>47071</c:v>
                </c:pt>
                <c:pt idx="2701">
                  <c:v>47072</c:v>
                </c:pt>
                <c:pt idx="2702">
                  <c:v>47073</c:v>
                </c:pt>
                <c:pt idx="2703">
                  <c:v>47074</c:v>
                </c:pt>
                <c:pt idx="2704">
                  <c:v>47077</c:v>
                </c:pt>
                <c:pt idx="2705">
                  <c:v>47078</c:v>
                </c:pt>
                <c:pt idx="2706">
                  <c:v>47079</c:v>
                </c:pt>
                <c:pt idx="2707">
                  <c:v>47080</c:v>
                </c:pt>
                <c:pt idx="2708">
                  <c:v>47081</c:v>
                </c:pt>
                <c:pt idx="2709">
                  <c:v>47084</c:v>
                </c:pt>
                <c:pt idx="2710">
                  <c:v>47085</c:v>
                </c:pt>
                <c:pt idx="2711">
                  <c:v>47086</c:v>
                </c:pt>
                <c:pt idx="2712">
                  <c:v>47087</c:v>
                </c:pt>
                <c:pt idx="2713">
                  <c:v>47088</c:v>
                </c:pt>
                <c:pt idx="2714">
                  <c:v>47091</c:v>
                </c:pt>
                <c:pt idx="2715">
                  <c:v>47092</c:v>
                </c:pt>
                <c:pt idx="2716">
                  <c:v>47093</c:v>
                </c:pt>
                <c:pt idx="2717">
                  <c:v>47094</c:v>
                </c:pt>
                <c:pt idx="2718">
                  <c:v>47095</c:v>
                </c:pt>
                <c:pt idx="2719">
                  <c:v>47098</c:v>
                </c:pt>
                <c:pt idx="2720">
                  <c:v>47099</c:v>
                </c:pt>
                <c:pt idx="2721">
                  <c:v>47100</c:v>
                </c:pt>
                <c:pt idx="2722">
                  <c:v>47101</c:v>
                </c:pt>
                <c:pt idx="2723">
                  <c:v>47102</c:v>
                </c:pt>
                <c:pt idx="2724">
                  <c:v>47105</c:v>
                </c:pt>
                <c:pt idx="2725">
                  <c:v>47106</c:v>
                </c:pt>
                <c:pt idx="2726">
                  <c:v>47107</c:v>
                </c:pt>
                <c:pt idx="2727">
                  <c:v>47108</c:v>
                </c:pt>
                <c:pt idx="2728">
                  <c:v>47109</c:v>
                </c:pt>
                <c:pt idx="2729">
                  <c:v>47114</c:v>
                </c:pt>
                <c:pt idx="2730">
                  <c:v>47115</c:v>
                </c:pt>
                <c:pt idx="2731">
                  <c:v>47116</c:v>
                </c:pt>
                <c:pt idx="2732">
                  <c:v>47120</c:v>
                </c:pt>
                <c:pt idx="2733">
                  <c:v>47121</c:v>
                </c:pt>
                <c:pt idx="2734">
                  <c:v>47122</c:v>
                </c:pt>
                <c:pt idx="2735">
                  <c:v>47123</c:v>
                </c:pt>
                <c:pt idx="2736">
                  <c:v>47126</c:v>
                </c:pt>
                <c:pt idx="2737">
                  <c:v>47127</c:v>
                </c:pt>
                <c:pt idx="2738">
                  <c:v>47128</c:v>
                </c:pt>
                <c:pt idx="2739">
                  <c:v>47129</c:v>
                </c:pt>
                <c:pt idx="2740">
                  <c:v>47130</c:v>
                </c:pt>
                <c:pt idx="2741">
                  <c:v>47133</c:v>
                </c:pt>
                <c:pt idx="2742">
                  <c:v>47134</c:v>
                </c:pt>
                <c:pt idx="2743">
                  <c:v>47135</c:v>
                </c:pt>
                <c:pt idx="2744">
                  <c:v>47136</c:v>
                </c:pt>
                <c:pt idx="2745">
                  <c:v>47137</c:v>
                </c:pt>
                <c:pt idx="2746">
                  <c:v>47140</c:v>
                </c:pt>
                <c:pt idx="2747">
                  <c:v>47141</c:v>
                </c:pt>
                <c:pt idx="2748">
                  <c:v>47142</c:v>
                </c:pt>
                <c:pt idx="2749">
                  <c:v>47143</c:v>
                </c:pt>
                <c:pt idx="2750">
                  <c:v>47144</c:v>
                </c:pt>
                <c:pt idx="2751">
                  <c:v>47147</c:v>
                </c:pt>
                <c:pt idx="2752">
                  <c:v>47148</c:v>
                </c:pt>
                <c:pt idx="2753">
                  <c:v>47149</c:v>
                </c:pt>
                <c:pt idx="2754">
                  <c:v>47150</c:v>
                </c:pt>
                <c:pt idx="2755">
                  <c:v>47151</c:v>
                </c:pt>
                <c:pt idx="2756">
                  <c:v>47154</c:v>
                </c:pt>
                <c:pt idx="2757">
                  <c:v>47155</c:v>
                </c:pt>
                <c:pt idx="2758">
                  <c:v>47156</c:v>
                </c:pt>
                <c:pt idx="2759">
                  <c:v>47157</c:v>
                </c:pt>
                <c:pt idx="2760">
                  <c:v>47158</c:v>
                </c:pt>
                <c:pt idx="2761">
                  <c:v>47161</c:v>
                </c:pt>
                <c:pt idx="2762">
                  <c:v>47162</c:v>
                </c:pt>
                <c:pt idx="2763">
                  <c:v>47163</c:v>
                </c:pt>
                <c:pt idx="2764">
                  <c:v>47164</c:v>
                </c:pt>
                <c:pt idx="2765">
                  <c:v>47165</c:v>
                </c:pt>
                <c:pt idx="2766">
                  <c:v>47168</c:v>
                </c:pt>
                <c:pt idx="2767">
                  <c:v>47169</c:v>
                </c:pt>
                <c:pt idx="2768">
                  <c:v>47170</c:v>
                </c:pt>
                <c:pt idx="2769">
                  <c:v>47171</c:v>
                </c:pt>
                <c:pt idx="2770">
                  <c:v>47172</c:v>
                </c:pt>
                <c:pt idx="2771">
                  <c:v>47175</c:v>
                </c:pt>
                <c:pt idx="2772">
                  <c:v>47176</c:v>
                </c:pt>
                <c:pt idx="2773">
                  <c:v>47177</c:v>
                </c:pt>
                <c:pt idx="2774">
                  <c:v>47178</c:v>
                </c:pt>
                <c:pt idx="2775">
                  <c:v>47179</c:v>
                </c:pt>
                <c:pt idx="2776">
                  <c:v>47182</c:v>
                </c:pt>
                <c:pt idx="2777">
                  <c:v>47183</c:v>
                </c:pt>
                <c:pt idx="2778">
                  <c:v>47184</c:v>
                </c:pt>
                <c:pt idx="2779">
                  <c:v>47185</c:v>
                </c:pt>
                <c:pt idx="2780">
                  <c:v>47186</c:v>
                </c:pt>
                <c:pt idx="2781">
                  <c:v>47189</c:v>
                </c:pt>
                <c:pt idx="2782">
                  <c:v>47190</c:v>
                </c:pt>
                <c:pt idx="2783">
                  <c:v>47191</c:v>
                </c:pt>
                <c:pt idx="2784">
                  <c:v>47192</c:v>
                </c:pt>
                <c:pt idx="2785">
                  <c:v>47193</c:v>
                </c:pt>
                <c:pt idx="2786">
                  <c:v>47196</c:v>
                </c:pt>
                <c:pt idx="2787">
                  <c:v>47197</c:v>
                </c:pt>
                <c:pt idx="2788">
                  <c:v>47198</c:v>
                </c:pt>
                <c:pt idx="2789">
                  <c:v>47199</c:v>
                </c:pt>
                <c:pt idx="2790">
                  <c:v>47200</c:v>
                </c:pt>
                <c:pt idx="2791">
                  <c:v>47203</c:v>
                </c:pt>
                <c:pt idx="2792">
                  <c:v>47204</c:v>
                </c:pt>
                <c:pt idx="2793">
                  <c:v>47205</c:v>
                </c:pt>
                <c:pt idx="2794">
                  <c:v>47206</c:v>
                </c:pt>
                <c:pt idx="2795">
                  <c:v>47211</c:v>
                </c:pt>
                <c:pt idx="2796">
                  <c:v>47212</c:v>
                </c:pt>
                <c:pt idx="2797">
                  <c:v>47213</c:v>
                </c:pt>
                <c:pt idx="2798">
                  <c:v>47214</c:v>
                </c:pt>
                <c:pt idx="2799">
                  <c:v>47217</c:v>
                </c:pt>
                <c:pt idx="2800">
                  <c:v>47218</c:v>
                </c:pt>
                <c:pt idx="2801">
                  <c:v>47219</c:v>
                </c:pt>
                <c:pt idx="2802">
                  <c:v>47220</c:v>
                </c:pt>
                <c:pt idx="2803">
                  <c:v>47221</c:v>
                </c:pt>
                <c:pt idx="2804">
                  <c:v>47224</c:v>
                </c:pt>
                <c:pt idx="2805">
                  <c:v>47225</c:v>
                </c:pt>
                <c:pt idx="2806">
                  <c:v>47226</c:v>
                </c:pt>
                <c:pt idx="2807">
                  <c:v>47227</c:v>
                </c:pt>
                <c:pt idx="2808">
                  <c:v>47228</c:v>
                </c:pt>
                <c:pt idx="2809">
                  <c:v>47231</c:v>
                </c:pt>
                <c:pt idx="2810">
                  <c:v>47232</c:v>
                </c:pt>
                <c:pt idx="2811">
                  <c:v>47233</c:v>
                </c:pt>
                <c:pt idx="2812">
                  <c:v>47234</c:v>
                </c:pt>
                <c:pt idx="2813">
                  <c:v>47235</c:v>
                </c:pt>
                <c:pt idx="2814">
                  <c:v>47238</c:v>
                </c:pt>
                <c:pt idx="2815">
                  <c:v>47240</c:v>
                </c:pt>
                <c:pt idx="2816">
                  <c:v>47241</c:v>
                </c:pt>
                <c:pt idx="2817">
                  <c:v>47242</c:v>
                </c:pt>
                <c:pt idx="2818">
                  <c:v>47245</c:v>
                </c:pt>
                <c:pt idx="2819">
                  <c:v>47246</c:v>
                </c:pt>
                <c:pt idx="2820">
                  <c:v>47247</c:v>
                </c:pt>
                <c:pt idx="2821">
                  <c:v>47248</c:v>
                </c:pt>
                <c:pt idx="2822">
                  <c:v>47249</c:v>
                </c:pt>
                <c:pt idx="2823">
                  <c:v>47252</c:v>
                </c:pt>
                <c:pt idx="2824">
                  <c:v>47253</c:v>
                </c:pt>
                <c:pt idx="2825">
                  <c:v>47254</c:v>
                </c:pt>
                <c:pt idx="2826">
                  <c:v>47255</c:v>
                </c:pt>
                <c:pt idx="2827">
                  <c:v>47256</c:v>
                </c:pt>
                <c:pt idx="2828">
                  <c:v>47259</c:v>
                </c:pt>
                <c:pt idx="2829">
                  <c:v>47260</c:v>
                </c:pt>
                <c:pt idx="2830">
                  <c:v>47261</c:v>
                </c:pt>
                <c:pt idx="2831">
                  <c:v>47262</c:v>
                </c:pt>
                <c:pt idx="2832">
                  <c:v>47263</c:v>
                </c:pt>
                <c:pt idx="2833">
                  <c:v>47266</c:v>
                </c:pt>
                <c:pt idx="2834">
                  <c:v>47267</c:v>
                </c:pt>
                <c:pt idx="2835">
                  <c:v>47268</c:v>
                </c:pt>
                <c:pt idx="2836">
                  <c:v>47269</c:v>
                </c:pt>
                <c:pt idx="2837">
                  <c:v>47270</c:v>
                </c:pt>
                <c:pt idx="2838">
                  <c:v>47273</c:v>
                </c:pt>
                <c:pt idx="2839">
                  <c:v>47274</c:v>
                </c:pt>
                <c:pt idx="2840">
                  <c:v>47275</c:v>
                </c:pt>
                <c:pt idx="2841">
                  <c:v>47276</c:v>
                </c:pt>
                <c:pt idx="2842">
                  <c:v>47277</c:v>
                </c:pt>
                <c:pt idx="2843">
                  <c:v>47280</c:v>
                </c:pt>
                <c:pt idx="2844">
                  <c:v>47281</c:v>
                </c:pt>
                <c:pt idx="2845">
                  <c:v>47282</c:v>
                </c:pt>
                <c:pt idx="2846">
                  <c:v>47283</c:v>
                </c:pt>
                <c:pt idx="2847">
                  <c:v>47284</c:v>
                </c:pt>
                <c:pt idx="2848">
                  <c:v>47287</c:v>
                </c:pt>
                <c:pt idx="2849">
                  <c:v>47288</c:v>
                </c:pt>
                <c:pt idx="2850">
                  <c:v>47289</c:v>
                </c:pt>
                <c:pt idx="2851">
                  <c:v>47290</c:v>
                </c:pt>
                <c:pt idx="2852">
                  <c:v>47291</c:v>
                </c:pt>
                <c:pt idx="2853">
                  <c:v>47294</c:v>
                </c:pt>
                <c:pt idx="2854">
                  <c:v>47295</c:v>
                </c:pt>
                <c:pt idx="2855">
                  <c:v>47296</c:v>
                </c:pt>
                <c:pt idx="2856">
                  <c:v>47297</c:v>
                </c:pt>
                <c:pt idx="2857">
                  <c:v>47298</c:v>
                </c:pt>
                <c:pt idx="2858">
                  <c:v>47301</c:v>
                </c:pt>
                <c:pt idx="2859">
                  <c:v>47302</c:v>
                </c:pt>
                <c:pt idx="2860">
                  <c:v>47303</c:v>
                </c:pt>
                <c:pt idx="2861">
                  <c:v>47304</c:v>
                </c:pt>
                <c:pt idx="2862">
                  <c:v>47305</c:v>
                </c:pt>
                <c:pt idx="2863">
                  <c:v>47308</c:v>
                </c:pt>
                <c:pt idx="2864">
                  <c:v>47309</c:v>
                </c:pt>
                <c:pt idx="2865">
                  <c:v>47310</c:v>
                </c:pt>
                <c:pt idx="2866">
                  <c:v>47311</c:v>
                </c:pt>
                <c:pt idx="2867">
                  <c:v>47312</c:v>
                </c:pt>
                <c:pt idx="2868">
                  <c:v>47315</c:v>
                </c:pt>
                <c:pt idx="2869">
                  <c:v>47316</c:v>
                </c:pt>
                <c:pt idx="2870">
                  <c:v>47317</c:v>
                </c:pt>
                <c:pt idx="2871">
                  <c:v>47318</c:v>
                </c:pt>
                <c:pt idx="2872">
                  <c:v>47319</c:v>
                </c:pt>
                <c:pt idx="2873">
                  <c:v>47322</c:v>
                </c:pt>
                <c:pt idx="2874">
                  <c:v>47323</c:v>
                </c:pt>
                <c:pt idx="2875">
                  <c:v>47324</c:v>
                </c:pt>
                <c:pt idx="2876">
                  <c:v>47325</c:v>
                </c:pt>
                <c:pt idx="2877">
                  <c:v>47326</c:v>
                </c:pt>
                <c:pt idx="2878">
                  <c:v>47329</c:v>
                </c:pt>
                <c:pt idx="2879">
                  <c:v>47330</c:v>
                </c:pt>
                <c:pt idx="2880">
                  <c:v>47331</c:v>
                </c:pt>
                <c:pt idx="2881">
                  <c:v>47332</c:v>
                </c:pt>
                <c:pt idx="2882">
                  <c:v>47333</c:v>
                </c:pt>
                <c:pt idx="2883">
                  <c:v>47336</c:v>
                </c:pt>
                <c:pt idx="2884">
                  <c:v>47337</c:v>
                </c:pt>
                <c:pt idx="2885">
                  <c:v>47338</c:v>
                </c:pt>
                <c:pt idx="2886">
                  <c:v>47339</c:v>
                </c:pt>
                <c:pt idx="2887">
                  <c:v>47340</c:v>
                </c:pt>
                <c:pt idx="2888">
                  <c:v>47343</c:v>
                </c:pt>
                <c:pt idx="2889">
                  <c:v>47344</c:v>
                </c:pt>
                <c:pt idx="2890">
                  <c:v>47345</c:v>
                </c:pt>
                <c:pt idx="2891">
                  <c:v>47346</c:v>
                </c:pt>
                <c:pt idx="2892">
                  <c:v>47347</c:v>
                </c:pt>
                <c:pt idx="2893">
                  <c:v>47350</c:v>
                </c:pt>
                <c:pt idx="2894">
                  <c:v>47351</c:v>
                </c:pt>
                <c:pt idx="2895">
                  <c:v>47352</c:v>
                </c:pt>
                <c:pt idx="2896">
                  <c:v>47353</c:v>
                </c:pt>
                <c:pt idx="2897">
                  <c:v>47354</c:v>
                </c:pt>
                <c:pt idx="2898">
                  <c:v>47357</c:v>
                </c:pt>
                <c:pt idx="2899">
                  <c:v>47358</c:v>
                </c:pt>
                <c:pt idx="2900">
                  <c:v>47359</c:v>
                </c:pt>
                <c:pt idx="2901">
                  <c:v>47360</c:v>
                </c:pt>
                <c:pt idx="2902">
                  <c:v>47361</c:v>
                </c:pt>
                <c:pt idx="2903">
                  <c:v>47364</c:v>
                </c:pt>
                <c:pt idx="2904">
                  <c:v>47365</c:v>
                </c:pt>
                <c:pt idx="2905">
                  <c:v>47366</c:v>
                </c:pt>
                <c:pt idx="2906">
                  <c:v>47367</c:v>
                </c:pt>
                <c:pt idx="2907">
                  <c:v>47368</c:v>
                </c:pt>
                <c:pt idx="2908">
                  <c:v>47371</c:v>
                </c:pt>
                <c:pt idx="2909">
                  <c:v>47372</c:v>
                </c:pt>
                <c:pt idx="2910">
                  <c:v>47373</c:v>
                </c:pt>
                <c:pt idx="2911">
                  <c:v>47374</c:v>
                </c:pt>
                <c:pt idx="2912">
                  <c:v>47375</c:v>
                </c:pt>
                <c:pt idx="2913">
                  <c:v>47378</c:v>
                </c:pt>
                <c:pt idx="2914">
                  <c:v>47379</c:v>
                </c:pt>
                <c:pt idx="2915">
                  <c:v>47380</c:v>
                </c:pt>
                <c:pt idx="2916">
                  <c:v>47381</c:v>
                </c:pt>
                <c:pt idx="2917">
                  <c:v>47382</c:v>
                </c:pt>
                <c:pt idx="2918">
                  <c:v>47385</c:v>
                </c:pt>
                <c:pt idx="2919">
                  <c:v>47386</c:v>
                </c:pt>
                <c:pt idx="2920">
                  <c:v>47387</c:v>
                </c:pt>
                <c:pt idx="2921">
                  <c:v>47388</c:v>
                </c:pt>
                <c:pt idx="2922">
                  <c:v>47389</c:v>
                </c:pt>
                <c:pt idx="2923">
                  <c:v>47392</c:v>
                </c:pt>
                <c:pt idx="2924">
                  <c:v>47393</c:v>
                </c:pt>
                <c:pt idx="2925">
                  <c:v>47394</c:v>
                </c:pt>
                <c:pt idx="2926">
                  <c:v>47395</c:v>
                </c:pt>
                <c:pt idx="2927">
                  <c:v>47396</c:v>
                </c:pt>
                <c:pt idx="2928">
                  <c:v>47399</c:v>
                </c:pt>
                <c:pt idx="2929">
                  <c:v>47400</c:v>
                </c:pt>
                <c:pt idx="2930">
                  <c:v>47401</c:v>
                </c:pt>
                <c:pt idx="2931">
                  <c:v>47402</c:v>
                </c:pt>
                <c:pt idx="2932">
                  <c:v>47403</c:v>
                </c:pt>
                <c:pt idx="2933">
                  <c:v>47406</c:v>
                </c:pt>
                <c:pt idx="2934">
                  <c:v>47407</c:v>
                </c:pt>
                <c:pt idx="2935">
                  <c:v>47408</c:v>
                </c:pt>
                <c:pt idx="2936">
                  <c:v>47409</c:v>
                </c:pt>
                <c:pt idx="2937">
                  <c:v>47410</c:v>
                </c:pt>
                <c:pt idx="2938">
                  <c:v>47413</c:v>
                </c:pt>
                <c:pt idx="2939">
                  <c:v>47414</c:v>
                </c:pt>
                <c:pt idx="2940">
                  <c:v>47415</c:v>
                </c:pt>
                <c:pt idx="2941">
                  <c:v>47416</c:v>
                </c:pt>
                <c:pt idx="2942">
                  <c:v>47417</c:v>
                </c:pt>
                <c:pt idx="2943">
                  <c:v>47420</c:v>
                </c:pt>
                <c:pt idx="2944">
                  <c:v>47421</c:v>
                </c:pt>
                <c:pt idx="2945">
                  <c:v>47422</c:v>
                </c:pt>
                <c:pt idx="2946">
                  <c:v>47423</c:v>
                </c:pt>
                <c:pt idx="2947">
                  <c:v>47424</c:v>
                </c:pt>
                <c:pt idx="2948">
                  <c:v>47427</c:v>
                </c:pt>
                <c:pt idx="2949">
                  <c:v>47428</c:v>
                </c:pt>
                <c:pt idx="2950">
                  <c:v>47429</c:v>
                </c:pt>
                <c:pt idx="2951">
                  <c:v>47430</c:v>
                </c:pt>
                <c:pt idx="2952">
                  <c:v>47431</c:v>
                </c:pt>
                <c:pt idx="2953">
                  <c:v>47434</c:v>
                </c:pt>
                <c:pt idx="2954">
                  <c:v>47435</c:v>
                </c:pt>
                <c:pt idx="2955">
                  <c:v>47436</c:v>
                </c:pt>
                <c:pt idx="2956">
                  <c:v>47437</c:v>
                </c:pt>
                <c:pt idx="2957">
                  <c:v>47438</c:v>
                </c:pt>
                <c:pt idx="2958">
                  <c:v>47441</c:v>
                </c:pt>
                <c:pt idx="2959">
                  <c:v>47442</c:v>
                </c:pt>
                <c:pt idx="2960">
                  <c:v>47443</c:v>
                </c:pt>
                <c:pt idx="2961">
                  <c:v>47444</c:v>
                </c:pt>
                <c:pt idx="2962">
                  <c:v>47445</c:v>
                </c:pt>
                <c:pt idx="2963">
                  <c:v>47448</c:v>
                </c:pt>
                <c:pt idx="2964">
                  <c:v>47449</c:v>
                </c:pt>
                <c:pt idx="2965">
                  <c:v>47450</c:v>
                </c:pt>
                <c:pt idx="2966">
                  <c:v>47451</c:v>
                </c:pt>
                <c:pt idx="2967">
                  <c:v>47452</c:v>
                </c:pt>
                <c:pt idx="2968">
                  <c:v>47455</c:v>
                </c:pt>
                <c:pt idx="2969">
                  <c:v>47456</c:v>
                </c:pt>
                <c:pt idx="2970">
                  <c:v>47457</c:v>
                </c:pt>
                <c:pt idx="2971">
                  <c:v>47458</c:v>
                </c:pt>
                <c:pt idx="2972">
                  <c:v>47459</c:v>
                </c:pt>
                <c:pt idx="2973">
                  <c:v>47462</c:v>
                </c:pt>
                <c:pt idx="2974">
                  <c:v>47463</c:v>
                </c:pt>
                <c:pt idx="2975">
                  <c:v>47464</c:v>
                </c:pt>
                <c:pt idx="2976">
                  <c:v>47465</c:v>
                </c:pt>
                <c:pt idx="2977">
                  <c:v>47466</c:v>
                </c:pt>
                <c:pt idx="2978">
                  <c:v>47469</c:v>
                </c:pt>
                <c:pt idx="2979">
                  <c:v>47470</c:v>
                </c:pt>
                <c:pt idx="2980">
                  <c:v>47471</c:v>
                </c:pt>
                <c:pt idx="2981">
                  <c:v>47472</c:v>
                </c:pt>
                <c:pt idx="2982">
                  <c:v>47473</c:v>
                </c:pt>
                <c:pt idx="2983">
                  <c:v>47476</c:v>
                </c:pt>
                <c:pt idx="2984">
                  <c:v>47479</c:v>
                </c:pt>
                <c:pt idx="2985">
                  <c:v>47480</c:v>
                </c:pt>
                <c:pt idx="2986">
                  <c:v>47483</c:v>
                </c:pt>
                <c:pt idx="2987">
                  <c:v>47485</c:v>
                </c:pt>
                <c:pt idx="2988">
                  <c:v>47486</c:v>
                </c:pt>
                <c:pt idx="2989">
                  <c:v>47487</c:v>
                </c:pt>
                <c:pt idx="2990">
                  <c:v>47490</c:v>
                </c:pt>
                <c:pt idx="2991">
                  <c:v>47491</c:v>
                </c:pt>
                <c:pt idx="2992">
                  <c:v>47492</c:v>
                </c:pt>
                <c:pt idx="2993">
                  <c:v>47493</c:v>
                </c:pt>
                <c:pt idx="2994">
                  <c:v>47494</c:v>
                </c:pt>
                <c:pt idx="2995">
                  <c:v>47497</c:v>
                </c:pt>
                <c:pt idx="2996">
                  <c:v>47498</c:v>
                </c:pt>
                <c:pt idx="2997">
                  <c:v>47499</c:v>
                </c:pt>
                <c:pt idx="2998">
                  <c:v>47500</c:v>
                </c:pt>
                <c:pt idx="2999">
                  <c:v>47501</c:v>
                </c:pt>
                <c:pt idx="3000">
                  <c:v>47504</c:v>
                </c:pt>
                <c:pt idx="3001">
                  <c:v>47505</c:v>
                </c:pt>
                <c:pt idx="3002">
                  <c:v>47506</c:v>
                </c:pt>
                <c:pt idx="3003">
                  <c:v>47507</c:v>
                </c:pt>
                <c:pt idx="3004">
                  <c:v>47508</c:v>
                </c:pt>
                <c:pt idx="3005">
                  <c:v>47511</c:v>
                </c:pt>
                <c:pt idx="3006">
                  <c:v>47512</c:v>
                </c:pt>
                <c:pt idx="3007">
                  <c:v>47513</c:v>
                </c:pt>
                <c:pt idx="3008">
                  <c:v>47514</c:v>
                </c:pt>
                <c:pt idx="3009">
                  <c:v>47515</c:v>
                </c:pt>
                <c:pt idx="3010">
                  <c:v>47518</c:v>
                </c:pt>
                <c:pt idx="3011">
                  <c:v>47519</c:v>
                </c:pt>
                <c:pt idx="3012">
                  <c:v>47520</c:v>
                </c:pt>
                <c:pt idx="3013">
                  <c:v>47521</c:v>
                </c:pt>
                <c:pt idx="3014">
                  <c:v>47522</c:v>
                </c:pt>
                <c:pt idx="3015">
                  <c:v>47525</c:v>
                </c:pt>
                <c:pt idx="3016">
                  <c:v>47526</c:v>
                </c:pt>
                <c:pt idx="3017">
                  <c:v>47527</c:v>
                </c:pt>
                <c:pt idx="3018">
                  <c:v>47528</c:v>
                </c:pt>
                <c:pt idx="3019">
                  <c:v>47529</c:v>
                </c:pt>
                <c:pt idx="3020">
                  <c:v>47532</c:v>
                </c:pt>
                <c:pt idx="3021">
                  <c:v>47533</c:v>
                </c:pt>
                <c:pt idx="3022">
                  <c:v>47534</c:v>
                </c:pt>
                <c:pt idx="3023">
                  <c:v>47535</c:v>
                </c:pt>
                <c:pt idx="3024">
                  <c:v>47536</c:v>
                </c:pt>
                <c:pt idx="3025">
                  <c:v>47539</c:v>
                </c:pt>
                <c:pt idx="3026">
                  <c:v>47540</c:v>
                </c:pt>
                <c:pt idx="3027">
                  <c:v>47541</c:v>
                </c:pt>
                <c:pt idx="3028">
                  <c:v>47542</c:v>
                </c:pt>
                <c:pt idx="3029">
                  <c:v>47543</c:v>
                </c:pt>
                <c:pt idx="3030">
                  <c:v>47546</c:v>
                </c:pt>
                <c:pt idx="3031">
                  <c:v>47547</c:v>
                </c:pt>
                <c:pt idx="3032">
                  <c:v>47548</c:v>
                </c:pt>
                <c:pt idx="3033">
                  <c:v>47549</c:v>
                </c:pt>
                <c:pt idx="3034">
                  <c:v>47550</c:v>
                </c:pt>
                <c:pt idx="3035">
                  <c:v>47553</c:v>
                </c:pt>
                <c:pt idx="3036">
                  <c:v>47554</c:v>
                </c:pt>
                <c:pt idx="3037">
                  <c:v>47555</c:v>
                </c:pt>
                <c:pt idx="3038">
                  <c:v>47556</c:v>
                </c:pt>
                <c:pt idx="3039">
                  <c:v>47557</c:v>
                </c:pt>
                <c:pt idx="3040">
                  <c:v>47560</c:v>
                </c:pt>
                <c:pt idx="3041">
                  <c:v>47561</c:v>
                </c:pt>
                <c:pt idx="3042">
                  <c:v>47562</c:v>
                </c:pt>
                <c:pt idx="3043">
                  <c:v>47563</c:v>
                </c:pt>
                <c:pt idx="3044">
                  <c:v>47564</c:v>
                </c:pt>
                <c:pt idx="3045">
                  <c:v>47567</c:v>
                </c:pt>
                <c:pt idx="3046">
                  <c:v>47568</c:v>
                </c:pt>
                <c:pt idx="3047">
                  <c:v>47569</c:v>
                </c:pt>
                <c:pt idx="3048">
                  <c:v>47570</c:v>
                </c:pt>
                <c:pt idx="3049">
                  <c:v>47571</c:v>
                </c:pt>
                <c:pt idx="3050">
                  <c:v>47574</c:v>
                </c:pt>
                <c:pt idx="3051">
                  <c:v>47575</c:v>
                </c:pt>
                <c:pt idx="3052">
                  <c:v>47576</c:v>
                </c:pt>
                <c:pt idx="3053">
                  <c:v>47577</c:v>
                </c:pt>
                <c:pt idx="3054">
                  <c:v>47578</c:v>
                </c:pt>
                <c:pt idx="3055">
                  <c:v>47581</c:v>
                </c:pt>
                <c:pt idx="3056">
                  <c:v>47582</c:v>
                </c:pt>
                <c:pt idx="3057">
                  <c:v>47583</c:v>
                </c:pt>
                <c:pt idx="3058">
                  <c:v>47584</c:v>
                </c:pt>
                <c:pt idx="3059">
                  <c:v>47585</c:v>
                </c:pt>
                <c:pt idx="3060">
                  <c:v>47588</c:v>
                </c:pt>
                <c:pt idx="3061">
                  <c:v>47589</c:v>
                </c:pt>
                <c:pt idx="3062">
                  <c:v>47590</c:v>
                </c:pt>
                <c:pt idx="3063">
                  <c:v>47591</c:v>
                </c:pt>
                <c:pt idx="3064">
                  <c:v>47596</c:v>
                </c:pt>
                <c:pt idx="3065">
                  <c:v>47597</c:v>
                </c:pt>
                <c:pt idx="3066">
                  <c:v>47598</c:v>
                </c:pt>
                <c:pt idx="3067">
                  <c:v>47599</c:v>
                </c:pt>
                <c:pt idx="3068">
                  <c:v>47602</c:v>
                </c:pt>
                <c:pt idx="3069">
                  <c:v>47603</c:v>
                </c:pt>
                <c:pt idx="3070">
                  <c:v>47605</c:v>
                </c:pt>
                <c:pt idx="3071">
                  <c:v>47606</c:v>
                </c:pt>
                <c:pt idx="3072">
                  <c:v>47609</c:v>
                </c:pt>
                <c:pt idx="3073">
                  <c:v>47610</c:v>
                </c:pt>
                <c:pt idx="3074">
                  <c:v>47611</c:v>
                </c:pt>
                <c:pt idx="3075">
                  <c:v>47612</c:v>
                </c:pt>
                <c:pt idx="3076">
                  <c:v>47613</c:v>
                </c:pt>
                <c:pt idx="3077">
                  <c:v>47616</c:v>
                </c:pt>
                <c:pt idx="3078">
                  <c:v>47617</c:v>
                </c:pt>
                <c:pt idx="3079">
                  <c:v>47618</c:v>
                </c:pt>
                <c:pt idx="3080">
                  <c:v>47619</c:v>
                </c:pt>
                <c:pt idx="3081">
                  <c:v>47620</c:v>
                </c:pt>
                <c:pt idx="3082">
                  <c:v>47623</c:v>
                </c:pt>
                <c:pt idx="3083">
                  <c:v>47624</c:v>
                </c:pt>
                <c:pt idx="3084">
                  <c:v>47625</c:v>
                </c:pt>
                <c:pt idx="3085">
                  <c:v>47626</c:v>
                </c:pt>
                <c:pt idx="3086">
                  <c:v>47627</c:v>
                </c:pt>
                <c:pt idx="3087">
                  <c:v>47630</c:v>
                </c:pt>
                <c:pt idx="3088">
                  <c:v>47631</c:v>
                </c:pt>
                <c:pt idx="3089">
                  <c:v>47632</c:v>
                </c:pt>
                <c:pt idx="3090">
                  <c:v>47633</c:v>
                </c:pt>
                <c:pt idx="3091">
                  <c:v>47634</c:v>
                </c:pt>
                <c:pt idx="3092">
                  <c:v>47637</c:v>
                </c:pt>
                <c:pt idx="3093">
                  <c:v>47638</c:v>
                </c:pt>
                <c:pt idx="3094">
                  <c:v>47639</c:v>
                </c:pt>
                <c:pt idx="3095">
                  <c:v>47640</c:v>
                </c:pt>
                <c:pt idx="3096">
                  <c:v>47641</c:v>
                </c:pt>
                <c:pt idx="3097">
                  <c:v>47644</c:v>
                </c:pt>
                <c:pt idx="3098">
                  <c:v>47645</c:v>
                </c:pt>
                <c:pt idx="3099">
                  <c:v>47646</c:v>
                </c:pt>
                <c:pt idx="3100">
                  <c:v>47647</c:v>
                </c:pt>
                <c:pt idx="3101">
                  <c:v>47648</c:v>
                </c:pt>
                <c:pt idx="3102">
                  <c:v>47651</c:v>
                </c:pt>
                <c:pt idx="3103">
                  <c:v>47652</c:v>
                </c:pt>
                <c:pt idx="3104">
                  <c:v>47653</c:v>
                </c:pt>
                <c:pt idx="3105">
                  <c:v>47654</c:v>
                </c:pt>
                <c:pt idx="3106">
                  <c:v>47655</c:v>
                </c:pt>
                <c:pt idx="3107">
                  <c:v>47658</c:v>
                </c:pt>
                <c:pt idx="3108">
                  <c:v>47659</c:v>
                </c:pt>
                <c:pt idx="3109">
                  <c:v>47660</c:v>
                </c:pt>
                <c:pt idx="3110">
                  <c:v>47661</c:v>
                </c:pt>
                <c:pt idx="3111">
                  <c:v>47662</c:v>
                </c:pt>
                <c:pt idx="3112">
                  <c:v>47665</c:v>
                </c:pt>
                <c:pt idx="3113">
                  <c:v>47666</c:v>
                </c:pt>
                <c:pt idx="3114">
                  <c:v>47667</c:v>
                </c:pt>
                <c:pt idx="3115">
                  <c:v>47668</c:v>
                </c:pt>
                <c:pt idx="3116">
                  <c:v>47669</c:v>
                </c:pt>
                <c:pt idx="3117">
                  <c:v>47672</c:v>
                </c:pt>
                <c:pt idx="3118">
                  <c:v>47673</c:v>
                </c:pt>
                <c:pt idx="3119">
                  <c:v>47674</c:v>
                </c:pt>
                <c:pt idx="3120">
                  <c:v>47675</c:v>
                </c:pt>
                <c:pt idx="3121">
                  <c:v>47676</c:v>
                </c:pt>
                <c:pt idx="3122">
                  <c:v>47679</c:v>
                </c:pt>
                <c:pt idx="3123">
                  <c:v>47680</c:v>
                </c:pt>
                <c:pt idx="3124">
                  <c:v>47681</c:v>
                </c:pt>
                <c:pt idx="3125">
                  <c:v>47682</c:v>
                </c:pt>
                <c:pt idx="3126">
                  <c:v>47683</c:v>
                </c:pt>
                <c:pt idx="3127">
                  <c:v>47686</c:v>
                </c:pt>
                <c:pt idx="3128">
                  <c:v>47687</c:v>
                </c:pt>
                <c:pt idx="3129">
                  <c:v>47688</c:v>
                </c:pt>
                <c:pt idx="3130">
                  <c:v>47689</c:v>
                </c:pt>
                <c:pt idx="3131">
                  <c:v>47690</c:v>
                </c:pt>
                <c:pt idx="3132">
                  <c:v>47693</c:v>
                </c:pt>
                <c:pt idx="3133">
                  <c:v>47694</c:v>
                </c:pt>
                <c:pt idx="3134">
                  <c:v>47695</c:v>
                </c:pt>
                <c:pt idx="3135">
                  <c:v>47696</c:v>
                </c:pt>
                <c:pt idx="3136">
                  <c:v>47697</c:v>
                </c:pt>
                <c:pt idx="3137">
                  <c:v>47700</c:v>
                </c:pt>
                <c:pt idx="3138">
                  <c:v>47701</c:v>
                </c:pt>
                <c:pt idx="3139">
                  <c:v>47702</c:v>
                </c:pt>
                <c:pt idx="3140">
                  <c:v>47703</c:v>
                </c:pt>
                <c:pt idx="3141">
                  <c:v>47704</c:v>
                </c:pt>
                <c:pt idx="3142">
                  <c:v>47707</c:v>
                </c:pt>
                <c:pt idx="3143">
                  <c:v>47708</c:v>
                </c:pt>
                <c:pt idx="3144">
                  <c:v>47709</c:v>
                </c:pt>
                <c:pt idx="3145">
                  <c:v>47710</c:v>
                </c:pt>
                <c:pt idx="3146">
                  <c:v>47711</c:v>
                </c:pt>
                <c:pt idx="3147">
                  <c:v>47714</c:v>
                </c:pt>
                <c:pt idx="3148">
                  <c:v>47715</c:v>
                </c:pt>
                <c:pt idx="3149">
                  <c:v>47716</c:v>
                </c:pt>
                <c:pt idx="3150">
                  <c:v>47717</c:v>
                </c:pt>
                <c:pt idx="3151">
                  <c:v>47718</c:v>
                </c:pt>
                <c:pt idx="3152">
                  <c:v>47721</c:v>
                </c:pt>
                <c:pt idx="3153">
                  <c:v>47722</c:v>
                </c:pt>
                <c:pt idx="3154">
                  <c:v>47723</c:v>
                </c:pt>
                <c:pt idx="3155">
                  <c:v>47724</c:v>
                </c:pt>
                <c:pt idx="3156">
                  <c:v>47725</c:v>
                </c:pt>
                <c:pt idx="3157">
                  <c:v>47728</c:v>
                </c:pt>
                <c:pt idx="3158">
                  <c:v>47729</c:v>
                </c:pt>
                <c:pt idx="3159">
                  <c:v>47730</c:v>
                </c:pt>
                <c:pt idx="3160">
                  <c:v>47731</c:v>
                </c:pt>
                <c:pt idx="3161">
                  <c:v>47732</c:v>
                </c:pt>
                <c:pt idx="3162">
                  <c:v>47735</c:v>
                </c:pt>
                <c:pt idx="3163">
                  <c:v>47736</c:v>
                </c:pt>
                <c:pt idx="3164">
                  <c:v>47737</c:v>
                </c:pt>
                <c:pt idx="3165">
                  <c:v>47738</c:v>
                </c:pt>
                <c:pt idx="3166">
                  <c:v>47739</c:v>
                </c:pt>
                <c:pt idx="3167">
                  <c:v>47742</c:v>
                </c:pt>
                <c:pt idx="3168">
                  <c:v>47743</c:v>
                </c:pt>
                <c:pt idx="3169">
                  <c:v>47744</c:v>
                </c:pt>
                <c:pt idx="3170">
                  <c:v>47745</c:v>
                </c:pt>
                <c:pt idx="3171">
                  <c:v>47746</c:v>
                </c:pt>
                <c:pt idx="3172">
                  <c:v>47749</c:v>
                </c:pt>
                <c:pt idx="3173">
                  <c:v>47750</c:v>
                </c:pt>
                <c:pt idx="3174">
                  <c:v>47751</c:v>
                </c:pt>
                <c:pt idx="3175">
                  <c:v>47752</c:v>
                </c:pt>
                <c:pt idx="3176">
                  <c:v>47753</c:v>
                </c:pt>
                <c:pt idx="3177">
                  <c:v>47756</c:v>
                </c:pt>
                <c:pt idx="3178">
                  <c:v>47757</c:v>
                </c:pt>
                <c:pt idx="3179">
                  <c:v>47758</c:v>
                </c:pt>
                <c:pt idx="3180">
                  <c:v>47759</c:v>
                </c:pt>
                <c:pt idx="3181">
                  <c:v>47760</c:v>
                </c:pt>
                <c:pt idx="3182">
                  <c:v>47763</c:v>
                </c:pt>
                <c:pt idx="3183">
                  <c:v>47764</c:v>
                </c:pt>
                <c:pt idx="3184">
                  <c:v>47765</c:v>
                </c:pt>
                <c:pt idx="3185">
                  <c:v>47766</c:v>
                </c:pt>
                <c:pt idx="3186">
                  <c:v>47767</c:v>
                </c:pt>
                <c:pt idx="3187">
                  <c:v>47770</c:v>
                </c:pt>
                <c:pt idx="3188">
                  <c:v>47771</c:v>
                </c:pt>
                <c:pt idx="3189">
                  <c:v>47772</c:v>
                </c:pt>
                <c:pt idx="3190">
                  <c:v>47773</c:v>
                </c:pt>
                <c:pt idx="3191">
                  <c:v>47774</c:v>
                </c:pt>
                <c:pt idx="3192">
                  <c:v>47777</c:v>
                </c:pt>
                <c:pt idx="3193">
                  <c:v>47778</c:v>
                </c:pt>
                <c:pt idx="3194">
                  <c:v>47779</c:v>
                </c:pt>
                <c:pt idx="3195">
                  <c:v>47780</c:v>
                </c:pt>
                <c:pt idx="3196">
                  <c:v>47781</c:v>
                </c:pt>
                <c:pt idx="3197">
                  <c:v>47784</c:v>
                </c:pt>
                <c:pt idx="3198">
                  <c:v>47785</c:v>
                </c:pt>
                <c:pt idx="3199">
                  <c:v>47786</c:v>
                </c:pt>
                <c:pt idx="3200">
                  <c:v>47787</c:v>
                </c:pt>
                <c:pt idx="3201">
                  <c:v>47788</c:v>
                </c:pt>
                <c:pt idx="3202">
                  <c:v>47791</c:v>
                </c:pt>
                <c:pt idx="3203">
                  <c:v>47792</c:v>
                </c:pt>
                <c:pt idx="3204">
                  <c:v>47793</c:v>
                </c:pt>
                <c:pt idx="3205">
                  <c:v>47794</c:v>
                </c:pt>
                <c:pt idx="3206">
                  <c:v>47795</c:v>
                </c:pt>
                <c:pt idx="3207">
                  <c:v>47798</c:v>
                </c:pt>
                <c:pt idx="3208">
                  <c:v>47799</c:v>
                </c:pt>
                <c:pt idx="3209">
                  <c:v>47800</c:v>
                </c:pt>
                <c:pt idx="3210">
                  <c:v>47801</c:v>
                </c:pt>
                <c:pt idx="3211">
                  <c:v>47802</c:v>
                </c:pt>
                <c:pt idx="3212">
                  <c:v>47805</c:v>
                </c:pt>
                <c:pt idx="3213">
                  <c:v>47806</c:v>
                </c:pt>
                <c:pt idx="3214">
                  <c:v>47807</c:v>
                </c:pt>
                <c:pt idx="3215">
                  <c:v>47808</c:v>
                </c:pt>
                <c:pt idx="3216">
                  <c:v>47809</c:v>
                </c:pt>
                <c:pt idx="3217">
                  <c:v>47812</c:v>
                </c:pt>
                <c:pt idx="3218">
                  <c:v>47813</c:v>
                </c:pt>
                <c:pt idx="3219">
                  <c:v>47814</c:v>
                </c:pt>
                <c:pt idx="3220">
                  <c:v>47815</c:v>
                </c:pt>
                <c:pt idx="3221">
                  <c:v>47816</c:v>
                </c:pt>
                <c:pt idx="3222">
                  <c:v>47819</c:v>
                </c:pt>
                <c:pt idx="3223">
                  <c:v>47820</c:v>
                </c:pt>
                <c:pt idx="3224">
                  <c:v>47821</c:v>
                </c:pt>
                <c:pt idx="3225">
                  <c:v>47822</c:v>
                </c:pt>
                <c:pt idx="3226">
                  <c:v>47823</c:v>
                </c:pt>
                <c:pt idx="3227">
                  <c:v>47826</c:v>
                </c:pt>
                <c:pt idx="3228">
                  <c:v>47827</c:v>
                </c:pt>
                <c:pt idx="3229">
                  <c:v>47828</c:v>
                </c:pt>
                <c:pt idx="3230">
                  <c:v>47829</c:v>
                </c:pt>
                <c:pt idx="3231">
                  <c:v>47830</c:v>
                </c:pt>
                <c:pt idx="3232">
                  <c:v>47833</c:v>
                </c:pt>
                <c:pt idx="3233">
                  <c:v>47834</c:v>
                </c:pt>
                <c:pt idx="3234">
                  <c:v>47835</c:v>
                </c:pt>
                <c:pt idx="3235">
                  <c:v>47836</c:v>
                </c:pt>
                <c:pt idx="3236">
                  <c:v>47837</c:v>
                </c:pt>
                <c:pt idx="3237">
                  <c:v>47840</c:v>
                </c:pt>
                <c:pt idx="3238">
                  <c:v>47841</c:v>
                </c:pt>
                <c:pt idx="3239">
                  <c:v>47844</c:v>
                </c:pt>
                <c:pt idx="3240">
                  <c:v>47847</c:v>
                </c:pt>
                <c:pt idx="3241">
                  <c:v>47848</c:v>
                </c:pt>
                <c:pt idx="3242">
                  <c:v>47850</c:v>
                </c:pt>
                <c:pt idx="3243">
                  <c:v>47851</c:v>
                </c:pt>
                <c:pt idx="3244">
                  <c:v>47854</c:v>
                </c:pt>
                <c:pt idx="3245">
                  <c:v>47855</c:v>
                </c:pt>
                <c:pt idx="3246">
                  <c:v>47856</c:v>
                </c:pt>
                <c:pt idx="3247">
                  <c:v>47857</c:v>
                </c:pt>
                <c:pt idx="3248">
                  <c:v>47858</c:v>
                </c:pt>
                <c:pt idx="3249">
                  <c:v>47861</c:v>
                </c:pt>
                <c:pt idx="3250">
                  <c:v>47862</c:v>
                </c:pt>
                <c:pt idx="3251">
                  <c:v>47863</c:v>
                </c:pt>
                <c:pt idx="3252">
                  <c:v>47864</c:v>
                </c:pt>
                <c:pt idx="3253">
                  <c:v>47865</c:v>
                </c:pt>
                <c:pt idx="3254">
                  <c:v>47868</c:v>
                </c:pt>
                <c:pt idx="3255">
                  <c:v>47869</c:v>
                </c:pt>
                <c:pt idx="3256">
                  <c:v>47870</c:v>
                </c:pt>
                <c:pt idx="3257">
                  <c:v>47871</c:v>
                </c:pt>
                <c:pt idx="3258">
                  <c:v>47872</c:v>
                </c:pt>
                <c:pt idx="3259">
                  <c:v>47875</c:v>
                </c:pt>
                <c:pt idx="3260">
                  <c:v>47876</c:v>
                </c:pt>
                <c:pt idx="3261">
                  <c:v>47877</c:v>
                </c:pt>
                <c:pt idx="3262">
                  <c:v>47878</c:v>
                </c:pt>
                <c:pt idx="3263">
                  <c:v>47879</c:v>
                </c:pt>
                <c:pt idx="3264">
                  <c:v>47882</c:v>
                </c:pt>
                <c:pt idx="3265">
                  <c:v>47883</c:v>
                </c:pt>
                <c:pt idx="3266">
                  <c:v>47884</c:v>
                </c:pt>
                <c:pt idx="3267">
                  <c:v>47885</c:v>
                </c:pt>
                <c:pt idx="3268">
                  <c:v>47886</c:v>
                </c:pt>
                <c:pt idx="3269">
                  <c:v>47889</c:v>
                </c:pt>
                <c:pt idx="3270">
                  <c:v>47890</c:v>
                </c:pt>
                <c:pt idx="3271">
                  <c:v>47891</c:v>
                </c:pt>
                <c:pt idx="3272">
                  <c:v>47892</c:v>
                </c:pt>
                <c:pt idx="3273">
                  <c:v>47893</c:v>
                </c:pt>
                <c:pt idx="3274">
                  <c:v>47896</c:v>
                </c:pt>
                <c:pt idx="3275">
                  <c:v>47897</c:v>
                </c:pt>
                <c:pt idx="3276">
                  <c:v>47898</c:v>
                </c:pt>
                <c:pt idx="3277">
                  <c:v>47899</c:v>
                </c:pt>
                <c:pt idx="3278">
                  <c:v>47900</c:v>
                </c:pt>
                <c:pt idx="3279">
                  <c:v>47903</c:v>
                </c:pt>
                <c:pt idx="3280">
                  <c:v>47904</c:v>
                </c:pt>
                <c:pt idx="3281">
                  <c:v>47905</c:v>
                </c:pt>
                <c:pt idx="3282">
                  <c:v>47906</c:v>
                </c:pt>
                <c:pt idx="3283">
                  <c:v>47907</c:v>
                </c:pt>
                <c:pt idx="3284">
                  <c:v>47910</c:v>
                </c:pt>
                <c:pt idx="3285">
                  <c:v>47911</c:v>
                </c:pt>
                <c:pt idx="3286">
                  <c:v>47912</c:v>
                </c:pt>
                <c:pt idx="3287">
                  <c:v>47913</c:v>
                </c:pt>
                <c:pt idx="3288">
                  <c:v>47914</c:v>
                </c:pt>
                <c:pt idx="3289">
                  <c:v>47917</c:v>
                </c:pt>
                <c:pt idx="3290">
                  <c:v>47918</c:v>
                </c:pt>
                <c:pt idx="3291">
                  <c:v>47919</c:v>
                </c:pt>
                <c:pt idx="3292">
                  <c:v>47920</c:v>
                </c:pt>
                <c:pt idx="3293">
                  <c:v>47921</c:v>
                </c:pt>
                <c:pt idx="3294">
                  <c:v>47924</c:v>
                </c:pt>
                <c:pt idx="3295">
                  <c:v>47925</c:v>
                </c:pt>
                <c:pt idx="3296">
                  <c:v>47926</c:v>
                </c:pt>
                <c:pt idx="3297">
                  <c:v>47927</c:v>
                </c:pt>
                <c:pt idx="3298">
                  <c:v>47928</c:v>
                </c:pt>
                <c:pt idx="3299">
                  <c:v>47931</c:v>
                </c:pt>
                <c:pt idx="3300">
                  <c:v>47932</c:v>
                </c:pt>
                <c:pt idx="3301">
                  <c:v>47933</c:v>
                </c:pt>
                <c:pt idx="3302">
                  <c:v>47934</c:v>
                </c:pt>
                <c:pt idx="3303">
                  <c:v>47935</c:v>
                </c:pt>
                <c:pt idx="3304">
                  <c:v>47938</c:v>
                </c:pt>
                <c:pt idx="3305">
                  <c:v>47939</c:v>
                </c:pt>
                <c:pt idx="3306">
                  <c:v>47940</c:v>
                </c:pt>
                <c:pt idx="3307">
                  <c:v>47941</c:v>
                </c:pt>
                <c:pt idx="3308">
                  <c:v>47942</c:v>
                </c:pt>
                <c:pt idx="3309">
                  <c:v>47945</c:v>
                </c:pt>
                <c:pt idx="3310">
                  <c:v>47946</c:v>
                </c:pt>
                <c:pt idx="3311">
                  <c:v>47947</c:v>
                </c:pt>
                <c:pt idx="3312">
                  <c:v>47948</c:v>
                </c:pt>
                <c:pt idx="3313">
                  <c:v>47953</c:v>
                </c:pt>
                <c:pt idx="3314">
                  <c:v>47954</c:v>
                </c:pt>
                <c:pt idx="3315">
                  <c:v>47955</c:v>
                </c:pt>
                <c:pt idx="3316">
                  <c:v>47956</c:v>
                </c:pt>
                <c:pt idx="3317">
                  <c:v>47959</c:v>
                </c:pt>
                <c:pt idx="3318">
                  <c:v>47960</c:v>
                </c:pt>
                <c:pt idx="3319">
                  <c:v>47961</c:v>
                </c:pt>
                <c:pt idx="3320">
                  <c:v>47962</c:v>
                </c:pt>
                <c:pt idx="3321">
                  <c:v>47963</c:v>
                </c:pt>
                <c:pt idx="3322">
                  <c:v>47966</c:v>
                </c:pt>
                <c:pt idx="3323">
                  <c:v>47967</c:v>
                </c:pt>
                <c:pt idx="3324">
                  <c:v>47968</c:v>
                </c:pt>
                <c:pt idx="3325">
                  <c:v>47970</c:v>
                </c:pt>
                <c:pt idx="3326">
                  <c:v>47973</c:v>
                </c:pt>
                <c:pt idx="3327">
                  <c:v>47974</c:v>
                </c:pt>
                <c:pt idx="3328">
                  <c:v>47975</c:v>
                </c:pt>
                <c:pt idx="3329">
                  <c:v>47976</c:v>
                </c:pt>
                <c:pt idx="3330">
                  <c:v>47977</c:v>
                </c:pt>
                <c:pt idx="3331">
                  <c:v>47980</c:v>
                </c:pt>
                <c:pt idx="3332">
                  <c:v>47981</c:v>
                </c:pt>
                <c:pt idx="3333">
                  <c:v>47982</c:v>
                </c:pt>
                <c:pt idx="3334">
                  <c:v>47983</c:v>
                </c:pt>
                <c:pt idx="3335">
                  <c:v>47984</c:v>
                </c:pt>
                <c:pt idx="3336">
                  <c:v>47987</c:v>
                </c:pt>
                <c:pt idx="3337">
                  <c:v>47988</c:v>
                </c:pt>
                <c:pt idx="3338">
                  <c:v>47989</c:v>
                </c:pt>
                <c:pt idx="3339">
                  <c:v>47990</c:v>
                </c:pt>
                <c:pt idx="3340">
                  <c:v>47991</c:v>
                </c:pt>
                <c:pt idx="3341">
                  <c:v>47994</c:v>
                </c:pt>
                <c:pt idx="3342">
                  <c:v>47995</c:v>
                </c:pt>
                <c:pt idx="3343">
                  <c:v>47996</c:v>
                </c:pt>
                <c:pt idx="3344">
                  <c:v>47997</c:v>
                </c:pt>
                <c:pt idx="3345">
                  <c:v>47998</c:v>
                </c:pt>
                <c:pt idx="3346">
                  <c:v>48001</c:v>
                </c:pt>
                <c:pt idx="3347">
                  <c:v>48002</c:v>
                </c:pt>
                <c:pt idx="3348">
                  <c:v>48003</c:v>
                </c:pt>
                <c:pt idx="3349">
                  <c:v>48004</c:v>
                </c:pt>
                <c:pt idx="3350">
                  <c:v>48005</c:v>
                </c:pt>
                <c:pt idx="3351">
                  <c:v>48008</c:v>
                </c:pt>
                <c:pt idx="3352">
                  <c:v>48009</c:v>
                </c:pt>
                <c:pt idx="3353">
                  <c:v>48010</c:v>
                </c:pt>
                <c:pt idx="3354">
                  <c:v>48011</c:v>
                </c:pt>
                <c:pt idx="3355">
                  <c:v>48012</c:v>
                </c:pt>
                <c:pt idx="3356">
                  <c:v>48015</c:v>
                </c:pt>
                <c:pt idx="3357">
                  <c:v>48016</c:v>
                </c:pt>
                <c:pt idx="3358">
                  <c:v>48017</c:v>
                </c:pt>
                <c:pt idx="3359">
                  <c:v>48018</c:v>
                </c:pt>
                <c:pt idx="3360">
                  <c:v>48019</c:v>
                </c:pt>
                <c:pt idx="3361">
                  <c:v>48022</c:v>
                </c:pt>
                <c:pt idx="3362">
                  <c:v>48023</c:v>
                </c:pt>
                <c:pt idx="3363">
                  <c:v>48024</c:v>
                </c:pt>
                <c:pt idx="3364">
                  <c:v>48025</c:v>
                </c:pt>
                <c:pt idx="3365">
                  <c:v>48026</c:v>
                </c:pt>
                <c:pt idx="3366">
                  <c:v>48029</c:v>
                </c:pt>
                <c:pt idx="3367">
                  <c:v>48030</c:v>
                </c:pt>
                <c:pt idx="3368">
                  <c:v>48031</c:v>
                </c:pt>
                <c:pt idx="3369">
                  <c:v>48032</c:v>
                </c:pt>
                <c:pt idx="3370">
                  <c:v>48033</c:v>
                </c:pt>
                <c:pt idx="3371">
                  <c:v>48036</c:v>
                </c:pt>
                <c:pt idx="3372">
                  <c:v>48037</c:v>
                </c:pt>
                <c:pt idx="3373">
                  <c:v>48038</c:v>
                </c:pt>
                <c:pt idx="3374">
                  <c:v>48039</c:v>
                </c:pt>
                <c:pt idx="3375">
                  <c:v>48040</c:v>
                </c:pt>
                <c:pt idx="3376">
                  <c:v>48043</c:v>
                </c:pt>
                <c:pt idx="3377">
                  <c:v>48044</c:v>
                </c:pt>
                <c:pt idx="3378">
                  <c:v>48045</c:v>
                </c:pt>
                <c:pt idx="3379">
                  <c:v>48046</c:v>
                </c:pt>
                <c:pt idx="3380">
                  <c:v>48047</c:v>
                </c:pt>
                <c:pt idx="3381">
                  <c:v>48050</c:v>
                </c:pt>
                <c:pt idx="3382">
                  <c:v>48051</c:v>
                </c:pt>
                <c:pt idx="3383">
                  <c:v>48052</c:v>
                </c:pt>
                <c:pt idx="3384">
                  <c:v>48053</c:v>
                </c:pt>
                <c:pt idx="3385">
                  <c:v>48054</c:v>
                </c:pt>
                <c:pt idx="3386">
                  <c:v>48057</c:v>
                </c:pt>
                <c:pt idx="3387">
                  <c:v>48058</c:v>
                </c:pt>
                <c:pt idx="3388">
                  <c:v>48059</c:v>
                </c:pt>
                <c:pt idx="3389">
                  <c:v>48060</c:v>
                </c:pt>
                <c:pt idx="3390">
                  <c:v>48061</c:v>
                </c:pt>
                <c:pt idx="3391">
                  <c:v>48064</c:v>
                </c:pt>
                <c:pt idx="3392">
                  <c:v>48065</c:v>
                </c:pt>
                <c:pt idx="3393">
                  <c:v>48066</c:v>
                </c:pt>
                <c:pt idx="3394">
                  <c:v>48067</c:v>
                </c:pt>
                <c:pt idx="3395">
                  <c:v>48068</c:v>
                </c:pt>
                <c:pt idx="3396">
                  <c:v>48071</c:v>
                </c:pt>
                <c:pt idx="3397">
                  <c:v>48072</c:v>
                </c:pt>
                <c:pt idx="3398">
                  <c:v>48073</c:v>
                </c:pt>
                <c:pt idx="3399">
                  <c:v>48074</c:v>
                </c:pt>
                <c:pt idx="3400">
                  <c:v>48075</c:v>
                </c:pt>
                <c:pt idx="3401">
                  <c:v>48078</c:v>
                </c:pt>
                <c:pt idx="3402">
                  <c:v>48079</c:v>
                </c:pt>
                <c:pt idx="3403">
                  <c:v>48080</c:v>
                </c:pt>
                <c:pt idx="3404">
                  <c:v>48081</c:v>
                </c:pt>
                <c:pt idx="3405">
                  <c:v>48082</c:v>
                </c:pt>
                <c:pt idx="3406">
                  <c:v>48085</c:v>
                </c:pt>
                <c:pt idx="3407">
                  <c:v>48086</c:v>
                </c:pt>
                <c:pt idx="3408">
                  <c:v>48087</c:v>
                </c:pt>
                <c:pt idx="3409">
                  <c:v>48088</c:v>
                </c:pt>
                <c:pt idx="3410">
                  <c:v>48089</c:v>
                </c:pt>
                <c:pt idx="3411">
                  <c:v>48092</c:v>
                </c:pt>
                <c:pt idx="3412">
                  <c:v>48093</c:v>
                </c:pt>
                <c:pt idx="3413">
                  <c:v>48094</c:v>
                </c:pt>
                <c:pt idx="3414">
                  <c:v>48095</c:v>
                </c:pt>
                <c:pt idx="3415">
                  <c:v>48096</c:v>
                </c:pt>
                <c:pt idx="3416">
                  <c:v>48099</c:v>
                </c:pt>
                <c:pt idx="3417">
                  <c:v>48100</c:v>
                </c:pt>
                <c:pt idx="3418">
                  <c:v>48101</c:v>
                </c:pt>
                <c:pt idx="3419">
                  <c:v>48102</c:v>
                </c:pt>
                <c:pt idx="3420">
                  <c:v>48103</c:v>
                </c:pt>
                <c:pt idx="3421">
                  <c:v>48106</c:v>
                </c:pt>
                <c:pt idx="3422">
                  <c:v>48107</c:v>
                </c:pt>
                <c:pt idx="3423">
                  <c:v>48108</c:v>
                </c:pt>
                <c:pt idx="3424">
                  <c:v>48109</c:v>
                </c:pt>
                <c:pt idx="3425">
                  <c:v>48110</c:v>
                </c:pt>
                <c:pt idx="3426">
                  <c:v>48113</c:v>
                </c:pt>
                <c:pt idx="3427">
                  <c:v>48114</c:v>
                </c:pt>
                <c:pt idx="3428">
                  <c:v>48115</c:v>
                </c:pt>
                <c:pt idx="3429">
                  <c:v>48116</c:v>
                </c:pt>
                <c:pt idx="3430">
                  <c:v>48117</c:v>
                </c:pt>
                <c:pt idx="3431">
                  <c:v>48120</c:v>
                </c:pt>
                <c:pt idx="3432">
                  <c:v>48121</c:v>
                </c:pt>
                <c:pt idx="3433">
                  <c:v>48122</c:v>
                </c:pt>
                <c:pt idx="3434">
                  <c:v>48123</c:v>
                </c:pt>
                <c:pt idx="3435">
                  <c:v>48124</c:v>
                </c:pt>
                <c:pt idx="3436">
                  <c:v>48127</c:v>
                </c:pt>
                <c:pt idx="3437">
                  <c:v>48128</c:v>
                </c:pt>
                <c:pt idx="3438">
                  <c:v>48129</c:v>
                </c:pt>
                <c:pt idx="3439">
                  <c:v>48130</c:v>
                </c:pt>
                <c:pt idx="3440">
                  <c:v>48131</c:v>
                </c:pt>
                <c:pt idx="3441">
                  <c:v>48134</c:v>
                </c:pt>
                <c:pt idx="3442">
                  <c:v>48135</c:v>
                </c:pt>
                <c:pt idx="3443">
                  <c:v>48136</c:v>
                </c:pt>
                <c:pt idx="3444">
                  <c:v>48137</c:v>
                </c:pt>
                <c:pt idx="3445">
                  <c:v>48138</c:v>
                </c:pt>
                <c:pt idx="3446">
                  <c:v>48141</c:v>
                </c:pt>
                <c:pt idx="3447">
                  <c:v>48142</c:v>
                </c:pt>
                <c:pt idx="3448">
                  <c:v>48143</c:v>
                </c:pt>
                <c:pt idx="3449">
                  <c:v>48144</c:v>
                </c:pt>
                <c:pt idx="3450">
                  <c:v>48145</c:v>
                </c:pt>
                <c:pt idx="3451">
                  <c:v>48148</c:v>
                </c:pt>
                <c:pt idx="3452">
                  <c:v>48149</c:v>
                </c:pt>
                <c:pt idx="3453">
                  <c:v>48150</c:v>
                </c:pt>
                <c:pt idx="3454">
                  <c:v>48151</c:v>
                </c:pt>
                <c:pt idx="3455">
                  <c:v>48152</c:v>
                </c:pt>
                <c:pt idx="3456">
                  <c:v>48155</c:v>
                </c:pt>
                <c:pt idx="3457">
                  <c:v>48156</c:v>
                </c:pt>
                <c:pt idx="3458">
                  <c:v>48157</c:v>
                </c:pt>
                <c:pt idx="3459">
                  <c:v>48158</c:v>
                </c:pt>
                <c:pt idx="3460">
                  <c:v>48159</c:v>
                </c:pt>
                <c:pt idx="3461">
                  <c:v>48162</c:v>
                </c:pt>
                <c:pt idx="3462">
                  <c:v>48163</c:v>
                </c:pt>
                <c:pt idx="3463">
                  <c:v>48164</c:v>
                </c:pt>
                <c:pt idx="3464">
                  <c:v>48165</c:v>
                </c:pt>
                <c:pt idx="3465">
                  <c:v>48166</c:v>
                </c:pt>
                <c:pt idx="3466">
                  <c:v>48169</c:v>
                </c:pt>
                <c:pt idx="3467">
                  <c:v>48170</c:v>
                </c:pt>
                <c:pt idx="3468">
                  <c:v>48171</c:v>
                </c:pt>
                <c:pt idx="3469">
                  <c:v>48172</c:v>
                </c:pt>
                <c:pt idx="3470">
                  <c:v>48173</c:v>
                </c:pt>
                <c:pt idx="3471">
                  <c:v>48176</c:v>
                </c:pt>
                <c:pt idx="3472">
                  <c:v>48177</c:v>
                </c:pt>
                <c:pt idx="3473">
                  <c:v>48178</c:v>
                </c:pt>
                <c:pt idx="3474">
                  <c:v>48179</c:v>
                </c:pt>
                <c:pt idx="3475">
                  <c:v>48180</c:v>
                </c:pt>
                <c:pt idx="3476">
                  <c:v>48183</c:v>
                </c:pt>
                <c:pt idx="3477">
                  <c:v>48184</c:v>
                </c:pt>
                <c:pt idx="3478">
                  <c:v>48185</c:v>
                </c:pt>
                <c:pt idx="3479">
                  <c:v>48186</c:v>
                </c:pt>
                <c:pt idx="3480">
                  <c:v>48187</c:v>
                </c:pt>
                <c:pt idx="3481">
                  <c:v>48190</c:v>
                </c:pt>
                <c:pt idx="3482">
                  <c:v>48191</c:v>
                </c:pt>
                <c:pt idx="3483">
                  <c:v>48192</c:v>
                </c:pt>
                <c:pt idx="3484">
                  <c:v>48193</c:v>
                </c:pt>
                <c:pt idx="3485">
                  <c:v>48194</c:v>
                </c:pt>
                <c:pt idx="3486">
                  <c:v>48197</c:v>
                </c:pt>
                <c:pt idx="3487">
                  <c:v>48198</c:v>
                </c:pt>
                <c:pt idx="3488">
                  <c:v>48199</c:v>
                </c:pt>
                <c:pt idx="3489">
                  <c:v>48200</c:v>
                </c:pt>
                <c:pt idx="3490">
                  <c:v>48201</c:v>
                </c:pt>
                <c:pt idx="3491">
                  <c:v>48204</c:v>
                </c:pt>
                <c:pt idx="3492">
                  <c:v>48205</c:v>
                </c:pt>
                <c:pt idx="3493">
                  <c:v>48206</c:v>
                </c:pt>
                <c:pt idx="3494">
                  <c:v>48211</c:v>
                </c:pt>
                <c:pt idx="3495">
                  <c:v>48212</c:v>
                </c:pt>
                <c:pt idx="3496">
                  <c:v>48213</c:v>
                </c:pt>
                <c:pt idx="3497">
                  <c:v>48215</c:v>
                </c:pt>
                <c:pt idx="3498">
                  <c:v>48218</c:v>
                </c:pt>
                <c:pt idx="3499">
                  <c:v>48219</c:v>
                </c:pt>
                <c:pt idx="3500">
                  <c:v>48220</c:v>
                </c:pt>
                <c:pt idx="3501">
                  <c:v>48221</c:v>
                </c:pt>
                <c:pt idx="3502">
                  <c:v>48222</c:v>
                </c:pt>
                <c:pt idx="3503">
                  <c:v>48225</c:v>
                </c:pt>
                <c:pt idx="3504">
                  <c:v>48226</c:v>
                </c:pt>
                <c:pt idx="3505">
                  <c:v>48227</c:v>
                </c:pt>
                <c:pt idx="3506">
                  <c:v>48228</c:v>
                </c:pt>
                <c:pt idx="3507">
                  <c:v>48229</c:v>
                </c:pt>
                <c:pt idx="3508">
                  <c:v>48232</c:v>
                </c:pt>
                <c:pt idx="3509">
                  <c:v>48233</c:v>
                </c:pt>
                <c:pt idx="3510">
                  <c:v>48234</c:v>
                </c:pt>
                <c:pt idx="3511">
                  <c:v>48235</c:v>
                </c:pt>
                <c:pt idx="3512">
                  <c:v>48236</c:v>
                </c:pt>
                <c:pt idx="3513">
                  <c:v>48239</c:v>
                </c:pt>
                <c:pt idx="3514">
                  <c:v>48240</c:v>
                </c:pt>
                <c:pt idx="3515">
                  <c:v>48241</c:v>
                </c:pt>
                <c:pt idx="3516">
                  <c:v>48242</c:v>
                </c:pt>
                <c:pt idx="3517">
                  <c:v>48243</c:v>
                </c:pt>
                <c:pt idx="3518">
                  <c:v>48246</c:v>
                </c:pt>
                <c:pt idx="3519">
                  <c:v>48247</c:v>
                </c:pt>
                <c:pt idx="3520">
                  <c:v>48248</c:v>
                </c:pt>
                <c:pt idx="3521">
                  <c:v>48249</c:v>
                </c:pt>
                <c:pt idx="3522">
                  <c:v>48250</c:v>
                </c:pt>
                <c:pt idx="3523">
                  <c:v>48253</c:v>
                </c:pt>
                <c:pt idx="3524">
                  <c:v>48254</c:v>
                </c:pt>
                <c:pt idx="3525">
                  <c:v>48255</c:v>
                </c:pt>
                <c:pt idx="3526">
                  <c:v>48256</c:v>
                </c:pt>
                <c:pt idx="3527">
                  <c:v>48257</c:v>
                </c:pt>
                <c:pt idx="3528">
                  <c:v>48260</c:v>
                </c:pt>
                <c:pt idx="3529">
                  <c:v>48261</c:v>
                </c:pt>
                <c:pt idx="3530">
                  <c:v>48262</c:v>
                </c:pt>
                <c:pt idx="3531">
                  <c:v>48263</c:v>
                </c:pt>
                <c:pt idx="3532">
                  <c:v>48264</c:v>
                </c:pt>
                <c:pt idx="3533">
                  <c:v>48267</c:v>
                </c:pt>
                <c:pt idx="3534">
                  <c:v>48268</c:v>
                </c:pt>
                <c:pt idx="3535">
                  <c:v>48269</c:v>
                </c:pt>
                <c:pt idx="3536">
                  <c:v>48270</c:v>
                </c:pt>
                <c:pt idx="3537">
                  <c:v>48271</c:v>
                </c:pt>
                <c:pt idx="3538">
                  <c:v>48274</c:v>
                </c:pt>
                <c:pt idx="3539">
                  <c:v>48275</c:v>
                </c:pt>
                <c:pt idx="3540">
                  <c:v>48276</c:v>
                </c:pt>
                <c:pt idx="3541">
                  <c:v>48277</c:v>
                </c:pt>
                <c:pt idx="3542">
                  <c:v>48278</c:v>
                </c:pt>
                <c:pt idx="3543">
                  <c:v>48281</c:v>
                </c:pt>
                <c:pt idx="3544">
                  <c:v>48282</c:v>
                </c:pt>
                <c:pt idx="3545">
                  <c:v>48283</c:v>
                </c:pt>
                <c:pt idx="3546">
                  <c:v>48284</c:v>
                </c:pt>
                <c:pt idx="3547">
                  <c:v>48285</c:v>
                </c:pt>
                <c:pt idx="3548">
                  <c:v>48288</c:v>
                </c:pt>
                <c:pt idx="3549">
                  <c:v>48289</c:v>
                </c:pt>
                <c:pt idx="3550">
                  <c:v>48290</c:v>
                </c:pt>
                <c:pt idx="3551">
                  <c:v>48291</c:v>
                </c:pt>
                <c:pt idx="3552">
                  <c:v>48292</c:v>
                </c:pt>
                <c:pt idx="3553">
                  <c:v>48295</c:v>
                </c:pt>
                <c:pt idx="3554">
                  <c:v>48296</c:v>
                </c:pt>
                <c:pt idx="3555">
                  <c:v>48297</c:v>
                </c:pt>
                <c:pt idx="3556">
                  <c:v>48298</c:v>
                </c:pt>
                <c:pt idx="3557">
                  <c:v>48303</c:v>
                </c:pt>
                <c:pt idx="3558">
                  <c:v>48304</c:v>
                </c:pt>
                <c:pt idx="3559">
                  <c:v>48305</c:v>
                </c:pt>
                <c:pt idx="3560">
                  <c:v>48306</c:v>
                </c:pt>
                <c:pt idx="3561">
                  <c:v>48309</c:v>
                </c:pt>
                <c:pt idx="3562">
                  <c:v>48310</c:v>
                </c:pt>
                <c:pt idx="3563">
                  <c:v>48311</c:v>
                </c:pt>
                <c:pt idx="3564">
                  <c:v>48312</c:v>
                </c:pt>
                <c:pt idx="3565">
                  <c:v>48313</c:v>
                </c:pt>
                <c:pt idx="3566">
                  <c:v>48316</c:v>
                </c:pt>
                <c:pt idx="3567">
                  <c:v>48317</c:v>
                </c:pt>
                <c:pt idx="3568">
                  <c:v>48318</c:v>
                </c:pt>
                <c:pt idx="3569">
                  <c:v>48319</c:v>
                </c:pt>
                <c:pt idx="3570">
                  <c:v>48320</c:v>
                </c:pt>
                <c:pt idx="3571">
                  <c:v>48323</c:v>
                </c:pt>
                <c:pt idx="3572">
                  <c:v>48324</c:v>
                </c:pt>
                <c:pt idx="3573">
                  <c:v>48325</c:v>
                </c:pt>
                <c:pt idx="3574">
                  <c:v>48326</c:v>
                </c:pt>
                <c:pt idx="3575">
                  <c:v>48327</c:v>
                </c:pt>
                <c:pt idx="3576">
                  <c:v>48330</c:v>
                </c:pt>
                <c:pt idx="3577">
                  <c:v>48331</c:v>
                </c:pt>
                <c:pt idx="3578">
                  <c:v>48332</c:v>
                </c:pt>
                <c:pt idx="3579">
                  <c:v>48333</c:v>
                </c:pt>
                <c:pt idx="3580">
                  <c:v>48334</c:v>
                </c:pt>
                <c:pt idx="3581">
                  <c:v>48337</c:v>
                </c:pt>
                <c:pt idx="3582">
                  <c:v>48338</c:v>
                </c:pt>
                <c:pt idx="3583">
                  <c:v>48339</c:v>
                </c:pt>
                <c:pt idx="3584">
                  <c:v>48340</c:v>
                </c:pt>
                <c:pt idx="3585">
                  <c:v>48341</c:v>
                </c:pt>
                <c:pt idx="3586">
                  <c:v>48344</c:v>
                </c:pt>
                <c:pt idx="3587">
                  <c:v>48345</c:v>
                </c:pt>
                <c:pt idx="3588">
                  <c:v>48346</c:v>
                </c:pt>
                <c:pt idx="3589">
                  <c:v>48347</c:v>
                </c:pt>
                <c:pt idx="3590">
                  <c:v>48348</c:v>
                </c:pt>
                <c:pt idx="3591">
                  <c:v>48351</c:v>
                </c:pt>
                <c:pt idx="3592">
                  <c:v>48352</c:v>
                </c:pt>
                <c:pt idx="3593">
                  <c:v>48353</c:v>
                </c:pt>
                <c:pt idx="3594">
                  <c:v>48354</c:v>
                </c:pt>
                <c:pt idx="3595">
                  <c:v>48355</c:v>
                </c:pt>
                <c:pt idx="3596">
                  <c:v>48358</c:v>
                </c:pt>
                <c:pt idx="3597">
                  <c:v>48359</c:v>
                </c:pt>
                <c:pt idx="3598">
                  <c:v>48360</c:v>
                </c:pt>
                <c:pt idx="3599">
                  <c:v>48361</c:v>
                </c:pt>
                <c:pt idx="3600">
                  <c:v>48362</c:v>
                </c:pt>
                <c:pt idx="3601">
                  <c:v>48365</c:v>
                </c:pt>
                <c:pt idx="3602">
                  <c:v>48366</c:v>
                </c:pt>
                <c:pt idx="3603">
                  <c:v>48367</c:v>
                </c:pt>
                <c:pt idx="3604">
                  <c:v>48368</c:v>
                </c:pt>
                <c:pt idx="3605">
                  <c:v>48369</c:v>
                </c:pt>
                <c:pt idx="3606">
                  <c:v>48372</c:v>
                </c:pt>
                <c:pt idx="3607">
                  <c:v>48373</c:v>
                </c:pt>
                <c:pt idx="3608">
                  <c:v>48374</c:v>
                </c:pt>
                <c:pt idx="3609">
                  <c:v>48375</c:v>
                </c:pt>
                <c:pt idx="3610">
                  <c:v>48376</c:v>
                </c:pt>
                <c:pt idx="3611">
                  <c:v>48379</c:v>
                </c:pt>
                <c:pt idx="3612">
                  <c:v>48380</c:v>
                </c:pt>
                <c:pt idx="3613">
                  <c:v>48381</c:v>
                </c:pt>
                <c:pt idx="3614">
                  <c:v>48382</c:v>
                </c:pt>
                <c:pt idx="3615">
                  <c:v>48383</c:v>
                </c:pt>
                <c:pt idx="3616">
                  <c:v>48386</c:v>
                </c:pt>
                <c:pt idx="3617">
                  <c:v>48387</c:v>
                </c:pt>
                <c:pt idx="3618">
                  <c:v>48388</c:v>
                </c:pt>
                <c:pt idx="3619">
                  <c:v>48389</c:v>
                </c:pt>
                <c:pt idx="3620">
                  <c:v>48390</c:v>
                </c:pt>
                <c:pt idx="3621">
                  <c:v>48393</c:v>
                </c:pt>
                <c:pt idx="3622">
                  <c:v>48394</c:v>
                </c:pt>
                <c:pt idx="3623">
                  <c:v>48395</c:v>
                </c:pt>
                <c:pt idx="3624">
                  <c:v>48396</c:v>
                </c:pt>
                <c:pt idx="3625">
                  <c:v>48397</c:v>
                </c:pt>
                <c:pt idx="3626">
                  <c:v>48400</c:v>
                </c:pt>
                <c:pt idx="3627">
                  <c:v>48401</c:v>
                </c:pt>
                <c:pt idx="3628">
                  <c:v>48402</c:v>
                </c:pt>
                <c:pt idx="3629">
                  <c:v>48403</c:v>
                </c:pt>
                <c:pt idx="3630">
                  <c:v>48404</c:v>
                </c:pt>
                <c:pt idx="3631">
                  <c:v>48407</c:v>
                </c:pt>
                <c:pt idx="3632">
                  <c:v>48408</c:v>
                </c:pt>
                <c:pt idx="3633">
                  <c:v>48409</c:v>
                </c:pt>
                <c:pt idx="3634">
                  <c:v>48410</c:v>
                </c:pt>
                <c:pt idx="3635">
                  <c:v>48411</c:v>
                </c:pt>
                <c:pt idx="3636">
                  <c:v>48414</c:v>
                </c:pt>
                <c:pt idx="3637">
                  <c:v>48415</c:v>
                </c:pt>
                <c:pt idx="3638">
                  <c:v>48416</c:v>
                </c:pt>
                <c:pt idx="3639">
                  <c:v>48417</c:v>
                </c:pt>
                <c:pt idx="3640">
                  <c:v>48418</c:v>
                </c:pt>
                <c:pt idx="3641">
                  <c:v>48421</c:v>
                </c:pt>
                <c:pt idx="3642">
                  <c:v>48422</c:v>
                </c:pt>
                <c:pt idx="3643">
                  <c:v>48423</c:v>
                </c:pt>
                <c:pt idx="3644">
                  <c:v>48424</c:v>
                </c:pt>
                <c:pt idx="3645">
                  <c:v>48425</c:v>
                </c:pt>
                <c:pt idx="3646">
                  <c:v>48428</c:v>
                </c:pt>
                <c:pt idx="3647">
                  <c:v>48429</c:v>
                </c:pt>
                <c:pt idx="3648">
                  <c:v>48430</c:v>
                </c:pt>
                <c:pt idx="3649">
                  <c:v>48431</c:v>
                </c:pt>
              </c:numCache>
            </c:numRef>
          </c:cat>
          <c:val>
            <c:numRef>
              <c:f>'Forward Charts'!$G$6:$G$3655</c:f>
              <c:numCache>
                <c:formatCode>0.0000%</c:formatCode>
                <c:ptCount val="3650"/>
                <c:pt idx="0">
                  <c:v>-2.6929508196720884E-3</c:v>
                </c:pt>
                <c:pt idx="1">
                  <c:v>-2.6909836065573357E-3</c:v>
                </c:pt>
                <c:pt idx="2">
                  <c:v>-2.6899999999999594E-3</c:v>
                </c:pt>
                <c:pt idx="3">
                  <c:v>-2.689016393442583E-3</c:v>
                </c:pt>
                <c:pt idx="4">
                  <c:v>-2.686065573770454E-3</c:v>
                </c:pt>
                <c:pt idx="5">
                  <c:v>-2.6850819672130776E-3</c:v>
                </c:pt>
                <c:pt idx="6">
                  <c:v>-2.6840983606557013E-3</c:v>
                </c:pt>
                <c:pt idx="7">
                  <c:v>-2.6831147540983245E-3</c:v>
                </c:pt>
                <c:pt idx="8">
                  <c:v>-2.6821311475409481E-3</c:v>
                </c:pt>
                <c:pt idx="9">
                  <c:v>-2.6791803278688191E-3</c:v>
                </c:pt>
                <c:pt idx="10">
                  <c:v>-2.6781967213114427E-3</c:v>
                </c:pt>
                <c:pt idx="11">
                  <c:v>-2.6772131147540664E-3</c:v>
                </c:pt>
                <c:pt idx="12">
                  <c:v>-2.67622950819669E-3</c:v>
                </c:pt>
                <c:pt idx="13">
                  <c:v>-2.6752459016393137E-3</c:v>
                </c:pt>
                <c:pt idx="14">
                  <c:v>-2.6722950819671847E-3</c:v>
                </c:pt>
                <c:pt idx="15">
                  <c:v>-2.6713114754098083E-3</c:v>
                </c:pt>
                <c:pt idx="16">
                  <c:v>-2.6703278688524315E-3</c:v>
                </c:pt>
                <c:pt idx="17">
                  <c:v>-2.6693442622950552E-3</c:v>
                </c:pt>
                <c:pt idx="18">
                  <c:v>-2.6683606557376788E-3</c:v>
                </c:pt>
                <c:pt idx="19">
                  <c:v>-2.6654098360655498E-3</c:v>
                </c:pt>
                <c:pt idx="20">
                  <c:v>-2.6644262295081734E-3</c:v>
                </c:pt>
                <c:pt idx="21">
                  <c:v>-2.6634426229507971E-3</c:v>
                </c:pt>
                <c:pt idx="22">
                  <c:v>-2.6624590163934207E-3</c:v>
                </c:pt>
                <c:pt idx="23">
                  <c:v>-2.6614754098360444E-3</c:v>
                </c:pt>
                <c:pt idx="24">
                  <c:v>-2.6585245901639153E-3</c:v>
                </c:pt>
                <c:pt idx="25">
                  <c:v>-2.6575409836065386E-3</c:v>
                </c:pt>
                <c:pt idx="26">
                  <c:v>-2.6565573770491622E-3</c:v>
                </c:pt>
                <c:pt idx="27">
                  <c:v>-2.6555737704917859E-3</c:v>
                </c:pt>
                <c:pt idx="28">
                  <c:v>-2.6545901639344095E-3</c:v>
                </c:pt>
                <c:pt idx="29">
                  <c:v>-2.6516393442622805E-3</c:v>
                </c:pt>
                <c:pt idx="30">
                  <c:v>-2.6506557377049041E-3</c:v>
                </c:pt>
                <c:pt idx="31">
                  <c:v>-2.6496721311475278E-3</c:v>
                </c:pt>
                <c:pt idx="32">
                  <c:v>-2.6486885245901514E-3</c:v>
                </c:pt>
                <c:pt idx="33">
                  <c:v>-2.6477049180327751E-3</c:v>
                </c:pt>
                <c:pt idx="34">
                  <c:v>-2.6447540983606456E-3</c:v>
                </c:pt>
                <c:pt idx="35">
                  <c:v>-2.6437704918032693E-3</c:v>
                </c:pt>
                <c:pt idx="36">
                  <c:v>-2.6427868852458929E-3</c:v>
                </c:pt>
                <c:pt idx="37">
                  <c:v>-2.6418032786885166E-3</c:v>
                </c:pt>
                <c:pt idx="38">
                  <c:v>-2.6408196721311402E-3</c:v>
                </c:pt>
                <c:pt idx="39">
                  <c:v>-2.6378688524590112E-3</c:v>
                </c:pt>
                <c:pt idx="40">
                  <c:v>-2.6368852459016348E-3</c:v>
                </c:pt>
                <c:pt idx="41">
                  <c:v>-2.6359016393442585E-3</c:v>
                </c:pt>
                <c:pt idx="42">
                  <c:v>-2.6349180327868821E-3</c:v>
                </c:pt>
                <c:pt idx="43">
                  <c:v>-2.6339344262295054E-3</c:v>
                </c:pt>
                <c:pt idx="44">
                  <c:v>-2.6309836065573763E-3</c:v>
                </c:pt>
                <c:pt idx="45">
                  <c:v>-2.63E-3</c:v>
                </c:pt>
                <c:pt idx="46">
                  <c:v>-2.6287096774193549E-3</c:v>
                </c:pt>
                <c:pt idx="47">
                  <c:v>-2.6274193548387098E-3</c:v>
                </c:pt>
                <c:pt idx="48">
                  <c:v>-2.6261290322580648E-3</c:v>
                </c:pt>
                <c:pt idx="49">
                  <c:v>-2.6222580645161291E-3</c:v>
                </c:pt>
                <c:pt idx="50">
                  <c:v>-2.6209677419354841E-3</c:v>
                </c:pt>
                <c:pt idx="51">
                  <c:v>-2.619677419354839E-3</c:v>
                </c:pt>
                <c:pt idx="52">
                  <c:v>-2.6183870967741935E-3</c:v>
                </c:pt>
                <c:pt idx="53">
                  <c:v>-2.6170967741935484E-3</c:v>
                </c:pt>
                <c:pt idx="54">
                  <c:v>-2.6132258064516132E-3</c:v>
                </c:pt>
                <c:pt idx="55">
                  <c:v>-2.6119354838709677E-3</c:v>
                </c:pt>
                <c:pt idx="56">
                  <c:v>-2.6106451612903227E-3</c:v>
                </c:pt>
                <c:pt idx="57">
                  <c:v>-2.6093548387096776E-3</c:v>
                </c:pt>
                <c:pt idx="58">
                  <c:v>-2.6080645161290325E-3</c:v>
                </c:pt>
                <c:pt idx="59">
                  <c:v>-2.6041935483870969E-3</c:v>
                </c:pt>
                <c:pt idx="60">
                  <c:v>-2.6029032258064518E-3</c:v>
                </c:pt>
                <c:pt idx="61">
                  <c:v>-2.6016129032258068E-3</c:v>
                </c:pt>
                <c:pt idx="62">
                  <c:v>-2.6003225806451617E-3</c:v>
                </c:pt>
                <c:pt idx="63">
                  <c:v>-2.5990322580645166E-3</c:v>
                </c:pt>
                <c:pt idx="64">
                  <c:v>-2.595161290322581E-3</c:v>
                </c:pt>
                <c:pt idx="65">
                  <c:v>-2.5938709677419359E-3</c:v>
                </c:pt>
                <c:pt idx="66">
                  <c:v>-2.5925806451612909E-3</c:v>
                </c:pt>
                <c:pt idx="67">
                  <c:v>-2.5912903225806454E-3</c:v>
                </c:pt>
                <c:pt idx="68">
                  <c:v>-2.5900000000000003E-3</c:v>
                </c:pt>
                <c:pt idx="69">
                  <c:v>-2.5861290322580647E-3</c:v>
                </c:pt>
                <c:pt idx="70">
                  <c:v>-2.5848387096774196E-3</c:v>
                </c:pt>
                <c:pt idx="71">
                  <c:v>-2.5835483870967745E-3</c:v>
                </c:pt>
                <c:pt idx="72">
                  <c:v>-2.5822580645161295E-3</c:v>
                </c:pt>
                <c:pt idx="73">
                  <c:v>-2.5809677419354844E-3</c:v>
                </c:pt>
                <c:pt idx="74">
                  <c:v>-2.5770967741935488E-3</c:v>
                </c:pt>
                <c:pt idx="75">
                  <c:v>-2.5758064516129037E-3</c:v>
                </c:pt>
                <c:pt idx="76">
                  <c:v>-2.5745161290322582E-3</c:v>
                </c:pt>
                <c:pt idx="77">
                  <c:v>-2.5732258064516131E-3</c:v>
                </c:pt>
                <c:pt idx="78">
                  <c:v>-2.5719354838709681E-3</c:v>
                </c:pt>
                <c:pt idx="79">
                  <c:v>-2.5680645161290324E-3</c:v>
                </c:pt>
                <c:pt idx="80">
                  <c:v>-2.5667741935483874E-3</c:v>
                </c:pt>
                <c:pt idx="81">
                  <c:v>-2.5654838709677423E-3</c:v>
                </c:pt>
                <c:pt idx="82">
                  <c:v>-2.5641935483870972E-3</c:v>
                </c:pt>
                <c:pt idx="83">
                  <c:v>-2.5629032258064517E-3</c:v>
                </c:pt>
                <c:pt idx="84">
                  <c:v>-2.5590322580645165E-3</c:v>
                </c:pt>
                <c:pt idx="85">
                  <c:v>-2.5577419354838715E-3</c:v>
                </c:pt>
                <c:pt idx="86">
                  <c:v>-2.556451612903226E-3</c:v>
                </c:pt>
                <c:pt idx="87">
                  <c:v>-2.5551612903225809E-3</c:v>
                </c:pt>
                <c:pt idx="88">
                  <c:v>-2.5538709677419358E-3</c:v>
                </c:pt>
                <c:pt idx="89">
                  <c:v>-2.5500000000000002E-3</c:v>
                </c:pt>
                <c:pt idx="90">
                  <c:v>-2.5476666666666668E-3</c:v>
                </c:pt>
                <c:pt idx="91">
                  <c:v>-2.5453333333333339E-3</c:v>
                </c:pt>
                <c:pt idx="92">
                  <c:v>-2.5430000000000001E-3</c:v>
                </c:pt>
                <c:pt idx="93">
                  <c:v>-2.5406666666666668E-3</c:v>
                </c:pt>
                <c:pt idx="94">
                  <c:v>-2.5336666666666671E-3</c:v>
                </c:pt>
                <c:pt idx="95">
                  <c:v>-2.5313333333333334E-3</c:v>
                </c:pt>
                <c:pt idx="96">
                  <c:v>-2.5290000000000004E-3</c:v>
                </c:pt>
                <c:pt idx="97">
                  <c:v>-2.5266666666666666E-3</c:v>
                </c:pt>
                <c:pt idx="98">
                  <c:v>-2.5243333333333337E-3</c:v>
                </c:pt>
                <c:pt idx="99">
                  <c:v>-2.5173333333333337E-3</c:v>
                </c:pt>
                <c:pt idx="100">
                  <c:v>-2.5149999999999999E-3</c:v>
                </c:pt>
                <c:pt idx="101">
                  <c:v>-2.512666666666667E-3</c:v>
                </c:pt>
                <c:pt idx="102">
                  <c:v>-2.5103333333333336E-3</c:v>
                </c:pt>
                <c:pt idx="103">
                  <c:v>-2.5080000000000002E-3</c:v>
                </c:pt>
                <c:pt idx="104">
                  <c:v>-2.5010000000000002E-3</c:v>
                </c:pt>
                <c:pt idx="105">
                  <c:v>-2.4986666666666668E-3</c:v>
                </c:pt>
                <c:pt idx="106">
                  <c:v>-2.4963333333333335E-3</c:v>
                </c:pt>
                <c:pt idx="107">
                  <c:v>-2.4940000000000001E-3</c:v>
                </c:pt>
                <c:pt idx="108">
                  <c:v>-2.4916666666666668E-3</c:v>
                </c:pt>
                <c:pt idx="109">
                  <c:v>-2.4846666666666667E-3</c:v>
                </c:pt>
                <c:pt idx="110">
                  <c:v>-2.4823333333333334E-3</c:v>
                </c:pt>
                <c:pt idx="111">
                  <c:v>-2.48E-3</c:v>
                </c:pt>
                <c:pt idx="112">
                  <c:v>-2.4772727272727333E-3</c:v>
                </c:pt>
                <c:pt idx="113">
                  <c:v>-2.4745454545454667E-3</c:v>
                </c:pt>
                <c:pt idx="114">
                  <c:v>-2.4663636363636663E-3</c:v>
                </c:pt>
                <c:pt idx="115">
                  <c:v>-2.4636363636363996E-3</c:v>
                </c:pt>
                <c:pt idx="116">
                  <c:v>-2.4609090909091329E-3</c:v>
                </c:pt>
                <c:pt idx="117">
                  <c:v>-2.4581818181818663E-3</c:v>
                </c:pt>
                <c:pt idx="118">
                  <c:v>-2.4554545454545992E-3</c:v>
                </c:pt>
                <c:pt idx="119">
                  <c:v>-2.4472727272727992E-3</c:v>
                </c:pt>
                <c:pt idx="120">
                  <c:v>-2.4445454545455325E-3</c:v>
                </c:pt>
                <c:pt idx="121">
                  <c:v>-2.4418181818182654E-3</c:v>
                </c:pt>
                <c:pt idx="122">
                  <c:v>-2.4390909090909988E-3</c:v>
                </c:pt>
                <c:pt idx="123">
                  <c:v>-2.4363636363637321E-3</c:v>
                </c:pt>
                <c:pt idx="124">
                  <c:v>-2.4281818181819321E-3</c:v>
                </c:pt>
                <c:pt idx="125">
                  <c:v>-2.425454545454665E-3</c:v>
                </c:pt>
                <c:pt idx="126">
                  <c:v>-2.4227272727273983E-3</c:v>
                </c:pt>
                <c:pt idx="127">
                  <c:v>-2.4200000000001317E-3</c:v>
                </c:pt>
                <c:pt idx="128">
                  <c:v>-2.417272727272865E-3</c:v>
                </c:pt>
                <c:pt idx="129">
                  <c:v>-2.4090909090910646E-3</c:v>
                </c:pt>
                <c:pt idx="130">
                  <c:v>-2.4063636363637979E-3</c:v>
                </c:pt>
                <c:pt idx="131">
                  <c:v>-2.4036363636365313E-3</c:v>
                </c:pt>
                <c:pt idx="132">
                  <c:v>-2.4009090909092646E-3</c:v>
                </c:pt>
                <c:pt idx="133">
                  <c:v>-2.3981818181819979E-3</c:v>
                </c:pt>
                <c:pt idx="134">
                  <c:v>-2.3900000000001975E-3</c:v>
                </c:pt>
                <c:pt idx="135">
                  <c:v>-2.3867857142859045E-3</c:v>
                </c:pt>
                <c:pt idx="136">
                  <c:v>-2.3835714285716119E-3</c:v>
                </c:pt>
                <c:pt idx="137">
                  <c:v>-2.3803571428573193E-3</c:v>
                </c:pt>
                <c:pt idx="138">
                  <c:v>-2.3771428571430263E-3</c:v>
                </c:pt>
                <c:pt idx="139">
                  <c:v>-2.3675000000001481E-3</c:v>
                </c:pt>
                <c:pt idx="140">
                  <c:v>-2.3642857142858555E-3</c:v>
                </c:pt>
                <c:pt idx="141">
                  <c:v>-2.3610714285715625E-3</c:v>
                </c:pt>
                <c:pt idx="142">
                  <c:v>-2.3578571428572699E-3</c:v>
                </c:pt>
                <c:pt idx="143">
                  <c:v>-2.3546428571429769E-3</c:v>
                </c:pt>
                <c:pt idx="144">
                  <c:v>-2.3450000000000987E-3</c:v>
                </c:pt>
                <c:pt idx="145">
                  <c:v>-2.3417857142858062E-3</c:v>
                </c:pt>
                <c:pt idx="146">
                  <c:v>-2.3385714285715131E-3</c:v>
                </c:pt>
                <c:pt idx="147">
                  <c:v>-2.3353571428572206E-3</c:v>
                </c:pt>
                <c:pt idx="148">
                  <c:v>-2.3321428571429275E-3</c:v>
                </c:pt>
                <c:pt idx="149">
                  <c:v>-2.3225000000000494E-3</c:v>
                </c:pt>
                <c:pt idx="150">
                  <c:v>-2.3192857142857568E-3</c:v>
                </c:pt>
                <c:pt idx="151">
                  <c:v>-2.3160714285714637E-3</c:v>
                </c:pt>
                <c:pt idx="152">
                  <c:v>-2.3128571428571712E-3</c:v>
                </c:pt>
                <c:pt idx="153">
                  <c:v>-2.3096428571428781E-3</c:v>
                </c:pt>
                <c:pt idx="154">
                  <c:v>-2.3000000000000004E-3</c:v>
                </c:pt>
                <c:pt idx="155">
                  <c:v>-2.2958064516129034E-3</c:v>
                </c:pt>
                <c:pt idx="156">
                  <c:v>-2.2916129032258064E-3</c:v>
                </c:pt>
                <c:pt idx="157">
                  <c:v>-2.2874193548387098E-3</c:v>
                </c:pt>
                <c:pt idx="158">
                  <c:v>-2.2832258064516128E-3</c:v>
                </c:pt>
                <c:pt idx="159">
                  <c:v>-2.2706451612903226E-3</c:v>
                </c:pt>
                <c:pt idx="160">
                  <c:v>-2.2664516129032261E-3</c:v>
                </c:pt>
                <c:pt idx="161">
                  <c:v>-2.2622580645161295E-3</c:v>
                </c:pt>
                <c:pt idx="162">
                  <c:v>-2.2580645161290325E-3</c:v>
                </c:pt>
                <c:pt idx="163">
                  <c:v>-2.2538709677419355E-3</c:v>
                </c:pt>
                <c:pt idx="164">
                  <c:v>-2.2412903225806453E-3</c:v>
                </c:pt>
                <c:pt idx="165">
                  <c:v>-2.2370967741935483E-3</c:v>
                </c:pt>
                <c:pt idx="166">
                  <c:v>-2.2329032258064517E-3</c:v>
                </c:pt>
                <c:pt idx="167">
                  <c:v>-2.2287096774193551E-3</c:v>
                </c:pt>
                <c:pt idx="168">
                  <c:v>-2.2245161290322586E-3</c:v>
                </c:pt>
                <c:pt idx="169">
                  <c:v>-2.211935483870968E-3</c:v>
                </c:pt>
                <c:pt idx="170">
                  <c:v>-2.1993548387096774E-3</c:v>
                </c:pt>
                <c:pt idx="171">
                  <c:v>-2.1951612903225808E-3</c:v>
                </c:pt>
                <c:pt idx="172">
                  <c:v>-2.1825806451612906E-3</c:v>
                </c:pt>
                <c:pt idx="173">
                  <c:v>-2.1741935483870971E-3</c:v>
                </c:pt>
                <c:pt idx="174">
                  <c:v>-2.1700000000000001E-3</c:v>
                </c:pt>
                <c:pt idx="175">
                  <c:v>-2.1634375000000004E-3</c:v>
                </c:pt>
                <c:pt idx="176">
                  <c:v>-2.1437500000000003E-3</c:v>
                </c:pt>
                <c:pt idx="177">
                  <c:v>-2.1371875000000002E-3</c:v>
                </c:pt>
                <c:pt idx="178">
                  <c:v>-2.1306250000000001E-3</c:v>
                </c:pt>
                <c:pt idx="179">
                  <c:v>-2.1240625000000001E-3</c:v>
                </c:pt>
                <c:pt idx="180">
                  <c:v>-2.1175E-3</c:v>
                </c:pt>
                <c:pt idx="181">
                  <c:v>-2.0978125000000003E-3</c:v>
                </c:pt>
                <c:pt idx="182">
                  <c:v>-2.0912500000000002E-3</c:v>
                </c:pt>
                <c:pt idx="183">
                  <c:v>-2.0846875000000002E-3</c:v>
                </c:pt>
                <c:pt idx="184">
                  <c:v>-2.0781250000000001E-3</c:v>
                </c:pt>
                <c:pt idx="185">
                  <c:v>-2.0715625000000001E-3</c:v>
                </c:pt>
                <c:pt idx="186">
                  <c:v>-2.0518750000000003E-3</c:v>
                </c:pt>
                <c:pt idx="187">
                  <c:v>-2.0453125000000003E-3</c:v>
                </c:pt>
                <c:pt idx="188">
                  <c:v>-2.0387500000000002E-3</c:v>
                </c:pt>
                <c:pt idx="189">
                  <c:v>-2.0321875000000001E-3</c:v>
                </c:pt>
                <c:pt idx="190">
                  <c:v>-2.0256250000000001E-3</c:v>
                </c:pt>
                <c:pt idx="191">
                  <c:v>-2.0059374999999999E-3</c:v>
                </c:pt>
                <c:pt idx="192">
                  <c:v>-1.9993750000000003E-3</c:v>
                </c:pt>
                <c:pt idx="193">
                  <c:v>-1.9928125000000002E-3</c:v>
                </c:pt>
                <c:pt idx="194">
                  <c:v>-1.9862500000000002E-3</c:v>
                </c:pt>
                <c:pt idx="195">
                  <c:v>-1.9796875000000001E-3</c:v>
                </c:pt>
                <c:pt idx="196">
                  <c:v>-1.9600000000000004E-3</c:v>
                </c:pt>
                <c:pt idx="197">
                  <c:v>-1.9535714285714286E-3</c:v>
                </c:pt>
                <c:pt idx="198">
                  <c:v>-1.9471428571428571E-3</c:v>
                </c:pt>
                <c:pt idx="199">
                  <c:v>-1.9407142857142856E-3</c:v>
                </c:pt>
                <c:pt idx="200">
                  <c:v>-1.9342857142857143E-3</c:v>
                </c:pt>
                <c:pt idx="201">
                  <c:v>-1.915E-3</c:v>
                </c:pt>
                <c:pt idx="202">
                  <c:v>-1.9085714285714287E-3</c:v>
                </c:pt>
                <c:pt idx="203">
                  <c:v>-1.9021428571428572E-3</c:v>
                </c:pt>
                <c:pt idx="204">
                  <c:v>-1.8957142857142859E-3</c:v>
                </c:pt>
                <c:pt idx="205">
                  <c:v>-1.8892857142857144E-3</c:v>
                </c:pt>
                <c:pt idx="206">
                  <c:v>-1.8700000000000001E-3</c:v>
                </c:pt>
                <c:pt idx="207">
                  <c:v>-1.8635714285714286E-3</c:v>
                </c:pt>
                <c:pt idx="208">
                  <c:v>-1.8571428571428573E-3</c:v>
                </c:pt>
                <c:pt idx="209">
                  <c:v>-1.8507142857142858E-3</c:v>
                </c:pt>
                <c:pt idx="210">
                  <c:v>-1.8442857142857145E-3</c:v>
                </c:pt>
                <c:pt idx="211">
                  <c:v>-1.825E-3</c:v>
                </c:pt>
                <c:pt idx="212">
                  <c:v>-1.8185714285714285E-3</c:v>
                </c:pt>
                <c:pt idx="213">
                  <c:v>-1.8121428571428572E-3</c:v>
                </c:pt>
                <c:pt idx="214">
                  <c:v>-1.8057142857142857E-3</c:v>
                </c:pt>
                <c:pt idx="215">
                  <c:v>-1.7992857142857144E-3</c:v>
                </c:pt>
                <c:pt idx="216">
                  <c:v>-1.7800000000000001E-3</c:v>
                </c:pt>
                <c:pt idx="217">
                  <c:v>-1.7720000000000004E-3</c:v>
                </c:pt>
                <c:pt idx="218">
                  <c:v>-1.7640000000000004E-3</c:v>
                </c:pt>
                <c:pt idx="219">
                  <c:v>-1.756E-3</c:v>
                </c:pt>
                <c:pt idx="220">
                  <c:v>-1.748E-3</c:v>
                </c:pt>
                <c:pt idx="221">
                  <c:v>-1.7240000000000001E-3</c:v>
                </c:pt>
                <c:pt idx="222">
                  <c:v>-1.7160000000000001E-3</c:v>
                </c:pt>
                <c:pt idx="223">
                  <c:v>-1.7080000000000001E-3</c:v>
                </c:pt>
                <c:pt idx="224">
                  <c:v>-1.7000000000000001E-3</c:v>
                </c:pt>
                <c:pt idx="225">
                  <c:v>-1.6920000000000004E-3</c:v>
                </c:pt>
                <c:pt idx="226">
                  <c:v>-1.668E-3</c:v>
                </c:pt>
                <c:pt idx="227">
                  <c:v>-1.66E-3</c:v>
                </c:pt>
                <c:pt idx="228">
                  <c:v>-1.652E-3</c:v>
                </c:pt>
                <c:pt idx="229">
                  <c:v>-1.6440000000000001E-3</c:v>
                </c:pt>
                <c:pt idx="230">
                  <c:v>-1.6360000000000001E-3</c:v>
                </c:pt>
                <c:pt idx="231">
                  <c:v>-1.6120000000000002E-3</c:v>
                </c:pt>
                <c:pt idx="232">
                  <c:v>-1.6040000000000004E-3</c:v>
                </c:pt>
                <c:pt idx="233">
                  <c:v>-1.596E-3</c:v>
                </c:pt>
                <c:pt idx="234">
                  <c:v>-1.588E-3</c:v>
                </c:pt>
                <c:pt idx="235">
                  <c:v>-1.58E-3</c:v>
                </c:pt>
                <c:pt idx="236">
                  <c:v>-1.5560000000000001E-3</c:v>
                </c:pt>
                <c:pt idx="237">
                  <c:v>-1.5480000000000003E-3</c:v>
                </c:pt>
                <c:pt idx="238">
                  <c:v>-1.5400000000000001E-3</c:v>
                </c:pt>
                <c:pt idx="239">
                  <c:v>-1.5299999999999975E-3</c:v>
                </c:pt>
                <c:pt idx="240">
                  <c:v>-1.5199999999999947E-3</c:v>
                </c:pt>
                <c:pt idx="241">
                  <c:v>-1.4899999999999857E-3</c:v>
                </c:pt>
                <c:pt idx="242">
                  <c:v>-1.4799999999999831E-3</c:v>
                </c:pt>
                <c:pt idx="243">
                  <c:v>-1.4699999999999802E-3</c:v>
                </c:pt>
                <c:pt idx="244">
                  <c:v>-1.4599999999999774E-3</c:v>
                </c:pt>
                <c:pt idx="245">
                  <c:v>-1.4499999999999745E-3</c:v>
                </c:pt>
                <c:pt idx="246">
                  <c:v>-1.419999999999966E-3</c:v>
                </c:pt>
                <c:pt idx="247">
                  <c:v>-1.4099999999999627E-3</c:v>
                </c:pt>
                <c:pt idx="248">
                  <c:v>-1.3999999999999599E-3</c:v>
                </c:pt>
                <c:pt idx="249">
                  <c:v>-1.3899999999999572E-3</c:v>
                </c:pt>
                <c:pt idx="250">
                  <c:v>-1.339999999999943E-3</c:v>
                </c:pt>
                <c:pt idx="251">
                  <c:v>-1.3299999999999402E-3</c:v>
                </c:pt>
                <c:pt idx="252">
                  <c:v>-1.3199999999999373E-3</c:v>
                </c:pt>
                <c:pt idx="253">
                  <c:v>-1.309999999999934E-3</c:v>
                </c:pt>
                <c:pt idx="254">
                  <c:v>-1.2799999999999257E-3</c:v>
                </c:pt>
                <c:pt idx="255">
                  <c:v>-1.2699999999999229E-3</c:v>
                </c:pt>
                <c:pt idx="256">
                  <c:v>-1.2499999999999172E-3</c:v>
                </c:pt>
                <c:pt idx="257">
                  <c:v>-1.2399999999999139E-3</c:v>
                </c:pt>
                <c:pt idx="258">
                  <c:v>-1.2088574082546719E-3</c:v>
                </c:pt>
                <c:pt idx="259">
                  <c:v>-1.1984765443395905E-3</c:v>
                </c:pt>
                <c:pt idx="260">
                  <c:v>-1.18809568042451E-3</c:v>
                </c:pt>
                <c:pt idx="261">
                  <c:v>-1.1777148165094287E-3</c:v>
                </c:pt>
                <c:pt idx="262">
                  <c:v>-1.1673339525943476E-3</c:v>
                </c:pt>
                <c:pt idx="263">
                  <c:v>-1.1361913608491053E-3</c:v>
                </c:pt>
                <c:pt idx="264">
                  <c:v>-1.1258104969340242E-3</c:v>
                </c:pt>
                <c:pt idx="265">
                  <c:v>-1.1154296330189437E-3</c:v>
                </c:pt>
                <c:pt idx="266">
                  <c:v>-1.1050487691038624E-3</c:v>
                </c:pt>
                <c:pt idx="267">
                  <c:v>-1.0946679051887819E-3</c:v>
                </c:pt>
                <c:pt idx="268">
                  <c:v>-1.063525313443539E-3</c:v>
                </c:pt>
                <c:pt idx="269">
                  <c:v>-1.0531444495284576E-3</c:v>
                </c:pt>
                <c:pt idx="270">
                  <c:v>-1.0427635856133772E-3</c:v>
                </c:pt>
                <c:pt idx="271">
                  <c:v>-1.0323827216982961E-3</c:v>
                </c:pt>
                <c:pt idx="272">
                  <c:v>-1.0220018577832156E-3</c:v>
                </c:pt>
                <c:pt idx="273">
                  <c:v>-9.9085926603797265E-4</c:v>
                </c:pt>
                <c:pt idx="274">
                  <c:v>-9.8047840212289218E-4</c:v>
                </c:pt>
                <c:pt idx="275">
                  <c:v>-9.7009753820781084E-4</c:v>
                </c:pt>
                <c:pt idx="276">
                  <c:v>-9.5971667429272961E-4</c:v>
                </c:pt>
                <c:pt idx="277">
                  <c:v>-9.4933581037764925E-4</c:v>
                </c:pt>
                <c:pt idx="278">
                  <c:v>-9.1819321863240622E-4</c:v>
                </c:pt>
                <c:pt idx="279">
                  <c:v>-9.0781235471732585E-4</c:v>
                </c:pt>
                <c:pt idx="280">
                  <c:v>-8.9743149080224452E-4</c:v>
                </c:pt>
                <c:pt idx="281">
                  <c:v>-8.8705062688716405E-4</c:v>
                </c:pt>
                <c:pt idx="282">
                  <c:v>-8.7666976297208282E-4</c:v>
                </c:pt>
                <c:pt idx="283">
                  <c:v>-8.4552717122683978E-4</c:v>
                </c:pt>
                <c:pt idx="284">
                  <c:v>-8.3514630731175931E-4</c:v>
                </c:pt>
                <c:pt idx="285">
                  <c:v>-8.2476544339667819E-4</c:v>
                </c:pt>
                <c:pt idx="286">
                  <c:v>-8.1438457948159772E-4</c:v>
                </c:pt>
                <c:pt idx="287">
                  <c:v>-8.0400371556651638E-4</c:v>
                </c:pt>
                <c:pt idx="288">
                  <c:v>-7.7286112382127432E-4</c:v>
                </c:pt>
                <c:pt idx="289">
                  <c:v>-7.6248025990619298E-4</c:v>
                </c:pt>
                <c:pt idx="290">
                  <c:v>-7.5209939599111164E-4</c:v>
                </c:pt>
                <c:pt idx="291">
                  <c:v>-7.4171853207603128E-4</c:v>
                </c:pt>
                <c:pt idx="292">
                  <c:v>-7.3133766816095005E-4</c:v>
                </c:pt>
                <c:pt idx="293">
                  <c:v>-7.0019507641570788E-4</c:v>
                </c:pt>
                <c:pt idx="294">
                  <c:v>-6.8981421250062665E-4</c:v>
                </c:pt>
                <c:pt idx="295">
                  <c:v>-6.7943334858554618E-4</c:v>
                </c:pt>
                <c:pt idx="296">
                  <c:v>-6.6905248467046484E-4</c:v>
                </c:pt>
                <c:pt idx="297">
                  <c:v>-6.5867162075538448E-4</c:v>
                </c:pt>
                <c:pt idx="298">
                  <c:v>-6.2752902901014145E-4</c:v>
                </c:pt>
                <c:pt idx="299">
                  <c:v>-6.1714816509506022E-4</c:v>
                </c:pt>
                <c:pt idx="300">
                  <c:v>-6.0676730117997975E-4</c:v>
                </c:pt>
                <c:pt idx="301">
                  <c:v>-5.9638643726489852E-4</c:v>
                </c:pt>
                <c:pt idx="302">
                  <c:v>-5.8600557334981805E-4</c:v>
                </c:pt>
                <c:pt idx="303">
                  <c:v>-5.5486298160457512E-4</c:v>
                </c:pt>
                <c:pt idx="304">
                  <c:v>-5.4448211768949378E-4</c:v>
                </c:pt>
                <c:pt idx="305">
                  <c:v>-5.3410125377441342E-4</c:v>
                </c:pt>
                <c:pt idx="306">
                  <c:v>-5.2372038985933208E-4</c:v>
                </c:pt>
                <c:pt idx="307">
                  <c:v>-5.1333952594425172E-4</c:v>
                </c:pt>
                <c:pt idx="308">
                  <c:v>-4.8219693419900868E-4</c:v>
                </c:pt>
                <c:pt idx="309">
                  <c:v>-4.7181607028392832E-4</c:v>
                </c:pt>
                <c:pt idx="310">
                  <c:v>-4.6143520636884698E-4</c:v>
                </c:pt>
                <c:pt idx="311">
                  <c:v>-4.5105434245376575E-4</c:v>
                </c:pt>
                <c:pt idx="312">
                  <c:v>-4.4067347853868528E-4</c:v>
                </c:pt>
                <c:pt idx="313">
                  <c:v>-4.0953088679344235E-4</c:v>
                </c:pt>
                <c:pt idx="314">
                  <c:v>-3.9915002287836188E-4</c:v>
                </c:pt>
                <c:pt idx="315">
                  <c:v>-3.8876915896328065E-4</c:v>
                </c:pt>
                <c:pt idx="316">
                  <c:v>-3.7838829504820018E-4</c:v>
                </c:pt>
                <c:pt idx="317">
                  <c:v>-3.6800743113311885E-4</c:v>
                </c:pt>
                <c:pt idx="318">
                  <c:v>-3.3686483938787592E-4</c:v>
                </c:pt>
                <c:pt idx="319">
                  <c:v>-3.2648397547279545E-4</c:v>
                </c:pt>
                <c:pt idx="320">
                  <c:v>-3.1610311155771422E-4</c:v>
                </c:pt>
                <c:pt idx="321">
                  <c:v>-3.0572224764263375E-4</c:v>
                </c:pt>
                <c:pt idx="322">
                  <c:v>-2.9534138372755252E-4</c:v>
                </c:pt>
                <c:pt idx="323">
                  <c:v>-2.6419879198231035E-4</c:v>
                </c:pt>
                <c:pt idx="324">
                  <c:v>-2.5381792806722912E-4</c:v>
                </c:pt>
                <c:pt idx="325">
                  <c:v>-2.4343706415214778E-4</c:v>
                </c:pt>
                <c:pt idx="326">
                  <c:v>-2.3305620023706731E-4</c:v>
                </c:pt>
                <c:pt idx="327">
                  <c:v>-2.2267533632198619E-4</c:v>
                </c:pt>
                <c:pt idx="328">
                  <c:v>-1.9153274457674391E-4</c:v>
                </c:pt>
                <c:pt idx="329">
                  <c:v>-1.8115188066166279E-4</c:v>
                </c:pt>
                <c:pt idx="330">
                  <c:v>-1.7077101674658232E-4</c:v>
                </c:pt>
                <c:pt idx="331">
                  <c:v>-1.6039015283150098E-4</c:v>
                </c:pt>
                <c:pt idx="332">
                  <c:v>-1.5000928891642051E-4</c:v>
                </c:pt>
                <c:pt idx="333">
                  <c:v>-1.1886669717117758E-4</c:v>
                </c:pt>
                <c:pt idx="334">
                  <c:v>-1.0848583325609625E-4</c:v>
                </c:pt>
                <c:pt idx="335">
                  <c:v>-9.8104969341015775E-5</c:v>
                </c:pt>
                <c:pt idx="336">
                  <c:v>-8.7724105425934654E-5</c:v>
                </c:pt>
                <c:pt idx="337">
                  <c:v>-7.7343241510854184E-5</c:v>
                </c:pt>
                <c:pt idx="338">
                  <c:v>-4.6200649765611255E-5</c:v>
                </c:pt>
                <c:pt idx="339">
                  <c:v>-3.5819785850529917E-5</c:v>
                </c:pt>
                <c:pt idx="340">
                  <c:v>-2.5438921935449447E-5</c:v>
                </c:pt>
                <c:pt idx="341">
                  <c:v>-1.5058058020368109E-5</c:v>
                </c:pt>
                <c:pt idx="342">
                  <c:v>-4.6771941052878557E-6</c:v>
                </c:pt>
                <c:pt idx="343">
                  <c:v>2.646539763995529E-5</c:v>
                </c:pt>
                <c:pt idx="344">
                  <c:v>3.6846261555035544E-5</c:v>
                </c:pt>
                <c:pt idx="345">
                  <c:v>4.7227125470116881E-5</c:v>
                </c:pt>
                <c:pt idx="346">
                  <c:v>5.7607989385197352E-5</c:v>
                </c:pt>
                <c:pt idx="347">
                  <c:v>6.7988853300278689E-5</c:v>
                </c:pt>
                <c:pt idx="348">
                  <c:v>9.9131445045521618E-5</c:v>
                </c:pt>
                <c:pt idx="349">
                  <c:v>1.0951230896060209E-4</c:v>
                </c:pt>
                <c:pt idx="350">
                  <c:v>1.1989317287568321E-4</c:v>
                </c:pt>
                <c:pt idx="351">
                  <c:v>1.3027403679076368E-4</c:v>
                </c:pt>
                <c:pt idx="352">
                  <c:v>1.4065490070584502E-4</c:v>
                </c:pt>
                <c:pt idx="353">
                  <c:v>1.7179749245108795E-4</c:v>
                </c:pt>
                <c:pt idx="354">
                  <c:v>1.8217835636616842E-4</c:v>
                </c:pt>
                <c:pt idx="355">
                  <c:v>1.9255922028124975E-4</c:v>
                </c:pt>
                <c:pt idx="356">
                  <c:v>2.0294008419633022E-4</c:v>
                </c:pt>
                <c:pt idx="357">
                  <c:v>2.1332094811141135E-4</c:v>
                </c:pt>
                <c:pt idx="358">
                  <c:v>2.4446353985665362E-4</c:v>
                </c:pt>
                <c:pt idx="359">
                  <c:v>2.5484440377173474E-4</c:v>
                </c:pt>
                <c:pt idx="360">
                  <c:v>2.6522526768681608E-4</c:v>
                </c:pt>
                <c:pt idx="361">
                  <c:v>2.7560613160189655E-4</c:v>
                </c:pt>
                <c:pt idx="362">
                  <c:v>2.8598699551697789E-4</c:v>
                </c:pt>
                <c:pt idx="363">
                  <c:v>3.1712958726221995E-4</c:v>
                </c:pt>
                <c:pt idx="364">
                  <c:v>3.2751045117730129E-4</c:v>
                </c:pt>
                <c:pt idx="365">
                  <c:v>3.3789131509238154E-4</c:v>
                </c:pt>
                <c:pt idx="366">
                  <c:v>3.4827217900746288E-4</c:v>
                </c:pt>
                <c:pt idx="367">
                  <c:v>3.5865304292254335E-4</c:v>
                </c:pt>
                <c:pt idx="368">
                  <c:v>3.8979563466778628E-4</c:v>
                </c:pt>
                <c:pt idx="369">
                  <c:v>4.0017649858286762E-4</c:v>
                </c:pt>
                <c:pt idx="370">
                  <c:v>4.1055736249794809E-4</c:v>
                </c:pt>
                <c:pt idx="371">
                  <c:v>4.2093822641302921E-4</c:v>
                </c:pt>
                <c:pt idx="372">
                  <c:v>4.3131909032810968E-4</c:v>
                </c:pt>
                <c:pt idx="373">
                  <c:v>4.6246168207335261E-4</c:v>
                </c:pt>
                <c:pt idx="374">
                  <c:v>4.7284254598843395E-4</c:v>
                </c:pt>
                <c:pt idx="375">
                  <c:v>4.8322340990351442E-4</c:v>
                </c:pt>
                <c:pt idx="376">
                  <c:v>4.9360427381859575E-4</c:v>
                </c:pt>
                <c:pt idx="377">
                  <c:v>5.0398513773367622E-4</c:v>
                </c:pt>
                <c:pt idx="378">
                  <c:v>5.3512772947891915E-4</c:v>
                </c:pt>
                <c:pt idx="379">
                  <c:v>5.4550859339399962E-4</c:v>
                </c:pt>
                <c:pt idx="380">
                  <c:v>5.5588945730908074E-4</c:v>
                </c:pt>
                <c:pt idx="381">
                  <c:v>5.6627032122416121E-4</c:v>
                </c:pt>
                <c:pt idx="382">
                  <c:v>5.7665118513924255E-4</c:v>
                </c:pt>
                <c:pt idx="383">
                  <c:v>6.0779377688448548E-4</c:v>
                </c:pt>
                <c:pt idx="384">
                  <c:v>6.1817464079956595E-4</c:v>
                </c:pt>
                <c:pt idx="385">
                  <c:v>6.2855550471464729E-4</c:v>
                </c:pt>
                <c:pt idx="386">
                  <c:v>6.3893636862972754E-4</c:v>
                </c:pt>
                <c:pt idx="387">
                  <c:v>6.4931723254480877E-4</c:v>
                </c:pt>
                <c:pt idx="388">
                  <c:v>6.8213561497442073E-4</c:v>
                </c:pt>
                <c:pt idx="389">
                  <c:v>6.9308117719064683E-4</c:v>
                </c:pt>
                <c:pt idx="390">
                  <c:v>7.040308282993741E-4</c:v>
                </c:pt>
                <c:pt idx="391">
                  <c:v>7.1498459224989637E-4</c:v>
                </c:pt>
                <c:pt idx="392">
                  <c:v>7.2594249299151126E-4</c:v>
                </c:pt>
                <c:pt idx="393">
                  <c:v>7.5884125545586188E-4</c:v>
                </c:pt>
                <c:pt idx="394">
                  <c:v>7.6981594285480094E-4</c:v>
                </c:pt>
                <c:pt idx="395">
                  <c:v>7.8079488679130935E-4</c:v>
                </c:pt>
                <c:pt idx="396">
                  <c:v>7.9177811121468485E-4</c:v>
                </c:pt>
                <c:pt idx="397">
                  <c:v>8.0276564007422202E-4</c:v>
                </c:pt>
                <c:pt idx="398">
                  <c:v>8.3575429276276029E-4</c:v>
                </c:pt>
                <c:pt idx="399">
                  <c:v>8.4675927885990217E-4</c:v>
                </c:pt>
                <c:pt idx="400">
                  <c:v>8.5776868913968365E-4</c:v>
                </c:pt>
                <c:pt idx="401">
                  <c:v>8.6878254755140213E-4</c:v>
                </c:pt>
                <c:pt idx="402">
                  <c:v>8.7980087804435155E-4</c:v>
                </c:pt>
                <c:pt idx="403">
                  <c:v>9.1288294150355075E-4</c:v>
                </c:pt>
                <c:pt idx="404">
                  <c:v>9.2391939981438618E-4</c:v>
                </c:pt>
                <c:pt idx="405">
                  <c:v>9.3496044995293134E-4</c:v>
                </c:pt>
                <c:pt idx="406">
                  <c:v>9.4600611586848364E-4</c:v>
                </c:pt>
                <c:pt idx="407">
                  <c:v>9.5705642151033702E-4</c:v>
                </c:pt>
                <c:pt idx="408">
                  <c:v>9.9023541628666845E-4</c:v>
                </c:pt>
                <c:pt idx="409">
                  <c:v>1.0013045203266875E-3</c:v>
                </c:pt>
                <c:pt idx="410">
                  <c:v>1.0123783838394879E-3</c:v>
                </c:pt>
                <c:pt idx="411">
                  <c:v>1.0234570307743648E-3</c:v>
                </c:pt>
                <c:pt idx="412">
                  <c:v>1.0345404850806131E-3</c:v>
                </c:pt>
                <c:pt idx="413">
                  <c:v>1.0678199317205493E-3</c:v>
                </c:pt>
                <c:pt idx="414">
                  <c:v>1.0789228550052434E-3</c:v>
                </c:pt>
                <c:pt idx="415">
                  <c:v>1.0900307054077891E-3</c:v>
                </c:pt>
                <c:pt idx="416">
                  <c:v>1.1011435068774805E-3</c:v>
                </c:pt>
                <c:pt idx="417">
                  <c:v>1.1122612833636149E-3</c:v>
                </c:pt>
                <c:pt idx="418">
                  <c:v>1.1456447024136285E-3</c:v>
                </c:pt>
                <c:pt idx="419">
                  <c:v>1.1567826184584883E-3</c:v>
                </c:pt>
                <c:pt idx="420">
                  <c:v>1.1679256292662699E-3</c:v>
                </c:pt>
                <c:pt idx="421">
                  <c:v>1.1790737587862674E-3</c:v>
                </c:pt>
                <c:pt idx="422">
                  <c:v>1.1902270309677781E-3</c:v>
                </c:pt>
                <c:pt idx="423">
                  <c:v>1.2237179429743408E-3</c:v>
                </c:pt>
                <c:pt idx="424">
                  <c:v>1.2348920252948576E-3</c:v>
                </c:pt>
                <c:pt idx="425">
                  <c:v>1.2684459425015382E-3</c:v>
                </c:pt>
                <c:pt idx="426">
                  <c:v>1.3020478680111219E-3</c:v>
                </c:pt>
                <c:pt idx="427">
                  <c:v>1.3132592901227867E-3</c:v>
                </c:pt>
                <c:pt idx="428">
                  <c:v>1.3356371095136965E-3</c:v>
                </c:pt>
                <c:pt idx="429">
                  <c:v>1.3468341792247302E-3</c:v>
                </c:pt>
                <c:pt idx="430">
                  <c:v>1.3804583134624587E-3</c:v>
                </c:pt>
                <c:pt idx="431">
                  <c:v>1.3916774124216628E-3</c:v>
                </c:pt>
                <c:pt idx="432">
                  <c:v>1.4029020780767249E-3</c:v>
                </c:pt>
                <c:pt idx="433">
                  <c:v>1.4141323341811704E-3</c:v>
                </c:pt>
                <c:pt idx="434">
                  <c:v>1.4253682044885244E-3</c:v>
                </c:pt>
                <c:pt idx="435">
                  <c:v>1.4591097381633006E-3</c:v>
                </c:pt>
                <c:pt idx="436">
                  <c:v>1.4703683028175498E-3</c:v>
                </c:pt>
                <c:pt idx="437">
                  <c:v>1.4816326004423389E-3</c:v>
                </c:pt>
                <c:pt idx="438">
                  <c:v>1.4929026547911926E-3</c:v>
                </c:pt>
                <c:pt idx="439">
                  <c:v>1.5041784896176354E-3</c:v>
                </c:pt>
                <c:pt idx="440">
                  <c:v>1.5380409144977675E-3</c:v>
                </c:pt>
                <c:pt idx="441">
                  <c:v>1.5493401087698312E-3</c:v>
                </c:pt>
                <c:pt idx="442">
                  <c:v>1.5606452022871148E-3</c:v>
                </c:pt>
                <c:pt idx="443">
                  <c:v>1.5719562188031449E-3</c:v>
                </c:pt>
                <c:pt idx="444">
                  <c:v>1.583273182071447E-3</c:v>
                </c:pt>
                <c:pt idx="445">
                  <c:v>1.6172599899252397E-3</c:v>
                </c:pt>
                <c:pt idx="446">
                  <c:v>1.6286009777378868E-3</c:v>
                </c:pt>
                <c:pt idx="447">
                  <c:v>1.6399480310704344E-3</c:v>
                </c:pt>
                <c:pt idx="448">
                  <c:v>1.6513011736764094E-3</c:v>
                </c:pt>
                <c:pt idx="449">
                  <c:v>1.6626604293093379E-3</c:v>
                </c:pt>
                <c:pt idx="450">
                  <c:v>1.696775111905098E-3</c:v>
                </c:pt>
                <c:pt idx="451">
                  <c:v>1.7081590571810974E-3</c:v>
                </c:pt>
                <c:pt idx="452">
                  <c:v>1.7195492342516789E-3</c:v>
                </c:pt>
                <c:pt idx="453">
                  <c:v>1.730945666870368E-3</c:v>
                </c:pt>
                <c:pt idx="454">
                  <c:v>1.7423483787906908E-3</c:v>
                </c:pt>
                <c:pt idx="455">
                  <c:v>1.7765944278967261E-3</c:v>
                </c:pt>
                <c:pt idx="456">
                  <c:v>1.7880224945588451E-3</c:v>
                </c:pt>
                <c:pt idx="457">
                  <c:v>1.799456959290228E-3</c:v>
                </c:pt>
                <c:pt idx="458">
                  <c:v>1.8108978458444011E-3</c:v>
                </c:pt>
                <c:pt idx="459">
                  <c:v>1.8223451779748885E-3</c:v>
                </c:pt>
                <c:pt idx="460">
                  <c:v>1.8567260853595041E-3</c:v>
                </c:pt>
                <c:pt idx="461">
                  <c:v>1.8681994373305109E-3</c:v>
                </c:pt>
                <c:pt idx="462">
                  <c:v>1.8796793536454649E-3</c:v>
                </c:pt>
                <c:pt idx="463">
                  <c:v>1.8911658580578895E-3</c:v>
                </c:pt>
                <c:pt idx="464">
                  <c:v>1.90265897432131E-3</c:v>
                </c:pt>
                <c:pt idx="465">
                  <c:v>1.9371782317528119E-3</c:v>
                </c:pt>
                <c:pt idx="466">
                  <c:v>1.9486980329554782E-3</c:v>
                </c:pt>
                <c:pt idx="467">
                  <c:v>1.9602245647767705E-3</c:v>
                </c:pt>
                <c:pt idx="468">
                  <c:v>1.9717578509702155E-3</c:v>
                </c:pt>
                <c:pt idx="469">
                  <c:v>1.9832979152893393E-3</c:v>
                </c:pt>
                <c:pt idx="470">
                  <c:v>2.0179590145360327E-3</c:v>
                </c:pt>
                <c:pt idx="471">
                  <c:v>2.0295264288931266E-3</c:v>
                </c:pt>
                <c:pt idx="472">
                  <c:v>2.0411007401435269E-3</c:v>
                </c:pt>
                <c:pt idx="473">
                  <c:v>2.0526819720407606E-3</c:v>
                </c:pt>
                <c:pt idx="474">
                  <c:v>2.0642701483383542E-3</c:v>
                </c:pt>
                <c:pt idx="475">
                  <c:v>2.0990765811685478E-3</c:v>
                </c:pt>
                <c:pt idx="476">
                  <c:v>2.1106927726028371E-3</c:v>
                </c:pt>
                <c:pt idx="477">
                  <c:v>2.1223160272051149E-3</c:v>
                </c:pt>
                <c:pt idx="478">
                  <c:v>2.1339463687289066E-3</c:v>
                </c:pt>
                <c:pt idx="479">
                  <c:v>2.1455838209277389E-3</c:v>
                </c:pt>
                <c:pt idx="480">
                  <c:v>2.1805390791097387E-3</c:v>
                </c:pt>
                <c:pt idx="481">
                  <c:v>2.1922052115439915E-3</c:v>
                </c:pt>
                <c:pt idx="482">
                  <c:v>2.2038785734209152E-3</c:v>
                </c:pt>
                <c:pt idx="483">
                  <c:v>2.2155591884940348E-3</c:v>
                </c:pt>
                <c:pt idx="484">
                  <c:v>2.2272470805168752E-3</c:v>
                </c:pt>
                <c:pt idx="485">
                  <c:v>2.2623546558189866E-3</c:v>
                </c:pt>
                <c:pt idx="486">
                  <c:v>2.2740718931759728E-3</c:v>
                </c:pt>
                <c:pt idx="487">
                  <c:v>2.2857965262503099E-3</c:v>
                </c:pt>
                <c:pt idx="488">
                  <c:v>2.297528578795525E-3</c:v>
                </c:pt>
                <c:pt idx="489">
                  <c:v>2.3092680745651424E-3</c:v>
                </c:pt>
                <c:pt idx="490">
                  <c:v>2.3445314587556719E-3</c:v>
                </c:pt>
                <c:pt idx="491">
                  <c:v>2.3563009649581598E-3</c:v>
                </c:pt>
                <c:pt idx="492">
                  <c:v>2.3680780331526803E-3</c:v>
                </c:pt>
                <c:pt idx="493">
                  <c:v>2.3798626870927602E-3</c:v>
                </c:pt>
                <c:pt idx="494">
                  <c:v>2.3916549505319236E-3</c:v>
                </c:pt>
                <c:pt idx="495">
                  <c:v>2.4270776353791774E-3</c:v>
                </c:pt>
                <c:pt idx="496">
                  <c:v>2.4389005743499369E-3</c:v>
                </c:pt>
                <c:pt idx="497">
                  <c:v>2.4507312415874092E-3</c:v>
                </c:pt>
                <c:pt idx="498">
                  <c:v>2.4625696608451203E-3</c:v>
                </c:pt>
                <c:pt idx="499">
                  <c:v>2.5218788688106827E-3</c:v>
                </c:pt>
                <c:pt idx="500">
                  <c:v>2.5337642990138766E-3</c:v>
                </c:pt>
                <c:pt idx="501">
                  <c:v>2.54565764751199E-3</c:v>
                </c:pt>
                <c:pt idx="502">
                  <c:v>2.5575589380585507E-3</c:v>
                </c:pt>
                <c:pt idx="503">
                  <c:v>2.5933106995241727E-3</c:v>
                </c:pt>
                <c:pt idx="504">
                  <c:v>2.6052439957997791E-3</c:v>
                </c:pt>
                <c:pt idx="505">
                  <c:v>2.6171853528914623E-3</c:v>
                </c:pt>
                <c:pt idx="506">
                  <c:v>2.6291347945527478E-3</c:v>
                </c:pt>
                <c:pt idx="507">
                  <c:v>2.6410923445371604E-3</c:v>
                </c:pt>
                <c:pt idx="508">
                  <c:v>2.6770138819644262E-3</c:v>
                </c:pt>
                <c:pt idx="509">
                  <c:v>2.6890041027766102E-3</c:v>
                </c:pt>
                <c:pt idx="510">
                  <c:v>2.7010025506795502E-3</c:v>
                </c:pt>
                <c:pt idx="511">
                  <c:v>2.7130092494267754E-3</c:v>
                </c:pt>
                <c:pt idx="512">
                  <c:v>2.7611190279290244E-3</c:v>
                </c:pt>
                <c:pt idx="513">
                  <c:v>2.7731673143530818E-3</c:v>
                </c:pt>
                <c:pt idx="514">
                  <c:v>2.7852238570577588E-3</c:v>
                </c:pt>
                <c:pt idx="515">
                  <c:v>2.7972885427117512E-3</c:v>
                </c:pt>
                <c:pt idx="516">
                  <c:v>2.8093612579837661E-3</c:v>
                </c:pt>
                <c:pt idx="517">
                  <c:v>2.8456264481949659E-3</c:v>
                </c:pt>
                <c:pt idx="518">
                  <c:v>2.857730148626096E-3</c:v>
                </c:pt>
                <c:pt idx="519">
                  <c:v>2.8698413120187595E-3</c:v>
                </c:pt>
                <c:pt idx="520">
                  <c:v>2.8819598250416651E-3</c:v>
                </c:pt>
                <c:pt idx="521">
                  <c:v>2.8940855743635088E-3</c:v>
                </c:pt>
                <c:pt idx="522">
                  <c:v>2.930505106809722E-3</c:v>
                </c:pt>
                <c:pt idx="523">
                  <c:v>2.942658668014362E-3</c:v>
                </c:pt>
                <c:pt idx="524">
                  <c:v>2.9548188988614585E-3</c:v>
                </c:pt>
                <c:pt idx="525">
                  <c:v>2.9669856860197116E-3</c:v>
                </c:pt>
                <c:pt idx="526">
                  <c:v>2.9791589161578288E-3</c:v>
                </c:pt>
                <c:pt idx="527">
                  <c:v>3.0157161311383783E-3</c:v>
                </c:pt>
                <c:pt idx="528">
                  <c:v>3.0279139998829691E-3</c:v>
                </c:pt>
                <c:pt idx="529">
                  <c:v>3.0401177449509375E-3</c:v>
                </c:pt>
                <c:pt idx="530">
                  <c:v>3.0523272530109846E-3</c:v>
                </c:pt>
                <c:pt idx="531">
                  <c:v>3.0645424107318122E-3</c:v>
                </c:pt>
                <c:pt idx="532">
                  <c:v>3.1012206485460173E-3</c:v>
                </c:pt>
                <c:pt idx="533">
                  <c:v>3.1134572715970045E-3</c:v>
                </c:pt>
                <c:pt idx="534">
                  <c:v>3.1256989776522839E-3</c:v>
                </c:pt>
                <c:pt idx="535">
                  <c:v>3.1379456533805641E-3</c:v>
                </c:pt>
                <c:pt idx="536">
                  <c:v>3.1501971854505468E-3</c:v>
                </c:pt>
                <c:pt idx="537">
                  <c:v>3.1869797863977325E-3</c:v>
                </c:pt>
                <c:pt idx="538">
                  <c:v>3.199249610521549E-3</c:v>
                </c:pt>
                <c:pt idx="539">
                  <c:v>3.2115237243305868E-3</c:v>
                </c:pt>
                <c:pt idx="540">
                  <c:v>3.2238020144935392E-3</c:v>
                </c:pt>
                <c:pt idx="541">
                  <c:v>3.2360843676791161E-3</c:v>
                </c:pt>
                <c:pt idx="542">
                  <c:v>3.2729546720586047E-3</c:v>
                </c:pt>
                <c:pt idx="543">
                  <c:v>3.285252144021698E-3</c:v>
                </c:pt>
                <c:pt idx="544">
                  <c:v>3.2975531123509258E-3</c:v>
                </c:pt>
                <c:pt idx="545">
                  <c:v>3.3098574637149972E-3</c:v>
                </c:pt>
                <c:pt idx="546">
                  <c:v>3.3221650847826073E-3</c:v>
                </c:pt>
                <c:pt idx="547">
                  <c:v>3.3591064328937219E-3</c:v>
                </c:pt>
                <c:pt idx="548">
                  <c:v>3.3714259994625305E-3</c:v>
                </c:pt>
                <c:pt idx="549">
                  <c:v>3.3837482690783969E-3</c:v>
                </c:pt>
                <c:pt idx="550">
                  <c:v>3.3960731284100199E-3</c:v>
                </c:pt>
                <c:pt idx="551">
                  <c:v>3.4084004641261076E-3</c:v>
                </c:pt>
                <c:pt idx="552">
                  <c:v>3.4453961962681726E-3</c:v>
                </c:pt>
                <c:pt idx="553">
                  <c:v>3.4577323042091364E-3</c:v>
                </c:pt>
                <c:pt idx="554">
                  <c:v>3.4700703218780789E-3</c:v>
                </c:pt>
                <c:pt idx="555">
                  <c:v>3.4824101359437003E-3</c:v>
                </c:pt>
                <c:pt idx="556">
                  <c:v>3.4947516330747033E-3</c:v>
                </c:pt>
                <c:pt idx="557">
                  <c:v>3.5317850895470381E-3</c:v>
                </c:pt>
                <c:pt idx="558">
                  <c:v>3.5441321856266028E-3</c:v>
                </c:pt>
                <c:pt idx="559">
                  <c:v>3.5564803981150608E-3</c:v>
                </c:pt>
                <c:pt idx="560">
                  <c:v>3.5688296136811202E-3</c:v>
                </c:pt>
                <c:pt idx="561">
                  <c:v>3.5811797189934822E-3</c:v>
                </c:pt>
                <c:pt idx="562">
                  <c:v>3.6182342400954116E-3</c:v>
                </c:pt>
                <c:pt idx="563">
                  <c:v>3.6305867710800109E-3</c:v>
                </c:pt>
                <c:pt idx="564">
                  <c:v>3.6429396251544312E-3</c:v>
                </c:pt>
                <c:pt idx="565">
                  <c:v>3.6552926889873672E-3</c:v>
                </c:pt>
                <c:pt idx="566">
                  <c:v>3.667645849247528E-3</c:v>
                </c:pt>
                <c:pt idx="567">
                  <c:v>3.7047047752783741E-3</c:v>
                </c:pt>
                <c:pt idx="568">
                  <c:v>3.7170571879344542E-3</c:v>
                </c:pt>
                <c:pt idx="569">
                  <c:v>3.7294091303612699E-3</c:v>
                </c:pt>
                <c:pt idx="570">
                  <c:v>3.7417604892275298E-3</c:v>
                </c:pt>
                <c:pt idx="571">
                  <c:v>3.7541111512019287E-3</c:v>
                </c:pt>
                <c:pt idx="572">
                  <c:v>3.7911578224610132E-3</c:v>
                </c:pt>
                <c:pt idx="573">
                  <c:v>3.8035045635550144E-3</c:v>
                </c:pt>
                <c:pt idx="574">
                  <c:v>3.8158500411006723E-3</c:v>
                </c:pt>
                <c:pt idx="575">
                  <c:v>3.8281941417666887E-3</c:v>
                </c:pt>
                <c:pt idx="576">
                  <c:v>3.8405367522217713E-3</c:v>
                </c:pt>
                <c:pt idx="577">
                  <c:v>3.8775545090084197E-3</c:v>
                </c:pt>
                <c:pt idx="578">
                  <c:v>3.8898900253067793E-3</c:v>
                </c:pt>
                <c:pt idx="579">
                  <c:v>3.9022234847377181E-3</c:v>
                </c:pt>
                <c:pt idx="580">
                  <c:v>3.9145547739699383E-3</c:v>
                </c:pt>
                <c:pt idx="581">
                  <c:v>3.9268837796721384E-3</c:v>
                </c:pt>
                <c:pt idx="582">
                  <c:v>3.9638559622856709E-3</c:v>
                </c:pt>
                <c:pt idx="583">
                  <c:v>3.9761747005548371E-3</c:v>
                </c:pt>
                <c:pt idx="584">
                  <c:v>3.9884905886374963E-3</c:v>
                </c:pt>
                <c:pt idx="585">
                  <c:v>4.000803513202358E-3</c:v>
                </c:pt>
                <c:pt idx="586">
                  <c:v>4.0131133609181222E-3</c:v>
                </c:pt>
                <c:pt idx="587">
                  <c:v>4.0500233096578643E-3</c:v>
                </c:pt>
                <c:pt idx="588">
                  <c:v>4.0623197166642687E-3</c:v>
                </c:pt>
                <c:pt idx="589">
                  <c:v>4.0746124801650943E-3</c:v>
                </c:pt>
                <c:pt idx="590">
                  <c:v>4.0869014868290367E-3</c:v>
                </c:pt>
                <c:pt idx="591">
                  <c:v>4.0991866233248053E-3</c:v>
                </c:pt>
                <c:pt idx="592">
                  <c:v>4.1360176784900771E-3</c:v>
                </c:pt>
                <c:pt idx="593">
                  <c:v>4.1482862010001672E-3</c:v>
                </c:pt>
                <c:pt idx="594">
                  <c:v>4.1605502866855935E-3</c:v>
                </c:pt>
                <c:pt idx="595">
                  <c:v>4.1728098222150647E-3</c:v>
                </c:pt>
                <c:pt idx="596">
                  <c:v>4.1850646942572754E-3</c:v>
                </c:pt>
                <c:pt idx="597">
                  <c:v>4.2218001961473999E-3</c:v>
                </c:pt>
                <c:pt idx="598">
                  <c:v>4.2340352809276159E-3</c:v>
                </c:pt>
                <c:pt idx="599">
                  <c:v>4.2462651355640885E-3</c:v>
                </c:pt>
                <c:pt idx="600">
                  <c:v>4.2584896467255202E-3</c:v>
                </c:pt>
                <c:pt idx="601">
                  <c:v>4.2707087010806196E-3</c:v>
                </c:pt>
                <c:pt idx="602">
                  <c:v>4.3073319899949204E-3</c:v>
                </c:pt>
                <c:pt idx="603">
                  <c:v>4.3195280838116993E-3</c:v>
                </c:pt>
                <c:pt idx="604">
                  <c:v>4.3317181541656586E-3</c:v>
                </c:pt>
                <c:pt idx="605">
                  <c:v>4.3439020877254989E-3</c:v>
                </c:pt>
                <c:pt idx="606">
                  <c:v>4.3560797711599203E-3</c:v>
                </c:pt>
                <c:pt idx="607">
                  <c:v>4.3925741873977204E-3</c:v>
                </c:pt>
                <c:pt idx="608">
                  <c:v>4.4047257370175095E-3</c:v>
                </c:pt>
                <c:pt idx="609">
                  <c:v>4.4168704698553931E-3</c:v>
                </c:pt>
                <c:pt idx="610">
                  <c:v>4.4290082725800791E-3</c:v>
                </c:pt>
                <c:pt idx="611">
                  <c:v>4.4411390318602698E-3</c:v>
                </c:pt>
                <c:pt idx="612">
                  <c:v>4.477487915720892E-3</c:v>
                </c:pt>
                <c:pt idx="613">
                  <c:v>4.4895893679101247E-3</c:v>
                </c:pt>
                <c:pt idx="614">
                  <c:v>4.50168320999838E-3</c:v>
                </c:pt>
                <c:pt idx="615">
                  <c:v>4.5137693286543519E-3</c:v>
                </c:pt>
                <c:pt idx="616">
                  <c:v>4.5258476105467507E-3</c:v>
                </c:pt>
                <c:pt idx="617">
                  <c:v>4.5620343023295169E-3</c:v>
                </c:pt>
                <c:pt idx="618">
                  <c:v>4.5740801038546396E-3</c:v>
                </c:pt>
                <c:pt idx="619">
                  <c:v>4.5861175019596993E-3</c:v>
                </c:pt>
                <c:pt idx="620">
                  <c:v>4.5981463833134053E-3</c:v>
                </c:pt>
                <c:pt idx="621">
                  <c:v>4.6101666345844507E-3</c:v>
                </c:pt>
                <c:pt idx="622">
                  <c:v>4.6461744745886838E-3</c:v>
                </c:pt>
                <c:pt idx="623">
                  <c:v>4.6581590722161352E-3</c:v>
                </c:pt>
                <c:pt idx="624">
                  <c:v>4.6701344731044465E-3</c:v>
                </c:pt>
                <c:pt idx="625">
                  <c:v>4.6821005639223175E-3</c:v>
                </c:pt>
                <c:pt idx="626">
                  <c:v>4.6940572313384559E-3</c:v>
                </c:pt>
                <c:pt idx="627">
                  <c:v>4.7298695598634796E-3</c:v>
                </c:pt>
                <c:pt idx="628">
                  <c:v>4.7417874003597002E-3</c:v>
                </c:pt>
                <c:pt idx="629">
                  <c:v>4.7536952507977025E-3</c:v>
                </c:pt>
                <c:pt idx="630">
                  <c:v>4.7655929978461849E-3</c:v>
                </c:pt>
                <c:pt idx="631">
                  <c:v>4.7774805281738508E-3</c:v>
                </c:pt>
                <c:pt idx="632">
                  <c:v>4.8130806855189862E-3</c:v>
                </c:pt>
                <c:pt idx="633">
                  <c:v>4.8249262156504231E-3</c:v>
                </c:pt>
                <c:pt idx="634">
                  <c:v>4.8367609624045535E-3</c:v>
                </c:pt>
                <c:pt idx="635">
                  <c:v>4.8485848124500876E-3</c:v>
                </c:pt>
                <c:pt idx="636">
                  <c:v>4.8603976524557273E-3</c:v>
                </c:pt>
                <c:pt idx="637">
                  <c:v>4.8957689789202972E-3</c:v>
                </c:pt>
                <c:pt idx="638">
                  <c:v>4.9075366454533823E-3</c:v>
                </c:pt>
                <c:pt idx="639">
                  <c:v>4.9192927352900888E-3</c:v>
                </c:pt>
                <c:pt idx="640">
                  <c:v>4.9310371350991134E-3</c:v>
                </c:pt>
                <c:pt idx="641">
                  <c:v>4.9427697315491664E-3</c:v>
                </c:pt>
                <c:pt idx="642">
                  <c:v>4.9778955674324955E-3</c:v>
                </c:pt>
                <c:pt idx="643">
                  <c:v>4.9895798171336742E-3</c:v>
                </c:pt>
                <c:pt idx="644">
                  <c:v>5.0012517174665887E-3</c:v>
                </c:pt>
                <c:pt idx="645">
                  <c:v>5.0129112583359465E-3</c:v>
                </c:pt>
                <c:pt idx="646">
                  <c:v>5.0245584502936333E-3</c:v>
                </c:pt>
                <c:pt idx="647">
                  <c:v>5.0594260382156933E-3</c:v>
                </c:pt>
                <c:pt idx="648">
                  <c:v>5.0710239400457028E-3</c:v>
                </c:pt>
                <c:pt idx="649">
                  <c:v>5.0826095457235394E-3</c:v>
                </c:pt>
                <c:pt idx="650">
                  <c:v>5.0941828658010984E-3</c:v>
                </c:pt>
                <c:pt idx="651">
                  <c:v>5.1057439108302812E-3</c:v>
                </c:pt>
                <c:pt idx="652">
                  <c:v>5.1403535011465351E-3</c:v>
                </c:pt>
                <c:pt idx="653">
                  <c:v>5.1518655515011818E-3</c:v>
                </c:pt>
                <c:pt idx="654">
                  <c:v>5.1633653795669443E-3</c:v>
                </c:pt>
                <c:pt idx="655">
                  <c:v>5.1748529958957137E-3</c:v>
                </c:pt>
                <c:pt idx="656">
                  <c:v>5.1863284110393914E-3</c:v>
                </c:pt>
                <c:pt idx="657">
                  <c:v>5.2206815548788551E-3</c:v>
                </c:pt>
                <c:pt idx="658">
                  <c:v>5.2321082708011481E-3</c:v>
                </c:pt>
                <c:pt idx="659">
                  <c:v>5.243522838297837E-3</c:v>
                </c:pt>
                <c:pt idx="660">
                  <c:v>5.2549252679208224E-3</c:v>
                </c:pt>
                <c:pt idx="661">
                  <c:v>5.2663155702220047E-3</c:v>
                </c:pt>
                <c:pt idx="662">
                  <c:v>5.3004138187136935E-3</c:v>
                </c:pt>
                <c:pt idx="663">
                  <c:v>5.3117557172466297E-3</c:v>
                </c:pt>
                <c:pt idx="664">
                  <c:v>5.3230855412172559E-3</c:v>
                </c:pt>
                <c:pt idx="665">
                  <c:v>5.334403301177462E-3</c:v>
                </c:pt>
                <c:pt idx="666">
                  <c:v>5.3457090076791504E-3</c:v>
                </c:pt>
                <c:pt idx="667">
                  <c:v>5.3795539119520785E-3</c:v>
                </c:pt>
                <c:pt idx="668">
                  <c:v>5.3908115101386715E-3</c:v>
                </c:pt>
                <c:pt idx="669">
                  <c:v>5.4020571076262335E-3</c:v>
                </c:pt>
                <c:pt idx="670">
                  <c:v>5.4132907149666686E-3</c:v>
                </c:pt>
                <c:pt idx="671">
                  <c:v>5.4245123427118661E-3</c:v>
                </c:pt>
                <c:pt idx="672">
                  <c:v>5.4581054538950504E-3</c:v>
                </c:pt>
                <c:pt idx="673">
                  <c:v>5.4692792687783005E-3</c:v>
                </c:pt>
                <c:pt idx="674">
                  <c:v>5.4804411568258092E-3</c:v>
                </c:pt>
                <c:pt idx="675">
                  <c:v>5.4915911285894712E-3</c:v>
                </c:pt>
                <c:pt idx="676">
                  <c:v>5.5027291946211903E-3</c:v>
                </c:pt>
                <c:pt idx="677">
                  <c:v>5.5360720638436452E-3</c:v>
                </c:pt>
                <c:pt idx="678">
                  <c:v>5.5471626124665562E-3</c:v>
                </c:pt>
                <c:pt idx="679">
                  <c:v>5.5582413081170139E-3</c:v>
                </c:pt>
                <c:pt idx="680">
                  <c:v>5.5693081613469135E-3</c:v>
                </c:pt>
                <c:pt idx="681">
                  <c:v>5.6134573610988909E-3</c:v>
                </c:pt>
                <c:pt idx="682">
                  <c:v>5.6244651605044738E-3</c:v>
                </c:pt>
                <c:pt idx="683">
                  <c:v>5.6354611808008843E-3</c:v>
                </c:pt>
                <c:pt idx="684">
                  <c:v>5.6464454325400246E-3</c:v>
                </c:pt>
                <c:pt idx="685">
                  <c:v>5.6903847606788235E-3</c:v>
                </c:pt>
                <c:pt idx="686">
                  <c:v>5.7013401162023603E-3</c:v>
                </c:pt>
                <c:pt idx="687">
                  <c:v>5.7122837023991591E-3</c:v>
                </c:pt>
                <c:pt idx="688">
                  <c:v>5.7232155299080838E-3</c:v>
                </c:pt>
                <c:pt idx="689">
                  <c:v>5.7341356093679975E-3</c:v>
                </c:pt>
                <c:pt idx="690">
                  <c:v>5.7668254658423202E-3</c:v>
                </c:pt>
                <c:pt idx="691">
                  <c:v>5.7776986594948324E-3</c:v>
                </c:pt>
                <c:pt idx="692">
                  <c:v>5.7885601582926549E-3</c:v>
                </c:pt>
                <c:pt idx="693">
                  <c:v>5.7994099728746491E-3</c:v>
                </c:pt>
                <c:pt idx="694">
                  <c:v>5.8102481138796814E-3</c:v>
                </c:pt>
                <c:pt idx="695">
                  <c:v>5.8426926018216334E-3</c:v>
                </c:pt>
                <c:pt idx="696">
                  <c:v>5.8534841549074488E-3</c:v>
                </c:pt>
                <c:pt idx="697">
                  <c:v>5.8642640876106203E-3</c:v>
                </c:pt>
                <c:pt idx="698">
                  <c:v>5.8750324105700108E-3</c:v>
                </c:pt>
                <c:pt idx="699">
                  <c:v>5.8857891344244869E-3</c:v>
                </c:pt>
                <c:pt idx="700">
                  <c:v>5.91798981774705E-3</c:v>
                </c:pt>
                <c:pt idx="701">
                  <c:v>5.9287002515704965E-3</c:v>
                </c:pt>
                <c:pt idx="702">
                  <c:v>5.9393991394833456E-3</c:v>
                </c:pt>
                <c:pt idx="703">
                  <c:v>5.9500864921244612E-3</c:v>
                </c:pt>
                <c:pt idx="704">
                  <c:v>5.9607623201327056E-3</c:v>
                </c:pt>
                <c:pt idx="705">
                  <c:v>5.9927207627488615E-3</c:v>
                </c:pt>
                <c:pt idx="706">
                  <c:v>6.0033505986142677E-3</c:v>
                </c:pt>
                <c:pt idx="707">
                  <c:v>6.013968963041118E-3</c:v>
                </c:pt>
                <c:pt idx="708">
                  <c:v>6.0245758666682848E-3</c:v>
                </c:pt>
                <c:pt idx="709">
                  <c:v>6.0351713201346286E-3</c:v>
                </c:pt>
                <c:pt idx="710">
                  <c:v>6.0668890859573582E-3</c:v>
                </c:pt>
                <c:pt idx="711">
                  <c:v>6.077438845169046E-3</c:v>
                </c:pt>
                <c:pt idx="712">
                  <c:v>6.0879772074142312E-3</c:v>
                </c:pt>
                <c:pt idx="713">
                  <c:v>6.0985041833317771E-3</c:v>
                </c:pt>
                <c:pt idx="714">
                  <c:v>6.109019783560544E-3</c:v>
                </c:pt>
                <c:pt idx="715">
                  <c:v>6.1404984365028281E-3</c:v>
                </c:pt>
                <c:pt idx="716">
                  <c:v>6.1509686403651278E-3</c:v>
                </c:pt>
                <c:pt idx="717">
                  <c:v>6.1614275217329725E-3</c:v>
                </c:pt>
                <c:pt idx="718">
                  <c:v>6.1718750912452226E-3</c:v>
                </c:pt>
                <c:pt idx="719">
                  <c:v>6.1823113595407438E-3</c:v>
                </c:pt>
                <c:pt idx="720">
                  <c:v>6.2135524635155625E-3</c:v>
                </c:pt>
                <c:pt idx="721">
                  <c:v>6.2239436333328029E-3</c:v>
                </c:pt>
                <c:pt idx="722">
                  <c:v>6.2343235551276313E-3</c:v>
                </c:pt>
                <c:pt idx="723">
                  <c:v>6.2446922395389135E-3</c:v>
                </c:pt>
                <c:pt idx="724">
                  <c:v>6.2550496972055142E-3</c:v>
                </c:pt>
                <c:pt idx="725">
                  <c:v>6.2860548161258537E-3</c:v>
                </c:pt>
                <c:pt idx="726">
                  <c:v>6.2963674732023573E-3</c:v>
                </c:pt>
                <c:pt idx="727">
                  <c:v>6.3066689567284999E-3</c:v>
                </c:pt>
                <c:pt idx="728">
                  <c:v>6.316959277343142E-3</c:v>
                </c:pt>
                <c:pt idx="729">
                  <c:v>6.3272384456851466E-3</c:v>
                </c:pt>
                <c:pt idx="730">
                  <c:v>6.3580091434639859E-3</c:v>
                </c:pt>
                <c:pt idx="731">
                  <c:v>6.3682438091040841E-3</c:v>
                </c:pt>
                <c:pt idx="732">
                  <c:v>6.378467375665867E-3</c:v>
                </c:pt>
                <c:pt idx="733">
                  <c:v>6.3886798537881942E-3</c:v>
                </c:pt>
                <c:pt idx="734">
                  <c:v>6.398881254109934E-3</c:v>
                </c:pt>
                <c:pt idx="735">
                  <c:v>6.4294190946602514E-3</c:v>
                </c:pt>
                <c:pt idx="736">
                  <c:v>6.4395762901682703E-3</c:v>
                </c:pt>
                <c:pt idx="737">
                  <c:v>6.4497224610700205E-3</c:v>
                </c:pt>
                <c:pt idx="738">
                  <c:v>6.4598576180043624E-3</c:v>
                </c:pt>
                <c:pt idx="739">
                  <c:v>6.4699817716101626E-3</c:v>
                </c:pt>
                <c:pt idx="740">
                  <c:v>6.5002883188449417E-3</c:v>
                </c:pt>
                <c:pt idx="741">
                  <c:v>6.5103685655252073E-3</c:v>
                </c:pt>
                <c:pt idx="742">
                  <c:v>6.5204378620712508E-3</c:v>
                </c:pt>
                <c:pt idx="743">
                  <c:v>6.5304962191219344E-3</c:v>
                </c:pt>
                <c:pt idx="744">
                  <c:v>6.5405436473161219E-3</c:v>
                </c:pt>
                <c:pt idx="745">
                  <c:v>6.5706204651483444E-3</c:v>
                </c:pt>
                <c:pt idx="746">
                  <c:v>6.5806242843051855E-3</c:v>
                </c:pt>
                <c:pt idx="747">
                  <c:v>6.590617227799851E-3</c:v>
                </c:pt>
                <c:pt idx="748">
                  <c:v>6.6005993062712006E-3</c:v>
                </c:pt>
                <c:pt idx="749">
                  <c:v>6.6503470956384945E-3</c:v>
                </c:pt>
                <c:pt idx="750">
                  <c:v>6.6602642073861065E-3</c:v>
                </c:pt>
                <c:pt idx="751">
                  <c:v>6.6701705285824534E-3</c:v>
                </c:pt>
                <c:pt idx="752">
                  <c:v>6.6800660698663967E-3</c:v>
                </c:pt>
                <c:pt idx="753">
                  <c:v>6.7096881206324512E-3</c:v>
                </c:pt>
                <c:pt idx="754">
                  <c:v>6.7195406486554223E-3</c:v>
                </c:pt>
                <c:pt idx="755">
                  <c:v>6.7293824499603111E-3</c:v>
                </c:pt>
                <c:pt idx="756">
                  <c:v>6.739213535185978E-3</c:v>
                </c:pt>
                <c:pt idx="757">
                  <c:v>6.7490339149712912E-3</c:v>
                </c:pt>
                <c:pt idx="758">
                  <c:v>6.7784309280737318E-3</c:v>
                </c:pt>
                <c:pt idx="759">
                  <c:v>6.7882085924862601E-3</c:v>
                </c:pt>
                <c:pt idx="760">
                  <c:v>6.797975604652751E-3</c:v>
                </c:pt>
                <c:pt idx="761">
                  <c:v>6.8077319752120691E-3</c:v>
                </c:pt>
                <c:pt idx="762">
                  <c:v>6.8174777148030784E-3</c:v>
                </c:pt>
                <c:pt idx="763">
                  <c:v>6.8466512541548877E-3</c:v>
                </c:pt>
                <c:pt idx="764">
                  <c:v>6.8563545762612985E-3</c:v>
                </c:pt>
                <c:pt idx="765">
                  <c:v>6.8660473205937184E-3</c:v>
                </c:pt>
                <c:pt idx="766">
                  <c:v>6.875729497791013E-3</c:v>
                </c:pt>
                <c:pt idx="767">
                  <c:v>6.8854011184920445E-3</c:v>
                </c:pt>
                <c:pt idx="768">
                  <c:v>6.9143527480062059E-3</c:v>
                </c:pt>
                <c:pt idx="769">
                  <c:v>6.9239822503171485E-3</c:v>
                </c:pt>
                <c:pt idx="770">
                  <c:v>6.9336012565640905E-3</c:v>
                </c:pt>
                <c:pt idx="771">
                  <c:v>6.9432097846238309E-3</c:v>
                </c:pt>
                <c:pt idx="772">
                  <c:v>6.9528078523731782E-3</c:v>
                </c:pt>
                <c:pt idx="773">
                  <c:v>6.981539472526891E-3</c:v>
                </c:pt>
                <c:pt idx="774">
                  <c:v>6.9910958778026996E-3</c:v>
                </c:pt>
                <c:pt idx="775">
                  <c:v>7.0006419121521335E-3</c:v>
                </c:pt>
                <c:pt idx="776">
                  <c:v>7.0101775934519953E-3</c:v>
                </c:pt>
                <c:pt idx="777">
                  <c:v>7.0197029395790908E-3</c:v>
                </c:pt>
                <c:pt idx="778">
                  <c:v>7.0482171456918196E-3</c:v>
                </c:pt>
                <c:pt idx="779">
                  <c:v>7.0577013298958897E-3</c:v>
                </c:pt>
                <c:pt idx="780">
                  <c:v>7.0671752683112146E-3</c:v>
                </c:pt>
                <c:pt idx="781">
                  <c:v>7.0766389788145968E-3</c:v>
                </c:pt>
                <c:pt idx="782">
                  <c:v>7.0860924792828413E-3</c:v>
                </c:pt>
                <c:pt idx="783">
                  <c:v>7.1143918992447805E-3</c:v>
                </c:pt>
                <c:pt idx="784">
                  <c:v>7.1238047383405138E-3</c:v>
                </c:pt>
                <c:pt idx="785">
                  <c:v>7.133207456785127E-3</c:v>
                </c:pt>
                <c:pt idx="786">
                  <c:v>7.1426000724554269E-3</c:v>
                </c:pt>
                <c:pt idx="787">
                  <c:v>7.1519826032282159E-3</c:v>
                </c:pt>
                <c:pt idx="788">
                  <c:v>7.1800698649295662E-3</c:v>
                </c:pt>
                <c:pt idx="789">
                  <c:v>7.1894122348803583E-3</c:v>
                </c:pt>
                <c:pt idx="790">
                  <c:v>7.1987446093176579E-3</c:v>
                </c:pt>
                <c:pt idx="791">
                  <c:v>7.2080670061182746E-3</c:v>
                </c:pt>
                <c:pt idx="792">
                  <c:v>7.217379443159009E-3</c:v>
                </c:pt>
                <c:pt idx="793">
                  <c:v>7.2452571744899665E-3</c:v>
                </c:pt>
                <c:pt idx="794">
                  <c:v>7.2545299512592146E-3</c:v>
                </c:pt>
                <c:pt idx="795">
                  <c:v>7.2637928576526024E-3</c:v>
                </c:pt>
                <c:pt idx="796">
                  <c:v>7.273045911546934E-3</c:v>
                </c:pt>
                <c:pt idx="797">
                  <c:v>7.282289130819011E-3</c:v>
                </c:pt>
                <c:pt idx="798">
                  <c:v>7.3099599596697677E-3</c:v>
                </c:pt>
                <c:pt idx="799">
                  <c:v>7.3191640192208744E-3</c:v>
                </c:pt>
                <c:pt idx="800">
                  <c:v>7.3283583335337476E-3</c:v>
                </c:pt>
                <c:pt idx="801">
                  <c:v>7.3375429204851914E-3</c:v>
                </c:pt>
                <c:pt idx="802">
                  <c:v>7.3467177979520118E-3</c:v>
                </c:pt>
                <c:pt idx="803">
                  <c:v>7.3741843522127639E-3</c:v>
                </c:pt>
                <c:pt idx="804">
                  <c:v>7.3833205705091257E-3</c:v>
                </c:pt>
                <c:pt idx="805">
                  <c:v>7.3924471687048833E-3</c:v>
                </c:pt>
                <c:pt idx="806">
                  <c:v>7.4015641646768392E-3</c:v>
                </c:pt>
                <c:pt idx="807">
                  <c:v>7.4106715763018012E-3</c:v>
                </c:pt>
                <c:pt idx="808">
                  <c:v>7.4379364838627433E-3</c:v>
                </c:pt>
                <c:pt idx="809">
                  <c:v>7.4470057368677591E-3</c:v>
                </c:pt>
                <c:pt idx="810">
                  <c:v>7.4560654949098002E-3</c:v>
                </c:pt>
                <c:pt idx="811">
                  <c:v>7.4651157758656673E-3</c:v>
                </c:pt>
                <c:pt idx="812">
                  <c:v>7.4741565976121681E-3</c:v>
                </c:pt>
                <c:pt idx="813">
                  <c:v>7.5012224863634999E-3</c:v>
                </c:pt>
                <c:pt idx="814">
                  <c:v>7.5102256500405688E-3</c:v>
                </c:pt>
                <c:pt idx="815">
                  <c:v>7.5192194438922872E-3</c:v>
                </c:pt>
                <c:pt idx="816">
                  <c:v>7.5282038857954663E-3</c:v>
                </c:pt>
                <c:pt idx="817">
                  <c:v>7.5371789936269033E-3</c:v>
                </c:pt>
                <c:pt idx="818">
                  <c:v>7.564048491458821E-3</c:v>
                </c:pt>
                <c:pt idx="819">
                  <c:v>7.5729864417713412E-3</c:v>
                </c:pt>
                <c:pt idx="820">
                  <c:v>7.5819151473961411E-3</c:v>
                </c:pt>
                <c:pt idx="821">
                  <c:v>7.590834626210026E-3</c:v>
                </c:pt>
                <c:pt idx="822">
                  <c:v>7.5997448960897981E-3</c:v>
                </c:pt>
                <c:pt idx="823">
                  <c:v>7.6264206308924954E-3</c:v>
                </c:pt>
                <c:pt idx="824">
                  <c:v>7.6352942438038659E-3</c:v>
                </c:pt>
                <c:pt idx="825">
                  <c:v>7.6441587371651456E-3</c:v>
                </c:pt>
                <c:pt idx="826">
                  <c:v>7.6530141288531361E-3</c:v>
                </c:pt>
                <c:pt idx="827">
                  <c:v>7.6618604367446452E-3</c:v>
                </c:pt>
                <c:pt idx="828">
                  <c:v>7.6883450364083157E-3</c:v>
                </c:pt>
                <c:pt idx="829">
                  <c:v>7.6971551878819346E-3</c:v>
                </c:pt>
                <c:pt idx="830">
                  <c:v>7.7059563449430914E-3</c:v>
                </c:pt>
                <c:pt idx="831">
                  <c:v>7.7147485254685892E-3</c:v>
                </c:pt>
                <c:pt idx="832">
                  <c:v>7.7235317473352307E-3</c:v>
                </c:pt>
                <c:pt idx="833">
                  <c:v>7.7498278397500732E-3</c:v>
                </c:pt>
                <c:pt idx="834">
                  <c:v>7.758575405749338E-3</c:v>
                </c:pt>
                <c:pt idx="835">
                  <c:v>7.7673141024737708E-3</c:v>
                </c:pt>
                <c:pt idx="836">
                  <c:v>7.7760439478001715E-3</c:v>
                </c:pt>
                <c:pt idx="837">
                  <c:v>7.7847649596053479E-3</c:v>
                </c:pt>
                <c:pt idx="838">
                  <c:v>7.8108751726615588E-3</c:v>
                </c:pt>
                <c:pt idx="839">
                  <c:v>7.8195610291498675E-3</c:v>
                </c:pt>
                <c:pt idx="840">
                  <c:v>7.8282381415009736E-3</c:v>
                </c:pt>
                <c:pt idx="841">
                  <c:v>7.8369065275916781E-3</c:v>
                </c:pt>
                <c:pt idx="842">
                  <c:v>7.8455662052987832E-3</c:v>
                </c:pt>
                <c:pt idx="843">
                  <c:v>7.8714931668865569E-3</c:v>
                </c:pt>
                <c:pt idx="844">
                  <c:v>7.880118189827312E-3</c:v>
                </c:pt>
                <c:pt idx="845">
                  <c:v>7.8887345937684906E-3</c:v>
                </c:pt>
                <c:pt idx="846">
                  <c:v>7.8973423965868952E-3</c:v>
                </c:pt>
                <c:pt idx="847">
                  <c:v>7.9059416161593316E-3</c:v>
                </c:pt>
                <c:pt idx="848">
                  <c:v>7.9316879541688635E-3</c:v>
                </c:pt>
                <c:pt idx="849">
                  <c:v>7.9402530195254607E-3</c:v>
                </c:pt>
                <c:pt idx="850">
                  <c:v>7.9488095910201107E-3</c:v>
                </c:pt>
                <c:pt idx="851">
                  <c:v>7.9573576865296161E-3</c:v>
                </c:pt>
                <c:pt idx="852">
                  <c:v>7.9658973239307828E-3</c:v>
                </c:pt>
                <c:pt idx="853">
                  <c:v>7.9914656662522648E-3</c:v>
                </c:pt>
                <c:pt idx="854">
                  <c:v>7.9999716499881066E-3</c:v>
                </c:pt>
                <c:pt idx="855">
                  <c:v>8.0084692649996271E-3</c:v>
                </c:pt>
                <c:pt idx="856">
                  <c:v>8.016958529163629E-3</c:v>
                </c:pt>
                <c:pt idx="857">
                  <c:v>8.0254394603569215E-3</c:v>
                </c:pt>
                <c:pt idx="858">
                  <c:v>8.0508324348805577E-3</c:v>
                </c:pt>
                <c:pt idx="859">
                  <c:v>8.0592802129590378E-3</c:v>
                </c:pt>
                <c:pt idx="860">
                  <c:v>8.0677197474508244E-3</c:v>
                </c:pt>
                <c:pt idx="861">
                  <c:v>8.0761510562327252E-3</c:v>
                </c:pt>
                <c:pt idx="862">
                  <c:v>8.0845741571815427E-3</c:v>
                </c:pt>
                <c:pt idx="863">
                  <c:v>8.109794391797525E-3</c:v>
                </c:pt>
                <c:pt idx="864">
                  <c:v>8.1181848401820442E-3</c:v>
                </c:pt>
                <c:pt idx="865">
                  <c:v>8.1265671701174994E-3</c:v>
                </c:pt>
                <c:pt idx="866">
                  <c:v>8.1349413994806965E-3</c:v>
                </c:pt>
                <c:pt idx="867">
                  <c:v>8.1433075461484362E-3</c:v>
                </c:pt>
                <c:pt idx="868">
                  <c:v>8.1683576687469599E-3</c:v>
                </c:pt>
                <c:pt idx="869">
                  <c:v>8.1766916634009191E-3</c:v>
                </c:pt>
                <c:pt idx="870">
                  <c:v>8.1850176647434401E-3</c:v>
                </c:pt>
                <c:pt idx="871">
                  <c:v>8.193335690651329E-3</c:v>
                </c:pt>
                <c:pt idx="872">
                  <c:v>8.2016457590013917E-3</c:v>
                </c:pt>
                <c:pt idx="873">
                  <c:v>8.2265283974726558E-3</c:v>
                </c:pt>
                <c:pt idx="874">
                  <c:v>8.2348068143594487E-3</c:v>
                </c:pt>
                <c:pt idx="875">
                  <c:v>8.2430773630724347E-3</c:v>
                </c:pt>
                <c:pt idx="876">
                  <c:v>8.2513400614884179E-3</c:v>
                </c:pt>
                <c:pt idx="877">
                  <c:v>8.2595949274842026E-3</c:v>
                </c:pt>
                <c:pt idx="878">
                  <c:v>8.2843127097183972E-3</c:v>
                </c:pt>
                <c:pt idx="879">
                  <c:v>8.2925364248014246E-3</c:v>
                </c:pt>
                <c:pt idx="880">
                  <c:v>8.3007523968482745E-3</c:v>
                </c:pt>
                <c:pt idx="881">
                  <c:v>8.3089606437357494E-3</c:v>
                </c:pt>
                <c:pt idx="882">
                  <c:v>8.3171611833406534E-3</c:v>
                </c:pt>
                <c:pt idx="883">
                  <c:v>8.3417167372279808E-3</c:v>
                </c:pt>
                <c:pt idx="884">
                  <c:v>8.3498866264706418E-3</c:v>
                </c:pt>
                <c:pt idx="885">
                  <c:v>8.3580488978147495E-3</c:v>
                </c:pt>
                <c:pt idx="886">
                  <c:v>8.3662035691371168E-3</c:v>
                </c:pt>
                <c:pt idx="887">
                  <c:v>8.3743506583145375E-3</c:v>
                </c:pt>
                <c:pt idx="888">
                  <c:v>8.3987466117451913E-3</c:v>
                </c:pt>
                <c:pt idx="889">
                  <c:v>8.4068635511108849E-3</c:v>
                </c:pt>
                <c:pt idx="890">
                  <c:v>8.4149729977156546E-3</c:v>
                </c:pt>
                <c:pt idx="891">
                  <c:v>8.4230749694363099E-3</c:v>
                </c:pt>
                <c:pt idx="892">
                  <c:v>8.431169484149648E-3</c:v>
                </c:pt>
                <c:pt idx="893">
                  <c:v>8.4554084650138219E-3</c:v>
                </c:pt>
                <c:pt idx="894">
                  <c:v>8.4634733304659454E-3</c:v>
                </c:pt>
                <c:pt idx="895">
                  <c:v>8.4715308282947762E-3</c:v>
                </c:pt>
                <c:pt idx="896">
                  <c:v>8.479580976377115E-3</c:v>
                </c:pt>
                <c:pt idx="897">
                  <c:v>8.4876237925897696E-3</c:v>
                </c:pt>
                <c:pt idx="898">
                  <c:v>8.5117084287776607E-3</c:v>
                </c:pt>
                <c:pt idx="899">
                  <c:v>8.5197220962796149E-3</c:v>
                </c:pt>
                <c:pt idx="900">
                  <c:v>8.5277285212959023E-3</c:v>
                </c:pt>
                <c:pt idx="901">
                  <c:v>8.5357277213232684E-3</c:v>
                </c:pt>
                <c:pt idx="902">
                  <c:v>8.5437197123382092E-3</c:v>
                </c:pt>
                <c:pt idx="903">
                  <c:v>8.5676525872728851E-3</c:v>
                </c:pt>
                <c:pt idx="904">
                  <c:v>8.5756158982025175E-3</c:v>
                </c:pt>
                <c:pt idx="905">
                  <c:v>8.5835720781019201E-3</c:v>
                </c:pt>
                <c:pt idx="906">
                  <c:v>8.591521142567532E-3</c:v>
                </c:pt>
                <c:pt idx="907">
                  <c:v>8.5994631071957886E-3</c:v>
                </c:pt>
                <c:pt idx="908">
                  <c:v>8.6232465580208129E-3</c:v>
                </c:pt>
                <c:pt idx="909">
                  <c:v>8.6311602792640343E-3</c:v>
                </c:pt>
                <c:pt idx="910">
                  <c:v>8.6390669786520942E-3</c:v>
                </c:pt>
                <c:pt idx="911">
                  <c:v>8.6469666717814316E-3</c:v>
                </c:pt>
                <c:pt idx="912">
                  <c:v>8.654859374248482E-3</c:v>
                </c:pt>
                <c:pt idx="913">
                  <c:v>8.6784956936402993E-3</c:v>
                </c:pt>
                <c:pt idx="914">
                  <c:v>8.6863605894225912E-3</c:v>
                </c:pt>
                <c:pt idx="915">
                  <c:v>8.6942185725247863E-3</c:v>
                </c:pt>
                <c:pt idx="916">
                  <c:v>8.7020696585433256E-3</c:v>
                </c:pt>
                <c:pt idx="917">
                  <c:v>8.7099138630746496E-3</c:v>
                </c:pt>
                <c:pt idx="918">
                  <c:v>8.7334053437096992E-3</c:v>
                </c:pt>
                <c:pt idx="919">
                  <c:v>8.7412221782565361E-3</c:v>
                </c:pt>
                <c:pt idx="920">
                  <c:v>8.7490322092983481E-3</c:v>
                </c:pt>
                <c:pt idx="921">
                  <c:v>8.7568354524315741E-3</c:v>
                </c:pt>
                <c:pt idx="922">
                  <c:v>8.7646319232526498E-3</c:v>
                </c:pt>
                <c:pt idx="923">
                  <c:v>8.7879808578073693E-3</c:v>
                </c:pt>
                <c:pt idx="924">
                  <c:v>8.7957503953442363E-3</c:v>
                </c:pt>
                <c:pt idx="925">
                  <c:v>8.8035132385511448E-3</c:v>
                </c:pt>
                <c:pt idx="926">
                  <c:v>8.8112694030245339E-3</c:v>
                </c:pt>
                <c:pt idx="927">
                  <c:v>8.8190189043608428E-3</c:v>
                </c:pt>
                <c:pt idx="928">
                  <c:v>8.842227585511675E-3</c:v>
                </c:pt>
                <c:pt idx="929">
                  <c:v>8.8499505902640465E-3</c:v>
                </c:pt>
                <c:pt idx="930">
                  <c:v>8.8576670098615279E-3</c:v>
                </c:pt>
                <c:pt idx="931">
                  <c:v>8.8653768599005651E-3</c:v>
                </c:pt>
                <c:pt idx="932">
                  <c:v>8.873080155977587E-3</c:v>
                </c:pt>
                <c:pt idx="933">
                  <c:v>8.8961508764009677E-3</c:v>
                </c:pt>
                <c:pt idx="934">
                  <c:v>8.9038281125943253E-3</c:v>
                </c:pt>
                <c:pt idx="935">
                  <c:v>8.9114988728078662E-3</c:v>
                </c:pt>
                <c:pt idx="936">
                  <c:v>8.9191631726380245E-3</c:v>
                </c:pt>
                <c:pt idx="937">
                  <c:v>8.926821027681239E-3</c:v>
                </c:pt>
                <c:pt idx="938">
                  <c:v>8.949756080053611E-3</c:v>
                </c:pt>
                <c:pt idx="939">
                  <c:v>8.9573883119134362E-3</c:v>
                </c:pt>
                <c:pt idx="940">
                  <c:v>8.9650141769685113E-3</c:v>
                </c:pt>
                <c:pt idx="941">
                  <c:v>8.972633690815272E-3</c:v>
                </c:pt>
                <c:pt idx="942">
                  <c:v>8.9802468690501607E-3</c:v>
                </c:pt>
                <c:pt idx="943">
                  <c:v>9.0030485460479582E-3</c:v>
                </c:pt>
                <c:pt idx="944">
                  <c:v>9.0106365377997343E-3</c:v>
                </c:pt>
                <c:pt idx="945">
                  <c:v>9.0182182719218233E-3</c:v>
                </c:pt>
                <c:pt idx="946">
                  <c:v>9.0257937640106697E-3</c:v>
                </c:pt>
                <c:pt idx="947">
                  <c:v>9.0333630296627089E-3</c:v>
                </c:pt>
                <c:pt idx="948">
                  <c:v>9.0560336239623763E-3</c:v>
                </c:pt>
                <c:pt idx="949">
                  <c:v>9.0635781398315744E-3</c:v>
                </c:pt>
                <c:pt idx="950">
                  <c:v>9.0711165072461606E-3</c:v>
                </c:pt>
                <c:pt idx="951">
                  <c:v>9.0786487418025689E-3</c:v>
                </c:pt>
                <c:pt idx="952">
                  <c:v>9.0861748590972437E-3</c:v>
                </c:pt>
                <c:pt idx="953">
                  <c:v>9.1087166633752187E-3</c:v>
                </c:pt>
                <c:pt idx="954">
                  <c:v>9.1162184675873236E-3</c:v>
                </c:pt>
                <c:pt idx="955">
                  <c:v>9.1237142325198833E-3</c:v>
                </c:pt>
                <c:pt idx="956">
                  <c:v>9.1312039737693369E-3</c:v>
                </c:pt>
                <c:pt idx="957">
                  <c:v>9.13868770693212E-3</c:v>
                </c:pt>
                <c:pt idx="958">
                  <c:v>9.1611030138648436E-3</c:v>
                </c:pt>
                <c:pt idx="959">
                  <c:v>9.1685628706453335E-3</c:v>
                </c:pt>
                <c:pt idx="960">
                  <c:v>9.1760167973213482E-3</c:v>
                </c:pt>
                <c:pt idx="961">
                  <c:v>9.1834648094893268E-3</c:v>
                </c:pt>
                <c:pt idx="962">
                  <c:v>9.1909069227457015E-3</c:v>
                </c:pt>
                <c:pt idx="963">
                  <c:v>9.2131980250096113E-3</c:v>
                </c:pt>
                <c:pt idx="964">
                  <c:v>9.2206166985839676E-3</c:v>
                </c:pt>
                <c:pt idx="965">
                  <c:v>9.2280295512289189E-3</c:v>
                </c:pt>
                <c:pt idx="966">
                  <c:v>9.235436598540897E-3</c:v>
                </c:pt>
                <c:pt idx="967">
                  <c:v>9.2428378561163448E-3</c:v>
                </c:pt>
                <c:pt idx="968">
                  <c:v>9.2650070463878801E-3</c:v>
                </c:pt>
                <c:pt idx="969">
                  <c:v>9.2723853009815844E-3</c:v>
                </c:pt>
                <c:pt idx="970">
                  <c:v>9.2797578438209485E-3</c:v>
                </c:pt>
                <c:pt idx="971">
                  <c:v>9.2871246905024095E-3</c:v>
                </c:pt>
                <c:pt idx="972">
                  <c:v>9.2944858566224118E-3</c:v>
                </c:pt>
                <c:pt idx="973">
                  <c:v>9.3165354275780085E-3</c:v>
                </c:pt>
                <c:pt idx="974">
                  <c:v>9.3238740274165389E-3</c:v>
                </c:pt>
                <c:pt idx="975">
                  <c:v>9.3312070246757972E-3</c:v>
                </c:pt>
                <c:pt idx="976">
                  <c:v>9.3385344349522208E-3</c:v>
                </c:pt>
                <c:pt idx="977">
                  <c:v>9.345856273842254E-3</c:v>
                </c:pt>
                <c:pt idx="978">
                  <c:v>9.3677885181583567E-3</c:v>
                </c:pt>
                <c:pt idx="979">
                  <c:v>9.3750882274671911E-3</c:v>
                </c:pt>
                <c:pt idx="980">
                  <c:v>9.3823824433718252E-3</c:v>
                </c:pt>
                <c:pt idx="981">
                  <c:v>9.3896711814686912E-3</c:v>
                </c:pt>
                <c:pt idx="982">
                  <c:v>9.3969544573542334E-3</c:v>
                </c:pt>
                <c:pt idx="983">
                  <c:v>9.4187716677072847E-3</c:v>
                </c:pt>
                <c:pt idx="984">
                  <c:v>9.4260332507119047E-3</c:v>
                </c:pt>
                <c:pt idx="985">
                  <c:v>9.4332894494873892E-3</c:v>
                </c:pt>
                <c:pt idx="986">
                  <c:v>9.4405402796301791E-3</c:v>
                </c:pt>
                <c:pt idx="987">
                  <c:v>9.4477857567367117E-3</c:v>
                </c:pt>
                <c:pt idx="988">
                  <c:v>9.4694902258031458E-3</c:v>
                </c:pt>
                <c:pt idx="989">
                  <c:v>9.4767144467290312E-3</c:v>
                </c:pt>
                <c:pt idx="990">
                  <c:v>9.4839333926008511E-3</c:v>
                </c:pt>
                <c:pt idx="991">
                  <c:v>9.4911470790150446E-3</c:v>
                </c:pt>
                <c:pt idx="992">
                  <c:v>9.4983555215680457E-3</c:v>
                </c:pt>
                <c:pt idx="993">
                  <c:v>9.519949542024302E-3</c:v>
                </c:pt>
                <c:pt idx="994">
                  <c:v>9.5271371650969341E-3</c:v>
                </c:pt>
                <c:pt idx="995">
                  <c:v>9.5343196222905675E-3</c:v>
                </c:pt>
                <c:pt idx="996">
                  <c:v>9.541496929201641E-3</c:v>
                </c:pt>
                <c:pt idx="997">
                  <c:v>9.5486691014265955E-3</c:v>
                </c:pt>
                <c:pt idx="998">
                  <c:v>9.570154965949115E-3</c:v>
                </c:pt>
                <c:pt idx="999">
                  <c:v>9.5773067553939703E-3</c:v>
                </c:pt>
                <c:pt idx="1000">
                  <c:v>9.5844534881348968E-3</c:v>
                </c:pt>
                <c:pt idx="1001">
                  <c:v>9.5915951797683301E-3</c:v>
                </c:pt>
                <c:pt idx="1002">
                  <c:v>9.5987318458907178E-3</c:v>
                </c:pt>
                <c:pt idx="1003">
                  <c:v>9.620111847155938E-3</c:v>
                </c:pt>
                <c:pt idx="1004">
                  <c:v>9.6272285671984981E-3</c:v>
                </c:pt>
                <c:pt idx="1005">
                  <c:v>9.6343403397121993E-3</c:v>
                </c:pt>
                <c:pt idx="1006">
                  <c:v>9.6414471802934755E-3</c:v>
                </c:pt>
                <c:pt idx="1007">
                  <c:v>9.6485491045387676E-3</c:v>
                </c:pt>
                <c:pt idx="1008">
                  <c:v>9.6698255352231349E-3</c:v>
                </c:pt>
                <c:pt idx="1009">
                  <c:v>9.6769079500888793E-3</c:v>
                </c:pt>
                <c:pt idx="1010">
                  <c:v>9.6839855266008315E-3</c:v>
                </c:pt>
                <c:pt idx="1011">
                  <c:v>9.6910582803554288E-3</c:v>
                </c:pt>
                <c:pt idx="1012">
                  <c:v>9.6981262269491154E-3</c:v>
                </c:pt>
                <c:pt idx="1013">
                  <c:v>9.7193013797290586E-3</c:v>
                </c:pt>
                <c:pt idx="1014">
                  <c:v>9.726350253643469E-3</c:v>
                </c:pt>
                <c:pt idx="1015">
                  <c:v>9.7333943983791537E-3</c:v>
                </c:pt>
                <c:pt idx="1016">
                  <c:v>9.7404338295325552E-3</c:v>
                </c:pt>
                <c:pt idx="1017">
                  <c:v>9.7755608274406255E-3</c:v>
                </c:pt>
                <c:pt idx="1018">
                  <c:v>9.7825723046255243E-3</c:v>
                </c:pt>
                <c:pt idx="1019">
                  <c:v>9.7895791774032064E-3</c:v>
                </c:pt>
                <c:pt idx="1020">
                  <c:v>9.7965814613701109E-3</c:v>
                </c:pt>
                <c:pt idx="1021">
                  <c:v>9.8175609363705361E-3</c:v>
                </c:pt>
                <c:pt idx="1022">
                  <c:v>9.8245450210587126E-3</c:v>
                </c:pt>
                <c:pt idx="1023">
                  <c:v>9.8315245949183051E-3</c:v>
                </c:pt>
                <c:pt idx="1024">
                  <c:v>9.8384996735457458E-3</c:v>
                </c:pt>
                <c:pt idx="1025">
                  <c:v>9.8454702725374772E-3</c:v>
                </c:pt>
                <c:pt idx="1026">
                  <c:v>9.8663553476628068E-3</c:v>
                </c:pt>
                <c:pt idx="1027">
                  <c:v>9.8733081840760867E-3</c:v>
                </c:pt>
                <c:pt idx="1028">
                  <c:v>9.8802566199454288E-3</c:v>
                </c:pt>
                <c:pt idx="1029">
                  <c:v>9.887200676415157E-3</c:v>
                </c:pt>
                <c:pt idx="1030">
                  <c:v>9.8941403757391855E-3</c:v>
                </c:pt>
                <c:pt idx="1031">
                  <c:v>9.9149335533761443E-3</c:v>
                </c:pt>
                <c:pt idx="1032">
                  <c:v>9.9218560466564458E-3</c:v>
                </c:pt>
                <c:pt idx="1033">
                  <c:v>9.928774294060588E-3</c:v>
                </c:pt>
                <c:pt idx="1034">
                  <c:v>9.9356883178424744E-3</c:v>
                </c:pt>
                <c:pt idx="1035">
                  <c:v>9.9425981402560138E-3</c:v>
                </c:pt>
                <c:pt idx="1036">
                  <c:v>9.9633026218256347E-3</c:v>
                </c:pt>
                <c:pt idx="1037">
                  <c:v>9.9701958613048706E-3</c:v>
                </c:pt>
                <c:pt idx="1038">
                  <c:v>9.9770850106853E-3</c:v>
                </c:pt>
                <c:pt idx="1039">
                  <c:v>9.9839700922208282E-3</c:v>
                </c:pt>
                <c:pt idx="1040">
                  <c:v>9.9908511281653692E-3</c:v>
                </c:pt>
                <c:pt idx="1041">
                  <c:v>1.0011470184992122E-2</c:v>
                </c:pt>
                <c:pt idx="1042">
                  <c:v>1.0018335261111774E-2</c:v>
                </c:pt>
                <c:pt idx="1043">
                  <c:v>1.0025196402909983E-2</c:v>
                </c:pt>
                <c:pt idx="1044">
                  <c:v>1.0032053632640644E-2</c:v>
                </c:pt>
                <c:pt idx="1045">
                  <c:v>1.003890697255767E-2</c:v>
                </c:pt>
                <c:pt idx="1046">
                  <c:v>1.005944387596602E-2</c:v>
                </c:pt>
                <c:pt idx="1047">
                  <c:v>1.0066281879167586E-2</c:v>
                </c:pt>
                <c:pt idx="1048">
                  <c:v>1.0073116103825053E-2</c:v>
                </c:pt>
                <c:pt idx="1049">
                  <c:v>1.0079946572192335E-2</c:v>
                </c:pt>
                <c:pt idx="1050">
                  <c:v>1.0086773306523338E-2</c:v>
                </c:pt>
                <c:pt idx="1051">
                  <c:v>1.0107231327837748E-2</c:v>
                </c:pt>
                <c:pt idx="1052">
                  <c:v>1.011404334856271E-2</c:v>
                </c:pt>
                <c:pt idx="1053">
                  <c:v>1.012085174652093E-2</c:v>
                </c:pt>
                <c:pt idx="1054">
                  <c:v>1.0127656543966324E-2</c:v>
                </c:pt>
                <c:pt idx="1055">
                  <c:v>1.013445776315279E-2</c:v>
                </c:pt>
                <c:pt idx="1056">
                  <c:v>1.0154840173697723E-2</c:v>
                </c:pt>
                <c:pt idx="1057">
                  <c:v>1.0161627302387573E-2</c:v>
                </c:pt>
                <c:pt idx="1058">
                  <c:v>1.0168410964088038E-2</c:v>
                </c:pt>
                <c:pt idx="1059">
                  <c:v>1.0175191181053023E-2</c:v>
                </c:pt>
                <c:pt idx="1060">
                  <c:v>1.0181967975536442E-2</c:v>
                </c:pt>
                <c:pt idx="1061">
                  <c:v>1.0202278046636369E-2</c:v>
                </c:pt>
                <c:pt idx="1062">
                  <c:v>1.0209041373732592E-2</c:v>
                </c:pt>
                <c:pt idx="1063">
                  <c:v>1.0215801389616787E-2</c:v>
                </c:pt>
                <c:pt idx="1064">
                  <c:v>1.0222558116542858E-2</c:v>
                </c:pt>
                <c:pt idx="1065">
                  <c:v>1.0229311576764717E-2</c:v>
                </c:pt>
                <c:pt idx="1066">
                  <c:v>1.02495525797441E-2</c:v>
                </c:pt>
                <c:pt idx="1067">
                  <c:v>1.0256293195688182E-2</c:v>
                </c:pt>
                <c:pt idx="1068">
                  <c:v>1.0263030656197596E-2</c:v>
                </c:pt>
                <c:pt idx="1069">
                  <c:v>1.0269764983526244E-2</c:v>
                </c:pt>
                <c:pt idx="1070">
                  <c:v>1.0276496199928034E-2</c:v>
                </c:pt>
                <c:pt idx="1071">
                  <c:v>1.0296671406111334E-2</c:v>
                </c:pt>
                <c:pt idx="1072">
                  <c:v>1.0303390401344771E-2</c:v>
                </c:pt>
                <c:pt idx="1073">
                  <c:v>1.0310106396920891E-2</c:v>
                </c:pt>
                <c:pt idx="1074">
                  <c:v>1.0316819415093598E-2</c:v>
                </c:pt>
                <c:pt idx="1075">
                  <c:v>1.0323529478116806E-2</c:v>
                </c:pt>
                <c:pt idx="1076">
                  <c:v>1.0343642158828494E-2</c:v>
                </c:pt>
                <c:pt idx="1077">
                  <c:v>1.0350340623792767E-2</c:v>
                </c:pt>
                <c:pt idx="1078">
                  <c:v>1.0357036244877084E-2</c:v>
                </c:pt>
                <c:pt idx="1079">
                  <c:v>1.0363729044335341E-2</c:v>
                </c:pt>
                <c:pt idx="1080">
                  <c:v>1.0370419044421457E-2</c:v>
                </c:pt>
                <c:pt idx="1081">
                  <c:v>1.0390472470985993E-2</c:v>
                </c:pt>
                <c:pt idx="1082">
                  <c:v>1.0397151496122596E-2</c:v>
                </c:pt>
                <c:pt idx="1083">
                  <c:v>1.0403827833156595E-2</c:v>
                </c:pt>
                <c:pt idx="1084">
                  <c:v>1.0410501504341894E-2</c:v>
                </c:pt>
                <c:pt idx="1085">
                  <c:v>1.04171725319324E-2</c:v>
                </c:pt>
                <c:pt idx="1086">
                  <c:v>1.0437169975674251E-2</c:v>
                </c:pt>
                <c:pt idx="1087">
                  <c:v>1.0443830651424672E-2</c:v>
                </c:pt>
                <c:pt idx="1088">
                  <c:v>1.0450488794849843E-2</c:v>
                </c:pt>
                <c:pt idx="1089">
                  <c:v>1.0457144428203669E-2</c:v>
                </c:pt>
                <c:pt idx="1090">
                  <c:v>1.0463797573740058E-2</c:v>
                </c:pt>
                <c:pt idx="1091">
                  <c:v>1.0483742305983689E-2</c:v>
                </c:pt>
                <c:pt idx="1092">
                  <c:v>1.0490385722789418E-2</c:v>
                </c:pt>
                <c:pt idx="1093">
                  <c:v>1.0497026763047246E-2</c:v>
                </c:pt>
                <c:pt idx="1094">
                  <c:v>1.0503665449011086E-2</c:v>
                </c:pt>
                <c:pt idx="1095">
                  <c:v>1.0510301802934847E-2</c:v>
                </c:pt>
                <c:pt idx="1096">
                  <c:v>1.0530197095004728E-2</c:v>
                </c:pt>
                <c:pt idx="1097">
                  <c:v>1.0536824343307246E-2</c:v>
                </c:pt>
                <c:pt idx="1098">
                  <c:v>1.054344937083922E-2</c:v>
                </c:pt>
                <c:pt idx="1099">
                  <c:v>1.0550072199854569E-2</c:v>
                </c:pt>
                <c:pt idx="1100">
                  <c:v>1.0556692852607187E-2</c:v>
                </c:pt>
                <c:pt idx="1101">
                  <c:v>1.0576541975827776E-2</c:v>
                </c:pt>
                <c:pt idx="1102">
                  <c:v>1.0583154146068578E-2</c:v>
                </c:pt>
                <c:pt idx="1103">
                  <c:v>1.0589764251316193E-2</c:v>
                </c:pt>
                <c:pt idx="1104">
                  <c:v>1.0596372313824532E-2</c:v>
                </c:pt>
                <c:pt idx="1105">
                  <c:v>1.0602978355847496E-2</c:v>
                </c:pt>
                <c:pt idx="1106">
                  <c:v>1.0622784581543263E-2</c:v>
                </c:pt>
                <c:pt idx="1107">
                  <c:v>1.0629382764163833E-2</c:v>
                </c:pt>
                <c:pt idx="1108">
                  <c:v>1.0635979037568574E-2</c:v>
                </c:pt>
                <c:pt idx="1109">
                  <c:v>1.0642573424011389E-2</c:v>
                </c:pt>
                <c:pt idx="1110">
                  <c:v>1.0649165945746194E-2</c:v>
                </c:pt>
                <c:pt idx="1111">
                  <c:v>1.0668932545241603E-2</c:v>
                </c:pt>
                <c:pt idx="1112">
                  <c:v>1.0675517830683427E-2</c:v>
                </c:pt>
                <c:pt idx="1113">
                  <c:v>1.0682101362686781E-2</c:v>
                </c:pt>
                <c:pt idx="1114">
                  <c:v>1.0688683163505569E-2</c:v>
                </c:pt>
                <c:pt idx="1115">
                  <c:v>1.0695263255393698E-2</c:v>
                </c:pt>
                <c:pt idx="1116">
                  <c:v>1.071499350001321E-2</c:v>
                </c:pt>
                <c:pt idx="1117">
                  <c:v>1.0721566978717782E-2</c:v>
                </c:pt>
                <c:pt idx="1118">
                  <c:v>1.0728138859761241E-2</c:v>
                </c:pt>
                <c:pt idx="1119">
                  <c:v>1.0734709165397482E-2</c:v>
                </c:pt>
                <c:pt idx="1120">
                  <c:v>1.0741277917880425E-2</c:v>
                </c:pt>
                <c:pt idx="1121">
                  <c:v>1.0760975078948508E-2</c:v>
                </c:pt>
                <c:pt idx="1122">
                  <c:v>1.0767537841357318E-2</c:v>
                </c:pt>
                <c:pt idx="1123">
                  <c:v>1.0774099161882364E-2</c:v>
                </c:pt>
                <c:pt idx="1124">
                  <c:v>1.0780659062777552E-2</c:v>
                </c:pt>
                <c:pt idx="1125">
                  <c:v>1.0787217566296796E-2</c:v>
                </c:pt>
                <c:pt idx="1126">
                  <c:v>1.0806884915137916E-2</c:v>
                </c:pt>
                <c:pt idx="1127">
                  <c:v>1.0813438051692445E-2</c:v>
                </c:pt>
                <c:pt idx="1128">
                  <c:v>1.0819989902140571E-2</c:v>
                </c:pt>
                <c:pt idx="1129">
                  <c:v>1.0826540488736193E-2</c:v>
                </c:pt>
                <c:pt idx="1130">
                  <c:v>1.0833089833733227E-2</c:v>
                </c:pt>
                <c:pt idx="1131">
                  <c:v>1.0852730641671847E-2</c:v>
                </c:pt>
                <c:pt idx="1132">
                  <c:v>1.085927524281359E-2</c:v>
                </c:pt>
                <c:pt idx="1133">
                  <c:v>1.0865818713626281E-2</c:v>
                </c:pt>
                <c:pt idx="1134">
                  <c:v>1.0872361076363827E-2</c:v>
                </c:pt>
                <c:pt idx="1135">
                  <c:v>1.0878902353280137E-2</c:v>
                </c:pt>
                <c:pt idx="1136">
                  <c:v>1.0898519891640725E-2</c:v>
                </c:pt>
                <c:pt idx="1137">
                  <c:v>1.0905057047811167E-2</c:v>
                </c:pt>
                <c:pt idx="1138">
                  <c:v>1.0911593229429912E-2</c:v>
                </c:pt>
                <c:pt idx="1139">
                  <c:v>1.091812845875087E-2</c:v>
                </c:pt>
                <c:pt idx="1140">
                  <c:v>1.0924662758027948E-2</c:v>
                </c:pt>
                <c:pt idx="1141">
                  <c:v>1.0944260298134967E-2</c:v>
                </c:pt>
                <c:pt idx="1142">
                  <c:v>1.0950791099775599E-2</c:v>
                </c:pt>
                <c:pt idx="1143">
                  <c:v>1.0957321082641887E-2</c:v>
                </c:pt>
                <c:pt idx="1144">
                  <c:v>1.0963850268987741E-2</c:v>
                </c:pt>
                <c:pt idx="1145">
                  <c:v>1.0970378681067072E-2</c:v>
                </c:pt>
                <c:pt idx="1146">
                  <c:v>1.0989959494244993E-2</c:v>
                </c:pt>
                <c:pt idx="1147">
                  <c:v>1.0996485031797299E-2</c:v>
                </c:pt>
                <c:pt idx="1148">
                  <c:v>1.1003009906352621E-2</c:v>
                </c:pt>
                <c:pt idx="1149">
                  <c:v>1.1009534140164864E-2</c:v>
                </c:pt>
                <c:pt idx="1150">
                  <c:v>1.1016057755487935E-2</c:v>
                </c:pt>
                <c:pt idx="1151">
                  <c:v>1.1035625113061215E-2</c:v>
                </c:pt>
                <c:pt idx="1152">
                  <c:v>1.1042146476966688E-2</c:v>
                </c:pt>
                <c:pt idx="1153">
                  <c:v>1.1048667333652529E-2</c:v>
                </c:pt>
                <c:pt idx="1154">
                  <c:v>1.1055187705372648E-2</c:v>
                </c:pt>
                <c:pt idx="1155">
                  <c:v>1.1061707614380953E-2</c:v>
                </c:pt>
                <c:pt idx="1156">
                  <c:v>1.1081264787674057E-2</c:v>
                </c:pt>
                <c:pt idx="1157">
                  <c:v>1.1087783068374183E-2</c:v>
                </c:pt>
                <c:pt idx="1158">
                  <c:v>1.1094300997632032E-2</c:v>
                </c:pt>
                <c:pt idx="1159">
                  <c:v>1.1100818597701517E-2</c:v>
                </c:pt>
                <c:pt idx="1160">
                  <c:v>1.1107335882186218E-2</c:v>
                </c:pt>
                <c:pt idx="1161">
                  <c:v>1.1126885597553203E-2</c:v>
                </c:pt>
                <c:pt idx="1162">
                  <c:v>1.1133401357819702E-2</c:v>
                </c:pt>
                <c:pt idx="1163">
                  <c:v>1.1139916662911566E-2</c:v>
                </c:pt>
                <c:pt idx="1164">
                  <c:v>1.1146431483180751E-2</c:v>
                </c:pt>
                <c:pt idx="1165">
                  <c:v>1.1152945788979225E-2</c:v>
                </c:pt>
                <c:pt idx="1166">
                  <c:v>1.1172485323070011E-2</c:v>
                </c:pt>
                <c:pt idx="1167">
                  <c:v>1.1178997274505276E-2</c:v>
                </c:pt>
                <c:pt idx="1168">
                  <c:v>1.1185508563229647E-2</c:v>
                </c:pt>
                <c:pt idx="1169">
                  <c:v>1.1192019159595086E-2</c:v>
                </c:pt>
                <c:pt idx="1170">
                  <c:v>1.1198529033953563E-2</c:v>
                </c:pt>
                <c:pt idx="1171">
                  <c:v>1.1218054028506836E-2</c:v>
                </c:pt>
                <c:pt idx="1172">
                  <c:v>1.1224560718357087E-2</c:v>
                </c:pt>
                <c:pt idx="1173">
                  <c:v>1.1231066537960195E-2</c:v>
                </c:pt>
                <c:pt idx="1174">
                  <c:v>1.1237571457668117E-2</c:v>
                </c:pt>
                <c:pt idx="1175">
                  <c:v>1.1244075447832826E-2</c:v>
                </c:pt>
                <c:pt idx="1176">
                  <c:v>1.1263581544587269E-2</c:v>
                </c:pt>
                <c:pt idx="1177">
                  <c:v>1.1270081520098738E-2</c:v>
                </c:pt>
                <c:pt idx="1178">
                  <c:v>1.1276580417826809E-2</c:v>
                </c:pt>
                <c:pt idx="1179">
                  <c:v>1.1283078208123446E-2</c:v>
                </c:pt>
                <c:pt idx="1180">
                  <c:v>1.1289574861340608E-2</c:v>
                </c:pt>
                <c:pt idx="1181">
                  <c:v>1.1309057702034907E-2</c:v>
                </c:pt>
                <c:pt idx="1182">
                  <c:v>1.1315549510453824E-2</c:v>
                </c:pt>
                <c:pt idx="1183">
                  <c:v>1.1322040033553086E-2</c:v>
                </c:pt>
                <c:pt idx="1184">
                  <c:v>1.1328529241684664E-2</c:v>
                </c:pt>
                <c:pt idx="1185">
                  <c:v>1.1335017105200513E-2</c:v>
                </c:pt>
                <c:pt idx="1186">
                  <c:v>1.1354472331573351E-2</c:v>
                </c:pt>
                <c:pt idx="1187">
                  <c:v>1.1360954520145943E-2</c:v>
                </c:pt>
                <c:pt idx="1188">
                  <c:v>1.1367435215862627E-2</c:v>
                </c:pt>
                <c:pt idx="1189">
                  <c:v>1.137391438907537E-2</c:v>
                </c:pt>
                <c:pt idx="1190">
                  <c:v>1.1380392010136135E-2</c:v>
                </c:pt>
                <c:pt idx="1191">
                  <c:v>1.1399815263926201E-2</c:v>
                </c:pt>
                <c:pt idx="1192">
                  <c:v>1.1406286379898692E-2</c:v>
                </c:pt>
                <c:pt idx="1193">
                  <c:v>1.1412755795479025E-2</c:v>
                </c:pt>
                <c:pt idx="1194">
                  <c:v>1.1419223481019165E-2</c:v>
                </c:pt>
                <c:pt idx="1195">
                  <c:v>1.1425689406871071E-2</c:v>
                </c:pt>
                <c:pt idx="1196">
                  <c:v>1.1451534920435668E-2</c:v>
                </c:pt>
                <c:pt idx="1197">
                  <c:v>1.145799160312588E-2</c:v>
                </c:pt>
                <c:pt idx="1198">
                  <c:v>1.1464446348239642E-2</c:v>
                </c:pt>
                <c:pt idx="1199">
                  <c:v>1.1470899126128918E-2</c:v>
                </c:pt>
                <c:pt idx="1200">
                  <c:v>1.1490245359969486E-2</c:v>
                </c:pt>
                <c:pt idx="1201">
                  <c:v>1.1496689972480467E-2</c:v>
                </c:pt>
                <c:pt idx="1202">
                  <c:v>1.1503132469526783E-2</c:v>
                </c:pt>
                <c:pt idx="1203">
                  <c:v>1.1509572821460401E-2</c:v>
                </c:pt>
                <c:pt idx="1204">
                  <c:v>1.1516010998633279E-2</c:v>
                </c:pt>
                <c:pt idx="1205">
                  <c:v>1.1535312185107126E-2</c:v>
                </c:pt>
                <c:pt idx="1206">
                  <c:v>1.1541741366756692E-2</c:v>
                </c:pt>
                <c:pt idx="1207">
                  <c:v>1.154816822540534E-2</c:v>
                </c:pt>
                <c:pt idx="1208">
                  <c:v>1.1554592731405034E-2</c:v>
                </c:pt>
                <c:pt idx="1209">
                  <c:v>1.1561014855107739E-2</c:v>
                </c:pt>
                <c:pt idx="1210">
                  <c:v>1.1580266635953554E-2</c:v>
                </c:pt>
                <c:pt idx="1211">
                  <c:v>1.1586678933987935E-2</c:v>
                </c:pt>
                <c:pt idx="1212">
                  <c:v>1.1593088701485146E-2</c:v>
                </c:pt>
                <c:pt idx="1213">
                  <c:v>1.159949590879715E-2</c:v>
                </c:pt>
                <c:pt idx="1214">
                  <c:v>1.1605900526275909E-2</c:v>
                </c:pt>
                <c:pt idx="1215">
                  <c:v>1.1625098543232369E-2</c:v>
                </c:pt>
                <c:pt idx="1216">
                  <c:v>1.1631492504897794E-2</c:v>
                </c:pt>
                <c:pt idx="1217">
                  <c:v>1.1637883728489796E-2</c:v>
                </c:pt>
                <c:pt idx="1218">
                  <c:v>1.1644272184360333E-2</c:v>
                </c:pt>
                <c:pt idx="1219">
                  <c:v>1.165065784286138E-2</c:v>
                </c:pt>
                <c:pt idx="1220">
                  <c:v>1.1669797737667168E-2</c:v>
                </c:pt>
                <c:pt idx="1221">
                  <c:v>1.1676171910209867E-2</c:v>
                </c:pt>
                <c:pt idx="1222">
                  <c:v>1.1682543137142884E-2</c:v>
                </c:pt>
                <c:pt idx="1223">
                  <c:v>1.1688911388818191E-2</c:v>
                </c:pt>
                <c:pt idx="1224">
                  <c:v>1.1695276635587745E-2</c:v>
                </c:pt>
                <c:pt idx="1225">
                  <c:v>1.1714354049981555E-2</c:v>
                </c:pt>
                <c:pt idx="1226">
                  <c:v>1.172070698064775E-2</c:v>
                </c:pt>
                <c:pt idx="1227">
                  <c:v>1.1727056758168014E-2</c:v>
                </c:pt>
                <c:pt idx="1228">
                  <c:v>1.1733403352894314E-2</c:v>
                </c:pt>
                <c:pt idx="1229">
                  <c:v>1.1739746735178613E-2</c:v>
                </c:pt>
                <c:pt idx="1230">
                  <c:v>1.1758757310899117E-2</c:v>
                </c:pt>
                <c:pt idx="1231">
                  <c:v>1.1765087546935043E-2</c:v>
                </c:pt>
                <c:pt idx="1232">
                  <c:v>1.1771414422288781E-2</c:v>
                </c:pt>
                <c:pt idx="1233">
                  <c:v>1.1777737907312303E-2</c:v>
                </c:pt>
                <c:pt idx="1234">
                  <c:v>1.1784057972357567E-2</c:v>
                </c:pt>
                <c:pt idx="1235">
                  <c:v>1.1802997351143464E-2</c:v>
                </c:pt>
                <c:pt idx="1236">
                  <c:v>1.1809303439795343E-2</c:v>
                </c:pt>
                <c:pt idx="1237">
                  <c:v>1.1815605960228783E-2</c:v>
                </c:pt>
                <c:pt idx="1238">
                  <c:v>1.1821904882795754E-2</c:v>
                </c:pt>
                <c:pt idx="1239">
                  <c:v>1.1828200177848214E-2</c:v>
                </c:pt>
                <c:pt idx="1240">
                  <c:v>1.1847064001438182E-2</c:v>
                </c:pt>
                <c:pt idx="1241">
                  <c:v>1.1853344489952244E-2</c:v>
                </c:pt>
                <c:pt idx="1242">
                  <c:v>1.1859621202711619E-2</c:v>
                </c:pt>
                <c:pt idx="1243">
                  <c:v>1.1865894110068267E-2</c:v>
                </c:pt>
                <c:pt idx="1244">
                  <c:v>1.1872163182374149E-2</c:v>
                </c:pt>
                <c:pt idx="1245">
                  <c:v>1.1890947092506871E-2</c:v>
                </c:pt>
                <c:pt idx="1246">
                  <c:v>1.1897200528129346E-2</c:v>
                </c:pt>
                <c:pt idx="1247">
                  <c:v>1.1903449980460879E-2</c:v>
                </c:pt>
                <c:pt idx="1248">
                  <c:v>1.1909695419853433E-2</c:v>
                </c:pt>
                <c:pt idx="1249">
                  <c:v>1.1915936816658972E-2</c:v>
                </c:pt>
                <c:pt idx="1250">
                  <c:v>1.193463645507313E-2</c:v>
                </c:pt>
                <c:pt idx="1251">
                  <c:v>1.1940861385050247E-2</c:v>
                </c:pt>
                <c:pt idx="1252">
                  <c:v>1.1947082124200167E-2</c:v>
                </c:pt>
                <c:pt idx="1253">
                  <c:v>1.1953298642874855E-2</c:v>
                </c:pt>
                <c:pt idx="1254">
                  <c:v>1.1959510911426274E-2</c:v>
                </c:pt>
                <c:pt idx="1255">
                  <c:v>1.1978121919860561E-2</c:v>
                </c:pt>
                <c:pt idx="1256">
                  <c:v>1.1984316891438543E-2</c:v>
                </c:pt>
                <c:pt idx="1257">
                  <c:v>1.1990507464653076E-2</c:v>
                </c:pt>
                <c:pt idx="1258">
                  <c:v>1.1996693609856128E-2</c:v>
                </c:pt>
                <c:pt idx="1259">
                  <c:v>1.2002875297399655E-2</c:v>
                </c:pt>
                <c:pt idx="1260">
                  <c:v>1.2021393317592751E-2</c:v>
                </c:pt>
                <c:pt idx="1261">
                  <c:v>1.2027556878017832E-2</c:v>
                </c:pt>
                <c:pt idx="1262">
                  <c:v>1.2033715832543212E-2</c:v>
                </c:pt>
                <c:pt idx="1263">
                  <c:v>1.2039870151520851E-2</c:v>
                </c:pt>
                <c:pt idx="1264">
                  <c:v>1.2046019805302715E-2</c:v>
                </c:pt>
                <c:pt idx="1265">
                  <c:v>1.2064440478993303E-2</c:v>
                </c:pt>
                <c:pt idx="1266">
                  <c:v>1.207057117551171E-2</c:v>
                </c:pt>
                <c:pt idx="1267">
                  <c:v>1.2076697058594162E-2</c:v>
                </c:pt>
                <c:pt idx="1268">
                  <c:v>1.2082818098592621E-2</c:v>
                </c:pt>
                <c:pt idx="1269">
                  <c:v>1.2113349614643774E-2</c:v>
                </c:pt>
                <c:pt idx="1270">
                  <c:v>1.2119440973529527E-2</c:v>
                </c:pt>
                <c:pt idx="1271">
                  <c:v>1.2125527281795031E-2</c:v>
                </c:pt>
                <c:pt idx="1272">
                  <c:v>1.2131608509792257E-2</c:v>
                </c:pt>
                <c:pt idx="1273">
                  <c:v>1.2149821415693884E-2</c:v>
                </c:pt>
                <c:pt idx="1274">
                  <c:v>1.2155882026137623E-2</c:v>
                </c:pt>
                <c:pt idx="1275">
                  <c:v>1.2161937408072903E-2</c:v>
                </c:pt>
                <c:pt idx="1276">
                  <c:v>1.2167987531851684E-2</c:v>
                </c:pt>
                <c:pt idx="1277">
                  <c:v>1.2174032367825931E-2</c:v>
                </c:pt>
                <c:pt idx="1278">
                  <c:v>1.2192134852441106E-2</c:v>
                </c:pt>
                <c:pt idx="1279">
                  <c:v>1.2198158240716857E-2</c:v>
                </c:pt>
                <c:pt idx="1280">
                  <c:v>1.2204176192947889E-2</c:v>
                </c:pt>
                <c:pt idx="1281">
                  <c:v>1.2210188679486174E-2</c:v>
                </c:pt>
                <c:pt idx="1282">
                  <c:v>1.2216195670683671E-2</c:v>
                </c:pt>
                <c:pt idx="1283">
                  <c:v>1.2240168089105066E-2</c:v>
                </c:pt>
                <c:pt idx="1284">
                  <c:v>1.2246147158878087E-2</c:v>
                </c:pt>
                <c:pt idx="1285">
                  <c:v>1.2252120564465821E-2</c:v>
                </c:pt>
                <c:pt idx="1286">
                  <c:v>1.2258088321438824E-2</c:v>
                </c:pt>
                <c:pt idx="1287">
                  <c:v>1.2275957946812221E-2</c:v>
                </c:pt>
                <c:pt idx="1288">
                  <c:v>1.2281903355469064E-2</c:v>
                </c:pt>
                <c:pt idx="1289">
                  <c:v>1.2287843238582558E-2</c:v>
                </c:pt>
                <c:pt idx="1290">
                  <c:v>1.2293777620766971E-2</c:v>
                </c:pt>
                <c:pt idx="1291">
                  <c:v>1.2299706526636586E-2</c:v>
                </c:pt>
                <c:pt idx="1292">
                  <c:v>1.2317460632499364E-2</c:v>
                </c:pt>
                <c:pt idx="1293">
                  <c:v>1.2323367879252523E-2</c:v>
                </c:pt>
                <c:pt idx="1294">
                  <c:v>1.2329269772762257E-2</c:v>
                </c:pt>
                <c:pt idx="1295">
                  <c:v>1.2335166337642842E-2</c:v>
                </c:pt>
                <c:pt idx="1296">
                  <c:v>1.2341057598508551E-2</c:v>
                </c:pt>
                <c:pt idx="1297">
                  <c:v>1.2358699803159184E-2</c:v>
                </c:pt>
                <c:pt idx="1298">
                  <c:v>1.2364570094108145E-2</c:v>
                </c:pt>
                <c:pt idx="1299">
                  <c:v>1.2370435204113611E-2</c:v>
                </c:pt>
                <c:pt idx="1300">
                  <c:v>1.2376295157789855E-2</c:v>
                </c:pt>
                <c:pt idx="1301">
                  <c:v>1.238214997975115E-2</c:v>
                </c:pt>
                <c:pt idx="1302">
                  <c:v>1.2399683901488103E-2</c:v>
                </c:pt>
                <c:pt idx="1303">
                  <c:v>1.2405518442732362E-2</c:v>
                </c:pt>
                <c:pt idx="1304">
                  <c:v>1.2411347975333048E-2</c:v>
                </c:pt>
                <c:pt idx="1305">
                  <c:v>1.2417172523904434E-2</c:v>
                </c:pt>
                <c:pt idx="1306">
                  <c:v>1.2422992113060806E-2</c:v>
                </c:pt>
                <c:pt idx="1307">
                  <c:v>1.2440421370182546E-2</c:v>
                </c:pt>
                <c:pt idx="1308">
                  <c:v>1.2446221367821586E-2</c:v>
                </c:pt>
                <c:pt idx="1309">
                  <c:v>1.2452016529116984E-2</c:v>
                </c:pt>
                <c:pt idx="1310">
                  <c:v>1.245780687868301E-2</c:v>
                </c:pt>
                <c:pt idx="1311">
                  <c:v>1.2463592441133946E-2</c:v>
                </c:pt>
                <c:pt idx="1312">
                  <c:v>1.248092065193894E-2</c:v>
                </c:pt>
                <c:pt idx="1313">
                  <c:v>1.2486687312072253E-2</c:v>
                </c:pt>
                <c:pt idx="1314">
                  <c:v>1.2492449308161849E-2</c:v>
                </c:pt>
                <c:pt idx="1315">
                  <c:v>1.2498206664822003E-2</c:v>
                </c:pt>
                <c:pt idx="1316">
                  <c:v>1.250395940666699E-2</c:v>
                </c:pt>
                <c:pt idx="1317">
                  <c:v>1.2521190189453708E-2</c:v>
                </c:pt>
                <c:pt idx="1318">
                  <c:v>1.2526924718180784E-2</c:v>
                </c:pt>
                <c:pt idx="1319">
                  <c:v>1.2532654755164069E-2</c:v>
                </c:pt>
                <c:pt idx="1320">
                  <c:v>1.2538380325017839E-2</c:v>
                </c:pt>
                <c:pt idx="1321">
                  <c:v>1.254410145235637E-2</c:v>
                </c:pt>
                <c:pt idx="1322">
                  <c:v>1.2561238425423275E-2</c:v>
                </c:pt>
                <c:pt idx="1323">
                  <c:v>1.2566942028843606E-2</c:v>
                </c:pt>
                <c:pt idx="1324">
                  <c:v>1.2572641312820066E-2</c:v>
                </c:pt>
                <c:pt idx="1325">
                  <c:v>1.2578336301966942E-2</c:v>
                </c:pt>
                <c:pt idx="1326">
                  <c:v>1.2584027020898505E-2</c:v>
                </c:pt>
                <c:pt idx="1327">
                  <c:v>1.2601073802544072E-2</c:v>
                </c:pt>
                <c:pt idx="1328">
                  <c:v>1.2606747686757137E-2</c:v>
                </c:pt>
                <c:pt idx="1329">
                  <c:v>1.2612417423826267E-2</c:v>
                </c:pt>
                <c:pt idx="1330">
                  <c:v>1.2618083038365738E-2</c:v>
                </c:pt>
                <c:pt idx="1331">
                  <c:v>1.2623744554989821E-2</c:v>
                </c:pt>
                <c:pt idx="1332">
                  <c:v>1.2640704763512516E-2</c:v>
                </c:pt>
                <c:pt idx="1333">
                  <c:v>1.2646350134617809E-2</c:v>
                </c:pt>
                <c:pt idx="1334">
                  <c:v>1.2651991530879095E-2</c:v>
                </c:pt>
                <c:pt idx="1335">
                  <c:v>1.2657628976910648E-2</c:v>
                </c:pt>
                <c:pt idx="1336">
                  <c:v>1.2663262497326742E-2</c:v>
                </c:pt>
                <c:pt idx="1337">
                  <c:v>1.268013975102503E-2</c:v>
                </c:pt>
                <c:pt idx="1338">
                  <c:v>1.2685757815122047E-2</c:v>
                </c:pt>
                <c:pt idx="1339">
                  <c:v>1.2691372076674977E-2</c:v>
                </c:pt>
                <c:pt idx="1340">
                  <c:v>1.2696982560298104E-2</c:v>
                </c:pt>
                <c:pt idx="1341">
                  <c:v>1.2702589290605698E-2</c:v>
                </c:pt>
                <c:pt idx="1342">
                  <c:v>1.2719387207778047E-2</c:v>
                </c:pt>
                <c:pt idx="1343">
                  <c:v>1.2724979170966268E-2</c:v>
                </c:pt>
                <c:pt idx="1344">
                  <c:v>1.2730567503910337E-2</c:v>
                </c:pt>
                <c:pt idx="1345">
                  <c:v>1.2736152231224523E-2</c:v>
                </c:pt>
                <c:pt idx="1346">
                  <c:v>1.2741733377523108E-2</c:v>
                </c:pt>
                <c:pt idx="1347">
                  <c:v>1.2758455576467986E-2</c:v>
                </c:pt>
                <c:pt idx="1348">
                  <c:v>1.2764022644846907E-2</c:v>
                </c:pt>
                <c:pt idx="1349">
                  <c:v>1.2769586255281599E-2</c:v>
                </c:pt>
                <c:pt idx="1350">
                  <c:v>1.2775146432386336E-2</c:v>
                </c:pt>
                <c:pt idx="1351">
                  <c:v>1.2780703200775399E-2</c:v>
                </c:pt>
                <c:pt idx="1352">
                  <c:v>1.2797353299791274E-2</c:v>
                </c:pt>
                <c:pt idx="1353">
                  <c:v>1.280289667946038E-2</c:v>
                </c:pt>
                <c:pt idx="1354">
                  <c:v>1.2808436773485187E-2</c:v>
                </c:pt>
                <c:pt idx="1355">
                  <c:v>1.2813973606479963E-2</c:v>
                </c:pt>
                <c:pt idx="1356">
                  <c:v>1.2819507203058994E-2</c:v>
                </c:pt>
                <c:pt idx="1357">
                  <c:v>1.2836088820444336E-2</c:v>
                </c:pt>
                <c:pt idx="1358">
                  <c:v>1.2841609717503116E-2</c:v>
                </c:pt>
                <c:pt idx="1359">
                  <c:v>1.2847127501217526E-2</c:v>
                </c:pt>
                <c:pt idx="1360">
                  <c:v>1.2852642196201835E-2</c:v>
                </c:pt>
                <c:pt idx="1361">
                  <c:v>1.2858153827070323E-2</c:v>
                </c:pt>
                <c:pt idx="1362">
                  <c:v>1.2874670581123595E-2</c:v>
                </c:pt>
                <c:pt idx="1363">
                  <c:v>1.2880170201671542E-2</c:v>
                </c:pt>
                <c:pt idx="1364">
                  <c:v>1.2885666881175041E-2</c:v>
                </c:pt>
                <c:pt idx="1365">
                  <c:v>1.2891160644248372E-2</c:v>
                </c:pt>
                <c:pt idx="1366">
                  <c:v>1.2896651515505802E-2</c:v>
                </c:pt>
                <c:pt idx="1367">
                  <c:v>1.2913107024525474E-2</c:v>
                </c:pt>
                <c:pt idx="1368">
                  <c:v>1.2918586574662081E-2</c:v>
                </c:pt>
                <c:pt idx="1369">
                  <c:v>1.292406335605416E-2</c:v>
                </c:pt>
                <c:pt idx="1370">
                  <c:v>1.2929537393315997E-2</c:v>
                </c:pt>
                <c:pt idx="1371">
                  <c:v>1.2935008711061865E-2</c:v>
                </c:pt>
                <c:pt idx="1372">
                  <c:v>1.2951406593346409E-2</c:v>
                </c:pt>
                <c:pt idx="1373">
                  <c:v>1.2956867279171154E-2</c:v>
                </c:pt>
                <c:pt idx="1374">
                  <c:v>1.2962325368551303E-2</c:v>
                </c:pt>
                <c:pt idx="1375">
                  <c:v>1.296778088610114E-2</c:v>
                </c:pt>
                <c:pt idx="1376">
                  <c:v>1.2973233856434934E-2</c:v>
                </c:pt>
                <c:pt idx="1377">
                  <c:v>1.2989577730282812E-2</c:v>
                </c:pt>
                <c:pt idx="1378">
                  <c:v>1.2995020757895189E-2</c:v>
                </c:pt>
                <c:pt idx="1379">
                  <c:v>1.3000461361362901E-2</c:v>
                </c:pt>
                <c:pt idx="1380">
                  <c:v>1.3005899565300225E-2</c:v>
                </c:pt>
                <c:pt idx="1381">
                  <c:v>1.3011335394321427E-2</c:v>
                </c:pt>
                <c:pt idx="1382">
                  <c:v>1.3027628878031113E-2</c:v>
                </c:pt>
                <c:pt idx="1383">
                  <c:v>1.3033055453530611E-2</c:v>
                </c:pt>
                <c:pt idx="1384">
                  <c:v>1.3038479777185372E-2</c:v>
                </c:pt>
                <c:pt idx="1385">
                  <c:v>1.3043901873609673E-2</c:v>
                </c:pt>
                <c:pt idx="1386">
                  <c:v>1.304932176741778E-2</c:v>
                </c:pt>
                <c:pt idx="1387">
                  <c:v>1.3065568479287734E-2</c:v>
                </c:pt>
                <c:pt idx="1388">
                  <c:v>1.3070979808773845E-2</c:v>
                </c:pt>
                <c:pt idx="1389">
                  <c:v>1.3076389058715146E-2</c:v>
                </c:pt>
                <c:pt idx="1390">
                  <c:v>1.3081796253725908E-2</c:v>
                </c:pt>
                <c:pt idx="1391">
                  <c:v>1.3087201418420411E-2</c:v>
                </c:pt>
                <c:pt idx="1392">
                  <c:v>1.3103404976749103E-2</c:v>
                </c:pt>
                <c:pt idx="1393">
                  <c:v>1.3108802266321315E-2</c:v>
                </c:pt>
                <c:pt idx="1394">
                  <c:v>1.3114197648648641E-2</c:v>
                </c:pt>
                <c:pt idx="1395">
                  <c:v>1.3119591148345358E-2</c:v>
                </c:pt>
                <c:pt idx="1396">
                  <c:v>1.3124982790025743E-2</c:v>
                </c:pt>
                <c:pt idx="1397">
                  <c:v>1.3141146813111645E-2</c:v>
                </c:pt>
                <c:pt idx="1398">
                  <c:v>1.3146531268869447E-2</c:v>
                </c:pt>
                <c:pt idx="1399">
                  <c:v>1.315191398968229E-2</c:v>
                </c:pt>
                <c:pt idx="1400">
                  <c:v>1.3157295000164453E-2</c:v>
                </c:pt>
                <c:pt idx="1401">
                  <c:v>1.3162674324930205E-2</c:v>
                </c:pt>
                <c:pt idx="1402">
                  <c:v>1.3178802431071784E-2</c:v>
                </c:pt>
                <c:pt idx="1403">
                  <c:v>1.3184175259114665E-2</c:v>
                </c:pt>
                <c:pt idx="1404">
                  <c:v>1.3189546524512513E-2</c:v>
                </c:pt>
                <c:pt idx="1405">
                  <c:v>1.3194916251879608E-2</c:v>
                </c:pt>
                <c:pt idx="1406">
                  <c:v>1.3200284465830225E-2</c:v>
                </c:pt>
                <c:pt idx="1407">
                  <c:v>1.3216380273325942E-2</c:v>
                </c:pt>
                <c:pt idx="1408">
                  <c:v>1.3221742679753392E-2</c:v>
                </c:pt>
                <c:pt idx="1409">
                  <c:v>1.3227103695835738E-2</c:v>
                </c:pt>
                <c:pt idx="1410">
                  <c:v>1.3232463346187256E-2</c:v>
                </c:pt>
                <c:pt idx="1411">
                  <c:v>1.323782165542222E-2</c:v>
                </c:pt>
                <c:pt idx="1412">
                  <c:v>1.325388878257055E-2</c:v>
                </c:pt>
                <c:pt idx="1413">
                  <c:v>1.3259241973482053E-2</c:v>
                </c:pt>
                <c:pt idx="1414">
                  <c:v>1.3264593946348385E-2</c:v>
                </c:pt>
                <c:pt idx="1415">
                  <c:v>1.3269944725783814E-2</c:v>
                </c:pt>
                <c:pt idx="1416">
                  <c:v>1.3275294336402618E-2</c:v>
                </c:pt>
                <c:pt idx="1417">
                  <c:v>1.3291336288540144E-2</c:v>
                </c:pt>
                <c:pt idx="1418">
                  <c:v>1.329668131523558E-2</c:v>
                </c:pt>
                <c:pt idx="1419">
                  <c:v>1.3302025195775205E-2</c:v>
                </c:pt>
                <c:pt idx="1420">
                  <c:v>1.3307367929670657E-2</c:v>
                </c:pt>
                <c:pt idx="1421">
                  <c:v>1.3312709516433562E-2</c:v>
                </c:pt>
                <c:pt idx="1422">
                  <c:v>1.3328727389043386E-2</c:v>
                </c:pt>
                <c:pt idx="1423">
                  <c:v>1.3334064382392477E-2</c:v>
                </c:pt>
                <c:pt idx="1424">
                  <c:v>1.3339400226167199E-2</c:v>
                </c:pt>
                <c:pt idx="1425">
                  <c:v>1.3344734919879191E-2</c:v>
                </c:pt>
                <c:pt idx="1426">
                  <c:v>1.335006846304008E-2</c:v>
                </c:pt>
                <c:pt idx="1427">
                  <c:v>1.3366062184332518E-2</c:v>
                </c:pt>
                <c:pt idx="1428">
                  <c:v>1.3371391120405366E-2</c:v>
                </c:pt>
                <c:pt idx="1429">
                  <c:v>1.3376718903485289E-2</c:v>
                </c:pt>
                <c:pt idx="1430">
                  <c:v>1.3382045533083928E-2</c:v>
                </c:pt>
                <c:pt idx="1431">
                  <c:v>1.3387371008712909E-2</c:v>
                </c:pt>
                <c:pt idx="1432">
                  <c:v>1.3403340506898278E-2</c:v>
                </c:pt>
                <c:pt idx="1433">
                  <c:v>1.3408661361764992E-2</c:v>
                </c:pt>
                <c:pt idx="1434">
                  <c:v>1.3413981060220227E-2</c:v>
                </c:pt>
                <c:pt idx="1435">
                  <c:v>1.3419299601775616E-2</c:v>
                </c:pt>
                <c:pt idx="1436">
                  <c:v>1.3424616985942793E-2</c:v>
                </c:pt>
                <c:pt idx="1437">
                  <c:v>1.3440562189231415E-2</c:v>
                </c:pt>
                <c:pt idx="1438">
                  <c:v>1.3445874938962097E-2</c:v>
                </c:pt>
                <c:pt idx="1439">
                  <c:v>1.3451186528862747E-2</c:v>
                </c:pt>
                <c:pt idx="1440">
                  <c:v>1.3456496958444994E-2</c:v>
                </c:pt>
                <c:pt idx="1441">
                  <c:v>1.3461806227220475E-2</c:v>
                </c:pt>
                <c:pt idx="1442">
                  <c:v>1.3477727063822666E-2</c:v>
                </c:pt>
                <c:pt idx="1443">
                  <c:v>1.3483031684487426E-2</c:v>
                </c:pt>
                <c:pt idx="1444">
                  <c:v>1.3488335141903597E-2</c:v>
                </c:pt>
                <c:pt idx="1445">
                  <c:v>1.3493637435582805E-2</c:v>
                </c:pt>
                <c:pt idx="1446">
                  <c:v>1.3498938565036695E-2</c:v>
                </c:pt>
                <c:pt idx="1447">
                  <c:v>1.3514834963162773E-2</c:v>
                </c:pt>
                <c:pt idx="1448">
                  <c:v>1.3520131430831719E-2</c:v>
                </c:pt>
                <c:pt idx="1449">
                  <c:v>1.3525426731833516E-2</c:v>
                </c:pt>
                <c:pt idx="1450">
                  <c:v>1.3530720865679796E-2</c:v>
                </c:pt>
                <c:pt idx="1451">
                  <c:v>1.35360138318822E-2</c:v>
                </c:pt>
                <c:pt idx="1452">
                  <c:v>1.3562461131143245E-2</c:v>
                </c:pt>
                <c:pt idx="1453">
                  <c:v>1.3567747081226702E-2</c:v>
                </c:pt>
                <c:pt idx="1454">
                  <c:v>1.3573031860247728E-2</c:v>
                </c:pt>
                <c:pt idx="1455">
                  <c:v>1.3594130406178287E-2</c:v>
                </c:pt>
                <c:pt idx="1456">
                  <c:v>1.3599394907288448E-2</c:v>
                </c:pt>
                <c:pt idx="1457">
                  <c:v>1.3604658240816463E-2</c:v>
                </c:pt>
                <c:pt idx="1458">
                  <c:v>1.3609920406277952E-2</c:v>
                </c:pt>
                <c:pt idx="1459">
                  <c:v>1.362569988941956E-2</c:v>
                </c:pt>
                <c:pt idx="1460">
                  <c:v>1.3630957377771232E-2</c:v>
                </c:pt>
                <c:pt idx="1461">
                  <c:v>1.3636213695634515E-2</c:v>
                </c:pt>
                <c:pt idx="1462">
                  <c:v>1.3641468842525034E-2</c:v>
                </c:pt>
                <c:pt idx="1463">
                  <c:v>1.3646722817958423E-2</c:v>
                </c:pt>
                <c:pt idx="1464">
                  <c:v>1.3662477710672048E-2</c:v>
                </c:pt>
                <c:pt idx="1465">
                  <c:v>1.3667726995433166E-2</c:v>
                </c:pt>
                <c:pt idx="1466">
                  <c:v>1.3672975106315289E-2</c:v>
                </c:pt>
                <c:pt idx="1467">
                  <c:v>1.3678222042834035E-2</c:v>
                </c:pt>
                <c:pt idx="1468">
                  <c:v>1.3683467804505033E-2</c:v>
                </c:pt>
                <c:pt idx="1469">
                  <c:v>1.3699198035587832E-2</c:v>
                </c:pt>
                <c:pt idx="1470">
                  <c:v>1.3704439093024118E-2</c:v>
                </c:pt>
                <c:pt idx="1471">
                  <c:v>1.3709678973190791E-2</c:v>
                </c:pt>
                <c:pt idx="1472">
                  <c:v>1.3714917675603483E-2</c:v>
                </c:pt>
                <c:pt idx="1473">
                  <c:v>1.3720155199777814E-2</c:v>
                </c:pt>
                <c:pt idx="1474">
                  <c:v>1.3735860698026932E-2</c:v>
                </c:pt>
                <c:pt idx="1475">
                  <c:v>1.3741093504404103E-2</c:v>
                </c:pt>
                <c:pt idx="1476">
                  <c:v>1.374632513012105E-2</c:v>
                </c:pt>
                <c:pt idx="1477">
                  <c:v>1.3751555574693399E-2</c:v>
                </c:pt>
                <c:pt idx="1478">
                  <c:v>1.3756784837636779E-2</c:v>
                </c:pt>
                <c:pt idx="1479">
                  <c:v>1.3772465531849371E-2</c:v>
                </c:pt>
                <c:pt idx="1480">
                  <c:v>1.3777690063433143E-2</c:v>
                </c:pt>
                <c:pt idx="1481">
                  <c:v>1.378291341096608E-2</c:v>
                </c:pt>
                <c:pt idx="1482">
                  <c:v>1.3788135573963805E-2</c:v>
                </c:pt>
                <c:pt idx="1483">
                  <c:v>1.3793356551941952E-2</c:v>
                </c:pt>
                <c:pt idx="1484">
                  <c:v>1.3809012370915171E-2</c:v>
                </c:pt>
                <c:pt idx="1485">
                  <c:v>1.381422860397126E-2</c:v>
                </c:pt>
                <c:pt idx="1486">
                  <c:v>1.3819443649585901E-2</c:v>
                </c:pt>
                <c:pt idx="1487">
                  <c:v>1.3824657507274725E-2</c:v>
                </c:pt>
                <c:pt idx="1488">
                  <c:v>1.3829870176553353E-2</c:v>
                </c:pt>
                <c:pt idx="1489">
                  <c:v>1.3845501049084347E-2</c:v>
                </c:pt>
                <c:pt idx="1490">
                  <c:v>1.3850708959878473E-2</c:v>
                </c:pt>
                <c:pt idx="1491">
                  <c:v>1.385591567984054E-2</c:v>
                </c:pt>
                <c:pt idx="1492">
                  <c:v>1.3861121208486175E-2</c:v>
                </c:pt>
                <c:pt idx="1493">
                  <c:v>1.3866325545331005E-2</c:v>
                </c:pt>
                <c:pt idx="1494">
                  <c:v>1.3881931400216927E-2</c:v>
                </c:pt>
                <c:pt idx="1495">
                  <c:v>1.3887130965014807E-2</c:v>
                </c:pt>
                <c:pt idx="1496">
                  <c:v>1.3892329335590013E-2</c:v>
                </c:pt>
                <c:pt idx="1497">
                  <c:v>1.3897526511458176E-2</c:v>
                </c:pt>
                <c:pt idx="1498">
                  <c:v>1.3902722492134924E-2</c:v>
                </c:pt>
                <c:pt idx="1499">
                  <c:v>1.3918303258172931E-2</c:v>
                </c:pt>
                <c:pt idx="1500">
                  <c:v>1.3923494453240277E-2</c:v>
                </c:pt>
                <c:pt idx="1501">
                  <c:v>1.3928684450694347E-2</c:v>
                </c:pt>
                <c:pt idx="1502">
                  <c:v>1.3933873250050752E-2</c:v>
                </c:pt>
                <c:pt idx="1503">
                  <c:v>1.3939060850825137E-2</c:v>
                </c:pt>
                <c:pt idx="1504">
                  <c:v>1.3954616456812376E-2</c:v>
                </c:pt>
                <c:pt idx="1505">
                  <c:v>1.3959799258414909E-2</c:v>
                </c:pt>
                <c:pt idx="1506">
                  <c:v>1.3964980859013553E-2</c:v>
                </c:pt>
                <c:pt idx="1507">
                  <c:v>1.3970161258123927E-2</c:v>
                </c:pt>
                <c:pt idx="1508">
                  <c:v>1.3975340455261659E-2</c:v>
                </c:pt>
                <c:pt idx="1509">
                  <c:v>1.3990870829995285E-2</c:v>
                </c:pt>
                <c:pt idx="1510">
                  <c:v>1.3996045214398727E-2</c:v>
                </c:pt>
                <c:pt idx="1511">
                  <c:v>1.4001218394407659E-2</c:v>
                </c:pt>
                <c:pt idx="1512">
                  <c:v>1.4006390369537715E-2</c:v>
                </c:pt>
                <c:pt idx="1513">
                  <c:v>1.4011561139304518E-2</c:v>
                </c:pt>
                <c:pt idx="1514">
                  <c:v>1.402706621158168E-2</c:v>
                </c:pt>
                <c:pt idx="1515">
                  <c:v>1.4032232155051741E-2</c:v>
                </c:pt>
                <c:pt idx="1516">
                  <c:v>1.4037396890736688E-2</c:v>
                </c:pt>
                <c:pt idx="1517">
                  <c:v>1.4042560418152139E-2</c:v>
                </c:pt>
                <c:pt idx="1518">
                  <c:v>1.4068359914233981E-2</c:v>
                </c:pt>
                <c:pt idx="1519">
                  <c:v>1.4073516181860653E-2</c:v>
                </c:pt>
                <c:pt idx="1520">
                  <c:v>1.4078671237827224E-2</c:v>
                </c:pt>
                <c:pt idx="1521">
                  <c:v>1.4083825081649315E-2</c:v>
                </c:pt>
                <c:pt idx="1522">
                  <c:v>1.409927933540501E-2</c:v>
                </c:pt>
                <c:pt idx="1523">
                  <c:v>1.4104428325805468E-2</c:v>
                </c:pt>
                <c:pt idx="1524">
                  <c:v>1.4109576101639583E-2</c:v>
                </c:pt>
                <c:pt idx="1525">
                  <c:v>1.4114722662422986E-2</c:v>
                </c:pt>
                <c:pt idx="1526">
                  <c:v>1.41198680076713E-2</c:v>
                </c:pt>
                <c:pt idx="1527">
                  <c:v>1.4135296745361986E-2</c:v>
                </c:pt>
                <c:pt idx="1528">
                  <c:v>1.4140437223626217E-2</c:v>
                </c:pt>
                <c:pt idx="1529">
                  <c:v>1.4145576483933496E-2</c:v>
                </c:pt>
                <c:pt idx="1530">
                  <c:v>1.4150714525799449E-2</c:v>
                </c:pt>
                <c:pt idx="1531">
                  <c:v>1.4155851348739701E-2</c:v>
                </c:pt>
                <c:pt idx="1532">
                  <c:v>1.417125449916253E-2</c:v>
                </c:pt>
                <c:pt idx="1533">
                  <c:v>1.4176386441556256E-2</c:v>
                </c:pt>
                <c:pt idx="1534">
                  <c:v>1.4181517162602412E-2</c:v>
                </c:pt>
                <c:pt idx="1535">
                  <c:v>1.4186646661816633E-2</c:v>
                </c:pt>
                <c:pt idx="1536">
                  <c:v>1.4191774938714539E-2</c:v>
                </c:pt>
                <c:pt idx="1537">
                  <c:v>1.4207152430666666E-2</c:v>
                </c:pt>
                <c:pt idx="1538">
                  <c:v>1.4212275813455598E-2</c:v>
                </c:pt>
                <c:pt idx="1539">
                  <c:v>1.4222518904334557E-2</c:v>
                </c:pt>
                <c:pt idx="1540">
                  <c:v>1.422763861145584E-2</c:v>
                </c:pt>
                <c:pt idx="1541">
                  <c:v>1.4242990364547852E-2</c:v>
                </c:pt>
                <c:pt idx="1542">
                  <c:v>1.4248105151408719E-2</c:v>
                </c:pt>
                <c:pt idx="1543">
                  <c:v>1.4253218701974966E-2</c:v>
                </c:pt>
                <c:pt idx="1544">
                  <c:v>1.4258331013720761E-2</c:v>
                </c:pt>
                <c:pt idx="1545">
                  <c:v>1.4263442084120271E-2</c:v>
                </c:pt>
                <c:pt idx="1546">
                  <c:v>1.4278767821982799E-2</c:v>
                </c:pt>
                <c:pt idx="1547">
                  <c:v>1.4283873901738868E-2</c:v>
                </c:pt>
                <c:pt idx="1548">
                  <c:v>1.4288978727519499E-2</c:v>
                </c:pt>
                <c:pt idx="1549">
                  <c:v>1.4294082296798859E-2</c:v>
                </c:pt>
                <c:pt idx="1550">
                  <c:v>1.4299184607051124E-2</c:v>
                </c:pt>
                <c:pt idx="1551">
                  <c:v>1.4314483958386994E-2</c:v>
                </c:pt>
                <c:pt idx="1552">
                  <c:v>1.4319581207272544E-2</c:v>
                </c:pt>
                <c:pt idx="1553">
                  <c:v>1.4324677184501838E-2</c:v>
                </c:pt>
                <c:pt idx="1554">
                  <c:v>1.4329771887549045E-2</c:v>
                </c:pt>
                <c:pt idx="1555">
                  <c:v>1.4334865313888334E-2</c:v>
                </c:pt>
                <c:pt idx="1556">
                  <c:v>1.4350137907400381E-2</c:v>
                </c:pt>
                <c:pt idx="1557">
                  <c:v>1.4355226201649689E-2</c:v>
                </c:pt>
                <c:pt idx="1558">
                  <c:v>1.4360313206561922E-2</c:v>
                </c:pt>
                <c:pt idx="1559">
                  <c:v>1.4365398919611251E-2</c:v>
                </c:pt>
                <c:pt idx="1560">
                  <c:v>1.4370483338271844E-2</c:v>
                </c:pt>
                <c:pt idx="1561">
                  <c:v>1.4385728802662898E-2</c:v>
                </c:pt>
                <c:pt idx="1562">
                  <c:v>1.439080801851024E-2</c:v>
                </c:pt>
                <c:pt idx="1563">
                  <c:v>1.439588592733969E-2</c:v>
                </c:pt>
                <c:pt idx="1564">
                  <c:v>1.4400962526625417E-2</c:v>
                </c:pt>
                <c:pt idx="1565">
                  <c:v>1.440603781384159E-2</c:v>
                </c:pt>
                <c:pt idx="1566">
                  <c:v>1.4421255777814486E-2</c:v>
                </c:pt>
                <c:pt idx="1567">
                  <c:v>1.4426325791494136E-2</c:v>
                </c:pt>
                <c:pt idx="1568">
                  <c:v>1.443139448047508E-2</c:v>
                </c:pt>
                <c:pt idx="1569">
                  <c:v>1.4436461842231484E-2</c:v>
                </c:pt>
                <c:pt idx="1570">
                  <c:v>1.4441527874237517E-2</c:v>
                </c:pt>
                <c:pt idx="1571">
                  <c:v>1.4456717966495081E-2</c:v>
                </c:pt>
                <c:pt idx="1572">
                  <c:v>1.4461778654241321E-2</c:v>
                </c:pt>
                <c:pt idx="1573">
                  <c:v>1.4466837999608033E-2</c:v>
                </c:pt>
                <c:pt idx="1574">
                  <c:v>1.4471896000069392E-2</c:v>
                </c:pt>
                <c:pt idx="1575">
                  <c:v>1.4476952653099558E-2</c:v>
                </c:pt>
                <c:pt idx="1576">
                  <c:v>1.4492114502344625E-2</c:v>
                </c:pt>
                <c:pt idx="1577">
                  <c:v>1.449716574039173E-2</c:v>
                </c:pt>
                <c:pt idx="1578">
                  <c:v>1.450221561837849E-2</c:v>
                </c:pt>
                <c:pt idx="1579">
                  <c:v>1.4507264133779079E-2</c:v>
                </c:pt>
                <c:pt idx="1580">
                  <c:v>1.4512311284067658E-2</c:v>
                </c:pt>
                <c:pt idx="1581">
                  <c:v>1.4527444519003056E-2</c:v>
                </c:pt>
                <c:pt idx="1582">
                  <c:v>1.4532486183585302E-2</c:v>
                </c:pt>
                <c:pt idx="1583">
                  <c:v>1.4537526470426391E-2</c:v>
                </c:pt>
                <c:pt idx="1584">
                  <c:v>1.4542565377000482E-2</c:v>
                </c:pt>
                <c:pt idx="1585">
                  <c:v>1.4547602900781754E-2</c:v>
                </c:pt>
                <c:pt idx="1586">
                  <c:v>1.4562707150110314E-2</c:v>
                </c:pt>
                <c:pt idx="1587">
                  <c:v>1.4567739117461979E-2</c:v>
                </c:pt>
                <c:pt idx="1588">
                  <c:v>1.457276968939167E-2</c:v>
                </c:pt>
                <c:pt idx="1589">
                  <c:v>1.4577798863373546E-2</c:v>
                </c:pt>
                <c:pt idx="1590">
                  <c:v>1.4582826636881785E-2</c:v>
                </c:pt>
                <c:pt idx="1591">
                  <c:v>1.459790152930634E-2</c:v>
                </c:pt>
                <c:pt idx="1592">
                  <c:v>1.4602923675661702E-2</c:v>
                </c:pt>
                <c:pt idx="1593">
                  <c:v>1.460794440891427E-2</c:v>
                </c:pt>
                <c:pt idx="1594">
                  <c:v>1.4612963726538211E-2</c:v>
                </c:pt>
                <c:pt idx="1595">
                  <c:v>1.4617981626007691E-2</c:v>
                </c:pt>
                <c:pt idx="1596">
                  <c:v>1.463302679023107E-2</c:v>
                </c:pt>
                <c:pt idx="1597">
                  <c:v>1.463803899182441E-2</c:v>
                </c:pt>
                <c:pt idx="1598">
                  <c:v>1.4643049762634129E-2</c:v>
                </c:pt>
                <c:pt idx="1599">
                  <c:v>1.4648059100134407E-2</c:v>
                </c:pt>
                <c:pt idx="1600">
                  <c:v>1.465306700179941E-2</c:v>
                </c:pt>
                <c:pt idx="1601">
                  <c:v>1.4668082066524448E-2</c:v>
                </c:pt>
                <c:pt idx="1602">
                  <c:v>1.4673084199590035E-2</c:v>
                </c:pt>
                <c:pt idx="1603">
                  <c:v>1.4678084884191192E-2</c:v>
                </c:pt>
                <c:pt idx="1604">
                  <c:v>1.4683084117802085E-2</c:v>
                </c:pt>
                <c:pt idx="1605">
                  <c:v>1.4688081897896882E-2</c:v>
                </c:pt>
                <c:pt idx="1606">
                  <c:v>1.470306649182641E-2</c:v>
                </c:pt>
                <c:pt idx="1607">
                  <c:v>1.4708058432598524E-2</c:v>
                </c:pt>
                <c:pt idx="1608">
                  <c:v>1.4713048907225391E-2</c:v>
                </c:pt>
                <c:pt idx="1609">
                  <c:v>1.4718037913181175E-2</c:v>
                </c:pt>
                <c:pt idx="1610">
                  <c:v>1.4723025447940052E-2</c:v>
                </c:pt>
                <c:pt idx="1611">
                  <c:v>1.4737979199776896E-2</c:v>
                </c:pt>
                <c:pt idx="1612">
                  <c:v>1.4742960824489818E-2</c:v>
                </c:pt>
                <c:pt idx="1613">
                  <c:v>1.4747940965376672E-2</c:v>
                </c:pt>
                <c:pt idx="1614">
                  <c:v>1.4752919619911625E-2</c:v>
                </c:pt>
                <c:pt idx="1615">
                  <c:v>1.4757896785568849E-2</c:v>
                </c:pt>
                <c:pt idx="1616">
                  <c:v>1.4772819324015848E-2</c:v>
                </c:pt>
                <c:pt idx="1617">
                  <c:v>1.4777790508903847E-2</c:v>
                </c:pt>
                <c:pt idx="1618">
                  <c:v>1.4782760192284965E-2</c:v>
                </c:pt>
                <c:pt idx="1619">
                  <c:v>1.4787728371633368E-2</c:v>
                </c:pt>
                <c:pt idx="1620">
                  <c:v>1.4792695044423224E-2</c:v>
                </c:pt>
                <c:pt idx="1621">
                  <c:v>1.4807585998183201E-2</c:v>
                </c:pt>
                <c:pt idx="1622">
                  <c:v>1.4812546619480562E-2</c:v>
                </c:pt>
                <c:pt idx="1623">
                  <c:v>1.481750572159022E-2</c:v>
                </c:pt>
                <c:pt idx="1624">
                  <c:v>1.4822463301986347E-2</c:v>
                </c:pt>
                <c:pt idx="1625">
                  <c:v>1.4827419358143109E-2</c:v>
                </c:pt>
                <c:pt idx="1626">
                  <c:v>1.4842278355918899E-2</c:v>
                </c:pt>
                <c:pt idx="1627">
                  <c:v>1.4847228289859894E-2</c:v>
                </c:pt>
                <c:pt idx="1628">
                  <c:v>1.4852176686932374E-2</c:v>
                </c:pt>
                <c:pt idx="1629">
                  <c:v>1.4857123544610495E-2</c:v>
                </c:pt>
                <c:pt idx="1630">
                  <c:v>1.4862068860368441E-2</c:v>
                </c:pt>
                <c:pt idx="1631">
                  <c:v>1.4876895530862877E-2</c:v>
                </c:pt>
                <c:pt idx="1632">
                  <c:v>1.4881834653681786E-2</c:v>
                </c:pt>
                <c:pt idx="1633">
                  <c:v>1.488677222195136E-2</c:v>
                </c:pt>
                <c:pt idx="1634">
                  <c:v>1.4891708233145761E-2</c:v>
                </c:pt>
                <c:pt idx="1635">
                  <c:v>1.4896642684739168E-2</c:v>
                </c:pt>
                <c:pt idx="1636">
                  <c:v>1.4911436656655078E-2</c:v>
                </c:pt>
                <c:pt idx="1637">
                  <c:v>1.4916364844586178E-2</c:v>
                </c:pt>
                <c:pt idx="1638">
                  <c:v>1.4921291460287122E-2</c:v>
                </c:pt>
                <c:pt idx="1639">
                  <c:v>1.4926216501232081E-2</c:v>
                </c:pt>
                <c:pt idx="1640">
                  <c:v>1.4931139964895226E-2</c:v>
                </c:pt>
                <c:pt idx="1641">
                  <c:v>1.4945900866935443E-2</c:v>
                </c:pt>
                <c:pt idx="1642">
                  <c:v>1.4950817996213006E-2</c:v>
                </c:pt>
                <c:pt idx="1643">
                  <c:v>1.4955733535579602E-2</c:v>
                </c:pt>
                <c:pt idx="1644">
                  <c:v>1.4960647482509392E-2</c:v>
                </c:pt>
                <c:pt idx="1645">
                  <c:v>1.4965559834476548E-2</c:v>
                </c:pt>
                <c:pt idx="1646">
                  <c:v>1.4980287295343906E-2</c:v>
                </c:pt>
                <c:pt idx="1647">
                  <c:v>1.4985193242202216E-2</c:v>
                </c:pt>
                <c:pt idx="1648">
                  <c:v>1.4990097581468735E-2</c:v>
                </c:pt>
                <c:pt idx="1649">
                  <c:v>1.4995000310617635E-2</c:v>
                </c:pt>
                <c:pt idx="1650">
                  <c:v>1.4999901427123085E-2</c:v>
                </c:pt>
                <c:pt idx="1651">
                  <c:v>1.5014595075520408E-2</c:v>
                </c:pt>
                <c:pt idx="1652">
                  <c:v>1.501948971619374E-2</c:v>
                </c:pt>
                <c:pt idx="1653">
                  <c:v>1.5024382731594465E-2</c:v>
                </c:pt>
                <c:pt idx="1654">
                  <c:v>1.502927411919675E-2</c:v>
                </c:pt>
                <c:pt idx="1655">
                  <c:v>1.5034163876474767E-2</c:v>
                </c:pt>
                <c:pt idx="1656">
                  <c:v>1.504882334110489E-2</c:v>
                </c:pt>
                <c:pt idx="1657">
                  <c:v>1.5053706551827519E-2</c:v>
                </c:pt>
                <c:pt idx="1658">
                  <c:v>1.5058588119596724E-2</c:v>
                </c:pt>
                <c:pt idx="1659">
                  <c:v>1.5063468041886678E-2</c:v>
                </c:pt>
                <c:pt idx="1660">
                  <c:v>1.5068346316171538E-2</c:v>
                </c:pt>
                <c:pt idx="1661">
                  <c:v>1.5082971225737294E-2</c:v>
                </c:pt>
                <c:pt idx="1662">
                  <c:v>1.5087842882743499E-2</c:v>
                </c:pt>
                <c:pt idx="1663">
                  <c:v>1.5092712879115464E-2</c:v>
                </c:pt>
                <c:pt idx="1664">
                  <c:v>1.5097581212327349E-2</c:v>
                </c:pt>
                <c:pt idx="1665">
                  <c:v>1.5102447879853336E-2</c:v>
                </c:pt>
                <c:pt idx="1666">
                  <c:v>1.5117037863057556E-2</c:v>
                </c:pt>
                <c:pt idx="1667">
                  <c:v>1.5121897842581613E-2</c:v>
                </c:pt>
                <c:pt idx="1668">
                  <c:v>1.512675614379061E-2</c:v>
                </c:pt>
                <c:pt idx="1669">
                  <c:v>1.5131612764158718E-2</c:v>
                </c:pt>
                <c:pt idx="1670">
                  <c:v>1.5136467701160101E-2</c:v>
                </c:pt>
                <c:pt idx="1671">
                  <c:v>1.5151022386705612E-2</c:v>
                </c:pt>
                <c:pt idx="1672">
                  <c:v>1.5155870563556072E-2</c:v>
                </c:pt>
                <c:pt idx="1673">
                  <c:v>1.5160717035856284E-2</c:v>
                </c:pt>
                <c:pt idx="1674">
                  <c:v>1.5165561792526049E-2</c:v>
                </c:pt>
                <c:pt idx="1675">
                  <c:v>1.5170404822485162E-2</c:v>
                </c:pt>
                <c:pt idx="1676">
                  <c:v>1.5184923441296603E-2</c:v>
                </c:pt>
                <c:pt idx="1677">
                  <c:v>1.5189759453611111E-2</c:v>
                </c:pt>
                <c:pt idx="1678">
                  <c:v>1.5194593683813967E-2</c:v>
                </c:pt>
                <c:pt idx="1679">
                  <c:v>1.519942612082497E-2</c:v>
                </c:pt>
                <c:pt idx="1680">
                  <c:v>1.5204256753563914E-2</c:v>
                </c:pt>
                <c:pt idx="1681">
                  <c:v>1.5218737715346412E-2</c:v>
                </c:pt>
                <c:pt idx="1682">
                  <c:v>1.5223561020195127E-2</c:v>
                </c:pt>
                <c:pt idx="1683">
                  <c:v>1.522838246537078E-2</c:v>
                </c:pt>
                <c:pt idx="1684">
                  <c:v>1.5233202039793173E-2</c:v>
                </c:pt>
                <c:pt idx="1685">
                  <c:v>1.523801973238211E-2</c:v>
                </c:pt>
                <c:pt idx="1686">
                  <c:v>1.5252461408346123E-2</c:v>
                </c:pt>
                <c:pt idx="1687">
                  <c:v>1.5257271462799201E-2</c:v>
                </c:pt>
                <c:pt idx="1688">
                  <c:v>1.5262079580017811E-2</c:v>
                </c:pt>
                <c:pt idx="1689">
                  <c:v>1.5266885748921752E-2</c:v>
                </c:pt>
                <c:pt idx="1690">
                  <c:v>1.5271689958430826E-2</c:v>
                </c:pt>
                <c:pt idx="1691">
                  <c:v>1.5286090719786828E-2</c:v>
                </c:pt>
                <c:pt idx="1692">
                  <c:v>1.5290886980914419E-2</c:v>
                </c:pt>
                <c:pt idx="1693">
                  <c:v>1.5295681227246139E-2</c:v>
                </c:pt>
                <c:pt idx="1694">
                  <c:v>1.5300473447701784E-2</c:v>
                </c:pt>
                <c:pt idx="1695">
                  <c:v>1.5305263631201153E-2</c:v>
                </c:pt>
                <c:pt idx="1696">
                  <c:v>1.5319621849159606E-2</c:v>
                </c:pt>
                <c:pt idx="1697">
                  <c:v>1.5324403774031868E-2</c:v>
                </c:pt>
                <c:pt idx="1698">
                  <c:v>1.5329183606546849E-2</c:v>
                </c:pt>
                <c:pt idx="1699">
                  <c:v>1.5333961335624351E-2</c:v>
                </c:pt>
                <c:pt idx="1700">
                  <c:v>1.5338736950184173E-2</c:v>
                </c:pt>
                <c:pt idx="1701">
                  <c:v>1.5353050995955539E-2</c:v>
                </c:pt>
                <c:pt idx="1702">
                  <c:v>1.5357818041642626E-2</c:v>
                </c:pt>
                <c:pt idx="1703">
                  <c:v>1.5362582917411029E-2</c:v>
                </c:pt>
                <c:pt idx="1704">
                  <c:v>1.536734561218054E-2</c:v>
                </c:pt>
                <c:pt idx="1705">
                  <c:v>1.5372106114870969E-2</c:v>
                </c:pt>
                <c:pt idx="1706">
                  <c:v>1.538637435966571E-2</c:v>
                </c:pt>
                <c:pt idx="1707">
                  <c:v>1.539112598323778E-2</c:v>
                </c:pt>
                <c:pt idx="1708">
                  <c:v>1.5405367324752622E-2</c:v>
                </c:pt>
                <c:pt idx="1709">
                  <c:v>1.5419588139781211E-2</c:v>
                </c:pt>
                <c:pt idx="1710">
                  <c:v>1.5424323798308414E-2</c:v>
                </c:pt>
                <c:pt idx="1711">
                  <c:v>1.5433814045975538E-2</c:v>
                </c:pt>
                <c:pt idx="1712">
                  <c:v>1.5438555635181945E-2</c:v>
                </c:pt>
                <c:pt idx="1713">
                  <c:v>1.5452766130234276E-2</c:v>
                </c:pt>
                <c:pt idx="1714">
                  <c:v>1.5457498167157691E-2</c:v>
                </c:pt>
                <c:pt idx="1715">
                  <c:v>1.5462227788081555E-2</c:v>
                </c:pt>
                <c:pt idx="1716">
                  <c:v>1.5466954981834346E-2</c:v>
                </c:pt>
                <c:pt idx="1717">
                  <c:v>1.5471679737244549E-2</c:v>
                </c:pt>
                <c:pt idx="1718">
                  <c:v>1.5485839261704401E-2</c:v>
                </c:pt>
                <c:pt idx="1719">
                  <c:v>1.549055415202903E-2</c:v>
                </c:pt>
                <c:pt idx="1720">
                  <c:v>1.5495266548153462E-2</c:v>
                </c:pt>
                <c:pt idx="1721">
                  <c:v>1.5499976438906183E-2</c:v>
                </c:pt>
                <c:pt idx="1722">
                  <c:v>1.5504683813115663E-2</c:v>
                </c:pt>
                <c:pt idx="1723">
                  <c:v>1.5518790724769475E-2</c:v>
                </c:pt>
                <c:pt idx="1724">
                  <c:v>1.5523487921090802E-2</c:v>
                </c:pt>
                <c:pt idx="1725">
                  <c:v>1.5528182545011282E-2</c:v>
                </c:pt>
                <c:pt idx="1726">
                  <c:v>1.5532874585359405E-2</c:v>
                </c:pt>
                <c:pt idx="1727">
                  <c:v>1.5537564030963645E-2</c:v>
                </c:pt>
                <c:pt idx="1728">
                  <c:v>1.555161668759786E-2</c:v>
                </c:pt>
                <c:pt idx="1729">
                  <c:v>1.5556295642511363E-2</c:v>
                </c:pt>
                <c:pt idx="1730">
                  <c:v>1.5560971946823376E-2</c:v>
                </c:pt>
                <c:pt idx="1731">
                  <c:v>1.5565645589362385E-2</c:v>
                </c:pt>
                <c:pt idx="1732">
                  <c:v>1.5570316558956862E-2</c:v>
                </c:pt>
                <c:pt idx="1733">
                  <c:v>1.5584313318357926E-2</c:v>
                </c:pt>
                <c:pt idx="1734">
                  <c:v>1.5588973484459085E-2</c:v>
                </c:pt>
                <c:pt idx="1735">
                  <c:v>1.5593630921758111E-2</c:v>
                </c:pt>
                <c:pt idx="1736">
                  <c:v>1.5598285619083484E-2</c:v>
                </c:pt>
                <c:pt idx="1737">
                  <c:v>1.5602937565263684E-2</c:v>
                </c:pt>
                <c:pt idx="1738">
                  <c:v>1.5616876785218031E-2</c:v>
                </c:pt>
                <c:pt idx="1739">
                  <c:v>1.562151761510233E-2</c:v>
                </c:pt>
                <c:pt idx="1740">
                  <c:v>1.5626155637983849E-2</c:v>
                </c:pt>
                <c:pt idx="1741">
                  <c:v>1.5630790842691072E-2</c:v>
                </c:pt>
                <c:pt idx="1742">
                  <c:v>1.5635423218052471E-2</c:v>
                </c:pt>
                <c:pt idx="1743">
                  <c:v>1.5649303256346551E-2</c:v>
                </c:pt>
                <c:pt idx="1744">
                  <c:v>1.5653924202609467E-2</c:v>
                </c:pt>
                <c:pt idx="1745">
                  <c:v>1.5658542263668959E-2</c:v>
                </c:pt>
                <c:pt idx="1746">
                  <c:v>1.5663157428353509E-2</c:v>
                </c:pt>
                <c:pt idx="1747">
                  <c:v>1.5667769685491589E-2</c:v>
                </c:pt>
                <c:pt idx="1748">
                  <c:v>1.5681588899911839E-2</c:v>
                </c:pt>
                <c:pt idx="1749">
                  <c:v>1.5686189415148856E-2</c:v>
                </c:pt>
                <c:pt idx="1750">
                  <c:v>1.5690786966981805E-2</c:v>
                </c:pt>
                <c:pt idx="1751">
                  <c:v>1.5695381544239159E-2</c:v>
                </c:pt>
                <c:pt idx="1752">
                  <c:v>1.5699973135749404E-2</c:v>
                </c:pt>
                <c:pt idx="1753">
                  <c:v>1.5713729884082272E-2</c:v>
                </c:pt>
                <c:pt idx="1754">
                  <c:v>1.5718309420888865E-2</c:v>
                </c:pt>
                <c:pt idx="1755">
                  <c:v>1.5722885916090747E-2</c:v>
                </c:pt>
                <c:pt idx="1756">
                  <c:v>1.5727459358516393E-2</c:v>
                </c:pt>
                <c:pt idx="1757">
                  <c:v>1.5732029736994283E-2</c:v>
                </c:pt>
                <c:pt idx="1758">
                  <c:v>1.5745722377026202E-2</c:v>
                </c:pt>
                <c:pt idx="1759">
                  <c:v>1.5750280387997865E-2</c:v>
                </c:pt>
                <c:pt idx="1760">
                  <c:v>1.5754835279164159E-2</c:v>
                </c:pt>
                <c:pt idx="1761">
                  <c:v>1.5759387039353572E-2</c:v>
                </c:pt>
                <c:pt idx="1762">
                  <c:v>1.576393565739459E-2</c:v>
                </c:pt>
                <c:pt idx="1763">
                  <c:v>1.5777562546912007E-2</c:v>
                </c:pt>
                <c:pt idx="1764">
                  <c:v>1.5782098484644208E-2</c:v>
                </c:pt>
                <c:pt idx="1765">
                  <c:v>1.57866312243704E-2</c:v>
                </c:pt>
                <c:pt idx="1766">
                  <c:v>1.5791160754919067E-2</c:v>
                </c:pt>
                <c:pt idx="1767">
                  <c:v>1.5795687065118684E-2</c:v>
                </c:pt>
                <c:pt idx="1768">
                  <c:v>1.5809246561908043E-2</c:v>
                </c:pt>
                <c:pt idx="1769">
                  <c:v>1.5813759878996268E-2</c:v>
                </c:pt>
                <c:pt idx="1770">
                  <c:v>1.581826991987784E-2</c:v>
                </c:pt>
                <c:pt idx="1771">
                  <c:v>1.5822776673381233E-2</c:v>
                </c:pt>
                <c:pt idx="1772">
                  <c:v>1.5827280128334939E-2</c:v>
                </c:pt>
                <c:pt idx="1773">
                  <c:v>1.5840770590182685E-2</c:v>
                </c:pt>
                <c:pt idx="1774">
                  <c:v>1.5845260739222405E-2</c:v>
                </c:pt>
                <c:pt idx="1775">
                  <c:v>1.5849747533854836E-2</c:v>
                </c:pt>
                <c:pt idx="1776">
                  <c:v>1.5854230962908444E-2</c:v>
                </c:pt>
                <c:pt idx="1777">
                  <c:v>1.5858711015211715E-2</c:v>
                </c:pt>
                <c:pt idx="1778">
                  <c:v>1.5872130799904287E-2</c:v>
                </c:pt>
                <c:pt idx="1779">
                  <c:v>1.5876597233490993E-2</c:v>
                </c:pt>
                <c:pt idx="1780">
                  <c:v>1.5881060234469762E-2</c:v>
                </c:pt>
                <c:pt idx="1781">
                  <c:v>1.5885519791669061E-2</c:v>
                </c:pt>
                <c:pt idx="1782">
                  <c:v>1.5889975893917382E-2</c:v>
                </c:pt>
                <c:pt idx="1783">
                  <c:v>1.5903323359241221E-2</c:v>
                </c:pt>
                <c:pt idx="1784">
                  <c:v>1.5907765529970391E-2</c:v>
                </c:pt>
                <c:pt idx="1785">
                  <c:v>1.5912204189890981E-2</c:v>
                </c:pt>
                <c:pt idx="1786">
                  <c:v>1.5916639327831449E-2</c:v>
                </c:pt>
                <c:pt idx="1787">
                  <c:v>1.5938761796828967E-2</c:v>
                </c:pt>
                <c:pt idx="1788">
                  <c:v>1.5943175568286852E-2</c:v>
                </c:pt>
                <c:pt idx="1789">
                  <c:v>1.594758573956398E-2</c:v>
                </c:pt>
                <c:pt idx="1790">
                  <c:v>1.5951992299488835E-2</c:v>
                </c:pt>
                <c:pt idx="1791">
                  <c:v>1.5965190199434535E-2</c:v>
                </c:pt>
                <c:pt idx="1792">
                  <c:v>1.5969582202235082E-2</c:v>
                </c:pt>
                <c:pt idx="1793">
                  <c:v>1.5973970537825743E-2</c:v>
                </c:pt>
                <c:pt idx="1794">
                  <c:v>1.5982736162691351E-2</c:v>
                </c:pt>
                <c:pt idx="1795">
                  <c:v>1.599585681662765E-2</c:v>
                </c:pt>
                <c:pt idx="1796">
                  <c:v>1.6000222918406231E-2</c:v>
                </c:pt>
                <c:pt idx="1797">
                  <c:v>1.6004585299069105E-2</c:v>
                </c:pt>
                <c:pt idx="1798">
                  <c:v>1.6008943971739537E-2</c:v>
                </c:pt>
                <c:pt idx="1799">
                  <c:v>1.601329894954082E-2</c:v>
                </c:pt>
                <c:pt idx="1800">
                  <c:v>1.6026341844962644E-2</c:v>
                </c:pt>
                <c:pt idx="1801">
                  <c:v>1.6030682174520191E-2</c:v>
                </c:pt>
                <c:pt idx="1802">
                  <c:v>1.6035018874825016E-2</c:v>
                </c:pt>
                <c:pt idx="1803">
                  <c:v>1.6039351959000407E-2</c:v>
                </c:pt>
                <c:pt idx="1804">
                  <c:v>1.6043681440169651E-2</c:v>
                </c:pt>
                <c:pt idx="1805">
                  <c:v>1.6056648396873329E-2</c:v>
                </c:pt>
                <c:pt idx="1806">
                  <c:v>1.6060963597250826E-2</c:v>
                </c:pt>
                <c:pt idx="1807">
                  <c:v>1.6065275260238602E-2</c:v>
                </c:pt>
                <c:pt idx="1808">
                  <c:v>1.6069583398959936E-2</c:v>
                </c:pt>
                <c:pt idx="1809">
                  <c:v>1.6073888026538117E-2</c:v>
                </c:pt>
                <c:pt idx="1810">
                  <c:v>1.608678097364661E-2</c:v>
                </c:pt>
                <c:pt idx="1811">
                  <c:v>1.6091071687885039E-2</c:v>
                </c:pt>
                <c:pt idx="1812">
                  <c:v>1.6095358956596747E-2</c:v>
                </c:pt>
                <c:pt idx="1813">
                  <c:v>1.6099642792905006E-2</c:v>
                </c:pt>
                <c:pt idx="1814">
                  <c:v>1.6103923209933122E-2</c:v>
                </c:pt>
                <c:pt idx="1815">
                  <c:v>1.6116744076569382E-2</c:v>
                </c:pt>
                <c:pt idx="1816">
                  <c:v>1.6121010947709732E-2</c:v>
                </c:pt>
                <c:pt idx="1817">
                  <c:v>1.6125274465186357E-2</c:v>
                </c:pt>
                <c:pt idx="1818">
                  <c:v>1.612953464212254E-2</c:v>
                </c:pt>
                <c:pt idx="1819">
                  <c:v>1.6133791491641566E-2</c:v>
                </c:pt>
                <c:pt idx="1820">
                  <c:v>1.6146542206928561E-2</c:v>
                </c:pt>
                <c:pt idx="1821">
                  <c:v>1.6150785878011813E-2</c:v>
                </c:pt>
                <c:pt idx="1822">
                  <c:v>1.6155026287294341E-2</c:v>
                </c:pt>
                <c:pt idx="1823">
                  <c:v>1.6159263447899423E-2</c:v>
                </c:pt>
                <c:pt idx="1824">
                  <c:v>1.6163497372950347E-2</c:v>
                </c:pt>
                <c:pt idx="1825">
                  <c:v>1.6176179866011033E-2</c:v>
                </c:pt>
                <c:pt idx="1826">
                  <c:v>1.6180400980078179E-2</c:v>
                </c:pt>
                <c:pt idx="1827">
                  <c:v>1.6184618924207594E-2</c:v>
                </c:pt>
                <c:pt idx="1828">
                  <c:v>1.6188833711522566E-2</c:v>
                </c:pt>
                <c:pt idx="1829">
                  <c:v>1.6193045355146377E-2</c:v>
                </c:pt>
                <c:pt idx="1830">
                  <c:v>1.6205661555103706E-2</c:v>
                </c:pt>
                <c:pt idx="1831">
                  <c:v>1.6209860755195732E-2</c:v>
                </c:pt>
                <c:pt idx="1832">
                  <c:v>1.6214056877213022E-2</c:v>
                </c:pt>
                <c:pt idx="1833">
                  <c:v>1.6218249934278867E-2</c:v>
                </c:pt>
                <c:pt idx="1834">
                  <c:v>1.6222439939516553E-2</c:v>
                </c:pt>
                <c:pt idx="1835">
                  <c:v>1.6234991775493479E-2</c:v>
                </c:pt>
                <c:pt idx="1836">
                  <c:v>1.623916970465137E-2</c:v>
                </c:pt>
                <c:pt idx="1837">
                  <c:v>1.6243344647597528E-2</c:v>
                </c:pt>
                <c:pt idx="1838">
                  <c:v>1.6247516617455229E-2</c:v>
                </c:pt>
                <c:pt idx="1839">
                  <c:v>1.6251685627347769E-2</c:v>
                </c:pt>
                <c:pt idx="1840">
                  <c:v>1.6264175028467262E-2</c:v>
                </c:pt>
                <c:pt idx="1841">
                  <c:v>1.6268332329732002E-2</c:v>
                </c:pt>
                <c:pt idx="1842">
                  <c:v>1.6272486736648002E-2</c:v>
                </c:pt>
                <c:pt idx="1843">
                  <c:v>1.627663826233855E-2</c:v>
                </c:pt>
                <c:pt idx="1844">
                  <c:v>1.6280786919926939E-2</c:v>
                </c:pt>
                <c:pt idx="1845">
                  <c:v>1.629321581531195E-2</c:v>
                </c:pt>
                <c:pt idx="1846">
                  <c:v>1.6297353131724521E-2</c:v>
                </c:pt>
                <c:pt idx="1847">
                  <c:v>1.6301487645651355E-2</c:v>
                </c:pt>
                <c:pt idx="1848">
                  <c:v>1.6305619370215737E-2</c:v>
                </c:pt>
                <c:pt idx="1849">
                  <c:v>1.6309748318540949E-2</c:v>
                </c:pt>
                <c:pt idx="1850">
                  <c:v>1.6322118637314444E-2</c:v>
                </c:pt>
                <c:pt idx="1851">
                  <c:v>1.6326236611915838E-2</c:v>
                </c:pt>
                <c:pt idx="1852">
                  <c:v>1.6330351875894492E-2</c:v>
                </c:pt>
                <c:pt idx="1853">
                  <c:v>1.633446444237369E-2</c:v>
                </c:pt>
                <c:pt idx="1854">
                  <c:v>1.6338574324476718E-2</c:v>
                </c:pt>
                <c:pt idx="1855">
                  <c:v>1.6350887995761645E-2</c:v>
                </c:pt>
                <c:pt idx="1856">
                  <c:v>1.6354987271592847E-2</c:v>
                </c:pt>
                <c:pt idx="1857">
                  <c:v>1.6359083928664309E-2</c:v>
                </c:pt>
                <c:pt idx="1858">
                  <c:v>1.636317798009931E-2</c:v>
                </c:pt>
                <c:pt idx="1859">
                  <c:v>1.6367269439021139E-2</c:v>
                </c:pt>
                <c:pt idx="1860">
                  <c:v>1.6379528391940457E-2</c:v>
                </c:pt>
                <c:pt idx="1861">
                  <c:v>1.6383609612042455E-2</c:v>
                </c:pt>
                <c:pt idx="1862">
                  <c:v>1.6387688305247707E-2</c:v>
                </c:pt>
                <c:pt idx="1863">
                  <c:v>1.6391764484679498E-2</c:v>
                </c:pt>
                <c:pt idx="1864">
                  <c:v>1.6395838163461119E-2</c:v>
                </c:pt>
                <c:pt idx="1865">
                  <c:v>1.6408044327137786E-2</c:v>
                </c:pt>
                <c:pt idx="1866">
                  <c:v>1.6412108134551563E-2</c:v>
                </c:pt>
                <c:pt idx="1867">
                  <c:v>1.6416169506931592E-2</c:v>
                </c:pt>
                <c:pt idx="1868">
                  <c:v>1.6420228457401157E-2</c:v>
                </c:pt>
                <c:pt idx="1869">
                  <c:v>1.6424284999083549E-2</c:v>
                </c:pt>
                <c:pt idx="1870">
                  <c:v>1.6436440302640527E-2</c:v>
                </c:pt>
                <c:pt idx="1871">
                  <c:v>1.6440487340407064E-2</c:v>
                </c:pt>
                <c:pt idx="1872">
                  <c:v>1.644453203500286E-2</c:v>
                </c:pt>
                <c:pt idx="1873">
                  <c:v>1.6448574399551188E-2</c:v>
                </c:pt>
                <c:pt idx="1874">
                  <c:v>1.6452614447175339E-2</c:v>
                </c:pt>
                <c:pt idx="1875">
                  <c:v>1.646472081973558E-2</c:v>
                </c:pt>
                <c:pt idx="1876">
                  <c:v>1.6468751730895872E-2</c:v>
                </c:pt>
                <c:pt idx="1877">
                  <c:v>1.6472780390748419E-2</c:v>
                </c:pt>
                <c:pt idx="1878">
                  <c:v>1.6476806812416495E-2</c:v>
                </c:pt>
                <c:pt idx="1879">
                  <c:v>1.6480831009023394E-2</c:v>
                </c:pt>
                <c:pt idx="1880">
                  <c:v>1.649289037970986E-2</c:v>
                </c:pt>
                <c:pt idx="1881">
                  <c:v>1.6496905807304889E-2</c:v>
                </c:pt>
                <c:pt idx="1882">
                  <c:v>1.6500919075455166E-2</c:v>
                </c:pt>
                <c:pt idx="1883">
                  <c:v>1.6504930197283975E-2</c:v>
                </c:pt>
                <c:pt idx="1884">
                  <c:v>1.6508939185914607E-2</c:v>
                </c:pt>
                <c:pt idx="1885">
                  <c:v>1.6520953483850249E-2</c:v>
                </c:pt>
                <c:pt idx="1886">
                  <c:v>1.6524954070921003E-2</c:v>
                </c:pt>
                <c:pt idx="1887">
                  <c:v>1.6528952590410005E-2</c:v>
                </c:pt>
                <c:pt idx="1888">
                  <c:v>1.6532949055440532E-2</c:v>
                </c:pt>
                <c:pt idx="1889">
                  <c:v>1.6536943479135879E-2</c:v>
                </c:pt>
                <c:pt idx="1890">
                  <c:v>1.6548914633443667E-2</c:v>
                </c:pt>
                <c:pt idx="1891">
                  <c:v>1.6552901023031131E-2</c:v>
                </c:pt>
                <c:pt idx="1892">
                  <c:v>1.6556885436899836E-2</c:v>
                </c:pt>
                <c:pt idx="1893">
                  <c:v>1.656086788817307E-2</c:v>
                </c:pt>
                <c:pt idx="1894">
                  <c:v>1.6564848389974119E-2</c:v>
                </c:pt>
                <c:pt idx="1895">
                  <c:v>1.6576778329777008E-2</c:v>
                </c:pt>
                <c:pt idx="1896">
                  <c:v>1.6580751164922164E-2</c:v>
                </c:pt>
                <c:pt idx="1897">
                  <c:v>1.6584722116211564E-2</c:v>
                </c:pt>
                <c:pt idx="1898">
                  <c:v>1.658869119676849E-2</c:v>
                </c:pt>
                <c:pt idx="1899">
                  <c:v>1.6592658419716227E-2</c:v>
                </c:pt>
                <c:pt idx="1900">
                  <c:v>1.6604549074137165E-2</c:v>
                </c:pt>
                <c:pt idx="1901">
                  <c:v>1.6608508997881005E-2</c:v>
                </c:pt>
                <c:pt idx="1902">
                  <c:v>1.6612467129632085E-2</c:v>
                </c:pt>
                <c:pt idx="1903">
                  <c:v>1.6616423482513687E-2</c:v>
                </c:pt>
                <c:pt idx="1904">
                  <c:v>1.6620378069649101E-2</c:v>
                </c:pt>
                <c:pt idx="1905">
                  <c:v>1.6632231367811053E-2</c:v>
                </c:pt>
                <c:pt idx="1906">
                  <c:v>1.6636179023194562E-2</c:v>
                </c:pt>
                <c:pt idx="1907">
                  <c:v>1.6640124978448308E-2</c:v>
                </c:pt>
                <c:pt idx="1908">
                  <c:v>1.6644069246695575E-2</c:v>
                </c:pt>
                <c:pt idx="1909">
                  <c:v>1.6648011841059646E-2</c:v>
                </c:pt>
                <c:pt idx="1910">
                  <c:v>1.6659829712085572E-2</c:v>
                </c:pt>
                <c:pt idx="1911">
                  <c:v>1.6663765742149731E-2</c:v>
                </c:pt>
                <c:pt idx="1912">
                  <c:v>1.6667700163947127E-2</c:v>
                </c:pt>
                <c:pt idx="1913">
                  <c:v>1.6671632990601044E-2</c:v>
                </c:pt>
                <c:pt idx="1914">
                  <c:v>1.6675564235234766E-2</c:v>
                </c:pt>
                <c:pt idx="1915">
                  <c:v>1.6687348608247617E-2</c:v>
                </c:pt>
                <c:pt idx="1916">
                  <c:v>1.6691273656033415E-2</c:v>
                </c:pt>
                <c:pt idx="1917">
                  <c:v>1.669519718741545E-2</c:v>
                </c:pt>
                <c:pt idx="1918">
                  <c:v>1.6699119215517002E-2</c:v>
                </c:pt>
                <c:pt idx="1919">
                  <c:v>1.6703039753461355E-2</c:v>
                </c:pt>
                <c:pt idx="1920">
                  <c:v>1.6714792557584096E-2</c:v>
                </c:pt>
                <c:pt idx="1921">
                  <c:v>1.6718707266132518E-2</c:v>
                </c:pt>
                <c:pt idx="1922">
                  <c:v>1.6722620550140174E-2</c:v>
                </c:pt>
                <c:pt idx="1923">
                  <c:v>1.6726532422730346E-2</c:v>
                </c:pt>
                <c:pt idx="1924">
                  <c:v>1.6730442897026319E-2</c:v>
                </c:pt>
                <c:pt idx="1925">
                  <c:v>1.6742166061381906E-2</c:v>
                </c:pt>
                <c:pt idx="1926">
                  <c:v>1.6746071069400164E-2</c:v>
                </c:pt>
                <c:pt idx="1927">
                  <c:v>1.6749974718738004E-2</c:v>
                </c:pt>
                <c:pt idx="1928">
                  <c:v>1.6753876996516058E-2</c:v>
                </c:pt>
                <c:pt idx="1929">
                  <c:v>1.6757777889854955E-2</c:v>
                </c:pt>
                <c:pt idx="1930">
                  <c:v>1.6769472134443068E-2</c:v>
                </c:pt>
                <c:pt idx="1931">
                  <c:v>1.6773367361231698E-2</c:v>
                </c:pt>
                <c:pt idx="1932">
                  <c:v>1.6777261139184346E-2</c:v>
                </c:pt>
                <c:pt idx="1933">
                  <c:v>1.6781153455421648E-2</c:v>
                </c:pt>
                <c:pt idx="1934">
                  <c:v>1.6785044297064237E-2</c:v>
                </c:pt>
                <c:pt idx="1935">
                  <c:v>1.679670784563007E-2</c:v>
                </c:pt>
                <c:pt idx="1936">
                  <c:v>1.6800592660100158E-2</c:v>
                </c:pt>
                <c:pt idx="1937">
                  <c:v>1.6804475935578704E-2</c:v>
                </c:pt>
                <c:pt idx="1938">
                  <c:v>1.680835765918634E-2</c:v>
                </c:pt>
                <c:pt idx="1939">
                  <c:v>1.681223781804371E-2</c:v>
                </c:pt>
                <c:pt idx="1940">
                  <c:v>1.682386877732053E-2</c:v>
                </c:pt>
                <c:pt idx="1941">
                  <c:v>1.6827742548383158E-2</c:v>
                </c:pt>
                <c:pt idx="1942">
                  <c:v>1.6831614690298684E-2</c:v>
                </c:pt>
                <c:pt idx="1943">
                  <c:v>1.6835485190187748E-2</c:v>
                </c:pt>
                <c:pt idx="1944">
                  <c:v>1.6839354035170982E-2</c:v>
                </c:pt>
                <c:pt idx="1945">
                  <c:v>1.6850950511892043E-2</c:v>
                </c:pt>
                <c:pt idx="1946">
                  <c:v>1.6854812608458298E-2</c:v>
                </c:pt>
                <c:pt idx="1947">
                  <c:v>1.6858672985721898E-2</c:v>
                </c:pt>
                <c:pt idx="1948">
                  <c:v>1.6862531630803475E-2</c:v>
                </c:pt>
                <c:pt idx="1949">
                  <c:v>1.6866388530823655E-2</c:v>
                </c:pt>
                <c:pt idx="1950">
                  <c:v>1.687794863172222E-2</c:v>
                </c:pt>
                <c:pt idx="1951">
                  <c:v>1.6881798422703195E-2</c:v>
                </c:pt>
                <c:pt idx="1952">
                  <c:v>1.6885646404225952E-2</c:v>
                </c:pt>
                <c:pt idx="1953">
                  <c:v>1.6889492563411126E-2</c:v>
                </c:pt>
                <c:pt idx="1954">
                  <c:v>1.6893336887379349E-2</c:v>
                </c:pt>
                <c:pt idx="1955">
                  <c:v>1.6904858719188672E-2</c:v>
                </c:pt>
                <c:pt idx="1956">
                  <c:v>1.6908695573495447E-2</c:v>
                </c:pt>
                <c:pt idx="1957">
                  <c:v>1.691253052818845E-2</c:v>
                </c:pt>
                <c:pt idx="1958">
                  <c:v>1.691636357038831E-2</c:v>
                </c:pt>
                <c:pt idx="1959">
                  <c:v>1.6920194687215659E-2</c:v>
                </c:pt>
                <c:pt idx="1960">
                  <c:v>1.6931676356669013E-2</c:v>
                </c:pt>
                <c:pt idx="1961">
                  <c:v>1.6935499643212681E-2</c:v>
                </c:pt>
                <c:pt idx="1962">
                  <c:v>1.6939320939987002E-2</c:v>
                </c:pt>
                <c:pt idx="1963">
                  <c:v>1.6958397126540837E-2</c:v>
                </c:pt>
                <c:pt idx="1964">
                  <c:v>1.6962206214232479E-2</c:v>
                </c:pt>
                <c:pt idx="1965">
                  <c:v>1.6966013221999227E-2</c:v>
                </c:pt>
                <c:pt idx="1966">
                  <c:v>1.6973620946240574E-2</c:v>
                </c:pt>
                <c:pt idx="1967">
                  <c:v>1.6985016611181757E-2</c:v>
                </c:pt>
                <c:pt idx="1968">
                  <c:v>1.6988810868932464E-2</c:v>
                </c:pt>
                <c:pt idx="1969">
                  <c:v>1.6992602956602716E-2</c:v>
                </c:pt>
                <c:pt idx="1970">
                  <c:v>1.6996392861313148E-2</c:v>
                </c:pt>
                <c:pt idx="1971">
                  <c:v>1.70001805701844E-2</c:v>
                </c:pt>
                <c:pt idx="1972">
                  <c:v>1.7011530392969383E-2</c:v>
                </c:pt>
                <c:pt idx="1973">
                  <c:v>1.7015309189690239E-2</c:v>
                </c:pt>
                <c:pt idx="1974">
                  <c:v>1.7019085726175082E-2</c:v>
                </c:pt>
                <c:pt idx="1975">
                  <c:v>1.7022859989544548E-2</c:v>
                </c:pt>
                <c:pt idx="1976">
                  <c:v>1.7026631966919271E-2</c:v>
                </c:pt>
                <c:pt idx="1977">
                  <c:v>1.7037934054281324E-2</c:v>
                </c:pt>
                <c:pt idx="1978">
                  <c:v>1.7041696758883416E-2</c:v>
                </c:pt>
                <c:pt idx="1979">
                  <c:v>1.7045457113093937E-2</c:v>
                </c:pt>
                <c:pt idx="1980">
                  <c:v>1.7049215104033521E-2</c:v>
                </c:pt>
                <c:pt idx="1981">
                  <c:v>1.7052970718822804E-2</c:v>
                </c:pt>
                <c:pt idx="1982">
                  <c:v>1.7064223177495182E-2</c:v>
                </c:pt>
                <c:pt idx="1983">
                  <c:v>1.7067969158889602E-2</c:v>
                </c:pt>
                <c:pt idx="1984">
                  <c:v>1.7071712699736886E-2</c:v>
                </c:pt>
                <c:pt idx="1985">
                  <c:v>1.7075453787157677E-2</c:v>
                </c:pt>
                <c:pt idx="1986">
                  <c:v>1.7079192408272607E-2</c:v>
                </c:pt>
                <c:pt idx="1987">
                  <c:v>1.7090393344988575E-2</c:v>
                </c:pt>
                <c:pt idx="1988">
                  <c:v>1.7094121972086401E-2</c:v>
                </c:pt>
                <c:pt idx="1989">
                  <c:v>1.7097848068481539E-2</c:v>
                </c:pt>
                <c:pt idx="1990">
                  <c:v>1.7101571621294619E-2</c:v>
                </c:pt>
                <c:pt idx="1991">
                  <c:v>1.7105292617646282E-2</c:v>
                </c:pt>
                <c:pt idx="1992">
                  <c:v>1.7116440139139096E-2</c:v>
                </c:pt>
                <c:pt idx="1993">
                  <c:v>1.7120150780851422E-2</c:v>
                </c:pt>
                <c:pt idx="1994">
                  <c:v>1.7123858801705499E-2</c:v>
                </c:pt>
                <c:pt idx="1995">
                  <c:v>1.7127564188821966E-2</c:v>
                </c:pt>
                <c:pt idx="1996">
                  <c:v>1.7131266929321449E-2</c:v>
                </c:pt>
                <c:pt idx="1997">
                  <c:v>1.714235914232437E-2</c:v>
                </c:pt>
                <c:pt idx="1998">
                  <c:v>1.7146051167562279E-2</c:v>
                </c:pt>
                <c:pt idx="1999">
                  <c:v>1.7149740481786378E-2</c:v>
                </c:pt>
                <c:pt idx="2000">
                  <c:v>1.7153427072117311E-2</c:v>
                </c:pt>
                <c:pt idx="2001">
                  <c:v>1.7157110925675702E-2</c:v>
                </c:pt>
                <c:pt idx="2002">
                  <c:v>1.7168145936921987E-2</c:v>
                </c:pt>
                <c:pt idx="2003">
                  <c:v>1.7171818714596568E-2</c:v>
                </c:pt>
                <c:pt idx="2004">
                  <c:v>1.7175488691101786E-2</c:v>
                </c:pt>
                <c:pt idx="2005">
                  <c:v>1.7179155853558271E-2</c:v>
                </c:pt>
                <c:pt idx="2006">
                  <c:v>1.7182820189086654E-2</c:v>
                </c:pt>
                <c:pt idx="2007">
                  <c:v>1.7193796105309571E-2</c:v>
                </c:pt>
                <c:pt idx="2008">
                  <c:v>1.719744900433191E-2</c:v>
                </c:pt>
                <c:pt idx="2009">
                  <c:v>1.7201099012029326E-2</c:v>
                </c:pt>
                <c:pt idx="2010">
                  <c:v>1.7204746115522449E-2</c:v>
                </c:pt>
                <c:pt idx="2011">
                  <c:v>1.7208390301931914E-2</c:v>
                </c:pt>
                <c:pt idx="2012">
                  <c:v>1.7219305229864718E-2</c:v>
                </c:pt>
                <c:pt idx="2013">
                  <c:v>1.7222937619145905E-2</c:v>
                </c:pt>
                <c:pt idx="2014">
                  <c:v>1.7226567026946603E-2</c:v>
                </c:pt>
                <c:pt idx="2015">
                  <c:v>1.7230193440387453E-2</c:v>
                </c:pt>
                <c:pt idx="2016">
                  <c:v>1.723381684658909E-2</c:v>
                </c:pt>
                <c:pt idx="2017">
                  <c:v>1.7244668892965047E-2</c:v>
                </c:pt>
                <c:pt idx="2018">
                  <c:v>1.7248280141416158E-2</c:v>
                </c:pt>
                <c:pt idx="2019">
                  <c:v>1.7251888318231233E-2</c:v>
                </c:pt>
                <c:pt idx="2020">
                  <c:v>1.7255493410530901E-2</c:v>
                </c:pt>
                <c:pt idx="2021">
                  <c:v>1.7259095405435788E-2</c:v>
                </c:pt>
                <c:pt idx="2022">
                  <c:v>1.726988267698815E-2</c:v>
                </c:pt>
                <c:pt idx="2023">
                  <c:v>1.7273472153520288E-2</c:v>
                </c:pt>
                <c:pt idx="2024">
                  <c:v>1.727705846826082E-2</c:v>
                </c:pt>
                <c:pt idx="2025">
                  <c:v>1.7280641608330385E-2</c:v>
                </c:pt>
                <c:pt idx="2026">
                  <c:v>1.7284221560849616E-2</c:v>
                </c:pt>
                <c:pt idx="2027">
                  <c:v>1.7294942164311652E-2</c:v>
                </c:pt>
                <c:pt idx="2028">
                  <c:v>1.7298509237835893E-2</c:v>
                </c:pt>
                <c:pt idx="2029">
                  <c:v>1.7302073059412972E-2</c:v>
                </c:pt>
                <c:pt idx="2030">
                  <c:v>1.7305633616163527E-2</c:v>
                </c:pt>
                <c:pt idx="2031">
                  <c:v>1.7323386976740584E-2</c:v>
                </c:pt>
                <c:pt idx="2032">
                  <c:v>1.7326927674065296E-2</c:v>
                </c:pt>
                <c:pt idx="2033">
                  <c:v>1.733046501640792E-2</c:v>
                </c:pt>
                <c:pt idx="2034">
                  <c:v>1.7333998990889096E-2</c:v>
                </c:pt>
                <c:pt idx="2035">
                  <c:v>1.7344580578370256E-2</c:v>
                </c:pt>
                <c:pt idx="2036">
                  <c:v>1.734810095261197E-2</c:v>
                </c:pt>
                <c:pt idx="2037">
                  <c:v>1.7351617894595401E-2</c:v>
                </c:pt>
                <c:pt idx="2038">
                  <c:v>1.7355131391441188E-2</c:v>
                </c:pt>
                <c:pt idx="2039">
                  <c:v>1.7358641430269963E-2</c:v>
                </c:pt>
                <c:pt idx="2040">
                  <c:v>1.7369150669860577E-2</c:v>
                </c:pt>
                <c:pt idx="2041">
                  <c:v>1.7372646747827656E-2</c:v>
                </c:pt>
                <c:pt idx="2042">
                  <c:v>1.7376139303380896E-2</c:v>
                </c:pt>
                <c:pt idx="2043">
                  <c:v>1.7379628323640928E-2</c:v>
                </c:pt>
                <c:pt idx="2044">
                  <c:v>1.7383113795728395E-2</c:v>
                </c:pt>
                <c:pt idx="2045">
                  <c:v>1.7393548794161717E-2</c:v>
                </c:pt>
                <c:pt idx="2046">
                  <c:v>1.7397019944765248E-2</c:v>
                </c:pt>
                <c:pt idx="2047">
                  <c:v>1.7400487482799383E-2</c:v>
                </c:pt>
                <c:pt idx="2048">
                  <c:v>1.740395139538475E-2</c:v>
                </c:pt>
                <c:pt idx="2049">
                  <c:v>1.7417770533651289E-2</c:v>
                </c:pt>
                <c:pt idx="2050">
                  <c:v>1.7421216130306609E-2</c:v>
                </c:pt>
                <c:pt idx="2051">
                  <c:v>1.7424658051262469E-2</c:v>
                </c:pt>
                <c:pt idx="2052">
                  <c:v>1.7428096310664991E-2</c:v>
                </c:pt>
                <c:pt idx="2053">
                  <c:v>1.7431530922660313E-2</c:v>
                </c:pt>
                <c:pt idx="2054">
                  <c:v>1.7441813015664331E-2</c:v>
                </c:pt>
                <c:pt idx="2055">
                  <c:v>1.7445233179492117E-2</c:v>
                </c:pt>
                <c:pt idx="2056">
                  <c:v>1.744864976664335E-2</c:v>
                </c:pt>
                <c:pt idx="2057">
                  <c:v>1.7452062791264142E-2</c:v>
                </c:pt>
                <c:pt idx="2058">
                  <c:v>1.7455472267500632E-2</c:v>
                </c:pt>
                <c:pt idx="2059">
                  <c:v>1.7465679547365581E-2</c:v>
                </c:pt>
                <c:pt idx="2060">
                  <c:v>1.7469074971526149E-2</c:v>
                </c:pt>
                <c:pt idx="2061">
                  <c:v>1.7472466918033058E-2</c:v>
                </c:pt>
                <c:pt idx="2062">
                  <c:v>1.7475855401032435E-2</c:v>
                </c:pt>
                <c:pt idx="2063">
                  <c:v>1.7479240434670418E-2</c:v>
                </c:pt>
                <c:pt idx="2064">
                  <c:v>1.7489374980877222E-2</c:v>
                </c:pt>
                <c:pt idx="2065">
                  <c:v>1.7492746358530882E-2</c:v>
                </c:pt>
                <c:pt idx="2066">
                  <c:v>1.7496114357553782E-2</c:v>
                </c:pt>
                <c:pt idx="2067">
                  <c:v>1.7499478992092053E-2</c:v>
                </c:pt>
                <c:pt idx="2068">
                  <c:v>1.7502840276291825E-2</c:v>
                </c:pt>
                <c:pt idx="2069">
                  <c:v>1.7512904168321429E-2</c:v>
                </c:pt>
                <c:pt idx="2070">
                  <c:v>1.7516252192628489E-2</c:v>
                </c:pt>
                <c:pt idx="2071">
                  <c:v>1.7519596937327693E-2</c:v>
                </c:pt>
                <c:pt idx="2072">
                  <c:v>1.752293841656517E-2</c:v>
                </c:pt>
                <c:pt idx="2073">
                  <c:v>1.7526276644487047E-2</c:v>
                </c:pt>
                <c:pt idx="2074">
                  <c:v>1.7536271961820376E-2</c:v>
                </c:pt>
                <c:pt idx="2075">
                  <c:v>1.753959732594115E-2</c:v>
                </c:pt>
                <c:pt idx="2076">
                  <c:v>1.7542919509476965E-2</c:v>
                </c:pt>
                <c:pt idx="2077">
                  <c:v>1.754623852657396E-2</c:v>
                </c:pt>
                <c:pt idx="2078">
                  <c:v>1.7549554391378251E-2</c:v>
                </c:pt>
                <c:pt idx="2079">
                  <c:v>1.7559483213496239E-2</c:v>
                </c:pt>
                <c:pt idx="2080">
                  <c:v>1.7562786610591033E-2</c:v>
                </c:pt>
                <c:pt idx="2081">
                  <c:v>1.7566086926123776E-2</c:v>
                </c:pt>
                <c:pt idx="2082">
                  <c:v>1.7569384174240591E-2</c:v>
                </c:pt>
                <c:pt idx="2083">
                  <c:v>1.7572678369087612E-2</c:v>
                </c:pt>
                <c:pt idx="2084">
                  <c:v>1.7582542775471194E-2</c:v>
                </c:pt>
                <c:pt idx="2085">
                  <c:v>1.7585824898700322E-2</c:v>
                </c:pt>
                <c:pt idx="2086">
                  <c:v>1.7589104039390298E-2</c:v>
                </c:pt>
                <c:pt idx="2087">
                  <c:v>1.7592380211687252E-2</c:v>
                </c:pt>
                <c:pt idx="2088">
                  <c:v>1.7595653429737311E-2</c:v>
                </c:pt>
                <c:pt idx="2089">
                  <c:v>1.7605455499867414E-2</c:v>
                </c:pt>
                <c:pt idx="2090">
                  <c:v>1.7608717042391187E-2</c:v>
                </c:pt>
                <c:pt idx="2091">
                  <c:v>1.7611975701398708E-2</c:v>
                </c:pt>
                <c:pt idx="2092">
                  <c:v>1.761523149103611E-2</c:v>
                </c:pt>
                <c:pt idx="2093">
                  <c:v>1.761848442544952E-2</c:v>
                </c:pt>
                <c:pt idx="2094">
                  <c:v>1.7628226238807079E-2</c:v>
                </c:pt>
                <c:pt idx="2095">
                  <c:v>1.7631467893785807E-2</c:v>
                </c:pt>
                <c:pt idx="2096">
                  <c:v>1.7634706764271185E-2</c:v>
                </c:pt>
                <c:pt idx="2097">
                  <c:v>1.7637942864409343E-2</c:v>
                </c:pt>
                <c:pt idx="2098">
                  <c:v>1.7641176208346411E-2</c:v>
                </c:pt>
                <c:pt idx="2099">
                  <c:v>1.7650859844412361E-2</c:v>
                </c:pt>
                <c:pt idx="2100">
                  <c:v>1.7654082305006355E-2</c:v>
                </c:pt>
                <c:pt idx="2101">
                  <c:v>1.7657302080129899E-2</c:v>
                </c:pt>
                <c:pt idx="2102">
                  <c:v>1.7660519183929128E-2</c:v>
                </c:pt>
                <c:pt idx="2103">
                  <c:v>1.7663733630550169E-2</c:v>
                </c:pt>
                <c:pt idx="2104">
                  <c:v>1.7673361168805437E-2</c:v>
                </c:pt>
                <c:pt idx="2105">
                  <c:v>1.7676565128175007E-2</c:v>
                </c:pt>
                <c:pt idx="2106">
                  <c:v>1.7679766501097031E-2</c:v>
                </c:pt>
                <c:pt idx="2107">
                  <c:v>1.7682965301717635E-2</c:v>
                </c:pt>
                <c:pt idx="2108">
                  <c:v>1.7686161544182958E-2</c:v>
                </c:pt>
                <c:pt idx="2109">
                  <c:v>1.769573506410848E-2</c:v>
                </c:pt>
                <c:pt idx="2110">
                  <c:v>1.769892121541394E-2</c:v>
                </c:pt>
                <c:pt idx="2111">
                  <c:v>1.7702104879294751E-2</c:v>
                </c:pt>
                <c:pt idx="2112">
                  <c:v>1.7705286069897051E-2</c:v>
                </c:pt>
                <c:pt idx="2113">
                  <c:v>1.7708464801366963E-2</c:v>
                </c:pt>
                <c:pt idx="2114">
                  <c:v>1.7717986382443672E-2</c:v>
                </c:pt>
                <c:pt idx="2115">
                  <c:v>1.7721155418845325E-2</c:v>
                </c:pt>
                <c:pt idx="2116">
                  <c:v>1.7724322066845238E-2</c:v>
                </c:pt>
                <c:pt idx="2117">
                  <c:v>1.772748634058954E-2</c:v>
                </c:pt>
                <c:pt idx="2118">
                  <c:v>1.7730648254224355E-2</c:v>
                </c:pt>
                <c:pt idx="2119">
                  <c:v>1.7740119975933177E-2</c:v>
                </c:pt>
                <c:pt idx="2120">
                  <c:v>1.7743272590591344E-2</c:v>
                </c:pt>
                <c:pt idx="2121">
                  <c:v>1.7746422915870669E-2</c:v>
                </c:pt>
                <c:pt idx="2122">
                  <c:v>1.7749570965917279E-2</c:v>
                </c:pt>
                <c:pt idx="2123">
                  <c:v>1.7752716754877308E-2</c:v>
                </c:pt>
                <c:pt idx="2124">
                  <c:v>1.7762140696699187E-2</c:v>
                </c:pt>
                <c:pt idx="2125">
                  <c:v>1.7765277582774165E-2</c:v>
                </c:pt>
                <c:pt idx="2126">
                  <c:v>1.7768412278493212E-2</c:v>
                </c:pt>
                <c:pt idx="2127">
                  <c:v>1.7771544798002446E-2</c:v>
                </c:pt>
                <c:pt idx="2128">
                  <c:v>1.7774675155447998E-2</c:v>
                </c:pt>
                <c:pt idx="2129">
                  <c:v>1.7784053396863862E-2</c:v>
                </c:pt>
                <c:pt idx="2130">
                  <c:v>1.7787175247515979E-2</c:v>
                </c:pt>
                <c:pt idx="2131">
                  <c:v>1.7790295006835051E-2</c:v>
                </c:pt>
                <c:pt idx="2132">
                  <c:v>1.7793412688967225E-2</c:v>
                </c:pt>
                <c:pt idx="2133">
                  <c:v>1.7796528308058609E-2</c:v>
                </c:pt>
                <c:pt idx="2134">
                  <c:v>1.7805862928549385E-2</c:v>
                </c:pt>
                <c:pt idx="2135">
                  <c:v>1.780897043693894E-2</c:v>
                </c:pt>
                <c:pt idx="2136">
                  <c:v>1.7812075953018359E-2</c:v>
                </c:pt>
                <c:pt idx="2137">
                  <c:v>1.7815179490933777E-2</c:v>
                </c:pt>
                <c:pt idx="2138">
                  <c:v>1.7818281064831312E-2</c:v>
                </c:pt>
                <c:pt idx="2139">
                  <c:v>1.7827574143877933E-2</c:v>
                </c:pt>
                <c:pt idx="2140">
                  <c:v>1.7830668003165236E-2</c:v>
                </c:pt>
                <c:pt idx="2141">
                  <c:v>1.7833759969165315E-2</c:v>
                </c:pt>
                <c:pt idx="2142">
                  <c:v>1.783685005602428E-2</c:v>
                </c:pt>
                <c:pt idx="2143">
                  <c:v>1.7839938277888275E-2</c:v>
                </c:pt>
                <c:pt idx="2144">
                  <c:v>1.7849191894971677E-2</c:v>
                </c:pt>
                <c:pt idx="2145">
                  <c:v>1.7852272798317043E-2</c:v>
                </c:pt>
                <c:pt idx="2146">
                  <c:v>1.7855351907398086E-2</c:v>
                </c:pt>
                <c:pt idx="2147">
                  <c:v>1.7858429236360919E-2</c:v>
                </c:pt>
                <c:pt idx="2148">
                  <c:v>1.7861504799351679E-2</c:v>
                </c:pt>
                <c:pt idx="2149">
                  <c:v>1.7870721033952791E-2</c:v>
                </c:pt>
                <c:pt idx="2150">
                  <c:v>1.7873789674516537E-2</c:v>
                </c:pt>
                <c:pt idx="2151">
                  <c:v>1.787685661983885E-2</c:v>
                </c:pt>
                <c:pt idx="2152">
                  <c:v>1.7879921884065866E-2</c:v>
                </c:pt>
                <c:pt idx="2153">
                  <c:v>1.7882985481343698E-2</c:v>
                </c:pt>
                <c:pt idx="2154">
                  <c:v>1.7892166412943458E-2</c:v>
                </c:pt>
                <c:pt idx="2155">
                  <c:v>1.7895223483885891E-2</c:v>
                </c:pt>
                <c:pt idx="2156">
                  <c:v>1.7898278958609789E-2</c:v>
                </c:pt>
                <c:pt idx="2157">
                  <c:v>1.7901332851261286E-2</c:v>
                </c:pt>
                <c:pt idx="2158">
                  <c:v>1.7904385175986515E-2</c:v>
                </c:pt>
                <c:pt idx="2159">
                  <c:v>1.7913532884065848E-2</c:v>
                </c:pt>
                <c:pt idx="2160">
                  <c:v>1.7916579078547275E-2</c:v>
                </c:pt>
                <c:pt idx="2161">
                  <c:v>1.7919623775833074E-2</c:v>
                </c:pt>
                <c:pt idx="2162">
                  <c:v>1.7922666990069371E-2</c:v>
                </c:pt>
                <c:pt idx="2163">
                  <c:v>1.79257087354023E-2</c:v>
                </c:pt>
                <c:pt idx="2164">
                  <c:v>1.7934825299442143E-2</c:v>
                </c:pt>
                <c:pt idx="2165">
                  <c:v>1.7937861310622874E-2</c:v>
                </c:pt>
                <c:pt idx="2166">
                  <c:v>1.7940895923630878E-2</c:v>
                </c:pt>
                <c:pt idx="2167">
                  <c:v>1.7943929152612288E-2</c:v>
                </c:pt>
                <c:pt idx="2168">
                  <c:v>1.7946961011713222E-2</c:v>
                </c:pt>
                <c:pt idx="2169">
                  <c:v>1.7956048511194506E-2</c:v>
                </c:pt>
                <c:pt idx="2170">
                  <c:v>1.7959075032234855E-2</c:v>
                </c:pt>
                <c:pt idx="2171">
                  <c:v>1.7962100254125379E-2</c:v>
                </c:pt>
                <c:pt idx="2172">
                  <c:v>1.7965124191012205E-2</c:v>
                </c:pt>
                <c:pt idx="2173">
                  <c:v>1.7968146857041466E-2</c:v>
                </c:pt>
                <c:pt idx="2174">
                  <c:v>1.7977207371445127E-2</c:v>
                </c:pt>
                <c:pt idx="2175">
                  <c:v>1.7980225095505405E-2</c:v>
                </c:pt>
                <c:pt idx="2176">
                  <c:v>1.7983241619438751E-2</c:v>
                </c:pt>
                <c:pt idx="2177">
                  <c:v>1.7986256957391311E-2</c:v>
                </c:pt>
                <c:pt idx="2178">
                  <c:v>1.7989271123509204E-2</c:v>
                </c:pt>
                <c:pt idx="2179">
                  <c:v>1.7998306732316168E-2</c:v>
                </c:pt>
                <c:pt idx="2180">
                  <c:v>1.8001316352556685E-2</c:v>
                </c:pt>
                <c:pt idx="2181">
                  <c:v>1.8004324867985207E-2</c:v>
                </c:pt>
                <c:pt idx="2182">
                  <c:v>1.8007332274208001E-2</c:v>
                </c:pt>
                <c:pt idx="2183">
                  <c:v>1.8010338563123375E-2</c:v>
                </c:pt>
                <c:pt idx="2184">
                  <c:v>1.8019350645007905E-2</c:v>
                </c:pt>
                <c:pt idx="2185">
                  <c:v>1.8022352383676551E-2</c:v>
                </c:pt>
                <c:pt idx="2186">
                  <c:v>1.8025352964529257E-2</c:v>
                </c:pt>
                <c:pt idx="2187">
                  <c:v>1.8028352379464326E-2</c:v>
                </c:pt>
                <c:pt idx="2188">
                  <c:v>1.8031350620380051E-2</c:v>
                </c:pt>
                <c:pt idx="2189">
                  <c:v>1.8040338217994167E-2</c:v>
                </c:pt>
                <c:pt idx="2190">
                  <c:v>1.8043331681815506E-2</c:v>
                </c:pt>
                <c:pt idx="2191">
                  <c:v>1.8046323931108998E-2</c:v>
                </c:pt>
                <c:pt idx="2192">
                  <c:v>1.8049314957772938E-2</c:v>
                </c:pt>
                <c:pt idx="2193">
                  <c:v>1.8052304753705613E-2</c:v>
                </c:pt>
                <c:pt idx="2194">
                  <c:v>1.80612666760991E-2</c:v>
                </c:pt>
                <c:pt idx="2195">
                  <c:v>1.8064251468089737E-2</c:v>
                </c:pt>
                <c:pt idx="2196">
                  <c:v>1.8067234988840612E-2</c:v>
                </c:pt>
                <c:pt idx="2197">
                  <c:v>1.807021723025001E-2</c:v>
                </c:pt>
                <c:pt idx="2198">
                  <c:v>1.8073198184216249E-2</c:v>
                </c:pt>
                <c:pt idx="2199">
                  <c:v>1.8082133240438898E-2</c:v>
                </c:pt>
                <c:pt idx="2200">
                  <c:v>1.808510896361543E-2</c:v>
                </c:pt>
                <c:pt idx="2201">
                  <c:v>1.8088083358840278E-2</c:v>
                </c:pt>
                <c:pt idx="2202">
                  <c:v>1.8091056418011741E-2</c:v>
                </c:pt>
                <c:pt idx="2203">
                  <c:v>1.8094028133028125E-2</c:v>
                </c:pt>
                <c:pt idx="2204">
                  <c:v>1.8102935132129735E-2</c:v>
                </c:pt>
                <c:pt idx="2205">
                  <c:v>1.8105901389508756E-2</c:v>
                </c:pt>
                <c:pt idx="2206">
                  <c:v>1.8108866262224178E-2</c:v>
                </c:pt>
                <c:pt idx="2207">
                  <c:v>1.8111829742174304E-2</c:v>
                </c:pt>
                <c:pt idx="2208">
                  <c:v>1.8114791821257432E-2</c:v>
                </c:pt>
                <c:pt idx="2209">
                  <c:v>1.8123669572287792E-2</c:v>
                </c:pt>
                <c:pt idx="2210">
                  <c:v>1.8126625966885898E-2</c:v>
                </c:pt>
                <c:pt idx="2211">
                  <c:v>1.8129580920108492E-2</c:v>
                </c:pt>
                <c:pt idx="2212">
                  <c:v>1.8132534423853878E-2</c:v>
                </c:pt>
                <c:pt idx="2213">
                  <c:v>1.8135486470020345E-2</c:v>
                </c:pt>
                <c:pt idx="2214">
                  <c:v>1.8144333782029246E-2</c:v>
                </c:pt>
                <c:pt idx="2215">
                  <c:v>1.8147279916863039E-2</c:v>
                </c:pt>
                <c:pt idx="2216">
                  <c:v>1.8150224553609401E-2</c:v>
                </c:pt>
                <c:pt idx="2217">
                  <c:v>1.8153167684166641E-2</c:v>
                </c:pt>
                <c:pt idx="2218">
                  <c:v>1.8164924982470288E-2</c:v>
                </c:pt>
                <c:pt idx="2219">
                  <c:v>1.8167860460556358E-2</c:v>
                </c:pt>
                <c:pt idx="2220">
                  <c:v>1.817079438384309E-2</c:v>
                </c:pt>
                <c:pt idx="2221">
                  <c:v>1.817372674422878E-2</c:v>
                </c:pt>
                <c:pt idx="2222">
                  <c:v>1.8185440394727085E-2</c:v>
                </c:pt>
                <c:pt idx="2223">
                  <c:v>1.8188364819082037E-2</c:v>
                </c:pt>
                <c:pt idx="2224">
                  <c:v>1.8191287631925731E-2</c:v>
                </c:pt>
                <c:pt idx="2225">
                  <c:v>1.8194208825156478E-2</c:v>
                </c:pt>
                <c:pt idx="2226">
                  <c:v>1.8197128390672553E-2</c:v>
                </c:pt>
                <c:pt idx="2227">
                  <c:v>1.8205877239915833E-2</c:v>
                </c:pt>
                <c:pt idx="2228">
                  <c:v>1.8208790213556255E-2</c:v>
                </c:pt>
                <c:pt idx="2229">
                  <c:v>1.8211701518973514E-2</c:v>
                </c:pt>
                <c:pt idx="2230">
                  <c:v>1.8214611148065905E-2</c:v>
                </c:pt>
                <c:pt idx="2231">
                  <c:v>1.8217519092731716E-2</c:v>
                </c:pt>
                <c:pt idx="2232">
                  <c:v>1.8226232739152699E-2</c:v>
                </c:pt>
                <c:pt idx="2233">
                  <c:v>1.8229133865095198E-2</c:v>
                </c:pt>
                <c:pt idx="2234">
                  <c:v>1.8232033266102617E-2</c:v>
                </c:pt>
                <c:pt idx="2235">
                  <c:v>1.8234930934073246E-2</c:v>
                </c:pt>
                <c:pt idx="2236">
                  <c:v>1.8237826860905387E-2</c:v>
                </c:pt>
                <c:pt idx="2237">
                  <c:v>1.8246504113553871E-2</c:v>
                </c:pt>
                <c:pt idx="2238">
                  <c:v>1.8249392994815043E-2</c:v>
                </c:pt>
                <c:pt idx="2239">
                  <c:v>1.8252280094429217E-2</c:v>
                </c:pt>
                <c:pt idx="2240">
                  <c:v>1.8255165404294688E-2</c:v>
                </c:pt>
                <c:pt idx="2241">
                  <c:v>1.825804891630976E-2</c:v>
                </c:pt>
                <c:pt idx="2242">
                  <c:v>1.8266688584235531E-2</c:v>
                </c:pt>
                <c:pt idx="2243">
                  <c:v>1.826956482383197E-2</c:v>
                </c:pt>
                <c:pt idx="2244">
                  <c:v>1.8272439225069496E-2</c:v>
                </c:pt>
                <c:pt idx="2245">
                  <c:v>1.8275311779846405E-2</c:v>
                </c:pt>
                <c:pt idx="2246">
                  <c:v>1.8278182480061002E-2</c:v>
                </c:pt>
                <c:pt idx="2247">
                  <c:v>1.8286783372313861E-2</c:v>
                </c:pt>
                <c:pt idx="2248">
                  <c:v>1.8289646573262163E-2</c:v>
                </c:pt>
                <c:pt idx="2249">
                  <c:v>1.8292507879139639E-2</c:v>
                </c:pt>
                <c:pt idx="2250">
                  <c:v>1.8295367281844589E-2</c:v>
                </c:pt>
                <c:pt idx="2251">
                  <c:v>1.82982247732753E-2</c:v>
                </c:pt>
                <c:pt idx="2252">
                  <c:v>1.8306785698905034E-2</c:v>
                </c:pt>
                <c:pt idx="2253">
                  <c:v>1.8309635464221801E-2</c:v>
                </c:pt>
                <c:pt idx="2254">
                  <c:v>1.8312483277755826E-2</c:v>
                </c:pt>
                <c:pt idx="2255">
                  <c:v>1.8315329131405406E-2</c:v>
                </c:pt>
                <c:pt idx="2256">
                  <c:v>1.8318173017068839E-2</c:v>
                </c:pt>
                <c:pt idx="2257">
                  <c:v>1.8326692785125234E-2</c:v>
                </c:pt>
                <c:pt idx="2258">
                  <c:v>1.8329528717827063E-2</c:v>
                </c:pt>
                <c:pt idx="2259">
                  <c:v>1.8332362642034233E-2</c:v>
                </c:pt>
                <c:pt idx="2260">
                  <c:v>1.833519454964504E-2</c:v>
                </c:pt>
                <c:pt idx="2261">
                  <c:v>1.833802443255779E-2</c:v>
                </c:pt>
                <c:pt idx="2262">
                  <c:v>1.8346501852090649E-2</c:v>
                </c:pt>
                <c:pt idx="2263">
                  <c:v>1.8349323555194134E-2</c:v>
                </c:pt>
                <c:pt idx="2264">
                  <c:v>1.8352143193091044E-2</c:v>
                </c:pt>
                <c:pt idx="2265">
                  <c:v>1.8354960757679686E-2</c:v>
                </c:pt>
                <c:pt idx="2266">
                  <c:v>1.8357776240858346E-2</c:v>
                </c:pt>
                <c:pt idx="2267">
                  <c:v>1.8366210120917454E-2</c:v>
                </c:pt>
                <c:pt idx="2268">
                  <c:v>1.8369017197439191E-2</c:v>
                </c:pt>
                <c:pt idx="2269">
                  <c:v>1.8371822152042441E-2</c:v>
                </c:pt>
                <c:pt idx="2270">
                  <c:v>1.8374624976625505E-2</c:v>
                </c:pt>
                <c:pt idx="2271">
                  <c:v>1.8377425663086675E-2</c:v>
                </c:pt>
                <c:pt idx="2272">
                  <c:v>1.8385814812721828E-2</c:v>
                </c:pt>
                <c:pt idx="2273">
                  <c:v>1.8388606865678416E-2</c:v>
                </c:pt>
                <c:pt idx="2274">
                  <c:v>1.8391396740004604E-2</c:v>
                </c:pt>
                <c:pt idx="2275">
                  <c:v>1.8394184427598687E-2</c:v>
                </c:pt>
                <c:pt idx="2276">
                  <c:v>1.8396969920358969E-2</c:v>
                </c:pt>
                <c:pt idx="2277">
                  <c:v>1.8405313148619953E-2</c:v>
                </c:pt>
                <c:pt idx="2278">
                  <c:v>1.8408089781027991E-2</c:v>
                </c:pt>
                <c:pt idx="2279">
                  <c:v>1.8410864178093716E-2</c:v>
                </c:pt>
                <c:pt idx="2280">
                  <c:v>1.8413636331715416E-2</c:v>
                </c:pt>
                <c:pt idx="2281">
                  <c:v>1.8427463164604096E-2</c:v>
                </c:pt>
                <c:pt idx="2282">
                  <c:v>1.843022168742595E-2</c:v>
                </c:pt>
                <c:pt idx="2283">
                  <c:v>1.8432977910091873E-2</c:v>
                </c:pt>
                <c:pt idx="2284">
                  <c:v>1.8435731824500159E-2</c:v>
                </c:pt>
                <c:pt idx="2285">
                  <c:v>1.8443979637162183E-2</c:v>
                </c:pt>
                <c:pt idx="2286">
                  <c:v>1.8446724237522912E-2</c:v>
                </c:pt>
                <c:pt idx="2287">
                  <c:v>1.8449466489117494E-2</c:v>
                </c:pt>
                <c:pt idx="2288">
                  <c:v>1.8452206383844229E-2</c:v>
                </c:pt>
                <c:pt idx="2289">
                  <c:v>1.8454943913601415E-2</c:v>
                </c:pt>
                <c:pt idx="2290">
                  <c:v>1.8463142232038651E-2</c:v>
                </c:pt>
                <c:pt idx="2291">
                  <c:v>1.8465870220900616E-2</c:v>
                </c:pt>
                <c:pt idx="2292">
                  <c:v>1.8468595804284525E-2</c:v>
                </c:pt>
                <c:pt idx="2293">
                  <c:v>1.8471318974088671E-2</c:v>
                </c:pt>
                <c:pt idx="2294">
                  <c:v>1.8474039722211354E-2</c:v>
                </c:pt>
                <c:pt idx="2295">
                  <c:v>1.8482187355473596E-2</c:v>
                </c:pt>
                <c:pt idx="2296">
                  <c:v>1.84848983358534E-2</c:v>
                </c:pt>
                <c:pt idx="2297">
                  <c:v>1.8487606854043229E-2</c:v>
                </c:pt>
                <c:pt idx="2298">
                  <c:v>1.8490312901941381E-2</c:v>
                </c:pt>
                <c:pt idx="2299">
                  <c:v>1.8493016471446157E-2</c:v>
                </c:pt>
                <c:pt idx="2300">
                  <c:v>1.8501112228583191E-2</c:v>
                </c:pt>
                <c:pt idx="2301">
                  <c:v>1.8503805803497433E-2</c:v>
                </c:pt>
                <c:pt idx="2302">
                  <c:v>1.8506496859509784E-2</c:v>
                </c:pt>
                <c:pt idx="2303">
                  <c:v>1.8509185388518545E-2</c:v>
                </c:pt>
                <c:pt idx="2304">
                  <c:v>1.851187138242201E-2</c:v>
                </c:pt>
                <c:pt idx="2305">
                  <c:v>1.8519914072483629E-2</c:v>
                </c:pt>
                <c:pt idx="2306">
                  <c:v>1.8522589849967165E-2</c:v>
                </c:pt>
                <c:pt idx="2307">
                  <c:v>1.8525263081946488E-2</c:v>
                </c:pt>
                <c:pt idx="2308">
                  <c:v>1.8527933790429479E-2</c:v>
                </c:pt>
                <c:pt idx="2309">
                  <c:v>1.8530601997424023E-2</c:v>
                </c:pt>
                <c:pt idx="2310">
                  <c:v>1.8538591829555844E-2</c:v>
                </c:pt>
                <c:pt idx="2311">
                  <c:v>1.8541250250675465E-2</c:v>
                </c:pt>
                <c:pt idx="2312">
                  <c:v>1.8543906280346065E-2</c:v>
                </c:pt>
                <c:pt idx="2313">
                  <c:v>1.8546559940575542E-2</c:v>
                </c:pt>
                <c:pt idx="2314">
                  <c:v>1.8549211253371767E-2</c:v>
                </c:pt>
                <c:pt idx="2315">
                  <c:v>1.855715132723983E-2</c:v>
                </c:pt>
                <c:pt idx="2316">
                  <c:v>1.8559793470381929E-2</c:v>
                </c:pt>
                <c:pt idx="2317">
                  <c:v>1.856243337613021E-2</c:v>
                </c:pt>
                <c:pt idx="2318">
                  <c:v>1.856507106649256E-2</c:v>
                </c:pt>
                <c:pt idx="2319">
                  <c:v>1.8567706563476862E-2</c:v>
                </c:pt>
                <c:pt idx="2320">
                  <c:v>1.8575600114240344E-2</c:v>
                </c:pt>
                <c:pt idx="2321">
                  <c:v>1.8578227057791313E-2</c:v>
                </c:pt>
                <c:pt idx="2322">
                  <c:v>1.8580851918003662E-2</c:v>
                </c:pt>
                <c:pt idx="2323">
                  <c:v>1.8583474716885283E-2</c:v>
                </c:pt>
                <c:pt idx="2324">
                  <c:v>1.8586095476444051E-2</c:v>
                </c:pt>
                <c:pt idx="2325">
                  <c:v>1.8593945739262131E-2</c:v>
                </c:pt>
                <c:pt idx="2326">
                  <c:v>1.8596558561608363E-2</c:v>
                </c:pt>
                <c:pt idx="2327">
                  <c:v>1.8599169454671178E-2</c:v>
                </c:pt>
                <c:pt idx="2328">
                  <c:v>1.8601778440458457E-2</c:v>
                </c:pt>
                <c:pt idx="2329">
                  <c:v>1.8604385540978086E-2</c:v>
                </c:pt>
                <c:pt idx="2330">
                  <c:v>1.8612195751009943E-2</c:v>
                </c:pt>
                <c:pt idx="2331">
                  <c:v>1.8614795530537832E-2</c:v>
                </c:pt>
                <c:pt idx="2332">
                  <c:v>1.8617393534837504E-2</c:v>
                </c:pt>
                <c:pt idx="2333">
                  <c:v>1.8619989785916842E-2</c:v>
                </c:pt>
                <c:pt idx="2334">
                  <c:v>1.8622584305783726E-2</c:v>
                </c:pt>
                <c:pt idx="2335">
                  <c:v>1.8630357698188538E-2</c:v>
                </c:pt>
                <c:pt idx="2336">
                  <c:v>1.8632945513284482E-2</c:v>
                </c:pt>
                <c:pt idx="2337">
                  <c:v>1.8635531707207401E-2</c:v>
                </c:pt>
                <c:pt idx="2338">
                  <c:v>1.8638116301965189E-2</c:v>
                </c:pt>
                <c:pt idx="2339">
                  <c:v>1.8640699319565718E-2</c:v>
                </c:pt>
                <c:pt idx="2340">
                  <c:v>1.8648439129502668E-2</c:v>
                </c:pt>
                <c:pt idx="2341">
                  <c:v>1.8651016058553058E-2</c:v>
                </c:pt>
                <c:pt idx="2342">
                  <c:v>1.865359152048562E-2</c:v>
                </c:pt>
                <c:pt idx="2343">
                  <c:v>1.8656165537308245E-2</c:v>
                </c:pt>
                <c:pt idx="2344">
                  <c:v>1.8658738131028821E-2</c:v>
                </c:pt>
                <c:pt idx="2345">
                  <c:v>1.8666447593657091E-2</c:v>
                </c:pt>
                <c:pt idx="2346">
                  <c:v>1.8669014715048313E-2</c:v>
                </c:pt>
                <c:pt idx="2347">
                  <c:v>1.8671580523376915E-2</c:v>
                </c:pt>
                <c:pt idx="2348">
                  <c:v>1.8674145040650774E-2</c:v>
                </c:pt>
                <c:pt idx="2349">
                  <c:v>1.8676708288877783E-2</c:v>
                </c:pt>
                <c:pt idx="2350">
                  <c:v>1.8684390639356549E-2</c:v>
                </c:pt>
                <c:pt idx="2351">
                  <c:v>1.8686949031475008E-2</c:v>
                </c:pt>
                <c:pt idx="2352">
                  <c:v>1.8689506264586032E-2</c:v>
                </c:pt>
                <c:pt idx="2353">
                  <c:v>1.8692062360697523E-2</c:v>
                </c:pt>
                <c:pt idx="2354">
                  <c:v>1.8694617341817356E-2</c:v>
                </c:pt>
                <c:pt idx="2355">
                  <c:v>1.8702275815305799E-2</c:v>
                </c:pt>
                <c:pt idx="2356">
                  <c:v>1.8704826556537883E-2</c:v>
                </c:pt>
                <c:pt idx="2357">
                  <c:v>1.870737629281773E-2</c:v>
                </c:pt>
                <c:pt idx="2358">
                  <c:v>1.8709925046153243E-2</c:v>
                </c:pt>
                <c:pt idx="2359">
                  <c:v>1.8712472838552301E-2</c:v>
                </c:pt>
                <c:pt idx="2360">
                  <c:v>1.8720110670209601E-2</c:v>
                </c:pt>
                <c:pt idx="2361">
                  <c:v>1.8722654838941692E-2</c:v>
                </c:pt>
                <c:pt idx="2362">
                  <c:v>1.8725198156776764E-2</c:v>
                </c:pt>
                <c:pt idx="2363">
                  <c:v>1.8727740645722687E-2</c:v>
                </c:pt>
                <c:pt idx="2364">
                  <c:v>1.8730282327787361E-2</c:v>
                </c:pt>
                <c:pt idx="2365">
                  <c:v>1.8737902752772699E-2</c:v>
                </c:pt>
                <c:pt idx="2366">
                  <c:v>1.8740441427391202E-2</c:v>
                </c:pt>
                <c:pt idx="2367">
                  <c:v>1.8742979405167882E-2</c:v>
                </c:pt>
                <c:pt idx="2368">
                  <c:v>1.8745516708110616E-2</c:v>
                </c:pt>
                <c:pt idx="2369">
                  <c:v>1.8748053358227292E-2</c:v>
                </c:pt>
                <c:pt idx="2370">
                  <c:v>1.8755659611699848E-2</c:v>
                </c:pt>
                <c:pt idx="2371">
                  <c:v>1.8758193870591154E-2</c:v>
                </c:pt>
                <c:pt idx="2372">
                  <c:v>1.8760727586695832E-2</c:v>
                </c:pt>
                <c:pt idx="2373">
                  <c:v>1.8763260782021771E-2</c:v>
                </c:pt>
                <c:pt idx="2374">
                  <c:v>1.8765793478576851E-2</c:v>
                </c:pt>
                <c:pt idx="2375">
                  <c:v>1.8773388795695796E-2</c:v>
                </c:pt>
                <c:pt idx="2376">
                  <c:v>1.8775919717246299E-2</c:v>
                </c:pt>
                <c:pt idx="2377">
                  <c:v>1.8778450250065377E-2</c:v>
                </c:pt>
                <c:pt idx="2378">
                  <c:v>1.878098041616091E-2</c:v>
                </c:pt>
                <c:pt idx="2379">
                  <c:v>1.8783510237540782E-2</c:v>
                </c:pt>
                <c:pt idx="2380">
                  <c:v>1.8791097853465309E-2</c:v>
                </c:pt>
                <c:pt idx="2381">
                  <c:v>1.8793626516061399E-2</c:v>
                </c:pt>
                <c:pt idx="2382">
                  <c:v>1.8796154943981267E-2</c:v>
                </c:pt>
                <c:pt idx="2383">
                  <c:v>1.8798683159232783E-2</c:v>
                </c:pt>
                <c:pt idx="2384">
                  <c:v>1.8801211183823843E-2</c:v>
                </c:pt>
                <c:pt idx="2385">
                  <c:v>1.8808794333713123E-2</c:v>
                </c:pt>
                <c:pt idx="2386">
                  <c:v>1.8811321815741206E-2</c:v>
                </c:pt>
                <c:pt idx="2387">
                  <c:v>1.8813849217148251E-2</c:v>
                </c:pt>
                <c:pt idx="2388">
                  <c:v>1.8816376559942151E-2</c:v>
                </c:pt>
                <c:pt idx="2389">
                  <c:v>1.8818903866130793E-2</c:v>
                </c:pt>
                <c:pt idx="2390">
                  <c:v>1.8826485785144006E-2</c:v>
                </c:pt>
                <c:pt idx="2391">
                  <c:v>1.8829013164990461E-2</c:v>
                </c:pt>
                <c:pt idx="2392">
                  <c:v>1.8831540618271084E-2</c:v>
                </c:pt>
                <c:pt idx="2393">
                  <c:v>1.8834068166993762E-2</c:v>
                </c:pt>
                <c:pt idx="2394">
                  <c:v>1.8836595833166377E-2</c:v>
                </c:pt>
                <c:pt idx="2395">
                  <c:v>1.8844179756462704E-2</c:v>
                </c:pt>
                <c:pt idx="2396">
                  <c:v>1.8846708112513929E-2</c:v>
                </c:pt>
                <c:pt idx="2397">
                  <c:v>1.8849236696054518E-2</c:v>
                </c:pt>
                <c:pt idx="2398">
                  <c:v>1.8851765529092363E-2</c:v>
                </c:pt>
                <c:pt idx="2399">
                  <c:v>1.8854294633635346E-2</c:v>
                </c:pt>
                <c:pt idx="2400">
                  <c:v>1.886188379637397E-2</c:v>
                </c:pt>
                <c:pt idx="2401">
                  <c:v>1.8864414207016358E-2</c:v>
                </c:pt>
                <c:pt idx="2402">
                  <c:v>1.8866944999203307E-2</c:v>
                </c:pt>
                <c:pt idx="2403">
                  <c:v>1.8869476194942714E-2</c:v>
                </c:pt>
                <c:pt idx="2404">
                  <c:v>1.8872007816242455E-2</c:v>
                </c:pt>
                <c:pt idx="2405">
                  <c:v>1.8879605453582558E-2</c:v>
                </c:pt>
                <c:pt idx="2406">
                  <c:v>1.8882138997202501E-2</c:v>
                </c:pt>
                <c:pt idx="2407">
                  <c:v>1.8884673076422206E-2</c:v>
                </c:pt>
                <c:pt idx="2408">
                  <c:v>1.8887207713249567E-2</c:v>
                </c:pt>
                <c:pt idx="2409">
                  <c:v>1.8889742929692459E-2</c:v>
                </c:pt>
                <c:pt idx="2410">
                  <c:v>1.8897352276793219E-2</c:v>
                </c:pt>
                <c:pt idx="2411">
                  <c:v>1.8899890031777108E-2</c:v>
                </c:pt>
                <c:pt idx="2412">
                  <c:v>1.8902428476415968E-2</c:v>
                </c:pt>
                <c:pt idx="2413">
                  <c:v>1.8904967632717672E-2</c:v>
                </c:pt>
                <c:pt idx="2414">
                  <c:v>1.890750752269011E-2</c:v>
                </c:pt>
                <c:pt idx="2415">
                  <c:v>1.8915131814710703E-2</c:v>
                </c:pt>
                <c:pt idx="2416">
                  <c:v>1.8917674859444938E-2</c:v>
                </c:pt>
                <c:pt idx="2417">
                  <c:v>1.8920218747889336E-2</c:v>
                </c:pt>
                <c:pt idx="2418">
                  <c:v>1.8922763502051784E-2</c:v>
                </c:pt>
                <c:pt idx="2419">
                  <c:v>1.8925309143940167E-2</c:v>
                </c:pt>
                <c:pt idx="2420">
                  <c:v>1.8932951616039768E-2</c:v>
                </c:pt>
                <c:pt idx="2421">
                  <c:v>1.8935501028910739E-2</c:v>
                </c:pt>
                <c:pt idx="2422">
                  <c:v>1.893805143954707E-2</c:v>
                </c:pt>
                <c:pt idx="2423">
                  <c:v>1.8940602869956656E-2</c:v>
                </c:pt>
                <c:pt idx="2424">
                  <c:v>1.8943155342147369E-2</c:v>
                </c:pt>
                <c:pt idx="2425">
                  <c:v>1.8950819229485164E-2</c:v>
                </c:pt>
                <c:pt idx="2426">
                  <c:v>1.8953376088879266E-2</c:v>
                </c:pt>
                <c:pt idx="2427">
                  <c:v>1.8955934100093927E-2</c:v>
                </c:pt>
                <c:pt idx="2428">
                  <c:v>1.8958493285137032E-2</c:v>
                </c:pt>
                <c:pt idx="2429">
                  <c:v>1.8961053666016477E-2</c:v>
                </c:pt>
                <c:pt idx="2430">
                  <c:v>1.8968742203751644E-2</c:v>
                </c:pt>
                <c:pt idx="2431">
                  <c:v>1.8971307588055271E-2</c:v>
                </c:pt>
                <c:pt idx="2432">
                  <c:v>1.8973874278234652E-2</c:v>
                </c:pt>
                <c:pt idx="2433">
                  <c:v>1.897644229629768E-2</c:v>
                </c:pt>
                <c:pt idx="2434">
                  <c:v>1.8979011664252244E-2</c:v>
                </c:pt>
                <c:pt idx="2435">
                  <c:v>1.8986728087543963E-2</c:v>
                </c:pt>
                <c:pt idx="2436">
                  <c:v>1.8989303075143505E-2</c:v>
                </c:pt>
                <c:pt idx="2437">
                  <c:v>1.8991879522674004E-2</c:v>
                </c:pt>
                <c:pt idx="2438">
                  <c:v>1.8994457444622515E-2</c:v>
                </c:pt>
                <c:pt idx="2439">
                  <c:v>1.8997036825392763E-2</c:v>
                </c:pt>
                <c:pt idx="2440">
                  <c:v>1.9004783489462763E-2</c:v>
                </c:pt>
                <c:pt idx="2441">
                  <c:v>1.9007368474348824E-2</c:v>
                </c:pt>
                <c:pt idx="2442">
                  <c:v>1.9009954802471047E-2</c:v>
                </c:pt>
                <c:pt idx="2443">
                  <c:v>1.9012542450712336E-2</c:v>
                </c:pt>
                <c:pt idx="2444">
                  <c:v>1.9015131395955578E-2</c:v>
                </c:pt>
                <c:pt idx="2445">
                  <c:v>1.9022905782525877E-2</c:v>
                </c:pt>
                <c:pt idx="2446">
                  <c:v>1.90254996846058E-2</c:v>
                </c:pt>
                <c:pt idx="2447">
                  <c:v>1.9028094768102112E-2</c:v>
                </c:pt>
                <c:pt idx="2448">
                  <c:v>1.9030691009897707E-2</c:v>
                </c:pt>
                <c:pt idx="2449">
                  <c:v>1.9033288386875461E-2</c:v>
                </c:pt>
                <c:pt idx="2450">
                  <c:v>1.9041087097730624E-2</c:v>
                </c:pt>
                <c:pt idx="2451">
                  <c:v>1.9043688784265933E-2</c:v>
                </c:pt>
                <c:pt idx="2452">
                  <c:v>1.9046291490397851E-2</c:v>
                </c:pt>
                <c:pt idx="2453">
                  <c:v>1.9048895193009265E-2</c:v>
                </c:pt>
                <c:pt idx="2454">
                  <c:v>1.9051499868983062E-2</c:v>
                </c:pt>
                <c:pt idx="2455">
                  <c:v>1.9059319505907644E-2</c:v>
                </c:pt>
                <c:pt idx="2456">
                  <c:v>1.9061927844159863E-2</c:v>
                </c:pt>
                <c:pt idx="2457">
                  <c:v>1.9064537040188904E-2</c:v>
                </c:pt>
                <c:pt idx="2458">
                  <c:v>1.9067147070877664E-2</c:v>
                </c:pt>
                <c:pt idx="2459">
                  <c:v>1.9069757913109019E-2</c:v>
                </c:pt>
                <c:pt idx="2460">
                  <c:v>1.9077595077887588E-2</c:v>
                </c:pt>
                <c:pt idx="2461">
                  <c:v>1.9080208935118234E-2</c:v>
                </c:pt>
                <c:pt idx="2462">
                  <c:v>1.9082823488305922E-2</c:v>
                </c:pt>
                <c:pt idx="2463">
                  <c:v>1.9085438714333543E-2</c:v>
                </c:pt>
                <c:pt idx="2464">
                  <c:v>1.9088054590083985E-2</c:v>
                </c:pt>
                <c:pt idx="2465">
                  <c:v>1.9095905884501104E-2</c:v>
                </c:pt>
                <c:pt idx="2466">
                  <c:v>1.9098524127971698E-2</c:v>
                </c:pt>
                <c:pt idx="2467">
                  <c:v>1.9101142905579554E-2</c:v>
                </c:pt>
                <c:pt idx="2468">
                  <c:v>1.910376219420756E-2</c:v>
                </c:pt>
                <c:pt idx="2469">
                  <c:v>1.9106381970738603E-2</c:v>
                </c:pt>
                <c:pt idx="2470">
                  <c:v>1.9114243996578826E-2</c:v>
                </c:pt>
                <c:pt idx="2471">
                  <c:v>1.9116865493550895E-2</c:v>
                </c:pt>
                <c:pt idx="2472">
                  <c:v>1.9119487362840443E-2</c:v>
                </c:pt>
                <c:pt idx="2473">
                  <c:v>1.9122109581330354E-2</c:v>
                </c:pt>
                <c:pt idx="2474">
                  <c:v>1.9124732125903515E-2</c:v>
                </c:pt>
                <c:pt idx="2475">
                  <c:v>1.9132601484951418E-2</c:v>
                </c:pt>
                <c:pt idx="2476">
                  <c:v>1.9135225102686476E-2</c:v>
                </c:pt>
                <c:pt idx="2477">
                  <c:v>1.9137848930919233E-2</c:v>
                </c:pt>
                <c:pt idx="2478">
                  <c:v>1.914047294653257E-2</c:v>
                </c:pt>
                <c:pt idx="2479">
                  <c:v>1.9143097126409381E-2</c:v>
                </c:pt>
                <c:pt idx="2480">
                  <c:v>1.9150948907552628E-2</c:v>
                </c:pt>
                <c:pt idx="2481">
                  <c:v>1.9153566341687942E-2</c:v>
                </c:pt>
                <c:pt idx="2482">
                  <c:v>1.9156183824486802E-2</c:v>
                </c:pt>
                <c:pt idx="2483">
                  <c:v>1.9158801333021062E-2</c:v>
                </c:pt>
                <c:pt idx="2484">
                  <c:v>1.9161418844362572E-2</c:v>
                </c:pt>
                <c:pt idx="2485">
                  <c:v>1.9169271165949187E-2</c:v>
                </c:pt>
                <c:pt idx="2486">
                  <c:v>1.9171888459238267E-2</c:v>
                </c:pt>
                <c:pt idx="2487">
                  <c:v>1.9174505640693881E-2</c:v>
                </c:pt>
                <c:pt idx="2488">
                  <c:v>1.9177122687387881E-2</c:v>
                </c:pt>
                <c:pt idx="2489">
                  <c:v>1.9179739576392123E-2</c:v>
                </c:pt>
                <c:pt idx="2490">
                  <c:v>1.9187589067984855E-2</c:v>
                </c:pt>
                <c:pt idx="2491">
                  <c:v>1.9190205096948621E-2</c:v>
                </c:pt>
                <c:pt idx="2492">
                  <c:v>1.9192820853581909E-2</c:v>
                </c:pt>
                <c:pt idx="2493">
                  <c:v>1.9195436314956564E-2</c:v>
                </c:pt>
                <c:pt idx="2494">
                  <c:v>1.9198051458144454E-2</c:v>
                </c:pt>
                <c:pt idx="2495">
                  <c:v>1.9205894749306059E-2</c:v>
                </c:pt>
                <c:pt idx="2496">
                  <c:v>1.9208508390465423E-2</c:v>
                </c:pt>
                <c:pt idx="2497">
                  <c:v>1.9211121598797301E-2</c:v>
                </c:pt>
                <c:pt idx="2498">
                  <c:v>1.9213734351373538E-2</c:v>
                </c:pt>
                <c:pt idx="2499">
                  <c:v>1.9216346625265994E-2</c:v>
                </c:pt>
                <c:pt idx="2500">
                  <c:v>1.9224180345559221E-2</c:v>
                </c:pt>
                <c:pt idx="2501">
                  <c:v>1.9226790475435105E-2</c:v>
                </c:pt>
                <c:pt idx="2502">
                  <c:v>1.9229400011986482E-2</c:v>
                </c:pt>
                <c:pt idx="2503">
                  <c:v>1.923200893228522E-2</c:v>
                </c:pt>
                <c:pt idx="2504">
                  <c:v>1.9234617213403152E-2</c:v>
                </c:pt>
                <c:pt idx="2505">
                  <c:v>1.9242437992390768E-2</c:v>
                </c:pt>
                <c:pt idx="2506">
                  <c:v>1.9245043487504086E-2</c:v>
                </c:pt>
                <c:pt idx="2507">
                  <c:v>1.9247648228795888E-2</c:v>
                </c:pt>
                <c:pt idx="2508">
                  <c:v>1.9250252193338032E-2</c:v>
                </c:pt>
                <c:pt idx="2509">
                  <c:v>1.925285535820237E-2</c:v>
                </c:pt>
                <c:pt idx="2510">
                  <c:v>1.9260659825447109E-2</c:v>
                </c:pt>
                <c:pt idx="2511">
                  <c:v>1.926325956231878E-2</c:v>
                </c:pt>
                <c:pt idx="2512">
                  <c:v>1.926585838487193E-2</c:v>
                </c:pt>
                <c:pt idx="2513">
                  <c:v>1.9268456270178404E-2</c:v>
                </c:pt>
                <c:pt idx="2514">
                  <c:v>1.9271053195310056E-2</c:v>
                </c:pt>
                <c:pt idx="2515">
                  <c:v>1.9278837980374681E-2</c:v>
                </c:pt>
                <c:pt idx="2516">
                  <c:v>1.9281430835525627E-2</c:v>
                </c:pt>
                <c:pt idx="2517">
                  <c:v>1.9284022615861034E-2</c:v>
                </c:pt>
                <c:pt idx="2518">
                  <c:v>1.9286613298452753E-2</c:v>
                </c:pt>
                <c:pt idx="2519">
                  <c:v>1.928920286037264E-2</c:v>
                </c:pt>
                <c:pt idx="2520">
                  <c:v>1.9296964592819904E-2</c:v>
                </c:pt>
                <c:pt idx="2521">
                  <c:v>1.9299549442771031E-2</c:v>
                </c:pt>
                <c:pt idx="2522">
                  <c:v>1.9302133057409614E-2</c:v>
                </c:pt>
                <c:pt idx="2523">
                  <c:v>1.9304715413807499E-2</c:v>
                </c:pt>
                <c:pt idx="2524">
                  <c:v>1.9307296489036549E-2</c:v>
                </c:pt>
                <c:pt idx="2525">
                  <c:v>1.9315031798429194E-2</c:v>
                </c:pt>
                <c:pt idx="2526">
                  <c:v>1.9317607519701432E-2</c:v>
                </c:pt>
                <c:pt idx="2527">
                  <c:v>1.9320181845164108E-2</c:v>
                </c:pt>
                <c:pt idx="2528">
                  <c:v>1.9322754751889076E-2</c:v>
                </c:pt>
                <c:pt idx="2529">
                  <c:v>1.9325326216948192E-2</c:v>
                </c:pt>
                <c:pt idx="2530">
                  <c:v>1.933303173284898E-2</c:v>
                </c:pt>
                <c:pt idx="2531">
                  <c:v>1.9335597201963244E-2</c:v>
                </c:pt>
                <c:pt idx="2532">
                  <c:v>1.9338161114770932E-2</c:v>
                </c:pt>
                <c:pt idx="2533">
                  <c:v>1.9340723448343897E-2</c:v>
                </c:pt>
                <c:pt idx="2534">
                  <c:v>1.9343284179754002E-2</c:v>
                </c:pt>
                <c:pt idx="2535">
                  <c:v>1.935095653172569E-2</c:v>
                </c:pt>
                <c:pt idx="2536">
                  <c:v>1.9353510625202887E-2</c:v>
                </c:pt>
                <c:pt idx="2537">
                  <c:v>1.9356063001876509E-2</c:v>
                </c:pt>
                <c:pt idx="2538">
                  <c:v>1.9358613638818391E-2</c:v>
                </c:pt>
                <c:pt idx="2539">
                  <c:v>1.93611625131004E-2</c:v>
                </c:pt>
                <c:pt idx="2540">
                  <c:v>1.936879833070573E-2</c:v>
                </c:pt>
                <c:pt idx="2541">
                  <c:v>1.9371339925066792E-2</c:v>
                </c:pt>
                <c:pt idx="2542">
                  <c:v>1.9373879642127254E-2</c:v>
                </c:pt>
                <c:pt idx="2543">
                  <c:v>1.9376417458958978E-2</c:v>
                </c:pt>
                <c:pt idx="2544">
                  <c:v>1.9378953352633808E-2</c:v>
                </c:pt>
                <c:pt idx="2545">
                  <c:v>1.9386549265435538E-2</c:v>
                </c:pt>
                <c:pt idx="2546">
                  <c:v>1.9389077237201374E-2</c:v>
                </c:pt>
                <c:pt idx="2547">
                  <c:v>1.9391603171169607E-2</c:v>
                </c:pt>
                <c:pt idx="2548">
                  <c:v>1.9394127044412075E-2</c:v>
                </c:pt>
                <c:pt idx="2549">
                  <c:v>1.9396648834000656E-2</c:v>
                </c:pt>
                <c:pt idx="2550">
                  <c:v>1.9404201471561536E-2</c:v>
                </c:pt>
                <c:pt idx="2551">
                  <c:v>1.9406714697253066E-2</c:v>
                </c:pt>
                <c:pt idx="2552">
                  <c:v>1.9409225724649974E-2</c:v>
                </c:pt>
                <c:pt idx="2553">
                  <c:v>1.9411734530824121E-2</c:v>
                </c:pt>
                <c:pt idx="2554">
                  <c:v>1.9424244440868283E-2</c:v>
                </c:pt>
                <c:pt idx="2555">
                  <c:v>1.9426739438214789E-2</c:v>
                </c:pt>
                <c:pt idx="2556">
                  <c:v>1.9429232053841523E-2</c:v>
                </c:pt>
                <c:pt idx="2557">
                  <c:v>1.9431722264820327E-2</c:v>
                </c:pt>
                <c:pt idx="2558">
                  <c:v>1.9439178240587777E-2</c:v>
                </c:pt>
                <c:pt idx="2559">
                  <c:v>1.944165860369345E-2</c:v>
                </c:pt>
                <c:pt idx="2560">
                  <c:v>1.9444136447510474E-2</c:v>
                </c:pt>
                <c:pt idx="2561">
                  <c:v>1.944661174911071E-2</c:v>
                </c:pt>
                <c:pt idx="2562">
                  <c:v>1.9449084485566013E-2</c:v>
                </c:pt>
                <c:pt idx="2563">
                  <c:v>1.9458949321374989E-2</c:v>
                </c:pt>
                <c:pt idx="2564">
                  <c:v>1.9461408888183446E-2</c:v>
                </c:pt>
                <c:pt idx="2565">
                  <c:v>1.9463865753930141E-2</c:v>
                </c:pt>
                <c:pt idx="2566">
                  <c:v>1.9466319903947125E-2</c:v>
                </c:pt>
                <c:pt idx="2567">
                  <c:v>1.94736659294606E-2</c:v>
                </c:pt>
                <c:pt idx="2568">
                  <c:v>1.9476109086399546E-2</c:v>
                </c:pt>
                <c:pt idx="2569">
                  <c:v>1.9478549462529197E-2</c:v>
                </c:pt>
                <c:pt idx="2570">
                  <c:v>1.9480987044833635E-2</c:v>
                </c:pt>
                <c:pt idx="2571">
                  <c:v>1.9483421820296942E-2</c:v>
                </c:pt>
                <c:pt idx="2572">
                  <c:v>1.949070917548092E-2</c:v>
                </c:pt>
                <c:pt idx="2573">
                  <c:v>1.9493132593420549E-2</c:v>
                </c:pt>
                <c:pt idx="2574">
                  <c:v>1.9495553139439462E-2</c:v>
                </c:pt>
                <c:pt idx="2575">
                  <c:v>1.9497970800521756E-2</c:v>
                </c:pt>
                <c:pt idx="2576">
                  <c:v>1.9500385563651499E-2</c:v>
                </c:pt>
                <c:pt idx="2577">
                  <c:v>1.9507612335166333E-2</c:v>
                </c:pt>
                <c:pt idx="2578">
                  <c:v>1.9510015376326753E-2</c:v>
                </c:pt>
                <c:pt idx="2579">
                  <c:v>1.9512415454455052E-2</c:v>
                </c:pt>
                <c:pt idx="2580">
                  <c:v>1.951481255653531E-2</c:v>
                </c:pt>
                <c:pt idx="2581">
                  <c:v>1.9517206669551614E-2</c:v>
                </c:pt>
                <c:pt idx="2582">
                  <c:v>1.9524370944057644E-2</c:v>
                </c:pt>
                <c:pt idx="2583">
                  <c:v>1.9526752970658968E-2</c:v>
                </c:pt>
                <c:pt idx="2584">
                  <c:v>1.952913194311676E-2</c:v>
                </c:pt>
                <c:pt idx="2585">
                  <c:v>1.9531507848415102E-2</c:v>
                </c:pt>
                <c:pt idx="2586">
                  <c:v>1.9533880673538076E-2</c:v>
                </c:pt>
                <c:pt idx="2587">
                  <c:v>1.9540980537695644E-2</c:v>
                </c:pt>
                <c:pt idx="2588">
                  <c:v>1.9543340911957995E-2</c:v>
                </c:pt>
                <c:pt idx="2589">
                  <c:v>1.9545698140965396E-2</c:v>
                </c:pt>
                <c:pt idx="2590">
                  <c:v>1.954805221170194E-2</c:v>
                </c:pt>
                <c:pt idx="2591">
                  <c:v>1.95504031111517E-2</c:v>
                </c:pt>
                <c:pt idx="2592">
                  <c:v>1.955743665162115E-2</c:v>
                </c:pt>
                <c:pt idx="2593">
                  <c:v>1.9559774735764639E-2</c:v>
                </c:pt>
                <c:pt idx="2594">
                  <c:v>1.9562109583541768E-2</c:v>
                </c:pt>
                <c:pt idx="2595">
                  <c:v>1.956444118193662E-2</c:v>
                </c:pt>
                <c:pt idx="2596">
                  <c:v>1.9566769517933284E-2</c:v>
                </c:pt>
                <c:pt idx="2597">
                  <c:v>1.957373482137496E-2</c:v>
                </c:pt>
                <c:pt idx="2598">
                  <c:v>1.9576049977619706E-2</c:v>
                </c:pt>
                <c:pt idx="2599">
                  <c:v>1.9578361806386672E-2</c:v>
                </c:pt>
                <c:pt idx="2600">
                  <c:v>1.9580670294659951E-2</c:v>
                </c:pt>
                <c:pt idx="2601">
                  <c:v>1.9582975429423631E-2</c:v>
                </c:pt>
                <c:pt idx="2602">
                  <c:v>1.9589870582497889E-2</c:v>
                </c:pt>
                <c:pt idx="2603">
                  <c:v>1.959216217306399E-2</c:v>
                </c:pt>
                <c:pt idx="2604">
                  <c:v>1.9594450345040912E-2</c:v>
                </c:pt>
                <c:pt idx="2605">
                  <c:v>1.9596735085412733E-2</c:v>
                </c:pt>
                <c:pt idx="2606">
                  <c:v>1.9599016381163546E-2</c:v>
                </c:pt>
                <c:pt idx="2607">
                  <c:v>1.9605839470530718E-2</c:v>
                </c:pt>
                <c:pt idx="2608">
                  <c:v>1.9608106857638304E-2</c:v>
                </c:pt>
                <c:pt idx="2609">
                  <c:v>1.9610370735045297E-2</c:v>
                </c:pt>
                <c:pt idx="2610">
                  <c:v>1.961263108973578E-2</c:v>
                </c:pt>
                <c:pt idx="2611">
                  <c:v>1.961488790869383E-2</c:v>
                </c:pt>
                <c:pt idx="2612">
                  <c:v>1.9621637021014268E-2</c:v>
                </c:pt>
                <c:pt idx="2613">
                  <c:v>1.962387956688345E-2</c:v>
                </c:pt>
                <c:pt idx="2614">
                  <c:v>1.9626118511940627E-2</c:v>
                </c:pt>
                <c:pt idx="2615">
                  <c:v>1.9628353843169879E-2</c:v>
                </c:pt>
                <c:pt idx="2616">
                  <c:v>1.9630585547555292E-2</c:v>
                </c:pt>
                <c:pt idx="2617">
                  <c:v>1.9637258769489335E-2</c:v>
                </c:pt>
                <c:pt idx="2618">
                  <c:v>1.963947583634023E-2</c:v>
                </c:pt>
                <c:pt idx="2619">
                  <c:v>1.9641689211267705E-2</c:v>
                </c:pt>
                <c:pt idx="2620">
                  <c:v>1.9643898881255843E-2</c:v>
                </c:pt>
                <c:pt idx="2621">
                  <c:v>1.9646104833288731E-2</c:v>
                </c:pt>
                <c:pt idx="2622">
                  <c:v>1.9652700251496725E-2</c:v>
                </c:pt>
                <c:pt idx="2623">
                  <c:v>1.9654891201549445E-2</c:v>
                </c:pt>
                <c:pt idx="2624">
                  <c:v>1.9657078368567334E-2</c:v>
                </c:pt>
                <c:pt idx="2625">
                  <c:v>1.9659261739534476E-2</c:v>
                </c:pt>
                <c:pt idx="2626">
                  <c:v>1.9661441301434955E-2</c:v>
                </c:pt>
                <c:pt idx="2627">
                  <c:v>1.9667957002577244E-2</c:v>
                </c:pt>
                <c:pt idx="2628">
                  <c:v>1.9670121198051903E-2</c:v>
                </c:pt>
                <c:pt idx="2629">
                  <c:v>1.967228151938032E-2</c:v>
                </c:pt>
                <c:pt idx="2630">
                  <c:v>1.9674437953546581E-2</c:v>
                </c:pt>
                <c:pt idx="2631">
                  <c:v>1.9676590487534763E-2</c:v>
                </c:pt>
                <c:pt idx="2632">
                  <c:v>1.9683024558271693E-2</c:v>
                </c:pt>
                <c:pt idx="2633">
                  <c:v>1.9685161361388408E-2</c:v>
                </c:pt>
                <c:pt idx="2634">
                  <c:v>1.9687294199247467E-2</c:v>
                </c:pt>
                <c:pt idx="2635">
                  <c:v>1.968942305883296E-2</c:v>
                </c:pt>
                <c:pt idx="2636">
                  <c:v>1.9691547927128957E-2</c:v>
                </c:pt>
                <c:pt idx="2637">
                  <c:v>1.9697898454120871E-2</c:v>
                </c:pt>
                <c:pt idx="2638">
                  <c:v>1.9700007227099758E-2</c:v>
                </c:pt>
                <c:pt idx="2639">
                  <c:v>1.9702111943709577E-2</c:v>
                </c:pt>
                <c:pt idx="2640">
                  <c:v>1.9704212590934415E-2</c:v>
                </c:pt>
                <c:pt idx="2641">
                  <c:v>1.9706309155758349E-2</c:v>
                </c:pt>
                <c:pt idx="2642">
                  <c:v>1.9712574225665594E-2</c:v>
                </c:pt>
                <c:pt idx="2643">
                  <c:v>1.9714654330726764E-2</c:v>
                </c:pt>
                <c:pt idx="2644">
                  <c:v>1.971673028830746E-2</c:v>
                </c:pt>
                <c:pt idx="2645">
                  <c:v>1.9718802085391757E-2</c:v>
                </c:pt>
                <c:pt idx="2646">
                  <c:v>1.9720869708963737E-2</c:v>
                </c:pt>
                <c:pt idx="2647">
                  <c:v>1.9727047408446653E-2</c:v>
                </c:pt>
                <c:pt idx="2648">
                  <c:v>1.9729098207810228E-2</c:v>
                </c:pt>
                <c:pt idx="2649">
                  <c:v>1.9731144768581909E-2</c:v>
                </c:pt>
                <c:pt idx="2650">
                  <c:v>1.9733187077745774E-2</c:v>
                </c:pt>
                <c:pt idx="2651">
                  <c:v>1.9735225122285923E-2</c:v>
                </c:pt>
                <c:pt idx="2652">
                  <c:v>1.9741313538004856E-2</c:v>
                </c:pt>
                <c:pt idx="2653">
                  <c:v>1.9743334393890945E-2</c:v>
                </c:pt>
                <c:pt idx="2654">
                  <c:v>1.9745350920073727E-2</c:v>
                </c:pt>
                <c:pt idx="2655">
                  <c:v>1.9747363103537283E-2</c:v>
                </c:pt>
                <c:pt idx="2656">
                  <c:v>1.9749370931265716E-2</c:v>
                </c:pt>
                <c:pt idx="2657">
                  <c:v>1.9755368149881009E-2</c:v>
                </c:pt>
                <c:pt idx="2658">
                  <c:v>1.9757358424509725E-2</c:v>
                </c:pt>
                <c:pt idx="2659">
                  <c:v>1.9759344278323727E-2</c:v>
                </c:pt>
                <c:pt idx="2660">
                  <c:v>1.9761325698307096E-2</c:v>
                </c:pt>
                <c:pt idx="2661">
                  <c:v>1.9763302671443911E-2</c:v>
                </c:pt>
                <c:pt idx="2662">
                  <c:v>1.9769206779615911E-2</c:v>
                </c:pt>
                <c:pt idx="2663">
                  <c:v>1.9771165835207376E-2</c:v>
                </c:pt>
                <c:pt idx="2664">
                  <c:v>1.9773120378872709E-2</c:v>
                </c:pt>
                <c:pt idx="2665">
                  <c:v>1.9775070397595997E-2</c:v>
                </c:pt>
                <c:pt idx="2666">
                  <c:v>1.9777015878361323E-2</c:v>
                </c:pt>
                <c:pt idx="2667">
                  <c:v>1.9782824962750373E-2</c:v>
                </c:pt>
                <c:pt idx="2668">
                  <c:v>1.9784752161524696E-2</c:v>
                </c:pt>
                <c:pt idx="2669">
                  <c:v>1.9786674757261473E-2</c:v>
                </c:pt>
                <c:pt idx="2670">
                  <c:v>1.9788592736944794E-2</c:v>
                </c:pt>
                <c:pt idx="2671">
                  <c:v>1.9790506087558744E-2</c:v>
                </c:pt>
                <c:pt idx="2672">
                  <c:v>1.9796218234825195E-2</c:v>
                </c:pt>
                <c:pt idx="2673">
                  <c:v>1.9798112939002483E-2</c:v>
                </c:pt>
                <c:pt idx="2674">
                  <c:v>1.9800002949030823E-2</c:v>
                </c:pt>
                <c:pt idx="2675">
                  <c:v>1.9801888251894301E-2</c:v>
                </c:pt>
                <c:pt idx="2676">
                  <c:v>1.9803768834576987E-2</c:v>
                </c:pt>
                <c:pt idx="2677">
                  <c:v>1.980938213138117E-2</c:v>
                </c:pt>
                <c:pt idx="2678">
                  <c:v>1.9811243703181557E-2</c:v>
                </c:pt>
                <c:pt idx="2679">
                  <c:v>1.9813100489721572E-2</c:v>
                </c:pt>
                <c:pt idx="2680">
                  <c:v>1.9814952477985315E-2</c:v>
                </c:pt>
                <c:pt idx="2681">
                  <c:v>1.9816799654956845E-2</c:v>
                </c:pt>
                <c:pt idx="2682">
                  <c:v>1.9822312187959119E-2</c:v>
                </c:pt>
                <c:pt idx="2683">
                  <c:v>1.9824139989602706E-2</c:v>
                </c:pt>
                <c:pt idx="2684">
                  <c:v>1.9825962914874515E-2</c:v>
                </c:pt>
                <c:pt idx="2685">
                  <c:v>1.9827780950758635E-2</c:v>
                </c:pt>
                <c:pt idx="2686">
                  <c:v>1.9829594084239139E-2</c:v>
                </c:pt>
                <c:pt idx="2687">
                  <c:v>1.9835003940099835E-2</c:v>
                </c:pt>
                <c:pt idx="2688">
                  <c:v>1.9836797333806742E-2</c:v>
                </c:pt>
                <c:pt idx="2689">
                  <c:v>1.9838585760030458E-2</c:v>
                </c:pt>
                <c:pt idx="2690">
                  <c:v>1.9840369205755069E-2</c:v>
                </c:pt>
                <c:pt idx="2691">
                  <c:v>1.9842147657964652E-2</c:v>
                </c:pt>
                <c:pt idx="2692">
                  <c:v>1.9847452923344125E-2</c:v>
                </c:pt>
                <c:pt idx="2693">
                  <c:v>1.9849211271334464E-2</c:v>
                </c:pt>
                <c:pt idx="2694">
                  <c:v>1.9850964560730204E-2</c:v>
                </c:pt>
                <c:pt idx="2695">
                  <c:v>1.9852712778515424E-2</c:v>
                </c:pt>
                <c:pt idx="2696">
                  <c:v>1.9854455911674205E-2</c:v>
                </c:pt>
                <c:pt idx="2697">
                  <c:v>1.9859654823167684E-2</c:v>
                </c:pt>
                <c:pt idx="2698">
                  <c:v>1.9861377693127909E-2</c:v>
                </c:pt>
                <c:pt idx="2699">
                  <c:v>1.9863095546657571E-2</c:v>
                </c:pt>
                <c:pt idx="2700">
                  <c:v>1.9864808404059631E-2</c:v>
                </c:pt>
                <c:pt idx="2701">
                  <c:v>1.9866516285637032E-2</c:v>
                </c:pt>
                <c:pt idx="2702">
                  <c:v>1.9871610278450788E-2</c:v>
                </c:pt>
                <c:pt idx="2703">
                  <c:v>1.9873298459759051E-2</c:v>
                </c:pt>
                <c:pt idx="2704">
                  <c:v>1.9874981766757397E-2</c:v>
                </c:pt>
                <c:pt idx="2705">
                  <c:v>1.9876660219748783E-2</c:v>
                </c:pt>
                <c:pt idx="2706">
                  <c:v>1.9878333839036155E-2</c:v>
                </c:pt>
                <c:pt idx="2707">
                  <c:v>1.9883325897703662E-2</c:v>
                </c:pt>
                <c:pt idx="2708">
                  <c:v>1.9884980385204459E-2</c:v>
                </c:pt>
                <c:pt idx="2709">
                  <c:v>1.9886630140515987E-2</c:v>
                </c:pt>
                <c:pt idx="2710">
                  <c:v>1.9888275183941196E-2</c:v>
                </c:pt>
                <c:pt idx="2711">
                  <c:v>1.9889915535783027E-2</c:v>
                </c:pt>
                <c:pt idx="2712">
                  <c:v>1.9894808644837773E-2</c:v>
                </c:pt>
                <c:pt idx="2713">
                  <c:v>1.9896430433375602E-2</c:v>
                </c:pt>
                <c:pt idx="2714">
                  <c:v>1.9898047631844801E-2</c:v>
                </c:pt>
                <c:pt idx="2715">
                  <c:v>1.9899660260548315E-2</c:v>
                </c:pt>
                <c:pt idx="2716">
                  <c:v>1.9901268339789099E-2</c:v>
                </c:pt>
                <c:pt idx="2717">
                  <c:v>1.9906065483764571E-2</c:v>
                </c:pt>
                <c:pt idx="2718">
                  <c:v>1.990765556818392E-2</c:v>
                </c:pt>
                <c:pt idx="2719">
                  <c:v>1.9909241204655283E-2</c:v>
                </c:pt>
                <c:pt idx="2720">
                  <c:v>1.9910822413481608E-2</c:v>
                </c:pt>
                <c:pt idx="2721">
                  <c:v>1.9912399214965848E-2</c:v>
                </c:pt>
                <c:pt idx="2722">
                  <c:v>1.9917103378395511E-2</c:v>
                </c:pt>
                <c:pt idx="2723">
                  <c:v>1.9918662753540883E-2</c:v>
                </c:pt>
                <c:pt idx="2724">
                  <c:v>1.9920217822858903E-2</c:v>
                </c:pt>
                <c:pt idx="2725">
                  <c:v>1.992176860665253E-2</c:v>
                </c:pt>
                <c:pt idx="2726">
                  <c:v>1.9923315125224713E-2</c:v>
                </c:pt>
                <c:pt idx="2727">
                  <c:v>1.992792929264206E-2</c:v>
                </c:pt>
                <c:pt idx="2728">
                  <c:v>1.9929458953357938E-2</c:v>
                </c:pt>
                <c:pt idx="2729">
                  <c:v>1.9930984450367114E-2</c:v>
                </c:pt>
                <c:pt idx="2730">
                  <c:v>1.9932505803972538E-2</c:v>
                </c:pt>
                <c:pt idx="2731">
                  <c:v>1.9934023034477156E-2</c:v>
                </c:pt>
                <c:pt idx="2732">
                  <c:v>1.9941548051091374E-2</c:v>
                </c:pt>
                <c:pt idx="2733">
                  <c:v>1.9943040969353086E-2</c:v>
                </c:pt>
                <c:pt idx="2734">
                  <c:v>1.9944529906634634E-2</c:v>
                </c:pt>
                <c:pt idx="2735">
                  <c:v>1.9950454313731297E-2</c:v>
                </c:pt>
                <c:pt idx="2736">
                  <c:v>1.9951927649667255E-2</c:v>
                </c:pt>
                <c:pt idx="2737">
                  <c:v>1.9953397105433458E-2</c:v>
                </c:pt>
                <c:pt idx="2738">
                  <c:v>1.9954862701500209E-2</c:v>
                </c:pt>
                <c:pt idx="2739">
                  <c:v>1.9959236536206466E-2</c:v>
                </c:pt>
                <c:pt idx="2740">
                  <c:v>1.9960686898178155E-2</c:v>
                </c:pt>
                <c:pt idx="2741">
                  <c:v>1.9962133502801783E-2</c:v>
                </c:pt>
                <c:pt idx="2742">
                  <c:v>1.9963576370547624E-2</c:v>
                </c:pt>
                <c:pt idx="2743">
                  <c:v>1.9965015521885964E-2</c:v>
                </c:pt>
                <c:pt idx="2744">
                  <c:v>1.996931088215876E-2</c:v>
                </c:pt>
                <c:pt idx="2745">
                  <c:v>1.9970735372569885E-2</c:v>
                </c:pt>
                <c:pt idx="2746">
                  <c:v>1.9972156248924899E-2</c:v>
                </c:pt>
                <c:pt idx="2747">
                  <c:v>1.99735735316941E-2</c:v>
                </c:pt>
                <c:pt idx="2748">
                  <c:v>1.997498724134775E-2</c:v>
                </c:pt>
                <c:pt idx="2749">
                  <c:v>1.9979207136318247E-2</c:v>
                </c:pt>
                <c:pt idx="2750">
                  <c:v>1.9980606758212522E-2</c:v>
                </c:pt>
                <c:pt idx="2751">
                  <c:v>1.9982002909342655E-2</c:v>
                </c:pt>
                <c:pt idx="2752">
                  <c:v>1.9983395610178929E-2</c:v>
                </c:pt>
                <c:pt idx="2753">
                  <c:v>1.9984784881191611E-2</c:v>
                </c:pt>
                <c:pt idx="2754">
                  <c:v>1.9988932319990969E-2</c:v>
                </c:pt>
                <c:pt idx="2755">
                  <c:v>1.9990308076412121E-2</c:v>
                </c:pt>
                <c:pt idx="2756">
                  <c:v>1.9991680505361088E-2</c:v>
                </c:pt>
                <c:pt idx="2757">
                  <c:v>1.9993049627308156E-2</c:v>
                </c:pt>
                <c:pt idx="2758">
                  <c:v>1.9994415462723594E-2</c:v>
                </c:pt>
                <c:pt idx="2759">
                  <c:v>1.9998493454482975E-2</c:v>
                </c:pt>
                <c:pt idx="2760">
                  <c:v>1.9999846348474723E-2</c:v>
                </c:pt>
                <c:pt idx="2761">
                  <c:v>2.0001196058286246E-2</c:v>
                </c:pt>
                <c:pt idx="2762">
                  <c:v>2.0002542604387823E-2</c:v>
                </c:pt>
                <c:pt idx="2763">
                  <c:v>2.0003886007249738E-2</c:v>
                </c:pt>
                <c:pt idx="2764">
                  <c:v>2.0007897561100305E-2</c:v>
                </c:pt>
                <c:pt idx="2765">
                  <c:v>2.0009228595706374E-2</c:v>
                </c:pt>
                <c:pt idx="2766">
                  <c:v>2.0010556589424168E-2</c:v>
                </c:pt>
                <c:pt idx="2767">
                  <c:v>2.0011881562723981E-2</c:v>
                </c:pt>
                <c:pt idx="2768">
                  <c:v>2.0013203536076097E-2</c:v>
                </c:pt>
                <c:pt idx="2769">
                  <c:v>2.0017151661149004E-2</c:v>
                </c:pt>
                <c:pt idx="2770">
                  <c:v>2.001846183941311E-2</c:v>
                </c:pt>
                <c:pt idx="2771">
                  <c:v>2.00197691200809E-2</c:v>
                </c:pt>
                <c:pt idx="2772">
                  <c:v>2.002107352362267E-2</c:v>
                </c:pt>
                <c:pt idx="2773">
                  <c:v>2.0022375070508702E-2</c:v>
                </c:pt>
                <c:pt idx="2774">
                  <c:v>2.0026262775935125E-2</c:v>
                </c:pt>
                <c:pt idx="2775">
                  <c:v>2.0027553100900979E-2</c:v>
                </c:pt>
                <c:pt idx="2776">
                  <c:v>2.0028840671562489E-2</c:v>
                </c:pt>
                <c:pt idx="2777">
                  <c:v>2.0030125508389937E-2</c:v>
                </c:pt>
                <c:pt idx="2778">
                  <c:v>2.0031407631853602E-2</c:v>
                </c:pt>
                <c:pt idx="2779">
                  <c:v>2.0035237926764697E-2</c:v>
                </c:pt>
                <c:pt idx="2780">
                  <c:v>2.0036509401476027E-2</c:v>
                </c:pt>
                <c:pt idx="2781">
                  <c:v>2.0037778265174975E-2</c:v>
                </c:pt>
                <c:pt idx="2782">
                  <c:v>2.0039044538331819E-2</c:v>
                </c:pt>
                <c:pt idx="2783">
                  <c:v>2.0040308241416845E-2</c:v>
                </c:pt>
                <c:pt idx="2784">
                  <c:v>2.0044084134943772E-2</c:v>
                </c:pt>
                <c:pt idx="2785">
                  <c:v>2.0045337762444299E-2</c:v>
                </c:pt>
                <c:pt idx="2786">
                  <c:v>2.0046588922224402E-2</c:v>
                </c:pt>
                <c:pt idx="2787">
                  <c:v>2.0047837634754373E-2</c:v>
                </c:pt>
                <c:pt idx="2788">
                  <c:v>2.004908392050447E-2</c:v>
                </c:pt>
                <c:pt idx="2789">
                  <c:v>2.0052808421778392E-2</c:v>
                </c:pt>
                <c:pt idx="2790">
                  <c:v>2.005404520511184E-2</c:v>
                </c:pt>
                <c:pt idx="2791">
                  <c:v>2.0055279664016823E-2</c:v>
                </c:pt>
                <c:pt idx="2792">
                  <c:v>2.0056511818963625E-2</c:v>
                </c:pt>
                <c:pt idx="2793">
                  <c:v>2.0057741690422522E-2</c:v>
                </c:pt>
                <c:pt idx="2794">
                  <c:v>2.0061417808574601E-2</c:v>
                </c:pt>
                <c:pt idx="2795">
                  <c:v>2.0062638750784685E-2</c:v>
                </c:pt>
                <c:pt idx="2796">
                  <c:v>2.0063857511858275E-2</c:v>
                </c:pt>
                <c:pt idx="2797">
                  <c:v>2.0065074112265633E-2</c:v>
                </c:pt>
                <c:pt idx="2798">
                  <c:v>2.0071125420768894E-2</c:v>
                </c:pt>
                <c:pt idx="2799">
                  <c:v>2.0072329487054799E-2</c:v>
                </c:pt>
                <c:pt idx="2800">
                  <c:v>2.007353153596644E-2</c:v>
                </c:pt>
                <c:pt idx="2801">
                  <c:v>2.0074731587974095E-2</c:v>
                </c:pt>
                <c:pt idx="2802">
                  <c:v>2.0078319967275972E-2</c:v>
                </c:pt>
                <c:pt idx="2803">
                  <c:v>2.00795122363705E-2</c:v>
                </c:pt>
                <c:pt idx="2804">
                  <c:v>2.0080702610912445E-2</c:v>
                </c:pt>
                <c:pt idx="2805">
                  <c:v>2.0081891111372083E-2</c:v>
                </c:pt>
                <c:pt idx="2806">
                  <c:v>2.00830777582197E-2</c:v>
                </c:pt>
                <c:pt idx="2807">
                  <c:v>2.008662678179322E-2</c:v>
                </c:pt>
                <c:pt idx="2808">
                  <c:v>2.0087806218895547E-2</c:v>
                </c:pt>
                <c:pt idx="2809">
                  <c:v>2.0088983904737255E-2</c:v>
                </c:pt>
                <c:pt idx="2810">
                  <c:v>2.0090159859788612E-2</c:v>
                </c:pt>
                <c:pt idx="2811">
                  <c:v>2.0091334104519912E-2</c:v>
                </c:pt>
                <c:pt idx="2812">
                  <c:v>2.0094846781496232E-2</c:v>
                </c:pt>
                <c:pt idx="2813">
                  <c:v>2.0096014389650078E-2</c:v>
                </c:pt>
                <c:pt idx="2814">
                  <c:v>2.0097180389835271E-2</c:v>
                </c:pt>
                <c:pt idx="2815">
                  <c:v>2.0098344802522067E-2</c:v>
                </c:pt>
                <c:pt idx="2816">
                  <c:v>2.0099507648180772E-2</c:v>
                </c:pt>
                <c:pt idx="2817">
                  <c:v>2.0102986987691061E-2</c:v>
                </c:pt>
                <c:pt idx="2818">
                  <c:v>2.0105299087512535E-2</c:v>
                </c:pt>
                <c:pt idx="2819">
                  <c:v>2.0106452960878502E-2</c:v>
                </c:pt>
                <c:pt idx="2820">
                  <c:v>2.0107605409054478E-2</c:v>
                </c:pt>
                <c:pt idx="2821">
                  <c:v>2.0111054328637534E-2</c:v>
                </c:pt>
                <c:pt idx="2822">
                  <c:v>2.0112201199340922E-2</c:v>
                </c:pt>
                <c:pt idx="2823">
                  <c:v>2.0113346705044159E-2</c:v>
                </c:pt>
                <c:pt idx="2824">
                  <c:v>2.0114490857494442E-2</c:v>
                </c:pt>
                <c:pt idx="2825">
                  <c:v>2.0115633668438972E-2</c:v>
                </c:pt>
                <c:pt idx="2826">
                  <c:v>2.0119054169710014E-2</c:v>
                </c:pt>
                <c:pt idx="2827">
                  <c:v>2.0120191732103505E-2</c:v>
                </c:pt>
                <c:pt idx="2828">
                  <c:v>2.0121328011727231E-2</c:v>
                </c:pt>
                <c:pt idx="2829">
                  <c:v>2.0122463020328395E-2</c:v>
                </c:pt>
                <c:pt idx="2830">
                  <c:v>2.0123596769654188E-2</c:v>
                </c:pt>
                <c:pt idx="2831">
                  <c:v>2.0126990579451356E-2</c:v>
                </c:pt>
                <c:pt idx="2832">
                  <c:v>2.0128119409147667E-2</c:v>
                </c:pt>
                <c:pt idx="2833">
                  <c:v>2.0129247038304598E-2</c:v>
                </c:pt>
                <c:pt idx="2834">
                  <c:v>2.0130373478669354E-2</c:v>
                </c:pt>
                <c:pt idx="2835">
                  <c:v>2.0131498741989134E-2</c:v>
                </c:pt>
                <c:pt idx="2836">
                  <c:v>2.0134867587150565E-2</c:v>
                </c:pt>
                <c:pt idx="2837">
                  <c:v>2.0135988259762407E-2</c:v>
                </c:pt>
                <c:pt idx="2838">
                  <c:v>2.0137107814065257E-2</c:v>
                </c:pt>
                <c:pt idx="2839">
                  <c:v>2.0138226261806318E-2</c:v>
                </c:pt>
                <c:pt idx="2840">
                  <c:v>2.013934361473279E-2</c:v>
                </c:pt>
                <c:pt idx="2841">
                  <c:v>2.0142689222096631E-2</c:v>
                </c:pt>
                <c:pt idx="2842">
                  <c:v>2.0143802313236713E-2</c:v>
                </c:pt>
                <c:pt idx="2843">
                  <c:v>2.0144914368298201E-2</c:v>
                </c:pt>
                <c:pt idx="2844">
                  <c:v>2.0146025399028288E-2</c:v>
                </c:pt>
                <c:pt idx="2845">
                  <c:v>2.0147135417174156E-2</c:v>
                </c:pt>
                <c:pt idx="2846">
                  <c:v>2.0150459513578554E-2</c:v>
                </c:pt>
                <c:pt idx="2847">
                  <c:v>2.0151565598859594E-2</c:v>
                </c:pt>
                <c:pt idx="2848">
                  <c:v>2.0152670730292425E-2</c:v>
                </c:pt>
                <c:pt idx="2849">
                  <c:v>2.0153774919624244E-2</c:v>
                </c:pt>
                <c:pt idx="2850">
                  <c:v>2.0154878178602242E-2</c:v>
                </c:pt>
                <c:pt idx="2851">
                  <c:v>2.0158182490885322E-2</c:v>
                </c:pt>
                <c:pt idx="2852">
                  <c:v>2.0159282145920034E-2</c:v>
                </c:pt>
                <c:pt idx="2853">
                  <c:v>2.0160380929336925E-2</c:v>
                </c:pt>
                <c:pt idx="2854">
                  <c:v>2.0161478852883188E-2</c:v>
                </c:pt>
                <c:pt idx="2855">
                  <c:v>2.0162575928306024E-2</c:v>
                </c:pt>
                <c:pt idx="2856">
                  <c:v>2.0165862183305936E-2</c:v>
                </c:pt>
                <c:pt idx="2857">
                  <c:v>2.0166955983707036E-2</c:v>
                </c:pt>
                <c:pt idx="2858">
                  <c:v>2.0168048994720699E-2</c:v>
                </c:pt>
                <c:pt idx="2859">
                  <c:v>2.0169141228094122E-2</c:v>
                </c:pt>
                <c:pt idx="2860">
                  <c:v>2.0170232695574504E-2</c:v>
                </c:pt>
                <c:pt idx="2861">
                  <c:v>2.0173502620129392E-2</c:v>
                </c:pt>
                <c:pt idx="2862">
                  <c:v>2.0174591141509587E-2</c:v>
                </c:pt>
                <c:pt idx="2863">
                  <c:v>2.0175678955732738E-2</c:v>
                </c:pt>
                <c:pt idx="2864">
                  <c:v>2.0176766074546038E-2</c:v>
                </c:pt>
                <c:pt idx="2865">
                  <c:v>2.0177852509696684E-2</c:v>
                </c:pt>
                <c:pt idx="2866">
                  <c:v>2.0181107830644678E-2</c:v>
                </c:pt>
                <c:pt idx="2867">
                  <c:v>2.0182191648616694E-2</c:v>
                </c:pt>
                <c:pt idx="2868">
                  <c:v>2.0183274841662047E-2</c:v>
                </c:pt>
                <c:pt idx="2869">
                  <c:v>2.0184357421527934E-2</c:v>
                </c:pt>
                <c:pt idx="2870">
                  <c:v>2.0185439399961549E-2</c:v>
                </c:pt>
                <c:pt idx="2871">
                  <c:v>2.0188681844140799E-2</c:v>
                </c:pt>
                <c:pt idx="2872">
                  <c:v>2.0189761534317337E-2</c:v>
                </c:pt>
                <c:pt idx="2873">
                  <c:v>2.0190840681797606E-2</c:v>
                </c:pt>
                <c:pt idx="2874">
                  <c:v>2.0191919298328795E-2</c:v>
                </c:pt>
                <c:pt idx="2875">
                  <c:v>2.0192997395658108E-2</c:v>
                </c:pt>
                <c:pt idx="2876">
                  <c:v>2.019622868990675E-2</c:v>
                </c:pt>
                <c:pt idx="2877">
                  <c:v>2.0197304827900529E-2</c:v>
                </c:pt>
                <c:pt idx="2878">
                  <c:v>2.0198380505428423E-2</c:v>
                </c:pt>
                <c:pt idx="2879">
                  <c:v>2.0199455734237627E-2</c:v>
                </c:pt>
                <c:pt idx="2880">
                  <c:v>2.0200530526075341E-2</c:v>
                </c:pt>
                <c:pt idx="2881">
                  <c:v>2.0203752397231524E-2</c:v>
                </c:pt>
                <c:pt idx="2882">
                  <c:v>2.0204825558655253E-2</c:v>
                </c:pt>
                <c:pt idx="2883">
                  <c:v>2.0205898341843491E-2</c:v>
                </c:pt>
                <c:pt idx="2884">
                  <c:v>2.0206970758543424E-2</c:v>
                </c:pt>
                <c:pt idx="2885">
                  <c:v>2.0208042820502252E-2</c:v>
                </c:pt>
                <c:pt idx="2886">
                  <c:v>2.0211256995404107E-2</c:v>
                </c:pt>
                <c:pt idx="2887">
                  <c:v>2.0212327755870514E-2</c:v>
                </c:pt>
                <c:pt idx="2888">
                  <c:v>2.0213398220331798E-2</c:v>
                </c:pt>
                <c:pt idx="2889">
                  <c:v>2.0214468400535177E-2</c:v>
                </c:pt>
                <c:pt idx="2890">
                  <c:v>2.0215538308227837E-2</c:v>
                </c:pt>
                <c:pt idx="2891">
                  <c:v>2.0218746513713512E-2</c:v>
                </c:pt>
                <c:pt idx="2892">
                  <c:v>2.0219815448835294E-2</c:v>
                </c:pt>
                <c:pt idx="2893">
                  <c:v>2.0220884170182356E-2</c:v>
                </c:pt>
                <c:pt idx="2894">
                  <c:v>2.0221952689501884E-2</c:v>
                </c:pt>
                <c:pt idx="2895">
                  <c:v>2.022302101854109E-2</c:v>
                </c:pt>
                <c:pt idx="2896">
                  <c:v>2.0226224981448722E-2</c:v>
                </c:pt>
                <c:pt idx="2897">
                  <c:v>2.0227292666838599E-2</c:v>
                </c:pt>
                <c:pt idx="2898">
                  <c:v>2.0228360220684142E-2</c:v>
                </c:pt>
                <c:pt idx="2899">
                  <c:v>2.0229427654732547E-2</c:v>
                </c:pt>
                <c:pt idx="2900">
                  <c:v>2.0230494980731008E-2</c:v>
                </c:pt>
                <c:pt idx="2901">
                  <c:v>2.023369642789874E-2</c:v>
                </c:pt>
                <c:pt idx="2902">
                  <c:v>2.0234763439169426E-2</c:v>
                </c:pt>
                <c:pt idx="2903">
                  <c:v>2.023583040112616E-2</c:v>
                </c:pt>
                <c:pt idx="2904">
                  <c:v>2.0236897325516152E-2</c:v>
                </c:pt>
                <c:pt idx="2905">
                  <c:v>2.0237964224086583E-2</c:v>
                </c:pt>
                <c:pt idx="2906">
                  <c:v>2.0241164882352555E-2</c:v>
                </c:pt>
                <c:pt idx="2907">
                  <c:v>2.0242231795116764E-2</c:v>
                </c:pt>
                <c:pt idx="2908">
                  <c:v>2.0243298740797413E-2</c:v>
                </c:pt>
                <c:pt idx="2909">
                  <c:v>2.0244365731141696E-2</c:v>
                </c:pt>
                <c:pt idx="2910">
                  <c:v>2.0245432777896817E-2</c:v>
                </c:pt>
                <c:pt idx="2911">
                  <c:v>2.024863437409917E-2</c:v>
                </c:pt>
                <c:pt idx="2912">
                  <c:v>2.0249701763969612E-2</c:v>
                </c:pt>
                <c:pt idx="2913">
                  <c:v>2.0250769268986883E-2</c:v>
                </c:pt>
                <c:pt idx="2914">
                  <c:v>2.0251836900898178E-2</c:v>
                </c:pt>
                <c:pt idx="2915">
                  <c:v>2.0252904671450696E-2</c:v>
                </c:pt>
                <c:pt idx="2916">
                  <c:v>2.0256108932427571E-2</c:v>
                </c:pt>
                <c:pt idx="2917">
                  <c:v>2.0257177375016963E-2</c:v>
                </c:pt>
                <c:pt idx="2918">
                  <c:v>2.0258246014983574E-2</c:v>
                </c:pt>
                <c:pt idx="2919">
                  <c:v>2.0259314864074594E-2</c:v>
                </c:pt>
                <c:pt idx="2920">
                  <c:v>2.0260383934037222E-2</c:v>
                </c:pt>
                <c:pt idx="2921">
                  <c:v>2.0263592586626758E-2</c:v>
                </c:pt>
                <c:pt idx="2922">
                  <c:v>2.0264662657547821E-2</c:v>
                </c:pt>
                <c:pt idx="2923">
                  <c:v>2.0265733008076475E-2</c:v>
                </c:pt>
                <c:pt idx="2924">
                  <c:v>2.0266803649959936E-2</c:v>
                </c:pt>
                <c:pt idx="2925">
                  <c:v>2.026787459494539E-2</c:v>
                </c:pt>
                <c:pt idx="2926">
                  <c:v>2.0271089365985734E-2</c:v>
                </c:pt>
                <c:pt idx="2927">
                  <c:v>2.0272161640851171E-2</c:v>
                </c:pt>
                <c:pt idx="2928">
                  <c:v>2.0273234277554592E-2</c:v>
                </c:pt>
                <c:pt idx="2929">
                  <c:v>2.0274307287843199E-2</c:v>
                </c:pt>
                <c:pt idx="2930">
                  <c:v>2.0275380683464194E-2</c:v>
                </c:pt>
                <c:pt idx="2931">
                  <c:v>2.0278603299793481E-2</c:v>
                </c:pt>
                <c:pt idx="2932">
                  <c:v>2.027967835421601E-2</c:v>
                </c:pt>
                <c:pt idx="2933">
                  <c:v>2.0280753852706907E-2</c:v>
                </c:pt>
                <c:pt idx="2934">
                  <c:v>2.0281829807013384E-2</c:v>
                </c:pt>
                <c:pt idx="2935">
                  <c:v>2.0282906228882631E-2</c:v>
                </c:pt>
                <c:pt idx="2936">
                  <c:v>2.0286138417339009E-2</c:v>
                </c:pt>
                <c:pt idx="2937">
                  <c:v>2.0287216826931336E-2</c:v>
                </c:pt>
                <c:pt idx="2938">
                  <c:v>2.0288295762822428E-2</c:v>
                </c:pt>
                <c:pt idx="2939">
                  <c:v>2.0289375236759485E-2</c:v>
                </c:pt>
                <c:pt idx="2940">
                  <c:v>2.0290455260489698E-2</c:v>
                </c:pt>
                <c:pt idx="2941">
                  <c:v>2.0293698747911301E-2</c:v>
                </c:pt>
                <c:pt idx="2942">
                  <c:v>2.0294781088286144E-2</c:v>
                </c:pt>
                <c:pt idx="2943">
                  <c:v>2.029586403719014E-2</c:v>
                </c:pt>
                <c:pt idx="2944">
                  <c:v>2.0296947606370488E-2</c:v>
                </c:pt>
                <c:pt idx="2945">
                  <c:v>2.0298031807574387E-2</c:v>
                </c:pt>
                <c:pt idx="2946">
                  <c:v>2.0301288320799356E-2</c:v>
                </c:pt>
                <c:pt idx="2947">
                  <c:v>2.0302375167569432E-2</c:v>
                </c:pt>
                <c:pt idx="2948">
                  <c:v>2.030346270509905E-2</c:v>
                </c:pt>
                <c:pt idx="2949">
                  <c:v>2.0304550945135402E-2</c:v>
                </c:pt>
                <c:pt idx="2950">
                  <c:v>2.0305639899425691E-2</c:v>
                </c:pt>
                <c:pt idx="2951">
                  <c:v>2.0308911165292171E-2</c:v>
                </c:pt>
                <c:pt idx="2952">
                  <c:v>2.0310003089202767E-2</c:v>
                </c:pt>
                <c:pt idx="2953">
                  <c:v>2.0311095756898719E-2</c:v>
                </c:pt>
                <c:pt idx="2954">
                  <c:v>2.0312189150922651E-2</c:v>
                </c:pt>
                <c:pt idx="2955">
                  <c:v>2.0313283253817194E-2</c:v>
                </c:pt>
                <c:pt idx="2956">
                  <c:v>2.0316569641150788E-2</c:v>
                </c:pt>
                <c:pt idx="2957">
                  <c:v>2.0317666404954065E-2</c:v>
                </c:pt>
                <c:pt idx="2958">
                  <c:v>2.0318763790341091E-2</c:v>
                </c:pt>
                <c:pt idx="2959">
                  <c:v>2.0319861779854492E-2</c:v>
                </c:pt>
                <c:pt idx="2960">
                  <c:v>2.0320960356036904E-2</c:v>
                </c:pt>
                <c:pt idx="2961">
                  <c:v>2.032425943002444E-2</c:v>
                </c:pt>
                <c:pt idx="2962">
                  <c:v>2.0325360178309149E-2</c:v>
                </c:pt>
                <c:pt idx="2963">
                  <c:v>2.0326461425976002E-2</c:v>
                </c:pt>
                <c:pt idx="2964">
                  <c:v>2.0327563155567625E-2</c:v>
                </c:pt>
                <c:pt idx="2965">
                  <c:v>2.032866534962665E-2</c:v>
                </c:pt>
                <c:pt idx="2966">
                  <c:v>2.0331974544034393E-2</c:v>
                </c:pt>
                <c:pt idx="2967">
                  <c:v>2.0333078421389292E-2</c:v>
                </c:pt>
                <c:pt idx="2968">
                  <c:v>2.0334182675924729E-2</c:v>
                </c:pt>
                <c:pt idx="2969">
                  <c:v>2.0335287290183329E-2</c:v>
                </c:pt>
                <c:pt idx="2970">
                  <c:v>2.0336392246707725E-2</c:v>
                </c:pt>
                <c:pt idx="2971">
                  <c:v>2.0339708995301936E-2</c:v>
                </c:pt>
                <c:pt idx="2972">
                  <c:v>2.0340815146315774E-2</c:v>
                </c:pt>
                <c:pt idx="2973">
                  <c:v>2.0341921552308545E-2</c:v>
                </c:pt>
                <c:pt idx="2974">
                  <c:v>2.0343028195822878E-2</c:v>
                </c:pt>
                <c:pt idx="2975">
                  <c:v>2.0344135059401389E-2</c:v>
                </c:pt>
                <c:pt idx="2976">
                  <c:v>2.0347456795948331E-2</c:v>
                </c:pt>
                <c:pt idx="2977">
                  <c:v>2.0348564365209869E-2</c:v>
                </c:pt>
                <c:pt idx="2978">
                  <c:v>2.034967206724873E-2</c:v>
                </c:pt>
                <c:pt idx="2979">
                  <c:v>2.0350779884607543E-2</c:v>
                </c:pt>
                <c:pt idx="2980">
                  <c:v>2.0351887799828931E-2</c:v>
                </c:pt>
                <c:pt idx="2981">
                  <c:v>2.0355211958094858E-2</c:v>
                </c:pt>
                <c:pt idx="2982">
                  <c:v>2.0356320090192847E-2</c:v>
                </c:pt>
                <c:pt idx="2983">
                  <c:v>2.0357428232866553E-2</c:v>
                </c:pt>
                <c:pt idx="2984">
                  <c:v>2.03585363686586E-2</c:v>
                </c:pt>
                <c:pt idx="2985">
                  <c:v>2.035964448011162E-2</c:v>
                </c:pt>
                <c:pt idx="2986">
                  <c:v>2.03629684938628E-2</c:v>
                </c:pt>
                <c:pt idx="2987">
                  <c:v>2.0366291660097326E-2</c:v>
                </c:pt>
                <c:pt idx="2988">
                  <c:v>2.0367399112370729E-2</c:v>
                </c:pt>
                <c:pt idx="2989">
                  <c:v>2.0370720415373422E-2</c:v>
                </c:pt>
                <c:pt idx="2990">
                  <c:v>2.0372933564620218E-2</c:v>
                </c:pt>
                <c:pt idx="2991">
                  <c:v>2.0374039771045002E-2</c:v>
                </c:pt>
                <c:pt idx="2992">
                  <c:v>2.0375145708727543E-2</c:v>
                </c:pt>
                <c:pt idx="2993">
                  <c:v>2.0378461734748006E-2</c:v>
                </c:pt>
                <c:pt idx="2994">
                  <c:v>2.0379566422887865E-2</c:v>
                </c:pt>
                <c:pt idx="2995">
                  <c:v>2.0380670754998616E-2</c:v>
                </c:pt>
                <c:pt idx="2996">
                  <c:v>2.0381774713622895E-2</c:v>
                </c:pt>
                <c:pt idx="2997">
                  <c:v>2.0382878281303331E-2</c:v>
                </c:pt>
                <c:pt idx="2998">
                  <c:v>2.0386186464107822E-2</c:v>
                </c:pt>
                <c:pt idx="2999">
                  <c:v>2.0387288293439144E-2</c:v>
                </c:pt>
                <c:pt idx="3000">
                  <c:v>2.0388389644539755E-2</c:v>
                </c:pt>
                <c:pt idx="3001">
                  <c:v>2.0389490499952284E-2</c:v>
                </c:pt>
                <c:pt idx="3002">
                  <c:v>2.0390590842219364E-2</c:v>
                </c:pt>
                <c:pt idx="3003">
                  <c:v>2.039388861557415E-2</c:v>
                </c:pt>
                <c:pt idx="3004">
                  <c:v>2.0394986730685689E-2</c:v>
                </c:pt>
                <c:pt idx="3005">
                  <c:v>2.0396084245364918E-2</c:v>
                </c:pt>
                <c:pt idx="3006">
                  <c:v>2.0397181142154455E-2</c:v>
                </c:pt>
                <c:pt idx="3007">
                  <c:v>2.039827740359693E-2</c:v>
                </c:pt>
                <c:pt idx="3008">
                  <c:v>2.0401562201268271E-2</c:v>
                </c:pt>
                <c:pt idx="3009">
                  <c:v>2.040265574674878E-2</c:v>
                </c:pt>
                <c:pt idx="3010">
                  <c:v>2.0403748569595367E-2</c:v>
                </c:pt>
                <c:pt idx="3011">
                  <c:v>2.0404840652350664E-2</c:v>
                </c:pt>
                <c:pt idx="3012">
                  <c:v>2.0405931977557291E-2</c:v>
                </c:pt>
                <c:pt idx="3013">
                  <c:v>2.0409201233311448E-2</c:v>
                </c:pt>
                <c:pt idx="3014">
                  <c:v>2.0410289353749687E-2</c:v>
                </c:pt>
                <c:pt idx="3015">
                  <c:v>2.0411376629352392E-2</c:v>
                </c:pt>
                <c:pt idx="3016">
                  <c:v>2.0412463042662199E-2</c:v>
                </c:pt>
                <c:pt idx="3017">
                  <c:v>2.041354857622173E-2</c:v>
                </c:pt>
                <c:pt idx="3018">
                  <c:v>2.0416799723824965E-2</c:v>
                </c:pt>
                <c:pt idx="3019">
                  <c:v>2.0417881563809682E-2</c:v>
                </c:pt>
                <c:pt idx="3020">
                  <c:v>2.0418962436757258E-2</c:v>
                </c:pt>
                <c:pt idx="3021">
                  <c:v>2.0420042325210334E-2</c:v>
                </c:pt>
                <c:pt idx="3022">
                  <c:v>2.0421121211711524E-2</c:v>
                </c:pt>
                <c:pt idx="3023">
                  <c:v>2.0424351684930092E-2</c:v>
                </c:pt>
                <c:pt idx="3024">
                  <c:v>2.0425426389050042E-2</c:v>
                </c:pt>
                <c:pt idx="3025">
                  <c:v>2.0426500003931248E-2</c:v>
                </c:pt>
                <c:pt idx="3026">
                  <c:v>2.0427572512116344E-2</c:v>
                </c:pt>
                <c:pt idx="3027">
                  <c:v>2.0428643896147947E-2</c:v>
                </c:pt>
                <c:pt idx="3028">
                  <c:v>2.0431851128748117E-2</c:v>
                </c:pt>
                <c:pt idx="3029">
                  <c:v>2.0432917841592048E-2</c:v>
                </c:pt>
                <c:pt idx="3030">
                  <c:v>2.0433983342995631E-2</c:v>
                </c:pt>
                <c:pt idx="3031">
                  <c:v>2.0435047615501498E-2</c:v>
                </c:pt>
                <c:pt idx="3032">
                  <c:v>2.043611064165227E-2</c:v>
                </c:pt>
                <c:pt idx="3033">
                  <c:v>2.0439292067400298E-2</c:v>
                </c:pt>
                <c:pt idx="3034">
                  <c:v>2.0440349933556971E-2</c:v>
                </c:pt>
                <c:pt idx="3035">
                  <c:v>2.044140646607169E-2</c:v>
                </c:pt>
                <c:pt idx="3036">
                  <c:v>2.0442461647487083E-2</c:v>
                </c:pt>
                <c:pt idx="3037">
                  <c:v>2.0443515460345774E-2</c:v>
                </c:pt>
                <c:pt idx="3038">
                  <c:v>2.0446668513007922E-2</c:v>
                </c:pt>
                <c:pt idx="3039">
                  <c:v>2.0447716677066092E-2</c:v>
                </c:pt>
                <c:pt idx="3040">
                  <c:v>2.0448763385280698E-2</c:v>
                </c:pt>
                <c:pt idx="3041">
                  <c:v>2.0449808620194368E-2</c:v>
                </c:pt>
                <c:pt idx="3042">
                  <c:v>2.0450852364349729E-2</c:v>
                </c:pt>
                <c:pt idx="3043">
                  <c:v>2.0453974477692264E-2</c:v>
                </c:pt>
                <c:pt idx="3044">
                  <c:v>2.0455012084240675E-2</c:v>
                </c:pt>
                <c:pt idx="3045">
                  <c:v>2.0456048112743923E-2</c:v>
                </c:pt>
                <c:pt idx="3046">
                  <c:v>2.0457082545744628E-2</c:v>
                </c:pt>
                <c:pt idx="3047">
                  <c:v>2.0458115365785422E-2</c:v>
                </c:pt>
                <c:pt idx="3048">
                  <c:v>2.0461203973574593E-2</c:v>
                </c:pt>
                <c:pt idx="3049">
                  <c:v>2.0462230167202007E-2</c:v>
                </c:pt>
                <c:pt idx="3050">
                  <c:v>2.0463254660582648E-2</c:v>
                </c:pt>
                <c:pt idx="3051">
                  <c:v>2.0464277436259143E-2</c:v>
                </c:pt>
                <c:pt idx="3052">
                  <c:v>2.046529847677412E-2</c:v>
                </c:pt>
                <c:pt idx="3053">
                  <c:v>2.0468351012776193E-2</c:v>
                </c:pt>
                <c:pt idx="3054">
                  <c:v>2.046936493807136E-2</c:v>
                </c:pt>
                <c:pt idx="3055">
                  <c:v>2.0470377040918152E-2</c:v>
                </c:pt>
                <c:pt idx="3056">
                  <c:v>2.0471387303859185E-2</c:v>
                </c:pt>
                <c:pt idx="3057">
                  <c:v>2.0472395709437093E-2</c:v>
                </c:pt>
                <c:pt idx="3058">
                  <c:v>2.0475409607418334E-2</c:v>
                </c:pt>
                <c:pt idx="3059">
                  <c:v>2.0476410408970011E-2</c:v>
                </c:pt>
                <c:pt idx="3060">
                  <c:v>2.0477409265871702E-2</c:v>
                </c:pt>
                <c:pt idx="3061">
                  <c:v>2.047840616066603E-2</c:v>
                </c:pt>
                <c:pt idx="3062">
                  <c:v>2.0479401075895628E-2</c:v>
                </c:pt>
                <c:pt idx="3063">
                  <c:v>2.0482373769622298E-2</c:v>
                </c:pt>
                <c:pt idx="3064">
                  <c:v>2.0483360592019231E-2</c:v>
                </c:pt>
                <c:pt idx="3065">
                  <c:v>2.0484345347564579E-2</c:v>
                </c:pt>
                <c:pt idx="3066">
                  <c:v>2.0485328018800958E-2</c:v>
                </c:pt>
                <c:pt idx="3067">
                  <c:v>2.0490209499340301E-2</c:v>
                </c:pt>
                <c:pt idx="3068">
                  <c:v>2.0491179298118056E-2</c:v>
                </c:pt>
                <c:pt idx="3069">
                  <c:v>2.0492146890385234E-2</c:v>
                </c:pt>
                <c:pt idx="3070">
                  <c:v>2.0493112258684471E-2</c:v>
                </c:pt>
                <c:pt idx="3071">
                  <c:v>2.0495994845200767E-2</c:v>
                </c:pt>
                <c:pt idx="3072">
                  <c:v>2.0496951143054491E-2</c:v>
                </c:pt>
                <c:pt idx="3073">
                  <c:v>2.0498856787540147E-2</c:v>
                </c:pt>
                <c:pt idx="3074">
                  <c:v>2.0499806099257327E-2</c:v>
                </c:pt>
                <c:pt idx="3075">
                  <c:v>2.0502639903499167E-2</c:v>
                </c:pt>
                <c:pt idx="3076">
                  <c:v>2.0503579821342544E-2</c:v>
                </c:pt>
                <c:pt idx="3077">
                  <c:v>2.0504517413001803E-2</c:v>
                </c:pt>
                <c:pt idx="3078">
                  <c:v>2.0505452687837645E-2</c:v>
                </c:pt>
                <c:pt idx="3079">
                  <c:v>2.0506385655210773E-2</c:v>
                </c:pt>
                <c:pt idx="3080">
                  <c:v>2.0509170806160919E-2</c:v>
                </c:pt>
                <c:pt idx="3081">
                  <c:v>2.0510094637290224E-2</c:v>
                </c:pt>
                <c:pt idx="3082">
                  <c:v>2.0511016207760326E-2</c:v>
                </c:pt>
                <c:pt idx="3083">
                  <c:v>2.0511935526931931E-2</c:v>
                </c:pt>
                <c:pt idx="3084">
                  <c:v>2.051285260416574E-2</c:v>
                </c:pt>
                <c:pt idx="3085">
                  <c:v>2.0515590477847404E-2</c:v>
                </c:pt>
                <c:pt idx="3086">
                  <c:v>2.0516498680937047E-2</c:v>
                </c:pt>
                <c:pt idx="3087">
                  <c:v>2.0517404688892404E-2</c:v>
                </c:pt>
                <c:pt idx="3088">
                  <c:v>2.0518308511074182E-2</c:v>
                </c:pt>
                <c:pt idx="3089">
                  <c:v>2.0519210156843076E-2</c:v>
                </c:pt>
                <c:pt idx="3090">
                  <c:v>2.0521902129279491E-2</c:v>
                </c:pt>
                <c:pt idx="3091">
                  <c:v>2.0522795163003878E-2</c:v>
                </c:pt>
                <c:pt idx="3092">
                  <c:v>2.0523686067118897E-2</c:v>
                </c:pt>
                <c:pt idx="3093">
                  <c:v>2.0524574850985251E-2</c:v>
                </c:pt>
                <c:pt idx="3094">
                  <c:v>2.0525461523963635E-2</c:v>
                </c:pt>
                <c:pt idx="3095">
                  <c:v>2.0528108971178023E-2</c:v>
                </c:pt>
                <c:pt idx="3096">
                  <c:v>2.0528987294211567E-2</c:v>
                </c:pt>
                <c:pt idx="3097">
                  <c:v>2.0529863553160662E-2</c:v>
                </c:pt>
                <c:pt idx="3098">
                  <c:v>2.0530737757385994E-2</c:v>
                </c:pt>
                <c:pt idx="3099">
                  <c:v>2.0531609916248285E-2</c:v>
                </c:pt>
                <c:pt idx="3100">
                  <c:v>2.0534214214263866E-2</c:v>
                </c:pt>
                <c:pt idx="3101">
                  <c:v>2.0535078285280974E-2</c:v>
                </c:pt>
                <c:pt idx="3102">
                  <c:v>2.0535940357738543E-2</c:v>
                </c:pt>
                <c:pt idx="3103">
                  <c:v>2.0536800440997274E-2</c:v>
                </c:pt>
                <c:pt idx="3104">
                  <c:v>2.0537658544417869E-2</c:v>
                </c:pt>
                <c:pt idx="3105">
                  <c:v>2.0540221069257871E-2</c:v>
                </c:pt>
                <c:pt idx="3106">
                  <c:v>2.0541071346932952E-2</c:v>
                </c:pt>
                <c:pt idx="3107">
                  <c:v>2.0541919691573405E-2</c:v>
                </c:pt>
                <c:pt idx="3108">
                  <c:v>2.0542766112539936E-2</c:v>
                </c:pt>
                <c:pt idx="3109">
                  <c:v>2.0543610619193253E-2</c:v>
                </c:pt>
                <c:pt idx="3110">
                  <c:v>2.0546132746880899E-2</c:v>
                </c:pt>
                <c:pt idx="3111">
                  <c:v>2.054696968988836E-2</c:v>
                </c:pt>
                <c:pt idx="3112">
                  <c:v>2.0547804765386105E-2</c:v>
                </c:pt>
                <c:pt idx="3113">
                  <c:v>2.054863798273485E-2</c:v>
                </c:pt>
                <c:pt idx="3114">
                  <c:v>2.0549469351295289E-2</c:v>
                </c:pt>
                <c:pt idx="3115">
                  <c:v>2.0551952457853802E-2</c:v>
                </c:pt>
                <c:pt idx="3116">
                  <c:v>2.0552776524868047E-2</c:v>
                </c:pt>
                <c:pt idx="3117">
                  <c:v>2.0553598789897494E-2</c:v>
                </c:pt>
                <c:pt idx="3118">
                  <c:v>2.0554419262302857E-2</c:v>
                </c:pt>
                <c:pt idx="3119">
                  <c:v>2.055523795144483E-2</c:v>
                </c:pt>
                <c:pt idx="3120">
                  <c:v>2.0557683412897435E-2</c:v>
                </c:pt>
                <c:pt idx="3121">
                  <c:v>2.0558495062592871E-2</c:v>
                </c:pt>
                <c:pt idx="3122">
                  <c:v>2.0559304975828436E-2</c:v>
                </c:pt>
                <c:pt idx="3123">
                  <c:v>2.0560113161964821E-2</c:v>
                </c:pt>
                <c:pt idx="3124">
                  <c:v>2.0560919630362735E-2</c:v>
                </c:pt>
                <c:pt idx="3125">
                  <c:v>2.0563328822732652E-2</c:v>
                </c:pt>
                <c:pt idx="3126">
                  <c:v>2.0564128513783701E-2</c:v>
                </c:pt>
                <c:pt idx="3127">
                  <c:v>2.0564926533899776E-2</c:v>
                </c:pt>
                <c:pt idx="3128">
                  <c:v>2.0565722892441598E-2</c:v>
                </c:pt>
                <c:pt idx="3129">
                  <c:v>2.056651759876986E-2</c:v>
                </c:pt>
                <c:pt idx="3130">
                  <c:v>2.0568891898080324E-2</c:v>
                </c:pt>
                <c:pt idx="3131">
                  <c:v>2.056968008916138E-2</c:v>
                </c:pt>
                <c:pt idx="3132">
                  <c:v>2.0570466674832383E-2</c:v>
                </c:pt>
                <c:pt idx="3133">
                  <c:v>2.0571251664454043E-2</c:v>
                </c:pt>
                <c:pt idx="3134">
                  <c:v>2.057203506738706E-2</c:v>
                </c:pt>
                <c:pt idx="3135">
                  <c:v>2.0574375849661288E-2</c:v>
                </c:pt>
                <c:pt idx="3136">
                  <c:v>2.0575152999446761E-2</c:v>
                </c:pt>
                <c:pt idx="3137">
                  <c:v>2.0575928609347104E-2</c:v>
                </c:pt>
                <c:pt idx="3138">
                  <c:v>2.0576702688723015E-2</c:v>
                </c:pt>
                <c:pt idx="3139">
                  <c:v>2.0577475246935199E-2</c:v>
                </c:pt>
                <c:pt idx="3140">
                  <c:v>2.057978388819641E-2</c:v>
                </c:pt>
                <c:pt idx="3141">
                  <c:v>2.058055045536071E-2</c:v>
                </c:pt>
                <c:pt idx="3142">
                  <c:v>2.0581315548164794E-2</c:v>
                </c:pt>
                <c:pt idx="3143">
                  <c:v>2.0582079175969364E-2</c:v>
                </c:pt>
                <c:pt idx="3144">
                  <c:v>2.0582841348135122E-2</c:v>
                </c:pt>
                <c:pt idx="3145">
                  <c:v>2.0585119224406551E-2</c:v>
                </c:pt>
                <c:pt idx="3146">
                  <c:v>2.0585875667624084E-2</c:v>
                </c:pt>
                <c:pt idx="3147">
                  <c:v>2.0586630702006312E-2</c:v>
                </c:pt>
                <c:pt idx="3148">
                  <c:v>2.0587384336913952E-2</c:v>
                </c:pt>
                <c:pt idx="3149">
                  <c:v>2.0588136581707685E-2</c:v>
                </c:pt>
                <c:pt idx="3150">
                  <c:v>2.0590385069012552E-2</c:v>
                </c:pt>
                <c:pt idx="3151">
                  <c:v>2.0591131846957728E-2</c:v>
                </c:pt>
                <c:pt idx="3152">
                  <c:v>2.0591877281592522E-2</c:v>
                </c:pt>
                <c:pt idx="3153">
                  <c:v>2.0592621382277628E-2</c:v>
                </c:pt>
                <c:pt idx="3154">
                  <c:v>2.0593364158373758E-2</c:v>
                </c:pt>
                <c:pt idx="3155">
                  <c:v>2.0595584632735277E-2</c:v>
                </c:pt>
                <c:pt idx="3156">
                  <c:v>2.0596322204082508E-2</c:v>
                </c:pt>
                <c:pt idx="3157">
                  <c:v>2.0597058497644264E-2</c:v>
                </c:pt>
                <c:pt idx="3158">
                  <c:v>2.0597793522781255E-2</c:v>
                </c:pt>
                <c:pt idx="3159">
                  <c:v>2.0598527288854182E-2</c:v>
                </c:pt>
                <c:pt idx="3160">
                  <c:v>2.0600721126295587E-2</c:v>
                </c:pt>
                <c:pt idx="3161">
                  <c:v>2.0601449949719273E-2</c:v>
                </c:pt>
                <c:pt idx="3162">
                  <c:v>2.0602177560882406E-2</c:v>
                </c:pt>
                <c:pt idx="3163">
                  <c:v>2.0602903969145686E-2</c:v>
                </c:pt>
                <c:pt idx="3164">
                  <c:v>2.0603629183869817E-2</c:v>
                </c:pt>
                <c:pt idx="3165">
                  <c:v>2.0605797760414334E-2</c:v>
                </c:pt>
                <c:pt idx="3166">
                  <c:v>2.0606518294588889E-2</c:v>
                </c:pt>
                <c:pt idx="3167">
                  <c:v>2.0607237682027806E-2</c:v>
                </c:pt>
                <c:pt idx="3168">
                  <c:v>2.0607955932091779E-2</c:v>
                </c:pt>
                <c:pt idx="3169">
                  <c:v>2.0608673054141526E-2</c:v>
                </c:pt>
                <c:pt idx="3170">
                  <c:v>2.061081774581237E-2</c:v>
                </c:pt>
                <c:pt idx="3171">
                  <c:v>2.0611530449412201E-2</c:v>
                </c:pt>
                <c:pt idx="3172">
                  <c:v>2.0612242071801307E-2</c:v>
                </c:pt>
                <c:pt idx="3173">
                  <c:v>2.0612952622340388E-2</c:v>
                </c:pt>
                <c:pt idx="3174">
                  <c:v>2.0613662110390153E-2</c:v>
                </c:pt>
                <c:pt idx="3175">
                  <c:v>2.0615784293210562E-2</c:v>
                </c:pt>
                <c:pt idx="3176">
                  <c:v>2.061648962491007E-2</c:v>
                </c:pt>
                <c:pt idx="3177">
                  <c:v>2.0617193940923772E-2</c:v>
                </c:pt>
                <c:pt idx="3178">
                  <c:v>2.0617897250612371E-2</c:v>
                </c:pt>
                <c:pt idx="3179">
                  <c:v>2.0618599563336566E-2</c:v>
                </c:pt>
                <c:pt idx="3180">
                  <c:v>2.0620700613329754E-2</c:v>
                </c:pt>
                <c:pt idx="3181">
                  <c:v>2.0621399031803354E-2</c:v>
                </c:pt>
                <c:pt idx="3182">
                  <c:v>2.0622096500116059E-2</c:v>
                </c:pt>
                <c:pt idx="3183">
                  <c:v>2.0622793027628584E-2</c:v>
                </c:pt>
                <c:pt idx="3184">
                  <c:v>2.0623488623701614E-2</c:v>
                </c:pt>
                <c:pt idx="3185">
                  <c:v>2.0625569916890803E-2</c:v>
                </c:pt>
                <c:pt idx="3186">
                  <c:v>2.0626261880812905E-2</c:v>
                </c:pt>
                <c:pt idx="3187">
                  <c:v>2.0626952960099032E-2</c:v>
                </c:pt>
                <c:pt idx="3188">
                  <c:v>2.062764316410988E-2</c:v>
                </c:pt>
                <c:pt idx="3189">
                  <c:v>2.0628332502206154E-2</c:v>
                </c:pt>
                <c:pt idx="3190">
                  <c:v>2.0630395414614571E-2</c:v>
                </c:pt>
                <c:pt idx="3191">
                  <c:v>2.063108138265958E-2</c:v>
                </c:pt>
                <c:pt idx="3192">
                  <c:v>2.0631766531593529E-2</c:v>
                </c:pt>
                <c:pt idx="3193">
                  <c:v>2.0632450870777117E-2</c:v>
                </c:pt>
                <c:pt idx="3194">
                  <c:v>2.0633134409571045E-2</c:v>
                </c:pt>
                <c:pt idx="3195">
                  <c:v>2.0635180317221915E-2</c:v>
                </c:pt>
                <c:pt idx="3196">
                  <c:v>2.0635860748064241E-2</c:v>
                </c:pt>
                <c:pt idx="3197">
                  <c:v>2.0636540425320416E-2</c:v>
                </c:pt>
                <c:pt idx="3198">
                  <c:v>2.0637219358351153E-2</c:v>
                </c:pt>
                <c:pt idx="3199">
                  <c:v>2.063789755651714E-2</c:v>
                </c:pt>
                <c:pt idx="3200">
                  <c:v>2.063992783543369E-2</c:v>
                </c:pt>
                <c:pt idx="3201">
                  <c:v>2.0640603187747734E-2</c:v>
                </c:pt>
                <c:pt idx="3202">
                  <c:v>2.064127785200055E-2</c:v>
                </c:pt>
                <c:pt idx="3203">
                  <c:v>2.0641951837552835E-2</c:v>
                </c:pt>
                <c:pt idx="3204">
                  <c:v>2.06426251537653E-2</c:v>
                </c:pt>
                <c:pt idx="3205">
                  <c:v>2.0644641179970745E-2</c:v>
                </c:pt>
                <c:pt idx="3206">
                  <c:v>2.0645311907772679E-2</c:v>
                </c:pt>
                <c:pt idx="3207">
                  <c:v>2.0645981985088852E-2</c:v>
                </c:pt>
                <c:pt idx="3208">
                  <c:v>2.0646651393330512E-2</c:v>
                </c:pt>
                <c:pt idx="3209">
                  <c:v>2.0647320113908917E-2</c:v>
                </c:pt>
                <c:pt idx="3210">
                  <c:v>2.0649321963777122E-2</c:v>
                </c:pt>
                <c:pt idx="3211">
                  <c:v>2.064998774781503E-2</c:v>
                </c:pt>
                <c:pt idx="3212">
                  <c:v>2.0650652751245953E-2</c:v>
                </c:pt>
                <c:pt idx="3213">
                  <c:v>2.0651316955481138E-2</c:v>
                </c:pt>
                <c:pt idx="3214">
                  <c:v>2.0651980341931837E-2</c:v>
                </c:pt>
                <c:pt idx="3215">
                  <c:v>2.0653965408689572E-2</c:v>
                </c:pt>
                <c:pt idx="3216">
                  <c:v>2.0654625338114872E-2</c:v>
                </c:pt>
                <c:pt idx="3217">
                  <c:v>2.0655284356811958E-2</c:v>
                </c:pt>
                <c:pt idx="3218">
                  <c:v>2.065594244619208E-2</c:v>
                </c:pt>
                <c:pt idx="3219">
                  <c:v>2.0656599587666497E-2</c:v>
                </c:pt>
                <c:pt idx="3220">
                  <c:v>2.0658565138768018E-2</c:v>
                </c:pt>
                <c:pt idx="3221">
                  <c:v>2.0659218302732131E-2</c:v>
                </c:pt>
                <c:pt idx="3222">
                  <c:v>2.0659870425846799E-2</c:v>
                </c:pt>
                <c:pt idx="3223">
                  <c:v>2.0660521489523284E-2</c:v>
                </c:pt>
                <c:pt idx="3224">
                  <c:v>2.0661171475172831E-2</c:v>
                </c:pt>
                <c:pt idx="3225">
                  <c:v>2.0663114778072394E-2</c:v>
                </c:pt>
                <c:pt idx="3226">
                  <c:v>2.0663760265726736E-2</c:v>
                </c:pt>
                <c:pt idx="3227">
                  <c:v>2.0664404582410409E-2</c:v>
                </c:pt>
                <c:pt idx="3228">
                  <c:v>2.0665047709534669E-2</c:v>
                </c:pt>
                <c:pt idx="3229">
                  <c:v>2.0665689628510769E-2</c:v>
                </c:pt>
                <c:pt idx="3230">
                  <c:v>2.0667607950662633E-2</c:v>
                </c:pt>
                <c:pt idx="3231">
                  <c:v>2.0668244851158618E-2</c:v>
                </c:pt>
                <c:pt idx="3232">
                  <c:v>2.0668880450562716E-2</c:v>
                </c:pt>
                <c:pt idx="3233">
                  <c:v>2.0669514730286165E-2</c:v>
                </c:pt>
                <c:pt idx="3234">
                  <c:v>2.067014767174024E-2</c:v>
                </c:pt>
                <c:pt idx="3235">
                  <c:v>2.0672038280598656E-2</c:v>
                </c:pt>
                <c:pt idx="3236">
                  <c:v>2.0672665683087711E-2</c:v>
                </c:pt>
                <c:pt idx="3237">
                  <c:v>2.0673291654363646E-2</c:v>
                </c:pt>
                <c:pt idx="3238">
                  <c:v>2.0673916175837713E-2</c:v>
                </c:pt>
                <c:pt idx="3239">
                  <c:v>2.0674539228921169E-2</c:v>
                </c:pt>
                <c:pt idx="3240">
                  <c:v>2.0676399391940395E-2</c:v>
                </c:pt>
                <c:pt idx="3241">
                  <c:v>2.0677016385573933E-2</c:v>
                </c:pt>
                <c:pt idx="3242">
                  <c:v>2.0678857924113492E-2</c:v>
                </c:pt>
                <c:pt idx="3243">
                  <c:v>2.0680684908747783E-2</c:v>
                </c:pt>
                <c:pt idx="3244">
                  <c:v>2.0681290582677227E-2</c:v>
                </c:pt>
                <c:pt idx="3245">
                  <c:v>2.0682496837580649E-2</c:v>
                </c:pt>
                <c:pt idx="3246">
                  <c:v>2.0683097381377136E-2</c:v>
                </c:pt>
                <c:pt idx="3247">
                  <c:v>2.0684888455080742E-2</c:v>
                </c:pt>
                <c:pt idx="3248">
                  <c:v>2.0685481898457508E-2</c:v>
                </c:pt>
                <c:pt idx="3249">
                  <c:v>2.0686073520257475E-2</c:v>
                </c:pt>
                <c:pt idx="3250">
                  <c:v>2.0686663301891898E-2</c:v>
                </c:pt>
                <c:pt idx="3251">
                  <c:v>2.0687251224772028E-2</c:v>
                </c:pt>
                <c:pt idx="3252">
                  <c:v>2.0689003654999216E-2</c:v>
                </c:pt>
                <c:pt idx="3253">
                  <c:v>2.0689583956974716E-2</c:v>
                </c:pt>
                <c:pt idx="3254">
                  <c:v>2.0690162307252201E-2</c:v>
                </c:pt>
                <c:pt idx="3255">
                  <c:v>2.0690738687242909E-2</c:v>
                </c:pt>
                <c:pt idx="3256">
                  <c:v>2.0691313078358101E-2</c:v>
                </c:pt>
                <c:pt idx="3257">
                  <c:v>2.0693024132563121E-2</c:v>
                </c:pt>
                <c:pt idx="3258">
                  <c:v>2.0693590382288778E-2</c:v>
                </c:pt>
                <c:pt idx="3259">
                  <c:v>2.0694154550195191E-2</c:v>
                </c:pt>
                <c:pt idx="3260">
                  <c:v>2.0694716617693606E-2</c:v>
                </c:pt>
                <c:pt idx="3261">
                  <c:v>2.069527656619528E-2</c:v>
                </c:pt>
                <c:pt idx="3262">
                  <c:v>2.0696943511832384E-2</c:v>
                </c:pt>
                <c:pt idx="3263">
                  <c:v>2.0697494798459625E-2</c:v>
                </c:pt>
                <c:pt idx="3264">
                  <c:v>2.0698043873146384E-2</c:v>
                </c:pt>
                <c:pt idx="3265">
                  <c:v>2.0698590717303931E-2</c:v>
                </c:pt>
                <c:pt idx="3266">
                  <c:v>2.0699135312343499E-2</c:v>
                </c:pt>
                <c:pt idx="3267">
                  <c:v>2.0700755416866945E-2</c:v>
                </c:pt>
                <c:pt idx="3268">
                  <c:v>2.0701290829547178E-2</c:v>
                </c:pt>
                <c:pt idx="3269">
                  <c:v>2.070182390016571E-2</c:v>
                </c:pt>
                <c:pt idx="3270">
                  <c:v>2.0702354610133797E-2</c:v>
                </c:pt>
                <c:pt idx="3271">
                  <c:v>2.0702882940862685E-2</c:v>
                </c:pt>
                <c:pt idx="3272">
                  <c:v>2.0704453471726725E-2</c:v>
                </c:pt>
                <c:pt idx="3273">
                  <c:v>2.0704972099611373E-2</c:v>
                </c:pt>
                <c:pt idx="3274">
                  <c:v>2.0705488255313091E-2</c:v>
                </c:pt>
                <c:pt idx="3275">
                  <c:v>2.070600192024314E-2</c:v>
                </c:pt>
                <c:pt idx="3276">
                  <c:v>2.0706513075812769E-2</c:v>
                </c:pt>
                <c:pt idx="3277">
                  <c:v>2.070803130047166E-2</c:v>
                </c:pt>
                <c:pt idx="3278">
                  <c:v>2.0708532232712139E-2</c:v>
                </c:pt>
                <c:pt idx="3279">
                  <c:v>2.0709030562648466E-2</c:v>
                </c:pt>
                <c:pt idx="3280">
                  <c:v>2.0709526271691894E-2</c:v>
                </c:pt>
                <c:pt idx="3281">
                  <c:v>2.0710019341253678E-2</c:v>
                </c:pt>
                <c:pt idx="3282">
                  <c:v>2.0711482527161675E-2</c:v>
                </c:pt>
                <c:pt idx="3283">
                  <c:v>2.0711964852909406E-2</c:v>
                </c:pt>
                <c:pt idx="3284">
                  <c:v>2.071244444623176E-2</c:v>
                </c:pt>
                <c:pt idx="3285">
                  <c:v>2.0712921288539982E-2</c:v>
                </c:pt>
                <c:pt idx="3286">
                  <c:v>2.0713395361245338E-2</c:v>
                </c:pt>
                <c:pt idx="3287">
                  <c:v>2.07148007758567E-2</c:v>
                </c:pt>
                <c:pt idx="3288">
                  <c:v>2.0715263584263101E-2</c:v>
                </c:pt>
                <c:pt idx="3289">
                  <c:v>2.0715723530122899E-2</c:v>
                </c:pt>
                <c:pt idx="3290">
                  <c:v>2.0716180594847339E-2</c:v>
                </c:pt>
                <c:pt idx="3291">
                  <c:v>2.0716634759847686E-2</c:v>
                </c:pt>
                <c:pt idx="3292">
                  <c:v>2.0717979670616667E-2</c:v>
                </c:pt>
                <c:pt idx="3293">
                  <c:v>2.0718422050833157E-2</c:v>
                </c:pt>
                <c:pt idx="3294">
                  <c:v>2.0718861438381812E-2</c:v>
                </c:pt>
                <c:pt idx="3295">
                  <c:v>2.0719297814673892E-2</c:v>
                </c:pt>
                <c:pt idx="3296">
                  <c:v>2.0719731161120646E-2</c:v>
                </c:pt>
                <c:pt idx="3297">
                  <c:v>2.0721012835501502E-2</c:v>
                </c:pt>
                <c:pt idx="3298">
                  <c:v>2.0721433876679494E-2</c:v>
                </c:pt>
                <c:pt idx="3299">
                  <c:v>2.0721851795068431E-2</c:v>
                </c:pt>
                <c:pt idx="3300">
                  <c:v>2.0722266572079567E-2</c:v>
                </c:pt>
                <c:pt idx="3301">
                  <c:v>2.0722678189124152E-2</c:v>
                </c:pt>
                <c:pt idx="3302">
                  <c:v>2.072389389457114E-2</c:v>
                </c:pt>
                <c:pt idx="3303">
                  <c:v>2.0724292685862056E-2</c:v>
                </c:pt>
                <c:pt idx="3304">
                  <c:v>2.0724688224242692E-2</c:v>
                </c:pt>
                <c:pt idx="3305">
                  <c:v>2.0725080491124297E-2</c:v>
                </c:pt>
                <c:pt idx="3306">
                  <c:v>2.0725469467918121E-2</c:v>
                </c:pt>
                <c:pt idx="3307">
                  <c:v>2.0726616471885499E-2</c:v>
                </c:pt>
                <c:pt idx="3308">
                  <c:v>2.0726992102440757E-2</c:v>
                </c:pt>
                <c:pt idx="3309">
                  <c:v>2.072736434996451E-2</c:v>
                </c:pt>
                <c:pt idx="3310">
                  <c:v>2.0727733195868007E-2</c:v>
                </c:pt>
                <c:pt idx="3311">
                  <c:v>2.0728098621562507E-2</c:v>
                </c:pt>
                <c:pt idx="3312">
                  <c:v>2.0729174191504513E-2</c:v>
                </c:pt>
                <c:pt idx="3313">
                  <c:v>2.0729525750475538E-2</c:v>
                </c:pt>
                <c:pt idx="3314">
                  <c:v>2.0729873796293825E-2</c:v>
                </c:pt>
                <c:pt idx="3315">
                  <c:v>2.073021831037063E-2</c:v>
                </c:pt>
                <c:pt idx="3316">
                  <c:v>2.0731887254026322E-2</c:v>
                </c:pt>
                <c:pt idx="3317">
                  <c:v>2.0732210187290562E-2</c:v>
                </c:pt>
                <c:pt idx="3318">
                  <c:v>2.0732529458692098E-2</c:v>
                </c:pt>
                <c:pt idx="3319">
                  <c:v>2.0732845049642179E-2</c:v>
                </c:pt>
                <c:pt idx="3320">
                  <c:v>2.073376955389624E-2</c:v>
                </c:pt>
                <c:pt idx="3321">
                  <c:v>2.0734070237153041E-2</c:v>
                </c:pt>
                <c:pt idx="3322">
                  <c:v>2.0734367147014654E-2</c:v>
                </c:pt>
                <c:pt idx="3323">
                  <c:v>2.0734660264892336E-2</c:v>
                </c:pt>
                <c:pt idx="3324">
                  <c:v>2.0734949572197337E-2</c:v>
                </c:pt>
                <c:pt idx="3325">
                  <c:v>2.0735794444788801E-2</c:v>
                </c:pt>
                <c:pt idx="3326">
                  <c:v>2.0736068323915623E-2</c:v>
                </c:pt>
                <c:pt idx="3327">
                  <c:v>2.0736338299526029E-2</c:v>
                </c:pt>
                <c:pt idx="3328">
                  <c:v>2.0736866465842614E-2</c:v>
                </c:pt>
                <c:pt idx="3329">
                  <c:v>2.0737628974225743E-2</c:v>
                </c:pt>
                <c:pt idx="3330">
                  <c:v>2.0737875144598596E-2</c:v>
                </c:pt>
                <c:pt idx="3331">
                  <c:v>2.0738117318681411E-2</c:v>
                </c:pt>
                <c:pt idx="3332">
                  <c:v>2.0738355515233044E-2</c:v>
                </c:pt>
                <c:pt idx="3333">
                  <c:v>2.0738589753012338E-2</c:v>
                </c:pt>
                <c:pt idx="3334">
                  <c:v>2.0739268901304748E-2</c:v>
                </c:pt>
                <c:pt idx="3335">
                  <c:v>2.0739487491583244E-2</c:v>
                </c:pt>
                <c:pt idx="3336">
                  <c:v>2.0739702216883669E-2</c:v>
                </c:pt>
                <c:pt idx="3337">
                  <c:v>2.0739913095964874E-2</c:v>
                </c:pt>
                <c:pt idx="3338">
                  <c:v>2.0740120147585719E-2</c:v>
                </c:pt>
                <c:pt idx="3339">
                  <c:v>2.07407185252746E-2</c:v>
                </c:pt>
                <c:pt idx="3340">
                  <c:v>2.0740910454642512E-2</c:v>
                </c:pt>
                <c:pt idx="3341">
                  <c:v>2.0741098650344333E-2</c:v>
                </c:pt>
                <c:pt idx="3342">
                  <c:v>2.0741283131138908E-2</c:v>
                </c:pt>
                <c:pt idx="3343">
                  <c:v>2.0741463915785088E-2</c:v>
                </c:pt>
                <c:pt idx="3344">
                  <c:v>2.0741984280421802E-2</c:v>
                </c:pt>
                <c:pt idx="3345">
                  <c:v>2.0742150468062936E-2</c:v>
                </c:pt>
                <c:pt idx="3346">
                  <c:v>2.0742313053349944E-2</c:v>
                </c:pt>
                <c:pt idx="3347">
                  <c:v>2.0742472055041677E-2</c:v>
                </c:pt>
                <c:pt idx="3348">
                  <c:v>2.0742627491896988E-2</c:v>
                </c:pt>
                <c:pt idx="3349">
                  <c:v>2.0743072601032902E-2</c:v>
                </c:pt>
                <c:pt idx="3350">
                  <c:v>2.0743213966131043E-2</c:v>
                </c:pt>
                <c:pt idx="3351">
                  <c:v>2.0743351860187033E-2</c:v>
                </c:pt>
                <c:pt idx="3352">
                  <c:v>2.0743486301959709E-2</c:v>
                </c:pt>
                <c:pt idx="3353">
                  <c:v>2.0743617310207935E-2</c:v>
                </c:pt>
                <c:pt idx="3354">
                  <c:v>2.074398992139442E-2</c:v>
                </c:pt>
                <c:pt idx="3355">
                  <c:v>2.0744107383133363E-2</c:v>
                </c:pt>
                <c:pt idx="3356">
                  <c:v>2.0744221505142112E-2</c:v>
                </c:pt>
                <c:pt idx="3357">
                  <c:v>2.074433230617953E-2</c:v>
                </c:pt>
                <c:pt idx="3358">
                  <c:v>2.0744439805004469E-2</c:v>
                </c:pt>
                <c:pt idx="3359">
                  <c:v>2.0744742675792894E-2</c:v>
                </c:pt>
                <c:pt idx="3360">
                  <c:v>2.0744837153356423E-2</c:v>
                </c:pt>
                <c:pt idx="3361">
                  <c:v>2.0744928422501734E-2</c:v>
                </c:pt>
                <c:pt idx="3362">
                  <c:v>2.0745016501987679E-2</c:v>
                </c:pt>
                <c:pt idx="3363">
                  <c:v>2.0745101410573109E-2</c:v>
                </c:pt>
                <c:pt idx="3364">
                  <c:v>2.0745337298514851E-2</c:v>
                </c:pt>
                <c:pt idx="3365">
                  <c:v>2.0745409711086758E-2</c:v>
                </c:pt>
                <c:pt idx="3366">
                  <c:v>2.0745479046552412E-2</c:v>
                </c:pt>
                <c:pt idx="3367">
                  <c:v>2.0745545323670674E-2</c:v>
                </c:pt>
                <c:pt idx="3368">
                  <c:v>2.0745608561200394E-2</c:v>
                </c:pt>
                <c:pt idx="3369">
                  <c:v>2.0745780223846818E-2</c:v>
                </c:pt>
                <c:pt idx="3370">
                  <c:v>2.0745831490610891E-2</c:v>
                </c:pt>
                <c:pt idx="3371">
                  <c:v>2.0745879811580683E-2</c:v>
                </c:pt>
                <c:pt idx="3372">
                  <c:v>2.0745925205515051E-2</c:v>
                </c:pt>
                <c:pt idx="3373">
                  <c:v>2.0745967691172849E-2</c:v>
                </c:pt>
                <c:pt idx="3374">
                  <c:v>2.0746077886075322E-2</c:v>
                </c:pt>
                <c:pt idx="3375">
                  <c:v>2.0746108926215354E-2</c:v>
                </c:pt>
                <c:pt idx="3376">
                  <c:v>2.0746137151873074E-2</c:v>
                </c:pt>
                <c:pt idx="3377">
                  <c:v>2.074616258180734E-2</c:v>
                </c:pt>
                <c:pt idx="3378">
                  <c:v>2.0746185234777004E-2</c:v>
                </c:pt>
                <c:pt idx="3379">
                  <c:v>2.0746236719486902E-2</c:v>
                </c:pt>
                <c:pt idx="3380">
                  <c:v>2.0746248452186682E-2</c:v>
                </c:pt>
                <c:pt idx="3381">
                  <c:v>2.0746257501716117E-2</c:v>
                </c:pt>
                <c:pt idx="3382">
                  <c:v>2.0746263886834069E-2</c:v>
                </c:pt>
                <c:pt idx="3383">
                  <c:v>2.074626762629939E-2</c:v>
                </c:pt>
                <c:pt idx="3384">
                  <c:v>2.074626315836808E-2</c:v>
                </c:pt>
                <c:pt idx="3385">
                  <c:v>2.0746256502811394E-2</c:v>
                </c:pt>
                <c:pt idx="3386">
                  <c:v>2.0746247295396338E-2</c:v>
                </c:pt>
                <c:pt idx="3387">
                  <c:v>2.0746235554881767E-2</c:v>
                </c:pt>
                <c:pt idx="3388">
                  <c:v>2.0746221300026534E-2</c:v>
                </c:pt>
                <c:pt idx="3389">
                  <c:v>2.0746163637005387E-2</c:v>
                </c:pt>
                <c:pt idx="3390">
                  <c:v>2.0746139512376031E-2</c:v>
                </c:pt>
                <c:pt idx="3391">
                  <c:v>2.0746112967200275E-2</c:v>
                </c:pt>
                <c:pt idx="3392">
                  <c:v>2.074608402023697E-2</c:v>
                </c:pt>
                <c:pt idx="3393">
                  <c:v>2.0746052690244973E-2</c:v>
                </c:pt>
                <c:pt idx="3394">
                  <c:v>2.0745944589685351E-2</c:v>
                </c:pt>
                <c:pt idx="3395">
                  <c:v>2.0745903915167112E-2</c:v>
                </c:pt>
                <c:pt idx="3396">
                  <c:v>2.0745860951414442E-2</c:v>
                </c:pt>
                <c:pt idx="3397">
                  <c:v>2.0745815717186197E-2</c:v>
                </c:pt>
                <c:pt idx="3398">
                  <c:v>2.0745768231241229E-2</c:v>
                </c:pt>
                <c:pt idx="3399">
                  <c:v>2.074561245069451E-2</c:v>
                </c:pt>
                <c:pt idx="3400">
                  <c:v>2.0745556145471172E-2</c:v>
                </c:pt>
                <c:pt idx="3401">
                  <c:v>2.0745497682325382E-2</c:v>
                </c:pt>
                <c:pt idx="3402">
                  <c:v>2.0745437080015982E-2</c:v>
                </c:pt>
                <c:pt idx="3403">
                  <c:v>2.0745374357301834E-2</c:v>
                </c:pt>
                <c:pt idx="3404">
                  <c:v>2.0745173654319386E-2</c:v>
                </c:pt>
                <c:pt idx="3405">
                  <c:v>2.0745102637574748E-2</c:v>
                </c:pt>
                <c:pt idx="3406">
                  <c:v>2.074502959421962E-2</c:v>
                </c:pt>
                <c:pt idx="3407">
                  <c:v>2.074495454301286E-2</c:v>
                </c:pt>
                <c:pt idx="3408">
                  <c:v>2.0744877502713314E-2</c:v>
                </c:pt>
                <c:pt idx="3409">
                  <c:v>2.074463463484651E-2</c:v>
                </c:pt>
                <c:pt idx="3410">
                  <c:v>2.0744549825764361E-2</c:v>
                </c:pt>
                <c:pt idx="3411">
                  <c:v>2.0744463121383692E-2</c:v>
                </c:pt>
                <c:pt idx="3412">
                  <c:v>2.0744374540463354E-2</c:v>
                </c:pt>
                <c:pt idx="3413">
                  <c:v>2.0744284101762205E-2</c:v>
                </c:pt>
                <c:pt idx="3414">
                  <c:v>2.074400182656241E-2</c:v>
                </c:pt>
                <c:pt idx="3415">
                  <c:v>2.0743904144326534E-2</c:v>
                </c:pt>
                <c:pt idx="3416">
                  <c:v>2.0743804698104117E-2</c:v>
                </c:pt>
                <c:pt idx="3417">
                  <c:v>2.0743703506653999E-2</c:v>
                </c:pt>
                <c:pt idx="3418">
                  <c:v>2.0743600588735037E-2</c:v>
                </c:pt>
                <c:pt idx="3419">
                  <c:v>2.074328166375362E-2</c:v>
                </c:pt>
                <c:pt idx="3420">
                  <c:v>2.0743172027547815E-2</c:v>
                </c:pt>
                <c:pt idx="3421">
                  <c:v>2.0743060758667428E-2</c:v>
                </c:pt>
                <c:pt idx="3422">
                  <c:v>2.0742947875871318E-2</c:v>
                </c:pt>
                <c:pt idx="3423">
                  <c:v>2.0742833397918332E-2</c:v>
                </c:pt>
                <c:pt idx="3424">
                  <c:v>2.0742480580706664E-2</c:v>
                </c:pt>
                <c:pt idx="3425">
                  <c:v>2.0742359909714715E-2</c:v>
                </c:pt>
                <c:pt idx="3426">
                  <c:v>2.0742237737360159E-2</c:v>
                </c:pt>
                <c:pt idx="3427">
                  <c:v>2.0742114082401845E-2</c:v>
                </c:pt>
                <c:pt idx="3428">
                  <c:v>2.0741988963598627E-2</c:v>
                </c:pt>
                <c:pt idx="3429">
                  <c:v>2.0741605011708082E-2</c:v>
                </c:pt>
                <c:pt idx="3430">
                  <c:v>2.0741474225113778E-2</c:v>
                </c:pt>
                <c:pt idx="3431">
                  <c:v>2.0741342068468841E-2</c:v>
                </c:pt>
                <c:pt idx="3432">
                  <c:v>2.0741208560532107E-2</c:v>
                </c:pt>
                <c:pt idx="3433">
                  <c:v>2.0741073720062446E-2</c:v>
                </c:pt>
                <c:pt idx="3434">
                  <c:v>2.0740661391044388E-2</c:v>
                </c:pt>
                <c:pt idx="3435">
                  <c:v>2.0740521408031523E-2</c:v>
                </c:pt>
                <c:pt idx="3436">
                  <c:v>2.0740380186279987E-2</c:v>
                </c:pt>
                <c:pt idx="3437">
                  <c:v>2.074023774454864E-2</c:v>
                </c:pt>
                <c:pt idx="3438">
                  <c:v>2.0740094101596326E-2</c:v>
                </c:pt>
                <c:pt idx="3439">
                  <c:v>2.073965615300213E-2</c:v>
                </c:pt>
                <c:pt idx="3440">
                  <c:v>2.0739507892754489E-2</c:v>
                </c:pt>
                <c:pt idx="3441">
                  <c:v>2.0739358525080152E-2</c:v>
                </c:pt>
                <c:pt idx="3442">
                  <c:v>2.0739208068737965E-2</c:v>
                </c:pt>
                <c:pt idx="3443">
                  <c:v>2.073905654248679E-2</c:v>
                </c:pt>
                <c:pt idx="3444">
                  <c:v>2.0738595731867825E-2</c:v>
                </c:pt>
                <c:pt idx="3445">
                  <c:v>2.07384401135692E-2</c:v>
                </c:pt>
                <c:pt idx="3446">
                  <c:v>2.0738283519155847E-2</c:v>
                </c:pt>
                <c:pt idx="3447">
                  <c:v>2.0738125967386618E-2</c:v>
                </c:pt>
                <c:pt idx="3448">
                  <c:v>2.0737967477020371E-2</c:v>
                </c:pt>
                <c:pt idx="3449">
                  <c:v>2.0737486561928E-2</c:v>
                </c:pt>
                <c:pt idx="3450">
                  <c:v>2.0737324504762188E-2</c:v>
                </c:pt>
                <c:pt idx="3451">
                  <c:v>2.0737161602793611E-2</c:v>
                </c:pt>
                <c:pt idx="3452">
                  <c:v>2.0736997874781126E-2</c:v>
                </c:pt>
                <c:pt idx="3453">
                  <c:v>2.0736833339483594E-2</c:v>
                </c:pt>
                <c:pt idx="3454">
                  <c:v>2.0736335077469192E-2</c:v>
                </c:pt>
                <c:pt idx="3455">
                  <c:v>2.0736167500619976E-2</c:v>
                </c:pt>
                <c:pt idx="3456">
                  <c:v>2.0735999210279969E-2</c:v>
                </c:pt>
                <c:pt idx="3457">
                  <c:v>2.0735830225208023E-2</c:v>
                </c:pt>
                <c:pt idx="3458">
                  <c:v>2.0735660564162994E-2</c:v>
                </c:pt>
                <c:pt idx="3459">
                  <c:v>2.0735147712777936E-2</c:v>
                </c:pt>
                <c:pt idx="3460">
                  <c:v>2.0734975533693929E-2</c:v>
                </c:pt>
                <c:pt idx="3461">
                  <c:v>2.0734802762020062E-2</c:v>
                </c:pt>
                <c:pt idx="3462">
                  <c:v>2.0734629406104137E-2</c:v>
                </c:pt>
                <c:pt idx="3463">
                  <c:v>2.0734455474293971E-2</c:v>
                </c:pt>
                <c:pt idx="3464">
                  <c:v>2.0733930306976119E-2</c:v>
                </c:pt>
                <c:pt idx="3465">
                  <c:v>2.0733754155067084E-2</c:v>
                </c:pt>
                <c:pt idx="3466">
                  <c:v>2.0733577469002853E-2</c:v>
                </c:pt>
                <c:pt idx="3467">
                  <c:v>2.0733400257131235E-2</c:v>
                </c:pt>
                <c:pt idx="3468">
                  <c:v>2.0733222527800049E-2</c:v>
                </c:pt>
                <c:pt idx="3469">
                  <c:v>2.0732686318527128E-2</c:v>
                </c:pt>
                <c:pt idx="3470">
                  <c:v>2.0732506602835741E-2</c:v>
                </c:pt>
                <c:pt idx="3471">
                  <c:v>2.0732326411423828E-2</c:v>
                </c:pt>
                <c:pt idx="3472">
                  <c:v>2.0732145752639201E-2</c:v>
                </c:pt>
                <c:pt idx="3473">
                  <c:v>2.0731964634829667E-2</c:v>
                </c:pt>
                <c:pt idx="3474">
                  <c:v>2.0731418610729725E-2</c:v>
                </c:pt>
                <c:pt idx="3475">
                  <c:v>2.073123574029866E-2</c:v>
                </c:pt>
                <c:pt idx="3476">
                  <c:v>2.0731052452581739E-2</c:v>
                </c:pt>
                <c:pt idx="3477">
                  <c:v>2.0730868755926776E-2</c:v>
                </c:pt>
                <c:pt idx="3478">
                  <c:v>2.0730684658681574E-2</c:v>
                </c:pt>
                <c:pt idx="3479">
                  <c:v>2.0730130046882636E-2</c:v>
                </c:pt>
                <c:pt idx="3480">
                  <c:v>2.0729944430754585E-2</c:v>
                </c:pt>
                <c:pt idx="3481">
                  <c:v>2.0729758455775339E-2</c:v>
                </c:pt>
                <c:pt idx="3482">
                  <c:v>2.0729572130292719E-2</c:v>
                </c:pt>
                <c:pt idx="3483">
                  <c:v>2.0729385462654529E-2</c:v>
                </c:pt>
                <c:pt idx="3484">
                  <c:v>2.0728823490284636E-2</c:v>
                </c:pt>
                <c:pt idx="3485">
                  <c:v>2.0728635537502267E-2</c:v>
                </c:pt>
                <c:pt idx="3486">
                  <c:v>2.072844728430338E-2</c:v>
                </c:pt>
                <c:pt idx="3487">
                  <c:v>2.072825873903578E-2</c:v>
                </c:pt>
                <c:pt idx="3488">
                  <c:v>2.0728069910047279E-2</c:v>
                </c:pt>
                <c:pt idx="3489">
                  <c:v>2.072750180423447E-2</c:v>
                </c:pt>
                <c:pt idx="3490">
                  <c:v>2.0727311923840464E-2</c:v>
                </c:pt>
                <c:pt idx="3491">
                  <c:v>2.0727121801464611E-2</c:v>
                </c:pt>
                <c:pt idx="3492">
                  <c:v>2.0726931445454708E-2</c:v>
                </c:pt>
                <c:pt idx="3493">
                  <c:v>2.0726740864158578E-2</c:v>
                </c:pt>
                <c:pt idx="3494">
                  <c:v>2.0726167852030887E-2</c:v>
                </c:pt>
                <c:pt idx="3495">
                  <c:v>2.0725976453067924E-2</c:v>
                </c:pt>
                <c:pt idx="3496">
                  <c:v>2.0725784870557779E-2</c:v>
                </c:pt>
                <c:pt idx="3497">
                  <c:v>2.0724824496972643E-2</c:v>
                </c:pt>
                <c:pt idx="3498">
                  <c:v>2.07246319884834E-2</c:v>
                </c:pt>
                <c:pt idx="3499">
                  <c:v>2.0724439354881642E-2</c:v>
                </c:pt>
                <c:pt idx="3500">
                  <c:v>2.072405479988448E-2</c:v>
                </c:pt>
                <c:pt idx="3501">
                  <c:v>2.0723477241324853E-2</c:v>
                </c:pt>
                <c:pt idx="3502">
                  <c:v>2.0723284561306229E-2</c:v>
                </c:pt>
                <c:pt idx="3503">
                  <c:v>2.0723091814837523E-2</c:v>
                </c:pt>
                <c:pt idx="3504">
                  <c:v>2.0722899010198297E-2</c:v>
                </c:pt>
                <c:pt idx="3505">
                  <c:v>2.0722706155668132E-2</c:v>
                </c:pt>
                <c:pt idx="3506">
                  <c:v>2.0722127375527685E-2</c:v>
                </c:pt>
                <c:pt idx="3507">
                  <c:v>2.0721934404229467E-2</c:v>
                </c:pt>
                <c:pt idx="3508">
                  <c:v>2.072174142443816E-2</c:v>
                </c:pt>
                <c:pt idx="3509">
                  <c:v>2.072154844443334E-2</c:v>
                </c:pt>
                <c:pt idx="3510">
                  <c:v>2.0721355472494582E-2</c:v>
                </c:pt>
                <c:pt idx="3511">
                  <c:v>2.0720776687870389E-2</c:v>
                </c:pt>
                <c:pt idx="3512">
                  <c:v>2.0720583830991585E-2</c:v>
                </c:pt>
                <c:pt idx="3513">
                  <c:v>2.0720391023576704E-2</c:v>
                </c:pt>
                <c:pt idx="3514">
                  <c:v>2.0720198273905314E-2</c:v>
                </c:pt>
                <c:pt idx="3515">
                  <c:v>2.0720005590256989E-2</c:v>
                </c:pt>
                <c:pt idx="3516">
                  <c:v>2.0719428018246111E-2</c:v>
                </c:pt>
                <c:pt idx="3517">
                  <c:v>2.0719235681485756E-2</c:v>
                </c:pt>
                <c:pt idx="3518">
                  <c:v>2.0719043452146327E-2</c:v>
                </c:pt>
                <c:pt idx="3519">
                  <c:v>2.0718851338507385E-2</c:v>
                </c:pt>
                <c:pt idx="3520">
                  <c:v>2.0718659348848513E-2</c:v>
                </c:pt>
                <c:pt idx="3521">
                  <c:v>2.0718084206548013E-2</c:v>
                </c:pt>
                <c:pt idx="3522">
                  <c:v>2.0717892795605125E-2</c:v>
                </c:pt>
                <c:pt idx="3523">
                  <c:v>2.0717701550040164E-2</c:v>
                </c:pt>
                <c:pt idx="3524">
                  <c:v>2.0717510478132698E-2</c:v>
                </c:pt>
                <c:pt idx="3525">
                  <c:v>2.0717319588162305E-2</c:v>
                </c:pt>
                <c:pt idx="3526">
                  <c:v>2.0716748092669251E-2</c:v>
                </c:pt>
                <c:pt idx="3527">
                  <c:v>2.0716558013242854E-2</c:v>
                </c:pt>
                <c:pt idx="3528">
                  <c:v>2.0716368157151385E-2</c:v>
                </c:pt>
                <c:pt idx="3529">
                  <c:v>2.0716178532674417E-2</c:v>
                </c:pt>
                <c:pt idx="3530">
                  <c:v>2.0715989148091519E-2</c:v>
                </c:pt>
                <c:pt idx="3531">
                  <c:v>2.0715422516502983E-2</c:v>
                </c:pt>
                <c:pt idx="3532">
                  <c:v>2.0715234174292101E-2</c:v>
                </c:pt>
                <c:pt idx="3533">
                  <c:v>2.0715046113373142E-2</c:v>
                </c:pt>
                <c:pt idx="3534">
                  <c:v>2.0714858342025692E-2</c:v>
                </c:pt>
                <c:pt idx="3535">
                  <c:v>2.0714670868529312E-2</c:v>
                </c:pt>
                <c:pt idx="3536">
                  <c:v>2.0714110317942364E-2</c:v>
                </c:pt>
                <c:pt idx="3537">
                  <c:v>2.0713924118646008E-2</c:v>
                </c:pt>
                <c:pt idx="3538">
                  <c:v>2.0713738258598589E-2</c:v>
                </c:pt>
                <c:pt idx="3539">
                  <c:v>2.0713552746079684E-2</c:v>
                </c:pt>
                <c:pt idx="3540">
                  <c:v>2.0713367589368849E-2</c:v>
                </c:pt>
                <c:pt idx="3541">
                  <c:v>2.0712814336880544E-2</c:v>
                </c:pt>
                <c:pt idx="3542">
                  <c:v>2.0712630686197744E-2</c:v>
                </c:pt>
                <c:pt idx="3543">
                  <c:v>2.0712447432720892E-2</c:v>
                </c:pt>
                <c:pt idx="3544">
                  <c:v>2.0712264584729544E-2</c:v>
                </c:pt>
                <c:pt idx="3545">
                  <c:v>2.0712082150503273E-2</c:v>
                </c:pt>
                <c:pt idx="3546">
                  <c:v>2.071153741321069E-2</c:v>
                </c:pt>
                <c:pt idx="3547">
                  <c:v>2.0711356716840469E-2</c:v>
                </c:pt>
                <c:pt idx="3548">
                  <c:v>2.071117647563319E-2</c:v>
                </c:pt>
                <c:pt idx="3549">
                  <c:v>2.0710996697868429E-2</c:v>
                </c:pt>
                <c:pt idx="3550">
                  <c:v>2.0710817391825752E-2</c:v>
                </c:pt>
                <c:pt idx="3551">
                  <c:v>2.0710282386825946E-2</c:v>
                </c:pt>
                <c:pt idx="3552">
                  <c:v>2.0710105050467328E-2</c:v>
                </c:pt>
                <c:pt idx="3553">
                  <c:v>2.0709928227228655E-2</c:v>
                </c:pt>
                <c:pt idx="3554">
                  <c:v>2.07097519253895E-2</c:v>
                </c:pt>
                <c:pt idx="3555">
                  <c:v>2.0709576153229433E-2</c:v>
                </c:pt>
                <c:pt idx="3556">
                  <c:v>2.0709052097619477E-2</c:v>
                </c:pt>
                <c:pt idx="3557">
                  <c:v>2.070887852697148E-2</c:v>
                </c:pt>
                <c:pt idx="3558">
                  <c:v>2.0708705527400437E-2</c:v>
                </c:pt>
                <c:pt idx="3559">
                  <c:v>2.0708533107185907E-2</c:v>
                </c:pt>
                <c:pt idx="3560">
                  <c:v>2.0707679986246091E-2</c:v>
                </c:pt>
                <c:pt idx="3561">
                  <c:v>2.0707511216041686E-2</c:v>
                </c:pt>
                <c:pt idx="3562">
                  <c:v>2.0707343083150816E-2</c:v>
                </c:pt>
                <c:pt idx="3563">
                  <c:v>2.0707175595853031E-2</c:v>
                </c:pt>
                <c:pt idx="3564">
                  <c:v>2.0706677090313982E-2</c:v>
                </c:pt>
                <c:pt idx="3565">
                  <c:v>2.0706512268184298E-2</c:v>
                </c:pt>
                <c:pt idx="3566">
                  <c:v>2.0706348133045574E-2</c:v>
                </c:pt>
                <c:pt idx="3567">
                  <c:v>2.0706184693177372E-2</c:v>
                </c:pt>
                <c:pt idx="3568">
                  <c:v>2.0706021956859267E-2</c:v>
                </c:pt>
                <c:pt idx="3569">
                  <c:v>2.0705538052001263E-2</c:v>
                </c:pt>
                <c:pt idx="3570">
                  <c:v>2.0705378212679273E-2</c:v>
                </c:pt>
                <c:pt idx="3571">
                  <c:v>2.0705219118305238E-2</c:v>
                </c:pt>
                <c:pt idx="3572">
                  <c:v>2.0705060777158734E-2</c:v>
                </c:pt>
                <c:pt idx="3573">
                  <c:v>2.0704903197519334E-2</c:v>
                </c:pt>
                <c:pt idx="3574">
                  <c:v>2.0704435110439446E-2</c:v>
                </c:pt>
                <c:pt idx="3575">
                  <c:v>2.0704280659624166E-2</c:v>
                </c:pt>
                <c:pt idx="3576">
                  <c:v>2.0704127011713844E-2</c:v>
                </c:pt>
                <c:pt idx="3577">
                  <c:v>2.0703974174988059E-2</c:v>
                </c:pt>
                <c:pt idx="3578">
                  <c:v>2.0703822157726377E-2</c:v>
                </c:pt>
                <c:pt idx="3579">
                  <c:v>2.0703371105521676E-2</c:v>
                </c:pt>
                <c:pt idx="3580">
                  <c:v>2.0703222448912133E-2</c:v>
                </c:pt>
                <c:pt idx="3581">
                  <c:v>2.0703074653164552E-2</c:v>
                </c:pt>
                <c:pt idx="3582">
                  <c:v>2.0702927726558504E-2</c:v>
                </c:pt>
                <c:pt idx="3583">
                  <c:v>2.0702781677373567E-2</c:v>
                </c:pt>
                <c:pt idx="3584">
                  <c:v>2.0702348877141119E-2</c:v>
                </c:pt>
                <c:pt idx="3585">
                  <c:v>2.0702206415596117E-2</c:v>
                </c:pt>
                <c:pt idx="3586">
                  <c:v>2.0702064843828798E-2</c:v>
                </c:pt>
                <c:pt idx="3587">
                  <c:v>2.0701924141077452E-2</c:v>
                </c:pt>
                <c:pt idx="3588">
                  <c:v>2.0701784286580361E-2</c:v>
                </c:pt>
                <c:pt idx="3589">
                  <c:v>2.0701369604997546E-2</c:v>
                </c:pt>
                <c:pt idx="3590">
                  <c:v>2.0701232935900381E-2</c:v>
                </c:pt>
                <c:pt idx="3591">
                  <c:v>2.070109701124892E-2</c:v>
                </c:pt>
                <c:pt idx="3592">
                  <c:v>2.0700961810281446E-2</c:v>
                </c:pt>
                <c:pt idx="3593">
                  <c:v>2.0700827312236252E-2</c:v>
                </c:pt>
                <c:pt idx="3594">
                  <c:v>2.0700427828017221E-2</c:v>
                </c:pt>
                <c:pt idx="3595">
                  <c:v>2.070029593404402E-2</c:v>
                </c:pt>
                <c:pt idx="3596">
                  <c:v>2.0700164639184542E-2</c:v>
                </c:pt>
                <c:pt idx="3597">
                  <c:v>2.0700033922677066E-2</c:v>
                </c:pt>
                <c:pt idx="3598">
                  <c:v>2.0699903763759894E-2</c:v>
                </c:pt>
                <c:pt idx="3599">
                  <c:v>2.069951642493302E-2</c:v>
                </c:pt>
                <c:pt idx="3600">
                  <c:v>2.0699388288759914E-2</c:v>
                </c:pt>
                <c:pt idx="3601">
                  <c:v>2.0699260606368543E-2</c:v>
                </c:pt>
                <c:pt idx="3602">
                  <c:v>2.0699133356997197E-2</c:v>
                </c:pt>
                <c:pt idx="3603">
                  <c:v>2.0699006519884166E-2</c:v>
                </c:pt>
                <c:pt idx="3604">
                  <c:v>2.069862827447784E-2</c:v>
                </c:pt>
                <c:pt idx="3605">
                  <c:v>2.0698502878780944E-2</c:v>
                </c:pt>
                <c:pt idx="3606">
                  <c:v>2.0698377791533808E-2</c:v>
                </c:pt>
                <c:pt idx="3607">
                  <c:v>2.0698252991974718E-2</c:v>
                </c:pt>
                <c:pt idx="3608">
                  <c:v>2.0698128459341956E-2</c:v>
                </c:pt>
                <c:pt idx="3609">
                  <c:v>2.0697756255384548E-2</c:v>
                </c:pt>
                <c:pt idx="3610">
                  <c:v>2.0697632582839996E-2</c:v>
                </c:pt>
                <c:pt idx="3611">
                  <c:v>2.0697509073413223E-2</c:v>
                </c:pt>
                <c:pt idx="3612">
                  <c:v>2.0697385706342511E-2</c:v>
                </c:pt>
                <c:pt idx="3613">
                  <c:v>2.0697262460866145E-2</c:v>
                </c:pt>
                <c:pt idx="3614">
                  <c:v>2.0696893246386031E-2</c:v>
                </c:pt>
                <c:pt idx="3615">
                  <c:v>2.0696770279669954E-2</c:v>
                </c:pt>
                <c:pt idx="3616">
                  <c:v>2.0696647330739663E-2</c:v>
                </c:pt>
                <c:pt idx="3617">
                  <c:v>2.0696524378833455E-2</c:v>
                </c:pt>
                <c:pt idx="3618">
                  <c:v>2.069640140318961E-2</c:v>
                </c:pt>
                <c:pt idx="3619">
                  <c:v>2.0696032126215177E-2</c:v>
                </c:pt>
                <c:pt idx="3620">
                  <c:v>2.0695908848003691E-2</c:v>
                </c:pt>
                <c:pt idx="3621">
                  <c:v>2.0695785442246015E-2</c:v>
                </c:pt>
                <c:pt idx="3622">
                  <c:v>2.0695661888180436E-2</c:v>
                </c:pt>
                <c:pt idx="3623">
                  <c:v>2.0695538165045241E-2</c:v>
                </c:pt>
                <c:pt idx="3624">
                  <c:v>2.0695165773604866E-2</c:v>
                </c:pt>
                <c:pt idx="3625">
                  <c:v>2.0695041166574096E-2</c:v>
                </c:pt>
                <c:pt idx="3626">
                  <c:v>2.0694916286665165E-2</c:v>
                </c:pt>
                <c:pt idx="3627">
                  <c:v>2.069479111311634E-2</c:v>
                </c:pt>
                <c:pt idx="3628">
                  <c:v>2.0694665625165917E-2</c:v>
                </c:pt>
                <c:pt idx="3629">
                  <c:v>2.0694287067287973E-2</c:v>
                </c:pt>
                <c:pt idx="3630">
                  <c:v>2.0694160114114055E-2</c:v>
                </c:pt>
                <c:pt idx="3631">
                  <c:v>2.0694032742729986E-2</c:v>
                </c:pt>
                <c:pt idx="3632">
                  <c:v>2.0693904932374045E-2</c:v>
                </c:pt>
                <c:pt idx="3633">
                  <c:v>2.0693776662284526E-2</c:v>
                </c:pt>
                <c:pt idx="3634">
                  <c:v>2.069338888599739E-2</c:v>
                </c:pt>
                <c:pt idx="3635">
                  <c:v>2.0693258569356447E-2</c:v>
                </c:pt>
                <c:pt idx="3636">
                  <c:v>2.0693127689173363E-2</c:v>
                </c:pt>
                <c:pt idx="3637">
                  <c:v>2.0692996224686431E-2</c:v>
                </c:pt>
                <c:pt idx="3638">
                  <c:v>2.0692864155133946E-2</c:v>
                </c:pt>
                <c:pt idx="3639">
                  <c:v>2.0692464108465997E-2</c:v>
                </c:pt>
                <c:pt idx="3640">
                  <c:v>2.069232941103415E-2</c:v>
                </c:pt>
                <c:pt idx="3641">
                  <c:v>2.0692194004728184E-2</c:v>
                </c:pt>
                <c:pt idx="3642">
                  <c:v>2.0692057868786386E-2</c:v>
                </c:pt>
                <c:pt idx="3643">
                  <c:v>2.0691920982447053E-2</c:v>
                </c:pt>
                <c:pt idx="3644">
                  <c:v>2.0691505613426676E-2</c:v>
                </c:pt>
                <c:pt idx="3645">
                  <c:v>2.0691365517880048E-2</c:v>
                </c:pt>
                <c:pt idx="3646">
                  <c:v>2.0691224568127328E-2</c:v>
                </c:pt>
                <c:pt idx="3647">
                  <c:v>2.0691082743406797E-2</c:v>
                </c:pt>
                <c:pt idx="3648">
                  <c:v>2.0690940022956735E-2</c:v>
                </c:pt>
                <c:pt idx="3649">
                  <c:v>2.0690506279612299E-2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758656"/>
        <c:axId val="819925760"/>
      </c:lineChart>
      <c:dateAx>
        <c:axId val="786758656"/>
        <c:scaling>
          <c:orientation val="minMax"/>
        </c:scaling>
        <c:delete val="0"/>
        <c:axPos val="b"/>
        <c:numFmt formatCode="d\-mmm\-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19925760"/>
        <c:crosses val="autoZero"/>
        <c:auto val="0"/>
        <c:lblOffset val="100"/>
        <c:baseTimeUnit val="days"/>
      </c:dateAx>
      <c:valAx>
        <c:axId val="819925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0.0000%" sourceLinked="1"/>
        <c:majorTickMark val="out"/>
        <c:minorTickMark val="none"/>
        <c:tickLblPos val="nextTo"/>
        <c:crossAx val="786758656"/>
        <c:crosses val="autoZero"/>
        <c:crossBetween val="between"/>
      </c:valAx>
      <c:spPr>
        <a:ln>
          <a:solidFill>
            <a:schemeClr val="tx1">
              <a:tint val="75000"/>
              <a:shade val="95000"/>
              <a:satMod val="10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41934789401324835"/>
          <c:y val="1.1390062779500028E-2"/>
          <c:w val="9.1069245714914995E-2"/>
          <c:h val="6.4509822345388074E-2"/>
        </c:manualLayout>
      </c:layout>
      <c:overlay val="0"/>
    </c:legend>
    <c:plotVisOnly val="1"/>
    <c:dispBlanksAs val="gap"/>
    <c:showDLblsOverMax val="0"/>
  </c:chart>
  <c:spPr>
    <a:ln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Curves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Calibration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Calibration Instruments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16</xdr:col>
          <xdr:colOff>0</xdr:colOff>
          <xdr:row>10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11</xdr:row>
          <xdr:rowOff>85725</xdr:rowOff>
        </xdr:from>
        <xdr:to>
          <xdr:col>16</xdr:col>
          <xdr:colOff>0</xdr:colOff>
          <xdr:row>14</xdr:row>
          <xdr:rowOff>85725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Configurations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104775</xdr:rowOff>
        </xdr:from>
        <xdr:to>
          <xdr:col>16</xdr:col>
          <xdr:colOff>0</xdr:colOff>
          <xdr:row>18</xdr:row>
          <xdr:rowOff>104775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Build &amp;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36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41</xdr:row>
          <xdr:rowOff>0</xdr:rowOff>
        </xdr:from>
        <xdr:to>
          <xdr:col>4</xdr:col>
          <xdr:colOff>38100</xdr:colOff>
          <xdr:row>44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36</xdr:row>
          <xdr:rowOff>9525</xdr:rowOff>
        </xdr:from>
        <xdr:to>
          <xdr:col>7</xdr:col>
          <xdr:colOff>0</xdr:colOff>
          <xdr:row>39</xdr:row>
          <xdr:rowOff>9525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15730" name="ButtonDataStreaming" hidden="1">
              <a:extLst>
                <a:ext uri="{63B3BB69-23CF-44E3-9099-C40C66FF867C}">
                  <a14:compatExt spid="_x0000_s115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ENABLE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Data Streaming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41</xdr:row>
          <xdr:rowOff>0</xdr:rowOff>
        </xdr:from>
        <xdr:to>
          <xdr:col>7</xdr:col>
          <xdr:colOff>0</xdr:colOff>
          <xdr:row>44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Asset Swap Cashflow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36</xdr:row>
          <xdr:rowOff>9525</xdr:rowOff>
        </xdr:from>
        <xdr:to>
          <xdr:col>9</xdr:col>
          <xdr:colOff>0</xdr:colOff>
          <xdr:row>39</xdr:row>
          <xdr:rowOff>9525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36</xdr:row>
          <xdr:rowOff>9525</xdr:rowOff>
        </xdr:from>
        <xdr:to>
          <xdr:col>11</xdr:col>
          <xdr:colOff>19050</xdr:colOff>
          <xdr:row>39</xdr:row>
          <xdr:rowOff>9525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VNS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41</xdr:row>
          <xdr:rowOff>9525</xdr:rowOff>
        </xdr:from>
        <xdr:to>
          <xdr:col>9</xdr:col>
          <xdr:colOff>0</xdr:colOff>
          <xdr:row>44</xdr:row>
          <xdr:rowOff>9525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Pricing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9525</xdr:rowOff>
        </xdr:from>
        <xdr:to>
          <xdr:col>11</xdr:col>
          <xdr:colOff>0</xdr:colOff>
          <xdr:row>44</xdr:row>
          <xdr:rowOff>9525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Standard Swap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41</xdr:row>
          <xdr:rowOff>9525</xdr:rowOff>
        </xdr:from>
        <xdr:to>
          <xdr:col>15</xdr:col>
          <xdr:colOff>390525</xdr:colOff>
          <xdr:row>44</xdr:row>
          <xdr:rowOff>9525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Customized Swaps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838200</xdr:colOff>
      <xdr:row>3</xdr:row>
      <xdr:rowOff>64735</xdr:rowOff>
    </xdr:from>
    <xdr:to>
      <xdr:col>10</xdr:col>
      <xdr:colOff>267379</xdr:colOff>
      <xdr:row>5</xdr:row>
      <xdr:rowOff>181631</xdr:rowOff>
    </xdr:to>
    <xdr:pic macro="[0]!ClearLWOCacheAndEntityPool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875" y="636235"/>
          <a:ext cx="515029" cy="4978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36</xdr:row>
          <xdr:rowOff>9525</xdr:rowOff>
        </xdr:from>
        <xdr:to>
          <xdr:col>15</xdr:col>
          <xdr:colOff>390525</xdr:colOff>
          <xdr:row>39</xdr:row>
          <xdr:rowOff>9525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/ Hide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Swaps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412949</xdr:colOff>
      <xdr:row>1</xdr:row>
      <xdr:rowOff>9525</xdr:rowOff>
    </xdr:from>
    <xdr:to>
      <xdr:col>6</xdr:col>
      <xdr:colOff>685800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2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3</xdr:col>
      <xdr:colOff>19050</xdr:colOff>
      <xdr:row>1</xdr:row>
      <xdr:rowOff>9525</xdr:rowOff>
    </xdr:from>
    <xdr:to>
      <xdr:col>3</xdr:col>
      <xdr:colOff>733425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19050</xdr:colOff>
      <xdr:row>1</xdr:row>
      <xdr:rowOff>9524</xdr:rowOff>
    </xdr:from>
    <xdr:to>
      <xdr:col>4</xdr:col>
      <xdr:colOff>733425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5</xdr:col>
      <xdr:colOff>19050</xdr:colOff>
      <xdr:row>1</xdr:row>
      <xdr:rowOff>9525</xdr:rowOff>
    </xdr:from>
    <xdr:to>
      <xdr:col>5</xdr:col>
      <xdr:colOff>733425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</xdr:colOff>
      <xdr:row>2</xdr:row>
      <xdr:rowOff>9525</xdr:rowOff>
    </xdr:from>
    <xdr:to>
      <xdr:col>3</xdr:col>
      <xdr:colOff>28575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817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228600</xdr:colOff>
      <xdr:row>2</xdr:row>
      <xdr:rowOff>0</xdr:rowOff>
    </xdr:from>
    <xdr:to>
      <xdr:col>4</xdr:col>
      <xdr:colOff>293450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85925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513849</xdr:colOff>
      <xdr:row>2</xdr:row>
      <xdr:rowOff>9525</xdr:rowOff>
    </xdr:from>
    <xdr:to>
      <xdr:col>5</xdr:col>
      <xdr:colOff>628650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8899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5</xdr:col>
      <xdr:colOff>838200</xdr:colOff>
      <xdr:row>2</xdr:row>
      <xdr:rowOff>9525</xdr:rowOff>
    </xdr:from>
    <xdr:to>
      <xdr:col>7</xdr:col>
      <xdr:colOff>100693</xdr:colOff>
      <xdr:row>6</xdr:row>
      <xdr:rowOff>9525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90975" y="314325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7</xdr:col>
      <xdr:colOff>274131</xdr:colOff>
      <xdr:row>1</xdr:row>
      <xdr:rowOff>142876</xdr:rowOff>
    </xdr:from>
    <xdr:to>
      <xdr:col>8</xdr:col>
      <xdr:colOff>19050</xdr:colOff>
      <xdr:row>5</xdr:row>
      <xdr:rowOff>142876</xdr:rowOff>
    </xdr:to>
    <xdr:pic macro="[0]!ShowAll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22356" y="295276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104775</xdr:colOff>
      <xdr:row>6</xdr:row>
      <xdr:rowOff>19050</xdr:rowOff>
    </xdr:from>
    <xdr:to>
      <xdr:col>2</xdr:col>
      <xdr:colOff>838302</xdr:colOff>
      <xdr:row>7</xdr:row>
      <xdr:rowOff>38124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1437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3</xdr:col>
      <xdr:colOff>323850</xdr:colOff>
      <xdr:row>6</xdr:row>
      <xdr:rowOff>9525</xdr:rowOff>
    </xdr:from>
    <xdr:to>
      <xdr:col>4</xdr:col>
      <xdr:colOff>181073</xdr:colOff>
      <xdr:row>7</xdr:row>
      <xdr:rowOff>20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81175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4</xdr:col>
      <xdr:colOff>657225</xdr:colOff>
      <xdr:row>6</xdr:row>
      <xdr:rowOff>19050</xdr:rowOff>
    </xdr:from>
    <xdr:to>
      <xdr:col>5</xdr:col>
      <xdr:colOff>543027</xdr:colOff>
      <xdr:row>7</xdr:row>
      <xdr:rowOff>19071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9622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6</xdr:col>
      <xdr:colOff>104775</xdr:colOff>
      <xdr:row>6</xdr:row>
      <xdr:rowOff>19050</xdr:rowOff>
    </xdr:from>
    <xdr:to>
      <xdr:col>6</xdr:col>
      <xdr:colOff>828776</xdr:colOff>
      <xdr:row>7</xdr:row>
      <xdr:rowOff>38124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05275" y="933450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6</xdr:row>
      <xdr:rowOff>0</xdr:rowOff>
    </xdr:from>
    <xdr:to>
      <xdr:col>8</xdr:col>
      <xdr:colOff>66771</xdr:colOff>
      <xdr:row>7</xdr:row>
      <xdr:rowOff>28600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076825" y="91440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8</xdr:col>
      <xdr:colOff>219075</xdr:colOff>
      <xdr:row>2</xdr:row>
      <xdr:rowOff>57150</xdr:rowOff>
    </xdr:from>
    <xdr:to>
      <xdr:col>10</xdr:col>
      <xdr:colOff>285000</xdr:colOff>
      <xdr:row>5</xdr:row>
      <xdr:rowOff>57150</xdr:rowOff>
    </xdr:to>
    <xdr:pic macro="[0]!UpdateInstrumentsAndRefreshBloombergBpipe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361950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8</xdr:col>
      <xdr:colOff>142875</xdr:colOff>
      <xdr:row>5</xdr:row>
      <xdr:rowOff>123825</xdr:rowOff>
    </xdr:from>
    <xdr:to>
      <xdr:col>10</xdr:col>
      <xdr:colOff>362034</xdr:colOff>
      <xdr:row>7</xdr:row>
      <xdr:rowOff>19078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38825" y="885825"/>
          <a:ext cx="600159" cy="20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917774</xdr:colOff>
      <xdr:row>1</xdr:row>
      <xdr:rowOff>9525</xdr:rowOff>
    </xdr:from>
    <xdr:to>
      <xdr:col>3</xdr:col>
      <xdr:colOff>1190625</xdr:colOff>
      <xdr:row>1</xdr:row>
      <xdr:rowOff>9525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449" y="161925"/>
          <a:ext cx="272851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1</xdr:row>
      <xdr:rowOff>9525</xdr:rowOff>
    </xdr:from>
    <xdr:to>
      <xdr:col>1</xdr:col>
      <xdr:colOff>714375</xdr:colOff>
      <xdr:row>1</xdr:row>
      <xdr:rowOff>9525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866775</xdr:colOff>
      <xdr:row>1</xdr:row>
      <xdr:rowOff>9525</xdr:rowOff>
    </xdr:from>
    <xdr:to>
      <xdr:col>2</xdr:col>
      <xdr:colOff>200025</xdr:colOff>
      <xdr:row>1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637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333375</xdr:colOff>
      <xdr:row>1</xdr:row>
      <xdr:rowOff>9524</xdr:rowOff>
    </xdr:from>
    <xdr:to>
      <xdr:col>2</xdr:col>
      <xdr:colOff>1047750</xdr:colOff>
      <xdr:row>1</xdr:row>
      <xdr:rowOff>9525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24100" y="161924"/>
          <a:ext cx="714375" cy="1"/>
        </a:xfrm>
        <a:prstGeom prst="rect">
          <a:avLst/>
        </a:prstGeom>
      </xdr:spPr>
    </xdr:pic>
    <xdr:clientData/>
  </xdr:twoCellAnchor>
  <xdr:twoCellAnchor editAs="absolute">
    <xdr:from>
      <xdr:col>2</xdr:col>
      <xdr:colOff>1181100</xdr:colOff>
      <xdr:row>1</xdr:row>
      <xdr:rowOff>9525</xdr:rowOff>
    </xdr:from>
    <xdr:to>
      <xdr:col>3</xdr:col>
      <xdr:colOff>390525</xdr:colOff>
      <xdr:row>1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71825" y="161925"/>
          <a:ext cx="714375" cy="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</xdr:colOff>
      <xdr:row>2</xdr:row>
      <xdr:rowOff>9525</xdr:rowOff>
    </xdr:from>
    <xdr:to>
      <xdr:col>1</xdr:col>
      <xdr:colOff>895350</xdr:colOff>
      <xdr:row>6</xdr:row>
      <xdr:rowOff>9525</xdr:rowOff>
    </xdr:to>
    <xdr:pic macro="[0]!ShowUS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7225" y="314325"/>
          <a:ext cx="847725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1123950</xdr:colOff>
      <xdr:row>2</xdr:row>
      <xdr:rowOff>0</xdr:rowOff>
    </xdr:from>
    <xdr:to>
      <xdr:col>2</xdr:col>
      <xdr:colOff>655400</xdr:colOff>
      <xdr:row>6</xdr:row>
      <xdr:rowOff>0</xdr:rowOff>
    </xdr:to>
    <xdr:pic macro="[0]!ShowEUR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3550" y="304800"/>
          <a:ext cx="912575" cy="609600"/>
        </a:xfrm>
        <a:prstGeom prst="rect">
          <a:avLst/>
        </a:prstGeom>
      </xdr:spPr>
    </xdr:pic>
    <xdr:clientData/>
  </xdr:twoCellAnchor>
  <xdr:twoCellAnchor editAs="absolute">
    <xdr:from>
      <xdr:col>2</xdr:col>
      <xdr:colOff>875799</xdr:colOff>
      <xdr:row>2</xdr:row>
      <xdr:rowOff>9525</xdr:rowOff>
    </xdr:from>
    <xdr:to>
      <xdr:col>3</xdr:col>
      <xdr:colOff>333375</xdr:colOff>
      <xdr:row>6</xdr:row>
      <xdr:rowOff>9525</xdr:rowOff>
    </xdr:to>
    <xdr:pic macro="[0]!ShowGB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6524" y="314325"/>
          <a:ext cx="962526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533400</xdr:colOff>
      <xdr:row>2</xdr:row>
      <xdr:rowOff>0</xdr:rowOff>
    </xdr:from>
    <xdr:to>
      <xdr:col>3</xdr:col>
      <xdr:colOff>1491343</xdr:colOff>
      <xdr:row>6</xdr:row>
      <xdr:rowOff>0</xdr:rowOff>
    </xdr:to>
    <xdr:pic macro="[0]!ShowJPY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29075" y="304800"/>
          <a:ext cx="957943" cy="609600"/>
        </a:xfrm>
        <a:prstGeom prst="rect">
          <a:avLst/>
        </a:prstGeom>
      </xdr:spPr>
    </xdr:pic>
    <xdr:clientData/>
  </xdr:twoCellAnchor>
  <xdr:twoCellAnchor editAs="absolute">
    <xdr:from>
      <xdr:col>4</xdr:col>
      <xdr:colOff>942975</xdr:colOff>
      <xdr:row>2</xdr:row>
      <xdr:rowOff>85725</xdr:rowOff>
    </xdr:from>
    <xdr:to>
      <xdr:col>4</xdr:col>
      <xdr:colOff>1389900</xdr:colOff>
      <xdr:row>5</xdr:row>
      <xdr:rowOff>85725</xdr:rowOff>
    </xdr:to>
    <xdr:pic macro="[0]!UpdateInstrumentsAndRefreshBloombergBpip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53125" y="390525"/>
          <a:ext cx="446925" cy="457200"/>
        </a:xfrm>
        <a:prstGeom prst="rect">
          <a:avLst/>
        </a:prstGeom>
      </xdr:spPr>
    </xdr:pic>
    <xdr:clientData/>
  </xdr:twoCellAnchor>
  <xdr:twoCellAnchor editAs="absolute">
    <xdr:from>
      <xdr:col>4</xdr:col>
      <xdr:colOff>178881</xdr:colOff>
      <xdr:row>2</xdr:row>
      <xdr:rowOff>1</xdr:rowOff>
    </xdr:from>
    <xdr:to>
      <xdr:col>4</xdr:col>
      <xdr:colOff>771525</xdr:colOff>
      <xdr:row>6</xdr:row>
      <xdr:rowOff>1</xdr:rowOff>
    </xdr:to>
    <xdr:pic macro="[0]!ShowAll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89031" y="304801"/>
          <a:ext cx="592644" cy="609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6</xdr:row>
      <xdr:rowOff>19050</xdr:rowOff>
    </xdr:from>
    <xdr:to>
      <xdr:col>1</xdr:col>
      <xdr:colOff>857352</xdr:colOff>
      <xdr:row>7</xdr:row>
      <xdr:rowOff>38124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33425" y="933450"/>
          <a:ext cx="733527" cy="171474"/>
        </a:xfrm>
        <a:prstGeom prst="rect">
          <a:avLst/>
        </a:prstGeom>
      </xdr:spPr>
    </xdr:pic>
    <xdr:clientData/>
  </xdr:twoCellAnchor>
  <xdr:twoCellAnchor editAs="absolute">
    <xdr:from>
      <xdr:col>1</xdr:col>
      <xdr:colOff>1219200</xdr:colOff>
      <xdr:row>6</xdr:row>
      <xdr:rowOff>9525</xdr:rowOff>
    </xdr:from>
    <xdr:to>
      <xdr:col>2</xdr:col>
      <xdr:colOff>543023</xdr:colOff>
      <xdr:row>7</xdr:row>
      <xdr:rowOff>20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28800" y="923925"/>
          <a:ext cx="704948" cy="142895"/>
        </a:xfrm>
        <a:prstGeom prst="rect">
          <a:avLst/>
        </a:prstGeom>
      </xdr:spPr>
    </xdr:pic>
    <xdr:clientData/>
  </xdr:twoCellAnchor>
  <xdr:twoCellAnchor editAs="absolute">
    <xdr:from>
      <xdr:col>2</xdr:col>
      <xdr:colOff>1009650</xdr:colOff>
      <xdr:row>6</xdr:row>
      <xdr:rowOff>19050</xdr:rowOff>
    </xdr:from>
    <xdr:to>
      <xdr:col>3</xdr:col>
      <xdr:colOff>238227</xdr:colOff>
      <xdr:row>7</xdr:row>
      <xdr:rowOff>19071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00375" y="933450"/>
          <a:ext cx="733527" cy="152421"/>
        </a:xfrm>
        <a:prstGeom prst="rect">
          <a:avLst/>
        </a:prstGeom>
      </xdr:spPr>
    </xdr:pic>
    <xdr:clientData/>
  </xdr:twoCellAnchor>
  <xdr:twoCellAnchor editAs="absolute">
    <xdr:from>
      <xdr:col>3</xdr:col>
      <xdr:colOff>647700</xdr:colOff>
      <xdr:row>6</xdr:row>
      <xdr:rowOff>9525</xdr:rowOff>
    </xdr:from>
    <xdr:to>
      <xdr:col>3</xdr:col>
      <xdr:colOff>1371701</xdr:colOff>
      <xdr:row>7</xdr:row>
      <xdr:rowOff>28599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43375" y="923925"/>
          <a:ext cx="724001" cy="171474"/>
        </a:xfrm>
        <a:prstGeom prst="rect">
          <a:avLst/>
        </a:prstGeom>
      </xdr:spPr>
    </xdr:pic>
    <xdr:clientData/>
  </xdr:twoCellAnchor>
  <xdr:twoCellAnchor editAs="absolute">
    <xdr:from>
      <xdr:col>4</xdr:col>
      <xdr:colOff>133350</xdr:colOff>
      <xdr:row>5</xdr:row>
      <xdr:rowOff>133350</xdr:rowOff>
    </xdr:from>
    <xdr:to>
      <xdr:col>4</xdr:col>
      <xdr:colOff>819246</xdr:colOff>
      <xdr:row>7</xdr:row>
      <xdr:rowOff>9550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895350"/>
          <a:ext cx="685896" cy="181000"/>
        </a:xfrm>
        <a:prstGeom prst="rect">
          <a:avLst/>
        </a:prstGeom>
      </xdr:spPr>
    </xdr:pic>
    <xdr:clientData/>
  </xdr:twoCellAnchor>
  <xdr:twoCellAnchor editAs="absolute">
    <xdr:from>
      <xdr:col>4</xdr:col>
      <xdr:colOff>876300</xdr:colOff>
      <xdr:row>5</xdr:row>
      <xdr:rowOff>114300</xdr:rowOff>
    </xdr:from>
    <xdr:to>
      <xdr:col>4</xdr:col>
      <xdr:colOff>1476459</xdr:colOff>
      <xdr:row>7</xdr:row>
      <xdr:rowOff>9553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86450" y="876300"/>
          <a:ext cx="600159" cy="2000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7</xdr:col>
          <xdr:colOff>1647825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1</xdr:row>
      <xdr:rowOff>38100</xdr:rowOff>
    </xdr:from>
    <xdr:to>
      <xdr:col>0</xdr:col>
      <xdr:colOff>527013</xdr:colOff>
      <xdr:row>2</xdr:row>
      <xdr:rowOff>114300</xdr:rowOff>
    </xdr:to>
    <xdr:pic macro="[0]!RebuildMultiCurve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228600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4</xdr:row>
      <xdr:rowOff>23811</xdr:rowOff>
    </xdr:from>
    <xdr:to>
      <xdr:col>22</xdr:col>
      <xdr:colOff>542924</xdr:colOff>
      <xdr:row>41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</xdr:colOff>
      <xdr:row>0</xdr:row>
      <xdr:rowOff>152400</xdr:rowOff>
    </xdr:from>
    <xdr:to>
      <xdr:col>1</xdr:col>
      <xdr:colOff>307937</xdr:colOff>
      <xdr:row>2</xdr:row>
      <xdr:rowOff>38100</xdr:rowOff>
    </xdr:to>
    <xdr:pic macro="[0]!RefreshForward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5240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0</xdr:row>
      <xdr:rowOff>149944</xdr:rowOff>
    </xdr:from>
    <xdr:to>
      <xdr:col>6</xdr:col>
      <xdr:colOff>524133</xdr:colOff>
      <xdr:row>2</xdr:row>
      <xdr:rowOff>105001</xdr:rowOff>
    </xdr:to>
    <xdr:pic macro="[0]!ForwardCurveSnapsho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76900" y="149944"/>
          <a:ext cx="381258" cy="336057"/>
        </a:xfrm>
        <a:prstGeom prst="rect">
          <a:avLst/>
        </a:prstGeom>
      </xdr:spPr>
    </xdr:pic>
    <xdr:clientData/>
  </xdr:twoCellAnchor>
  <xdr:twoCellAnchor editAs="oneCell">
    <xdr:from>
      <xdr:col>8</xdr:col>
      <xdr:colOff>133781</xdr:colOff>
      <xdr:row>0</xdr:row>
      <xdr:rowOff>161925</xdr:rowOff>
    </xdr:from>
    <xdr:to>
      <xdr:col>8</xdr:col>
      <xdr:colOff>495521</xdr:colOff>
      <xdr:row>2</xdr:row>
      <xdr:rowOff>114505</xdr:rowOff>
    </xdr:to>
    <xdr:pic macro="[0]!ForwardChartUpd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87006" y="161925"/>
          <a:ext cx="361740" cy="33358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1</xdr:row>
      <xdr:rowOff>47625</xdr:rowOff>
    </xdr:from>
    <xdr:to>
      <xdr:col>3</xdr:col>
      <xdr:colOff>107912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276225</xdr:colOff>
      <xdr:row>1</xdr:row>
      <xdr:rowOff>47625</xdr:rowOff>
    </xdr:from>
    <xdr:to>
      <xdr:col>2</xdr:col>
      <xdr:colOff>536537</xdr:colOff>
      <xdr:row>2</xdr:row>
      <xdr:rowOff>19050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4075" y="238125"/>
          <a:ext cx="260312" cy="266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1</xdr:row>
      <xdr:rowOff>19050</xdr:rowOff>
    </xdr:from>
    <xdr:to>
      <xdr:col>2</xdr:col>
      <xdr:colOff>450812</xdr:colOff>
      <xdr:row>1</xdr:row>
      <xdr:rowOff>285750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209550"/>
          <a:ext cx="260312" cy="266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406438</xdr:colOff>
      <xdr:row>3</xdr:row>
      <xdr:rowOff>66675</xdr:rowOff>
    </xdr:from>
    <xdr:to>
      <xdr:col>6</xdr:col>
      <xdr:colOff>666750</xdr:colOff>
      <xdr:row>4</xdr:row>
      <xdr:rowOff>142875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888" y="828675"/>
          <a:ext cx="260312" cy="266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3</xdr:row>
      <xdr:rowOff>19050</xdr:rowOff>
    </xdr:from>
    <xdr:to>
      <xdr:col>6</xdr:col>
      <xdr:colOff>650837</xdr:colOff>
      <xdr:row>4</xdr:row>
      <xdr:rowOff>95250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0975" y="781050"/>
          <a:ext cx="260312" cy="266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28575</xdr:rowOff>
    </xdr:from>
    <xdr:to>
      <xdr:col>6</xdr:col>
      <xdr:colOff>660362</xdr:colOff>
      <xdr:row>4</xdr:row>
      <xdr:rowOff>104775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790575"/>
          <a:ext cx="260312" cy="266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400050</xdr:colOff>
      <xdr:row>3</xdr:row>
      <xdr:rowOff>38100</xdr:rowOff>
    </xdr:from>
    <xdr:to>
      <xdr:col>6</xdr:col>
      <xdr:colOff>660362</xdr:colOff>
      <xdr:row>4</xdr:row>
      <xdr:rowOff>114300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500" y="800100"/>
          <a:ext cx="260312" cy="266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2181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91200" y="1372164"/>
          <a:ext cx="286424" cy="28585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6097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800664"/>
          <a:ext cx="286424" cy="28585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152400</xdr:rowOff>
    </xdr:from>
    <xdr:to>
      <xdr:col>2</xdr:col>
      <xdr:colOff>765137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0200" y="152400"/>
          <a:ext cx="260312" cy="266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485775</xdr:colOff>
      <xdr:row>0</xdr:row>
      <xdr:rowOff>180975</xdr:rowOff>
    </xdr:from>
    <xdr:to>
      <xdr:col>2</xdr:col>
      <xdr:colOff>746087</xdr:colOff>
      <xdr:row>2</xdr:row>
      <xdr:rowOff>66675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1150" y="180975"/>
          <a:ext cx="260312" cy="266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438150</xdr:colOff>
      <xdr:row>0</xdr:row>
      <xdr:rowOff>161925</xdr:rowOff>
    </xdr:from>
    <xdr:to>
      <xdr:col>2</xdr:col>
      <xdr:colOff>698462</xdr:colOff>
      <xdr:row>2</xdr:row>
      <xdr:rowOff>47625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400050</xdr:colOff>
      <xdr:row>0</xdr:row>
      <xdr:rowOff>171450</xdr:rowOff>
    </xdr:from>
    <xdr:to>
      <xdr:col>2</xdr:col>
      <xdr:colOff>660362</xdr:colOff>
      <xdr:row>2</xdr:row>
      <xdr:rowOff>57150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171450"/>
          <a:ext cx="260312" cy="26670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781050</xdr:colOff>
      <xdr:row>0</xdr:row>
      <xdr:rowOff>66675</xdr:rowOff>
    </xdr:from>
    <xdr:to>
      <xdr:col>2</xdr:col>
      <xdr:colOff>1041362</xdr:colOff>
      <xdr:row>1</xdr:row>
      <xdr:rowOff>142875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61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2577" name="Button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2578" name="Button 2" hidden="1">
              <a:extLst>
                <a:ext uri="{63B3BB69-23CF-44E3-9099-C40C66FF867C}">
                  <a14:compatExt spid="_x0000_s15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57150</xdr:rowOff>
    </xdr:from>
    <xdr:to>
      <xdr:col>2</xdr:col>
      <xdr:colOff>946112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695325</xdr:colOff>
      <xdr:row>0</xdr:row>
      <xdr:rowOff>57150</xdr:rowOff>
    </xdr:from>
    <xdr:to>
      <xdr:col>2</xdr:col>
      <xdr:colOff>955637</xdr:colOff>
      <xdr:row>1</xdr:row>
      <xdr:rowOff>133350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00400" y="57150"/>
          <a:ext cx="260312" cy="2667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56674" name="Button 2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685800</xdr:colOff>
      <xdr:row>0</xdr:row>
      <xdr:rowOff>47625</xdr:rowOff>
    </xdr:from>
    <xdr:to>
      <xdr:col>2</xdr:col>
      <xdr:colOff>946112</xdr:colOff>
      <xdr:row>1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90875" y="47625"/>
          <a:ext cx="260312" cy="266700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447675</xdr:colOff>
      <xdr:row>0</xdr:row>
      <xdr:rowOff>161925</xdr:rowOff>
    </xdr:from>
    <xdr:to>
      <xdr:col>1</xdr:col>
      <xdr:colOff>707987</xdr:colOff>
      <xdr:row>2</xdr:row>
      <xdr:rowOff>47625</xdr:rowOff>
    </xdr:to>
    <xdr:pic macro="[0]!RefreshSwapGenerator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61925"/>
          <a:ext cx="260312" cy="266700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485775</xdr:colOff>
      <xdr:row>9</xdr:row>
      <xdr:rowOff>28575</xdr:rowOff>
    </xdr:from>
    <xdr:to>
      <xdr:col>3</xdr:col>
      <xdr:colOff>746087</xdr:colOff>
      <xdr:row>10</xdr:row>
      <xdr:rowOff>104775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0" y="1743075"/>
          <a:ext cx="260312" cy="266700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381000</xdr:colOff>
      <xdr:row>1</xdr:row>
      <xdr:rowOff>66675</xdr:rowOff>
    </xdr:from>
    <xdr:to>
      <xdr:col>4</xdr:col>
      <xdr:colOff>641312</xdr:colOff>
      <xdr:row>2</xdr:row>
      <xdr:rowOff>142875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6150" y="257175"/>
          <a:ext cx="260312" cy="266700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9</xdr:row>
      <xdr:rowOff>19050</xdr:rowOff>
    </xdr:from>
    <xdr:to>
      <xdr:col>3</xdr:col>
      <xdr:colOff>793712</xdr:colOff>
      <xdr:row>10</xdr:row>
      <xdr:rowOff>95250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5375" y="1733550"/>
          <a:ext cx="260312" cy="266700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1</xdr:row>
      <xdr:rowOff>85725</xdr:rowOff>
    </xdr:from>
    <xdr:to>
      <xdr:col>4</xdr:col>
      <xdr:colOff>755612</xdr:colOff>
      <xdr:row>2</xdr:row>
      <xdr:rowOff>161925</xdr:rowOff>
    </xdr:to>
    <xdr:pic macro="[0]!RefreshCustomSwap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00450" y="276225"/>
          <a:ext cx="260312" cy="266700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0" y="209550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6</xdr:col>
      <xdr:colOff>371475</xdr:colOff>
      <xdr:row>1</xdr:row>
      <xdr:rowOff>28575</xdr:rowOff>
    </xdr:from>
    <xdr:to>
      <xdr:col>6</xdr:col>
      <xdr:colOff>631787</xdr:colOff>
      <xdr:row>2</xdr:row>
      <xdr:rowOff>0</xdr:rowOff>
    </xdr:to>
    <xdr:pic macro="[0]!CalculateActive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4125" y="219075"/>
          <a:ext cx="260312" cy="266700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0</xdr:row>
      <xdr:rowOff>152400</xdr:rowOff>
    </xdr:from>
    <xdr:to>
      <xdr:col>1</xdr:col>
      <xdr:colOff>736562</xdr:colOff>
      <xdr:row>2</xdr:row>
      <xdr:rowOff>38100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" y="152400"/>
          <a:ext cx="260312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Tools\CurveCalibrationTool\CurveCalibrationTool-11.6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Curve Dependencies"/>
      <sheetName val="FX Forward Invariance"/>
      <sheetName val="Non-Standard CSA Curves"/>
      <sheetName val="MKT DATA USD"/>
      <sheetName val="USD OIS"/>
      <sheetName val="USD SWAP 3ML"/>
      <sheetName val="USD BASIS 6ML"/>
      <sheetName val="USD BASIS 1ML"/>
      <sheetName val="USD BASIS 12ML"/>
      <sheetName val="USD CSA CURVES"/>
      <sheetName val="USD FORWARDS"/>
      <sheetName val="USD DISC FACTORS"/>
      <sheetName val="USD SWAPS"/>
      <sheetName val="MKT DATA GBP"/>
      <sheetName val="GBP OIS"/>
      <sheetName val="GBP SWAP 3ML"/>
      <sheetName val="GBP BASIS 6ML"/>
      <sheetName val="GBP BASIS 1ML"/>
      <sheetName val="GBP BASIS 12ML"/>
      <sheetName val="GBP XCCY BASIS"/>
      <sheetName val="GBP CSA CURVES"/>
      <sheetName val="GBP FORWARDS"/>
      <sheetName val="GBP DISC FACTORS"/>
      <sheetName val="GBP SWAPS"/>
      <sheetName val="MKT DATA EUR"/>
      <sheetName val="EUR OIS"/>
      <sheetName val="EUR SWAP 3ML"/>
      <sheetName val="EUR SWAP 6ML"/>
      <sheetName val="EUR BASIS 1ML"/>
      <sheetName val="EUR BASIS 12ML"/>
      <sheetName val="EUR XCCY BASIS"/>
      <sheetName val="EUR CSA CURVES"/>
      <sheetName val="EUR FORWARDS"/>
      <sheetName val="EUR DISC FACTORS"/>
      <sheetName val="EUR SWAPS"/>
      <sheetName val="MKT DATA AUD"/>
      <sheetName val="AUD OIS"/>
      <sheetName val="AUD SWAP 3ML"/>
      <sheetName val="AUD SWAP 6ML"/>
      <sheetName val="AUD XCCY BASIS"/>
      <sheetName val="AUD CSA CURVES"/>
      <sheetName val="AUD FORWARDS"/>
      <sheetName val="AUD DISC FACTORS"/>
      <sheetName val="AUD SWAPS"/>
      <sheetName val="MKT DATA JPY"/>
      <sheetName val="JPY OIS JSCC"/>
      <sheetName val="JPY SWAP 6ML JSCC"/>
      <sheetName val="JPY BASIS 3ML JSCC"/>
      <sheetName val="JPY BASIS 1ML JSCC"/>
      <sheetName val="JPY FORWARDS JSCC"/>
      <sheetName val="JPY SWAPS JSCC"/>
      <sheetName val="JPY OIS LCH"/>
      <sheetName val="JPY SWAP 6ML LCH"/>
      <sheetName val="JPY BASIS 3ML LCH"/>
      <sheetName val="JPY BASIS 1ML LCH"/>
      <sheetName val="JPY XCCY BASIS LCH"/>
      <sheetName val="JPY CSA CURVES LCH"/>
      <sheetName val="JPY FORWARDS LCH"/>
      <sheetName val="JPY DISC FACTORS"/>
      <sheetName val="JPY SWAPS LCH"/>
      <sheetName val="JPY OIS TIBOR"/>
      <sheetName val="JPY BASIS 6ML TIBOR"/>
      <sheetName val="JPY BASIS 3ML TIBOR"/>
      <sheetName val="JPY BASIS 1ML TIBOR"/>
      <sheetName val="JPY FORWARDS TIBOR"/>
      <sheetName val="JPY SWAPS TIBOR"/>
    </sheetNames>
    <sheetDataSet>
      <sheetData sheetId="0">
        <row r="4">
          <cell r="C4">
            <v>43220</v>
          </cell>
          <cell r="E4" t="b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6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8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T241"/>
  <sheetViews>
    <sheetView showGridLines="0" tabSelected="1" zoomScaleNormal="100" workbookViewId="0"/>
  </sheetViews>
  <sheetFormatPr defaultRowHeight="15"/>
  <cols>
    <col min="1" max="1" width="2.7109375" customWidth="1"/>
    <col min="2" max="2" width="17.28515625" bestFit="1" customWidth="1"/>
    <col min="3" max="3" width="16.5703125" customWidth="1"/>
    <col min="4" max="5" width="2.7109375" customWidth="1"/>
    <col min="6" max="6" width="15.7109375" customWidth="1"/>
    <col min="7" max="9" width="17.28515625" customWidth="1"/>
    <col min="10" max="10" width="16.28515625" customWidth="1"/>
    <col min="11" max="11" width="15.7109375" customWidth="1"/>
    <col min="12" max="13" width="2.7109375" customWidth="1"/>
    <col min="14" max="16" width="10.7109375" customWidth="1"/>
    <col min="17" max="17" width="2.7109375" customWidth="1"/>
  </cols>
  <sheetData>
    <row r="1" spans="1:17">
      <c r="A1" s="381"/>
      <c r="B1" s="3"/>
      <c r="G1" s="124"/>
    </row>
    <row r="2" spans="1:17" ht="15" customHeight="1">
      <c r="B2" s="382" t="s">
        <v>353</v>
      </c>
      <c r="C2" s="488">
        <f ca="1">TODAY()</f>
        <v>43224</v>
      </c>
      <c r="E2" s="335" t="s">
        <v>1073</v>
      </c>
      <c r="F2" s="333"/>
      <c r="G2" s="124"/>
      <c r="H2" s="333"/>
      <c r="I2" s="333"/>
      <c r="J2" s="333"/>
      <c r="M2" s="375"/>
      <c r="N2" s="376" t="s">
        <v>1081</v>
      </c>
      <c r="O2" s="375"/>
      <c r="P2" s="375"/>
      <c r="Q2" s="375"/>
    </row>
    <row r="3" spans="1:17" ht="15" customHeight="1">
      <c r="E3" s="483"/>
      <c r="F3" s="489"/>
      <c r="G3" s="652" t="s">
        <v>1988</v>
      </c>
      <c r="H3" s="491" t="s">
        <v>1096</v>
      </c>
      <c r="I3" s="491" t="s">
        <v>1097</v>
      </c>
      <c r="J3" s="490"/>
      <c r="K3" s="489"/>
      <c r="L3" s="492"/>
      <c r="M3" s="375"/>
      <c r="N3" s="375"/>
      <c r="O3" s="375"/>
      <c r="P3" s="375"/>
      <c r="Q3" s="375"/>
    </row>
    <row r="4" spans="1:17" ht="15" customHeight="1">
      <c r="B4" s="382" t="s">
        <v>1085</v>
      </c>
      <c r="C4" s="385" t="b">
        <v>1</v>
      </c>
      <c r="E4" s="484"/>
      <c r="F4" s="334" t="s">
        <v>2</v>
      </c>
      <c r="G4" s="385" t="b">
        <v>1</v>
      </c>
      <c r="H4" s="336" t="str">
        <f ca="1">IF(CurveErrorsNativeCSAEUR=0,"Success","Curve Not Built")</f>
        <v>Success</v>
      </c>
      <c r="I4" s="336" t="str">
        <f ca="1">IF('Multi-Curves'!CurveErrorsEUR=0,"Success","Curve Not Built")</f>
        <v>Success</v>
      </c>
      <c r="J4" s="493"/>
      <c r="K4" s="493"/>
      <c r="L4" s="494"/>
      <c r="M4" s="375"/>
      <c r="N4" s="375"/>
      <c r="O4" s="375"/>
      <c r="P4" s="375"/>
      <c r="Q4" s="375"/>
    </row>
    <row r="5" spans="1:17" ht="15" customHeight="1">
      <c r="B5" s="383"/>
      <c r="E5" s="484"/>
      <c r="F5" s="334" t="s">
        <v>181</v>
      </c>
      <c r="G5" s="385" t="b">
        <v>1</v>
      </c>
      <c r="H5" s="337" t="str">
        <f ca="1">IF(CurveErrorsNativeCSAUSD=0,"Success","Curve Not Built")</f>
        <v>Success</v>
      </c>
      <c r="I5" s="337" t="str">
        <f ca="1">IF('Multi-Curves'!CurveErrorsUSD=0,"Success","Curve Not Built")</f>
        <v>Success</v>
      </c>
      <c r="J5" s="493"/>
      <c r="K5" s="493"/>
      <c r="L5" s="494"/>
      <c r="M5" s="375"/>
      <c r="N5" s="375"/>
      <c r="O5" s="375"/>
      <c r="P5" s="375"/>
      <c r="Q5" s="375"/>
    </row>
    <row r="6" spans="1:17" ht="15" customHeight="1">
      <c r="B6" s="382" t="s">
        <v>1091</v>
      </c>
      <c r="C6" s="385">
        <v>15</v>
      </c>
      <c r="E6" s="484"/>
      <c r="F6" s="334" t="s">
        <v>187</v>
      </c>
      <c r="G6" s="385" t="b">
        <v>1</v>
      </c>
      <c r="H6" s="337" t="str">
        <f ca="1">IF(CurveErrorsNativeCSAGBP=0,"Success","Curve Not Built")</f>
        <v>Success</v>
      </c>
      <c r="I6" s="337" t="str">
        <f ca="1">IF('Multi-Curves'!CurveErrorsGBP=0,"Success","Curve Not Built")</f>
        <v>Success</v>
      </c>
      <c r="J6" s="493"/>
      <c r="K6" s="493"/>
      <c r="L6" s="494"/>
      <c r="M6" s="375"/>
      <c r="N6" s="375"/>
      <c r="O6" s="375"/>
      <c r="P6" s="375"/>
      <c r="Q6" s="375"/>
    </row>
    <row r="7" spans="1:17">
      <c r="B7" s="383"/>
      <c r="E7" s="484"/>
      <c r="F7" s="334" t="s">
        <v>188</v>
      </c>
      <c r="G7" s="385" t="b">
        <v>1</v>
      </c>
      <c r="H7" s="337" t="str">
        <f ca="1">IF(CurveErrorsNativeCSAJPY=0,"Success","Curve Not Built")</f>
        <v>Success</v>
      </c>
      <c r="I7" s="337" t="str">
        <f ca="1">IF('Multi-Curves'!CurveErrorsJPY=0,"Success","Curve Not Built")</f>
        <v>Success</v>
      </c>
      <c r="J7" s="1420" t="s">
        <v>2142</v>
      </c>
      <c r="K7" s="1421"/>
      <c r="L7" s="494"/>
      <c r="M7" s="375"/>
      <c r="N7" s="375"/>
      <c r="O7" s="375"/>
      <c r="P7" s="375"/>
      <c r="Q7" s="375"/>
    </row>
    <row r="8" spans="1:17">
      <c r="B8" s="384" t="s">
        <v>1100</v>
      </c>
      <c r="C8" s="385" t="s">
        <v>1099</v>
      </c>
      <c r="E8" s="485"/>
      <c r="F8" s="486"/>
      <c r="G8" s="486"/>
      <c r="H8" s="486"/>
      <c r="I8" s="486"/>
      <c r="J8" s="486"/>
      <c r="K8" s="486"/>
      <c r="L8" s="487"/>
      <c r="M8" s="375"/>
      <c r="N8" s="375"/>
      <c r="O8" s="375"/>
      <c r="P8" s="375"/>
      <c r="Q8" s="375"/>
    </row>
    <row r="9" spans="1:17">
      <c r="M9" s="375"/>
      <c r="N9" s="375"/>
      <c r="O9" s="375"/>
      <c r="P9" s="375"/>
      <c r="Q9" s="375"/>
    </row>
    <row r="10" spans="1:17">
      <c r="B10" s="979"/>
      <c r="C10" s="995"/>
      <c r="E10" s="234" t="s">
        <v>1072</v>
      </c>
      <c r="M10" s="375"/>
      <c r="N10" s="375"/>
      <c r="O10" s="375"/>
      <c r="P10" s="375"/>
      <c r="Q10" s="375"/>
    </row>
    <row r="11" spans="1:17">
      <c r="B11" s="979"/>
      <c r="D11" t="s">
        <v>12</v>
      </c>
      <c r="E11" s="483"/>
      <c r="F11" s="489"/>
      <c r="G11" s="489"/>
      <c r="H11" s="489"/>
      <c r="I11" s="489"/>
      <c r="J11" s="489"/>
      <c r="K11" s="489"/>
      <c r="L11" s="492"/>
      <c r="M11" s="375"/>
      <c r="N11" s="375"/>
      <c r="O11" s="375"/>
      <c r="P11" s="375"/>
      <c r="Q11" s="375"/>
    </row>
    <row r="12" spans="1:17" ht="15" customHeight="1">
      <c r="E12" s="484"/>
      <c r="F12" s="495" t="s">
        <v>1068</v>
      </c>
      <c r="G12" s="496" t="str">
        <f>IF(AND(G14&gt;1,G15&gt;1,G16&gt;1,G17&gt;1,H14&gt;1,I14&gt;1,H15&gt;1,I15&gt;1),"Ready","Loading")</f>
        <v>Ready</v>
      </c>
      <c r="H12" s="418"/>
      <c r="I12" s="418" t="s">
        <v>1098</v>
      </c>
      <c r="J12" s="493"/>
      <c r="K12" s="493"/>
      <c r="L12" s="494"/>
      <c r="M12" s="375"/>
      <c r="N12" s="375"/>
      <c r="O12" s="375"/>
      <c r="P12" s="375"/>
      <c r="Q12" s="375"/>
    </row>
    <row r="13" spans="1:17" ht="15" customHeight="1">
      <c r="B13" s="234" t="s">
        <v>1101</v>
      </c>
      <c r="E13" s="484"/>
      <c r="F13" s="334"/>
      <c r="G13" s="334" t="s">
        <v>1070</v>
      </c>
      <c r="H13" s="334" t="s">
        <v>1061</v>
      </c>
      <c r="I13" s="334" t="s">
        <v>1071</v>
      </c>
      <c r="J13" s="334"/>
      <c r="K13" s="334"/>
      <c r="L13" s="494"/>
      <c r="M13" s="375"/>
      <c r="N13" s="375"/>
      <c r="O13" s="375"/>
      <c r="P13" s="375"/>
      <c r="Q13" s="375"/>
    </row>
    <row r="14" spans="1:17">
      <c r="E14" s="484"/>
      <c r="F14" s="334" t="s">
        <v>2</v>
      </c>
      <c r="G14" s="336">
        <f>COUNT('EUR Market Data'!$F$10:$F$79)</f>
        <v>24</v>
      </c>
      <c r="H14" s="336">
        <f>COUNT('EUR Market Data'!$L$10:$L$79)</f>
        <v>17</v>
      </c>
      <c r="I14" s="336">
        <f>COUNT('EUR Market Data'!$R$10:$R$79)</f>
        <v>17</v>
      </c>
      <c r="J14" s="336"/>
      <c r="K14" s="336"/>
      <c r="L14" s="494"/>
      <c r="M14" s="375"/>
      <c r="N14" s="375"/>
      <c r="O14" s="375"/>
      <c r="P14" s="375"/>
      <c r="Q14" s="375"/>
    </row>
    <row r="15" spans="1:17">
      <c r="E15" s="484"/>
      <c r="F15" s="334" t="s">
        <v>181</v>
      </c>
      <c r="G15" s="336">
        <f>COUNT('USD Market Data'!$F$10:$F$79)</f>
        <v>14</v>
      </c>
      <c r="H15" s="336">
        <f>COUNT('USD Market Data'!$L$10:$L$79)</f>
        <v>12</v>
      </c>
      <c r="I15" s="336">
        <f>COUNT('USD Market Data'!$R$10:$R$79)</f>
        <v>12</v>
      </c>
      <c r="J15" s="336"/>
      <c r="K15" s="336"/>
      <c r="L15" s="494"/>
      <c r="M15" s="375"/>
      <c r="N15" s="375"/>
      <c r="O15" s="375"/>
      <c r="P15" s="375"/>
      <c r="Q15" s="375"/>
    </row>
    <row r="16" spans="1:17">
      <c r="E16" s="484"/>
      <c r="F16" s="334" t="s">
        <v>187</v>
      </c>
      <c r="G16" s="336">
        <f>COUNT('GBP Market Data'!$F$10:$F$79)</f>
        <v>20</v>
      </c>
      <c r="H16" s="336">
        <f>COUNT('GBP Market Data'!$L$10:$L$79)</f>
        <v>0</v>
      </c>
      <c r="I16" s="336">
        <f>COUNT('GBP Market Data'!$R$10:$R$79)</f>
        <v>0</v>
      </c>
      <c r="J16" s="336"/>
      <c r="K16" s="336"/>
      <c r="L16" s="494"/>
      <c r="M16" s="375"/>
      <c r="N16" s="375"/>
      <c r="O16" s="375"/>
      <c r="P16" s="375"/>
      <c r="Q16" s="375"/>
    </row>
    <row r="17" spans="2:17">
      <c r="E17" s="484"/>
      <c r="F17" s="334" t="s">
        <v>188</v>
      </c>
      <c r="G17" s="336">
        <f>COUNT('JPY Market Data'!$F$10:$F$79)</f>
        <v>20</v>
      </c>
      <c r="H17" s="336">
        <f>COUNT('JPY Market Data'!$L$10:$L$79)</f>
        <v>0</v>
      </c>
      <c r="I17" s="336">
        <f>COUNT('JPY Market Data'!$R$10:$R$79)</f>
        <v>0</v>
      </c>
      <c r="J17" s="336"/>
      <c r="K17" s="336"/>
      <c r="L17" s="494"/>
      <c r="M17" s="375"/>
      <c r="O17" s="375"/>
      <c r="P17" s="375"/>
      <c r="Q17" s="375"/>
    </row>
    <row r="18" spans="2:17">
      <c r="E18" s="484"/>
      <c r="F18" s="497"/>
      <c r="G18" s="351"/>
      <c r="H18" s="351"/>
      <c r="I18" s="351"/>
      <c r="J18" s="351"/>
      <c r="K18" s="351"/>
      <c r="L18" s="494"/>
      <c r="M18" s="375"/>
      <c r="N18" s="375"/>
      <c r="O18" s="375"/>
      <c r="P18" s="375"/>
      <c r="Q18" s="375"/>
    </row>
    <row r="19" spans="2:17">
      <c r="E19" s="484"/>
      <c r="F19" s="495" t="s">
        <v>1074</v>
      </c>
      <c r="G19" s="496" t="str">
        <f>IF(AND(G21&gt;=1,G22&gt;=1,G23&gt;=1,G24&gt;=1,K21&gt;1,K22&gt;1,K23&gt;1,K24&gt;1),"Ready","Loading")</f>
        <v>Ready</v>
      </c>
      <c r="H19" s="493"/>
      <c r="I19" s="493"/>
      <c r="J19" s="493"/>
      <c r="K19" s="493"/>
      <c r="L19" s="494"/>
      <c r="M19" s="375"/>
      <c r="O19" s="375"/>
      <c r="P19" s="375"/>
      <c r="Q19" s="375"/>
    </row>
    <row r="20" spans="2:17">
      <c r="B20" s="335" t="s">
        <v>1082</v>
      </c>
      <c r="E20" s="484"/>
      <c r="F20" s="334"/>
      <c r="G20" s="334" t="s">
        <v>1059</v>
      </c>
      <c r="H20" s="334" t="s">
        <v>1067</v>
      </c>
      <c r="I20" s="334" t="s">
        <v>1066</v>
      </c>
      <c r="J20" s="334" t="s">
        <v>1060</v>
      </c>
      <c r="K20" s="334" t="s">
        <v>472</v>
      </c>
      <c r="L20" s="494"/>
      <c r="M20" s="375"/>
      <c r="O20" s="6"/>
      <c r="P20" s="6"/>
      <c r="Q20" s="375"/>
    </row>
    <row r="21" spans="2:17">
      <c r="E21" s="484"/>
      <c r="F21" s="334" t="s">
        <v>2</v>
      </c>
      <c r="G21" s="336">
        <f>COUNT('EUR Market Data'!$X$10:$X$79)</f>
        <v>1</v>
      </c>
      <c r="H21" s="336">
        <f>COUNT('EUR Market Data'!$AD$10:$AD$79)</f>
        <v>0</v>
      </c>
      <c r="I21" s="336">
        <f>COUNT('EUR Market Data'!$AJ$10:$AJ$79)</f>
        <v>11</v>
      </c>
      <c r="J21" s="336">
        <f>COUNT('EUR Market Data'!$AP$10:$AP$79)</f>
        <v>0</v>
      </c>
      <c r="K21" s="336">
        <f>COUNT('EUR Market Data'!$AV$10:$AV$79)</f>
        <v>17</v>
      </c>
      <c r="L21" s="494"/>
      <c r="M21" s="375"/>
      <c r="N21" s="6"/>
      <c r="O21" s="6"/>
      <c r="P21" s="6"/>
      <c r="Q21" s="375"/>
    </row>
    <row r="22" spans="2:17">
      <c r="E22" s="484"/>
      <c r="F22" s="334" t="s">
        <v>181</v>
      </c>
      <c r="G22" s="336">
        <f>COUNT('USD Market Data'!$X$10:$X$79)</f>
        <v>1</v>
      </c>
      <c r="H22" s="336">
        <f>COUNT('USD Market Data'!$AD$10:$AD$79)</f>
        <v>0</v>
      </c>
      <c r="I22" s="336">
        <f>COUNT('USD Market Data'!$AJ$10:$AJ$79)</f>
        <v>0</v>
      </c>
      <c r="J22" s="336">
        <f>COUNT('USD Market Data'!$AP$10:$AP$79)</f>
        <v>12</v>
      </c>
      <c r="K22" s="336">
        <f>COUNT('USD Market Data'!$AV$10:$AV$79)</f>
        <v>10</v>
      </c>
      <c r="L22" s="494"/>
      <c r="M22" s="375"/>
      <c r="N22" s="6"/>
      <c r="O22" s="6"/>
      <c r="P22" s="6"/>
      <c r="Q22" s="375"/>
    </row>
    <row r="23" spans="2:17">
      <c r="E23" s="484"/>
      <c r="F23" s="334" t="s">
        <v>187</v>
      </c>
      <c r="G23" s="336">
        <f>COUNT('GBP Market Data'!$X$10:$X$79)</f>
        <v>1</v>
      </c>
      <c r="H23" s="336">
        <f>COUNT('GBP Market Data'!$AD$10:$AD$79)</f>
        <v>0</v>
      </c>
      <c r="I23" s="336">
        <f>COUNT('GBP Market Data'!$AJ$10:$AJ$79)</f>
        <v>8</v>
      </c>
      <c r="J23" s="336">
        <f>COUNT('GBP Market Data'!$AP$10:$AP$79)</f>
        <v>0</v>
      </c>
      <c r="K23" s="336">
        <f>COUNT('GBP Market Data'!$AV$10:$AV$79)</f>
        <v>16</v>
      </c>
      <c r="L23" s="494"/>
      <c r="M23" s="375"/>
      <c r="N23" s="6"/>
      <c r="O23" s="6"/>
      <c r="P23" s="6"/>
      <c r="Q23" s="375"/>
    </row>
    <row r="24" spans="2:17">
      <c r="E24" s="484"/>
      <c r="F24" s="334" t="s">
        <v>188</v>
      </c>
      <c r="G24" s="336">
        <f>COUNT('JPY Market Data'!$X$10:$X$79)</f>
        <v>1</v>
      </c>
      <c r="H24" s="336">
        <f>COUNT('JPY Market Data'!$AD$10:$AD$79)</f>
        <v>0</v>
      </c>
      <c r="I24" s="336">
        <f>COUNT('JPY Market Data'!$AJ$10:$AJ$79)</f>
        <v>5</v>
      </c>
      <c r="J24" s="336">
        <f>COUNT('JPY Market Data'!$AP$10:$AP$79)</f>
        <v>0</v>
      </c>
      <c r="K24" s="336">
        <f>COUNT('JPY Market Data'!$AV$10:$AV$79)</f>
        <v>16</v>
      </c>
      <c r="L24" s="494"/>
      <c r="M24" s="375"/>
    </row>
    <row r="25" spans="2:17">
      <c r="E25" s="484"/>
      <c r="F25" s="497"/>
      <c r="G25" s="351"/>
      <c r="H25" s="351"/>
      <c r="I25" s="351"/>
      <c r="J25" s="351"/>
      <c r="K25" s="351"/>
      <c r="L25" s="494"/>
      <c r="M25" s="375"/>
    </row>
    <row r="26" spans="2:17">
      <c r="E26" s="484"/>
      <c r="F26" s="495" t="s">
        <v>1069</v>
      </c>
      <c r="G26" s="496" t="str">
        <f>IF(AND(G28&gt;1,G29&gt;1,G30&gt;1,G31&gt;=1,H28&gt;1,H29&gt;1,H30&gt;1,H31&gt;1,I28&gt;1,I29&gt;1,I30&gt;1,J28&gt;1,J30&gt;1,J31&gt;1),"Ready","Loading")</f>
        <v>Ready</v>
      </c>
      <c r="H26" s="493"/>
      <c r="I26" s="493"/>
      <c r="J26" s="493"/>
      <c r="K26" s="351"/>
      <c r="L26" s="494"/>
      <c r="M26" s="375"/>
    </row>
    <row r="27" spans="2:17">
      <c r="E27" s="484"/>
      <c r="F27" s="334"/>
      <c r="G27" s="334" t="s">
        <v>1062</v>
      </c>
      <c r="H27" s="334" t="s">
        <v>1063</v>
      </c>
      <c r="I27" s="334" t="s">
        <v>1064</v>
      </c>
      <c r="J27" s="334" t="s">
        <v>1065</v>
      </c>
      <c r="K27" s="334"/>
      <c r="L27" s="494"/>
      <c r="M27" s="375"/>
    </row>
    <row r="28" spans="2:17">
      <c r="E28" s="484"/>
      <c r="F28" s="334" t="s">
        <v>2</v>
      </c>
      <c r="G28" s="336">
        <f>COUNT('EUR Market Data'!$BB$10:$BB$79)</f>
        <v>16</v>
      </c>
      <c r="H28" s="336">
        <f>COUNT('EUR Market Data'!$BH$10:$BH$79)</f>
        <v>14</v>
      </c>
      <c r="I28" s="336">
        <f>COUNT('EUR Market Data'!$BN$10:$BN$80)</f>
        <v>16</v>
      </c>
      <c r="J28" s="336">
        <f>COUNT('EUR Market Data'!$BT$10:$BT$79)</f>
        <v>15</v>
      </c>
      <c r="K28" s="336"/>
      <c r="L28" s="494"/>
      <c r="M28" s="375"/>
    </row>
    <row r="29" spans="2:17">
      <c r="E29" s="484"/>
      <c r="F29" s="334" t="s">
        <v>181</v>
      </c>
      <c r="G29" s="336">
        <f>COUNT('USD Market Data'!$BB$10:$BB$79)</f>
        <v>15</v>
      </c>
      <c r="H29" s="336">
        <f>COUNT('USD Market Data'!$BH$10:$BH$79)</f>
        <v>15</v>
      </c>
      <c r="I29" s="336">
        <f>COUNT('USD Market Data'!$BN$10:$BN$80)</f>
        <v>12</v>
      </c>
      <c r="J29" s="422" t="s">
        <v>6</v>
      </c>
      <c r="K29" s="336"/>
      <c r="L29" s="494"/>
      <c r="M29" s="375"/>
    </row>
    <row r="30" spans="2:17">
      <c r="E30" s="484"/>
      <c r="F30" s="334" t="s">
        <v>187</v>
      </c>
      <c r="G30" s="336">
        <f>COUNT('GBP Market Data'!$BB$10:$BB$79)</f>
        <v>17</v>
      </c>
      <c r="H30" s="336">
        <f>COUNT('GBP Market Data'!$BH$10:$BH$79)</f>
        <v>17</v>
      </c>
      <c r="I30" s="336">
        <f>COUNT('GBP Market Data'!$BN$10:$BN$80)</f>
        <v>17</v>
      </c>
      <c r="J30" s="336">
        <f>COUNT('GBP Market Data'!$BT$10:$BT$79)</f>
        <v>15</v>
      </c>
      <c r="K30" s="336"/>
      <c r="L30" s="494"/>
      <c r="M30" s="375"/>
      <c r="N30" s="1003" t="s">
        <v>2619</v>
      </c>
    </row>
    <row r="31" spans="2:17">
      <c r="E31" s="484"/>
      <c r="F31" s="334" t="s">
        <v>188</v>
      </c>
      <c r="G31" s="336">
        <f>COUNT('JPY Market Data'!$BB$10:$BB$79)</f>
        <v>17</v>
      </c>
      <c r="H31" s="336">
        <f>COUNT('JPY Market Data'!$BH$10:$BH$79)</f>
        <v>16</v>
      </c>
      <c r="I31" s="422" t="s">
        <v>6</v>
      </c>
      <c r="J31" s="336">
        <f>COUNT('JPY Market Data'!$BT$10:$BT$79)</f>
        <v>16</v>
      </c>
      <c r="K31" s="336"/>
      <c r="L31" s="494"/>
      <c r="M31" s="375"/>
      <c r="N31" s="1395" t="s">
        <v>189</v>
      </c>
      <c r="O31" s="1422" t="b">
        <f ca="1">isOISCurveLoaded_JPYJSCC</f>
        <v>1</v>
      </c>
      <c r="P31" s="1422"/>
    </row>
    <row r="32" spans="2:17">
      <c r="E32" s="485"/>
      <c r="F32" s="486"/>
      <c r="G32" s="486"/>
      <c r="H32" s="486"/>
      <c r="I32" s="486"/>
      <c r="J32" s="486"/>
      <c r="K32" s="486"/>
      <c r="L32" s="487"/>
      <c r="M32" s="375"/>
      <c r="N32" s="1396" t="s">
        <v>355</v>
      </c>
      <c r="O32" s="1423" t="b">
        <f ca="1">isSTDCurveLoaded_JPYJSCC</f>
        <v>1</v>
      </c>
      <c r="P32" s="1423"/>
    </row>
    <row r="33" spans="2:17">
      <c r="M33" s="375"/>
    </row>
    <row r="34" spans="2:17">
      <c r="M34" s="375"/>
      <c r="N34" s="375"/>
      <c r="O34" s="375"/>
      <c r="P34" s="375"/>
      <c r="Q34" s="375"/>
    </row>
    <row r="35" spans="2:17">
      <c r="B35" s="724" t="s">
        <v>2092</v>
      </c>
      <c r="C35" s="489"/>
      <c r="D35" s="489"/>
      <c r="E35" s="489"/>
      <c r="F35" s="727" t="s">
        <v>1860</v>
      </c>
      <c r="G35" s="489"/>
      <c r="H35" s="727" t="s">
        <v>2091</v>
      </c>
      <c r="I35" s="489"/>
      <c r="J35" s="727" t="s">
        <v>2224</v>
      </c>
      <c r="K35" s="489"/>
      <c r="L35" s="489"/>
      <c r="M35" s="727" t="s">
        <v>2223</v>
      </c>
      <c r="N35" s="727"/>
      <c r="O35" s="489"/>
      <c r="P35" s="492"/>
    </row>
    <row r="36" spans="2:17">
      <c r="B36" s="484"/>
      <c r="C36" s="493"/>
      <c r="D36" s="493"/>
      <c r="E36" s="493"/>
      <c r="F36" s="493"/>
      <c r="G36" s="493"/>
      <c r="H36" s="493"/>
      <c r="I36" s="493"/>
      <c r="J36" s="493"/>
      <c r="K36" s="493"/>
      <c r="L36" s="493"/>
      <c r="M36" s="493"/>
      <c r="N36" s="493"/>
      <c r="O36" s="493"/>
      <c r="P36" s="494"/>
    </row>
    <row r="37" spans="2:17">
      <c r="B37" s="484"/>
      <c r="C37" s="493"/>
      <c r="D37" s="493"/>
      <c r="E37" s="493"/>
      <c r="F37" s="493"/>
      <c r="G37" s="493"/>
      <c r="H37" s="493"/>
      <c r="I37" s="493"/>
      <c r="J37" s="493"/>
      <c r="K37" s="493"/>
      <c r="L37" s="493"/>
      <c r="M37" s="493"/>
      <c r="N37" s="493"/>
      <c r="O37" s="493"/>
      <c r="P37" s="494"/>
    </row>
    <row r="38" spans="2:17">
      <c r="B38" s="484"/>
      <c r="C38" s="493"/>
      <c r="D38" s="493"/>
      <c r="E38" s="493"/>
      <c r="F38" s="493"/>
      <c r="G38" s="493"/>
      <c r="H38" s="493"/>
      <c r="I38" s="493"/>
      <c r="J38" s="493"/>
      <c r="K38" s="493"/>
      <c r="L38" s="493"/>
      <c r="M38" s="493"/>
      <c r="N38" s="493"/>
      <c r="O38" s="493"/>
      <c r="P38" s="494"/>
    </row>
    <row r="39" spans="2:17">
      <c r="B39" s="484"/>
      <c r="C39" s="493"/>
      <c r="D39" s="493"/>
      <c r="E39" s="493"/>
      <c r="F39" s="493"/>
      <c r="G39" s="493"/>
      <c r="H39" s="493"/>
      <c r="I39" s="493"/>
      <c r="J39" s="493"/>
      <c r="K39" s="493"/>
      <c r="L39" s="493"/>
      <c r="M39" s="493"/>
      <c r="N39" s="493"/>
      <c r="O39" s="493"/>
      <c r="P39" s="494"/>
    </row>
    <row r="40" spans="2:17">
      <c r="B40" s="484"/>
      <c r="C40" s="493"/>
      <c r="D40" s="493"/>
      <c r="E40" s="493"/>
      <c r="F40" s="493"/>
      <c r="G40" s="493"/>
      <c r="H40" s="495"/>
      <c r="I40" s="493"/>
      <c r="J40" s="493"/>
      <c r="K40" s="493"/>
      <c r="L40" s="493"/>
      <c r="M40" s="493"/>
      <c r="N40" s="493"/>
      <c r="O40" s="493"/>
      <c r="P40" s="494"/>
    </row>
    <row r="41" spans="2:17">
      <c r="B41" s="924" t="s">
        <v>2110</v>
      </c>
      <c r="C41" s="493"/>
      <c r="D41" s="493"/>
      <c r="E41" s="495"/>
      <c r="F41" s="925" t="s">
        <v>2111</v>
      </c>
      <c r="G41" s="493"/>
      <c r="H41" s="495" t="s">
        <v>2109</v>
      </c>
      <c r="I41" s="493"/>
      <c r="J41" s="495" t="s">
        <v>2128</v>
      </c>
      <c r="K41" s="493"/>
      <c r="L41" s="493"/>
      <c r="M41" s="495" t="s">
        <v>2141</v>
      </c>
      <c r="N41" s="493"/>
      <c r="O41" s="493"/>
      <c r="P41" s="494"/>
    </row>
    <row r="42" spans="2:17">
      <c r="B42" s="484"/>
      <c r="C42" s="493"/>
      <c r="D42" s="493"/>
      <c r="E42" s="493"/>
      <c r="F42" s="493"/>
      <c r="G42" s="493"/>
      <c r="H42" s="493"/>
      <c r="I42" s="493"/>
      <c r="J42" s="493"/>
      <c r="K42" s="493"/>
      <c r="L42" s="493"/>
      <c r="M42" s="493"/>
      <c r="N42" s="493"/>
      <c r="O42" s="493"/>
      <c r="P42" s="494"/>
    </row>
    <row r="43" spans="2:17">
      <c r="B43" s="484"/>
      <c r="C43" s="493"/>
      <c r="D43" s="493"/>
      <c r="E43" s="493"/>
      <c r="F43" s="493"/>
      <c r="G43" s="493"/>
      <c r="H43" s="493"/>
      <c r="I43" s="493"/>
      <c r="J43" s="493"/>
      <c r="K43" s="493"/>
      <c r="L43" s="493"/>
      <c r="M43" s="493"/>
      <c r="N43" s="493"/>
      <c r="O43" s="493"/>
      <c r="P43" s="494"/>
    </row>
    <row r="44" spans="2:17">
      <c r="B44" s="484"/>
      <c r="C44" s="493"/>
      <c r="D44" s="493"/>
      <c r="E44" s="493"/>
      <c r="F44" s="493"/>
      <c r="G44" s="493"/>
      <c r="H44" s="493"/>
      <c r="I44" s="493"/>
      <c r="J44" s="493"/>
      <c r="K44" s="493"/>
      <c r="L44" s="493"/>
      <c r="M44" s="493"/>
      <c r="N44" s="493"/>
      <c r="O44" s="493"/>
      <c r="P44" s="494"/>
    </row>
    <row r="45" spans="2:17">
      <c r="B45" s="485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M45" s="486"/>
      <c r="N45" s="486"/>
      <c r="O45" s="486"/>
      <c r="P45" s="487"/>
    </row>
    <row r="46" spans="2:17">
      <c r="G46" s="392"/>
      <c r="H46" s="392"/>
      <c r="J46" s="392"/>
    </row>
    <row r="47" spans="2:17">
      <c r="G47" s="392"/>
      <c r="H47" s="392"/>
      <c r="J47" s="392"/>
    </row>
    <row r="48" spans="2:17">
      <c r="G48" s="392"/>
      <c r="H48" s="392"/>
      <c r="J48" s="392"/>
    </row>
    <row r="49" spans="7:10">
      <c r="G49" s="392"/>
      <c r="H49" s="392"/>
      <c r="J49" s="392"/>
    </row>
    <row r="50" spans="7:10">
      <c r="G50" s="392"/>
      <c r="H50" s="392"/>
    </row>
    <row r="51" spans="7:10">
      <c r="G51" s="392"/>
      <c r="H51" s="392"/>
    </row>
    <row r="52" spans="7:10">
      <c r="G52" s="392"/>
      <c r="H52" s="392"/>
    </row>
    <row r="53" spans="7:10">
      <c r="G53" s="392"/>
      <c r="H53" s="392"/>
    </row>
    <row r="54" spans="7:10">
      <c r="G54" s="392"/>
      <c r="H54" s="392"/>
    </row>
    <row r="55" spans="7:10">
      <c r="G55" s="392"/>
      <c r="H55" s="392"/>
    </row>
    <row r="56" spans="7:10">
      <c r="G56" s="392"/>
      <c r="H56" s="392"/>
    </row>
    <row r="57" spans="7:10">
      <c r="G57" s="392"/>
      <c r="H57" s="392"/>
    </row>
    <row r="58" spans="7:10">
      <c r="G58" s="392"/>
      <c r="H58" s="392"/>
    </row>
    <row r="59" spans="7:10">
      <c r="G59" s="392"/>
      <c r="H59" s="392"/>
    </row>
    <row r="60" spans="7:10">
      <c r="G60" s="392"/>
      <c r="H60" s="392"/>
    </row>
    <row r="61" spans="7:10">
      <c r="G61" s="392"/>
      <c r="H61" s="392"/>
    </row>
    <row r="62" spans="7:10">
      <c r="G62" s="392"/>
      <c r="H62" s="392"/>
    </row>
    <row r="63" spans="7:10">
      <c r="G63" s="392"/>
      <c r="H63" s="392"/>
    </row>
    <row r="64" spans="7:10">
      <c r="G64" s="392"/>
      <c r="H64" s="392"/>
    </row>
    <row r="65" spans="7:8">
      <c r="G65" s="392"/>
      <c r="H65" s="392"/>
    </row>
    <row r="66" spans="7:8">
      <c r="G66" s="392"/>
      <c r="H66" s="392"/>
    </row>
    <row r="67" spans="7:8">
      <c r="G67" s="392"/>
      <c r="H67" s="392"/>
    </row>
    <row r="68" spans="7:8">
      <c r="G68" s="392"/>
      <c r="H68" s="392"/>
    </row>
    <row r="69" spans="7:8">
      <c r="G69" s="392"/>
      <c r="H69" s="392"/>
    </row>
    <row r="70" spans="7:8">
      <c r="G70" s="392"/>
      <c r="H70" s="392"/>
    </row>
    <row r="71" spans="7:8">
      <c r="G71" s="392"/>
      <c r="H71" s="392"/>
    </row>
    <row r="72" spans="7:8">
      <c r="G72" s="392"/>
      <c r="H72" s="392"/>
    </row>
    <row r="73" spans="7:8">
      <c r="G73" s="392"/>
      <c r="H73" s="392"/>
    </row>
    <row r="201" spans="1:20">
      <c r="A201" s="604" t="s">
        <v>12</v>
      </c>
      <c r="B201" s="605" t="s">
        <v>12</v>
      </c>
      <c r="C201" s="605" t="s">
        <v>12</v>
      </c>
      <c r="D201" s="605" t="s">
        <v>12</v>
      </c>
      <c r="E201" s="605" t="s">
        <v>12</v>
      </c>
      <c r="F201" s="605" t="s">
        <v>12</v>
      </c>
      <c r="G201" s="605" t="s">
        <v>12</v>
      </c>
      <c r="H201" s="605" t="s">
        <v>12</v>
      </c>
      <c r="I201" s="605" t="s">
        <v>12</v>
      </c>
      <c r="J201" s="605" t="s">
        <v>12</v>
      </c>
      <c r="K201" s="605" t="s">
        <v>12</v>
      </c>
      <c r="L201" s="605" t="s">
        <v>12</v>
      </c>
      <c r="M201" s="605" t="s">
        <v>12</v>
      </c>
      <c r="N201" s="605" t="s">
        <v>12</v>
      </c>
      <c r="O201" s="605" t="s">
        <v>12</v>
      </c>
      <c r="P201" s="605" t="s">
        <v>12</v>
      </c>
      <c r="Q201" s="605" t="s">
        <v>12</v>
      </c>
      <c r="R201" s="605" t="s">
        <v>12</v>
      </c>
      <c r="S201" s="605" t="s">
        <v>12</v>
      </c>
      <c r="T201" s="606" t="s">
        <v>12</v>
      </c>
    </row>
    <row r="202" spans="1:20">
      <c r="A202" s="607" t="s">
        <v>12</v>
      </c>
      <c r="B202" s="602" t="s">
        <v>1882</v>
      </c>
      <c r="C202" s="603" t="s">
        <v>12</v>
      </c>
      <c r="D202" s="603" t="s">
        <v>12</v>
      </c>
      <c r="E202" s="603" t="s">
        <v>12</v>
      </c>
      <c r="F202" s="603" t="s">
        <v>12</v>
      </c>
      <c r="G202" s="603" t="s">
        <v>12</v>
      </c>
      <c r="H202" s="603" t="s">
        <v>12</v>
      </c>
      <c r="I202" s="603" t="s">
        <v>12</v>
      </c>
      <c r="J202" s="603" t="s">
        <v>12</v>
      </c>
      <c r="K202" s="603" t="s">
        <v>12</v>
      </c>
      <c r="L202" s="603" t="s">
        <v>12</v>
      </c>
      <c r="M202" s="603" t="s">
        <v>12</v>
      </c>
      <c r="N202" s="603" t="s">
        <v>12</v>
      </c>
      <c r="O202" s="603" t="s">
        <v>12</v>
      </c>
      <c r="P202" s="603" t="s">
        <v>12</v>
      </c>
      <c r="Q202" s="603" t="s">
        <v>12</v>
      </c>
      <c r="R202" s="603" t="s">
        <v>12</v>
      </c>
      <c r="S202" s="603" t="s">
        <v>12</v>
      </c>
      <c r="T202" s="608" t="s">
        <v>12</v>
      </c>
    </row>
    <row r="203" spans="1:20">
      <c r="A203" s="607" t="s">
        <v>12</v>
      </c>
      <c r="B203" s="603" t="s">
        <v>12</v>
      </c>
      <c r="C203" s="603" t="s">
        <v>12</v>
      </c>
      <c r="D203" s="603" t="s">
        <v>12</v>
      </c>
      <c r="E203" s="603" t="s">
        <v>12</v>
      </c>
      <c r="F203" s="603" t="s">
        <v>12</v>
      </c>
      <c r="G203" s="603" t="s">
        <v>12</v>
      </c>
      <c r="H203" s="603" t="s">
        <v>12</v>
      </c>
      <c r="I203" s="603" t="s">
        <v>12</v>
      </c>
      <c r="J203" s="603" t="s">
        <v>12</v>
      </c>
      <c r="K203" s="603" t="s">
        <v>12</v>
      </c>
      <c r="L203" s="603" t="s">
        <v>12</v>
      </c>
      <c r="M203" s="603" t="s">
        <v>12</v>
      </c>
      <c r="N203" s="603" t="s">
        <v>12</v>
      </c>
      <c r="O203" s="603" t="s">
        <v>12</v>
      </c>
      <c r="P203" s="603" t="s">
        <v>12</v>
      </c>
      <c r="Q203" s="603" t="s">
        <v>12</v>
      </c>
      <c r="R203" s="603" t="s">
        <v>12</v>
      </c>
      <c r="S203" s="603" t="s">
        <v>12</v>
      </c>
      <c r="T203" s="608" t="s">
        <v>12</v>
      </c>
    </row>
    <row r="204" spans="1:20">
      <c r="A204" s="607" t="s">
        <v>12</v>
      </c>
      <c r="B204" s="602" t="s">
        <v>1</v>
      </c>
      <c r="C204" s="603" t="s">
        <v>12</v>
      </c>
      <c r="D204" s="603" t="s">
        <v>12</v>
      </c>
      <c r="E204" s="603" t="s">
        <v>12</v>
      </c>
      <c r="F204" s="603" t="s">
        <v>12</v>
      </c>
      <c r="G204" s="603" t="s">
        <v>12</v>
      </c>
      <c r="H204" s="603" t="s">
        <v>12</v>
      </c>
      <c r="I204" s="603" t="s">
        <v>12</v>
      </c>
      <c r="J204" s="603" t="s">
        <v>12</v>
      </c>
      <c r="K204" s="603" t="s">
        <v>12</v>
      </c>
      <c r="L204" s="603" t="s">
        <v>12</v>
      </c>
      <c r="M204" s="603" t="s">
        <v>12</v>
      </c>
      <c r="N204" s="603" t="s">
        <v>12</v>
      </c>
      <c r="O204" s="603" t="s">
        <v>12</v>
      </c>
      <c r="P204" s="603" t="s">
        <v>12</v>
      </c>
      <c r="Q204" s="603" t="s">
        <v>12</v>
      </c>
      <c r="R204" s="603" t="s">
        <v>12</v>
      </c>
      <c r="S204" s="603" t="s">
        <v>12</v>
      </c>
      <c r="T204" s="608" t="s">
        <v>12</v>
      </c>
    </row>
    <row r="205" spans="1:20">
      <c r="A205" s="607"/>
      <c r="B205" s="603" t="s">
        <v>1884</v>
      </c>
      <c r="C205" s="603" t="s">
        <v>1885</v>
      </c>
      <c r="D205" s="603"/>
      <c r="E205" s="603"/>
      <c r="F205" s="603"/>
      <c r="G205" s="603"/>
      <c r="H205" s="603"/>
      <c r="I205" s="603"/>
      <c r="J205" s="603"/>
      <c r="K205" s="603"/>
      <c r="L205" s="603"/>
      <c r="M205" s="603"/>
      <c r="N205" s="603"/>
      <c r="O205" s="603"/>
      <c r="P205" s="603"/>
      <c r="Q205" s="603"/>
      <c r="R205" s="603"/>
      <c r="S205" s="603"/>
      <c r="T205" s="608"/>
    </row>
    <row r="206" spans="1:20">
      <c r="A206" s="607" t="s">
        <v>12</v>
      </c>
      <c r="B206" s="612">
        <v>0</v>
      </c>
      <c r="C206" s="613" t="s">
        <v>1883</v>
      </c>
      <c r="D206" s="603" t="s">
        <v>12</v>
      </c>
      <c r="E206" s="603" t="s">
        <v>12</v>
      </c>
      <c r="F206" s="603" t="s">
        <v>12</v>
      </c>
      <c r="G206" s="603" t="s">
        <v>12</v>
      </c>
      <c r="H206" s="603" t="s">
        <v>12</v>
      </c>
      <c r="I206" s="603" t="s">
        <v>12</v>
      </c>
      <c r="J206" s="603" t="s">
        <v>12</v>
      </c>
      <c r="K206" s="603" t="s">
        <v>12</v>
      </c>
      <c r="L206" s="603" t="s">
        <v>12</v>
      </c>
      <c r="M206" s="603" t="s">
        <v>12</v>
      </c>
      <c r="N206" s="603" t="s">
        <v>12</v>
      </c>
      <c r="O206" s="603" t="s">
        <v>12</v>
      </c>
      <c r="P206" s="603" t="s">
        <v>12</v>
      </c>
      <c r="Q206" s="603" t="s">
        <v>12</v>
      </c>
      <c r="R206" s="603" t="s">
        <v>12</v>
      </c>
      <c r="S206" s="603" t="s">
        <v>12</v>
      </c>
      <c r="T206" s="608" t="s">
        <v>12</v>
      </c>
    </row>
    <row r="207" spans="1:20">
      <c r="A207" s="607" t="s">
        <v>12</v>
      </c>
      <c r="B207" s="614">
        <v>1</v>
      </c>
      <c r="C207" s="615" t="s">
        <v>146</v>
      </c>
      <c r="D207" s="603" t="s">
        <v>12</v>
      </c>
      <c r="E207" s="603" t="s">
        <v>12</v>
      </c>
      <c r="F207" s="603" t="s">
        <v>12</v>
      </c>
      <c r="G207" s="603" t="s">
        <v>12</v>
      </c>
      <c r="H207" s="603" t="s">
        <v>12</v>
      </c>
      <c r="I207" s="603" t="s">
        <v>12</v>
      </c>
      <c r="J207" s="603" t="s">
        <v>12</v>
      </c>
      <c r="K207" s="603" t="s">
        <v>12</v>
      </c>
      <c r="L207" s="603" t="s">
        <v>12</v>
      </c>
      <c r="M207" s="603" t="s">
        <v>12</v>
      </c>
      <c r="N207" s="603" t="s">
        <v>12</v>
      </c>
      <c r="O207" s="603" t="s">
        <v>12</v>
      </c>
      <c r="P207" s="603" t="s">
        <v>12</v>
      </c>
      <c r="Q207" s="603" t="s">
        <v>12</v>
      </c>
      <c r="R207" s="603" t="s">
        <v>12</v>
      </c>
      <c r="S207" s="603" t="s">
        <v>12</v>
      </c>
      <c r="T207" s="608" t="s">
        <v>12</v>
      </c>
    </row>
    <row r="208" spans="1:20">
      <c r="A208" s="607" t="s">
        <v>12</v>
      </c>
      <c r="B208" s="614">
        <v>2</v>
      </c>
      <c r="C208" s="615" t="s">
        <v>76</v>
      </c>
      <c r="D208" s="603" t="s">
        <v>12</v>
      </c>
      <c r="E208" s="603" t="s">
        <v>12</v>
      </c>
      <c r="F208" s="603" t="s">
        <v>12</v>
      </c>
      <c r="G208" s="603" t="s">
        <v>12</v>
      </c>
      <c r="H208" s="603" t="s">
        <v>12</v>
      </c>
      <c r="I208" s="603" t="s">
        <v>12</v>
      </c>
      <c r="J208" s="603" t="s">
        <v>12</v>
      </c>
      <c r="K208" s="603" t="s">
        <v>12</v>
      </c>
      <c r="L208" s="603" t="s">
        <v>12</v>
      </c>
      <c r="M208" s="603" t="s">
        <v>12</v>
      </c>
      <c r="N208" s="603" t="s">
        <v>12</v>
      </c>
      <c r="O208" s="603" t="s">
        <v>12</v>
      </c>
      <c r="P208" s="603" t="s">
        <v>12</v>
      </c>
      <c r="Q208" s="603" t="s">
        <v>12</v>
      </c>
      <c r="R208" s="603" t="s">
        <v>12</v>
      </c>
      <c r="S208" s="603" t="s">
        <v>12</v>
      </c>
      <c r="T208" s="608" t="s">
        <v>12</v>
      </c>
    </row>
    <row r="209" spans="1:20">
      <c r="A209" s="607" t="s">
        <v>12</v>
      </c>
      <c r="B209" s="614">
        <v>4</v>
      </c>
      <c r="C209" s="615" t="s">
        <v>75</v>
      </c>
      <c r="D209" s="603" t="s">
        <v>12</v>
      </c>
      <c r="E209" s="603" t="s">
        <v>12</v>
      </c>
      <c r="F209" s="603" t="s">
        <v>12</v>
      </c>
      <c r="G209" s="603" t="s">
        <v>12</v>
      </c>
      <c r="H209" s="603" t="s">
        <v>12</v>
      </c>
      <c r="I209" s="603" t="s">
        <v>12</v>
      </c>
      <c r="J209" s="603" t="s">
        <v>12</v>
      </c>
      <c r="K209" s="603" t="s">
        <v>12</v>
      </c>
      <c r="L209" s="603" t="s">
        <v>12</v>
      </c>
      <c r="M209" s="603" t="s">
        <v>12</v>
      </c>
      <c r="N209" s="603" t="s">
        <v>12</v>
      </c>
      <c r="O209" s="603" t="s">
        <v>12</v>
      </c>
      <c r="P209" s="603" t="s">
        <v>12</v>
      </c>
      <c r="Q209" s="603" t="s">
        <v>12</v>
      </c>
      <c r="R209" s="603" t="s">
        <v>12</v>
      </c>
      <c r="S209" s="603" t="s">
        <v>12</v>
      </c>
      <c r="T209" s="608" t="s">
        <v>12</v>
      </c>
    </row>
    <row r="210" spans="1:20">
      <c r="A210" s="607" t="s">
        <v>12</v>
      </c>
      <c r="B210" s="616">
        <v>12</v>
      </c>
      <c r="C210" s="617" t="s">
        <v>80</v>
      </c>
      <c r="D210" s="603" t="s">
        <v>12</v>
      </c>
      <c r="E210" s="603" t="s">
        <v>12</v>
      </c>
      <c r="F210" s="603" t="s">
        <v>12</v>
      </c>
      <c r="G210" s="603" t="s">
        <v>12</v>
      </c>
      <c r="H210" s="603" t="s">
        <v>12</v>
      </c>
      <c r="I210" s="603" t="s">
        <v>12</v>
      </c>
      <c r="J210" s="603" t="s">
        <v>12</v>
      </c>
      <c r="K210" s="603" t="s">
        <v>12</v>
      </c>
      <c r="L210" s="603" t="s">
        <v>12</v>
      </c>
      <c r="M210" s="603" t="s">
        <v>12</v>
      </c>
      <c r="N210" s="603" t="s">
        <v>12</v>
      </c>
      <c r="O210" s="603" t="s">
        <v>12</v>
      </c>
      <c r="P210" s="603" t="s">
        <v>12</v>
      </c>
      <c r="Q210" s="603" t="s">
        <v>12</v>
      </c>
      <c r="R210" s="603" t="s">
        <v>12</v>
      </c>
      <c r="S210" s="603" t="s">
        <v>12</v>
      </c>
      <c r="T210" s="608" t="s">
        <v>12</v>
      </c>
    </row>
    <row r="211" spans="1:20">
      <c r="A211" s="607" t="s">
        <v>12</v>
      </c>
      <c r="B211" s="603" t="s">
        <v>12</v>
      </c>
      <c r="C211" s="603" t="s">
        <v>12</v>
      </c>
      <c r="D211" s="603" t="s">
        <v>12</v>
      </c>
      <c r="E211" s="603" t="s">
        <v>12</v>
      </c>
      <c r="F211" s="603" t="s">
        <v>12</v>
      </c>
      <c r="G211" s="603" t="s">
        <v>12</v>
      </c>
      <c r="H211" s="603" t="s">
        <v>12</v>
      </c>
      <c r="I211" s="603" t="s">
        <v>12</v>
      </c>
      <c r="J211" s="603" t="s">
        <v>12</v>
      </c>
      <c r="K211" s="603" t="s">
        <v>12</v>
      </c>
      <c r="L211" s="603" t="s">
        <v>12</v>
      </c>
      <c r="M211" s="603" t="s">
        <v>12</v>
      </c>
      <c r="N211" s="603" t="s">
        <v>12</v>
      </c>
      <c r="O211" s="603" t="s">
        <v>12</v>
      </c>
      <c r="P211" s="603" t="s">
        <v>12</v>
      </c>
      <c r="Q211" s="603" t="s">
        <v>12</v>
      </c>
      <c r="R211" s="603" t="s">
        <v>12</v>
      </c>
      <c r="S211" s="603" t="s">
        <v>12</v>
      </c>
      <c r="T211" s="608" t="s">
        <v>12</v>
      </c>
    </row>
    <row r="212" spans="1:20">
      <c r="A212" s="607"/>
      <c r="B212" s="603"/>
      <c r="C212" s="603"/>
      <c r="D212" s="603"/>
      <c r="E212" s="603"/>
      <c r="F212" s="603"/>
      <c r="G212" s="603"/>
      <c r="H212" s="603"/>
      <c r="I212" s="603"/>
      <c r="J212" s="603"/>
      <c r="K212" s="603"/>
      <c r="L212" s="603"/>
      <c r="M212" s="603"/>
      <c r="N212" s="603"/>
      <c r="O212" s="603"/>
      <c r="P212" s="603"/>
      <c r="Q212" s="603"/>
      <c r="R212" s="603"/>
      <c r="S212" s="603"/>
      <c r="T212" s="608"/>
    </row>
    <row r="213" spans="1:20">
      <c r="A213" s="607" t="s">
        <v>12</v>
      </c>
      <c r="B213" s="603"/>
      <c r="C213" s="603"/>
      <c r="D213" s="603" t="s">
        <v>12</v>
      </c>
      <c r="E213" s="603" t="s">
        <v>12</v>
      </c>
      <c r="F213" s="603" t="s">
        <v>12</v>
      </c>
      <c r="G213" s="603" t="s">
        <v>12</v>
      </c>
      <c r="H213" s="603" t="s">
        <v>12</v>
      </c>
      <c r="I213" s="603" t="s">
        <v>12</v>
      </c>
      <c r="J213" s="603" t="s">
        <v>12</v>
      </c>
      <c r="K213" s="603" t="s">
        <v>12</v>
      </c>
      <c r="L213" s="603" t="s">
        <v>12</v>
      </c>
      <c r="M213" s="603" t="s">
        <v>12</v>
      </c>
      <c r="N213" s="603" t="s">
        <v>12</v>
      </c>
      <c r="O213" s="603" t="s">
        <v>12</v>
      </c>
      <c r="P213" s="603" t="s">
        <v>12</v>
      </c>
      <c r="Q213" s="603" t="s">
        <v>12</v>
      </c>
      <c r="R213" s="603" t="s">
        <v>12</v>
      </c>
      <c r="S213" s="603" t="s">
        <v>12</v>
      </c>
      <c r="T213" s="608" t="s">
        <v>12</v>
      </c>
    </row>
    <row r="214" spans="1:20">
      <c r="A214" s="607" t="s">
        <v>12</v>
      </c>
      <c r="B214" s="603"/>
      <c r="C214" s="603"/>
      <c r="D214" s="603" t="s">
        <v>12</v>
      </c>
      <c r="E214" s="603" t="s">
        <v>12</v>
      </c>
      <c r="F214" s="603" t="s">
        <v>12</v>
      </c>
      <c r="G214" s="603" t="s">
        <v>12</v>
      </c>
      <c r="H214" s="603" t="s">
        <v>12</v>
      </c>
      <c r="I214" s="603" t="s">
        <v>12</v>
      </c>
      <c r="J214" s="603" t="s">
        <v>12</v>
      </c>
      <c r="K214" s="603" t="s">
        <v>12</v>
      </c>
      <c r="L214" s="603" t="s">
        <v>12</v>
      </c>
      <c r="M214" s="603" t="s">
        <v>12</v>
      </c>
      <c r="N214" s="603" t="s">
        <v>12</v>
      </c>
      <c r="O214" s="603" t="s">
        <v>12</v>
      </c>
      <c r="P214" s="603" t="s">
        <v>12</v>
      </c>
      <c r="Q214" s="603" t="s">
        <v>12</v>
      </c>
      <c r="R214" s="603" t="s">
        <v>12</v>
      </c>
      <c r="S214" s="603" t="s">
        <v>12</v>
      </c>
      <c r="T214" s="608" t="s">
        <v>12</v>
      </c>
    </row>
    <row r="215" spans="1:20">
      <c r="A215" s="607" t="s">
        <v>12</v>
      </c>
      <c r="B215" s="603" t="s">
        <v>12</v>
      </c>
      <c r="C215" s="603" t="s">
        <v>12</v>
      </c>
      <c r="D215" s="603" t="s">
        <v>12</v>
      </c>
      <c r="E215" s="603" t="s">
        <v>12</v>
      </c>
      <c r="F215" s="603" t="s">
        <v>12</v>
      </c>
      <c r="G215" s="603" t="s">
        <v>12</v>
      </c>
      <c r="H215" s="603" t="s">
        <v>12</v>
      </c>
      <c r="I215" s="603" t="s">
        <v>12</v>
      </c>
      <c r="J215" s="603" t="s">
        <v>12</v>
      </c>
      <c r="K215" s="603" t="s">
        <v>12</v>
      </c>
      <c r="L215" s="603" t="s">
        <v>12</v>
      </c>
      <c r="M215" s="603" t="s">
        <v>12</v>
      </c>
      <c r="N215" s="603" t="s">
        <v>12</v>
      </c>
      <c r="O215" s="603" t="s">
        <v>12</v>
      </c>
      <c r="P215" s="603" t="s">
        <v>12</v>
      </c>
      <c r="Q215" s="603" t="s">
        <v>12</v>
      </c>
      <c r="R215" s="603" t="s">
        <v>12</v>
      </c>
      <c r="S215" s="603" t="s">
        <v>12</v>
      </c>
      <c r="T215" s="608" t="s">
        <v>12</v>
      </c>
    </row>
    <row r="216" spans="1:20">
      <c r="A216" s="607" t="s">
        <v>12</v>
      </c>
      <c r="B216" s="603" t="s">
        <v>12</v>
      </c>
      <c r="C216" s="603" t="s">
        <v>12</v>
      </c>
      <c r="D216" s="603" t="s">
        <v>12</v>
      </c>
      <c r="E216" s="603" t="s">
        <v>12</v>
      </c>
      <c r="F216" s="603" t="s">
        <v>12</v>
      </c>
      <c r="G216" s="603" t="s">
        <v>12</v>
      </c>
      <c r="H216" s="603" t="s">
        <v>12</v>
      </c>
      <c r="I216" s="603" t="s">
        <v>12</v>
      </c>
      <c r="J216" s="603" t="s">
        <v>12</v>
      </c>
      <c r="K216" s="603" t="s">
        <v>12</v>
      </c>
      <c r="L216" s="603" t="s">
        <v>12</v>
      </c>
      <c r="M216" s="603" t="s">
        <v>12</v>
      </c>
      <c r="N216" s="603" t="s">
        <v>12</v>
      </c>
      <c r="O216" s="603" t="s">
        <v>12</v>
      </c>
      <c r="P216" s="603" t="s">
        <v>12</v>
      </c>
      <c r="Q216" s="603" t="s">
        <v>12</v>
      </c>
      <c r="R216" s="603" t="s">
        <v>12</v>
      </c>
      <c r="S216" s="603" t="s">
        <v>12</v>
      </c>
      <c r="T216" s="608" t="s">
        <v>12</v>
      </c>
    </row>
    <row r="217" spans="1:20">
      <c r="A217" s="607" t="s">
        <v>12</v>
      </c>
      <c r="B217" s="603" t="s">
        <v>12</v>
      </c>
      <c r="C217" s="603" t="s">
        <v>12</v>
      </c>
      <c r="D217" s="603" t="s">
        <v>12</v>
      </c>
      <c r="E217" s="603" t="s">
        <v>12</v>
      </c>
      <c r="F217" s="603" t="s">
        <v>12</v>
      </c>
      <c r="G217" s="603" t="s">
        <v>12</v>
      </c>
      <c r="H217" s="603" t="s">
        <v>12</v>
      </c>
      <c r="I217" s="603" t="s">
        <v>12</v>
      </c>
      <c r="J217" s="603" t="s">
        <v>12</v>
      </c>
      <c r="K217" s="603" t="s">
        <v>12</v>
      </c>
      <c r="L217" s="603" t="s">
        <v>12</v>
      </c>
      <c r="M217" s="603" t="s">
        <v>12</v>
      </c>
      <c r="N217" s="603" t="s">
        <v>12</v>
      </c>
      <c r="O217" s="603" t="s">
        <v>12</v>
      </c>
      <c r="P217" s="603" t="s">
        <v>12</v>
      </c>
      <c r="Q217" s="603" t="s">
        <v>12</v>
      </c>
      <c r="R217" s="603" t="s">
        <v>12</v>
      </c>
      <c r="S217" s="603" t="s">
        <v>12</v>
      </c>
      <c r="T217" s="608" t="s">
        <v>12</v>
      </c>
    </row>
    <row r="218" spans="1:20">
      <c r="A218" s="607" t="s">
        <v>12</v>
      </c>
      <c r="B218" s="603" t="s">
        <v>12</v>
      </c>
      <c r="C218" s="603" t="s">
        <v>12</v>
      </c>
      <c r="D218" s="603" t="s">
        <v>12</v>
      </c>
      <c r="E218" s="603" t="s">
        <v>12</v>
      </c>
      <c r="F218" s="603" t="s">
        <v>12</v>
      </c>
      <c r="G218" s="603" t="s">
        <v>12</v>
      </c>
      <c r="H218" s="603" t="s">
        <v>12</v>
      </c>
      <c r="I218" s="603" t="s">
        <v>12</v>
      </c>
      <c r="J218" s="603" t="s">
        <v>12</v>
      </c>
      <c r="K218" s="603" t="s">
        <v>12</v>
      </c>
      <c r="L218" s="603" t="s">
        <v>12</v>
      </c>
      <c r="M218" s="603" t="s">
        <v>12</v>
      </c>
      <c r="N218" s="603" t="s">
        <v>12</v>
      </c>
      <c r="O218" s="603" t="s">
        <v>12</v>
      </c>
      <c r="P218" s="603" t="s">
        <v>12</v>
      </c>
      <c r="Q218" s="603" t="s">
        <v>12</v>
      </c>
      <c r="R218" s="603" t="s">
        <v>12</v>
      </c>
      <c r="S218" s="603" t="s">
        <v>12</v>
      </c>
      <c r="T218" s="608" t="s">
        <v>12</v>
      </c>
    </row>
    <row r="219" spans="1:20">
      <c r="A219" s="607" t="s">
        <v>12</v>
      </c>
      <c r="B219" s="603" t="s">
        <v>12</v>
      </c>
      <c r="C219" s="603" t="s">
        <v>12</v>
      </c>
      <c r="D219" s="603" t="s">
        <v>12</v>
      </c>
      <c r="E219" s="603" t="s">
        <v>12</v>
      </c>
      <c r="F219" s="603" t="s">
        <v>12</v>
      </c>
      <c r="G219" s="603" t="s">
        <v>12</v>
      </c>
      <c r="H219" s="603" t="s">
        <v>12</v>
      </c>
      <c r="I219" s="603" t="s">
        <v>12</v>
      </c>
      <c r="J219" s="603" t="s">
        <v>12</v>
      </c>
      <c r="K219" s="603" t="s">
        <v>12</v>
      </c>
      <c r="L219" s="603" t="s">
        <v>12</v>
      </c>
      <c r="M219" s="603" t="s">
        <v>12</v>
      </c>
      <c r="N219" s="603" t="s">
        <v>12</v>
      </c>
      <c r="O219" s="603" t="s">
        <v>12</v>
      </c>
      <c r="P219" s="603" t="s">
        <v>12</v>
      </c>
      <c r="Q219" s="603" t="s">
        <v>12</v>
      </c>
      <c r="R219" s="603" t="s">
        <v>12</v>
      </c>
      <c r="S219" s="603" t="s">
        <v>12</v>
      </c>
      <c r="T219" s="608" t="s">
        <v>12</v>
      </c>
    </row>
    <row r="220" spans="1:20">
      <c r="A220" s="607" t="s">
        <v>12</v>
      </c>
      <c r="B220" s="603" t="s">
        <v>12</v>
      </c>
      <c r="C220" s="603" t="s">
        <v>12</v>
      </c>
      <c r="D220" s="603" t="s">
        <v>12</v>
      </c>
      <c r="E220" s="603" t="s">
        <v>12</v>
      </c>
      <c r="F220" s="603" t="s">
        <v>12</v>
      </c>
      <c r="G220" s="603" t="s">
        <v>12</v>
      </c>
      <c r="H220" s="603" t="s">
        <v>12</v>
      </c>
      <c r="I220" s="603" t="s">
        <v>12</v>
      </c>
      <c r="J220" s="603" t="s">
        <v>12</v>
      </c>
      <c r="K220" s="603" t="s">
        <v>12</v>
      </c>
      <c r="L220" s="603" t="s">
        <v>12</v>
      </c>
      <c r="M220" s="603" t="s">
        <v>12</v>
      </c>
      <c r="N220" s="603" t="s">
        <v>12</v>
      </c>
      <c r="O220" s="603" t="s">
        <v>12</v>
      </c>
      <c r="P220" s="603" t="s">
        <v>12</v>
      </c>
      <c r="Q220" s="603" t="s">
        <v>12</v>
      </c>
      <c r="R220" s="603" t="s">
        <v>12</v>
      </c>
      <c r="S220" s="603" t="s">
        <v>12</v>
      </c>
      <c r="T220" s="608" t="s">
        <v>12</v>
      </c>
    </row>
    <row r="221" spans="1:20">
      <c r="A221" s="607" t="s">
        <v>12</v>
      </c>
      <c r="B221" s="603" t="s">
        <v>12</v>
      </c>
      <c r="C221" s="603" t="s">
        <v>12</v>
      </c>
      <c r="D221" s="603" t="s">
        <v>12</v>
      </c>
      <c r="E221" s="603" t="s">
        <v>12</v>
      </c>
      <c r="F221" s="603" t="s">
        <v>12</v>
      </c>
      <c r="G221" s="603" t="s">
        <v>12</v>
      </c>
      <c r="H221" s="603" t="s">
        <v>12</v>
      </c>
      <c r="I221" s="603" t="s">
        <v>12</v>
      </c>
      <c r="J221" s="603" t="s">
        <v>12</v>
      </c>
      <c r="K221" s="603" t="s">
        <v>12</v>
      </c>
      <c r="L221" s="603" t="s">
        <v>12</v>
      </c>
      <c r="M221" s="603" t="s">
        <v>12</v>
      </c>
      <c r="N221" s="603" t="s">
        <v>12</v>
      </c>
      <c r="O221" s="603" t="s">
        <v>12</v>
      </c>
      <c r="P221" s="603" t="s">
        <v>12</v>
      </c>
      <c r="Q221" s="603" t="s">
        <v>12</v>
      </c>
      <c r="R221" s="603" t="s">
        <v>12</v>
      </c>
      <c r="S221" s="603" t="s">
        <v>12</v>
      </c>
      <c r="T221" s="608" t="s">
        <v>12</v>
      </c>
    </row>
    <row r="222" spans="1:20">
      <c r="A222" s="607" t="s">
        <v>12</v>
      </c>
      <c r="B222" s="603" t="s">
        <v>12</v>
      </c>
      <c r="C222" s="603" t="s">
        <v>12</v>
      </c>
      <c r="D222" s="603" t="s">
        <v>12</v>
      </c>
      <c r="E222" s="603" t="s">
        <v>12</v>
      </c>
      <c r="F222" s="603" t="s">
        <v>12</v>
      </c>
      <c r="G222" s="603" t="s">
        <v>12</v>
      </c>
      <c r="H222" s="603" t="s">
        <v>12</v>
      </c>
      <c r="I222" s="603" t="s">
        <v>12</v>
      </c>
      <c r="J222" s="603" t="s">
        <v>12</v>
      </c>
      <c r="K222" s="603" t="s">
        <v>12</v>
      </c>
      <c r="L222" s="603" t="s">
        <v>12</v>
      </c>
      <c r="M222" s="603" t="s">
        <v>12</v>
      </c>
      <c r="N222" s="603" t="s">
        <v>12</v>
      </c>
      <c r="O222" s="603" t="s">
        <v>12</v>
      </c>
      <c r="P222" s="603" t="s">
        <v>12</v>
      </c>
      <c r="Q222" s="603" t="s">
        <v>12</v>
      </c>
      <c r="R222" s="603" t="s">
        <v>12</v>
      </c>
      <c r="S222" s="603" t="s">
        <v>12</v>
      </c>
      <c r="T222" s="608" t="s">
        <v>12</v>
      </c>
    </row>
    <row r="223" spans="1:20">
      <c r="A223" s="607" t="s">
        <v>12</v>
      </c>
      <c r="B223" s="603" t="s">
        <v>12</v>
      </c>
      <c r="C223" s="603" t="s">
        <v>12</v>
      </c>
      <c r="D223" s="603" t="s">
        <v>12</v>
      </c>
      <c r="E223" s="603" t="s">
        <v>12</v>
      </c>
      <c r="F223" s="603" t="s">
        <v>12</v>
      </c>
      <c r="G223" s="603" t="s">
        <v>12</v>
      </c>
      <c r="H223" s="603" t="s">
        <v>12</v>
      </c>
      <c r="I223" s="603" t="s">
        <v>12</v>
      </c>
      <c r="J223" s="603" t="s">
        <v>12</v>
      </c>
      <c r="K223" s="603" t="s">
        <v>12</v>
      </c>
      <c r="L223" s="603" t="s">
        <v>12</v>
      </c>
      <c r="M223" s="603" t="s">
        <v>12</v>
      </c>
      <c r="N223" s="603" t="s">
        <v>12</v>
      </c>
      <c r="O223" s="603" t="s">
        <v>12</v>
      </c>
      <c r="P223" s="603" t="s">
        <v>12</v>
      </c>
      <c r="Q223" s="603" t="s">
        <v>12</v>
      </c>
      <c r="R223" s="603" t="s">
        <v>12</v>
      </c>
      <c r="S223" s="603" t="s">
        <v>12</v>
      </c>
      <c r="T223" s="608" t="s">
        <v>12</v>
      </c>
    </row>
    <row r="224" spans="1:20">
      <c r="A224" s="607" t="s">
        <v>12</v>
      </c>
      <c r="B224" s="603" t="s">
        <v>12</v>
      </c>
      <c r="C224" s="603" t="s">
        <v>12</v>
      </c>
      <c r="D224" s="603" t="s">
        <v>12</v>
      </c>
      <c r="E224" s="603" t="s">
        <v>12</v>
      </c>
      <c r="F224" s="603" t="s">
        <v>12</v>
      </c>
      <c r="G224" s="603" t="s">
        <v>12</v>
      </c>
      <c r="H224" s="603" t="s">
        <v>12</v>
      </c>
      <c r="I224" s="603" t="s">
        <v>12</v>
      </c>
      <c r="J224" s="603" t="s">
        <v>12</v>
      </c>
      <c r="K224" s="603" t="s">
        <v>12</v>
      </c>
      <c r="L224" s="603" t="s">
        <v>12</v>
      </c>
      <c r="M224" s="603" t="s">
        <v>12</v>
      </c>
      <c r="N224" s="603" t="s">
        <v>12</v>
      </c>
      <c r="O224" s="603" t="s">
        <v>12</v>
      </c>
      <c r="P224" s="603" t="s">
        <v>12</v>
      </c>
      <c r="Q224" s="603" t="s">
        <v>12</v>
      </c>
      <c r="R224" s="603" t="s">
        <v>12</v>
      </c>
      <c r="S224" s="603" t="s">
        <v>12</v>
      </c>
      <c r="T224" s="608" t="s">
        <v>12</v>
      </c>
    </row>
    <row r="225" spans="1:20">
      <c r="A225" s="607" t="s">
        <v>12</v>
      </c>
      <c r="B225" s="603" t="s">
        <v>12</v>
      </c>
      <c r="C225" s="603" t="s">
        <v>12</v>
      </c>
      <c r="D225" s="603" t="s">
        <v>12</v>
      </c>
      <c r="E225" s="603" t="s">
        <v>12</v>
      </c>
      <c r="F225" s="603" t="s">
        <v>12</v>
      </c>
      <c r="G225" s="603" t="s">
        <v>12</v>
      </c>
      <c r="H225" s="603" t="s">
        <v>12</v>
      </c>
      <c r="I225" s="603" t="s">
        <v>12</v>
      </c>
      <c r="J225" s="603" t="s">
        <v>12</v>
      </c>
      <c r="K225" s="603" t="s">
        <v>12</v>
      </c>
      <c r="L225" s="603" t="s">
        <v>12</v>
      </c>
      <c r="M225" s="603" t="s">
        <v>12</v>
      </c>
      <c r="N225" s="603" t="s">
        <v>12</v>
      </c>
      <c r="O225" s="603" t="s">
        <v>12</v>
      </c>
      <c r="P225" s="603" t="s">
        <v>12</v>
      </c>
      <c r="Q225" s="603" t="s">
        <v>12</v>
      </c>
      <c r="R225" s="603" t="s">
        <v>12</v>
      </c>
      <c r="S225" s="603" t="s">
        <v>12</v>
      </c>
      <c r="T225" s="608" t="s">
        <v>12</v>
      </c>
    </row>
    <row r="226" spans="1:20">
      <c r="A226" s="607" t="s">
        <v>12</v>
      </c>
      <c r="B226" s="603" t="s">
        <v>12</v>
      </c>
      <c r="C226" s="603" t="s">
        <v>12</v>
      </c>
      <c r="D226" s="603" t="s">
        <v>12</v>
      </c>
      <c r="E226" s="603" t="s">
        <v>12</v>
      </c>
      <c r="F226" s="603" t="s">
        <v>12</v>
      </c>
      <c r="G226" s="603" t="s">
        <v>12</v>
      </c>
      <c r="H226" s="603" t="s">
        <v>12</v>
      </c>
      <c r="I226" s="603" t="s">
        <v>12</v>
      </c>
      <c r="J226" s="603" t="s">
        <v>12</v>
      </c>
      <c r="K226" s="603" t="s">
        <v>12</v>
      </c>
      <c r="L226" s="603" t="s">
        <v>12</v>
      </c>
      <c r="M226" s="603" t="s">
        <v>12</v>
      </c>
      <c r="N226" s="603" t="s">
        <v>12</v>
      </c>
      <c r="O226" s="603" t="s">
        <v>12</v>
      </c>
      <c r="P226" s="603" t="s">
        <v>12</v>
      </c>
      <c r="Q226" s="603" t="s">
        <v>12</v>
      </c>
      <c r="R226" s="603" t="s">
        <v>12</v>
      </c>
      <c r="S226" s="603" t="s">
        <v>12</v>
      </c>
      <c r="T226" s="608" t="s">
        <v>12</v>
      </c>
    </row>
    <row r="227" spans="1:20">
      <c r="A227" s="607" t="s">
        <v>12</v>
      </c>
      <c r="B227" s="603" t="s">
        <v>12</v>
      </c>
      <c r="C227" s="603" t="s">
        <v>12</v>
      </c>
      <c r="D227" s="603" t="s">
        <v>12</v>
      </c>
      <c r="E227" s="603" t="s">
        <v>12</v>
      </c>
      <c r="F227" s="603" t="s">
        <v>12</v>
      </c>
      <c r="G227" s="603" t="s">
        <v>12</v>
      </c>
      <c r="H227" s="603" t="s">
        <v>12</v>
      </c>
      <c r="I227" s="603" t="s">
        <v>12</v>
      </c>
      <c r="J227" s="603" t="s">
        <v>12</v>
      </c>
      <c r="K227" s="603" t="s">
        <v>12</v>
      </c>
      <c r="L227" s="603" t="s">
        <v>12</v>
      </c>
      <c r="M227" s="603" t="s">
        <v>12</v>
      </c>
      <c r="N227" s="603" t="s">
        <v>12</v>
      </c>
      <c r="O227" s="603" t="s">
        <v>12</v>
      </c>
      <c r="P227" s="603" t="s">
        <v>12</v>
      </c>
      <c r="Q227" s="603" t="s">
        <v>12</v>
      </c>
      <c r="R227" s="603" t="s">
        <v>12</v>
      </c>
      <c r="S227" s="603" t="s">
        <v>12</v>
      </c>
      <c r="T227" s="608" t="s">
        <v>12</v>
      </c>
    </row>
    <row r="228" spans="1:20">
      <c r="A228" s="607" t="s">
        <v>12</v>
      </c>
      <c r="B228" s="603" t="s">
        <v>12</v>
      </c>
      <c r="C228" s="603" t="s">
        <v>12</v>
      </c>
      <c r="D228" s="603" t="s">
        <v>12</v>
      </c>
      <c r="E228" s="603" t="s">
        <v>12</v>
      </c>
      <c r="F228" s="603" t="s">
        <v>12</v>
      </c>
      <c r="G228" s="603" t="s">
        <v>12</v>
      </c>
      <c r="H228" s="603" t="s">
        <v>12</v>
      </c>
      <c r="I228" s="603" t="s">
        <v>12</v>
      </c>
      <c r="J228" s="603" t="s">
        <v>12</v>
      </c>
      <c r="K228" s="603" t="s">
        <v>12</v>
      </c>
      <c r="L228" s="603" t="s">
        <v>12</v>
      </c>
      <c r="M228" s="603" t="s">
        <v>12</v>
      </c>
      <c r="N228" s="603" t="s">
        <v>12</v>
      </c>
      <c r="O228" s="603" t="s">
        <v>12</v>
      </c>
      <c r="P228" s="603" t="s">
        <v>12</v>
      </c>
      <c r="Q228" s="603" t="s">
        <v>12</v>
      </c>
      <c r="R228" s="603" t="s">
        <v>12</v>
      </c>
      <c r="S228" s="603" t="s">
        <v>12</v>
      </c>
      <c r="T228" s="608" t="s">
        <v>12</v>
      </c>
    </row>
    <row r="229" spans="1:20">
      <c r="A229" s="607" t="s">
        <v>12</v>
      </c>
      <c r="B229" s="603" t="s">
        <v>12</v>
      </c>
      <c r="C229" s="603" t="s">
        <v>12</v>
      </c>
      <c r="D229" s="603" t="s">
        <v>12</v>
      </c>
      <c r="E229" s="603" t="s">
        <v>12</v>
      </c>
      <c r="F229" s="603" t="s">
        <v>12</v>
      </c>
      <c r="G229" s="603" t="s">
        <v>12</v>
      </c>
      <c r="H229" s="603" t="s">
        <v>12</v>
      </c>
      <c r="I229" s="603" t="s">
        <v>12</v>
      </c>
      <c r="J229" s="603" t="s">
        <v>12</v>
      </c>
      <c r="K229" s="603" t="s">
        <v>12</v>
      </c>
      <c r="L229" s="603" t="s">
        <v>12</v>
      </c>
      <c r="M229" s="603" t="s">
        <v>12</v>
      </c>
      <c r="N229" s="603" t="s">
        <v>12</v>
      </c>
      <c r="O229" s="603" t="s">
        <v>12</v>
      </c>
      <c r="P229" s="603" t="s">
        <v>12</v>
      </c>
      <c r="Q229" s="603" t="s">
        <v>12</v>
      </c>
      <c r="R229" s="603" t="s">
        <v>12</v>
      </c>
      <c r="S229" s="603" t="s">
        <v>12</v>
      </c>
      <c r="T229" s="608" t="s">
        <v>12</v>
      </c>
    </row>
    <row r="230" spans="1:20">
      <c r="A230" s="607" t="s">
        <v>12</v>
      </c>
      <c r="B230" s="603" t="s">
        <v>12</v>
      </c>
      <c r="C230" s="603" t="s">
        <v>12</v>
      </c>
      <c r="D230" s="603" t="s">
        <v>12</v>
      </c>
      <c r="E230" s="603" t="s">
        <v>12</v>
      </c>
      <c r="F230" s="603" t="s">
        <v>12</v>
      </c>
      <c r="G230" s="603" t="s">
        <v>12</v>
      </c>
      <c r="H230" s="603" t="s">
        <v>12</v>
      </c>
      <c r="I230" s="603" t="s">
        <v>12</v>
      </c>
      <c r="J230" s="603" t="s">
        <v>12</v>
      </c>
      <c r="K230" s="603" t="s">
        <v>12</v>
      </c>
      <c r="L230" s="603" t="s">
        <v>12</v>
      </c>
      <c r="M230" s="603" t="s">
        <v>12</v>
      </c>
      <c r="N230" s="603" t="s">
        <v>12</v>
      </c>
      <c r="O230" s="603" t="s">
        <v>12</v>
      </c>
      <c r="P230" s="603" t="s">
        <v>12</v>
      </c>
      <c r="Q230" s="603" t="s">
        <v>12</v>
      </c>
      <c r="R230" s="603" t="s">
        <v>12</v>
      </c>
      <c r="S230" s="603" t="s">
        <v>12</v>
      </c>
      <c r="T230" s="608" t="s">
        <v>12</v>
      </c>
    </row>
    <row r="231" spans="1:20">
      <c r="A231" s="607" t="s">
        <v>12</v>
      </c>
      <c r="B231" s="603" t="s">
        <v>12</v>
      </c>
      <c r="C231" s="603" t="s">
        <v>12</v>
      </c>
      <c r="D231" s="603" t="s">
        <v>12</v>
      </c>
      <c r="E231" s="603" t="s">
        <v>12</v>
      </c>
      <c r="F231" s="603" t="s">
        <v>12</v>
      </c>
      <c r="G231" s="603" t="s">
        <v>12</v>
      </c>
      <c r="H231" s="603" t="s">
        <v>12</v>
      </c>
      <c r="I231" s="603" t="s">
        <v>12</v>
      </c>
      <c r="J231" s="603" t="s">
        <v>12</v>
      </c>
      <c r="K231" s="603" t="s">
        <v>12</v>
      </c>
      <c r="L231" s="603" t="s">
        <v>12</v>
      </c>
      <c r="M231" s="603" t="s">
        <v>12</v>
      </c>
      <c r="N231" s="603" t="s">
        <v>12</v>
      </c>
      <c r="O231" s="603" t="s">
        <v>12</v>
      </c>
      <c r="P231" s="603" t="s">
        <v>12</v>
      </c>
      <c r="Q231" s="603" t="s">
        <v>12</v>
      </c>
      <c r="R231" s="603" t="s">
        <v>12</v>
      </c>
      <c r="S231" s="603" t="s">
        <v>12</v>
      </c>
      <c r="T231" s="608" t="s">
        <v>12</v>
      </c>
    </row>
    <row r="232" spans="1:20">
      <c r="A232" s="607" t="s">
        <v>12</v>
      </c>
      <c r="B232" s="603" t="s">
        <v>12</v>
      </c>
      <c r="C232" s="603" t="s">
        <v>12</v>
      </c>
      <c r="D232" s="603" t="s">
        <v>12</v>
      </c>
      <c r="E232" s="603" t="s">
        <v>12</v>
      </c>
      <c r="F232" s="603" t="s">
        <v>12</v>
      </c>
      <c r="G232" s="603" t="s">
        <v>12</v>
      </c>
      <c r="H232" s="603" t="s">
        <v>12</v>
      </c>
      <c r="I232" s="603" t="s">
        <v>12</v>
      </c>
      <c r="J232" s="603" t="s">
        <v>12</v>
      </c>
      <c r="K232" s="603" t="s">
        <v>12</v>
      </c>
      <c r="L232" s="603" t="s">
        <v>12</v>
      </c>
      <c r="M232" s="603" t="s">
        <v>12</v>
      </c>
      <c r="N232" s="603" t="s">
        <v>12</v>
      </c>
      <c r="O232" s="603" t="s">
        <v>12</v>
      </c>
      <c r="P232" s="603" t="s">
        <v>12</v>
      </c>
      <c r="Q232" s="603" t="s">
        <v>12</v>
      </c>
      <c r="R232" s="603" t="s">
        <v>12</v>
      </c>
      <c r="S232" s="603" t="s">
        <v>12</v>
      </c>
      <c r="T232" s="608" t="s">
        <v>12</v>
      </c>
    </row>
    <row r="233" spans="1:20">
      <c r="A233" s="607" t="s">
        <v>12</v>
      </c>
      <c r="B233" s="603" t="s">
        <v>12</v>
      </c>
      <c r="C233" s="603" t="s">
        <v>12</v>
      </c>
      <c r="D233" s="603" t="s">
        <v>12</v>
      </c>
      <c r="E233" s="603" t="s">
        <v>12</v>
      </c>
      <c r="F233" s="603" t="s">
        <v>12</v>
      </c>
      <c r="G233" s="603" t="s">
        <v>12</v>
      </c>
      <c r="H233" s="603" t="s">
        <v>12</v>
      </c>
      <c r="I233" s="603" t="s">
        <v>12</v>
      </c>
      <c r="J233" s="603" t="s">
        <v>12</v>
      </c>
      <c r="K233" s="603" t="s">
        <v>12</v>
      </c>
      <c r="L233" s="603" t="s">
        <v>12</v>
      </c>
      <c r="M233" s="603" t="s">
        <v>12</v>
      </c>
      <c r="N233" s="603" t="s">
        <v>12</v>
      </c>
      <c r="O233" s="603" t="s">
        <v>12</v>
      </c>
      <c r="P233" s="603" t="s">
        <v>12</v>
      </c>
      <c r="Q233" s="603" t="s">
        <v>12</v>
      </c>
      <c r="R233" s="603" t="s">
        <v>12</v>
      </c>
      <c r="S233" s="603" t="s">
        <v>12</v>
      </c>
      <c r="T233" s="608" t="s">
        <v>12</v>
      </c>
    </row>
    <row r="234" spans="1:20">
      <c r="A234" s="607" t="s">
        <v>12</v>
      </c>
      <c r="B234" s="603" t="s">
        <v>12</v>
      </c>
      <c r="C234" s="603" t="s">
        <v>12</v>
      </c>
      <c r="D234" s="603" t="s">
        <v>12</v>
      </c>
      <c r="E234" s="603" t="s">
        <v>12</v>
      </c>
      <c r="F234" s="603" t="s">
        <v>12</v>
      </c>
      <c r="G234" s="603" t="s">
        <v>12</v>
      </c>
      <c r="H234" s="603" t="s">
        <v>12</v>
      </c>
      <c r="I234" s="603" t="s">
        <v>12</v>
      </c>
      <c r="J234" s="603" t="s">
        <v>12</v>
      </c>
      <c r="K234" s="603" t="s">
        <v>12</v>
      </c>
      <c r="L234" s="603" t="s">
        <v>12</v>
      </c>
      <c r="M234" s="603" t="s">
        <v>12</v>
      </c>
      <c r="N234" s="603" t="s">
        <v>12</v>
      </c>
      <c r="O234" s="603" t="s">
        <v>12</v>
      </c>
      <c r="P234" s="603" t="s">
        <v>12</v>
      </c>
      <c r="Q234" s="603" t="s">
        <v>12</v>
      </c>
      <c r="R234" s="603" t="s">
        <v>12</v>
      </c>
      <c r="S234" s="603" t="s">
        <v>12</v>
      </c>
      <c r="T234" s="608" t="s">
        <v>12</v>
      </c>
    </row>
    <row r="235" spans="1:20">
      <c r="A235" s="607" t="s">
        <v>12</v>
      </c>
      <c r="B235" s="603" t="s">
        <v>12</v>
      </c>
      <c r="C235" s="603" t="s">
        <v>12</v>
      </c>
      <c r="D235" s="603" t="s">
        <v>12</v>
      </c>
      <c r="E235" s="603" t="s">
        <v>12</v>
      </c>
      <c r="F235" s="603" t="s">
        <v>12</v>
      </c>
      <c r="G235" s="603" t="s">
        <v>12</v>
      </c>
      <c r="H235" s="603" t="s">
        <v>12</v>
      </c>
      <c r="I235" s="603" t="s">
        <v>12</v>
      </c>
      <c r="J235" s="603" t="s">
        <v>12</v>
      </c>
      <c r="K235" s="603" t="s">
        <v>12</v>
      </c>
      <c r="L235" s="603" t="s">
        <v>12</v>
      </c>
      <c r="M235" s="603" t="s">
        <v>12</v>
      </c>
      <c r="N235" s="603" t="s">
        <v>12</v>
      </c>
      <c r="O235" s="603" t="s">
        <v>12</v>
      </c>
      <c r="P235" s="603" t="s">
        <v>12</v>
      </c>
      <c r="Q235" s="603" t="s">
        <v>12</v>
      </c>
      <c r="R235" s="603" t="s">
        <v>12</v>
      </c>
      <c r="S235" s="603" t="s">
        <v>12</v>
      </c>
      <c r="T235" s="608" t="s">
        <v>12</v>
      </c>
    </row>
    <row r="236" spans="1:20">
      <c r="A236" s="607" t="s">
        <v>12</v>
      </c>
      <c r="B236" s="603" t="s">
        <v>12</v>
      </c>
      <c r="C236" s="603" t="s">
        <v>12</v>
      </c>
      <c r="D236" s="603" t="s">
        <v>12</v>
      </c>
      <c r="E236" s="603" t="s">
        <v>12</v>
      </c>
      <c r="F236" s="603" t="s">
        <v>12</v>
      </c>
      <c r="G236" s="603" t="s">
        <v>12</v>
      </c>
      <c r="H236" s="603" t="s">
        <v>12</v>
      </c>
      <c r="I236" s="603" t="s">
        <v>12</v>
      </c>
      <c r="J236" s="603" t="s">
        <v>12</v>
      </c>
      <c r="K236" s="603" t="s">
        <v>12</v>
      </c>
      <c r="L236" s="603" t="s">
        <v>12</v>
      </c>
      <c r="M236" s="603" t="s">
        <v>12</v>
      </c>
      <c r="N236" s="603" t="s">
        <v>12</v>
      </c>
      <c r="O236" s="603" t="s">
        <v>12</v>
      </c>
      <c r="P236" s="603" t="s">
        <v>12</v>
      </c>
      <c r="Q236" s="603" t="s">
        <v>12</v>
      </c>
      <c r="R236" s="603" t="s">
        <v>12</v>
      </c>
      <c r="S236" s="603" t="s">
        <v>12</v>
      </c>
      <c r="T236" s="608" t="s">
        <v>12</v>
      </c>
    </row>
    <row r="237" spans="1:20">
      <c r="A237" s="607" t="s">
        <v>12</v>
      </c>
      <c r="B237" s="603" t="s">
        <v>12</v>
      </c>
      <c r="C237" s="603" t="s">
        <v>12</v>
      </c>
      <c r="D237" s="603" t="s">
        <v>12</v>
      </c>
      <c r="E237" s="603" t="s">
        <v>12</v>
      </c>
      <c r="F237" s="603" t="s">
        <v>12</v>
      </c>
      <c r="G237" s="603" t="s">
        <v>12</v>
      </c>
      <c r="H237" s="603" t="s">
        <v>12</v>
      </c>
      <c r="I237" s="603" t="s">
        <v>12</v>
      </c>
      <c r="J237" s="603" t="s">
        <v>12</v>
      </c>
      <c r="K237" s="603" t="s">
        <v>12</v>
      </c>
      <c r="L237" s="603" t="s">
        <v>12</v>
      </c>
      <c r="M237" s="603" t="s">
        <v>12</v>
      </c>
      <c r="N237" s="603" t="s">
        <v>12</v>
      </c>
      <c r="O237" s="603" t="s">
        <v>12</v>
      </c>
      <c r="P237" s="603" t="s">
        <v>12</v>
      </c>
      <c r="Q237" s="603" t="s">
        <v>12</v>
      </c>
      <c r="R237" s="603" t="s">
        <v>12</v>
      </c>
      <c r="S237" s="603" t="s">
        <v>12</v>
      </c>
      <c r="T237" s="608" t="s">
        <v>12</v>
      </c>
    </row>
    <row r="238" spans="1:20">
      <c r="A238" s="607" t="s">
        <v>12</v>
      </c>
      <c r="B238" s="603" t="s">
        <v>12</v>
      </c>
      <c r="C238" s="603" t="s">
        <v>12</v>
      </c>
      <c r="D238" s="603" t="s">
        <v>12</v>
      </c>
      <c r="E238" s="603" t="s">
        <v>12</v>
      </c>
      <c r="F238" s="603" t="s">
        <v>12</v>
      </c>
      <c r="G238" s="603" t="s">
        <v>12</v>
      </c>
      <c r="H238" s="603" t="s">
        <v>12</v>
      </c>
      <c r="I238" s="603" t="s">
        <v>12</v>
      </c>
      <c r="J238" s="603" t="s">
        <v>12</v>
      </c>
      <c r="K238" s="603" t="s">
        <v>12</v>
      </c>
      <c r="L238" s="603" t="s">
        <v>12</v>
      </c>
      <c r="M238" s="603" t="s">
        <v>12</v>
      </c>
      <c r="N238" s="603" t="s">
        <v>12</v>
      </c>
      <c r="O238" s="603" t="s">
        <v>12</v>
      </c>
      <c r="P238" s="603" t="s">
        <v>12</v>
      </c>
      <c r="Q238" s="603" t="s">
        <v>12</v>
      </c>
      <c r="R238" s="603" t="s">
        <v>12</v>
      </c>
      <c r="S238" s="603" t="s">
        <v>12</v>
      </c>
      <c r="T238" s="608" t="s">
        <v>12</v>
      </c>
    </row>
    <row r="239" spans="1:20">
      <c r="A239" s="607" t="s">
        <v>12</v>
      </c>
      <c r="B239" s="603" t="s">
        <v>12</v>
      </c>
      <c r="C239" s="603" t="s">
        <v>12</v>
      </c>
      <c r="D239" s="603" t="s">
        <v>12</v>
      </c>
      <c r="E239" s="603" t="s">
        <v>12</v>
      </c>
      <c r="F239" s="603" t="s">
        <v>12</v>
      </c>
      <c r="G239" s="603" t="s">
        <v>12</v>
      </c>
      <c r="H239" s="603" t="s">
        <v>12</v>
      </c>
      <c r="I239" s="603" t="s">
        <v>12</v>
      </c>
      <c r="J239" s="603" t="s">
        <v>12</v>
      </c>
      <c r="K239" s="603" t="s">
        <v>12</v>
      </c>
      <c r="L239" s="603" t="s">
        <v>12</v>
      </c>
      <c r="M239" s="603" t="s">
        <v>12</v>
      </c>
      <c r="N239" s="603" t="s">
        <v>12</v>
      </c>
      <c r="O239" s="603" t="s">
        <v>12</v>
      </c>
      <c r="P239" s="603" t="s">
        <v>12</v>
      </c>
      <c r="Q239" s="603" t="s">
        <v>12</v>
      </c>
      <c r="R239" s="603" t="s">
        <v>12</v>
      </c>
      <c r="S239" s="603" t="s">
        <v>12</v>
      </c>
      <c r="T239" s="608" t="s">
        <v>12</v>
      </c>
    </row>
    <row r="240" spans="1:20">
      <c r="A240" s="607" t="s">
        <v>12</v>
      </c>
      <c r="B240" s="603" t="s">
        <v>12</v>
      </c>
      <c r="C240" s="603" t="s">
        <v>12</v>
      </c>
      <c r="D240" s="603" t="s">
        <v>12</v>
      </c>
      <c r="E240" s="603" t="s">
        <v>12</v>
      </c>
      <c r="F240" s="603" t="s">
        <v>12</v>
      </c>
      <c r="G240" s="603" t="s">
        <v>12</v>
      </c>
      <c r="H240" s="603" t="s">
        <v>12</v>
      </c>
      <c r="I240" s="603" t="s">
        <v>12</v>
      </c>
      <c r="J240" s="603" t="s">
        <v>12</v>
      </c>
      <c r="K240" s="603" t="s">
        <v>12</v>
      </c>
      <c r="L240" s="603" t="s">
        <v>12</v>
      </c>
      <c r="M240" s="603" t="s">
        <v>12</v>
      </c>
      <c r="N240" s="603" t="s">
        <v>12</v>
      </c>
      <c r="O240" s="603" t="s">
        <v>12</v>
      </c>
      <c r="P240" s="603" t="s">
        <v>12</v>
      </c>
      <c r="Q240" s="603" t="s">
        <v>12</v>
      </c>
      <c r="R240" s="603" t="s">
        <v>12</v>
      </c>
      <c r="S240" s="603" t="s">
        <v>12</v>
      </c>
      <c r="T240" s="608" t="s">
        <v>12</v>
      </c>
    </row>
    <row r="241" spans="1:20">
      <c r="A241" s="609" t="s">
        <v>12</v>
      </c>
      <c r="B241" s="610" t="s">
        <v>12</v>
      </c>
      <c r="C241" s="610" t="s">
        <v>12</v>
      </c>
      <c r="D241" s="610" t="s">
        <v>12</v>
      </c>
      <c r="E241" s="610" t="s">
        <v>12</v>
      </c>
      <c r="F241" s="610" t="s">
        <v>12</v>
      </c>
      <c r="G241" s="610" t="s">
        <v>12</v>
      </c>
      <c r="H241" s="610" t="s">
        <v>12</v>
      </c>
      <c r="I241" s="610" t="s">
        <v>12</v>
      </c>
      <c r="J241" s="610" t="s">
        <v>12</v>
      </c>
      <c r="K241" s="610" t="s">
        <v>12</v>
      </c>
      <c r="L241" s="610" t="s">
        <v>12</v>
      </c>
      <c r="M241" s="610" t="s">
        <v>12</v>
      </c>
      <c r="N241" s="610" t="s">
        <v>12</v>
      </c>
      <c r="O241" s="610" t="s">
        <v>12</v>
      </c>
      <c r="P241" s="610" t="s">
        <v>12</v>
      </c>
      <c r="Q241" s="610" t="s">
        <v>12</v>
      </c>
      <c r="R241" s="610" t="s">
        <v>12</v>
      </c>
      <c r="S241" s="610" t="s">
        <v>12</v>
      </c>
      <c r="T241" s="611" t="s">
        <v>12</v>
      </c>
    </row>
  </sheetData>
  <mergeCells count="3">
    <mergeCell ref="J7:K7"/>
    <mergeCell ref="O31:P31"/>
    <mergeCell ref="O32:P32"/>
  </mergeCells>
  <dataValidations count="3">
    <dataValidation type="list" allowBlank="1" showInputMessage="1" showErrorMessage="1" sqref="C4 G4:G7">
      <formula1>"TRUE,FALSE"</formula1>
    </dataValidation>
    <dataValidation type="list" allowBlank="1" showInputMessage="1" showErrorMessage="1" sqref="C8">
      <formula1>"AUTO-CALCULATE,MANUAL"</formula1>
    </dataValidation>
    <dataValidation type="list" operator="greaterThan" allowBlank="1" showInputMessage="1" showErrorMessage="1" sqref="C6">
      <formula1>"1,2,3,4,5,6,7,8,9,10,11,12,13,14,15,16,17,18,19,20,21,22,23,24,25,26,27,28,29,30,31,32,33,34,35,36,37,38,39,40,41,42,43,44,45,46,47,48,49,50,51,52,53,54,55,56,57,58,59,60"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All_MarketData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RefreshAll_CurveBuild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6" name="Button 7">
              <controlPr defaultSize="0" print="0" autoFill="0" autoPict="0" macro="[0]!RefreshAll_CalibrationData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7" name="Button 9">
              <controlPr defaultSize="0" print="0" autoFill="0" autoPict="0" macro="[0]!ShowHideCalibrationInstrument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8" name="Button 10">
              <controlPr defaultSize="0" print="0" autoFill="0" autoPict="0" macro="[0]!ShowHideMarketData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9" name="Button 11">
              <controlPr defaultSize="0" print="0" autoFill="0" autoPict="0" macro="[0]!ShowHideCurveConfigurations">
                <anchor moveWithCells="1" sizeWithCells="1">
                  <from>
                    <xdr:col>13</xdr:col>
                    <xdr:colOff>0</xdr:colOff>
                    <xdr:row>11</xdr:row>
                    <xdr:rowOff>85725</xdr:rowOff>
                  </from>
                  <to>
                    <xdr:col>16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0" name="Button 12">
              <controlPr defaultSize="0" print="0" autoFill="0" autoPict="0" macro="[0]!ShowHideCurveBuildAndCharts">
                <anchor moveWithCells="1" sizeWithCells="1">
                  <from>
                    <xdr:col>13</xdr:col>
                    <xdr:colOff>0</xdr:colOff>
                    <xdr:row>15</xdr:row>
                    <xdr:rowOff>104775</xdr:rowOff>
                  </from>
                  <to>
                    <xdr:col>16</xdr:col>
                    <xdr:colOff>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1" name="Button 13">
              <controlPr defaultSize="0" print="0" autoFill="0" autoPict="0" macro="[0]!ShowHideSwapPricingScreens">
                <anchor moveWithCells="1" sizeWithCells="1">
                  <from>
                    <xdr:col>1</xdr:col>
                    <xdr:colOff>142875</xdr:colOff>
                    <xdr:row>36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2" name="Button 14">
              <controlPr defaultSize="0" print="0" autoFill="0" autoPict="0" macro="[0]!ShowHideCustomSwapScreens">
                <anchor moveWithCells="1" sizeWithCells="1">
                  <from>
                    <xdr:col>1</xdr:col>
                    <xdr:colOff>142875</xdr:colOff>
                    <xdr:row>41</xdr:row>
                    <xdr:rowOff>0</xdr:rowOff>
                  </from>
                  <to>
                    <xdr:col>4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3" name="Button 15">
              <controlPr defaultSize="0" print="0" autoFill="0" autoPict="0" macro="[0]!ShowHideAssetSwapScreens">
                <anchor moveWithCells="1" sizeWithCells="1">
                  <from>
                    <xdr:col>5</xdr:col>
                    <xdr:colOff>0</xdr:colOff>
                    <xdr:row>36</xdr:row>
                    <xdr:rowOff>9525</xdr:rowOff>
                  </from>
                  <to>
                    <xdr:col>7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14" name="ButtonDataStreaming">
              <controlPr defaultSize="0" print="0" autoFill="0" autoPict="0" macro="[0]!ToggleDataStreaming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15" name="Button 21">
              <controlPr defaultSize="0" print="0" autoFill="0" autoPict="0" macro="[0]!ShowHideAssetSwapCashflowScreens">
                <anchor moveWithCells="1" siz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7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6" name="Button 23">
              <controlPr defaultSize="0" print="0" autoFill="0" autoPict="0" macro="[0]!ShowHideTenorBasisSwapScreens">
                <anchor moveWithCells="1" sizeWithCells="1">
                  <from>
                    <xdr:col>7</xdr:col>
                    <xdr:colOff>161925</xdr:colOff>
                    <xdr:row>36</xdr:row>
                    <xdr:rowOff>9525</xdr:rowOff>
                  </from>
                  <to>
                    <xdr:col>9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17" name="Button 25">
              <controlPr defaultSize="0" print="0" autoFill="0" autoPict="0" macro="[0]!ShowHideVariableNotionalSwapScreens">
                <anchor moveWithCells="1" sizeWithCells="1">
                  <from>
                    <xdr:col>9</xdr:col>
                    <xdr:colOff>161925</xdr:colOff>
                    <xdr:row>36</xdr:row>
                    <xdr:rowOff>9525</xdr:rowOff>
                  </from>
                  <to>
                    <xdr:col>11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18" name="Button 26">
              <controlPr defaultSize="0" print="0" autoFill="0" autoPict="0" macro="[0]!ShowHideOvernightIndexedSwapScreens">
                <anchor moveWithCells="1" sizeWithCells="1">
                  <from>
                    <xdr:col>7</xdr:col>
                    <xdr:colOff>161925</xdr:colOff>
                    <xdr:row>41</xdr:row>
                    <xdr:rowOff>9525</xdr:rowOff>
                  </from>
                  <to>
                    <xdr:col>9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19" name="Button 28">
              <controlPr defaultSize="0" print="0" autoFill="0" autoPict="0" macro="[0]!ShowHideSwapGenerators">
                <anchor moveWithCells="1" sizeWithCells="1">
                  <from>
                    <xdr:col>9</xdr:col>
                    <xdr:colOff>161925</xdr:colOff>
                    <xdr:row>41</xdr:row>
                    <xdr:rowOff>9525</xdr:rowOff>
                  </from>
                  <to>
                    <xdr:col>11</xdr:col>
                    <xdr:colOff>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20" name="Button 31">
              <controlPr defaultSize="0" print="0" autoFill="0" autoPict="0" macro="[0]!ShowHideCustomSwapsWithNotionalExchanges">
                <anchor moveWithCells="1" sizeWithCells="1">
                  <from>
                    <xdr:col>12</xdr:col>
                    <xdr:colOff>28575</xdr:colOff>
                    <xdr:row>41</xdr:row>
                    <xdr:rowOff>9525</xdr:rowOff>
                  </from>
                  <to>
                    <xdr:col>15</xdr:col>
                    <xdr:colOff>390525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21" name="Button 32">
              <controlPr defaultSize="0" print="0" autoFill="0" autoPict="0" macro="[0]!ShowHideXccySwapScreens">
                <anchor moveWithCells="1" sizeWithCells="1">
                  <from>
                    <xdr:col>12</xdr:col>
                    <xdr:colOff>28575</xdr:colOff>
                    <xdr:row>36</xdr:row>
                    <xdr:rowOff>9525</xdr:rowOff>
                  </from>
                  <to>
                    <xdr:col>15</xdr:col>
                    <xdr:colOff>390525</xdr:colOff>
                    <xdr:row>39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V438"/>
  <sheetViews>
    <sheetView showGridLines="0" workbookViewId="0"/>
  </sheetViews>
  <sheetFormatPr defaultRowHeight="12"/>
  <cols>
    <col min="1" max="1" width="9.140625" style="151"/>
    <col min="2" max="2" width="18.7109375" style="151" hidden="1" customWidth="1"/>
    <col min="3" max="8" width="12.7109375" style="151" customWidth="1"/>
    <col min="9" max="9" width="5.7109375" style="151" customWidth="1"/>
    <col min="10" max="10" width="18.7109375" style="151" hidden="1" customWidth="1"/>
    <col min="11" max="16" width="12.7109375" style="153" customWidth="1"/>
    <col min="17" max="17" width="5.7109375" style="151" customWidth="1"/>
    <col min="18" max="18" width="18.7109375" style="151" hidden="1" customWidth="1"/>
    <col min="19" max="24" width="12.7109375" style="151" customWidth="1"/>
    <col min="25" max="25" width="6.7109375" style="151" customWidth="1"/>
    <col min="26" max="26" width="18.7109375" style="151" hidden="1" customWidth="1"/>
    <col min="27" max="32" width="12.7109375" style="151" customWidth="1"/>
    <col min="33" max="33" width="5.7109375" style="151" customWidth="1"/>
    <col min="34" max="34" width="18.7109375" style="151" hidden="1" customWidth="1"/>
    <col min="35" max="40" width="12.7109375" style="151" customWidth="1"/>
    <col min="41" max="41" width="5.7109375" style="151" customWidth="1"/>
    <col min="42" max="42" width="18.7109375" style="151" customWidth="1"/>
    <col min="43" max="48" width="12.7109375" style="151" customWidth="1"/>
    <col min="49" max="16384" width="9.140625" style="151"/>
  </cols>
  <sheetData>
    <row r="1" spans="1:48">
      <c r="I1" s="152"/>
      <c r="J1" s="152"/>
      <c r="Q1" s="152"/>
      <c r="R1" s="152"/>
      <c r="AO1" s="152"/>
      <c r="AP1" s="152"/>
    </row>
    <row r="2" spans="1:48">
      <c r="I2" s="152"/>
      <c r="J2" s="152"/>
      <c r="M2" s="155"/>
      <c r="N2" s="402"/>
      <c r="O2" s="155"/>
      <c r="P2" s="155"/>
      <c r="Q2" s="152"/>
      <c r="R2" s="152"/>
      <c r="AO2" s="152"/>
      <c r="AP2" s="152"/>
    </row>
    <row r="3" spans="1:48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7"/>
      <c r="L3" s="157"/>
      <c r="M3" s="157"/>
      <c r="N3" s="157"/>
      <c r="O3" s="157"/>
      <c r="P3" s="157"/>
      <c r="S3" s="157"/>
      <c r="T3" s="157"/>
    </row>
    <row r="4" spans="1:48">
      <c r="A4" s="156"/>
      <c r="B4" s="156"/>
      <c r="C4" s="156"/>
      <c r="D4" s="156"/>
      <c r="E4" s="156"/>
      <c r="F4" s="156"/>
      <c r="G4" s="156"/>
      <c r="H4" s="156"/>
      <c r="I4" s="156"/>
      <c r="J4" s="156"/>
      <c r="K4" s="157"/>
      <c r="L4" s="157"/>
      <c r="M4" s="157"/>
      <c r="N4" s="157"/>
      <c r="O4" s="157"/>
      <c r="P4" s="157"/>
      <c r="S4" s="157"/>
      <c r="T4" s="157"/>
    </row>
    <row r="5" spans="1:48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7"/>
      <c r="L5" s="157"/>
      <c r="M5" s="157"/>
      <c r="N5" s="157"/>
      <c r="O5" s="157"/>
      <c r="P5" s="157"/>
      <c r="S5" s="157"/>
      <c r="T5" s="157"/>
    </row>
    <row r="6" spans="1:48">
      <c r="A6" s="156"/>
      <c r="B6" s="156"/>
      <c r="C6" s="156"/>
      <c r="D6" s="156"/>
      <c r="E6" s="156"/>
      <c r="F6" s="156"/>
      <c r="G6" s="156"/>
      <c r="H6" s="156"/>
      <c r="I6" s="156"/>
      <c r="J6" s="156"/>
      <c r="K6" s="157"/>
      <c r="L6" s="157"/>
      <c r="M6" s="157"/>
      <c r="N6" s="157"/>
      <c r="O6" s="157"/>
      <c r="P6" s="157"/>
      <c r="S6" s="157"/>
      <c r="T6" s="157"/>
    </row>
    <row r="7" spans="1:48">
      <c r="A7" s="156"/>
      <c r="B7" s="156"/>
      <c r="C7" s="158"/>
      <c r="D7" s="156"/>
      <c r="E7" s="156"/>
      <c r="F7" s="156"/>
      <c r="G7" s="156"/>
      <c r="H7" s="156"/>
      <c r="I7" s="156"/>
      <c r="J7" s="156"/>
      <c r="K7" s="157"/>
      <c r="L7" s="157"/>
      <c r="M7" s="157"/>
      <c r="N7" s="157"/>
      <c r="O7" s="157"/>
      <c r="P7" s="157"/>
      <c r="Q7" s="156"/>
      <c r="R7" s="156"/>
      <c r="S7" s="157"/>
      <c r="T7" s="157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</row>
    <row r="8" spans="1:48">
      <c r="A8" s="156"/>
      <c r="B8" s="156"/>
      <c r="C8" s="158"/>
      <c r="D8" s="156"/>
      <c r="E8" s="156"/>
      <c r="F8" s="156"/>
      <c r="G8" s="156"/>
      <c r="H8" s="156"/>
      <c r="I8" s="156"/>
      <c r="J8" s="156"/>
      <c r="K8" s="157"/>
      <c r="L8" s="157"/>
      <c r="M8" s="157"/>
      <c r="N8" s="157"/>
      <c r="O8" s="157"/>
      <c r="P8" s="157"/>
      <c r="Q8" s="156"/>
      <c r="R8" s="156"/>
      <c r="S8" s="157"/>
      <c r="T8" s="157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</row>
    <row r="9" spans="1:48">
      <c r="M9" s="155"/>
      <c r="N9" s="155"/>
      <c r="O9" s="155"/>
      <c r="P9" s="155"/>
    </row>
    <row r="10" spans="1:48">
      <c r="C10" s="160" t="s">
        <v>364</v>
      </c>
      <c r="D10" s="160"/>
      <c r="E10" s="160"/>
      <c r="F10" s="160"/>
      <c r="G10" s="153"/>
      <c r="H10" s="160"/>
      <c r="I10" s="160"/>
      <c r="J10" s="160"/>
      <c r="K10" s="160" t="s">
        <v>365</v>
      </c>
      <c r="Q10" s="160"/>
      <c r="R10" s="160"/>
      <c r="S10" s="160" t="s">
        <v>366</v>
      </c>
      <c r="T10" s="160"/>
      <c r="U10" s="160"/>
      <c r="V10" s="160"/>
      <c r="W10" s="160"/>
      <c r="X10" s="160"/>
      <c r="Y10" s="160"/>
      <c r="Z10" s="160"/>
      <c r="AA10" s="160" t="s">
        <v>367</v>
      </c>
      <c r="AB10" s="160"/>
      <c r="AC10" s="160"/>
      <c r="AD10" s="160"/>
      <c r="AE10" s="160"/>
      <c r="AF10" s="160"/>
      <c r="AG10" s="160"/>
      <c r="AH10" s="160"/>
      <c r="AI10" s="160" t="s">
        <v>368</v>
      </c>
      <c r="AJ10" s="160"/>
      <c r="AK10" s="160"/>
      <c r="AL10" s="160"/>
      <c r="AM10" s="160"/>
      <c r="AN10" s="160"/>
      <c r="AO10" s="160"/>
      <c r="AP10" s="160"/>
      <c r="AQ10" s="160" t="s">
        <v>369</v>
      </c>
      <c r="AR10" s="160"/>
      <c r="AS10" s="160"/>
      <c r="AT10" s="160"/>
      <c r="AU10" s="160"/>
    </row>
    <row r="12" spans="1:48">
      <c r="B12" s="162" t="s">
        <v>380</v>
      </c>
      <c r="C12" s="162" t="s">
        <v>376</v>
      </c>
      <c r="D12" s="162" t="s">
        <v>377</v>
      </c>
      <c r="E12" s="162" t="s">
        <v>378</v>
      </c>
      <c r="F12" s="162" t="s">
        <v>907</v>
      </c>
      <c r="G12" s="162" t="s">
        <v>890</v>
      </c>
      <c r="H12" s="162" t="s">
        <v>379</v>
      </c>
      <c r="J12" s="162" t="s">
        <v>380</v>
      </c>
      <c r="K12" s="162" t="s">
        <v>376</v>
      </c>
      <c r="L12" s="162" t="s">
        <v>377</v>
      </c>
      <c r="M12" s="162" t="s">
        <v>378</v>
      </c>
      <c r="N12" s="162" t="s">
        <v>907</v>
      </c>
      <c r="O12" s="162" t="s">
        <v>890</v>
      </c>
      <c r="P12" s="162" t="s">
        <v>379</v>
      </c>
      <c r="R12" s="162" t="s">
        <v>380</v>
      </c>
      <c r="S12" s="162" t="s">
        <v>376</v>
      </c>
      <c r="T12" s="162" t="s">
        <v>377</v>
      </c>
      <c r="U12" s="162" t="s">
        <v>378</v>
      </c>
      <c r="V12" s="162" t="s">
        <v>907</v>
      </c>
      <c r="W12" s="162" t="s">
        <v>890</v>
      </c>
      <c r="X12" s="162" t="s">
        <v>379</v>
      </c>
      <c r="Y12" s="159"/>
      <c r="Z12" s="162" t="s">
        <v>380</v>
      </c>
      <c r="AA12" s="162" t="s">
        <v>376</v>
      </c>
      <c r="AB12" s="162" t="s">
        <v>377</v>
      </c>
      <c r="AC12" s="162" t="s">
        <v>378</v>
      </c>
      <c r="AD12" s="162" t="s">
        <v>907</v>
      </c>
      <c r="AE12" s="162" t="s">
        <v>890</v>
      </c>
      <c r="AF12" s="162" t="s">
        <v>379</v>
      </c>
      <c r="AG12" s="159"/>
      <c r="AH12" s="162" t="s">
        <v>380</v>
      </c>
      <c r="AI12" s="162" t="s">
        <v>376</v>
      </c>
      <c r="AJ12" s="162" t="s">
        <v>377</v>
      </c>
      <c r="AK12" s="162" t="s">
        <v>378</v>
      </c>
      <c r="AL12" s="162" t="s">
        <v>907</v>
      </c>
      <c r="AM12" s="162" t="s">
        <v>890</v>
      </c>
      <c r="AN12" s="162" t="s">
        <v>379</v>
      </c>
      <c r="AO12" s="159"/>
      <c r="AP12" s="162" t="s">
        <v>380</v>
      </c>
      <c r="AQ12" s="162" t="s">
        <v>376</v>
      </c>
      <c r="AR12" s="162" t="s">
        <v>377</v>
      </c>
      <c r="AS12" s="162" t="s">
        <v>378</v>
      </c>
      <c r="AT12" s="162" t="s">
        <v>907</v>
      </c>
      <c r="AU12" s="162" t="s">
        <v>890</v>
      </c>
      <c r="AV12" s="162" t="s">
        <v>379</v>
      </c>
    </row>
    <row r="13" spans="1:48">
      <c r="A13" s="204">
        <v>1</v>
      </c>
      <c r="B13" s="207" t="str">
        <f t="array" aca="1" ref="B13:B112" ca="1">getAllTickers(C13:H112,100)</f>
        <v>FEDL01 BGN Index</v>
      </c>
      <c r="C13" s="163" t="s">
        <v>386</v>
      </c>
      <c r="D13" s="164" t="s">
        <v>387</v>
      </c>
      <c r="E13" s="164" t="s">
        <v>388</v>
      </c>
      <c r="F13" s="164" t="s">
        <v>189</v>
      </c>
      <c r="G13" s="164" t="s">
        <v>70</v>
      </c>
      <c r="H13" s="165" t="b">
        <v>1</v>
      </c>
      <c r="J13" s="207" t="str">
        <f t="array" ref="J13:J112">getAllTickers(K13:P112,100)</f>
        <v>US0003M  ICUS Index</v>
      </c>
      <c r="K13" s="163" t="s">
        <v>389</v>
      </c>
      <c r="L13" s="164" t="s">
        <v>390</v>
      </c>
      <c r="M13" s="164" t="s">
        <v>388</v>
      </c>
      <c r="N13" s="164" t="s">
        <v>892</v>
      </c>
      <c r="O13" s="164" t="s">
        <v>51</v>
      </c>
      <c r="P13" s="165" t="b">
        <v>1</v>
      </c>
      <c r="R13" s="207" t="str">
        <f t="array" ref="R13:R112">getAllTickers(S13:X112,100)</f>
        <v>USBC1 ICPL Curncy</v>
      </c>
      <c r="S13" s="163" t="s">
        <v>391</v>
      </c>
      <c r="T13" s="164" t="s">
        <v>392</v>
      </c>
      <c r="U13" s="164" t="s">
        <v>393</v>
      </c>
      <c r="V13" s="164" t="s">
        <v>909</v>
      </c>
      <c r="W13" s="164" t="s">
        <v>154</v>
      </c>
      <c r="X13" s="165" t="b">
        <v>1</v>
      </c>
      <c r="Z13" s="207" t="str">
        <f t="array" ref="Z13:Z112">getAllTickers(AA13:AF112,100)</f>
        <v>USBA1 CMPN Curncy</v>
      </c>
      <c r="AA13" s="163" t="s">
        <v>394</v>
      </c>
      <c r="AB13" s="164" t="s">
        <v>395</v>
      </c>
      <c r="AC13" s="164" t="s">
        <v>393</v>
      </c>
      <c r="AD13" s="164" t="s">
        <v>909</v>
      </c>
      <c r="AE13" s="164" t="s">
        <v>154</v>
      </c>
      <c r="AF13" s="165" t="b">
        <v>1</v>
      </c>
      <c r="AH13" s="245" t="str">
        <f t="array" ref="AH13:AH112">getAllTickers(AI13:AN112,100)</f>
        <v>USBL1 PREB Curncy</v>
      </c>
      <c r="AI13" s="163" t="s">
        <v>396</v>
      </c>
      <c r="AJ13" s="164" t="s">
        <v>1493</v>
      </c>
      <c r="AK13" s="164" t="s">
        <v>393</v>
      </c>
      <c r="AL13" s="164" t="s">
        <v>909</v>
      </c>
      <c r="AM13" s="164" t="s">
        <v>154</v>
      </c>
      <c r="AN13" s="165" t="b">
        <v>1</v>
      </c>
      <c r="AP13" s="207" t="str">
        <f t="array" ref="AP13:AP112">getAllTickers(AQ13:AV112,100)</f>
        <v xml:space="preserve">  </v>
      </c>
      <c r="AQ13" s="163"/>
      <c r="AR13" s="164"/>
      <c r="AS13" s="164"/>
      <c r="AT13" s="164"/>
      <c r="AU13" s="164"/>
      <c r="AV13" s="165"/>
    </row>
    <row r="14" spans="1:48">
      <c r="A14" s="204">
        <v>2</v>
      </c>
      <c r="B14" s="208" t="str">
        <f ca="1"/>
        <v>FF1 COMB Comdty</v>
      </c>
      <c r="C14" s="172" t="s">
        <v>1450</v>
      </c>
      <c r="D14" s="173" t="s">
        <v>399</v>
      </c>
      <c r="E14" s="173" t="s">
        <v>400</v>
      </c>
      <c r="F14" s="173" t="s">
        <v>1462</v>
      </c>
      <c r="G14" s="173" t="str">
        <f t="shared" ref="G14:G20" ca="1" si="0">GetFuturesTicker("FF",RIGHT(C14,LEN(C14)-2),COB)</f>
        <v>FFK8</v>
      </c>
      <c r="H14" s="174" t="b">
        <v>0</v>
      </c>
      <c r="J14" s="208" t="str">
        <v>ED1  COMB Comdty</v>
      </c>
      <c r="K14" s="172" t="s">
        <v>398</v>
      </c>
      <c r="L14" s="173" t="s">
        <v>399</v>
      </c>
      <c r="M14" s="173" t="s">
        <v>400</v>
      </c>
      <c r="N14" s="173" t="s">
        <v>908</v>
      </c>
      <c r="O14" s="173" t="s">
        <v>398</v>
      </c>
      <c r="P14" s="174" t="b">
        <v>1</v>
      </c>
      <c r="R14" s="208" t="str">
        <v>USBC2 ICPL Curncy</v>
      </c>
      <c r="S14" s="172" t="s">
        <v>401</v>
      </c>
      <c r="T14" s="173" t="s">
        <v>392</v>
      </c>
      <c r="U14" s="173" t="s">
        <v>393</v>
      </c>
      <c r="V14" s="173" t="s">
        <v>909</v>
      </c>
      <c r="W14" s="173" t="s">
        <v>40</v>
      </c>
      <c r="X14" s="174" t="b">
        <v>1</v>
      </c>
      <c r="Z14" s="208" t="str">
        <v>USBA2 CMPN Curncy</v>
      </c>
      <c r="AA14" s="172" t="s">
        <v>402</v>
      </c>
      <c r="AB14" s="173" t="s">
        <v>395</v>
      </c>
      <c r="AC14" s="173" t="s">
        <v>393</v>
      </c>
      <c r="AD14" s="173" t="s">
        <v>909</v>
      </c>
      <c r="AE14" s="173" t="s">
        <v>40</v>
      </c>
      <c r="AF14" s="174" t="b">
        <v>1</v>
      </c>
      <c r="AH14" s="208" t="str">
        <v>USBL2 PREB Curncy</v>
      </c>
      <c r="AI14" s="172" t="s">
        <v>403</v>
      </c>
      <c r="AJ14" s="173" t="s">
        <v>1493</v>
      </c>
      <c r="AK14" s="173" t="s">
        <v>393</v>
      </c>
      <c r="AL14" s="173" t="s">
        <v>909</v>
      </c>
      <c r="AM14" s="173" t="s">
        <v>40</v>
      </c>
      <c r="AN14" s="174" t="b">
        <v>1</v>
      </c>
      <c r="AP14" s="208" t="str">
        <v xml:space="preserve">  </v>
      </c>
      <c r="AQ14" s="172"/>
      <c r="AR14" s="173"/>
      <c r="AS14" s="173"/>
      <c r="AT14" s="173"/>
      <c r="AU14" s="173"/>
      <c r="AV14" s="174"/>
    </row>
    <row r="15" spans="1:48">
      <c r="A15" s="204">
        <v>3</v>
      </c>
      <c r="B15" s="208" t="str">
        <f ca="1"/>
        <v>FF2 COMB Comdty</v>
      </c>
      <c r="C15" s="172" t="s">
        <v>1451</v>
      </c>
      <c r="D15" s="173" t="s">
        <v>399</v>
      </c>
      <c r="E15" s="173" t="s">
        <v>400</v>
      </c>
      <c r="F15" s="173" t="s">
        <v>1462</v>
      </c>
      <c r="G15" s="173" t="str">
        <f t="shared" ca="1" si="0"/>
        <v>FFM8</v>
      </c>
      <c r="H15" s="174" t="b">
        <v>0</v>
      </c>
      <c r="J15" s="208" t="str">
        <v>ED2 COMB Comdty</v>
      </c>
      <c r="K15" s="172" t="s">
        <v>405</v>
      </c>
      <c r="L15" s="173" t="s">
        <v>399</v>
      </c>
      <c r="M15" s="173" t="s">
        <v>400</v>
      </c>
      <c r="N15" s="173" t="s">
        <v>908</v>
      </c>
      <c r="O15" s="173" t="s">
        <v>405</v>
      </c>
      <c r="P15" s="174" t="b">
        <v>1</v>
      </c>
      <c r="R15" s="208" t="str">
        <v>USBC3 ICPL Curncy</v>
      </c>
      <c r="S15" s="172" t="s">
        <v>406</v>
      </c>
      <c r="T15" s="173" t="s">
        <v>392</v>
      </c>
      <c r="U15" s="173" t="s">
        <v>393</v>
      </c>
      <c r="V15" s="173" t="s">
        <v>909</v>
      </c>
      <c r="W15" s="173" t="s">
        <v>37</v>
      </c>
      <c r="X15" s="174" t="b">
        <v>1</v>
      </c>
      <c r="Z15" s="208" t="str">
        <v>USBA3 CMPN Curncy</v>
      </c>
      <c r="AA15" s="172" t="s">
        <v>407</v>
      </c>
      <c r="AB15" s="173" t="s">
        <v>395</v>
      </c>
      <c r="AC15" s="173" t="s">
        <v>393</v>
      </c>
      <c r="AD15" s="173" t="s">
        <v>909</v>
      </c>
      <c r="AE15" s="173" t="s">
        <v>37</v>
      </c>
      <c r="AF15" s="174" t="b">
        <v>1</v>
      </c>
      <c r="AH15" s="208" t="str">
        <v>USBL3 PREB Curncy</v>
      </c>
      <c r="AI15" s="172" t="s">
        <v>408</v>
      </c>
      <c r="AJ15" s="173" t="s">
        <v>1493</v>
      </c>
      <c r="AK15" s="173" t="s">
        <v>393</v>
      </c>
      <c r="AL15" s="173" t="s">
        <v>909</v>
      </c>
      <c r="AM15" s="173" t="s">
        <v>37</v>
      </c>
      <c r="AN15" s="174" t="b">
        <v>1</v>
      </c>
      <c r="AP15" s="208" t="str">
        <v xml:space="preserve">  </v>
      </c>
      <c r="AQ15" s="172"/>
      <c r="AR15" s="173"/>
      <c r="AS15" s="173"/>
      <c r="AT15" s="173"/>
      <c r="AU15" s="173"/>
      <c r="AV15" s="174"/>
    </row>
    <row r="16" spans="1:48">
      <c r="A16" s="204">
        <v>4</v>
      </c>
      <c r="B16" s="208" t="str">
        <f ca="1"/>
        <v>FF3 COMB Comdty</v>
      </c>
      <c r="C16" s="172" t="s">
        <v>1452</v>
      </c>
      <c r="D16" s="173" t="s">
        <v>399</v>
      </c>
      <c r="E16" s="173" t="s">
        <v>400</v>
      </c>
      <c r="F16" s="173" t="s">
        <v>1462</v>
      </c>
      <c r="G16" s="173" t="str">
        <f t="shared" ca="1" si="0"/>
        <v>FFN8</v>
      </c>
      <c r="H16" s="174" t="b">
        <v>0</v>
      </c>
      <c r="J16" s="208" t="str">
        <v>ED3 COMB Comdty</v>
      </c>
      <c r="K16" s="172" t="s">
        <v>410</v>
      </c>
      <c r="L16" s="173" t="s">
        <v>399</v>
      </c>
      <c r="M16" s="173" t="s">
        <v>400</v>
      </c>
      <c r="N16" s="173" t="s">
        <v>908</v>
      </c>
      <c r="O16" s="173" t="s">
        <v>410</v>
      </c>
      <c r="P16" s="174" t="b">
        <v>1</v>
      </c>
      <c r="R16" s="208" t="str">
        <v>USBC4 ICPL Curncy</v>
      </c>
      <c r="S16" s="172" t="s">
        <v>411</v>
      </c>
      <c r="T16" s="173" t="s">
        <v>392</v>
      </c>
      <c r="U16" s="173" t="s">
        <v>393</v>
      </c>
      <c r="V16" s="173" t="s">
        <v>909</v>
      </c>
      <c r="W16" s="173" t="s">
        <v>33</v>
      </c>
      <c r="X16" s="174" t="b">
        <v>1</v>
      </c>
      <c r="Z16" s="208" t="str">
        <v>USBA4 CMPN Curncy</v>
      </c>
      <c r="AA16" s="172" t="s">
        <v>412</v>
      </c>
      <c r="AB16" s="173" t="s">
        <v>395</v>
      </c>
      <c r="AC16" s="173" t="s">
        <v>393</v>
      </c>
      <c r="AD16" s="173" t="s">
        <v>909</v>
      </c>
      <c r="AE16" s="173" t="s">
        <v>33</v>
      </c>
      <c r="AF16" s="174" t="b">
        <v>1</v>
      </c>
      <c r="AH16" s="208" t="str">
        <v>USBL4 PREB Curncy</v>
      </c>
      <c r="AI16" s="172" t="s">
        <v>413</v>
      </c>
      <c r="AJ16" s="173" t="s">
        <v>1493</v>
      </c>
      <c r="AK16" s="173" t="s">
        <v>393</v>
      </c>
      <c r="AL16" s="173" t="s">
        <v>909</v>
      </c>
      <c r="AM16" s="173" t="s">
        <v>33</v>
      </c>
      <c r="AN16" s="174" t="b">
        <v>1</v>
      </c>
      <c r="AP16" s="208" t="str">
        <v xml:space="preserve">  </v>
      </c>
      <c r="AQ16" s="172"/>
      <c r="AR16" s="173"/>
      <c r="AS16" s="173"/>
      <c r="AT16" s="173"/>
      <c r="AU16" s="173"/>
      <c r="AV16" s="174"/>
    </row>
    <row r="17" spans="1:48">
      <c r="A17" s="204">
        <v>5</v>
      </c>
      <c r="B17" s="208" t="str">
        <f ca="1"/>
        <v>FF4 COMB Comdty</v>
      </c>
      <c r="C17" s="172" t="s">
        <v>1453</v>
      </c>
      <c r="D17" s="173" t="s">
        <v>399</v>
      </c>
      <c r="E17" s="173" t="s">
        <v>400</v>
      </c>
      <c r="F17" s="173" t="s">
        <v>1462</v>
      </c>
      <c r="G17" s="173" t="str">
        <f t="shared" ca="1" si="0"/>
        <v>FFQ8</v>
      </c>
      <c r="H17" s="174" t="b">
        <v>0</v>
      </c>
      <c r="J17" s="208" t="str">
        <v>ED4  COMB Comdty</v>
      </c>
      <c r="K17" s="172" t="s">
        <v>415</v>
      </c>
      <c r="L17" s="173" t="s">
        <v>399</v>
      </c>
      <c r="M17" s="173" t="s">
        <v>400</v>
      </c>
      <c r="N17" s="173" t="s">
        <v>908</v>
      </c>
      <c r="O17" s="173" t="s">
        <v>415</v>
      </c>
      <c r="P17" s="174" t="b">
        <v>1</v>
      </c>
      <c r="R17" s="208" t="str">
        <v>USBC5 ICPL Curncy</v>
      </c>
      <c r="S17" s="172" t="s">
        <v>416</v>
      </c>
      <c r="T17" s="173" t="s">
        <v>392</v>
      </c>
      <c r="U17" s="173" t="s">
        <v>393</v>
      </c>
      <c r="V17" s="173" t="s">
        <v>909</v>
      </c>
      <c r="W17" s="173" t="s">
        <v>31</v>
      </c>
      <c r="X17" s="174" t="b">
        <v>1</v>
      </c>
      <c r="Z17" s="208" t="str">
        <v>USBA5 CMPN Curncy</v>
      </c>
      <c r="AA17" s="172" t="s">
        <v>417</v>
      </c>
      <c r="AB17" s="173" t="s">
        <v>395</v>
      </c>
      <c r="AC17" s="173" t="s">
        <v>393</v>
      </c>
      <c r="AD17" s="173" t="s">
        <v>909</v>
      </c>
      <c r="AE17" s="173" t="s">
        <v>31</v>
      </c>
      <c r="AF17" s="174" t="b">
        <v>1</v>
      </c>
      <c r="AH17" s="208" t="str">
        <v>USBL5 PREB Curncy</v>
      </c>
      <c r="AI17" s="172" t="s">
        <v>418</v>
      </c>
      <c r="AJ17" s="173" t="s">
        <v>1493</v>
      </c>
      <c r="AK17" s="173" t="s">
        <v>393</v>
      </c>
      <c r="AL17" s="173" t="s">
        <v>909</v>
      </c>
      <c r="AM17" s="173" t="s">
        <v>31</v>
      </c>
      <c r="AN17" s="174" t="b">
        <v>1</v>
      </c>
      <c r="AP17" s="208" t="str">
        <v xml:space="preserve">  </v>
      </c>
      <c r="AQ17" s="172"/>
      <c r="AR17" s="173"/>
      <c r="AS17" s="173"/>
      <c r="AT17" s="173"/>
      <c r="AU17" s="173"/>
      <c r="AV17" s="174"/>
    </row>
    <row r="18" spans="1:48">
      <c r="A18" s="204">
        <v>6</v>
      </c>
      <c r="B18" s="208" t="str">
        <f ca="1"/>
        <v>FF5 COMB Comdty</v>
      </c>
      <c r="C18" s="172" t="s">
        <v>1454</v>
      </c>
      <c r="D18" s="173" t="s">
        <v>399</v>
      </c>
      <c r="E18" s="173" t="s">
        <v>400</v>
      </c>
      <c r="F18" s="173" t="s">
        <v>1462</v>
      </c>
      <c r="G18" s="173" t="str">
        <f t="shared" ca="1" si="0"/>
        <v>FFU8</v>
      </c>
      <c r="H18" s="174" t="b">
        <v>0</v>
      </c>
      <c r="J18" s="208" t="str">
        <v>ED5  COMB Comdty</v>
      </c>
      <c r="K18" s="172" t="s">
        <v>420</v>
      </c>
      <c r="L18" s="173" t="s">
        <v>399</v>
      </c>
      <c r="M18" s="173" t="s">
        <v>400</v>
      </c>
      <c r="N18" s="173" t="s">
        <v>908</v>
      </c>
      <c r="O18" s="173" t="s">
        <v>420</v>
      </c>
      <c r="P18" s="174" t="b">
        <v>1</v>
      </c>
      <c r="R18" s="208" t="str">
        <v>USBC6 ICPL Curncy</v>
      </c>
      <c r="S18" s="172" t="s">
        <v>421</v>
      </c>
      <c r="T18" s="173" t="s">
        <v>392</v>
      </c>
      <c r="U18" s="173" t="s">
        <v>393</v>
      </c>
      <c r="V18" s="173" t="s">
        <v>909</v>
      </c>
      <c r="W18" s="173" t="s">
        <v>127</v>
      </c>
      <c r="X18" s="174" t="b">
        <v>1</v>
      </c>
      <c r="Z18" s="208" t="str">
        <v>USBA6 CMPN Curncy</v>
      </c>
      <c r="AA18" s="172" t="s">
        <v>422</v>
      </c>
      <c r="AB18" s="173" t="s">
        <v>395</v>
      </c>
      <c r="AC18" s="173" t="s">
        <v>393</v>
      </c>
      <c r="AD18" s="173" t="s">
        <v>909</v>
      </c>
      <c r="AE18" s="173" t="s">
        <v>127</v>
      </c>
      <c r="AF18" s="174" t="b">
        <v>1</v>
      </c>
      <c r="AH18" s="208" t="str">
        <v>USBL7 PREB Curncy</v>
      </c>
      <c r="AI18" s="172" t="s">
        <v>423</v>
      </c>
      <c r="AJ18" s="173" t="s">
        <v>1493</v>
      </c>
      <c r="AK18" s="173" t="s">
        <v>393</v>
      </c>
      <c r="AL18" s="173" t="s">
        <v>909</v>
      </c>
      <c r="AM18" s="173" t="s">
        <v>29</v>
      </c>
      <c r="AN18" s="174" t="b">
        <v>1</v>
      </c>
      <c r="AP18" s="208" t="str">
        <v xml:space="preserve">  </v>
      </c>
      <c r="AQ18" s="172"/>
      <c r="AR18" s="173"/>
      <c r="AS18" s="173"/>
      <c r="AT18" s="173"/>
      <c r="AU18" s="173"/>
      <c r="AV18" s="174"/>
    </row>
    <row r="19" spans="1:48">
      <c r="A19" s="204">
        <v>7</v>
      </c>
      <c r="B19" s="208" t="str">
        <f ca="1"/>
        <v>FF6 COMB Comdty</v>
      </c>
      <c r="C19" s="172" t="s">
        <v>1455</v>
      </c>
      <c r="D19" s="173" t="s">
        <v>399</v>
      </c>
      <c r="E19" s="173" t="s">
        <v>400</v>
      </c>
      <c r="F19" s="173" t="s">
        <v>1462</v>
      </c>
      <c r="G19" s="173" t="str">
        <f t="shared" ca="1" si="0"/>
        <v>FFV8</v>
      </c>
      <c r="H19" s="174" t="b">
        <v>0</v>
      </c>
      <c r="J19" s="208" t="str">
        <v>ED6  COMB Comdty</v>
      </c>
      <c r="K19" s="172" t="s">
        <v>425</v>
      </c>
      <c r="L19" s="173" t="s">
        <v>399</v>
      </c>
      <c r="M19" s="173" t="s">
        <v>400</v>
      </c>
      <c r="N19" s="173" t="s">
        <v>908</v>
      </c>
      <c r="O19" s="173" t="s">
        <v>425</v>
      </c>
      <c r="P19" s="174" t="b">
        <v>1</v>
      </c>
      <c r="R19" s="208" t="str">
        <v>USBC7 ICPL Curncy</v>
      </c>
      <c r="S19" s="172" t="s">
        <v>426</v>
      </c>
      <c r="T19" s="173" t="s">
        <v>392</v>
      </c>
      <c r="U19" s="173" t="s">
        <v>393</v>
      </c>
      <c r="V19" s="173" t="s">
        <v>909</v>
      </c>
      <c r="W19" s="173" t="s">
        <v>29</v>
      </c>
      <c r="X19" s="174" t="b">
        <v>1</v>
      </c>
      <c r="Z19" s="208" t="str">
        <v>USBA7 CMPN Curncy</v>
      </c>
      <c r="AA19" s="172" t="s">
        <v>427</v>
      </c>
      <c r="AB19" s="173" t="s">
        <v>395</v>
      </c>
      <c r="AC19" s="173" t="s">
        <v>393</v>
      </c>
      <c r="AD19" s="173" t="s">
        <v>909</v>
      </c>
      <c r="AE19" s="173" t="s">
        <v>29</v>
      </c>
      <c r="AF19" s="174" t="b">
        <v>1</v>
      </c>
      <c r="AH19" s="208" t="str">
        <v>USBL10 PREB Curncy</v>
      </c>
      <c r="AI19" s="172" t="s">
        <v>428</v>
      </c>
      <c r="AJ19" s="173" t="s">
        <v>1493</v>
      </c>
      <c r="AK19" s="173" t="s">
        <v>393</v>
      </c>
      <c r="AL19" s="173" t="s">
        <v>909</v>
      </c>
      <c r="AM19" s="173" t="s">
        <v>27</v>
      </c>
      <c r="AN19" s="174" t="b">
        <v>1</v>
      </c>
      <c r="AP19" s="208" t="str">
        <v xml:space="preserve">  </v>
      </c>
      <c r="AQ19" s="172"/>
      <c r="AR19" s="173"/>
      <c r="AS19" s="173"/>
      <c r="AT19" s="173"/>
      <c r="AU19" s="173"/>
      <c r="AV19" s="174"/>
    </row>
    <row r="20" spans="1:48">
      <c r="A20" s="204">
        <v>8</v>
      </c>
      <c r="B20" s="208" t="str">
        <f ca="1"/>
        <v>FF7 COMB Comdty</v>
      </c>
      <c r="C20" s="172" t="s">
        <v>1456</v>
      </c>
      <c r="D20" s="173" t="s">
        <v>399</v>
      </c>
      <c r="E20" s="173" t="s">
        <v>400</v>
      </c>
      <c r="F20" s="173" t="s">
        <v>1462</v>
      </c>
      <c r="G20" s="173" t="str">
        <f t="shared" ca="1" si="0"/>
        <v>FFX8</v>
      </c>
      <c r="H20" s="174" t="b">
        <v>0</v>
      </c>
      <c r="J20" s="208" t="str">
        <v>ED7  COMB Comdty</v>
      </c>
      <c r="K20" s="172" t="s">
        <v>430</v>
      </c>
      <c r="L20" s="173" t="s">
        <v>399</v>
      </c>
      <c r="M20" s="173" t="s">
        <v>400</v>
      </c>
      <c r="N20" s="173" t="s">
        <v>908</v>
      </c>
      <c r="O20" s="173" t="s">
        <v>430</v>
      </c>
      <c r="P20" s="174" t="b">
        <v>1</v>
      </c>
      <c r="R20" s="208" t="str">
        <v>USBC8 ICPL Curncy</v>
      </c>
      <c r="S20" s="172" t="s">
        <v>431</v>
      </c>
      <c r="T20" s="173" t="s">
        <v>392</v>
      </c>
      <c r="U20" s="173" t="s">
        <v>393</v>
      </c>
      <c r="V20" s="173" t="s">
        <v>909</v>
      </c>
      <c r="W20" s="173" t="s">
        <v>115</v>
      </c>
      <c r="X20" s="174" t="b">
        <v>1</v>
      </c>
      <c r="Z20" s="208" t="str">
        <v>USBA8 CMPN Curncy</v>
      </c>
      <c r="AA20" s="172" t="s">
        <v>432</v>
      </c>
      <c r="AB20" s="173" t="s">
        <v>395</v>
      </c>
      <c r="AC20" s="173" t="s">
        <v>393</v>
      </c>
      <c r="AD20" s="173" t="s">
        <v>909</v>
      </c>
      <c r="AE20" s="173" t="s">
        <v>115</v>
      </c>
      <c r="AF20" s="174" t="b">
        <v>1</v>
      </c>
      <c r="AH20" s="208" t="str">
        <v>USBL12 PREB Curncy</v>
      </c>
      <c r="AI20" s="172" t="s">
        <v>433</v>
      </c>
      <c r="AJ20" s="173" t="s">
        <v>1493</v>
      </c>
      <c r="AK20" s="173" t="s">
        <v>393</v>
      </c>
      <c r="AL20" s="173" t="s">
        <v>909</v>
      </c>
      <c r="AM20" s="173" t="s">
        <v>25</v>
      </c>
      <c r="AN20" s="174" t="b">
        <v>1</v>
      </c>
      <c r="AP20" s="208" t="str">
        <v xml:space="preserve">  </v>
      </c>
      <c r="AQ20" s="172"/>
      <c r="AR20" s="173"/>
      <c r="AS20" s="173"/>
      <c r="AT20" s="173"/>
      <c r="AU20" s="173"/>
      <c r="AV20" s="174"/>
    </row>
    <row r="21" spans="1:48">
      <c r="A21" s="204">
        <v>9</v>
      </c>
      <c r="B21" s="208" t="str">
        <f ca="1"/>
        <v>FF8 COMB Comdty</v>
      </c>
      <c r="C21" s="172" t="s">
        <v>1457</v>
      </c>
      <c r="D21" s="173" t="s">
        <v>399</v>
      </c>
      <c r="E21" s="173" t="s">
        <v>400</v>
      </c>
      <c r="F21" s="173" t="s">
        <v>1462</v>
      </c>
      <c r="G21" s="173" t="str">
        <f ca="1">GetFuturesTicker("FF",RIGHT(C21,LEN(C21)-2),COB)</f>
        <v>FFZ8</v>
      </c>
      <c r="H21" s="174" t="b">
        <v>0</v>
      </c>
      <c r="J21" s="208" t="str">
        <v>ED8  COMB Comdty</v>
      </c>
      <c r="K21" s="172" t="s">
        <v>435</v>
      </c>
      <c r="L21" s="173" t="s">
        <v>399</v>
      </c>
      <c r="M21" s="173" t="s">
        <v>400</v>
      </c>
      <c r="N21" s="173" t="s">
        <v>908</v>
      </c>
      <c r="O21" s="173" t="s">
        <v>435</v>
      </c>
      <c r="P21" s="174" t="b">
        <v>1</v>
      </c>
      <c r="R21" s="208" t="str">
        <v>USBC9 ICPL Curncy</v>
      </c>
      <c r="S21" s="172" t="s">
        <v>436</v>
      </c>
      <c r="T21" s="173" t="s">
        <v>392</v>
      </c>
      <c r="U21" s="173" t="s">
        <v>393</v>
      </c>
      <c r="V21" s="173" t="s">
        <v>909</v>
      </c>
      <c r="W21" s="173" t="s">
        <v>109</v>
      </c>
      <c r="X21" s="174" t="b">
        <v>1</v>
      </c>
      <c r="Z21" s="208" t="str">
        <v>USBA9 CMPN Curncy</v>
      </c>
      <c r="AA21" s="172" t="s">
        <v>437</v>
      </c>
      <c r="AB21" s="173" t="s">
        <v>395</v>
      </c>
      <c r="AC21" s="173" t="s">
        <v>393</v>
      </c>
      <c r="AD21" s="173" t="s">
        <v>909</v>
      </c>
      <c r="AE21" s="173" t="s">
        <v>109</v>
      </c>
      <c r="AF21" s="174" t="b">
        <v>1</v>
      </c>
      <c r="AH21" s="208" t="str">
        <v>USBL15 PREB Curncy</v>
      </c>
      <c r="AI21" s="172" t="s">
        <v>438</v>
      </c>
      <c r="AJ21" s="173" t="s">
        <v>1493</v>
      </c>
      <c r="AK21" s="173" t="s">
        <v>393</v>
      </c>
      <c r="AL21" s="173" t="s">
        <v>909</v>
      </c>
      <c r="AM21" s="173" t="s">
        <v>23</v>
      </c>
      <c r="AN21" s="174" t="b">
        <v>1</v>
      </c>
      <c r="AP21" s="208" t="str">
        <v xml:space="preserve">  </v>
      </c>
      <c r="AQ21" s="172"/>
      <c r="AR21" s="173"/>
      <c r="AS21" s="173"/>
      <c r="AT21" s="173"/>
      <c r="AU21" s="173"/>
      <c r="AV21" s="174"/>
    </row>
    <row r="22" spans="1:48">
      <c r="A22" s="204">
        <v>10</v>
      </c>
      <c r="B22" s="208" t="str">
        <f ca="1"/>
        <v>FF9 COMB Comdty</v>
      </c>
      <c r="C22" s="172" t="s">
        <v>1458</v>
      </c>
      <c r="D22" s="173" t="s">
        <v>399</v>
      </c>
      <c r="E22" s="173" t="s">
        <v>400</v>
      </c>
      <c r="F22" s="173" t="s">
        <v>1462</v>
      </c>
      <c r="G22" s="173" t="str">
        <f ca="1">GetFuturesTicker("FF",RIGHT(C22,LEN(C22)-2),COB)</f>
        <v>FFF9</v>
      </c>
      <c r="H22" s="174" t="b">
        <v>0</v>
      </c>
      <c r="J22" s="208" t="str">
        <v>ED9 COMB Comdty</v>
      </c>
      <c r="K22" s="172" t="s">
        <v>440</v>
      </c>
      <c r="L22" s="173" t="s">
        <v>399</v>
      </c>
      <c r="M22" s="173" t="s">
        <v>400</v>
      </c>
      <c r="N22" s="173" t="s">
        <v>908</v>
      </c>
      <c r="O22" s="173" t="s">
        <v>440</v>
      </c>
      <c r="P22" s="174" t="b">
        <v>1</v>
      </c>
      <c r="R22" s="208" t="str">
        <v>USBC10 ICPL Curncy</v>
      </c>
      <c r="S22" s="172" t="s">
        <v>441</v>
      </c>
      <c r="T22" s="173" t="s">
        <v>392</v>
      </c>
      <c r="U22" s="173" t="s">
        <v>393</v>
      </c>
      <c r="V22" s="173" t="s">
        <v>909</v>
      </c>
      <c r="W22" s="173" t="s">
        <v>27</v>
      </c>
      <c r="X22" s="174" t="b">
        <v>1</v>
      </c>
      <c r="Z22" s="208" t="str">
        <v>USBA10 CMPN Curncy</v>
      </c>
      <c r="AA22" s="172" t="s">
        <v>442</v>
      </c>
      <c r="AB22" s="173" t="s">
        <v>395</v>
      </c>
      <c r="AC22" s="173" t="s">
        <v>393</v>
      </c>
      <c r="AD22" s="173" t="s">
        <v>909</v>
      </c>
      <c r="AE22" s="173" t="s">
        <v>27</v>
      </c>
      <c r="AF22" s="174" t="b">
        <v>1</v>
      </c>
      <c r="AH22" s="208" t="str">
        <v>USBL20 PREB Curncy</v>
      </c>
      <c r="AI22" s="172" t="s">
        <v>443</v>
      </c>
      <c r="AJ22" s="173" t="s">
        <v>1493</v>
      </c>
      <c r="AK22" s="173" t="s">
        <v>393</v>
      </c>
      <c r="AL22" s="173" t="s">
        <v>909</v>
      </c>
      <c r="AM22" s="173" t="s">
        <v>19</v>
      </c>
      <c r="AN22" s="174" t="b">
        <v>1</v>
      </c>
      <c r="AP22" s="208" t="str">
        <v xml:space="preserve">  </v>
      </c>
      <c r="AQ22" s="172"/>
      <c r="AR22" s="173"/>
      <c r="AS22" s="173"/>
      <c r="AT22" s="173"/>
      <c r="AU22" s="173"/>
      <c r="AV22" s="174"/>
    </row>
    <row r="23" spans="1:48">
      <c r="A23" s="204">
        <v>11</v>
      </c>
      <c r="B23" s="208" t="str">
        <f ca="1"/>
        <v>FF10 COMB Comdty</v>
      </c>
      <c r="C23" s="172" t="s">
        <v>1459</v>
      </c>
      <c r="D23" s="173" t="s">
        <v>399</v>
      </c>
      <c r="E23" s="173" t="s">
        <v>400</v>
      </c>
      <c r="F23" s="173" t="s">
        <v>1462</v>
      </c>
      <c r="G23" s="173" t="str">
        <f ca="1">GetFuturesTicker("FF",RIGHT(C23,LEN(C23)-2),COB)</f>
        <v>FFG9</v>
      </c>
      <c r="H23" s="174" t="b">
        <v>0</v>
      </c>
      <c r="J23" s="208" t="str">
        <v>ED10  COMB Comdty</v>
      </c>
      <c r="K23" s="172" t="s">
        <v>445</v>
      </c>
      <c r="L23" s="173" t="s">
        <v>399</v>
      </c>
      <c r="M23" s="173" t="s">
        <v>400</v>
      </c>
      <c r="N23" s="173" t="s">
        <v>908</v>
      </c>
      <c r="O23" s="173" t="s">
        <v>445</v>
      </c>
      <c r="P23" s="174" t="b">
        <v>1</v>
      </c>
      <c r="R23" s="208" t="str">
        <v>USBC12 ICPL Curncy</v>
      </c>
      <c r="S23" s="172" t="s">
        <v>446</v>
      </c>
      <c r="T23" s="173" t="s">
        <v>392</v>
      </c>
      <c r="U23" s="173" t="s">
        <v>393</v>
      </c>
      <c r="V23" s="173" t="s">
        <v>909</v>
      </c>
      <c r="W23" s="173" t="s">
        <v>25</v>
      </c>
      <c r="X23" s="174" t="b">
        <v>1</v>
      </c>
      <c r="Z23" s="208" t="str">
        <v>USBA12 CMPN Curncy</v>
      </c>
      <c r="AA23" s="172" t="s">
        <v>447</v>
      </c>
      <c r="AB23" s="173" t="s">
        <v>395</v>
      </c>
      <c r="AC23" s="173" t="s">
        <v>393</v>
      </c>
      <c r="AD23" s="173" t="s">
        <v>909</v>
      </c>
      <c r="AE23" s="173" t="s">
        <v>25</v>
      </c>
      <c r="AF23" s="174" t="b">
        <v>1</v>
      </c>
      <c r="AH23" s="208" t="str">
        <v>USBL25 PREB Curncy</v>
      </c>
      <c r="AI23" s="172" t="s">
        <v>448</v>
      </c>
      <c r="AJ23" s="173" t="s">
        <v>1493</v>
      </c>
      <c r="AK23" s="173" t="s">
        <v>393</v>
      </c>
      <c r="AL23" s="173" t="s">
        <v>909</v>
      </c>
      <c r="AM23" s="173" t="s">
        <v>17</v>
      </c>
      <c r="AN23" s="174" t="b">
        <v>1</v>
      </c>
      <c r="AP23" s="208" t="str">
        <v xml:space="preserve">  </v>
      </c>
      <c r="AQ23" s="172"/>
      <c r="AR23" s="173"/>
      <c r="AS23" s="173"/>
      <c r="AT23" s="173"/>
      <c r="AU23" s="173"/>
      <c r="AV23" s="174"/>
    </row>
    <row r="24" spans="1:48">
      <c r="A24" s="204">
        <v>12</v>
      </c>
      <c r="B24" s="208" t="str">
        <f ca="1"/>
        <v>FF11 COMB Comdty</v>
      </c>
      <c r="C24" s="172" t="s">
        <v>1460</v>
      </c>
      <c r="D24" s="173" t="s">
        <v>399</v>
      </c>
      <c r="E24" s="173" t="s">
        <v>400</v>
      </c>
      <c r="F24" s="173" t="s">
        <v>1462</v>
      </c>
      <c r="G24" s="173" t="str">
        <f ca="1">GetFuturesTicker("FF",RIGHT(C24,LEN(C24)-2),COB)</f>
        <v>FFH9</v>
      </c>
      <c r="H24" s="174" t="b">
        <v>0</v>
      </c>
      <c r="J24" s="208" t="str">
        <v>ED11  COMB Comdty</v>
      </c>
      <c r="K24" s="172" t="s">
        <v>450</v>
      </c>
      <c r="L24" s="173" t="s">
        <v>399</v>
      </c>
      <c r="M24" s="173" t="s">
        <v>400</v>
      </c>
      <c r="N24" s="173" t="s">
        <v>908</v>
      </c>
      <c r="O24" s="173" t="s">
        <v>450</v>
      </c>
      <c r="P24" s="174" t="b">
        <v>1</v>
      </c>
      <c r="R24" s="208" t="str">
        <v>USBC15 ICPL Curncy</v>
      </c>
      <c r="S24" s="172" t="s">
        <v>451</v>
      </c>
      <c r="T24" s="173" t="s">
        <v>392</v>
      </c>
      <c r="U24" s="173" t="s">
        <v>393</v>
      </c>
      <c r="V24" s="173" t="s">
        <v>909</v>
      </c>
      <c r="W24" s="173" t="s">
        <v>23</v>
      </c>
      <c r="X24" s="174" t="b">
        <v>1</v>
      </c>
      <c r="Z24" s="208" t="str">
        <v>USBA15 CMPN Curncy</v>
      </c>
      <c r="AA24" s="172" t="s">
        <v>452</v>
      </c>
      <c r="AB24" s="173" t="s">
        <v>395</v>
      </c>
      <c r="AC24" s="173" t="s">
        <v>393</v>
      </c>
      <c r="AD24" s="173" t="s">
        <v>909</v>
      </c>
      <c r="AE24" s="173" t="s">
        <v>23</v>
      </c>
      <c r="AF24" s="174" t="b">
        <v>1</v>
      </c>
      <c r="AH24" s="208" t="str">
        <v>USBL30 PREB Curncy</v>
      </c>
      <c r="AI24" s="172" t="s">
        <v>453</v>
      </c>
      <c r="AJ24" s="173" t="s">
        <v>1493</v>
      </c>
      <c r="AK24" s="173" t="s">
        <v>393</v>
      </c>
      <c r="AL24" s="173" t="s">
        <v>909</v>
      </c>
      <c r="AM24" s="173" t="s">
        <v>16</v>
      </c>
      <c r="AN24" s="174" t="b">
        <v>1</v>
      </c>
      <c r="AP24" s="208" t="str">
        <v xml:space="preserve">  </v>
      </c>
      <c r="AQ24" s="172"/>
      <c r="AR24" s="173"/>
      <c r="AS24" s="173"/>
      <c r="AT24" s="173"/>
      <c r="AU24" s="173"/>
      <c r="AV24" s="174"/>
    </row>
    <row r="25" spans="1:48">
      <c r="A25" s="204">
        <v>13</v>
      </c>
      <c r="B25" s="208" t="str">
        <f ca="1"/>
        <v>FF12 COMB Comdty</v>
      </c>
      <c r="C25" s="172" t="s">
        <v>1461</v>
      </c>
      <c r="D25" s="173" t="s">
        <v>399</v>
      </c>
      <c r="E25" s="173" t="s">
        <v>400</v>
      </c>
      <c r="F25" s="173" t="s">
        <v>1462</v>
      </c>
      <c r="G25" s="173" t="str">
        <f ca="1">GetFuturesTicker("FF",RIGHT(C25,LEN(C25)-2),COB)</f>
        <v>FFJ9</v>
      </c>
      <c r="H25" s="174" t="b">
        <v>0</v>
      </c>
      <c r="J25" s="208" t="str">
        <v>ED12  COMB Comdty</v>
      </c>
      <c r="K25" s="172" t="s">
        <v>455</v>
      </c>
      <c r="L25" s="173" t="s">
        <v>399</v>
      </c>
      <c r="M25" s="173" t="s">
        <v>400</v>
      </c>
      <c r="N25" s="173" t="s">
        <v>908</v>
      </c>
      <c r="O25" s="173" t="s">
        <v>455</v>
      </c>
      <c r="P25" s="174" t="b">
        <v>1</v>
      </c>
      <c r="R25" s="208" t="str">
        <v>USBC20 ICPL Curncy</v>
      </c>
      <c r="S25" s="172" t="s">
        <v>456</v>
      </c>
      <c r="T25" s="173" t="s">
        <v>392</v>
      </c>
      <c r="U25" s="173" t="s">
        <v>393</v>
      </c>
      <c r="V25" s="173" t="s">
        <v>909</v>
      </c>
      <c r="W25" s="173" t="s">
        <v>19</v>
      </c>
      <c r="X25" s="174" t="b">
        <v>1</v>
      </c>
      <c r="Z25" s="208" t="str">
        <v>USBA20 CMPN Curncy</v>
      </c>
      <c r="AA25" s="172" t="s">
        <v>457</v>
      </c>
      <c r="AB25" s="173" t="s">
        <v>395</v>
      </c>
      <c r="AC25" s="173" t="s">
        <v>393</v>
      </c>
      <c r="AD25" s="173" t="s">
        <v>909</v>
      </c>
      <c r="AE25" s="173" t="s">
        <v>19</v>
      </c>
      <c r="AF25" s="174" t="b">
        <v>1</v>
      </c>
      <c r="AH25" s="208" t="str">
        <v xml:space="preserve">  </v>
      </c>
      <c r="AI25" s="172"/>
      <c r="AJ25" s="173"/>
      <c r="AK25" s="173"/>
      <c r="AL25" s="173"/>
      <c r="AM25" s="173"/>
      <c r="AN25" s="174"/>
      <c r="AP25" s="208" t="str">
        <v xml:space="preserve">  </v>
      </c>
      <c r="AQ25" s="172"/>
      <c r="AR25" s="173"/>
      <c r="AS25" s="173"/>
      <c r="AT25" s="173"/>
      <c r="AU25" s="173"/>
      <c r="AV25" s="174"/>
    </row>
    <row r="26" spans="1:48">
      <c r="A26" s="204">
        <v>14</v>
      </c>
      <c r="B26" s="208" t="str">
        <f ca="1"/>
        <v>USSO1Z CMPN Curncy</v>
      </c>
      <c r="C26" s="172" t="s">
        <v>397</v>
      </c>
      <c r="D26" s="173" t="s">
        <v>395</v>
      </c>
      <c r="E26" s="173" t="s">
        <v>393</v>
      </c>
      <c r="F26" s="173" t="s">
        <v>189</v>
      </c>
      <c r="G26" s="173" t="s">
        <v>94</v>
      </c>
      <c r="H26" s="174" t="b">
        <v>0</v>
      </c>
      <c r="J26" s="208" t="str">
        <v>ED13  COMB Comdty</v>
      </c>
      <c r="K26" s="172" t="s">
        <v>459</v>
      </c>
      <c r="L26" s="173" t="s">
        <v>399</v>
      </c>
      <c r="M26" s="173" t="s">
        <v>400</v>
      </c>
      <c r="N26" s="173" t="s">
        <v>908</v>
      </c>
      <c r="O26" s="173" t="s">
        <v>459</v>
      </c>
      <c r="P26" s="174" t="b">
        <v>0</v>
      </c>
      <c r="R26" s="208" t="str">
        <v>USBC25 ICPL Curncy</v>
      </c>
      <c r="S26" s="172" t="s">
        <v>460</v>
      </c>
      <c r="T26" s="173" t="s">
        <v>392</v>
      </c>
      <c r="U26" s="173" t="s">
        <v>393</v>
      </c>
      <c r="V26" s="173" t="s">
        <v>909</v>
      </c>
      <c r="W26" s="173" t="s">
        <v>17</v>
      </c>
      <c r="X26" s="174" t="b">
        <v>1</v>
      </c>
      <c r="Z26" s="208" t="str">
        <v>USBA25 CMPN Curncy</v>
      </c>
      <c r="AA26" s="172" t="s">
        <v>461</v>
      </c>
      <c r="AB26" s="173" t="s">
        <v>395</v>
      </c>
      <c r="AC26" s="173" t="s">
        <v>393</v>
      </c>
      <c r="AD26" s="173" t="s">
        <v>909</v>
      </c>
      <c r="AE26" s="173" t="s">
        <v>17</v>
      </c>
      <c r="AF26" s="174" t="b">
        <v>1</v>
      </c>
      <c r="AH26" s="208" t="str">
        <v xml:space="preserve">  </v>
      </c>
      <c r="AI26" s="172"/>
      <c r="AJ26" s="173"/>
      <c r="AK26" s="173"/>
      <c r="AL26" s="173"/>
      <c r="AM26" s="173"/>
      <c r="AN26" s="174"/>
      <c r="AP26" s="208" t="str">
        <v xml:space="preserve">  </v>
      </c>
      <c r="AQ26" s="172"/>
      <c r="AR26" s="173"/>
      <c r="AS26" s="173"/>
      <c r="AT26" s="173"/>
      <c r="AU26" s="173"/>
      <c r="AV26" s="174"/>
    </row>
    <row r="27" spans="1:48">
      <c r="A27" s="204">
        <v>15</v>
      </c>
      <c r="B27" s="208" t="str">
        <f ca="1"/>
        <v>USSO2Z CMPN Curncy</v>
      </c>
      <c r="C27" s="172" t="s">
        <v>404</v>
      </c>
      <c r="D27" s="173" t="s">
        <v>395</v>
      </c>
      <c r="E27" s="173" t="s">
        <v>393</v>
      </c>
      <c r="F27" s="173" t="s">
        <v>189</v>
      </c>
      <c r="G27" s="173" t="s">
        <v>91</v>
      </c>
      <c r="H27" s="174" t="b">
        <v>0</v>
      </c>
      <c r="J27" s="208" t="str">
        <v>ED14  COMB Comdty</v>
      </c>
      <c r="K27" s="172" t="s">
        <v>463</v>
      </c>
      <c r="L27" s="173" t="s">
        <v>399</v>
      </c>
      <c r="M27" s="173" t="s">
        <v>400</v>
      </c>
      <c r="N27" s="173" t="s">
        <v>908</v>
      </c>
      <c r="O27" s="173" t="s">
        <v>463</v>
      </c>
      <c r="P27" s="174" t="b">
        <v>0</v>
      </c>
      <c r="R27" s="208" t="str">
        <v>USBC30 ICPL Curncy</v>
      </c>
      <c r="S27" s="172" t="s">
        <v>464</v>
      </c>
      <c r="T27" s="173" t="s">
        <v>392</v>
      </c>
      <c r="U27" s="173" t="s">
        <v>393</v>
      </c>
      <c r="V27" s="173" t="s">
        <v>909</v>
      </c>
      <c r="W27" s="173" t="s">
        <v>16</v>
      </c>
      <c r="X27" s="174" t="b">
        <v>1</v>
      </c>
      <c r="Z27" s="208" t="str">
        <v>USBA30 CMPN Curncy</v>
      </c>
      <c r="AA27" s="172" t="s">
        <v>465</v>
      </c>
      <c r="AB27" s="173" t="s">
        <v>395</v>
      </c>
      <c r="AC27" s="173" t="s">
        <v>393</v>
      </c>
      <c r="AD27" s="173" t="s">
        <v>909</v>
      </c>
      <c r="AE27" s="173" t="s">
        <v>16</v>
      </c>
      <c r="AF27" s="174" t="b">
        <v>1</v>
      </c>
      <c r="AH27" s="208" t="str">
        <v xml:space="preserve">  </v>
      </c>
      <c r="AI27" s="172"/>
      <c r="AJ27" s="173"/>
      <c r="AK27" s="173"/>
      <c r="AL27" s="173"/>
      <c r="AM27" s="173"/>
      <c r="AN27" s="174"/>
      <c r="AP27" s="208" t="str">
        <v xml:space="preserve">  </v>
      </c>
      <c r="AQ27" s="172"/>
      <c r="AR27" s="173"/>
      <c r="AS27" s="173"/>
      <c r="AT27" s="173"/>
      <c r="AU27" s="173"/>
      <c r="AV27" s="174"/>
    </row>
    <row r="28" spans="1:48">
      <c r="A28" s="204">
        <v>16</v>
      </c>
      <c r="B28" s="208" t="str">
        <f ca="1"/>
        <v>USSO3Z CMPN Curncy</v>
      </c>
      <c r="C28" s="172" t="s">
        <v>409</v>
      </c>
      <c r="D28" s="173" t="s">
        <v>395</v>
      </c>
      <c r="E28" s="173" t="s">
        <v>393</v>
      </c>
      <c r="F28" s="173" t="s">
        <v>189</v>
      </c>
      <c r="G28" s="173" t="s">
        <v>87</v>
      </c>
      <c r="H28" s="174" t="b">
        <v>0</v>
      </c>
      <c r="J28" s="208" t="str">
        <v>ED15  COMB Comdty</v>
      </c>
      <c r="K28" s="172" t="s">
        <v>467</v>
      </c>
      <c r="L28" s="173" t="s">
        <v>399</v>
      </c>
      <c r="M28" s="173" t="s">
        <v>400</v>
      </c>
      <c r="N28" s="173" t="s">
        <v>908</v>
      </c>
      <c r="O28" s="173" t="s">
        <v>467</v>
      </c>
      <c r="P28" s="174" t="b">
        <v>0</v>
      </c>
      <c r="R28" s="208" t="str">
        <v xml:space="preserve">  </v>
      </c>
      <c r="S28" s="172"/>
      <c r="T28" s="173"/>
      <c r="U28" s="173"/>
      <c r="V28" s="173"/>
      <c r="W28" s="173"/>
      <c r="X28" s="174"/>
      <c r="Z28" s="208" t="str">
        <v xml:space="preserve">  </v>
      </c>
      <c r="AA28" s="172"/>
      <c r="AB28" s="173"/>
      <c r="AC28" s="173"/>
      <c r="AD28" s="173"/>
      <c r="AE28" s="173"/>
      <c r="AF28" s="174"/>
      <c r="AH28" s="208" t="str">
        <v xml:space="preserve">  </v>
      </c>
      <c r="AI28" s="172"/>
      <c r="AJ28" s="173"/>
      <c r="AK28" s="173"/>
      <c r="AL28" s="173"/>
      <c r="AM28" s="173"/>
      <c r="AN28" s="174"/>
      <c r="AP28" s="208" t="str">
        <v xml:space="preserve">  </v>
      </c>
      <c r="AQ28" s="172"/>
      <c r="AR28" s="173"/>
      <c r="AS28" s="173"/>
      <c r="AT28" s="173"/>
      <c r="AU28" s="173"/>
      <c r="AV28" s="174"/>
    </row>
    <row r="29" spans="1:48">
      <c r="A29" s="204">
        <v>17</v>
      </c>
      <c r="B29" s="208" t="str">
        <f ca="1"/>
        <v>USSOA CMPN Curncy</v>
      </c>
      <c r="C29" s="172" t="s">
        <v>414</v>
      </c>
      <c r="D29" s="173" t="s">
        <v>395</v>
      </c>
      <c r="E29" s="173" t="s">
        <v>393</v>
      </c>
      <c r="F29" s="173" t="s">
        <v>189</v>
      </c>
      <c r="G29" s="173" t="s">
        <v>20</v>
      </c>
      <c r="H29" s="174" t="b">
        <v>0</v>
      </c>
      <c r="J29" s="208" t="str">
        <v>ED16  COMB Comdty</v>
      </c>
      <c r="K29" s="172" t="s">
        <v>469</v>
      </c>
      <c r="L29" s="173" t="s">
        <v>399</v>
      </c>
      <c r="M29" s="173" t="s">
        <v>400</v>
      </c>
      <c r="N29" s="173" t="s">
        <v>908</v>
      </c>
      <c r="O29" s="173" t="s">
        <v>469</v>
      </c>
      <c r="P29" s="174" t="b">
        <v>0</v>
      </c>
      <c r="R29" s="208" t="str">
        <v xml:space="preserve">  </v>
      </c>
      <c r="S29" s="172"/>
      <c r="T29" s="173"/>
      <c r="U29" s="173"/>
      <c r="V29" s="173"/>
      <c r="W29" s="173"/>
      <c r="X29" s="174"/>
      <c r="Z29" s="208" t="str">
        <v xml:space="preserve">  </v>
      </c>
      <c r="AA29" s="172"/>
      <c r="AB29" s="173"/>
      <c r="AC29" s="173"/>
      <c r="AD29" s="173"/>
      <c r="AE29" s="173"/>
      <c r="AF29" s="174"/>
      <c r="AH29" s="208" t="str">
        <v xml:space="preserve">  </v>
      </c>
      <c r="AI29" s="172"/>
      <c r="AJ29" s="173"/>
      <c r="AK29" s="173"/>
      <c r="AL29" s="173"/>
      <c r="AM29" s="173"/>
      <c r="AN29" s="174"/>
      <c r="AP29" s="208" t="str">
        <v xml:space="preserve">  </v>
      </c>
      <c r="AQ29" s="172"/>
      <c r="AR29" s="173"/>
      <c r="AS29" s="173"/>
      <c r="AT29" s="173"/>
      <c r="AU29" s="173"/>
      <c r="AV29" s="174"/>
    </row>
    <row r="30" spans="1:48">
      <c r="A30" s="204">
        <v>18</v>
      </c>
      <c r="B30" s="208" t="str">
        <f ca="1"/>
        <v>USSOB CMPN Curncy</v>
      </c>
      <c r="C30" s="172" t="s">
        <v>419</v>
      </c>
      <c r="D30" s="173" t="s">
        <v>395</v>
      </c>
      <c r="E30" s="173" t="s">
        <v>393</v>
      </c>
      <c r="F30" s="173" t="s">
        <v>189</v>
      </c>
      <c r="G30" s="173" t="s">
        <v>57</v>
      </c>
      <c r="H30" s="174" t="b">
        <v>0</v>
      </c>
      <c r="J30" s="208" t="str">
        <v>USSWAP4 BGN Curncy</v>
      </c>
      <c r="K30" s="172" t="s">
        <v>471</v>
      </c>
      <c r="L30" s="173" t="s">
        <v>387</v>
      </c>
      <c r="M30" s="173" t="s">
        <v>393</v>
      </c>
      <c r="N30" s="173" t="s">
        <v>472</v>
      </c>
      <c r="O30" s="173" t="s">
        <v>33</v>
      </c>
      <c r="P30" s="174" t="b">
        <v>0</v>
      </c>
      <c r="R30" s="208" t="str">
        <v xml:space="preserve">  </v>
      </c>
      <c r="S30" s="172"/>
      <c r="T30" s="173"/>
      <c r="U30" s="173"/>
      <c r="V30" s="173"/>
      <c r="W30" s="173"/>
      <c r="X30" s="174"/>
      <c r="Z30" s="208" t="str">
        <v xml:space="preserve">  </v>
      </c>
      <c r="AA30" s="172"/>
      <c r="AB30" s="173"/>
      <c r="AC30" s="173"/>
      <c r="AD30" s="173"/>
      <c r="AE30" s="173"/>
      <c r="AF30" s="174"/>
      <c r="AH30" s="208" t="str">
        <v xml:space="preserve">  </v>
      </c>
      <c r="AI30" s="172"/>
      <c r="AJ30" s="173"/>
      <c r="AK30" s="173"/>
      <c r="AL30" s="173"/>
      <c r="AM30" s="173"/>
      <c r="AN30" s="174"/>
      <c r="AP30" s="208" t="str">
        <v xml:space="preserve">  </v>
      </c>
      <c r="AQ30" s="172"/>
      <c r="AR30" s="173"/>
      <c r="AS30" s="173"/>
      <c r="AT30" s="173"/>
      <c r="AU30" s="173"/>
      <c r="AV30" s="174"/>
    </row>
    <row r="31" spans="1:48">
      <c r="A31" s="204">
        <v>19</v>
      </c>
      <c r="B31" s="208" t="str">
        <f ca="1"/>
        <v>USSOC CMPN Curncy</v>
      </c>
      <c r="C31" s="172" t="s">
        <v>424</v>
      </c>
      <c r="D31" s="173" t="s">
        <v>395</v>
      </c>
      <c r="E31" s="173" t="s">
        <v>393</v>
      </c>
      <c r="F31" s="173" t="s">
        <v>189</v>
      </c>
      <c r="G31" s="173" t="s">
        <v>51</v>
      </c>
      <c r="H31" s="174" t="b">
        <v>0</v>
      </c>
      <c r="J31" s="208" t="str">
        <v>USSWAP5 BGN Curncy</v>
      </c>
      <c r="K31" s="172" t="s">
        <v>474</v>
      </c>
      <c r="L31" s="173" t="s">
        <v>387</v>
      </c>
      <c r="M31" s="173" t="s">
        <v>393</v>
      </c>
      <c r="N31" s="173" t="s">
        <v>472</v>
      </c>
      <c r="O31" s="173" t="s">
        <v>31</v>
      </c>
      <c r="P31" s="174" t="b">
        <v>1</v>
      </c>
      <c r="R31" s="208" t="str">
        <v xml:space="preserve">  </v>
      </c>
      <c r="S31" s="172"/>
      <c r="T31" s="173"/>
      <c r="U31" s="173"/>
      <c r="V31" s="173"/>
      <c r="W31" s="173"/>
      <c r="X31" s="174"/>
      <c r="Z31" s="208" t="str">
        <v xml:space="preserve">  </v>
      </c>
      <c r="AA31" s="172"/>
      <c r="AB31" s="173"/>
      <c r="AC31" s="173"/>
      <c r="AD31" s="173"/>
      <c r="AE31" s="173"/>
      <c r="AF31" s="174"/>
      <c r="AH31" s="208" t="str">
        <v xml:space="preserve">  </v>
      </c>
      <c r="AI31" s="172"/>
      <c r="AJ31" s="173"/>
      <c r="AK31" s="173"/>
      <c r="AL31" s="173"/>
      <c r="AM31" s="173"/>
      <c r="AN31" s="174"/>
      <c r="AP31" s="208" t="str">
        <v xml:space="preserve">  </v>
      </c>
      <c r="AQ31" s="172"/>
      <c r="AR31" s="173"/>
      <c r="AS31" s="173"/>
      <c r="AT31" s="173"/>
      <c r="AU31" s="173"/>
      <c r="AV31" s="174"/>
    </row>
    <row r="32" spans="1:48">
      <c r="A32" s="204">
        <v>20</v>
      </c>
      <c r="B32" s="208" t="str">
        <f ca="1"/>
        <v>USSOD CMPN Curncy</v>
      </c>
      <c r="C32" s="172" t="s">
        <v>429</v>
      </c>
      <c r="D32" s="173" t="s">
        <v>395</v>
      </c>
      <c r="E32" s="173" t="s">
        <v>393</v>
      </c>
      <c r="F32" s="173" t="s">
        <v>189</v>
      </c>
      <c r="G32" s="173" t="s">
        <v>72</v>
      </c>
      <c r="H32" s="174" t="b">
        <v>0</v>
      </c>
      <c r="J32" s="208" t="str">
        <v>USSW6 BGN Curncy</v>
      </c>
      <c r="K32" s="172" t="s">
        <v>476</v>
      </c>
      <c r="L32" s="173" t="s">
        <v>387</v>
      </c>
      <c r="M32" s="173" t="s">
        <v>393</v>
      </c>
      <c r="N32" s="173" t="s">
        <v>472</v>
      </c>
      <c r="O32" s="173" t="s">
        <v>127</v>
      </c>
      <c r="P32" s="174" t="b">
        <v>0</v>
      </c>
      <c r="R32" s="208" t="str">
        <v xml:space="preserve">  </v>
      </c>
      <c r="S32" s="172"/>
      <c r="T32" s="173"/>
      <c r="U32" s="173"/>
      <c r="V32" s="173"/>
      <c r="W32" s="173"/>
      <c r="X32" s="174"/>
      <c r="Z32" s="208" t="str">
        <v xml:space="preserve">  </v>
      </c>
      <c r="AA32" s="172"/>
      <c r="AB32" s="173"/>
      <c r="AC32" s="173"/>
      <c r="AD32" s="173"/>
      <c r="AE32" s="173"/>
      <c r="AF32" s="174"/>
      <c r="AH32" s="208" t="str">
        <v xml:space="preserve">  </v>
      </c>
      <c r="AI32" s="172"/>
      <c r="AJ32" s="173"/>
      <c r="AK32" s="173"/>
      <c r="AL32" s="173"/>
      <c r="AM32" s="173"/>
      <c r="AN32" s="174"/>
      <c r="AP32" s="208" t="str">
        <v xml:space="preserve">  </v>
      </c>
      <c r="AQ32" s="172"/>
      <c r="AR32" s="173"/>
      <c r="AS32" s="173"/>
      <c r="AT32" s="173"/>
      <c r="AU32" s="173"/>
      <c r="AV32" s="174"/>
    </row>
    <row r="33" spans="1:48">
      <c r="A33" s="204">
        <v>21</v>
      </c>
      <c r="B33" s="208" t="str">
        <f ca="1"/>
        <v>USSOE CMPN Curncy</v>
      </c>
      <c r="C33" s="172" t="s">
        <v>434</v>
      </c>
      <c r="D33" s="173" t="s">
        <v>395</v>
      </c>
      <c r="E33" s="173" t="s">
        <v>393</v>
      </c>
      <c r="F33" s="173" t="s">
        <v>189</v>
      </c>
      <c r="G33" s="173" t="s">
        <v>68</v>
      </c>
      <c r="H33" s="174" t="b">
        <v>0</v>
      </c>
      <c r="J33" s="208" t="str">
        <v>USSWAP7 BGN Curncy</v>
      </c>
      <c r="K33" s="172" t="s">
        <v>470</v>
      </c>
      <c r="L33" s="173" t="s">
        <v>387</v>
      </c>
      <c r="M33" s="173" t="s">
        <v>393</v>
      </c>
      <c r="N33" s="173" t="s">
        <v>472</v>
      </c>
      <c r="O33" s="173" t="s">
        <v>29</v>
      </c>
      <c r="P33" s="174" t="b">
        <v>1</v>
      </c>
      <c r="R33" s="208" t="str">
        <v xml:space="preserve">  </v>
      </c>
      <c r="S33" s="172"/>
      <c r="T33" s="173"/>
      <c r="U33" s="173"/>
      <c r="V33" s="173"/>
      <c r="W33" s="173"/>
      <c r="X33" s="174"/>
      <c r="Z33" s="208" t="str">
        <v xml:space="preserve">  </v>
      </c>
      <c r="AA33" s="172"/>
      <c r="AB33" s="173"/>
      <c r="AC33" s="173"/>
      <c r="AD33" s="173"/>
      <c r="AE33" s="173"/>
      <c r="AF33" s="174"/>
      <c r="AH33" s="208" t="str">
        <v xml:space="preserve">  </v>
      </c>
      <c r="AI33" s="172"/>
      <c r="AJ33" s="173"/>
      <c r="AK33" s="173"/>
      <c r="AL33" s="173"/>
      <c r="AM33" s="173"/>
      <c r="AN33" s="174"/>
      <c r="AP33" s="208" t="str">
        <v xml:space="preserve">  </v>
      </c>
      <c r="AQ33" s="172"/>
      <c r="AR33" s="173"/>
      <c r="AS33" s="173"/>
      <c r="AT33" s="173"/>
      <c r="AU33" s="173"/>
      <c r="AV33" s="174"/>
    </row>
    <row r="34" spans="1:48">
      <c r="A34" s="204">
        <v>22</v>
      </c>
      <c r="B34" s="208" t="str">
        <f ca="1"/>
        <v>USSOF CMPN Curncy</v>
      </c>
      <c r="C34" s="172" t="s">
        <v>439</v>
      </c>
      <c r="D34" s="173" t="s">
        <v>395</v>
      </c>
      <c r="E34" s="173" t="s">
        <v>393</v>
      </c>
      <c r="F34" s="173" t="s">
        <v>189</v>
      </c>
      <c r="G34" s="173" t="s">
        <v>22</v>
      </c>
      <c r="H34" s="174" t="b">
        <v>0</v>
      </c>
      <c r="J34" s="208" t="str">
        <v>USSW8 BGN Curncy</v>
      </c>
      <c r="K34" s="172" t="s">
        <v>479</v>
      </c>
      <c r="L34" s="173" t="s">
        <v>387</v>
      </c>
      <c r="M34" s="173" t="s">
        <v>393</v>
      </c>
      <c r="N34" s="173" t="s">
        <v>472</v>
      </c>
      <c r="O34" s="173" t="s">
        <v>115</v>
      </c>
      <c r="P34" s="174" t="b">
        <v>0</v>
      </c>
      <c r="R34" s="208" t="str">
        <v xml:space="preserve">  </v>
      </c>
      <c r="S34" s="172"/>
      <c r="T34" s="173"/>
      <c r="U34" s="173"/>
      <c r="V34" s="173"/>
      <c r="W34" s="173"/>
      <c r="X34" s="174"/>
      <c r="Z34" s="208" t="str">
        <v xml:space="preserve">  </v>
      </c>
      <c r="AA34" s="172"/>
      <c r="AB34" s="173"/>
      <c r="AC34" s="173"/>
      <c r="AD34" s="173"/>
      <c r="AE34" s="173"/>
      <c r="AF34" s="174"/>
      <c r="AH34" s="208" t="str">
        <v xml:space="preserve">  </v>
      </c>
      <c r="AI34" s="172"/>
      <c r="AJ34" s="173"/>
      <c r="AK34" s="173"/>
      <c r="AL34" s="173"/>
      <c r="AM34" s="173"/>
      <c r="AN34" s="174"/>
      <c r="AP34" s="208" t="str">
        <v xml:space="preserve">  </v>
      </c>
      <c r="AQ34" s="172"/>
      <c r="AR34" s="173"/>
      <c r="AS34" s="173"/>
      <c r="AT34" s="173"/>
      <c r="AU34" s="173"/>
      <c r="AV34" s="174"/>
    </row>
    <row r="35" spans="1:48">
      <c r="A35" s="204">
        <v>23</v>
      </c>
      <c r="B35" s="208" t="str">
        <f ca="1"/>
        <v>USSOI CMPN Curncy</v>
      </c>
      <c r="C35" s="172" t="s">
        <v>444</v>
      </c>
      <c r="D35" s="173" t="s">
        <v>395</v>
      </c>
      <c r="E35" s="173" t="s">
        <v>393</v>
      </c>
      <c r="F35" s="173" t="s">
        <v>189</v>
      </c>
      <c r="G35" s="173" t="s">
        <v>55</v>
      </c>
      <c r="H35" s="174" t="b">
        <v>0</v>
      </c>
      <c r="J35" s="208" t="str">
        <v>USSW9 BGN Curncy</v>
      </c>
      <c r="K35" s="172" t="s">
        <v>481</v>
      </c>
      <c r="L35" s="173" t="s">
        <v>387</v>
      </c>
      <c r="M35" s="173" t="s">
        <v>393</v>
      </c>
      <c r="N35" s="173" t="s">
        <v>472</v>
      </c>
      <c r="O35" s="173" t="s">
        <v>109</v>
      </c>
      <c r="P35" s="174" t="b">
        <v>0</v>
      </c>
      <c r="R35" s="208" t="str">
        <v xml:space="preserve">  </v>
      </c>
      <c r="S35" s="172"/>
      <c r="T35" s="173"/>
      <c r="U35" s="173"/>
      <c r="V35" s="173"/>
      <c r="W35" s="173"/>
      <c r="X35" s="174"/>
      <c r="Z35" s="208" t="str">
        <v xml:space="preserve">  </v>
      </c>
      <c r="AA35" s="172"/>
      <c r="AB35" s="173"/>
      <c r="AC35" s="173"/>
      <c r="AD35" s="173"/>
      <c r="AE35" s="173"/>
      <c r="AF35" s="174"/>
      <c r="AH35" s="208" t="str">
        <v xml:space="preserve">  </v>
      </c>
      <c r="AI35" s="172"/>
      <c r="AJ35" s="173"/>
      <c r="AK35" s="173"/>
      <c r="AL35" s="173"/>
      <c r="AM35" s="173"/>
      <c r="AN35" s="174"/>
      <c r="AP35" s="208" t="str">
        <v xml:space="preserve">  </v>
      </c>
      <c r="AQ35" s="172"/>
      <c r="AR35" s="173"/>
      <c r="AS35" s="173"/>
      <c r="AT35" s="173"/>
      <c r="AU35" s="173"/>
      <c r="AV35" s="174"/>
    </row>
    <row r="36" spans="1:48">
      <c r="A36" s="204">
        <v>24</v>
      </c>
      <c r="B36" s="208" t="str">
        <f ca="1"/>
        <v>USSO1 CMPN Curncy</v>
      </c>
      <c r="C36" s="172" t="s">
        <v>449</v>
      </c>
      <c r="D36" s="173" t="s">
        <v>395</v>
      </c>
      <c r="E36" s="173" t="s">
        <v>393</v>
      </c>
      <c r="F36" s="173" t="s">
        <v>189</v>
      </c>
      <c r="G36" s="173" t="s">
        <v>250</v>
      </c>
      <c r="H36" s="174" t="b">
        <v>1</v>
      </c>
      <c r="J36" s="208" t="str">
        <v>USSWAP10 BGN Curncy</v>
      </c>
      <c r="K36" s="172" t="s">
        <v>473</v>
      </c>
      <c r="L36" s="173" t="s">
        <v>387</v>
      </c>
      <c r="M36" s="173" t="s">
        <v>393</v>
      </c>
      <c r="N36" s="173" t="s">
        <v>472</v>
      </c>
      <c r="O36" s="173" t="s">
        <v>27</v>
      </c>
      <c r="P36" s="174" t="b">
        <v>1</v>
      </c>
      <c r="R36" s="208" t="str">
        <v xml:space="preserve">  </v>
      </c>
      <c r="S36" s="172"/>
      <c r="T36" s="173"/>
      <c r="U36" s="173"/>
      <c r="V36" s="173"/>
      <c r="W36" s="173"/>
      <c r="X36" s="174"/>
      <c r="Y36" s="178"/>
      <c r="Z36" s="208" t="str">
        <v xml:space="preserve">  </v>
      </c>
      <c r="AA36" s="172"/>
      <c r="AB36" s="173"/>
      <c r="AC36" s="173"/>
      <c r="AD36" s="173"/>
      <c r="AE36" s="173"/>
      <c r="AF36" s="174"/>
      <c r="AG36" s="178"/>
      <c r="AH36" s="208" t="str">
        <v xml:space="preserve">  </v>
      </c>
      <c r="AI36" s="172"/>
      <c r="AJ36" s="173"/>
      <c r="AK36" s="173"/>
      <c r="AL36" s="173"/>
      <c r="AM36" s="173"/>
      <c r="AN36" s="174"/>
      <c r="AO36" s="178"/>
      <c r="AP36" s="208" t="str">
        <v xml:space="preserve">  </v>
      </c>
      <c r="AQ36" s="172"/>
      <c r="AR36" s="173"/>
      <c r="AS36" s="173"/>
      <c r="AT36" s="173"/>
      <c r="AU36" s="173"/>
      <c r="AV36" s="174"/>
    </row>
    <row r="37" spans="1:48">
      <c r="A37" s="204">
        <v>25</v>
      </c>
      <c r="B37" s="208" t="str">
        <f ca="1"/>
        <v>USSO1F CMPN Curncy</v>
      </c>
      <c r="C37" s="172" t="s">
        <v>454</v>
      </c>
      <c r="D37" s="173" t="s">
        <v>395</v>
      </c>
      <c r="E37" s="173" t="s">
        <v>393</v>
      </c>
      <c r="F37" s="173" t="s">
        <v>189</v>
      </c>
      <c r="G37" s="173" t="s">
        <v>43</v>
      </c>
      <c r="H37" s="174" t="b">
        <v>0</v>
      </c>
      <c r="J37" s="208" t="str">
        <v>USSWAP11 BGN Curncy</v>
      </c>
      <c r="K37" s="172" t="s">
        <v>484</v>
      </c>
      <c r="L37" s="173" t="s">
        <v>387</v>
      </c>
      <c r="M37" s="173" t="s">
        <v>393</v>
      </c>
      <c r="N37" s="173" t="s">
        <v>472</v>
      </c>
      <c r="O37" s="173" t="s">
        <v>318</v>
      </c>
      <c r="P37" s="174" t="b">
        <v>1</v>
      </c>
      <c r="R37" s="208" t="str">
        <v xml:space="preserve">  </v>
      </c>
      <c r="S37" s="172"/>
      <c r="T37" s="173"/>
      <c r="U37" s="173"/>
      <c r="V37" s="173"/>
      <c r="W37" s="173"/>
      <c r="X37" s="174"/>
      <c r="Y37" s="178"/>
      <c r="Z37" s="208" t="str">
        <v xml:space="preserve">  </v>
      </c>
      <c r="AA37" s="172"/>
      <c r="AB37" s="173"/>
      <c r="AC37" s="173"/>
      <c r="AD37" s="173"/>
      <c r="AE37" s="173"/>
      <c r="AF37" s="174"/>
      <c r="AG37" s="178"/>
      <c r="AH37" s="208" t="str">
        <v xml:space="preserve">  </v>
      </c>
      <c r="AI37" s="172"/>
      <c r="AJ37" s="173"/>
      <c r="AK37" s="173"/>
      <c r="AL37" s="173"/>
      <c r="AM37" s="173"/>
      <c r="AN37" s="174"/>
      <c r="AO37" s="178"/>
      <c r="AP37" s="208" t="str">
        <v xml:space="preserve">  </v>
      </c>
      <c r="AQ37" s="172"/>
      <c r="AR37" s="173"/>
      <c r="AS37" s="173"/>
      <c r="AT37" s="173"/>
      <c r="AU37" s="173"/>
      <c r="AV37" s="174"/>
    </row>
    <row r="38" spans="1:48">
      <c r="A38" s="204">
        <v>26</v>
      </c>
      <c r="B38" s="208" t="str">
        <f ca="1"/>
        <v>USSO2 CMPN Curncy</v>
      </c>
      <c r="C38" s="172" t="s">
        <v>458</v>
      </c>
      <c r="D38" s="173" t="s">
        <v>395</v>
      </c>
      <c r="E38" s="173" t="s">
        <v>393</v>
      </c>
      <c r="F38" s="173" t="s">
        <v>189</v>
      </c>
      <c r="G38" s="173" t="s">
        <v>40</v>
      </c>
      <c r="H38" s="174" t="b">
        <v>1</v>
      </c>
      <c r="J38" s="208" t="str">
        <v>USSWAP12 BGN Curncy</v>
      </c>
      <c r="K38" s="172" t="s">
        <v>475</v>
      </c>
      <c r="L38" s="173" t="s">
        <v>387</v>
      </c>
      <c r="M38" s="173" t="s">
        <v>393</v>
      </c>
      <c r="N38" s="173" t="s">
        <v>472</v>
      </c>
      <c r="O38" s="173" t="s">
        <v>25</v>
      </c>
      <c r="P38" s="174" t="b">
        <v>1</v>
      </c>
      <c r="R38" s="208" t="str">
        <v xml:space="preserve">  </v>
      </c>
      <c r="S38" s="172"/>
      <c r="T38" s="173"/>
      <c r="U38" s="173"/>
      <c r="V38" s="173"/>
      <c r="W38" s="173"/>
      <c r="X38" s="174"/>
      <c r="Y38" s="178"/>
      <c r="Z38" s="208" t="str">
        <v xml:space="preserve">  </v>
      </c>
      <c r="AA38" s="172"/>
      <c r="AB38" s="173"/>
      <c r="AC38" s="173"/>
      <c r="AD38" s="173"/>
      <c r="AE38" s="173"/>
      <c r="AF38" s="174"/>
      <c r="AG38" s="178"/>
      <c r="AH38" s="208" t="str">
        <v xml:space="preserve">  </v>
      </c>
      <c r="AI38" s="172"/>
      <c r="AJ38" s="173"/>
      <c r="AK38" s="173"/>
      <c r="AL38" s="173"/>
      <c r="AM38" s="173"/>
      <c r="AN38" s="174"/>
      <c r="AO38" s="178"/>
      <c r="AP38" s="208" t="str">
        <v xml:space="preserve">  </v>
      </c>
      <c r="AQ38" s="172"/>
      <c r="AR38" s="173"/>
      <c r="AS38" s="173"/>
      <c r="AT38" s="173"/>
      <c r="AU38" s="173"/>
      <c r="AV38" s="174"/>
    </row>
    <row r="39" spans="1:48">
      <c r="A39" s="204">
        <v>27</v>
      </c>
      <c r="B39" s="208" t="str">
        <f ca="1"/>
        <v>USSO3 CMPN Curncy</v>
      </c>
      <c r="C39" s="172" t="s">
        <v>462</v>
      </c>
      <c r="D39" s="173" t="s">
        <v>395</v>
      </c>
      <c r="E39" s="173" t="s">
        <v>393</v>
      </c>
      <c r="F39" s="173" t="s">
        <v>189</v>
      </c>
      <c r="G39" s="173" t="s">
        <v>37</v>
      </c>
      <c r="H39" s="174" t="b">
        <v>1</v>
      </c>
      <c r="J39" s="208" t="str">
        <v>USSWAP15 BGN Curncy</v>
      </c>
      <c r="K39" s="172" t="s">
        <v>477</v>
      </c>
      <c r="L39" s="173" t="s">
        <v>387</v>
      </c>
      <c r="M39" s="173" t="s">
        <v>393</v>
      </c>
      <c r="N39" s="173" t="s">
        <v>472</v>
      </c>
      <c r="O39" s="173" t="s">
        <v>23</v>
      </c>
      <c r="P39" s="174" t="b">
        <v>1</v>
      </c>
      <c r="R39" s="208" t="str">
        <v xml:space="preserve">  </v>
      </c>
      <c r="S39" s="172"/>
      <c r="T39" s="173"/>
      <c r="U39" s="173"/>
      <c r="V39" s="173"/>
      <c r="W39" s="173"/>
      <c r="X39" s="174"/>
      <c r="Y39" s="178"/>
      <c r="Z39" s="208" t="str">
        <v xml:space="preserve">  </v>
      </c>
      <c r="AA39" s="172"/>
      <c r="AB39" s="173"/>
      <c r="AC39" s="173"/>
      <c r="AD39" s="173"/>
      <c r="AE39" s="173"/>
      <c r="AF39" s="174"/>
      <c r="AG39" s="178"/>
      <c r="AH39" s="208" t="str">
        <v xml:space="preserve">  </v>
      </c>
      <c r="AI39" s="172"/>
      <c r="AJ39" s="173"/>
      <c r="AK39" s="173"/>
      <c r="AL39" s="173"/>
      <c r="AM39" s="173"/>
      <c r="AN39" s="174"/>
      <c r="AO39" s="178"/>
      <c r="AP39" s="208" t="str">
        <v xml:space="preserve">  </v>
      </c>
      <c r="AQ39" s="172"/>
      <c r="AR39" s="173"/>
      <c r="AS39" s="173"/>
      <c r="AT39" s="173"/>
      <c r="AU39" s="173"/>
      <c r="AV39" s="174"/>
    </row>
    <row r="40" spans="1:48">
      <c r="A40" s="204">
        <v>28</v>
      </c>
      <c r="B40" s="208" t="str">
        <f ca="1"/>
        <v>USSO4 CMPN Curncy</v>
      </c>
      <c r="C40" s="172" t="s">
        <v>466</v>
      </c>
      <c r="D40" s="173" t="s">
        <v>395</v>
      </c>
      <c r="E40" s="173" t="s">
        <v>393</v>
      </c>
      <c r="F40" s="173" t="s">
        <v>189</v>
      </c>
      <c r="G40" s="173" t="s">
        <v>33</v>
      </c>
      <c r="H40" s="174" t="b">
        <v>1</v>
      </c>
      <c r="J40" s="208" t="str">
        <v>USSWAP20 BGN Curncy</v>
      </c>
      <c r="K40" s="172" t="s">
        <v>478</v>
      </c>
      <c r="L40" s="173" t="s">
        <v>387</v>
      </c>
      <c r="M40" s="173" t="s">
        <v>393</v>
      </c>
      <c r="N40" s="173" t="s">
        <v>472</v>
      </c>
      <c r="O40" s="173" t="s">
        <v>19</v>
      </c>
      <c r="P40" s="174" t="b">
        <v>1</v>
      </c>
      <c r="R40" s="208" t="str">
        <v xml:space="preserve">  </v>
      </c>
      <c r="S40" s="172"/>
      <c r="T40" s="173"/>
      <c r="U40" s="173"/>
      <c r="V40" s="173"/>
      <c r="W40" s="173"/>
      <c r="X40" s="174"/>
      <c r="Y40" s="178"/>
      <c r="Z40" s="208" t="str">
        <v xml:space="preserve">  </v>
      </c>
      <c r="AA40" s="172"/>
      <c r="AB40" s="173"/>
      <c r="AC40" s="173"/>
      <c r="AD40" s="173"/>
      <c r="AE40" s="173"/>
      <c r="AF40" s="174"/>
      <c r="AG40" s="178"/>
      <c r="AH40" s="208" t="str">
        <v xml:space="preserve">  </v>
      </c>
      <c r="AI40" s="172"/>
      <c r="AJ40" s="173"/>
      <c r="AK40" s="173"/>
      <c r="AL40" s="173"/>
      <c r="AM40" s="173"/>
      <c r="AN40" s="174"/>
      <c r="AO40" s="178"/>
      <c r="AP40" s="208" t="str">
        <v xml:space="preserve">  </v>
      </c>
      <c r="AQ40" s="172"/>
      <c r="AR40" s="173"/>
      <c r="AS40" s="173"/>
      <c r="AT40" s="173"/>
      <c r="AU40" s="173"/>
      <c r="AV40" s="174"/>
    </row>
    <row r="41" spans="1:48">
      <c r="A41" s="204">
        <v>29</v>
      </c>
      <c r="B41" s="208" t="str">
        <f ca="1"/>
        <v>USSO5 CMPN Curncy</v>
      </c>
      <c r="C41" s="172" t="s">
        <v>468</v>
      </c>
      <c r="D41" s="173" t="s">
        <v>395</v>
      </c>
      <c r="E41" s="173" t="s">
        <v>393</v>
      </c>
      <c r="F41" s="173" t="s">
        <v>189</v>
      </c>
      <c r="G41" s="173" t="s">
        <v>31</v>
      </c>
      <c r="H41" s="174" t="b">
        <v>1</v>
      </c>
      <c r="J41" s="208" t="str">
        <v>USSWAP25 BGN Curncy</v>
      </c>
      <c r="K41" s="172" t="s">
        <v>480</v>
      </c>
      <c r="L41" s="173" t="s">
        <v>387</v>
      </c>
      <c r="M41" s="173" t="s">
        <v>393</v>
      </c>
      <c r="N41" s="173" t="s">
        <v>472</v>
      </c>
      <c r="O41" s="173" t="s">
        <v>17</v>
      </c>
      <c r="P41" s="174" t="b">
        <v>1</v>
      </c>
      <c r="R41" s="208" t="str">
        <v xml:space="preserve">  </v>
      </c>
      <c r="S41" s="172"/>
      <c r="T41" s="173"/>
      <c r="U41" s="173"/>
      <c r="V41" s="173"/>
      <c r="W41" s="173"/>
      <c r="X41" s="174"/>
      <c r="Y41" s="178"/>
      <c r="Z41" s="208" t="str">
        <v xml:space="preserve">  </v>
      </c>
      <c r="AA41" s="172"/>
      <c r="AB41" s="173"/>
      <c r="AC41" s="173"/>
      <c r="AD41" s="173"/>
      <c r="AE41" s="173"/>
      <c r="AF41" s="174"/>
      <c r="AG41" s="178"/>
      <c r="AH41" s="208" t="str">
        <v xml:space="preserve">  </v>
      </c>
      <c r="AI41" s="172"/>
      <c r="AJ41" s="173"/>
      <c r="AK41" s="173"/>
      <c r="AL41" s="173"/>
      <c r="AM41" s="173"/>
      <c r="AN41" s="174"/>
      <c r="AO41" s="178"/>
      <c r="AP41" s="208" t="str">
        <v xml:space="preserve">  </v>
      </c>
      <c r="AQ41" s="172"/>
      <c r="AR41" s="173"/>
      <c r="AS41" s="173"/>
      <c r="AT41" s="173"/>
      <c r="AU41" s="173"/>
      <c r="AV41" s="174"/>
    </row>
    <row r="42" spans="1:48">
      <c r="A42" s="204">
        <v>30</v>
      </c>
      <c r="B42" s="208" t="str">
        <f ca="1"/>
        <v>USSO6 CMPN Curncy</v>
      </c>
      <c r="C42" s="172" t="s">
        <v>996</v>
      </c>
      <c r="D42" s="173" t="s">
        <v>395</v>
      </c>
      <c r="E42" s="173" t="s">
        <v>393</v>
      </c>
      <c r="F42" s="173" t="s">
        <v>189</v>
      </c>
      <c r="G42" s="173" t="s">
        <v>127</v>
      </c>
      <c r="H42" s="174" t="b">
        <v>1</v>
      </c>
      <c r="J42" s="208" t="str">
        <v>USSWAP30 BGN Curncy</v>
      </c>
      <c r="K42" s="172" t="s">
        <v>482</v>
      </c>
      <c r="L42" s="173" t="s">
        <v>387</v>
      </c>
      <c r="M42" s="173" t="s">
        <v>393</v>
      </c>
      <c r="N42" s="173" t="s">
        <v>472</v>
      </c>
      <c r="O42" s="173" t="s">
        <v>16</v>
      </c>
      <c r="P42" s="174" t="b">
        <v>1</v>
      </c>
      <c r="R42" s="208" t="str">
        <v xml:space="preserve">  </v>
      </c>
      <c r="S42" s="172"/>
      <c r="T42" s="173"/>
      <c r="U42" s="173"/>
      <c r="V42" s="173"/>
      <c r="W42" s="173"/>
      <c r="X42" s="174"/>
      <c r="Y42" s="178"/>
      <c r="Z42" s="208" t="str">
        <v xml:space="preserve">  </v>
      </c>
      <c r="AA42" s="172"/>
      <c r="AB42" s="173"/>
      <c r="AC42" s="173"/>
      <c r="AD42" s="173"/>
      <c r="AE42" s="173"/>
      <c r="AF42" s="174"/>
      <c r="AG42" s="178"/>
      <c r="AH42" s="208" t="str">
        <v xml:space="preserve">  </v>
      </c>
      <c r="AI42" s="172"/>
      <c r="AJ42" s="173"/>
      <c r="AK42" s="173"/>
      <c r="AL42" s="173"/>
      <c r="AM42" s="173"/>
      <c r="AN42" s="174"/>
      <c r="AO42" s="178"/>
      <c r="AP42" s="208" t="str">
        <v xml:space="preserve">  </v>
      </c>
      <c r="AQ42" s="172"/>
      <c r="AR42" s="173"/>
      <c r="AS42" s="173"/>
      <c r="AT42" s="173"/>
      <c r="AU42" s="173"/>
      <c r="AV42" s="174"/>
    </row>
    <row r="43" spans="1:48">
      <c r="A43" s="204">
        <v>31</v>
      </c>
      <c r="B43" s="208" t="str">
        <f ca="1"/>
        <v>USSO7 CMPN Curncy</v>
      </c>
      <c r="C43" s="172" t="s">
        <v>997</v>
      </c>
      <c r="D43" s="173" t="s">
        <v>395</v>
      </c>
      <c r="E43" s="173" t="s">
        <v>393</v>
      </c>
      <c r="F43" s="173" t="s">
        <v>189</v>
      </c>
      <c r="G43" s="173" t="s">
        <v>29</v>
      </c>
      <c r="H43" s="174" t="b">
        <v>1</v>
      </c>
      <c r="J43" s="208" t="str">
        <v>USSWAP40 BGN Curncy</v>
      </c>
      <c r="K43" s="172" t="s">
        <v>483</v>
      </c>
      <c r="L43" s="173" t="s">
        <v>387</v>
      </c>
      <c r="M43" s="173" t="s">
        <v>393</v>
      </c>
      <c r="N43" s="173" t="s">
        <v>472</v>
      </c>
      <c r="O43" s="173" t="s">
        <v>14</v>
      </c>
      <c r="P43" s="174" t="b">
        <v>1</v>
      </c>
      <c r="R43" s="208" t="str">
        <v xml:space="preserve">  </v>
      </c>
      <c r="S43" s="172"/>
      <c r="T43" s="173"/>
      <c r="U43" s="173"/>
      <c r="V43" s="173"/>
      <c r="W43" s="173"/>
      <c r="X43" s="174"/>
      <c r="Y43" s="178"/>
      <c r="Z43" s="208" t="str">
        <v xml:space="preserve">  </v>
      </c>
      <c r="AA43" s="172"/>
      <c r="AB43" s="173"/>
      <c r="AC43" s="173"/>
      <c r="AD43" s="173"/>
      <c r="AE43" s="173"/>
      <c r="AF43" s="174"/>
      <c r="AG43" s="178"/>
      <c r="AH43" s="208" t="str">
        <v xml:space="preserve">  </v>
      </c>
      <c r="AI43" s="172"/>
      <c r="AJ43" s="173"/>
      <c r="AK43" s="173"/>
      <c r="AL43" s="173"/>
      <c r="AM43" s="173"/>
      <c r="AN43" s="174"/>
      <c r="AO43" s="178"/>
      <c r="AP43" s="208" t="str">
        <v xml:space="preserve">  </v>
      </c>
      <c r="AQ43" s="172"/>
      <c r="AR43" s="173"/>
      <c r="AS43" s="173"/>
      <c r="AT43" s="173"/>
      <c r="AU43" s="173"/>
      <c r="AV43" s="174"/>
    </row>
    <row r="44" spans="1:48">
      <c r="A44" s="204">
        <v>32</v>
      </c>
      <c r="B44" s="208" t="str">
        <f ca="1"/>
        <v>USSO10 CMPN Curncy</v>
      </c>
      <c r="C44" s="172" t="s">
        <v>998</v>
      </c>
      <c r="D44" s="173" t="s">
        <v>395</v>
      </c>
      <c r="E44" s="173" t="s">
        <v>393</v>
      </c>
      <c r="F44" s="173" t="s">
        <v>189</v>
      </c>
      <c r="G44" s="173" t="s">
        <v>27</v>
      </c>
      <c r="H44" s="174" t="b">
        <v>1</v>
      </c>
      <c r="J44" s="208" t="str">
        <v xml:space="preserve">  </v>
      </c>
      <c r="K44" s="172"/>
      <c r="L44" s="173"/>
      <c r="M44" s="173"/>
      <c r="N44" s="173"/>
      <c r="O44" s="173"/>
      <c r="P44" s="174"/>
      <c r="R44" s="208" t="str">
        <v xml:space="preserve">  </v>
      </c>
      <c r="S44" s="172"/>
      <c r="T44" s="173"/>
      <c r="U44" s="173"/>
      <c r="V44" s="173"/>
      <c r="W44" s="173"/>
      <c r="X44" s="174"/>
      <c r="Y44" s="178"/>
      <c r="Z44" s="208" t="str">
        <v xml:space="preserve">  </v>
      </c>
      <c r="AA44" s="172"/>
      <c r="AB44" s="173"/>
      <c r="AC44" s="173"/>
      <c r="AD44" s="173"/>
      <c r="AE44" s="173"/>
      <c r="AF44" s="174"/>
      <c r="AG44" s="178"/>
      <c r="AH44" s="208" t="str">
        <v xml:space="preserve">  </v>
      </c>
      <c r="AI44" s="172"/>
      <c r="AJ44" s="173"/>
      <c r="AK44" s="173"/>
      <c r="AL44" s="173"/>
      <c r="AM44" s="173"/>
      <c r="AN44" s="174"/>
      <c r="AO44" s="178"/>
      <c r="AP44" s="208" t="str">
        <v xml:space="preserve">  </v>
      </c>
      <c r="AQ44" s="172"/>
      <c r="AR44" s="173"/>
      <c r="AS44" s="173"/>
      <c r="AT44" s="173"/>
      <c r="AU44" s="173"/>
      <c r="AV44" s="174"/>
    </row>
    <row r="45" spans="1:48">
      <c r="A45" s="204">
        <v>33</v>
      </c>
      <c r="B45" s="208" t="str">
        <f ca="1"/>
        <v>USSO12 CMPN Curncy</v>
      </c>
      <c r="C45" s="172" t="s">
        <v>1000</v>
      </c>
      <c r="D45" s="173" t="s">
        <v>395</v>
      </c>
      <c r="E45" s="173" t="s">
        <v>393</v>
      </c>
      <c r="F45" s="173" t="s">
        <v>189</v>
      </c>
      <c r="G45" s="173" t="s">
        <v>25</v>
      </c>
      <c r="H45" s="174" t="b">
        <v>1</v>
      </c>
      <c r="J45" s="208" t="str">
        <v xml:space="preserve">  </v>
      </c>
      <c r="K45" s="172"/>
      <c r="L45" s="173"/>
      <c r="M45" s="173"/>
      <c r="N45" s="173"/>
      <c r="O45" s="173"/>
      <c r="P45" s="174"/>
      <c r="R45" s="208" t="str">
        <v xml:space="preserve">  </v>
      </c>
      <c r="S45" s="172"/>
      <c r="T45" s="173"/>
      <c r="U45" s="173"/>
      <c r="V45" s="173"/>
      <c r="W45" s="173"/>
      <c r="X45" s="174"/>
      <c r="Y45" s="178"/>
      <c r="Z45" s="208" t="str">
        <v xml:space="preserve">  </v>
      </c>
      <c r="AA45" s="172"/>
      <c r="AB45" s="173"/>
      <c r="AC45" s="173"/>
      <c r="AD45" s="173"/>
      <c r="AE45" s="173"/>
      <c r="AF45" s="174"/>
      <c r="AG45" s="178"/>
      <c r="AH45" s="208" t="str">
        <v xml:space="preserve">  </v>
      </c>
      <c r="AI45" s="172"/>
      <c r="AJ45" s="173"/>
      <c r="AK45" s="173"/>
      <c r="AL45" s="173"/>
      <c r="AM45" s="173"/>
      <c r="AN45" s="174"/>
      <c r="AO45" s="178"/>
      <c r="AP45" s="208" t="str">
        <v xml:space="preserve">  </v>
      </c>
      <c r="AQ45" s="172"/>
      <c r="AR45" s="173"/>
      <c r="AS45" s="173"/>
      <c r="AT45" s="173"/>
      <c r="AU45" s="173"/>
      <c r="AV45" s="174"/>
    </row>
    <row r="46" spans="1:48">
      <c r="A46" s="204">
        <v>34</v>
      </c>
      <c r="B46" s="208" t="str">
        <f ca="1"/>
        <v>USSO15 CMPN Curncy</v>
      </c>
      <c r="C46" s="172" t="s">
        <v>999</v>
      </c>
      <c r="D46" s="173" t="s">
        <v>395</v>
      </c>
      <c r="E46" s="173" t="s">
        <v>393</v>
      </c>
      <c r="F46" s="173" t="s">
        <v>189</v>
      </c>
      <c r="G46" s="173" t="s">
        <v>23</v>
      </c>
      <c r="H46" s="174" t="b">
        <v>1</v>
      </c>
      <c r="J46" s="208" t="str">
        <v xml:space="preserve">  </v>
      </c>
      <c r="K46" s="172"/>
      <c r="L46" s="173"/>
      <c r="M46" s="173"/>
      <c r="N46" s="173"/>
      <c r="O46" s="173"/>
      <c r="P46" s="174"/>
      <c r="R46" s="208" t="str">
        <v xml:space="preserve">  </v>
      </c>
      <c r="S46" s="172"/>
      <c r="T46" s="173"/>
      <c r="U46" s="173"/>
      <c r="V46" s="173"/>
      <c r="W46" s="173"/>
      <c r="X46" s="174"/>
      <c r="Y46" s="178"/>
      <c r="Z46" s="208" t="str">
        <v xml:space="preserve">  </v>
      </c>
      <c r="AA46" s="172"/>
      <c r="AB46" s="173"/>
      <c r="AC46" s="173"/>
      <c r="AD46" s="173"/>
      <c r="AE46" s="173"/>
      <c r="AF46" s="174"/>
      <c r="AG46" s="178"/>
      <c r="AH46" s="208" t="str">
        <v xml:space="preserve">  </v>
      </c>
      <c r="AI46" s="172"/>
      <c r="AJ46" s="173"/>
      <c r="AK46" s="173"/>
      <c r="AL46" s="173"/>
      <c r="AM46" s="173"/>
      <c r="AN46" s="174"/>
      <c r="AO46" s="178"/>
      <c r="AP46" s="208" t="str">
        <v xml:space="preserve">  </v>
      </c>
      <c r="AQ46" s="172"/>
      <c r="AR46" s="173"/>
      <c r="AS46" s="173"/>
      <c r="AT46" s="173"/>
      <c r="AU46" s="173"/>
      <c r="AV46" s="174"/>
    </row>
    <row r="47" spans="1:48">
      <c r="A47" s="204">
        <v>35</v>
      </c>
      <c r="B47" s="208" t="str">
        <f ca="1"/>
        <v>USSO20 CMPN Curncy</v>
      </c>
      <c r="C47" s="172" t="s">
        <v>1001</v>
      </c>
      <c r="D47" s="173" t="s">
        <v>395</v>
      </c>
      <c r="E47" s="173" t="s">
        <v>393</v>
      </c>
      <c r="F47" s="173" t="s">
        <v>189</v>
      </c>
      <c r="G47" s="173" t="s">
        <v>19</v>
      </c>
      <c r="H47" s="174" t="b">
        <v>1</v>
      </c>
      <c r="J47" s="208" t="str">
        <v xml:space="preserve">  </v>
      </c>
      <c r="K47" s="172"/>
      <c r="L47" s="173"/>
      <c r="M47" s="173"/>
      <c r="N47" s="173"/>
      <c r="O47" s="173"/>
      <c r="P47" s="174"/>
      <c r="R47" s="208" t="str">
        <v xml:space="preserve">  </v>
      </c>
      <c r="S47" s="172"/>
      <c r="T47" s="173"/>
      <c r="U47" s="173"/>
      <c r="V47" s="173"/>
      <c r="W47" s="173"/>
      <c r="X47" s="174"/>
      <c r="Y47" s="178"/>
      <c r="Z47" s="208" t="str">
        <v xml:space="preserve">  </v>
      </c>
      <c r="AA47" s="172"/>
      <c r="AB47" s="173"/>
      <c r="AC47" s="173"/>
      <c r="AD47" s="173"/>
      <c r="AE47" s="173"/>
      <c r="AF47" s="174"/>
      <c r="AG47" s="178"/>
      <c r="AH47" s="208" t="str">
        <v xml:space="preserve">  </v>
      </c>
      <c r="AI47" s="172"/>
      <c r="AJ47" s="173"/>
      <c r="AK47" s="173"/>
      <c r="AL47" s="173"/>
      <c r="AM47" s="173"/>
      <c r="AN47" s="174"/>
      <c r="AO47" s="178"/>
      <c r="AP47" s="208" t="str">
        <v xml:space="preserve">  </v>
      </c>
      <c r="AQ47" s="172"/>
      <c r="AR47" s="173"/>
      <c r="AS47" s="173"/>
      <c r="AT47" s="173"/>
      <c r="AU47" s="173"/>
      <c r="AV47" s="174"/>
    </row>
    <row r="48" spans="1:48">
      <c r="A48" s="204">
        <v>36</v>
      </c>
      <c r="B48" s="208" t="str">
        <f ca="1"/>
        <v>USSO25 CMPN Curncy</v>
      </c>
      <c r="C48" s="172" t="s">
        <v>1002</v>
      </c>
      <c r="D48" s="173" t="s">
        <v>395</v>
      </c>
      <c r="E48" s="173" t="s">
        <v>393</v>
      </c>
      <c r="F48" s="173" t="s">
        <v>189</v>
      </c>
      <c r="G48" s="173" t="s">
        <v>17</v>
      </c>
      <c r="H48" s="174" t="b">
        <v>1</v>
      </c>
      <c r="J48" s="208" t="str">
        <v xml:space="preserve">  </v>
      </c>
      <c r="K48" s="172"/>
      <c r="L48" s="173"/>
      <c r="M48" s="173"/>
      <c r="N48" s="173"/>
      <c r="O48" s="173"/>
      <c r="P48" s="174"/>
      <c r="R48" s="208" t="str">
        <v xml:space="preserve">  </v>
      </c>
      <c r="S48" s="172"/>
      <c r="T48" s="173"/>
      <c r="U48" s="173"/>
      <c r="V48" s="173"/>
      <c r="W48" s="173"/>
      <c r="X48" s="174"/>
      <c r="Y48" s="178"/>
      <c r="Z48" s="208" t="str">
        <v xml:space="preserve">  </v>
      </c>
      <c r="AA48" s="172"/>
      <c r="AB48" s="173"/>
      <c r="AC48" s="173"/>
      <c r="AD48" s="173"/>
      <c r="AE48" s="173"/>
      <c r="AF48" s="174"/>
      <c r="AG48" s="178"/>
      <c r="AH48" s="208" t="str">
        <v xml:space="preserve">  </v>
      </c>
      <c r="AI48" s="172"/>
      <c r="AJ48" s="173"/>
      <c r="AK48" s="173"/>
      <c r="AL48" s="173"/>
      <c r="AM48" s="173"/>
      <c r="AN48" s="174"/>
      <c r="AO48" s="178"/>
      <c r="AP48" s="208" t="str">
        <v xml:space="preserve">  </v>
      </c>
      <c r="AQ48" s="172"/>
      <c r="AR48" s="173"/>
      <c r="AS48" s="173"/>
      <c r="AT48" s="173"/>
      <c r="AU48" s="173"/>
      <c r="AV48" s="174"/>
    </row>
    <row r="49" spans="1:48">
      <c r="A49" s="204">
        <v>37</v>
      </c>
      <c r="B49" s="208" t="str">
        <f ca="1"/>
        <v>USSO30 CMPN Curncy</v>
      </c>
      <c r="C49" s="172" t="s">
        <v>1003</v>
      </c>
      <c r="D49" s="173" t="s">
        <v>395</v>
      </c>
      <c r="E49" s="173" t="s">
        <v>393</v>
      </c>
      <c r="F49" s="173" t="s">
        <v>189</v>
      </c>
      <c r="G49" s="173" t="s">
        <v>16</v>
      </c>
      <c r="H49" s="174" t="b">
        <v>1</v>
      </c>
      <c r="J49" s="208" t="str">
        <v xml:space="preserve">  </v>
      </c>
      <c r="K49" s="172"/>
      <c r="L49" s="173"/>
      <c r="M49" s="173"/>
      <c r="N49" s="173"/>
      <c r="O49" s="173"/>
      <c r="P49" s="174"/>
      <c r="R49" s="208" t="str">
        <v xml:space="preserve">  </v>
      </c>
      <c r="S49" s="172"/>
      <c r="T49" s="173"/>
      <c r="U49" s="173"/>
      <c r="V49" s="173"/>
      <c r="W49" s="173"/>
      <c r="X49" s="174"/>
      <c r="Y49" s="178"/>
      <c r="Z49" s="208" t="str">
        <v xml:space="preserve">  </v>
      </c>
      <c r="AA49" s="172"/>
      <c r="AB49" s="173"/>
      <c r="AC49" s="173"/>
      <c r="AD49" s="173"/>
      <c r="AE49" s="173"/>
      <c r="AF49" s="174"/>
      <c r="AG49" s="178"/>
      <c r="AH49" s="208" t="str">
        <v xml:space="preserve">  </v>
      </c>
      <c r="AI49" s="172"/>
      <c r="AJ49" s="173"/>
      <c r="AK49" s="173"/>
      <c r="AL49" s="173"/>
      <c r="AM49" s="173"/>
      <c r="AN49" s="174"/>
      <c r="AO49" s="178"/>
      <c r="AP49" s="208" t="str">
        <v xml:space="preserve">  </v>
      </c>
      <c r="AQ49" s="172"/>
      <c r="AR49" s="173"/>
      <c r="AS49" s="173"/>
      <c r="AT49" s="173"/>
      <c r="AU49" s="173"/>
      <c r="AV49" s="174"/>
    </row>
    <row r="50" spans="1:48">
      <c r="A50" s="204">
        <v>38</v>
      </c>
      <c r="B50" s="208" t="str">
        <f ca="1"/>
        <v>USBG2 BGN Curncy</v>
      </c>
      <c r="C50" s="188" t="s">
        <v>1004</v>
      </c>
      <c r="D50" s="173" t="s">
        <v>387</v>
      </c>
      <c r="E50" s="173" t="s">
        <v>393</v>
      </c>
      <c r="F50" s="173" t="s">
        <v>935</v>
      </c>
      <c r="G50" s="173" t="s">
        <v>40</v>
      </c>
      <c r="H50" s="174" t="b">
        <v>1</v>
      </c>
      <c r="J50" s="208" t="str">
        <v xml:space="preserve">  </v>
      </c>
      <c r="K50" s="172"/>
      <c r="L50" s="173"/>
      <c r="M50" s="173"/>
      <c r="N50" s="173"/>
      <c r="O50" s="173"/>
      <c r="P50" s="174"/>
      <c r="R50" s="208" t="str">
        <v xml:space="preserve">  </v>
      </c>
      <c r="S50" s="172"/>
      <c r="T50" s="173"/>
      <c r="U50" s="173"/>
      <c r="V50" s="173"/>
      <c r="W50" s="173"/>
      <c r="X50" s="174"/>
      <c r="Y50" s="178"/>
      <c r="Z50" s="208" t="str">
        <v xml:space="preserve">  </v>
      </c>
      <c r="AA50" s="172"/>
      <c r="AB50" s="173"/>
      <c r="AC50" s="173"/>
      <c r="AD50" s="173"/>
      <c r="AE50" s="173"/>
      <c r="AF50" s="174"/>
      <c r="AG50" s="178"/>
      <c r="AH50" s="208" t="str">
        <v xml:space="preserve">  </v>
      </c>
      <c r="AI50" s="172"/>
      <c r="AJ50" s="173"/>
      <c r="AK50" s="173"/>
      <c r="AL50" s="173"/>
      <c r="AM50" s="173"/>
      <c r="AN50" s="174"/>
      <c r="AO50" s="178"/>
      <c r="AP50" s="208" t="str">
        <v xml:space="preserve">  </v>
      </c>
      <c r="AQ50" s="172"/>
      <c r="AR50" s="173"/>
      <c r="AS50" s="173"/>
      <c r="AT50" s="173"/>
      <c r="AU50" s="173"/>
      <c r="AV50" s="174"/>
    </row>
    <row r="51" spans="1:48">
      <c r="A51" s="204">
        <v>39</v>
      </c>
      <c r="B51" s="208" t="str">
        <f ca="1"/>
        <v>USBG3 BGN Curncy</v>
      </c>
      <c r="C51" s="188" t="s">
        <v>1005</v>
      </c>
      <c r="D51" s="173" t="s">
        <v>387</v>
      </c>
      <c r="E51" s="173" t="s">
        <v>393</v>
      </c>
      <c r="F51" s="173" t="s">
        <v>935</v>
      </c>
      <c r="G51" s="173" t="s">
        <v>37</v>
      </c>
      <c r="H51" s="174" t="b">
        <v>1</v>
      </c>
      <c r="J51" s="208" t="str">
        <v xml:space="preserve">  </v>
      </c>
      <c r="K51" s="172"/>
      <c r="L51" s="173"/>
      <c r="M51" s="173"/>
      <c r="N51" s="173"/>
      <c r="O51" s="173"/>
      <c r="P51" s="174"/>
      <c r="R51" s="208" t="str">
        <v xml:space="preserve">  </v>
      </c>
      <c r="S51" s="172"/>
      <c r="T51" s="173"/>
      <c r="U51" s="173"/>
      <c r="V51" s="173"/>
      <c r="W51" s="173"/>
      <c r="X51" s="174"/>
      <c r="Y51" s="178"/>
      <c r="Z51" s="208" t="str">
        <v xml:space="preserve">  </v>
      </c>
      <c r="AA51" s="172"/>
      <c r="AB51" s="173"/>
      <c r="AC51" s="173"/>
      <c r="AD51" s="173"/>
      <c r="AE51" s="173"/>
      <c r="AF51" s="174"/>
      <c r="AG51" s="178"/>
      <c r="AH51" s="208" t="str">
        <v xml:space="preserve">  </v>
      </c>
      <c r="AI51" s="172"/>
      <c r="AJ51" s="173"/>
      <c r="AK51" s="173"/>
      <c r="AL51" s="173"/>
      <c r="AM51" s="173"/>
      <c r="AN51" s="174"/>
      <c r="AO51" s="178"/>
      <c r="AP51" s="208" t="str">
        <v xml:space="preserve">  </v>
      </c>
      <c r="AQ51" s="172"/>
      <c r="AR51" s="173"/>
      <c r="AS51" s="173"/>
      <c r="AT51" s="173"/>
      <c r="AU51" s="173"/>
      <c r="AV51" s="174"/>
    </row>
    <row r="52" spans="1:48">
      <c r="A52" s="204">
        <v>40</v>
      </c>
      <c r="B52" s="208" t="str">
        <f ca="1"/>
        <v>USBG4 BGN Curncy</v>
      </c>
      <c r="C52" s="188" t="s">
        <v>1006</v>
      </c>
      <c r="D52" s="173" t="s">
        <v>387</v>
      </c>
      <c r="E52" s="173" t="s">
        <v>393</v>
      </c>
      <c r="F52" s="173" t="s">
        <v>935</v>
      </c>
      <c r="G52" s="173" t="s">
        <v>33</v>
      </c>
      <c r="H52" s="174" t="b">
        <v>1</v>
      </c>
      <c r="J52" s="208" t="str">
        <v xml:space="preserve">  </v>
      </c>
      <c r="K52" s="172"/>
      <c r="L52" s="173"/>
      <c r="M52" s="173"/>
      <c r="N52" s="173"/>
      <c r="O52" s="173"/>
      <c r="P52" s="174"/>
      <c r="R52" s="208" t="str">
        <v xml:space="preserve">  </v>
      </c>
      <c r="S52" s="172"/>
      <c r="T52" s="173"/>
      <c r="U52" s="173"/>
      <c r="V52" s="173"/>
      <c r="W52" s="173"/>
      <c r="X52" s="174"/>
      <c r="Y52" s="178"/>
      <c r="Z52" s="208" t="str">
        <v xml:space="preserve">  </v>
      </c>
      <c r="AA52" s="172"/>
      <c r="AB52" s="173"/>
      <c r="AC52" s="173"/>
      <c r="AD52" s="173"/>
      <c r="AE52" s="173"/>
      <c r="AF52" s="174"/>
      <c r="AG52" s="178"/>
      <c r="AH52" s="208" t="str">
        <v xml:space="preserve">  </v>
      </c>
      <c r="AI52" s="172"/>
      <c r="AJ52" s="173"/>
      <c r="AK52" s="173"/>
      <c r="AL52" s="173"/>
      <c r="AM52" s="173"/>
      <c r="AN52" s="174"/>
      <c r="AO52" s="178"/>
      <c r="AP52" s="208" t="str">
        <v xml:space="preserve">  </v>
      </c>
      <c r="AQ52" s="172"/>
      <c r="AR52" s="173"/>
      <c r="AS52" s="173"/>
      <c r="AT52" s="173"/>
      <c r="AU52" s="173"/>
      <c r="AV52" s="174"/>
    </row>
    <row r="53" spans="1:48">
      <c r="A53" s="204">
        <v>41</v>
      </c>
      <c r="B53" s="208" t="str">
        <f ca="1"/>
        <v>USBG5 BGN Curncy</v>
      </c>
      <c r="C53" s="188" t="s">
        <v>1007</v>
      </c>
      <c r="D53" s="173" t="s">
        <v>387</v>
      </c>
      <c r="E53" s="173" t="s">
        <v>393</v>
      </c>
      <c r="F53" s="173" t="s">
        <v>935</v>
      </c>
      <c r="G53" s="173" t="s">
        <v>31</v>
      </c>
      <c r="H53" s="174" t="b">
        <v>1</v>
      </c>
      <c r="J53" s="208" t="str">
        <v xml:space="preserve">  </v>
      </c>
      <c r="K53" s="172"/>
      <c r="L53" s="173"/>
      <c r="M53" s="173"/>
      <c r="N53" s="173"/>
      <c r="O53" s="173"/>
      <c r="P53" s="174"/>
      <c r="R53" s="208" t="str">
        <v xml:space="preserve">  </v>
      </c>
      <c r="S53" s="172"/>
      <c r="T53" s="173"/>
      <c r="U53" s="173"/>
      <c r="V53" s="173"/>
      <c r="W53" s="173"/>
      <c r="X53" s="174"/>
      <c r="Y53" s="178"/>
      <c r="Z53" s="208" t="str">
        <v xml:space="preserve">  </v>
      </c>
      <c r="AA53" s="172"/>
      <c r="AB53" s="173"/>
      <c r="AC53" s="173"/>
      <c r="AD53" s="173"/>
      <c r="AE53" s="173"/>
      <c r="AF53" s="174"/>
      <c r="AG53" s="178"/>
      <c r="AH53" s="208" t="str">
        <v xml:space="preserve">  </v>
      </c>
      <c r="AI53" s="172"/>
      <c r="AJ53" s="173"/>
      <c r="AK53" s="173"/>
      <c r="AL53" s="173"/>
      <c r="AM53" s="173"/>
      <c r="AN53" s="174"/>
      <c r="AO53" s="178"/>
      <c r="AP53" s="208" t="str">
        <v xml:space="preserve">  </v>
      </c>
      <c r="AQ53" s="172"/>
      <c r="AR53" s="173"/>
      <c r="AS53" s="173"/>
      <c r="AT53" s="173"/>
      <c r="AU53" s="173"/>
      <c r="AV53" s="174"/>
    </row>
    <row r="54" spans="1:48">
      <c r="A54" s="204">
        <v>42</v>
      </c>
      <c r="B54" s="208" t="str">
        <f ca="1"/>
        <v>USBG6 BGN Curncy</v>
      </c>
      <c r="C54" s="188" t="s">
        <v>1008</v>
      </c>
      <c r="D54" s="173" t="s">
        <v>387</v>
      </c>
      <c r="E54" s="173" t="s">
        <v>393</v>
      </c>
      <c r="F54" s="173" t="s">
        <v>935</v>
      </c>
      <c r="G54" s="173" t="s">
        <v>127</v>
      </c>
      <c r="H54" s="174" t="b">
        <v>1</v>
      </c>
      <c r="J54" s="208" t="str">
        <v xml:space="preserve">  </v>
      </c>
      <c r="K54" s="172"/>
      <c r="L54" s="173"/>
      <c r="M54" s="173"/>
      <c r="N54" s="173"/>
      <c r="O54" s="173"/>
      <c r="P54" s="174"/>
      <c r="R54" s="208" t="str">
        <v xml:space="preserve">  </v>
      </c>
      <c r="S54" s="172"/>
      <c r="T54" s="173"/>
      <c r="U54" s="173"/>
      <c r="V54" s="173"/>
      <c r="W54" s="173"/>
      <c r="X54" s="174"/>
      <c r="Y54" s="178"/>
      <c r="Z54" s="208" t="str">
        <v xml:space="preserve">  </v>
      </c>
      <c r="AA54" s="172"/>
      <c r="AB54" s="173"/>
      <c r="AC54" s="173"/>
      <c r="AD54" s="173"/>
      <c r="AE54" s="173"/>
      <c r="AF54" s="174"/>
      <c r="AG54" s="178"/>
      <c r="AH54" s="208" t="str">
        <v xml:space="preserve">  </v>
      </c>
      <c r="AI54" s="172"/>
      <c r="AJ54" s="173"/>
      <c r="AK54" s="173"/>
      <c r="AL54" s="173"/>
      <c r="AM54" s="173"/>
      <c r="AN54" s="174"/>
      <c r="AO54" s="178"/>
      <c r="AP54" s="208" t="str">
        <v xml:space="preserve">  </v>
      </c>
      <c r="AQ54" s="172"/>
      <c r="AR54" s="173"/>
      <c r="AS54" s="173"/>
      <c r="AT54" s="173"/>
      <c r="AU54" s="173"/>
      <c r="AV54" s="174"/>
    </row>
    <row r="55" spans="1:48">
      <c r="A55" s="204">
        <v>43</v>
      </c>
      <c r="B55" s="208" t="str">
        <f ca="1"/>
        <v>USBG7 BGN Curncy</v>
      </c>
      <c r="C55" s="188" t="s">
        <v>986</v>
      </c>
      <c r="D55" s="173" t="s">
        <v>387</v>
      </c>
      <c r="E55" s="173" t="s">
        <v>393</v>
      </c>
      <c r="F55" s="173" t="s">
        <v>935</v>
      </c>
      <c r="G55" s="173" t="s">
        <v>29</v>
      </c>
      <c r="H55" s="174" t="b">
        <v>1</v>
      </c>
      <c r="J55" s="208" t="str">
        <v xml:space="preserve">  </v>
      </c>
      <c r="K55" s="172"/>
      <c r="L55" s="173"/>
      <c r="M55" s="173"/>
      <c r="N55" s="173"/>
      <c r="O55" s="173"/>
      <c r="P55" s="174"/>
      <c r="R55" s="208" t="str">
        <v xml:space="preserve">  </v>
      </c>
      <c r="S55" s="172"/>
      <c r="T55" s="173"/>
      <c r="U55" s="173"/>
      <c r="V55" s="173"/>
      <c r="W55" s="173"/>
      <c r="X55" s="174"/>
      <c r="Y55" s="178"/>
      <c r="Z55" s="208" t="str">
        <v xml:space="preserve">  </v>
      </c>
      <c r="AA55" s="172"/>
      <c r="AB55" s="173"/>
      <c r="AC55" s="173"/>
      <c r="AD55" s="173"/>
      <c r="AE55" s="173"/>
      <c r="AF55" s="174"/>
      <c r="AG55" s="178"/>
      <c r="AH55" s="208" t="str">
        <v xml:space="preserve">  </v>
      </c>
      <c r="AI55" s="172"/>
      <c r="AJ55" s="173"/>
      <c r="AK55" s="173"/>
      <c r="AL55" s="173"/>
      <c r="AM55" s="173"/>
      <c r="AN55" s="174"/>
      <c r="AO55" s="178"/>
      <c r="AP55" s="208" t="str">
        <v xml:space="preserve">  </v>
      </c>
      <c r="AQ55" s="172"/>
      <c r="AR55" s="173"/>
      <c r="AS55" s="173"/>
      <c r="AT55" s="173"/>
      <c r="AU55" s="173"/>
      <c r="AV55" s="174"/>
    </row>
    <row r="56" spans="1:48">
      <c r="A56" s="204">
        <v>44</v>
      </c>
      <c r="B56" s="208" t="str">
        <f ca="1"/>
        <v>USBG10 BGN Curncy</v>
      </c>
      <c r="C56" s="188" t="s">
        <v>987</v>
      </c>
      <c r="D56" s="173" t="s">
        <v>387</v>
      </c>
      <c r="E56" s="173" t="s">
        <v>393</v>
      </c>
      <c r="F56" s="173" t="s">
        <v>935</v>
      </c>
      <c r="G56" s="173" t="s">
        <v>27</v>
      </c>
      <c r="H56" s="174" t="b">
        <v>1</v>
      </c>
      <c r="J56" s="208" t="str">
        <v xml:space="preserve">  </v>
      </c>
      <c r="K56" s="172"/>
      <c r="L56" s="173"/>
      <c r="M56" s="173"/>
      <c r="N56" s="173"/>
      <c r="O56" s="173"/>
      <c r="P56" s="174"/>
      <c r="R56" s="208" t="str">
        <v xml:space="preserve">  </v>
      </c>
      <c r="S56" s="172"/>
      <c r="T56" s="173"/>
      <c r="U56" s="173"/>
      <c r="V56" s="173"/>
      <c r="W56" s="173"/>
      <c r="X56" s="174"/>
      <c r="Y56" s="178"/>
      <c r="Z56" s="208" t="str">
        <v xml:space="preserve">  </v>
      </c>
      <c r="AA56" s="172"/>
      <c r="AB56" s="173"/>
      <c r="AC56" s="173"/>
      <c r="AD56" s="173"/>
      <c r="AE56" s="173"/>
      <c r="AF56" s="174"/>
      <c r="AG56" s="178"/>
      <c r="AH56" s="208" t="str">
        <v xml:space="preserve">  </v>
      </c>
      <c r="AI56" s="172"/>
      <c r="AJ56" s="173"/>
      <c r="AK56" s="173"/>
      <c r="AL56" s="173"/>
      <c r="AM56" s="173"/>
      <c r="AN56" s="174"/>
      <c r="AO56" s="178"/>
      <c r="AP56" s="208" t="str">
        <v xml:space="preserve">  </v>
      </c>
      <c r="AQ56" s="172"/>
      <c r="AR56" s="173"/>
      <c r="AS56" s="173"/>
      <c r="AT56" s="173"/>
      <c r="AU56" s="173"/>
      <c r="AV56" s="174"/>
    </row>
    <row r="57" spans="1:48">
      <c r="A57" s="204">
        <v>45</v>
      </c>
      <c r="B57" s="208" t="str">
        <f ca="1"/>
        <v>USBG12 BGN Curncy</v>
      </c>
      <c r="C57" s="188" t="s">
        <v>988</v>
      </c>
      <c r="D57" s="173" t="s">
        <v>387</v>
      </c>
      <c r="E57" s="173" t="s">
        <v>393</v>
      </c>
      <c r="F57" s="173" t="s">
        <v>935</v>
      </c>
      <c r="G57" s="173" t="s">
        <v>25</v>
      </c>
      <c r="H57" s="174" t="b">
        <v>1</v>
      </c>
      <c r="J57" s="208" t="str">
        <v xml:space="preserve">  </v>
      </c>
      <c r="K57" s="172"/>
      <c r="L57" s="173"/>
      <c r="M57" s="173"/>
      <c r="N57" s="173"/>
      <c r="O57" s="173"/>
      <c r="P57" s="174"/>
      <c r="R57" s="208" t="str">
        <v xml:space="preserve">  </v>
      </c>
      <c r="S57" s="172"/>
      <c r="T57" s="173"/>
      <c r="U57" s="173"/>
      <c r="V57" s="173"/>
      <c r="W57" s="173"/>
      <c r="X57" s="174"/>
      <c r="Y57" s="178"/>
      <c r="Z57" s="208" t="str">
        <v xml:space="preserve">  </v>
      </c>
      <c r="AA57" s="172"/>
      <c r="AB57" s="173"/>
      <c r="AC57" s="173"/>
      <c r="AD57" s="173"/>
      <c r="AE57" s="173"/>
      <c r="AF57" s="174"/>
      <c r="AG57" s="178"/>
      <c r="AH57" s="208" t="str">
        <v xml:space="preserve">  </v>
      </c>
      <c r="AI57" s="172"/>
      <c r="AJ57" s="173"/>
      <c r="AK57" s="173"/>
      <c r="AL57" s="173"/>
      <c r="AM57" s="173"/>
      <c r="AN57" s="174"/>
      <c r="AO57" s="178"/>
      <c r="AP57" s="208" t="str">
        <v xml:space="preserve">  </v>
      </c>
      <c r="AQ57" s="172"/>
      <c r="AR57" s="173"/>
      <c r="AS57" s="173"/>
      <c r="AT57" s="173"/>
      <c r="AU57" s="173"/>
      <c r="AV57" s="174"/>
    </row>
    <row r="58" spans="1:48">
      <c r="A58" s="204">
        <v>46</v>
      </c>
      <c r="B58" s="208" t="str">
        <f ca="1"/>
        <v>USBG15 BGN Curncy</v>
      </c>
      <c r="C58" s="188" t="s">
        <v>989</v>
      </c>
      <c r="D58" s="173" t="s">
        <v>387</v>
      </c>
      <c r="E58" s="173" t="s">
        <v>393</v>
      </c>
      <c r="F58" s="173" t="s">
        <v>935</v>
      </c>
      <c r="G58" s="173" t="s">
        <v>23</v>
      </c>
      <c r="H58" s="174" t="b">
        <v>1</v>
      </c>
      <c r="J58" s="208" t="str">
        <v xml:space="preserve">  </v>
      </c>
      <c r="K58" s="172"/>
      <c r="L58" s="173"/>
      <c r="M58" s="173"/>
      <c r="N58" s="173"/>
      <c r="O58" s="173"/>
      <c r="P58" s="174"/>
      <c r="R58" s="208" t="str">
        <v xml:space="preserve">  </v>
      </c>
      <c r="S58" s="172"/>
      <c r="T58" s="173"/>
      <c r="U58" s="173"/>
      <c r="V58" s="173"/>
      <c r="W58" s="173"/>
      <c r="X58" s="174"/>
      <c r="Y58" s="178"/>
      <c r="Z58" s="208" t="str">
        <v xml:space="preserve">  </v>
      </c>
      <c r="AA58" s="172"/>
      <c r="AB58" s="173"/>
      <c r="AC58" s="173"/>
      <c r="AD58" s="173"/>
      <c r="AE58" s="173"/>
      <c r="AF58" s="174"/>
      <c r="AG58" s="178"/>
      <c r="AH58" s="208" t="str">
        <v xml:space="preserve">  </v>
      </c>
      <c r="AI58" s="172"/>
      <c r="AJ58" s="173"/>
      <c r="AK58" s="173"/>
      <c r="AL58" s="173"/>
      <c r="AM58" s="173"/>
      <c r="AN58" s="174"/>
      <c r="AO58" s="178"/>
      <c r="AP58" s="208" t="str">
        <v xml:space="preserve">  </v>
      </c>
      <c r="AQ58" s="172"/>
      <c r="AR58" s="173"/>
      <c r="AS58" s="173"/>
      <c r="AT58" s="173"/>
      <c r="AU58" s="173"/>
      <c r="AV58" s="174"/>
    </row>
    <row r="59" spans="1:48">
      <c r="A59" s="204">
        <v>47</v>
      </c>
      <c r="B59" s="208" t="str">
        <f ca="1"/>
        <v>USBG20 BGN Curncy</v>
      </c>
      <c r="C59" s="188" t="s">
        <v>990</v>
      </c>
      <c r="D59" s="173" t="s">
        <v>387</v>
      </c>
      <c r="E59" s="173" t="s">
        <v>393</v>
      </c>
      <c r="F59" s="173" t="s">
        <v>935</v>
      </c>
      <c r="G59" s="173" t="s">
        <v>19</v>
      </c>
      <c r="H59" s="174" t="b">
        <v>1</v>
      </c>
      <c r="J59" s="208" t="str">
        <v xml:space="preserve">  </v>
      </c>
      <c r="K59" s="172"/>
      <c r="L59" s="173"/>
      <c r="M59" s="173"/>
      <c r="N59" s="173"/>
      <c r="O59" s="173"/>
      <c r="P59" s="174"/>
      <c r="R59" s="208" t="str">
        <v xml:space="preserve">  </v>
      </c>
      <c r="S59" s="172"/>
      <c r="T59" s="173"/>
      <c r="U59" s="173"/>
      <c r="V59" s="173"/>
      <c r="W59" s="173"/>
      <c r="X59" s="174"/>
      <c r="Y59" s="178"/>
      <c r="Z59" s="208" t="str">
        <v xml:space="preserve">  </v>
      </c>
      <c r="AA59" s="172"/>
      <c r="AB59" s="173"/>
      <c r="AC59" s="173"/>
      <c r="AD59" s="173"/>
      <c r="AE59" s="173"/>
      <c r="AF59" s="174"/>
      <c r="AG59" s="178"/>
      <c r="AH59" s="208" t="str">
        <v xml:space="preserve">  </v>
      </c>
      <c r="AI59" s="172"/>
      <c r="AJ59" s="173"/>
      <c r="AK59" s="173"/>
      <c r="AL59" s="173"/>
      <c r="AM59" s="173"/>
      <c r="AN59" s="174"/>
      <c r="AO59" s="178"/>
      <c r="AP59" s="208" t="str">
        <v xml:space="preserve">  </v>
      </c>
      <c r="AQ59" s="172"/>
      <c r="AR59" s="173"/>
      <c r="AS59" s="173"/>
      <c r="AT59" s="173"/>
      <c r="AU59" s="173"/>
      <c r="AV59" s="174"/>
    </row>
    <row r="60" spans="1:48">
      <c r="A60" s="204">
        <v>48</v>
      </c>
      <c r="B60" s="208" t="str">
        <f ca="1"/>
        <v>USBG25 BGN Curncy</v>
      </c>
      <c r="C60" s="188" t="s">
        <v>991</v>
      </c>
      <c r="D60" s="173" t="s">
        <v>387</v>
      </c>
      <c r="E60" s="173" t="s">
        <v>393</v>
      </c>
      <c r="F60" s="173" t="s">
        <v>935</v>
      </c>
      <c r="G60" s="173" t="s">
        <v>17</v>
      </c>
      <c r="H60" s="174" t="b">
        <v>1</v>
      </c>
      <c r="J60" s="208" t="str">
        <v xml:space="preserve">  </v>
      </c>
      <c r="K60" s="172"/>
      <c r="L60" s="173"/>
      <c r="M60" s="173"/>
      <c r="N60" s="173"/>
      <c r="O60" s="173"/>
      <c r="P60" s="174"/>
      <c r="R60" s="208" t="str">
        <v xml:space="preserve">  </v>
      </c>
      <c r="S60" s="172"/>
      <c r="T60" s="173"/>
      <c r="U60" s="173"/>
      <c r="V60" s="173"/>
      <c r="W60" s="173"/>
      <c r="X60" s="174"/>
      <c r="Y60" s="178"/>
      <c r="Z60" s="208" t="str">
        <v xml:space="preserve">  </v>
      </c>
      <c r="AA60" s="172"/>
      <c r="AB60" s="173"/>
      <c r="AC60" s="173"/>
      <c r="AD60" s="173"/>
      <c r="AE60" s="173"/>
      <c r="AF60" s="174"/>
      <c r="AG60" s="178"/>
      <c r="AH60" s="208" t="str">
        <v xml:space="preserve">  </v>
      </c>
      <c r="AI60" s="172"/>
      <c r="AJ60" s="173"/>
      <c r="AK60" s="173"/>
      <c r="AL60" s="173"/>
      <c r="AM60" s="173"/>
      <c r="AN60" s="174"/>
      <c r="AO60" s="178"/>
      <c r="AP60" s="208" t="str">
        <v xml:space="preserve">  </v>
      </c>
      <c r="AQ60" s="172"/>
      <c r="AR60" s="173"/>
      <c r="AS60" s="173"/>
      <c r="AT60" s="173"/>
      <c r="AU60" s="173"/>
      <c r="AV60" s="174"/>
    </row>
    <row r="61" spans="1:48">
      <c r="A61" s="204">
        <v>49</v>
      </c>
      <c r="B61" s="208" t="str">
        <f ca="1"/>
        <v>USBG30 BGN Curncy</v>
      </c>
      <c r="C61" s="188" t="s">
        <v>992</v>
      </c>
      <c r="D61" s="173" t="s">
        <v>387</v>
      </c>
      <c r="E61" s="173" t="s">
        <v>393</v>
      </c>
      <c r="F61" s="173" t="s">
        <v>935</v>
      </c>
      <c r="G61" s="173" t="s">
        <v>16</v>
      </c>
      <c r="H61" s="174" t="b">
        <v>1</v>
      </c>
      <c r="J61" s="208" t="str">
        <v xml:space="preserve">  </v>
      </c>
      <c r="K61" s="172"/>
      <c r="L61" s="173"/>
      <c r="M61" s="173"/>
      <c r="N61" s="173"/>
      <c r="O61" s="173"/>
      <c r="P61" s="174"/>
      <c r="R61" s="208" t="str">
        <v xml:space="preserve">  </v>
      </c>
      <c r="S61" s="172"/>
      <c r="T61" s="173"/>
      <c r="U61" s="173"/>
      <c r="V61" s="173"/>
      <c r="W61" s="173"/>
      <c r="X61" s="174"/>
      <c r="Y61" s="178"/>
      <c r="Z61" s="208" t="str">
        <v xml:space="preserve">  </v>
      </c>
      <c r="AA61" s="172"/>
      <c r="AB61" s="173"/>
      <c r="AC61" s="173"/>
      <c r="AD61" s="173"/>
      <c r="AE61" s="173"/>
      <c r="AF61" s="174"/>
      <c r="AG61" s="178"/>
      <c r="AH61" s="208" t="str">
        <v xml:space="preserve">  </v>
      </c>
      <c r="AI61" s="172"/>
      <c r="AJ61" s="173"/>
      <c r="AK61" s="173"/>
      <c r="AL61" s="173"/>
      <c r="AM61" s="173"/>
      <c r="AN61" s="174"/>
      <c r="AO61" s="178"/>
      <c r="AP61" s="208" t="str">
        <v xml:space="preserve">  </v>
      </c>
      <c r="AQ61" s="172"/>
      <c r="AR61" s="173"/>
      <c r="AS61" s="173"/>
      <c r="AT61" s="173"/>
      <c r="AU61" s="173"/>
      <c r="AV61" s="174"/>
    </row>
    <row r="62" spans="1:48">
      <c r="A62" s="204">
        <v>50</v>
      </c>
      <c r="B62" s="208" t="str">
        <f ca="1"/>
        <v>USSWAP2 BGN Curncy</v>
      </c>
      <c r="C62" s="188" t="s">
        <v>1009</v>
      </c>
      <c r="D62" s="173" t="s">
        <v>387</v>
      </c>
      <c r="E62" s="173" t="s">
        <v>393</v>
      </c>
      <c r="F62" s="173" t="s">
        <v>472</v>
      </c>
      <c r="G62" s="173" t="s">
        <v>40</v>
      </c>
      <c r="H62" s="174" t="b">
        <v>1</v>
      </c>
      <c r="J62" s="208" t="str">
        <v xml:space="preserve">  </v>
      </c>
      <c r="K62" s="172"/>
      <c r="L62" s="173"/>
      <c r="M62" s="173"/>
      <c r="N62" s="173"/>
      <c r="O62" s="173"/>
      <c r="P62" s="174"/>
      <c r="R62" s="208" t="str">
        <v xml:space="preserve">  </v>
      </c>
      <c r="S62" s="172"/>
      <c r="T62" s="173"/>
      <c r="U62" s="173"/>
      <c r="V62" s="173"/>
      <c r="W62" s="173"/>
      <c r="X62" s="174"/>
      <c r="Y62" s="178"/>
      <c r="Z62" s="208" t="str">
        <v xml:space="preserve">  </v>
      </c>
      <c r="AA62" s="172"/>
      <c r="AB62" s="173"/>
      <c r="AC62" s="173"/>
      <c r="AD62" s="173"/>
      <c r="AE62" s="173"/>
      <c r="AF62" s="174"/>
      <c r="AG62" s="178"/>
      <c r="AH62" s="208" t="str">
        <v xml:space="preserve">  </v>
      </c>
      <c r="AI62" s="172"/>
      <c r="AJ62" s="173"/>
      <c r="AK62" s="173"/>
      <c r="AL62" s="173"/>
      <c r="AM62" s="173"/>
      <c r="AN62" s="174"/>
      <c r="AO62" s="178"/>
      <c r="AP62" s="208" t="str">
        <v xml:space="preserve">  </v>
      </c>
      <c r="AQ62" s="172"/>
      <c r="AR62" s="173"/>
      <c r="AS62" s="173"/>
      <c r="AT62" s="173"/>
      <c r="AU62" s="173"/>
      <c r="AV62" s="174"/>
    </row>
    <row r="63" spans="1:48">
      <c r="A63" s="204">
        <v>51</v>
      </c>
      <c r="B63" s="208" t="str">
        <f ca="1"/>
        <v>USSWAP3 BGN Curncy</v>
      </c>
      <c r="C63" s="188" t="s">
        <v>1010</v>
      </c>
      <c r="D63" s="173" t="s">
        <v>387</v>
      </c>
      <c r="E63" s="173" t="s">
        <v>393</v>
      </c>
      <c r="F63" s="173" t="s">
        <v>472</v>
      </c>
      <c r="G63" s="173" t="s">
        <v>37</v>
      </c>
      <c r="H63" s="174" t="b">
        <v>1</v>
      </c>
      <c r="J63" s="208" t="str">
        <v xml:space="preserve">  </v>
      </c>
      <c r="K63" s="172"/>
      <c r="L63" s="173"/>
      <c r="M63" s="173"/>
      <c r="N63" s="173"/>
      <c r="O63" s="173"/>
      <c r="P63" s="174"/>
      <c r="R63" s="208" t="str">
        <v xml:space="preserve">  </v>
      </c>
      <c r="S63" s="172"/>
      <c r="T63" s="173"/>
      <c r="U63" s="173"/>
      <c r="V63" s="173"/>
      <c r="W63" s="173"/>
      <c r="X63" s="174"/>
      <c r="Y63" s="178"/>
      <c r="Z63" s="208" t="str">
        <v xml:space="preserve">  </v>
      </c>
      <c r="AA63" s="172"/>
      <c r="AB63" s="173"/>
      <c r="AC63" s="173"/>
      <c r="AD63" s="173"/>
      <c r="AE63" s="173"/>
      <c r="AF63" s="174"/>
      <c r="AG63" s="178"/>
      <c r="AH63" s="208" t="str">
        <v xml:space="preserve">  </v>
      </c>
      <c r="AI63" s="172"/>
      <c r="AJ63" s="173"/>
      <c r="AK63" s="173"/>
      <c r="AL63" s="173"/>
      <c r="AM63" s="173"/>
      <c r="AN63" s="174"/>
      <c r="AO63" s="178"/>
      <c r="AP63" s="208" t="str">
        <v xml:space="preserve">  </v>
      </c>
      <c r="AQ63" s="172"/>
      <c r="AR63" s="173"/>
      <c r="AS63" s="173"/>
      <c r="AT63" s="173"/>
      <c r="AU63" s="173"/>
      <c r="AV63" s="174"/>
    </row>
    <row r="64" spans="1:48">
      <c r="A64" s="204">
        <v>52</v>
      </c>
      <c r="B64" s="208" t="str">
        <f ca="1"/>
        <v>USSWAP4 BGN Curncy</v>
      </c>
      <c r="C64" s="188" t="s">
        <v>471</v>
      </c>
      <c r="D64" s="173" t="s">
        <v>387</v>
      </c>
      <c r="E64" s="173" t="s">
        <v>393</v>
      </c>
      <c r="F64" s="173" t="s">
        <v>472</v>
      </c>
      <c r="G64" s="173" t="s">
        <v>33</v>
      </c>
      <c r="H64" s="174" t="b">
        <v>1</v>
      </c>
      <c r="J64" s="208" t="str">
        <v xml:space="preserve">  </v>
      </c>
      <c r="K64" s="172"/>
      <c r="L64" s="173"/>
      <c r="M64" s="173"/>
      <c r="N64" s="173"/>
      <c r="O64" s="173"/>
      <c r="P64" s="174"/>
      <c r="R64" s="208" t="str">
        <v xml:space="preserve">  </v>
      </c>
      <c r="S64" s="172"/>
      <c r="T64" s="173"/>
      <c r="U64" s="173"/>
      <c r="V64" s="173"/>
      <c r="W64" s="173"/>
      <c r="X64" s="174"/>
      <c r="Y64" s="178"/>
      <c r="Z64" s="208" t="str">
        <v xml:space="preserve">  </v>
      </c>
      <c r="AA64" s="172"/>
      <c r="AB64" s="173"/>
      <c r="AC64" s="173"/>
      <c r="AD64" s="173"/>
      <c r="AE64" s="173"/>
      <c r="AF64" s="174"/>
      <c r="AG64" s="178"/>
      <c r="AH64" s="208" t="str">
        <v xml:space="preserve">  </v>
      </c>
      <c r="AI64" s="172"/>
      <c r="AJ64" s="173"/>
      <c r="AK64" s="173"/>
      <c r="AL64" s="173"/>
      <c r="AM64" s="173"/>
      <c r="AN64" s="174"/>
      <c r="AO64" s="178"/>
      <c r="AP64" s="208" t="str">
        <v xml:space="preserve">  </v>
      </c>
      <c r="AQ64" s="172"/>
      <c r="AR64" s="173"/>
      <c r="AS64" s="173"/>
      <c r="AT64" s="173"/>
      <c r="AU64" s="173"/>
      <c r="AV64" s="174"/>
    </row>
    <row r="65" spans="1:48">
      <c r="A65" s="204">
        <v>53</v>
      </c>
      <c r="B65" s="208" t="str">
        <f ca="1"/>
        <v>USSWAP5 BGN Curncy</v>
      </c>
      <c r="C65" s="188" t="s">
        <v>474</v>
      </c>
      <c r="D65" s="173" t="s">
        <v>387</v>
      </c>
      <c r="E65" s="173" t="s">
        <v>393</v>
      </c>
      <c r="F65" s="173" t="s">
        <v>472</v>
      </c>
      <c r="G65" s="173" t="s">
        <v>31</v>
      </c>
      <c r="H65" s="174" t="b">
        <v>1</v>
      </c>
      <c r="J65" s="208" t="str">
        <v xml:space="preserve">  </v>
      </c>
      <c r="K65" s="172"/>
      <c r="L65" s="173"/>
      <c r="M65" s="173"/>
      <c r="N65" s="173"/>
      <c r="O65" s="173"/>
      <c r="P65" s="174"/>
      <c r="R65" s="208" t="str">
        <v xml:space="preserve">  </v>
      </c>
      <c r="S65" s="172"/>
      <c r="T65" s="173"/>
      <c r="U65" s="173"/>
      <c r="V65" s="173"/>
      <c r="W65" s="173"/>
      <c r="X65" s="174"/>
      <c r="Y65" s="178"/>
      <c r="Z65" s="208" t="str">
        <v xml:space="preserve">  </v>
      </c>
      <c r="AA65" s="172"/>
      <c r="AB65" s="173"/>
      <c r="AC65" s="173"/>
      <c r="AD65" s="173"/>
      <c r="AE65" s="173"/>
      <c r="AF65" s="174"/>
      <c r="AG65" s="178"/>
      <c r="AH65" s="208" t="str">
        <v xml:space="preserve">  </v>
      </c>
      <c r="AI65" s="172"/>
      <c r="AJ65" s="173"/>
      <c r="AK65" s="173"/>
      <c r="AL65" s="173"/>
      <c r="AM65" s="173"/>
      <c r="AN65" s="174"/>
      <c r="AO65" s="178"/>
      <c r="AP65" s="208" t="str">
        <v xml:space="preserve">  </v>
      </c>
      <c r="AQ65" s="172"/>
      <c r="AR65" s="173"/>
      <c r="AS65" s="173"/>
      <c r="AT65" s="173"/>
      <c r="AU65" s="173"/>
      <c r="AV65" s="174"/>
    </row>
    <row r="66" spans="1:48">
      <c r="A66" s="204">
        <v>54</v>
      </c>
      <c r="B66" s="208" t="str">
        <f ca="1"/>
        <v>USSWAP6 BGN Curncy</v>
      </c>
      <c r="C66" s="188" t="s">
        <v>1011</v>
      </c>
      <c r="D66" s="173" t="s">
        <v>387</v>
      </c>
      <c r="E66" s="173" t="s">
        <v>393</v>
      </c>
      <c r="F66" s="173" t="s">
        <v>472</v>
      </c>
      <c r="G66" s="173" t="s">
        <v>127</v>
      </c>
      <c r="H66" s="174" t="b">
        <v>1</v>
      </c>
      <c r="J66" s="208" t="str">
        <v xml:space="preserve">  </v>
      </c>
      <c r="K66" s="172"/>
      <c r="L66" s="173"/>
      <c r="M66" s="173"/>
      <c r="N66" s="173"/>
      <c r="O66" s="173"/>
      <c r="P66" s="174"/>
      <c r="R66" s="208" t="str">
        <v xml:space="preserve">  </v>
      </c>
      <c r="S66" s="172"/>
      <c r="T66" s="173"/>
      <c r="U66" s="173"/>
      <c r="V66" s="173"/>
      <c r="W66" s="173"/>
      <c r="X66" s="174"/>
      <c r="Y66" s="178"/>
      <c r="Z66" s="208" t="str">
        <v xml:space="preserve">  </v>
      </c>
      <c r="AA66" s="172"/>
      <c r="AB66" s="173"/>
      <c r="AC66" s="173"/>
      <c r="AD66" s="173"/>
      <c r="AE66" s="173"/>
      <c r="AF66" s="174"/>
      <c r="AG66" s="178"/>
      <c r="AH66" s="208" t="str">
        <v xml:space="preserve">  </v>
      </c>
      <c r="AI66" s="172"/>
      <c r="AJ66" s="173"/>
      <c r="AK66" s="173"/>
      <c r="AL66" s="173"/>
      <c r="AM66" s="173"/>
      <c r="AN66" s="174"/>
      <c r="AO66" s="178"/>
      <c r="AP66" s="208" t="str">
        <v xml:space="preserve">  </v>
      </c>
      <c r="AQ66" s="172"/>
      <c r="AR66" s="173"/>
      <c r="AS66" s="173"/>
      <c r="AT66" s="173"/>
      <c r="AU66" s="173"/>
      <c r="AV66" s="174"/>
    </row>
    <row r="67" spans="1:48">
      <c r="A67" s="204">
        <v>55</v>
      </c>
      <c r="B67" s="208" t="str">
        <f ca="1"/>
        <v>USSWAP7 BGN Curncy</v>
      </c>
      <c r="C67" s="188" t="s">
        <v>470</v>
      </c>
      <c r="D67" s="173" t="s">
        <v>387</v>
      </c>
      <c r="E67" s="173" t="s">
        <v>393</v>
      </c>
      <c r="F67" s="173" t="s">
        <v>472</v>
      </c>
      <c r="G67" s="173" t="s">
        <v>29</v>
      </c>
      <c r="H67" s="174" t="b">
        <v>1</v>
      </c>
      <c r="J67" s="208" t="str">
        <v xml:space="preserve">  </v>
      </c>
      <c r="K67" s="172"/>
      <c r="L67" s="173"/>
      <c r="M67" s="173"/>
      <c r="N67" s="173"/>
      <c r="O67" s="173"/>
      <c r="P67" s="174"/>
      <c r="R67" s="208" t="str">
        <v xml:space="preserve">  </v>
      </c>
      <c r="S67" s="172"/>
      <c r="T67" s="173"/>
      <c r="U67" s="173"/>
      <c r="V67" s="173"/>
      <c r="W67" s="173"/>
      <c r="X67" s="174"/>
      <c r="Y67" s="178"/>
      <c r="Z67" s="208" t="str">
        <v xml:space="preserve">  </v>
      </c>
      <c r="AA67" s="172"/>
      <c r="AB67" s="173"/>
      <c r="AC67" s="173"/>
      <c r="AD67" s="173"/>
      <c r="AE67" s="173"/>
      <c r="AF67" s="174"/>
      <c r="AG67" s="178"/>
      <c r="AH67" s="208" t="str">
        <v xml:space="preserve">  </v>
      </c>
      <c r="AI67" s="172"/>
      <c r="AJ67" s="173"/>
      <c r="AK67" s="173"/>
      <c r="AL67" s="173"/>
      <c r="AM67" s="173"/>
      <c r="AN67" s="174"/>
      <c r="AO67" s="178"/>
      <c r="AP67" s="208" t="str">
        <v xml:space="preserve">  </v>
      </c>
      <c r="AQ67" s="172"/>
      <c r="AR67" s="173"/>
      <c r="AS67" s="173"/>
      <c r="AT67" s="173"/>
      <c r="AU67" s="173"/>
      <c r="AV67" s="174"/>
    </row>
    <row r="68" spans="1:48">
      <c r="A68" s="204">
        <v>56</v>
      </c>
      <c r="B68" s="208" t="str">
        <f ca="1"/>
        <v>USSWAP10 BGN Curncy</v>
      </c>
      <c r="C68" s="188" t="s">
        <v>473</v>
      </c>
      <c r="D68" s="173" t="s">
        <v>387</v>
      </c>
      <c r="E68" s="173" t="s">
        <v>393</v>
      </c>
      <c r="F68" s="173" t="s">
        <v>472</v>
      </c>
      <c r="G68" s="173" t="s">
        <v>27</v>
      </c>
      <c r="H68" s="174" t="b">
        <v>1</v>
      </c>
      <c r="J68" s="208" t="str">
        <v xml:space="preserve">  </v>
      </c>
      <c r="K68" s="172"/>
      <c r="L68" s="173"/>
      <c r="M68" s="173"/>
      <c r="N68" s="173"/>
      <c r="O68" s="173"/>
      <c r="P68" s="174"/>
      <c r="R68" s="208" t="str">
        <v xml:space="preserve">  </v>
      </c>
      <c r="S68" s="172"/>
      <c r="T68" s="173"/>
      <c r="U68" s="173"/>
      <c r="V68" s="173"/>
      <c r="W68" s="173"/>
      <c r="X68" s="174"/>
      <c r="Y68" s="178"/>
      <c r="Z68" s="208" t="str">
        <v xml:space="preserve">  </v>
      </c>
      <c r="AA68" s="172"/>
      <c r="AB68" s="173"/>
      <c r="AC68" s="173"/>
      <c r="AD68" s="173"/>
      <c r="AE68" s="173"/>
      <c r="AF68" s="174"/>
      <c r="AG68" s="178"/>
      <c r="AH68" s="208" t="str">
        <v xml:space="preserve">  </v>
      </c>
      <c r="AI68" s="172"/>
      <c r="AJ68" s="173"/>
      <c r="AK68" s="173"/>
      <c r="AL68" s="173"/>
      <c r="AM68" s="173"/>
      <c r="AN68" s="174"/>
      <c r="AO68" s="178"/>
      <c r="AP68" s="208" t="str">
        <v xml:space="preserve">  </v>
      </c>
      <c r="AQ68" s="172"/>
      <c r="AR68" s="173"/>
      <c r="AS68" s="173"/>
      <c r="AT68" s="173"/>
      <c r="AU68" s="173"/>
      <c r="AV68" s="174"/>
    </row>
    <row r="69" spans="1:48">
      <c r="A69" s="204">
        <v>57</v>
      </c>
      <c r="B69" s="208" t="str">
        <f ca="1"/>
        <v>USSWAP12 BGN Curncy</v>
      </c>
      <c r="C69" s="188" t="s">
        <v>475</v>
      </c>
      <c r="D69" s="173" t="s">
        <v>387</v>
      </c>
      <c r="E69" s="173" t="s">
        <v>393</v>
      </c>
      <c r="F69" s="173" t="s">
        <v>472</v>
      </c>
      <c r="G69" s="173" t="s">
        <v>25</v>
      </c>
      <c r="H69" s="174" t="b">
        <v>1</v>
      </c>
      <c r="J69" s="208" t="str">
        <v xml:space="preserve">  </v>
      </c>
      <c r="K69" s="172"/>
      <c r="L69" s="173"/>
      <c r="M69" s="173"/>
      <c r="N69" s="173"/>
      <c r="O69" s="173"/>
      <c r="P69" s="174"/>
      <c r="R69" s="208" t="str">
        <v xml:space="preserve">  </v>
      </c>
      <c r="S69" s="172"/>
      <c r="T69" s="173"/>
      <c r="U69" s="173"/>
      <c r="V69" s="173"/>
      <c r="W69" s="173"/>
      <c r="X69" s="174"/>
      <c r="Y69" s="178"/>
      <c r="Z69" s="208" t="str">
        <v xml:space="preserve">  </v>
      </c>
      <c r="AA69" s="172"/>
      <c r="AB69" s="173"/>
      <c r="AC69" s="173"/>
      <c r="AD69" s="173"/>
      <c r="AE69" s="173"/>
      <c r="AF69" s="174"/>
      <c r="AG69" s="178"/>
      <c r="AH69" s="208" t="str">
        <v xml:space="preserve">  </v>
      </c>
      <c r="AI69" s="172"/>
      <c r="AJ69" s="173"/>
      <c r="AK69" s="173"/>
      <c r="AL69" s="173"/>
      <c r="AM69" s="173"/>
      <c r="AN69" s="174"/>
      <c r="AO69" s="178"/>
      <c r="AP69" s="208" t="str">
        <v xml:space="preserve">  </v>
      </c>
      <c r="AQ69" s="172"/>
      <c r="AR69" s="173"/>
      <c r="AS69" s="173"/>
      <c r="AT69" s="173"/>
      <c r="AU69" s="173"/>
      <c r="AV69" s="174"/>
    </row>
    <row r="70" spans="1:48">
      <c r="A70" s="204">
        <v>58</v>
      </c>
      <c r="B70" s="208" t="str">
        <f ca="1"/>
        <v>USSWAP15 BGN Curncy</v>
      </c>
      <c r="C70" s="188" t="s">
        <v>477</v>
      </c>
      <c r="D70" s="173" t="s">
        <v>387</v>
      </c>
      <c r="E70" s="173" t="s">
        <v>393</v>
      </c>
      <c r="F70" s="173" t="s">
        <v>472</v>
      </c>
      <c r="G70" s="173" t="s">
        <v>23</v>
      </c>
      <c r="H70" s="174" t="b">
        <v>1</v>
      </c>
      <c r="J70" s="208" t="str">
        <v xml:space="preserve">  </v>
      </c>
      <c r="K70" s="172"/>
      <c r="L70" s="173"/>
      <c r="M70" s="173"/>
      <c r="N70" s="173"/>
      <c r="O70" s="173"/>
      <c r="P70" s="174"/>
      <c r="R70" s="208" t="str">
        <v xml:space="preserve">  </v>
      </c>
      <c r="S70" s="172"/>
      <c r="T70" s="173"/>
      <c r="U70" s="173"/>
      <c r="V70" s="173"/>
      <c r="W70" s="173"/>
      <c r="X70" s="174"/>
      <c r="Y70" s="178"/>
      <c r="Z70" s="208" t="str">
        <v xml:space="preserve">  </v>
      </c>
      <c r="AA70" s="172"/>
      <c r="AB70" s="173"/>
      <c r="AC70" s="173"/>
      <c r="AD70" s="173"/>
      <c r="AE70" s="173"/>
      <c r="AF70" s="174"/>
      <c r="AG70" s="178"/>
      <c r="AH70" s="208" t="str">
        <v xml:space="preserve">  </v>
      </c>
      <c r="AI70" s="172"/>
      <c r="AJ70" s="173"/>
      <c r="AK70" s="173"/>
      <c r="AL70" s="173"/>
      <c r="AM70" s="173"/>
      <c r="AN70" s="174"/>
      <c r="AO70" s="178"/>
      <c r="AP70" s="208" t="str">
        <v xml:space="preserve">  </v>
      </c>
      <c r="AQ70" s="172"/>
      <c r="AR70" s="173"/>
      <c r="AS70" s="173"/>
      <c r="AT70" s="173"/>
      <c r="AU70" s="173"/>
      <c r="AV70" s="174"/>
    </row>
    <row r="71" spans="1:48">
      <c r="A71" s="204">
        <v>59</v>
      </c>
      <c r="B71" s="208" t="str">
        <f ca="1"/>
        <v>USSWAP20 BGN Curncy</v>
      </c>
      <c r="C71" s="188" t="s">
        <v>478</v>
      </c>
      <c r="D71" s="173" t="s">
        <v>387</v>
      </c>
      <c r="E71" s="173" t="s">
        <v>393</v>
      </c>
      <c r="F71" s="173" t="s">
        <v>472</v>
      </c>
      <c r="G71" s="173" t="s">
        <v>19</v>
      </c>
      <c r="H71" s="174" t="b">
        <v>1</v>
      </c>
      <c r="J71" s="208" t="str">
        <v xml:space="preserve">  </v>
      </c>
      <c r="K71" s="172"/>
      <c r="L71" s="173"/>
      <c r="M71" s="173"/>
      <c r="N71" s="173"/>
      <c r="O71" s="173"/>
      <c r="P71" s="174"/>
      <c r="R71" s="208" t="str">
        <v xml:space="preserve">  </v>
      </c>
      <c r="S71" s="172"/>
      <c r="T71" s="173"/>
      <c r="U71" s="173"/>
      <c r="V71" s="173"/>
      <c r="W71" s="173"/>
      <c r="X71" s="174"/>
      <c r="Y71" s="178"/>
      <c r="Z71" s="208" t="str">
        <v xml:space="preserve">  </v>
      </c>
      <c r="AA71" s="172"/>
      <c r="AB71" s="173"/>
      <c r="AC71" s="173"/>
      <c r="AD71" s="173"/>
      <c r="AE71" s="173"/>
      <c r="AF71" s="174"/>
      <c r="AG71" s="178"/>
      <c r="AH71" s="208" t="str">
        <v xml:space="preserve">  </v>
      </c>
      <c r="AI71" s="172"/>
      <c r="AJ71" s="173"/>
      <c r="AK71" s="173"/>
      <c r="AL71" s="173"/>
      <c r="AM71" s="173"/>
      <c r="AN71" s="174"/>
      <c r="AO71" s="178"/>
      <c r="AP71" s="208" t="str">
        <v xml:space="preserve">  </v>
      </c>
      <c r="AQ71" s="172"/>
      <c r="AR71" s="173"/>
      <c r="AS71" s="173"/>
      <c r="AT71" s="173"/>
      <c r="AU71" s="173"/>
      <c r="AV71" s="174"/>
    </row>
    <row r="72" spans="1:48">
      <c r="A72" s="204">
        <v>60</v>
      </c>
      <c r="B72" s="208" t="str">
        <f ca="1"/>
        <v>USSWAP25 BGN Curncy</v>
      </c>
      <c r="C72" s="188" t="s">
        <v>480</v>
      </c>
      <c r="D72" s="173" t="s">
        <v>387</v>
      </c>
      <c r="E72" s="173" t="s">
        <v>393</v>
      </c>
      <c r="F72" s="173" t="s">
        <v>472</v>
      </c>
      <c r="G72" s="173" t="s">
        <v>17</v>
      </c>
      <c r="H72" s="174" t="b">
        <v>1</v>
      </c>
      <c r="J72" s="208" t="str">
        <v xml:space="preserve">  </v>
      </c>
      <c r="K72" s="172"/>
      <c r="L72" s="173"/>
      <c r="M72" s="173"/>
      <c r="N72" s="173"/>
      <c r="O72" s="173"/>
      <c r="P72" s="174"/>
      <c r="R72" s="208" t="str">
        <v xml:space="preserve">  </v>
      </c>
      <c r="S72" s="172"/>
      <c r="T72" s="173"/>
      <c r="U72" s="173"/>
      <c r="V72" s="173"/>
      <c r="W72" s="173"/>
      <c r="X72" s="174"/>
      <c r="Y72" s="178"/>
      <c r="Z72" s="208" t="str">
        <v xml:space="preserve">  </v>
      </c>
      <c r="AA72" s="172"/>
      <c r="AB72" s="173"/>
      <c r="AC72" s="173"/>
      <c r="AD72" s="173"/>
      <c r="AE72" s="173"/>
      <c r="AF72" s="174"/>
      <c r="AG72" s="178"/>
      <c r="AH72" s="208" t="str">
        <v xml:space="preserve">  </v>
      </c>
      <c r="AI72" s="172"/>
      <c r="AJ72" s="173"/>
      <c r="AK72" s="173"/>
      <c r="AL72" s="173"/>
      <c r="AM72" s="173"/>
      <c r="AN72" s="174"/>
      <c r="AO72" s="178"/>
      <c r="AP72" s="208" t="str">
        <v xml:space="preserve">  </v>
      </c>
      <c r="AQ72" s="172"/>
      <c r="AR72" s="173"/>
      <c r="AS72" s="173"/>
      <c r="AT72" s="173"/>
      <c r="AU72" s="173"/>
      <c r="AV72" s="174"/>
    </row>
    <row r="73" spans="1:48">
      <c r="A73" s="204">
        <v>61</v>
      </c>
      <c r="B73" s="208" t="str">
        <f ca="1"/>
        <v>USSWAP30 BGN Curncy</v>
      </c>
      <c r="C73" s="188" t="s">
        <v>482</v>
      </c>
      <c r="D73" s="173" t="s">
        <v>387</v>
      </c>
      <c r="E73" s="173" t="s">
        <v>393</v>
      </c>
      <c r="F73" s="173" t="s">
        <v>472</v>
      </c>
      <c r="G73" s="173" t="s">
        <v>16</v>
      </c>
      <c r="H73" s="174" t="b">
        <v>1</v>
      </c>
      <c r="J73" s="208" t="str">
        <v xml:space="preserve">  </v>
      </c>
      <c r="K73" s="172"/>
      <c r="L73" s="173"/>
      <c r="M73" s="173"/>
      <c r="N73" s="173"/>
      <c r="O73" s="173"/>
      <c r="P73" s="174"/>
      <c r="R73" s="208" t="str">
        <v xml:space="preserve">  </v>
      </c>
      <c r="S73" s="172"/>
      <c r="T73" s="173"/>
      <c r="U73" s="173"/>
      <c r="V73" s="173"/>
      <c r="W73" s="173"/>
      <c r="X73" s="174"/>
      <c r="Y73" s="178"/>
      <c r="Z73" s="208" t="str">
        <v xml:space="preserve">  </v>
      </c>
      <c r="AA73" s="172"/>
      <c r="AB73" s="173"/>
      <c r="AC73" s="173"/>
      <c r="AD73" s="173"/>
      <c r="AE73" s="173"/>
      <c r="AF73" s="174"/>
      <c r="AG73" s="178"/>
      <c r="AH73" s="208" t="str">
        <v xml:space="preserve">  </v>
      </c>
      <c r="AI73" s="172"/>
      <c r="AJ73" s="173"/>
      <c r="AK73" s="173"/>
      <c r="AL73" s="173"/>
      <c r="AM73" s="173"/>
      <c r="AN73" s="174"/>
      <c r="AO73" s="178"/>
      <c r="AP73" s="208" t="str">
        <v xml:space="preserve">  </v>
      </c>
      <c r="AQ73" s="172"/>
      <c r="AR73" s="173"/>
      <c r="AS73" s="173"/>
      <c r="AT73" s="173"/>
      <c r="AU73" s="173"/>
      <c r="AV73" s="174"/>
    </row>
    <row r="74" spans="1:48">
      <c r="A74" s="204">
        <v>62</v>
      </c>
      <c r="B74" s="208" t="str">
        <f ca="1"/>
        <v xml:space="preserve">  </v>
      </c>
      <c r="C74" s="188"/>
      <c r="D74" s="173"/>
      <c r="E74" s="173"/>
      <c r="F74" s="173"/>
      <c r="G74" s="173"/>
      <c r="H74" s="174"/>
      <c r="J74" s="208" t="str">
        <v xml:space="preserve">  </v>
      </c>
      <c r="K74" s="172"/>
      <c r="L74" s="173"/>
      <c r="M74" s="173"/>
      <c r="N74" s="173"/>
      <c r="O74" s="173"/>
      <c r="P74" s="174"/>
      <c r="R74" s="208" t="str">
        <v xml:space="preserve">  </v>
      </c>
      <c r="S74" s="172"/>
      <c r="T74" s="173"/>
      <c r="U74" s="173"/>
      <c r="V74" s="173"/>
      <c r="W74" s="173"/>
      <c r="X74" s="174"/>
      <c r="Y74" s="178"/>
      <c r="Z74" s="208" t="str">
        <v xml:space="preserve">  </v>
      </c>
      <c r="AA74" s="172"/>
      <c r="AB74" s="173"/>
      <c r="AC74" s="173"/>
      <c r="AD74" s="173"/>
      <c r="AE74" s="173"/>
      <c r="AF74" s="174"/>
      <c r="AG74" s="178"/>
      <c r="AH74" s="208" t="str">
        <v xml:space="preserve">  </v>
      </c>
      <c r="AI74" s="172"/>
      <c r="AJ74" s="173"/>
      <c r="AK74" s="173"/>
      <c r="AL74" s="173"/>
      <c r="AM74" s="173"/>
      <c r="AN74" s="174"/>
      <c r="AO74" s="178"/>
      <c r="AP74" s="208" t="str">
        <v xml:space="preserve">  </v>
      </c>
      <c r="AQ74" s="172"/>
      <c r="AR74" s="173"/>
      <c r="AS74" s="173"/>
      <c r="AT74" s="173"/>
      <c r="AU74" s="173"/>
      <c r="AV74" s="174"/>
    </row>
    <row r="75" spans="1:48">
      <c r="A75" s="204">
        <v>63</v>
      </c>
      <c r="B75" s="208" t="str">
        <f ca="1"/>
        <v xml:space="preserve">  </v>
      </c>
      <c r="C75" s="188"/>
      <c r="D75" s="173"/>
      <c r="E75" s="173"/>
      <c r="F75" s="173"/>
      <c r="G75" s="173"/>
      <c r="H75" s="174"/>
      <c r="J75" s="208" t="str">
        <v xml:space="preserve">  </v>
      </c>
      <c r="K75" s="172"/>
      <c r="L75" s="173"/>
      <c r="M75" s="173"/>
      <c r="N75" s="173"/>
      <c r="O75" s="173"/>
      <c r="P75" s="174"/>
      <c r="R75" s="208" t="str">
        <v xml:space="preserve">  </v>
      </c>
      <c r="S75" s="172"/>
      <c r="T75" s="173"/>
      <c r="U75" s="173"/>
      <c r="V75" s="173"/>
      <c r="W75" s="173"/>
      <c r="X75" s="174"/>
      <c r="Y75" s="178"/>
      <c r="Z75" s="208" t="str">
        <v xml:space="preserve">  </v>
      </c>
      <c r="AA75" s="172"/>
      <c r="AB75" s="173"/>
      <c r="AC75" s="173"/>
      <c r="AD75" s="173"/>
      <c r="AE75" s="173"/>
      <c r="AF75" s="174"/>
      <c r="AG75" s="178"/>
      <c r="AH75" s="208" t="str">
        <v xml:space="preserve">  </v>
      </c>
      <c r="AI75" s="172"/>
      <c r="AJ75" s="173"/>
      <c r="AK75" s="173"/>
      <c r="AL75" s="173"/>
      <c r="AM75" s="173"/>
      <c r="AN75" s="174"/>
      <c r="AO75" s="178"/>
      <c r="AP75" s="208" t="str">
        <v xml:space="preserve">  </v>
      </c>
      <c r="AQ75" s="172"/>
      <c r="AR75" s="173"/>
      <c r="AS75" s="173"/>
      <c r="AT75" s="173"/>
      <c r="AU75" s="173"/>
      <c r="AV75" s="174"/>
    </row>
    <row r="76" spans="1:48">
      <c r="A76" s="204">
        <v>64</v>
      </c>
      <c r="B76" s="208" t="str">
        <f ca="1"/>
        <v xml:space="preserve">  </v>
      </c>
      <c r="C76" s="188"/>
      <c r="D76" s="173"/>
      <c r="E76" s="173"/>
      <c r="F76" s="173"/>
      <c r="G76" s="173"/>
      <c r="H76" s="174"/>
      <c r="J76" s="208" t="str">
        <v xml:space="preserve">  </v>
      </c>
      <c r="K76" s="172"/>
      <c r="L76" s="173"/>
      <c r="M76" s="173"/>
      <c r="N76" s="173"/>
      <c r="O76" s="173"/>
      <c r="P76" s="174"/>
      <c r="R76" s="208" t="str">
        <v xml:space="preserve">  </v>
      </c>
      <c r="S76" s="172"/>
      <c r="T76" s="173"/>
      <c r="U76" s="173"/>
      <c r="V76" s="173"/>
      <c r="W76" s="173"/>
      <c r="X76" s="174"/>
      <c r="Y76" s="178"/>
      <c r="Z76" s="208" t="str">
        <v xml:space="preserve">  </v>
      </c>
      <c r="AA76" s="172"/>
      <c r="AB76" s="173"/>
      <c r="AC76" s="173"/>
      <c r="AD76" s="173"/>
      <c r="AE76" s="173"/>
      <c r="AF76" s="174"/>
      <c r="AG76" s="178"/>
      <c r="AH76" s="208" t="str">
        <v xml:space="preserve">  </v>
      </c>
      <c r="AI76" s="172"/>
      <c r="AJ76" s="173"/>
      <c r="AK76" s="173"/>
      <c r="AL76" s="173"/>
      <c r="AM76" s="173"/>
      <c r="AN76" s="174"/>
      <c r="AO76" s="178"/>
      <c r="AP76" s="208" t="str">
        <v xml:space="preserve">  </v>
      </c>
      <c r="AQ76" s="172"/>
      <c r="AR76" s="173"/>
      <c r="AS76" s="173"/>
      <c r="AT76" s="173"/>
      <c r="AU76" s="173"/>
      <c r="AV76" s="174"/>
    </row>
    <row r="77" spans="1:48">
      <c r="A77" s="204">
        <v>65</v>
      </c>
      <c r="B77" s="208" t="str">
        <f ca="1"/>
        <v xml:space="preserve">  </v>
      </c>
      <c r="C77" s="188"/>
      <c r="D77" s="173"/>
      <c r="E77" s="173"/>
      <c r="F77" s="173"/>
      <c r="G77" s="173"/>
      <c r="H77" s="174"/>
      <c r="J77" s="208" t="str">
        <v xml:space="preserve">  </v>
      </c>
      <c r="K77" s="172"/>
      <c r="L77" s="173"/>
      <c r="M77" s="173"/>
      <c r="N77" s="173"/>
      <c r="O77" s="173"/>
      <c r="P77" s="174"/>
      <c r="R77" s="208" t="str">
        <v xml:space="preserve">  </v>
      </c>
      <c r="S77" s="172"/>
      <c r="T77" s="173"/>
      <c r="U77" s="173"/>
      <c r="V77" s="173"/>
      <c r="W77" s="173"/>
      <c r="X77" s="174"/>
      <c r="Y77" s="178"/>
      <c r="Z77" s="208" t="str">
        <v xml:space="preserve">  </v>
      </c>
      <c r="AA77" s="172"/>
      <c r="AB77" s="173"/>
      <c r="AC77" s="173"/>
      <c r="AD77" s="173"/>
      <c r="AE77" s="173"/>
      <c r="AF77" s="174"/>
      <c r="AG77" s="178"/>
      <c r="AH77" s="208" t="str">
        <v xml:space="preserve">  </v>
      </c>
      <c r="AI77" s="172"/>
      <c r="AJ77" s="173"/>
      <c r="AK77" s="173"/>
      <c r="AL77" s="173"/>
      <c r="AM77" s="173"/>
      <c r="AN77" s="174"/>
      <c r="AO77" s="178"/>
      <c r="AP77" s="208" t="str">
        <v xml:space="preserve">  </v>
      </c>
      <c r="AQ77" s="172"/>
      <c r="AR77" s="173"/>
      <c r="AS77" s="173"/>
      <c r="AT77" s="173"/>
      <c r="AU77" s="173"/>
      <c r="AV77" s="174"/>
    </row>
    <row r="78" spans="1:48">
      <c r="A78" s="204">
        <v>66</v>
      </c>
      <c r="B78" s="208" t="str">
        <f ca="1"/>
        <v xml:space="preserve">  </v>
      </c>
      <c r="C78" s="188"/>
      <c r="D78" s="173"/>
      <c r="E78" s="173"/>
      <c r="F78" s="173"/>
      <c r="G78" s="173"/>
      <c r="H78" s="174"/>
      <c r="J78" s="208" t="str">
        <v xml:space="preserve">  </v>
      </c>
      <c r="K78" s="172"/>
      <c r="L78" s="173"/>
      <c r="M78" s="173"/>
      <c r="N78" s="173"/>
      <c r="O78" s="173"/>
      <c r="P78" s="174"/>
      <c r="R78" s="208" t="str">
        <v xml:space="preserve">  </v>
      </c>
      <c r="S78" s="172"/>
      <c r="T78" s="173"/>
      <c r="U78" s="173"/>
      <c r="V78" s="173"/>
      <c r="W78" s="173"/>
      <c r="X78" s="174"/>
      <c r="Y78" s="178"/>
      <c r="Z78" s="208" t="str">
        <v xml:space="preserve">  </v>
      </c>
      <c r="AA78" s="172"/>
      <c r="AB78" s="173"/>
      <c r="AC78" s="173"/>
      <c r="AD78" s="173"/>
      <c r="AE78" s="173"/>
      <c r="AF78" s="174"/>
      <c r="AG78" s="178"/>
      <c r="AH78" s="208" t="str">
        <v xml:space="preserve">  </v>
      </c>
      <c r="AI78" s="172"/>
      <c r="AJ78" s="173"/>
      <c r="AK78" s="173"/>
      <c r="AL78" s="173"/>
      <c r="AM78" s="173"/>
      <c r="AN78" s="174"/>
      <c r="AO78" s="178"/>
      <c r="AP78" s="208" t="str">
        <v xml:space="preserve">  </v>
      </c>
      <c r="AQ78" s="172"/>
      <c r="AR78" s="173"/>
      <c r="AS78" s="173"/>
      <c r="AT78" s="173"/>
      <c r="AU78" s="173"/>
      <c r="AV78" s="174"/>
    </row>
    <row r="79" spans="1:48">
      <c r="A79" s="204">
        <v>67</v>
      </c>
      <c r="B79" s="208" t="str">
        <f ca="1"/>
        <v xml:space="preserve">  </v>
      </c>
      <c r="C79" s="188"/>
      <c r="D79" s="173"/>
      <c r="E79" s="173"/>
      <c r="F79" s="173"/>
      <c r="G79" s="173"/>
      <c r="H79" s="174"/>
      <c r="J79" s="208" t="str">
        <v xml:space="preserve">  </v>
      </c>
      <c r="K79" s="172"/>
      <c r="L79" s="173"/>
      <c r="M79" s="173"/>
      <c r="N79" s="173"/>
      <c r="O79" s="173"/>
      <c r="P79" s="174"/>
      <c r="R79" s="208" t="str">
        <v xml:space="preserve">  </v>
      </c>
      <c r="S79" s="172"/>
      <c r="T79" s="173"/>
      <c r="U79" s="173"/>
      <c r="V79" s="173"/>
      <c r="W79" s="173"/>
      <c r="X79" s="174"/>
      <c r="Y79" s="178"/>
      <c r="Z79" s="208" t="str">
        <v xml:space="preserve">  </v>
      </c>
      <c r="AA79" s="172"/>
      <c r="AB79" s="173"/>
      <c r="AC79" s="173"/>
      <c r="AD79" s="173"/>
      <c r="AE79" s="173"/>
      <c r="AF79" s="174"/>
      <c r="AG79" s="178"/>
      <c r="AH79" s="208" t="str">
        <v xml:space="preserve">  </v>
      </c>
      <c r="AI79" s="172"/>
      <c r="AJ79" s="173"/>
      <c r="AK79" s="173"/>
      <c r="AL79" s="173"/>
      <c r="AM79" s="173"/>
      <c r="AN79" s="174"/>
      <c r="AO79" s="178"/>
      <c r="AP79" s="208" t="str">
        <v xml:space="preserve">  </v>
      </c>
      <c r="AQ79" s="172"/>
      <c r="AR79" s="173"/>
      <c r="AS79" s="173"/>
      <c r="AT79" s="173"/>
      <c r="AU79" s="173"/>
      <c r="AV79" s="174"/>
    </row>
    <row r="80" spans="1:48">
      <c r="A80" s="204">
        <v>68</v>
      </c>
      <c r="B80" s="208" t="str">
        <f ca="1"/>
        <v xml:space="preserve">  </v>
      </c>
      <c r="C80" s="188"/>
      <c r="D80" s="173"/>
      <c r="E80" s="173"/>
      <c r="F80" s="173"/>
      <c r="G80" s="173"/>
      <c r="H80" s="174"/>
      <c r="J80" s="208" t="str">
        <v xml:space="preserve">  </v>
      </c>
      <c r="K80" s="172"/>
      <c r="L80" s="173"/>
      <c r="M80" s="173"/>
      <c r="N80" s="173"/>
      <c r="O80" s="173"/>
      <c r="P80" s="174"/>
      <c r="R80" s="208" t="str">
        <v xml:space="preserve">  </v>
      </c>
      <c r="S80" s="172"/>
      <c r="T80" s="173"/>
      <c r="U80" s="173"/>
      <c r="V80" s="173"/>
      <c r="W80" s="173"/>
      <c r="X80" s="174"/>
      <c r="Y80" s="178"/>
      <c r="Z80" s="208" t="str">
        <v xml:space="preserve">  </v>
      </c>
      <c r="AA80" s="172"/>
      <c r="AB80" s="173"/>
      <c r="AC80" s="173"/>
      <c r="AD80" s="173"/>
      <c r="AE80" s="173"/>
      <c r="AF80" s="174"/>
      <c r="AG80" s="178"/>
      <c r="AH80" s="208" t="str">
        <v xml:space="preserve">  </v>
      </c>
      <c r="AI80" s="172"/>
      <c r="AJ80" s="173"/>
      <c r="AK80" s="173"/>
      <c r="AL80" s="173"/>
      <c r="AM80" s="173"/>
      <c r="AN80" s="174"/>
      <c r="AO80" s="178"/>
      <c r="AP80" s="208" t="str">
        <v xml:space="preserve">  </v>
      </c>
      <c r="AQ80" s="172"/>
      <c r="AR80" s="173"/>
      <c r="AS80" s="173"/>
      <c r="AT80" s="173"/>
      <c r="AU80" s="173"/>
      <c r="AV80" s="174"/>
    </row>
    <row r="81" spans="1:48">
      <c r="A81" s="204">
        <v>69</v>
      </c>
      <c r="B81" s="208" t="str">
        <f ca="1"/>
        <v xml:space="preserve">  </v>
      </c>
      <c r="C81" s="188"/>
      <c r="D81" s="173"/>
      <c r="E81" s="173"/>
      <c r="F81" s="173"/>
      <c r="G81" s="173"/>
      <c r="H81" s="174"/>
      <c r="J81" s="208" t="str">
        <v xml:space="preserve">  </v>
      </c>
      <c r="K81" s="172"/>
      <c r="L81" s="173"/>
      <c r="M81" s="173"/>
      <c r="N81" s="173"/>
      <c r="O81" s="173"/>
      <c r="P81" s="174"/>
      <c r="R81" s="208" t="str">
        <v xml:space="preserve">  </v>
      </c>
      <c r="S81" s="172"/>
      <c r="T81" s="173"/>
      <c r="U81" s="173"/>
      <c r="V81" s="173"/>
      <c r="W81" s="173"/>
      <c r="X81" s="174"/>
      <c r="Y81" s="178"/>
      <c r="Z81" s="208" t="str">
        <v xml:space="preserve">  </v>
      </c>
      <c r="AA81" s="172"/>
      <c r="AB81" s="173"/>
      <c r="AC81" s="173"/>
      <c r="AD81" s="173"/>
      <c r="AE81" s="173"/>
      <c r="AF81" s="174"/>
      <c r="AG81" s="178"/>
      <c r="AH81" s="208" t="str">
        <v xml:space="preserve">  </v>
      </c>
      <c r="AI81" s="172"/>
      <c r="AJ81" s="173"/>
      <c r="AK81" s="173"/>
      <c r="AL81" s="173"/>
      <c r="AM81" s="173"/>
      <c r="AN81" s="174"/>
      <c r="AO81" s="178"/>
      <c r="AP81" s="208" t="str">
        <v xml:space="preserve">  </v>
      </c>
      <c r="AQ81" s="172"/>
      <c r="AR81" s="173"/>
      <c r="AS81" s="173"/>
      <c r="AT81" s="173"/>
      <c r="AU81" s="173"/>
      <c r="AV81" s="174"/>
    </row>
    <row r="82" spans="1:48">
      <c r="A82" s="204">
        <v>70</v>
      </c>
      <c r="B82" s="208" t="str">
        <f ca="1"/>
        <v xml:space="preserve">  </v>
      </c>
      <c r="C82" s="172"/>
      <c r="D82" s="173"/>
      <c r="E82" s="173"/>
      <c r="F82" s="173"/>
      <c r="G82" s="173"/>
      <c r="H82" s="174"/>
      <c r="J82" s="208" t="str">
        <v xml:space="preserve">  </v>
      </c>
      <c r="K82" s="172"/>
      <c r="L82" s="173"/>
      <c r="M82" s="173"/>
      <c r="N82" s="173"/>
      <c r="O82" s="173"/>
      <c r="P82" s="174"/>
      <c r="R82" s="208" t="str">
        <v xml:space="preserve">  </v>
      </c>
      <c r="S82" s="172"/>
      <c r="T82" s="173"/>
      <c r="U82" s="173"/>
      <c r="V82" s="173"/>
      <c r="W82" s="173"/>
      <c r="X82" s="174"/>
      <c r="Y82" s="178"/>
      <c r="Z82" s="208" t="str">
        <v xml:space="preserve">  </v>
      </c>
      <c r="AA82" s="172"/>
      <c r="AB82" s="173"/>
      <c r="AC82" s="173"/>
      <c r="AD82" s="173"/>
      <c r="AE82" s="173"/>
      <c r="AF82" s="174"/>
      <c r="AG82" s="178"/>
      <c r="AH82" s="208" t="str">
        <v xml:space="preserve">  </v>
      </c>
      <c r="AI82" s="172"/>
      <c r="AJ82" s="173"/>
      <c r="AK82" s="173"/>
      <c r="AL82" s="173"/>
      <c r="AM82" s="173"/>
      <c r="AN82" s="174"/>
      <c r="AO82" s="178"/>
      <c r="AP82" s="208" t="str">
        <v xml:space="preserve">  </v>
      </c>
      <c r="AQ82" s="172"/>
      <c r="AR82" s="173"/>
      <c r="AS82" s="173"/>
      <c r="AT82" s="173"/>
      <c r="AU82" s="173"/>
      <c r="AV82" s="174"/>
    </row>
    <row r="83" spans="1:48">
      <c r="A83" s="204">
        <v>71</v>
      </c>
      <c r="B83" s="208" t="str">
        <f ca="1"/>
        <v xml:space="preserve">  </v>
      </c>
      <c r="C83" s="172"/>
      <c r="D83" s="173"/>
      <c r="E83" s="173"/>
      <c r="F83" s="173"/>
      <c r="G83" s="173"/>
      <c r="H83" s="174"/>
      <c r="J83" s="208" t="str">
        <v xml:space="preserve">  </v>
      </c>
      <c r="K83" s="172"/>
      <c r="L83" s="173"/>
      <c r="M83" s="173"/>
      <c r="N83" s="173"/>
      <c r="O83" s="173"/>
      <c r="P83" s="174"/>
      <c r="R83" s="208" t="str">
        <v xml:space="preserve">  </v>
      </c>
      <c r="S83" s="172"/>
      <c r="T83" s="173"/>
      <c r="U83" s="173"/>
      <c r="V83" s="173"/>
      <c r="W83" s="173"/>
      <c r="X83" s="174"/>
      <c r="Y83" s="178"/>
      <c r="Z83" s="208" t="str">
        <v xml:space="preserve">  </v>
      </c>
      <c r="AA83" s="172"/>
      <c r="AB83" s="173"/>
      <c r="AC83" s="173"/>
      <c r="AD83" s="173"/>
      <c r="AE83" s="173"/>
      <c r="AF83" s="174"/>
      <c r="AG83" s="178"/>
      <c r="AH83" s="208" t="str">
        <v xml:space="preserve">  </v>
      </c>
      <c r="AI83" s="172"/>
      <c r="AJ83" s="173"/>
      <c r="AK83" s="173"/>
      <c r="AL83" s="173"/>
      <c r="AM83" s="173"/>
      <c r="AN83" s="174"/>
      <c r="AO83" s="178"/>
      <c r="AP83" s="208" t="str">
        <v xml:space="preserve">  </v>
      </c>
      <c r="AQ83" s="172"/>
      <c r="AR83" s="173"/>
      <c r="AS83" s="173"/>
      <c r="AT83" s="173"/>
      <c r="AU83" s="173"/>
      <c r="AV83" s="174"/>
    </row>
    <row r="84" spans="1:48">
      <c r="A84" s="204">
        <v>72</v>
      </c>
      <c r="B84" s="208" t="str">
        <f ca="1"/>
        <v xml:space="preserve">  </v>
      </c>
      <c r="C84" s="172"/>
      <c r="D84" s="173"/>
      <c r="E84" s="173"/>
      <c r="F84" s="173"/>
      <c r="G84" s="173"/>
      <c r="H84" s="174"/>
      <c r="J84" s="208" t="str">
        <v xml:space="preserve">  </v>
      </c>
      <c r="K84" s="172"/>
      <c r="L84" s="173"/>
      <c r="M84" s="173"/>
      <c r="N84" s="173"/>
      <c r="O84" s="173"/>
      <c r="P84" s="174"/>
      <c r="R84" s="208" t="str">
        <v xml:space="preserve">  </v>
      </c>
      <c r="S84" s="172"/>
      <c r="T84" s="173"/>
      <c r="U84" s="173"/>
      <c r="V84" s="173"/>
      <c r="W84" s="173"/>
      <c r="X84" s="174"/>
      <c r="Y84" s="178"/>
      <c r="Z84" s="208" t="str">
        <v xml:space="preserve">  </v>
      </c>
      <c r="AA84" s="172"/>
      <c r="AB84" s="173"/>
      <c r="AC84" s="173"/>
      <c r="AD84" s="173"/>
      <c r="AE84" s="173"/>
      <c r="AF84" s="174"/>
      <c r="AG84" s="178"/>
      <c r="AH84" s="208" t="str">
        <v xml:space="preserve">  </v>
      </c>
      <c r="AI84" s="172"/>
      <c r="AJ84" s="173"/>
      <c r="AK84" s="173"/>
      <c r="AL84" s="173"/>
      <c r="AM84" s="173"/>
      <c r="AN84" s="174"/>
      <c r="AO84" s="178"/>
      <c r="AP84" s="208" t="str">
        <v xml:space="preserve">  </v>
      </c>
      <c r="AQ84" s="172"/>
      <c r="AR84" s="173"/>
      <c r="AS84" s="173"/>
      <c r="AT84" s="173"/>
      <c r="AU84" s="173"/>
      <c r="AV84" s="174"/>
    </row>
    <row r="85" spans="1:48">
      <c r="A85" s="204">
        <v>73</v>
      </c>
      <c r="B85" s="208" t="str">
        <f ca="1"/>
        <v xml:space="preserve">  </v>
      </c>
      <c r="C85" s="172"/>
      <c r="D85" s="173"/>
      <c r="E85" s="173"/>
      <c r="F85" s="173"/>
      <c r="G85" s="173"/>
      <c r="H85" s="174"/>
      <c r="J85" s="208" t="str">
        <v xml:space="preserve">  </v>
      </c>
      <c r="K85" s="172"/>
      <c r="L85" s="173"/>
      <c r="M85" s="173"/>
      <c r="N85" s="173"/>
      <c r="O85" s="173"/>
      <c r="P85" s="174"/>
      <c r="R85" s="208" t="str">
        <v xml:space="preserve">  </v>
      </c>
      <c r="S85" s="172"/>
      <c r="T85" s="173"/>
      <c r="U85" s="173"/>
      <c r="V85" s="173"/>
      <c r="W85" s="173"/>
      <c r="X85" s="174"/>
      <c r="Y85" s="178"/>
      <c r="Z85" s="208" t="str">
        <v xml:space="preserve">  </v>
      </c>
      <c r="AA85" s="172"/>
      <c r="AB85" s="173"/>
      <c r="AC85" s="173"/>
      <c r="AD85" s="173"/>
      <c r="AE85" s="173"/>
      <c r="AF85" s="174"/>
      <c r="AG85" s="178"/>
      <c r="AH85" s="208" t="str">
        <v xml:space="preserve">  </v>
      </c>
      <c r="AI85" s="172"/>
      <c r="AJ85" s="173"/>
      <c r="AK85" s="173"/>
      <c r="AL85" s="173"/>
      <c r="AM85" s="173"/>
      <c r="AN85" s="174"/>
      <c r="AO85" s="178"/>
      <c r="AP85" s="208" t="str">
        <v xml:space="preserve">  </v>
      </c>
      <c r="AQ85" s="172"/>
      <c r="AR85" s="173"/>
      <c r="AS85" s="173"/>
      <c r="AT85" s="173"/>
      <c r="AU85" s="173"/>
      <c r="AV85" s="174"/>
    </row>
    <row r="86" spans="1:48">
      <c r="A86" s="204">
        <v>74</v>
      </c>
      <c r="B86" s="208" t="str">
        <f ca="1"/>
        <v xml:space="preserve">  </v>
      </c>
      <c r="C86" s="172"/>
      <c r="D86" s="173"/>
      <c r="E86" s="173"/>
      <c r="F86" s="173"/>
      <c r="G86" s="173"/>
      <c r="H86" s="174"/>
      <c r="J86" s="208" t="str">
        <v xml:space="preserve">  </v>
      </c>
      <c r="K86" s="172"/>
      <c r="L86" s="173"/>
      <c r="M86" s="173"/>
      <c r="N86" s="173"/>
      <c r="O86" s="173"/>
      <c r="P86" s="174"/>
      <c r="R86" s="208" t="str">
        <v xml:space="preserve">  </v>
      </c>
      <c r="S86" s="172"/>
      <c r="T86" s="173"/>
      <c r="U86" s="173"/>
      <c r="V86" s="173"/>
      <c r="W86" s="173"/>
      <c r="X86" s="174"/>
      <c r="Y86" s="178"/>
      <c r="Z86" s="208" t="str">
        <v xml:space="preserve">  </v>
      </c>
      <c r="AA86" s="172"/>
      <c r="AB86" s="173"/>
      <c r="AC86" s="173"/>
      <c r="AD86" s="173"/>
      <c r="AE86" s="173"/>
      <c r="AF86" s="174"/>
      <c r="AG86" s="178"/>
      <c r="AH86" s="208" t="str">
        <v xml:space="preserve">  </v>
      </c>
      <c r="AI86" s="172"/>
      <c r="AJ86" s="173"/>
      <c r="AK86" s="173"/>
      <c r="AL86" s="173"/>
      <c r="AM86" s="173"/>
      <c r="AN86" s="174"/>
      <c r="AO86" s="178"/>
      <c r="AP86" s="208" t="str">
        <v xml:space="preserve">  </v>
      </c>
      <c r="AQ86" s="172"/>
      <c r="AR86" s="173"/>
      <c r="AS86" s="173"/>
      <c r="AT86" s="173"/>
      <c r="AU86" s="173"/>
      <c r="AV86" s="174"/>
    </row>
    <row r="87" spans="1:48">
      <c r="A87" s="204">
        <v>75</v>
      </c>
      <c r="B87" s="208" t="str">
        <f ca="1"/>
        <v xml:space="preserve">  </v>
      </c>
      <c r="C87" s="172"/>
      <c r="D87" s="173"/>
      <c r="E87" s="173"/>
      <c r="F87" s="173"/>
      <c r="G87" s="173"/>
      <c r="H87" s="174"/>
      <c r="J87" s="208" t="str">
        <v xml:space="preserve">  </v>
      </c>
      <c r="K87" s="172"/>
      <c r="L87" s="173"/>
      <c r="M87" s="173"/>
      <c r="N87" s="173"/>
      <c r="O87" s="173"/>
      <c r="P87" s="174"/>
      <c r="R87" s="208" t="str">
        <v xml:space="preserve">  </v>
      </c>
      <c r="S87" s="172"/>
      <c r="T87" s="173"/>
      <c r="U87" s="173"/>
      <c r="V87" s="173"/>
      <c r="W87" s="173"/>
      <c r="X87" s="174"/>
      <c r="Y87" s="178"/>
      <c r="Z87" s="208" t="str">
        <v xml:space="preserve">  </v>
      </c>
      <c r="AA87" s="172"/>
      <c r="AB87" s="173"/>
      <c r="AC87" s="173"/>
      <c r="AD87" s="173"/>
      <c r="AE87" s="173"/>
      <c r="AF87" s="174"/>
      <c r="AG87" s="178"/>
      <c r="AH87" s="208" t="str">
        <v xml:space="preserve">  </v>
      </c>
      <c r="AI87" s="172"/>
      <c r="AJ87" s="173"/>
      <c r="AK87" s="173"/>
      <c r="AL87" s="173"/>
      <c r="AM87" s="173"/>
      <c r="AN87" s="174"/>
      <c r="AO87" s="178"/>
      <c r="AP87" s="208" t="str">
        <v xml:space="preserve">  </v>
      </c>
      <c r="AQ87" s="172"/>
      <c r="AR87" s="173"/>
      <c r="AS87" s="173"/>
      <c r="AT87" s="173"/>
      <c r="AU87" s="173"/>
      <c r="AV87" s="174"/>
    </row>
    <row r="88" spans="1:48">
      <c r="A88" s="204">
        <v>76</v>
      </c>
      <c r="B88" s="208" t="str">
        <f ca="1"/>
        <v xml:space="preserve">  </v>
      </c>
      <c r="C88" s="172"/>
      <c r="D88" s="173"/>
      <c r="E88" s="173"/>
      <c r="F88" s="173"/>
      <c r="G88" s="173"/>
      <c r="H88" s="174"/>
      <c r="J88" s="208" t="str">
        <v xml:space="preserve">  </v>
      </c>
      <c r="K88" s="172"/>
      <c r="L88" s="173"/>
      <c r="M88" s="173"/>
      <c r="N88" s="173"/>
      <c r="O88" s="173"/>
      <c r="P88" s="174"/>
      <c r="R88" s="208" t="str">
        <v xml:space="preserve">  </v>
      </c>
      <c r="S88" s="172"/>
      <c r="T88" s="173"/>
      <c r="U88" s="173"/>
      <c r="V88" s="173"/>
      <c r="W88" s="173"/>
      <c r="X88" s="174"/>
      <c r="Y88" s="178"/>
      <c r="Z88" s="208" t="str">
        <v xml:space="preserve">  </v>
      </c>
      <c r="AA88" s="172"/>
      <c r="AB88" s="173"/>
      <c r="AC88" s="173"/>
      <c r="AD88" s="173"/>
      <c r="AE88" s="173"/>
      <c r="AF88" s="174"/>
      <c r="AG88" s="178"/>
      <c r="AH88" s="208" t="str">
        <v xml:space="preserve">  </v>
      </c>
      <c r="AI88" s="172"/>
      <c r="AJ88" s="173"/>
      <c r="AK88" s="173"/>
      <c r="AL88" s="173"/>
      <c r="AM88" s="173"/>
      <c r="AN88" s="174"/>
      <c r="AO88" s="178"/>
      <c r="AP88" s="208" t="str">
        <v xml:space="preserve">  </v>
      </c>
      <c r="AQ88" s="172"/>
      <c r="AR88" s="173"/>
      <c r="AS88" s="173"/>
      <c r="AT88" s="173"/>
      <c r="AU88" s="173"/>
      <c r="AV88" s="174"/>
    </row>
    <row r="89" spans="1:48">
      <c r="A89" s="204">
        <v>77</v>
      </c>
      <c r="B89" s="208" t="str">
        <f ca="1"/>
        <v xml:space="preserve">  </v>
      </c>
      <c r="C89" s="172"/>
      <c r="D89" s="173"/>
      <c r="E89" s="173"/>
      <c r="F89" s="173"/>
      <c r="G89" s="173"/>
      <c r="H89" s="174"/>
      <c r="J89" s="208" t="str">
        <v xml:space="preserve">  </v>
      </c>
      <c r="K89" s="172"/>
      <c r="L89" s="173"/>
      <c r="M89" s="173"/>
      <c r="N89" s="173"/>
      <c r="O89" s="173"/>
      <c r="P89" s="174"/>
      <c r="R89" s="208" t="str">
        <v xml:space="preserve">  </v>
      </c>
      <c r="S89" s="172"/>
      <c r="T89" s="173"/>
      <c r="U89" s="173"/>
      <c r="V89" s="173"/>
      <c r="W89" s="173"/>
      <c r="X89" s="174"/>
      <c r="Y89" s="178"/>
      <c r="Z89" s="208" t="str">
        <v xml:space="preserve">  </v>
      </c>
      <c r="AA89" s="172"/>
      <c r="AB89" s="173"/>
      <c r="AC89" s="173"/>
      <c r="AD89" s="173"/>
      <c r="AE89" s="173"/>
      <c r="AF89" s="174"/>
      <c r="AG89" s="178"/>
      <c r="AH89" s="208" t="str">
        <v xml:space="preserve">  </v>
      </c>
      <c r="AI89" s="172"/>
      <c r="AJ89" s="173"/>
      <c r="AK89" s="173"/>
      <c r="AL89" s="173"/>
      <c r="AM89" s="173"/>
      <c r="AN89" s="174"/>
      <c r="AO89" s="178"/>
      <c r="AP89" s="208" t="str">
        <v xml:space="preserve">  </v>
      </c>
      <c r="AQ89" s="172"/>
      <c r="AR89" s="173"/>
      <c r="AS89" s="173"/>
      <c r="AT89" s="173"/>
      <c r="AU89" s="173"/>
      <c r="AV89" s="174"/>
    </row>
    <row r="90" spans="1:48">
      <c r="A90" s="204">
        <v>78</v>
      </c>
      <c r="B90" s="208" t="str">
        <f ca="1"/>
        <v xml:space="preserve">  </v>
      </c>
      <c r="C90" s="172"/>
      <c r="D90" s="173"/>
      <c r="E90" s="173"/>
      <c r="F90" s="173"/>
      <c r="G90" s="173"/>
      <c r="H90" s="174"/>
      <c r="J90" s="208" t="str">
        <v xml:space="preserve">  </v>
      </c>
      <c r="K90" s="172"/>
      <c r="L90" s="173"/>
      <c r="M90" s="173"/>
      <c r="N90" s="173"/>
      <c r="O90" s="173"/>
      <c r="P90" s="174"/>
      <c r="R90" s="208" t="str">
        <v xml:space="preserve">  </v>
      </c>
      <c r="S90" s="172"/>
      <c r="T90" s="173"/>
      <c r="U90" s="173"/>
      <c r="V90" s="173"/>
      <c r="W90" s="173"/>
      <c r="X90" s="174"/>
      <c r="Y90" s="178"/>
      <c r="Z90" s="208" t="str">
        <v xml:space="preserve">  </v>
      </c>
      <c r="AA90" s="172"/>
      <c r="AB90" s="173"/>
      <c r="AC90" s="173"/>
      <c r="AD90" s="173"/>
      <c r="AE90" s="173"/>
      <c r="AF90" s="174"/>
      <c r="AG90" s="178"/>
      <c r="AH90" s="208" t="str">
        <v xml:space="preserve">  </v>
      </c>
      <c r="AI90" s="172"/>
      <c r="AJ90" s="173"/>
      <c r="AK90" s="173"/>
      <c r="AL90" s="173"/>
      <c r="AM90" s="173"/>
      <c r="AN90" s="174"/>
      <c r="AO90" s="178"/>
      <c r="AP90" s="208" t="str">
        <v xml:space="preserve">  </v>
      </c>
      <c r="AQ90" s="172"/>
      <c r="AR90" s="173"/>
      <c r="AS90" s="173"/>
      <c r="AT90" s="173"/>
      <c r="AU90" s="173"/>
      <c r="AV90" s="174"/>
    </row>
    <row r="91" spans="1:48">
      <c r="A91" s="204">
        <v>79</v>
      </c>
      <c r="B91" s="208" t="str">
        <f ca="1"/>
        <v xml:space="preserve">  </v>
      </c>
      <c r="C91" s="172"/>
      <c r="D91" s="173"/>
      <c r="E91" s="173"/>
      <c r="F91" s="173"/>
      <c r="G91" s="173"/>
      <c r="H91" s="174"/>
      <c r="J91" s="208" t="str">
        <v xml:space="preserve">  </v>
      </c>
      <c r="K91" s="172"/>
      <c r="L91" s="173"/>
      <c r="M91" s="173"/>
      <c r="N91" s="173"/>
      <c r="O91" s="173"/>
      <c r="P91" s="174"/>
      <c r="R91" s="208" t="str">
        <v xml:space="preserve">  </v>
      </c>
      <c r="S91" s="172"/>
      <c r="T91" s="173"/>
      <c r="U91" s="173"/>
      <c r="V91" s="173"/>
      <c r="W91" s="173"/>
      <c r="X91" s="174"/>
      <c r="Y91" s="178"/>
      <c r="Z91" s="208" t="str">
        <v xml:space="preserve">  </v>
      </c>
      <c r="AA91" s="172"/>
      <c r="AB91" s="173"/>
      <c r="AC91" s="173"/>
      <c r="AD91" s="173"/>
      <c r="AE91" s="173"/>
      <c r="AF91" s="174"/>
      <c r="AG91" s="178"/>
      <c r="AH91" s="208" t="str">
        <v xml:space="preserve">  </v>
      </c>
      <c r="AI91" s="172"/>
      <c r="AJ91" s="173"/>
      <c r="AK91" s="173"/>
      <c r="AL91" s="173"/>
      <c r="AM91" s="173"/>
      <c r="AN91" s="174"/>
      <c r="AO91" s="178"/>
      <c r="AP91" s="208" t="str">
        <v xml:space="preserve">  </v>
      </c>
      <c r="AQ91" s="172"/>
      <c r="AR91" s="173"/>
      <c r="AS91" s="173"/>
      <c r="AT91" s="173"/>
      <c r="AU91" s="173"/>
      <c r="AV91" s="174"/>
    </row>
    <row r="92" spans="1:48">
      <c r="A92" s="204">
        <v>80</v>
      </c>
      <c r="B92" s="208" t="str">
        <f ca="1"/>
        <v xml:space="preserve">  </v>
      </c>
      <c r="C92" s="172"/>
      <c r="D92" s="173"/>
      <c r="E92" s="173"/>
      <c r="F92" s="173"/>
      <c r="G92" s="173"/>
      <c r="H92" s="174"/>
      <c r="J92" s="208" t="str">
        <v xml:space="preserve">  </v>
      </c>
      <c r="K92" s="172"/>
      <c r="L92" s="173"/>
      <c r="M92" s="173"/>
      <c r="N92" s="173"/>
      <c r="O92" s="173"/>
      <c r="P92" s="174"/>
      <c r="R92" s="208" t="str">
        <v xml:space="preserve">  </v>
      </c>
      <c r="S92" s="172"/>
      <c r="T92" s="173"/>
      <c r="U92" s="173"/>
      <c r="V92" s="173"/>
      <c r="W92" s="173"/>
      <c r="X92" s="174"/>
      <c r="Y92" s="178"/>
      <c r="Z92" s="208" t="str">
        <v xml:space="preserve">  </v>
      </c>
      <c r="AA92" s="172"/>
      <c r="AB92" s="173"/>
      <c r="AC92" s="173"/>
      <c r="AD92" s="173"/>
      <c r="AE92" s="173"/>
      <c r="AF92" s="174"/>
      <c r="AG92" s="178"/>
      <c r="AH92" s="208" t="str">
        <v xml:space="preserve">  </v>
      </c>
      <c r="AI92" s="172"/>
      <c r="AJ92" s="173"/>
      <c r="AK92" s="173"/>
      <c r="AL92" s="173"/>
      <c r="AM92" s="173"/>
      <c r="AN92" s="174"/>
      <c r="AO92" s="178"/>
      <c r="AP92" s="208" t="str">
        <v xml:space="preserve">  </v>
      </c>
      <c r="AQ92" s="172"/>
      <c r="AR92" s="173"/>
      <c r="AS92" s="173"/>
      <c r="AT92" s="173"/>
      <c r="AU92" s="173"/>
      <c r="AV92" s="174"/>
    </row>
    <row r="93" spans="1:48">
      <c r="A93" s="204">
        <v>81</v>
      </c>
      <c r="B93" s="208" t="str">
        <f ca="1"/>
        <v xml:space="preserve">  </v>
      </c>
      <c r="C93" s="172"/>
      <c r="D93" s="173"/>
      <c r="E93" s="173"/>
      <c r="F93" s="173"/>
      <c r="G93" s="173"/>
      <c r="H93" s="174"/>
      <c r="J93" s="208" t="str">
        <v xml:space="preserve">  </v>
      </c>
      <c r="K93" s="172"/>
      <c r="L93" s="173"/>
      <c r="M93" s="173"/>
      <c r="N93" s="173"/>
      <c r="O93" s="173"/>
      <c r="P93" s="174"/>
      <c r="R93" s="208" t="str">
        <v xml:space="preserve">  </v>
      </c>
      <c r="S93" s="172"/>
      <c r="T93" s="173"/>
      <c r="U93" s="173"/>
      <c r="V93" s="173"/>
      <c r="W93" s="173"/>
      <c r="X93" s="174"/>
      <c r="Y93" s="178"/>
      <c r="Z93" s="208" t="str">
        <v xml:space="preserve">  </v>
      </c>
      <c r="AA93" s="172"/>
      <c r="AB93" s="173"/>
      <c r="AC93" s="173"/>
      <c r="AD93" s="173"/>
      <c r="AE93" s="173"/>
      <c r="AF93" s="174"/>
      <c r="AG93" s="178"/>
      <c r="AH93" s="208" t="str">
        <v xml:space="preserve">  </v>
      </c>
      <c r="AI93" s="172"/>
      <c r="AJ93" s="173"/>
      <c r="AK93" s="173"/>
      <c r="AL93" s="173"/>
      <c r="AM93" s="173"/>
      <c r="AN93" s="174"/>
      <c r="AO93" s="178"/>
      <c r="AP93" s="208" t="str">
        <v xml:space="preserve">  </v>
      </c>
      <c r="AQ93" s="172"/>
      <c r="AR93" s="173"/>
      <c r="AS93" s="173"/>
      <c r="AT93" s="173"/>
      <c r="AU93" s="173"/>
      <c r="AV93" s="174"/>
    </row>
    <row r="94" spans="1:48">
      <c r="A94" s="204">
        <v>82</v>
      </c>
      <c r="B94" s="208" t="str">
        <f ca="1"/>
        <v xml:space="preserve">  </v>
      </c>
      <c r="C94" s="172"/>
      <c r="D94" s="173"/>
      <c r="E94" s="173"/>
      <c r="F94" s="173"/>
      <c r="G94" s="173"/>
      <c r="H94" s="174"/>
      <c r="J94" s="208" t="str">
        <v xml:space="preserve">  </v>
      </c>
      <c r="K94" s="172"/>
      <c r="L94" s="173"/>
      <c r="M94" s="173"/>
      <c r="N94" s="173"/>
      <c r="O94" s="173"/>
      <c r="P94" s="174"/>
      <c r="R94" s="208" t="str">
        <v xml:space="preserve">  </v>
      </c>
      <c r="S94" s="172"/>
      <c r="T94" s="173"/>
      <c r="U94" s="173"/>
      <c r="V94" s="173"/>
      <c r="W94" s="173"/>
      <c r="X94" s="174"/>
      <c r="Y94" s="178"/>
      <c r="Z94" s="208" t="str">
        <v xml:space="preserve">  </v>
      </c>
      <c r="AA94" s="172"/>
      <c r="AB94" s="173"/>
      <c r="AC94" s="173"/>
      <c r="AD94" s="173"/>
      <c r="AE94" s="173"/>
      <c r="AF94" s="174"/>
      <c r="AG94" s="178"/>
      <c r="AH94" s="208" t="str">
        <v xml:space="preserve">  </v>
      </c>
      <c r="AI94" s="172"/>
      <c r="AJ94" s="173"/>
      <c r="AK94" s="173"/>
      <c r="AL94" s="173"/>
      <c r="AM94" s="173"/>
      <c r="AN94" s="174"/>
      <c r="AO94" s="178"/>
      <c r="AP94" s="208" t="str">
        <v xml:space="preserve">  </v>
      </c>
      <c r="AQ94" s="172"/>
      <c r="AR94" s="173"/>
      <c r="AS94" s="173"/>
      <c r="AT94" s="173"/>
      <c r="AU94" s="173"/>
      <c r="AV94" s="174"/>
    </row>
    <row r="95" spans="1:48">
      <c r="A95" s="204">
        <v>83</v>
      </c>
      <c r="B95" s="208" t="str">
        <f ca="1"/>
        <v xml:space="preserve">  </v>
      </c>
      <c r="C95" s="172"/>
      <c r="D95" s="173"/>
      <c r="E95" s="173"/>
      <c r="F95" s="173"/>
      <c r="G95" s="173"/>
      <c r="H95" s="174"/>
      <c r="J95" s="208" t="str">
        <v xml:space="preserve">  </v>
      </c>
      <c r="K95" s="172"/>
      <c r="L95" s="173"/>
      <c r="M95" s="173"/>
      <c r="N95" s="173"/>
      <c r="O95" s="173"/>
      <c r="P95" s="174"/>
      <c r="R95" s="208" t="str">
        <v xml:space="preserve">  </v>
      </c>
      <c r="S95" s="172"/>
      <c r="T95" s="173"/>
      <c r="U95" s="173"/>
      <c r="V95" s="173"/>
      <c r="W95" s="173"/>
      <c r="X95" s="174"/>
      <c r="Y95" s="178"/>
      <c r="Z95" s="208" t="str">
        <v xml:space="preserve">  </v>
      </c>
      <c r="AA95" s="172"/>
      <c r="AB95" s="173"/>
      <c r="AC95" s="173"/>
      <c r="AD95" s="173"/>
      <c r="AE95" s="173"/>
      <c r="AF95" s="174"/>
      <c r="AG95" s="178"/>
      <c r="AH95" s="208" t="str">
        <v xml:space="preserve">  </v>
      </c>
      <c r="AI95" s="172"/>
      <c r="AJ95" s="173"/>
      <c r="AK95" s="173"/>
      <c r="AL95" s="173"/>
      <c r="AM95" s="173"/>
      <c r="AN95" s="174"/>
      <c r="AO95" s="178"/>
      <c r="AP95" s="208" t="str">
        <v xml:space="preserve">  </v>
      </c>
      <c r="AQ95" s="172"/>
      <c r="AR95" s="173"/>
      <c r="AS95" s="173"/>
      <c r="AT95" s="173"/>
      <c r="AU95" s="173"/>
      <c r="AV95" s="174"/>
    </row>
    <row r="96" spans="1:48">
      <c r="A96" s="204">
        <v>84</v>
      </c>
      <c r="B96" s="208" t="str">
        <f ca="1"/>
        <v xml:space="preserve">  </v>
      </c>
      <c r="C96" s="172"/>
      <c r="D96" s="173"/>
      <c r="E96" s="173"/>
      <c r="F96" s="173"/>
      <c r="G96" s="173"/>
      <c r="H96" s="174"/>
      <c r="J96" s="208" t="str">
        <v xml:space="preserve">  </v>
      </c>
      <c r="K96" s="172"/>
      <c r="L96" s="173"/>
      <c r="M96" s="173"/>
      <c r="N96" s="173"/>
      <c r="O96" s="173"/>
      <c r="P96" s="174"/>
      <c r="R96" s="208" t="str">
        <v xml:space="preserve">  </v>
      </c>
      <c r="S96" s="172"/>
      <c r="T96" s="173"/>
      <c r="U96" s="173"/>
      <c r="V96" s="173"/>
      <c r="W96" s="173"/>
      <c r="X96" s="174"/>
      <c r="Y96" s="178"/>
      <c r="Z96" s="208" t="str">
        <v xml:space="preserve">  </v>
      </c>
      <c r="AA96" s="172"/>
      <c r="AB96" s="173"/>
      <c r="AC96" s="173"/>
      <c r="AD96" s="173"/>
      <c r="AE96" s="173"/>
      <c r="AF96" s="174"/>
      <c r="AG96" s="178"/>
      <c r="AH96" s="208" t="str">
        <v xml:space="preserve">  </v>
      </c>
      <c r="AI96" s="172"/>
      <c r="AJ96" s="173"/>
      <c r="AK96" s="173"/>
      <c r="AL96" s="173"/>
      <c r="AM96" s="173"/>
      <c r="AN96" s="174"/>
      <c r="AO96" s="178"/>
      <c r="AP96" s="208" t="str">
        <v xml:space="preserve">  </v>
      </c>
      <c r="AQ96" s="172"/>
      <c r="AR96" s="173"/>
      <c r="AS96" s="173"/>
      <c r="AT96" s="173"/>
      <c r="AU96" s="173"/>
      <c r="AV96" s="174"/>
    </row>
    <row r="97" spans="1:48">
      <c r="A97" s="204">
        <v>85</v>
      </c>
      <c r="B97" s="208" t="str">
        <f ca="1"/>
        <v xml:space="preserve">  </v>
      </c>
      <c r="C97" s="172"/>
      <c r="D97" s="173"/>
      <c r="E97" s="173"/>
      <c r="F97" s="173"/>
      <c r="G97" s="173"/>
      <c r="H97" s="174"/>
      <c r="J97" s="208" t="str">
        <v xml:space="preserve">  </v>
      </c>
      <c r="K97" s="172"/>
      <c r="L97" s="173"/>
      <c r="M97" s="173"/>
      <c r="N97" s="173"/>
      <c r="O97" s="173"/>
      <c r="P97" s="174"/>
      <c r="R97" s="208" t="str">
        <v xml:space="preserve">  </v>
      </c>
      <c r="S97" s="172"/>
      <c r="T97" s="173"/>
      <c r="U97" s="173"/>
      <c r="V97" s="173"/>
      <c r="W97" s="173"/>
      <c r="X97" s="174"/>
      <c r="Y97" s="178"/>
      <c r="Z97" s="208" t="str">
        <v xml:space="preserve">  </v>
      </c>
      <c r="AA97" s="172"/>
      <c r="AB97" s="173"/>
      <c r="AC97" s="173"/>
      <c r="AD97" s="173"/>
      <c r="AE97" s="173"/>
      <c r="AF97" s="174"/>
      <c r="AG97" s="178"/>
      <c r="AH97" s="208" t="str">
        <v xml:space="preserve">  </v>
      </c>
      <c r="AI97" s="172"/>
      <c r="AJ97" s="173"/>
      <c r="AK97" s="173"/>
      <c r="AL97" s="173"/>
      <c r="AM97" s="173"/>
      <c r="AN97" s="174"/>
      <c r="AO97" s="178"/>
      <c r="AP97" s="208" t="str">
        <v xml:space="preserve">  </v>
      </c>
      <c r="AQ97" s="172"/>
      <c r="AR97" s="173"/>
      <c r="AS97" s="173"/>
      <c r="AT97" s="173"/>
      <c r="AU97" s="173"/>
      <c r="AV97" s="174"/>
    </row>
    <row r="98" spans="1:48">
      <c r="A98" s="204">
        <v>86</v>
      </c>
      <c r="B98" s="208" t="str">
        <f ca="1"/>
        <v xml:space="preserve">  </v>
      </c>
      <c r="C98" s="172"/>
      <c r="D98" s="173"/>
      <c r="E98" s="173"/>
      <c r="F98" s="173"/>
      <c r="G98" s="173"/>
      <c r="H98" s="174"/>
      <c r="J98" s="208" t="str">
        <v xml:space="preserve">  </v>
      </c>
      <c r="K98" s="172"/>
      <c r="L98" s="173"/>
      <c r="M98" s="173"/>
      <c r="N98" s="173"/>
      <c r="O98" s="173"/>
      <c r="P98" s="174"/>
      <c r="R98" s="208" t="str">
        <v xml:space="preserve">  </v>
      </c>
      <c r="S98" s="172"/>
      <c r="T98" s="173"/>
      <c r="U98" s="173"/>
      <c r="V98" s="173"/>
      <c r="W98" s="173"/>
      <c r="X98" s="174"/>
      <c r="Y98" s="178"/>
      <c r="Z98" s="208" t="str">
        <v xml:space="preserve">  </v>
      </c>
      <c r="AA98" s="172"/>
      <c r="AB98" s="173"/>
      <c r="AC98" s="173"/>
      <c r="AD98" s="173"/>
      <c r="AE98" s="173"/>
      <c r="AF98" s="174"/>
      <c r="AG98" s="178"/>
      <c r="AH98" s="208" t="str">
        <v xml:space="preserve">  </v>
      </c>
      <c r="AI98" s="172"/>
      <c r="AJ98" s="173"/>
      <c r="AK98" s="173"/>
      <c r="AL98" s="173"/>
      <c r="AM98" s="173"/>
      <c r="AN98" s="174"/>
      <c r="AO98" s="178"/>
      <c r="AP98" s="208" t="str">
        <v xml:space="preserve">  </v>
      </c>
      <c r="AQ98" s="172"/>
      <c r="AR98" s="173"/>
      <c r="AS98" s="173"/>
      <c r="AT98" s="173"/>
      <c r="AU98" s="173"/>
      <c r="AV98" s="174"/>
    </row>
    <row r="99" spans="1:48">
      <c r="A99" s="204">
        <v>87</v>
      </c>
      <c r="B99" s="208" t="str">
        <f ca="1"/>
        <v xml:space="preserve">  </v>
      </c>
      <c r="C99" s="172"/>
      <c r="D99" s="173"/>
      <c r="E99" s="173"/>
      <c r="F99" s="173"/>
      <c r="G99" s="173"/>
      <c r="H99" s="174"/>
      <c r="J99" s="208" t="str">
        <v xml:space="preserve">  </v>
      </c>
      <c r="K99" s="172"/>
      <c r="L99" s="173"/>
      <c r="M99" s="173"/>
      <c r="N99" s="173"/>
      <c r="O99" s="173"/>
      <c r="P99" s="174"/>
      <c r="R99" s="208" t="str">
        <v xml:space="preserve">  </v>
      </c>
      <c r="S99" s="172"/>
      <c r="T99" s="173"/>
      <c r="U99" s="173"/>
      <c r="V99" s="173"/>
      <c r="W99" s="173"/>
      <c r="X99" s="174"/>
      <c r="Y99" s="178"/>
      <c r="Z99" s="208" t="str">
        <v xml:space="preserve">  </v>
      </c>
      <c r="AA99" s="172"/>
      <c r="AB99" s="173"/>
      <c r="AC99" s="173"/>
      <c r="AD99" s="173"/>
      <c r="AE99" s="173"/>
      <c r="AF99" s="174"/>
      <c r="AG99" s="178"/>
      <c r="AH99" s="208" t="str">
        <v xml:space="preserve">  </v>
      </c>
      <c r="AI99" s="172"/>
      <c r="AJ99" s="173"/>
      <c r="AK99" s="173"/>
      <c r="AL99" s="173"/>
      <c r="AM99" s="173"/>
      <c r="AN99" s="174"/>
      <c r="AO99" s="178"/>
      <c r="AP99" s="208" t="str">
        <v xml:space="preserve">  </v>
      </c>
      <c r="AQ99" s="172"/>
      <c r="AR99" s="173"/>
      <c r="AS99" s="173"/>
      <c r="AT99" s="173"/>
      <c r="AU99" s="173"/>
      <c r="AV99" s="174"/>
    </row>
    <row r="100" spans="1:48">
      <c r="A100" s="204">
        <v>88</v>
      </c>
      <c r="B100" s="208" t="str">
        <f ca="1"/>
        <v xml:space="preserve">  </v>
      </c>
      <c r="C100" s="172"/>
      <c r="D100" s="173"/>
      <c r="E100" s="173"/>
      <c r="F100" s="173"/>
      <c r="G100" s="173"/>
      <c r="H100" s="174"/>
      <c r="J100" s="208" t="str">
        <v xml:space="preserve">  </v>
      </c>
      <c r="K100" s="172"/>
      <c r="L100" s="173"/>
      <c r="M100" s="173"/>
      <c r="N100" s="173"/>
      <c r="O100" s="173"/>
      <c r="P100" s="174"/>
      <c r="R100" s="208" t="str">
        <v xml:space="preserve">  </v>
      </c>
      <c r="S100" s="172"/>
      <c r="T100" s="173"/>
      <c r="U100" s="173"/>
      <c r="V100" s="173"/>
      <c r="W100" s="173"/>
      <c r="X100" s="174"/>
      <c r="Y100" s="178"/>
      <c r="Z100" s="208" t="str">
        <v xml:space="preserve">  </v>
      </c>
      <c r="AA100" s="172"/>
      <c r="AB100" s="173"/>
      <c r="AC100" s="173"/>
      <c r="AD100" s="173"/>
      <c r="AE100" s="173"/>
      <c r="AF100" s="174"/>
      <c r="AG100" s="178"/>
      <c r="AH100" s="208" t="str">
        <v xml:space="preserve">  </v>
      </c>
      <c r="AI100" s="172"/>
      <c r="AJ100" s="173"/>
      <c r="AK100" s="173"/>
      <c r="AL100" s="173"/>
      <c r="AM100" s="173"/>
      <c r="AN100" s="174"/>
      <c r="AO100" s="178"/>
      <c r="AP100" s="208" t="str">
        <v xml:space="preserve">  </v>
      </c>
      <c r="AQ100" s="172"/>
      <c r="AR100" s="173"/>
      <c r="AS100" s="173"/>
      <c r="AT100" s="173"/>
      <c r="AU100" s="173"/>
      <c r="AV100" s="174"/>
    </row>
    <row r="101" spans="1:48">
      <c r="A101" s="204">
        <v>89</v>
      </c>
      <c r="B101" s="208" t="str">
        <f ca="1"/>
        <v xml:space="preserve">  </v>
      </c>
      <c r="C101" s="172"/>
      <c r="D101" s="173"/>
      <c r="E101" s="173"/>
      <c r="F101" s="173"/>
      <c r="G101" s="173"/>
      <c r="H101" s="174"/>
      <c r="J101" s="208" t="str">
        <v xml:space="preserve">  </v>
      </c>
      <c r="K101" s="172"/>
      <c r="L101" s="173"/>
      <c r="M101" s="173"/>
      <c r="N101" s="173"/>
      <c r="O101" s="173"/>
      <c r="P101" s="174"/>
      <c r="R101" s="208" t="str">
        <v xml:space="preserve">  </v>
      </c>
      <c r="S101" s="172"/>
      <c r="T101" s="173"/>
      <c r="U101" s="173"/>
      <c r="V101" s="173"/>
      <c r="W101" s="173"/>
      <c r="X101" s="174"/>
      <c r="Y101" s="178"/>
      <c r="Z101" s="208" t="str">
        <v xml:space="preserve">  </v>
      </c>
      <c r="AA101" s="172"/>
      <c r="AB101" s="173"/>
      <c r="AC101" s="173"/>
      <c r="AD101" s="173"/>
      <c r="AE101" s="173"/>
      <c r="AF101" s="174"/>
      <c r="AG101" s="178"/>
      <c r="AH101" s="208" t="str">
        <v xml:space="preserve">  </v>
      </c>
      <c r="AI101" s="172"/>
      <c r="AJ101" s="173"/>
      <c r="AK101" s="173"/>
      <c r="AL101" s="173"/>
      <c r="AM101" s="173"/>
      <c r="AN101" s="174"/>
      <c r="AO101" s="178"/>
      <c r="AP101" s="208" t="str">
        <v xml:space="preserve">  </v>
      </c>
      <c r="AQ101" s="172"/>
      <c r="AR101" s="173"/>
      <c r="AS101" s="173"/>
      <c r="AT101" s="173"/>
      <c r="AU101" s="173"/>
      <c r="AV101" s="174"/>
    </row>
    <row r="102" spans="1:48">
      <c r="A102" s="204">
        <v>90</v>
      </c>
      <c r="B102" s="208" t="str">
        <f ca="1"/>
        <v xml:space="preserve">  </v>
      </c>
      <c r="C102" s="172"/>
      <c r="D102" s="173"/>
      <c r="E102" s="173"/>
      <c r="F102" s="173"/>
      <c r="G102" s="173"/>
      <c r="H102" s="174"/>
      <c r="J102" s="208" t="str">
        <v xml:space="preserve">  </v>
      </c>
      <c r="K102" s="172"/>
      <c r="L102" s="173"/>
      <c r="M102" s="173"/>
      <c r="N102" s="173"/>
      <c r="O102" s="173"/>
      <c r="P102" s="174"/>
      <c r="R102" s="208" t="str">
        <v xml:space="preserve">  </v>
      </c>
      <c r="S102" s="172"/>
      <c r="T102" s="173"/>
      <c r="U102" s="173"/>
      <c r="V102" s="173"/>
      <c r="W102" s="173"/>
      <c r="X102" s="174"/>
      <c r="Y102" s="178"/>
      <c r="Z102" s="208" t="str">
        <v xml:space="preserve">  </v>
      </c>
      <c r="AA102" s="172"/>
      <c r="AB102" s="173"/>
      <c r="AC102" s="173"/>
      <c r="AD102" s="173"/>
      <c r="AE102" s="173"/>
      <c r="AF102" s="174"/>
      <c r="AG102" s="178"/>
      <c r="AH102" s="208" t="str">
        <v xml:space="preserve">  </v>
      </c>
      <c r="AI102" s="172"/>
      <c r="AJ102" s="173"/>
      <c r="AK102" s="173"/>
      <c r="AL102" s="173"/>
      <c r="AM102" s="173"/>
      <c r="AN102" s="174"/>
      <c r="AO102" s="178"/>
      <c r="AP102" s="208" t="str">
        <v xml:space="preserve">  </v>
      </c>
      <c r="AQ102" s="172"/>
      <c r="AR102" s="173"/>
      <c r="AS102" s="173"/>
      <c r="AT102" s="173"/>
      <c r="AU102" s="173"/>
      <c r="AV102" s="174"/>
    </row>
    <row r="103" spans="1:48">
      <c r="A103" s="204">
        <v>91</v>
      </c>
      <c r="B103" s="208" t="str">
        <f ca="1"/>
        <v xml:space="preserve">  </v>
      </c>
      <c r="C103" s="172"/>
      <c r="D103" s="173"/>
      <c r="E103" s="173"/>
      <c r="F103" s="173"/>
      <c r="G103" s="173"/>
      <c r="H103" s="174"/>
      <c r="J103" s="208" t="str">
        <v xml:space="preserve">  </v>
      </c>
      <c r="K103" s="172"/>
      <c r="L103" s="173"/>
      <c r="M103" s="173"/>
      <c r="N103" s="173"/>
      <c r="O103" s="173"/>
      <c r="P103" s="174"/>
      <c r="R103" s="208" t="str">
        <v xml:space="preserve">  </v>
      </c>
      <c r="S103" s="172"/>
      <c r="T103" s="173"/>
      <c r="U103" s="173"/>
      <c r="V103" s="173"/>
      <c r="W103" s="173"/>
      <c r="X103" s="174"/>
      <c r="Y103" s="178"/>
      <c r="Z103" s="208" t="str">
        <v xml:space="preserve">  </v>
      </c>
      <c r="AA103" s="172"/>
      <c r="AB103" s="173"/>
      <c r="AC103" s="173"/>
      <c r="AD103" s="173"/>
      <c r="AE103" s="173"/>
      <c r="AF103" s="174"/>
      <c r="AG103" s="178"/>
      <c r="AH103" s="208" t="str">
        <v xml:space="preserve">  </v>
      </c>
      <c r="AI103" s="172"/>
      <c r="AJ103" s="173"/>
      <c r="AK103" s="173"/>
      <c r="AL103" s="173"/>
      <c r="AM103" s="173"/>
      <c r="AN103" s="174"/>
      <c r="AO103" s="178"/>
      <c r="AP103" s="208" t="str">
        <v xml:space="preserve">  </v>
      </c>
      <c r="AQ103" s="172"/>
      <c r="AR103" s="173"/>
      <c r="AS103" s="173"/>
      <c r="AT103" s="173"/>
      <c r="AU103" s="173"/>
      <c r="AV103" s="174"/>
    </row>
    <row r="104" spans="1:48">
      <c r="A104" s="204">
        <v>92</v>
      </c>
      <c r="B104" s="208" t="str">
        <f ca="1"/>
        <v xml:space="preserve">  </v>
      </c>
      <c r="C104" s="172"/>
      <c r="D104" s="173"/>
      <c r="E104" s="173"/>
      <c r="F104" s="173"/>
      <c r="G104" s="173"/>
      <c r="H104" s="174"/>
      <c r="J104" s="208" t="str">
        <v xml:space="preserve">  </v>
      </c>
      <c r="K104" s="172"/>
      <c r="L104" s="173"/>
      <c r="M104" s="173"/>
      <c r="N104" s="173"/>
      <c r="O104" s="173"/>
      <c r="P104" s="174"/>
      <c r="R104" s="208" t="str">
        <v xml:space="preserve">  </v>
      </c>
      <c r="S104" s="172"/>
      <c r="T104" s="173"/>
      <c r="U104" s="173"/>
      <c r="V104" s="173"/>
      <c r="W104" s="173"/>
      <c r="X104" s="174"/>
      <c r="Y104" s="178"/>
      <c r="Z104" s="208" t="str">
        <v xml:space="preserve">  </v>
      </c>
      <c r="AA104" s="172"/>
      <c r="AB104" s="173"/>
      <c r="AC104" s="173"/>
      <c r="AD104" s="173"/>
      <c r="AE104" s="173"/>
      <c r="AF104" s="174"/>
      <c r="AG104" s="178"/>
      <c r="AH104" s="208" t="str">
        <v xml:space="preserve">  </v>
      </c>
      <c r="AI104" s="172"/>
      <c r="AJ104" s="173"/>
      <c r="AK104" s="173"/>
      <c r="AL104" s="173"/>
      <c r="AM104" s="173"/>
      <c r="AN104" s="174"/>
      <c r="AO104" s="178"/>
      <c r="AP104" s="208" t="str">
        <v xml:space="preserve">  </v>
      </c>
      <c r="AQ104" s="172"/>
      <c r="AR104" s="173"/>
      <c r="AS104" s="173"/>
      <c r="AT104" s="173"/>
      <c r="AU104" s="173"/>
      <c r="AV104" s="174"/>
    </row>
    <row r="105" spans="1:48">
      <c r="A105" s="204">
        <v>93</v>
      </c>
      <c r="B105" s="208" t="str">
        <f ca="1"/>
        <v xml:space="preserve">  </v>
      </c>
      <c r="C105" s="172"/>
      <c r="D105" s="173"/>
      <c r="E105" s="173"/>
      <c r="F105" s="173"/>
      <c r="G105" s="173"/>
      <c r="H105" s="174"/>
      <c r="J105" s="208" t="str">
        <v xml:space="preserve">  </v>
      </c>
      <c r="K105" s="172"/>
      <c r="L105" s="173"/>
      <c r="M105" s="173"/>
      <c r="N105" s="173"/>
      <c r="O105" s="173"/>
      <c r="P105" s="174"/>
      <c r="R105" s="208" t="str">
        <v xml:space="preserve">  </v>
      </c>
      <c r="S105" s="172"/>
      <c r="T105" s="173"/>
      <c r="U105" s="173"/>
      <c r="V105" s="173"/>
      <c r="W105" s="173"/>
      <c r="X105" s="174"/>
      <c r="Y105" s="178"/>
      <c r="Z105" s="208" t="str">
        <v xml:space="preserve">  </v>
      </c>
      <c r="AA105" s="172"/>
      <c r="AB105" s="173"/>
      <c r="AC105" s="173"/>
      <c r="AD105" s="173"/>
      <c r="AE105" s="173"/>
      <c r="AF105" s="174"/>
      <c r="AG105" s="178"/>
      <c r="AH105" s="208" t="str">
        <v xml:space="preserve">  </v>
      </c>
      <c r="AI105" s="172"/>
      <c r="AJ105" s="173"/>
      <c r="AK105" s="173"/>
      <c r="AL105" s="173"/>
      <c r="AM105" s="173"/>
      <c r="AN105" s="174"/>
      <c r="AO105" s="178"/>
      <c r="AP105" s="208" t="str">
        <v xml:space="preserve">  </v>
      </c>
      <c r="AQ105" s="172"/>
      <c r="AR105" s="173"/>
      <c r="AS105" s="173"/>
      <c r="AT105" s="173"/>
      <c r="AU105" s="173"/>
      <c r="AV105" s="174"/>
    </row>
    <row r="106" spans="1:48">
      <c r="A106" s="204">
        <v>94</v>
      </c>
      <c r="B106" s="208" t="str">
        <f ca="1"/>
        <v xml:space="preserve">  </v>
      </c>
      <c r="C106" s="172"/>
      <c r="D106" s="173"/>
      <c r="E106" s="173"/>
      <c r="F106" s="173"/>
      <c r="G106" s="173"/>
      <c r="H106" s="174"/>
      <c r="J106" s="208" t="str">
        <v xml:space="preserve">  </v>
      </c>
      <c r="K106" s="172"/>
      <c r="L106" s="173"/>
      <c r="M106" s="173"/>
      <c r="N106" s="173"/>
      <c r="O106" s="173"/>
      <c r="P106" s="174"/>
      <c r="R106" s="208" t="str">
        <v xml:space="preserve">  </v>
      </c>
      <c r="S106" s="172"/>
      <c r="T106" s="173"/>
      <c r="U106" s="173"/>
      <c r="V106" s="173"/>
      <c r="W106" s="173"/>
      <c r="X106" s="174"/>
      <c r="Y106" s="178"/>
      <c r="Z106" s="208" t="str">
        <v xml:space="preserve">  </v>
      </c>
      <c r="AA106" s="172"/>
      <c r="AB106" s="173"/>
      <c r="AC106" s="173"/>
      <c r="AD106" s="173"/>
      <c r="AE106" s="173"/>
      <c r="AF106" s="174"/>
      <c r="AG106" s="178"/>
      <c r="AH106" s="208" t="str">
        <v xml:space="preserve">  </v>
      </c>
      <c r="AI106" s="172"/>
      <c r="AJ106" s="173"/>
      <c r="AK106" s="173"/>
      <c r="AL106" s="173"/>
      <c r="AM106" s="173"/>
      <c r="AN106" s="174"/>
      <c r="AO106" s="178"/>
      <c r="AP106" s="208" t="str">
        <v xml:space="preserve">  </v>
      </c>
      <c r="AQ106" s="172"/>
      <c r="AR106" s="173"/>
      <c r="AS106" s="173"/>
      <c r="AT106" s="173"/>
      <c r="AU106" s="173"/>
      <c r="AV106" s="174"/>
    </row>
    <row r="107" spans="1:48">
      <c r="A107" s="204">
        <v>95</v>
      </c>
      <c r="B107" s="208" t="str">
        <f ca="1"/>
        <v xml:space="preserve">  </v>
      </c>
      <c r="C107" s="172"/>
      <c r="D107" s="173"/>
      <c r="E107" s="173"/>
      <c r="F107" s="173"/>
      <c r="G107" s="173"/>
      <c r="H107" s="174"/>
      <c r="J107" s="208" t="str">
        <v xml:space="preserve">  </v>
      </c>
      <c r="K107" s="172"/>
      <c r="L107" s="173"/>
      <c r="M107" s="173"/>
      <c r="N107" s="173"/>
      <c r="O107" s="173"/>
      <c r="P107" s="174"/>
      <c r="R107" s="208" t="str">
        <v xml:space="preserve">  </v>
      </c>
      <c r="S107" s="172"/>
      <c r="T107" s="173"/>
      <c r="U107" s="173"/>
      <c r="V107" s="173"/>
      <c r="W107" s="173"/>
      <c r="X107" s="174"/>
      <c r="Y107" s="178"/>
      <c r="Z107" s="208" t="str">
        <v xml:space="preserve">  </v>
      </c>
      <c r="AA107" s="172"/>
      <c r="AB107" s="173"/>
      <c r="AC107" s="173"/>
      <c r="AD107" s="173"/>
      <c r="AE107" s="173"/>
      <c r="AF107" s="174"/>
      <c r="AG107" s="178"/>
      <c r="AH107" s="208" t="str">
        <v xml:space="preserve">  </v>
      </c>
      <c r="AI107" s="172"/>
      <c r="AJ107" s="173"/>
      <c r="AK107" s="173"/>
      <c r="AL107" s="173"/>
      <c r="AM107" s="173"/>
      <c r="AN107" s="174"/>
      <c r="AO107" s="178"/>
      <c r="AP107" s="208" t="str">
        <v xml:space="preserve">  </v>
      </c>
      <c r="AQ107" s="172"/>
      <c r="AR107" s="173"/>
      <c r="AS107" s="173"/>
      <c r="AT107" s="173"/>
      <c r="AU107" s="173"/>
      <c r="AV107" s="174"/>
    </row>
    <row r="108" spans="1:48">
      <c r="A108" s="204">
        <v>96</v>
      </c>
      <c r="B108" s="208" t="str">
        <f ca="1"/>
        <v xml:space="preserve">  </v>
      </c>
      <c r="C108" s="172"/>
      <c r="D108" s="173"/>
      <c r="E108" s="173"/>
      <c r="F108" s="173"/>
      <c r="G108" s="173"/>
      <c r="H108" s="174"/>
      <c r="J108" s="208" t="str">
        <v xml:space="preserve">  </v>
      </c>
      <c r="K108" s="172"/>
      <c r="L108" s="173"/>
      <c r="M108" s="173"/>
      <c r="N108" s="173"/>
      <c r="O108" s="173"/>
      <c r="P108" s="174"/>
      <c r="R108" s="208" t="str">
        <v xml:space="preserve">  </v>
      </c>
      <c r="S108" s="172"/>
      <c r="T108" s="173"/>
      <c r="U108" s="173"/>
      <c r="V108" s="173"/>
      <c r="W108" s="173"/>
      <c r="X108" s="174"/>
      <c r="Y108" s="178"/>
      <c r="Z108" s="208" t="str">
        <v xml:space="preserve">  </v>
      </c>
      <c r="AA108" s="172"/>
      <c r="AB108" s="173"/>
      <c r="AC108" s="173"/>
      <c r="AD108" s="173"/>
      <c r="AE108" s="173"/>
      <c r="AF108" s="174"/>
      <c r="AG108" s="178"/>
      <c r="AH108" s="208" t="str">
        <v xml:space="preserve">  </v>
      </c>
      <c r="AI108" s="172"/>
      <c r="AJ108" s="173"/>
      <c r="AK108" s="173"/>
      <c r="AL108" s="173"/>
      <c r="AM108" s="173"/>
      <c r="AN108" s="174"/>
      <c r="AO108" s="178"/>
      <c r="AP108" s="208" t="str">
        <v xml:space="preserve">  </v>
      </c>
      <c r="AQ108" s="172"/>
      <c r="AR108" s="173"/>
      <c r="AS108" s="173"/>
      <c r="AT108" s="173"/>
      <c r="AU108" s="173"/>
      <c r="AV108" s="174"/>
    </row>
    <row r="109" spans="1:48">
      <c r="A109" s="204">
        <v>97</v>
      </c>
      <c r="B109" s="208" t="str">
        <f ca="1"/>
        <v xml:space="preserve">  </v>
      </c>
      <c r="C109" s="172"/>
      <c r="D109" s="173"/>
      <c r="E109" s="173"/>
      <c r="F109" s="173"/>
      <c r="G109" s="173"/>
      <c r="H109" s="174"/>
      <c r="J109" s="208" t="str">
        <v xml:space="preserve">  </v>
      </c>
      <c r="K109" s="172"/>
      <c r="L109" s="173"/>
      <c r="M109" s="173"/>
      <c r="N109" s="173"/>
      <c r="O109" s="173"/>
      <c r="P109" s="174"/>
      <c r="R109" s="208" t="str">
        <v xml:space="preserve">  </v>
      </c>
      <c r="S109" s="172"/>
      <c r="T109" s="173"/>
      <c r="U109" s="173"/>
      <c r="V109" s="173"/>
      <c r="W109" s="173"/>
      <c r="X109" s="174"/>
      <c r="Y109" s="178"/>
      <c r="Z109" s="208" t="str">
        <v xml:space="preserve">  </v>
      </c>
      <c r="AA109" s="172"/>
      <c r="AB109" s="173"/>
      <c r="AC109" s="173"/>
      <c r="AD109" s="173"/>
      <c r="AE109" s="173"/>
      <c r="AF109" s="174"/>
      <c r="AG109" s="178"/>
      <c r="AH109" s="208" t="str">
        <v xml:space="preserve">  </v>
      </c>
      <c r="AI109" s="172"/>
      <c r="AJ109" s="173"/>
      <c r="AK109" s="173"/>
      <c r="AL109" s="173"/>
      <c r="AM109" s="173"/>
      <c r="AN109" s="174"/>
      <c r="AO109" s="178"/>
      <c r="AP109" s="208" t="str">
        <v xml:space="preserve">  </v>
      </c>
      <c r="AQ109" s="172"/>
      <c r="AR109" s="173"/>
      <c r="AS109" s="173"/>
      <c r="AT109" s="173"/>
      <c r="AU109" s="173"/>
      <c r="AV109" s="174"/>
    </row>
    <row r="110" spans="1:48">
      <c r="A110" s="204">
        <v>98</v>
      </c>
      <c r="B110" s="208" t="str">
        <f ca="1"/>
        <v xml:space="preserve">  </v>
      </c>
      <c r="C110" s="172"/>
      <c r="D110" s="173"/>
      <c r="E110" s="173"/>
      <c r="F110" s="173"/>
      <c r="G110" s="173"/>
      <c r="H110" s="174"/>
      <c r="J110" s="208" t="str">
        <v xml:space="preserve">  </v>
      </c>
      <c r="K110" s="172"/>
      <c r="L110" s="173"/>
      <c r="M110" s="173"/>
      <c r="N110" s="173"/>
      <c r="O110" s="173"/>
      <c r="P110" s="174"/>
      <c r="R110" s="208" t="str">
        <v xml:space="preserve">  </v>
      </c>
      <c r="S110" s="172"/>
      <c r="T110" s="173"/>
      <c r="U110" s="173"/>
      <c r="V110" s="173"/>
      <c r="W110" s="173"/>
      <c r="X110" s="174"/>
      <c r="Y110" s="178"/>
      <c r="Z110" s="208" t="str">
        <v xml:space="preserve">  </v>
      </c>
      <c r="AA110" s="172"/>
      <c r="AB110" s="173"/>
      <c r="AC110" s="173"/>
      <c r="AD110" s="173"/>
      <c r="AE110" s="173"/>
      <c r="AF110" s="174"/>
      <c r="AG110" s="178"/>
      <c r="AH110" s="208" t="str">
        <v xml:space="preserve">  </v>
      </c>
      <c r="AI110" s="172"/>
      <c r="AJ110" s="173"/>
      <c r="AK110" s="173"/>
      <c r="AL110" s="173"/>
      <c r="AM110" s="173"/>
      <c r="AN110" s="174"/>
      <c r="AO110" s="178"/>
      <c r="AP110" s="208" t="str">
        <v xml:space="preserve">  </v>
      </c>
      <c r="AQ110" s="172"/>
      <c r="AR110" s="173"/>
      <c r="AS110" s="173"/>
      <c r="AT110" s="173"/>
      <c r="AU110" s="173"/>
      <c r="AV110" s="174"/>
    </row>
    <row r="111" spans="1:48">
      <c r="A111" s="204">
        <v>99</v>
      </c>
      <c r="B111" s="208" t="str">
        <f ca="1"/>
        <v xml:space="preserve">  </v>
      </c>
      <c r="C111" s="172"/>
      <c r="D111" s="173"/>
      <c r="E111" s="173"/>
      <c r="F111" s="173"/>
      <c r="G111" s="173"/>
      <c r="H111" s="174"/>
      <c r="J111" s="208" t="str">
        <v xml:space="preserve">  </v>
      </c>
      <c r="K111" s="172"/>
      <c r="L111" s="173"/>
      <c r="M111" s="173"/>
      <c r="N111" s="173"/>
      <c r="O111" s="173"/>
      <c r="P111" s="174"/>
      <c r="R111" s="208" t="str">
        <v xml:space="preserve">  </v>
      </c>
      <c r="S111" s="172"/>
      <c r="T111" s="173"/>
      <c r="U111" s="173"/>
      <c r="V111" s="173"/>
      <c r="W111" s="173"/>
      <c r="X111" s="174"/>
      <c r="Y111" s="178"/>
      <c r="Z111" s="208" t="str">
        <v xml:space="preserve">  </v>
      </c>
      <c r="AA111" s="172"/>
      <c r="AB111" s="173"/>
      <c r="AC111" s="173"/>
      <c r="AD111" s="173"/>
      <c r="AE111" s="173"/>
      <c r="AF111" s="174"/>
      <c r="AG111" s="178"/>
      <c r="AH111" s="208" t="str">
        <v xml:space="preserve">  </v>
      </c>
      <c r="AI111" s="172"/>
      <c r="AJ111" s="173"/>
      <c r="AK111" s="173"/>
      <c r="AL111" s="173"/>
      <c r="AM111" s="173"/>
      <c r="AN111" s="174"/>
      <c r="AO111" s="178"/>
      <c r="AP111" s="208" t="str">
        <v xml:space="preserve">  </v>
      </c>
      <c r="AQ111" s="172"/>
      <c r="AR111" s="173"/>
      <c r="AS111" s="173"/>
      <c r="AT111" s="173"/>
      <c r="AU111" s="173"/>
      <c r="AV111" s="174"/>
    </row>
    <row r="112" spans="1:48">
      <c r="A112" s="204">
        <v>100</v>
      </c>
      <c r="B112" s="209" t="str">
        <f ca="1"/>
        <v xml:space="preserve">  </v>
      </c>
      <c r="C112" s="179"/>
      <c r="D112" s="180"/>
      <c r="E112" s="180"/>
      <c r="F112" s="180"/>
      <c r="G112" s="180"/>
      <c r="H112" s="181"/>
      <c r="J112" s="209" t="str">
        <v xml:space="preserve">  </v>
      </c>
      <c r="K112" s="179"/>
      <c r="L112" s="180"/>
      <c r="M112" s="180"/>
      <c r="N112" s="180"/>
      <c r="O112" s="180"/>
      <c r="P112" s="181"/>
      <c r="R112" s="209" t="str">
        <v xml:space="preserve">  </v>
      </c>
      <c r="S112" s="179"/>
      <c r="T112" s="180"/>
      <c r="U112" s="180"/>
      <c r="V112" s="180"/>
      <c r="W112" s="180"/>
      <c r="X112" s="181"/>
      <c r="Y112" s="178"/>
      <c r="Z112" s="209" t="str">
        <v xml:space="preserve">  </v>
      </c>
      <c r="AA112" s="179"/>
      <c r="AB112" s="180"/>
      <c r="AC112" s="180"/>
      <c r="AD112" s="180"/>
      <c r="AE112" s="180"/>
      <c r="AF112" s="181"/>
      <c r="AG112" s="178"/>
      <c r="AH112" s="209" t="str">
        <v xml:space="preserve">  </v>
      </c>
      <c r="AI112" s="179"/>
      <c r="AJ112" s="180"/>
      <c r="AK112" s="180"/>
      <c r="AL112" s="180"/>
      <c r="AM112" s="180"/>
      <c r="AN112" s="181"/>
      <c r="AO112" s="178"/>
      <c r="AP112" s="209" t="str">
        <v xml:space="preserve">  </v>
      </c>
      <c r="AQ112" s="179"/>
      <c r="AR112" s="180"/>
      <c r="AS112" s="180"/>
      <c r="AT112" s="180"/>
      <c r="AU112" s="180"/>
      <c r="AV112" s="181"/>
    </row>
    <row r="113" spans="1:48">
      <c r="A113" s="151" t="s">
        <v>12</v>
      </c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H113" s="151" t="s">
        <v>12</v>
      </c>
      <c r="I113" s="151" t="s">
        <v>12</v>
      </c>
      <c r="J113" s="151" t="s">
        <v>12</v>
      </c>
      <c r="K113" s="151" t="s">
        <v>12</v>
      </c>
      <c r="L113" s="151" t="s">
        <v>12</v>
      </c>
      <c r="M113" s="151" t="s">
        <v>12</v>
      </c>
      <c r="N113" s="151" t="s">
        <v>12</v>
      </c>
      <c r="O113" s="151" t="s">
        <v>12</v>
      </c>
      <c r="P113" s="151" t="s">
        <v>12</v>
      </c>
      <c r="Q113" s="151" t="s">
        <v>12</v>
      </c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X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E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L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  <c r="AS113" s="151" t="s">
        <v>12</v>
      </c>
      <c r="AT113" s="151" t="s">
        <v>12</v>
      </c>
      <c r="AU113" s="151" t="s">
        <v>12</v>
      </c>
      <c r="AV113" s="151" t="s">
        <v>12</v>
      </c>
    </row>
    <row r="116" spans="1:48">
      <c r="C116" s="185"/>
      <c r="D116" s="185"/>
      <c r="E116" s="185"/>
      <c r="F116" s="185"/>
      <c r="G116" s="185"/>
      <c r="H116" s="185"/>
      <c r="I116" s="185"/>
      <c r="J116" s="185"/>
      <c r="Q116" s="160"/>
      <c r="R116" s="160"/>
      <c r="S116" s="155"/>
      <c r="Y116" s="155"/>
      <c r="Z116" s="155"/>
      <c r="AA116" s="155"/>
      <c r="AB116" s="155"/>
      <c r="AC116" s="155"/>
      <c r="AD116" s="155"/>
      <c r="AE116" s="155"/>
      <c r="AF116" s="155"/>
      <c r="AG116" s="155"/>
      <c r="AH116" s="155"/>
      <c r="AI116" s="155"/>
      <c r="AJ116" s="155"/>
      <c r="AK116" s="155"/>
      <c r="AL116" s="155"/>
      <c r="AM116" s="155"/>
      <c r="AN116" s="160"/>
      <c r="AO116" s="155"/>
      <c r="AP116" s="155"/>
      <c r="AQ116" s="155"/>
      <c r="AR116" s="155"/>
      <c r="AS116" s="155"/>
      <c r="AT116" s="155"/>
      <c r="AU116" s="155"/>
      <c r="AV116" s="160"/>
    </row>
    <row r="117" spans="1:48">
      <c r="C117" s="160" t="s">
        <v>485</v>
      </c>
      <c r="D117" s="160"/>
      <c r="E117" s="160"/>
      <c r="F117" s="160"/>
      <c r="G117" s="160"/>
      <c r="H117" s="160"/>
      <c r="I117" s="160"/>
      <c r="J117" s="160"/>
      <c r="K117" s="160" t="s">
        <v>2185</v>
      </c>
      <c r="Q117" s="160"/>
      <c r="R117" s="160"/>
      <c r="S117" s="160" t="s">
        <v>486</v>
      </c>
      <c r="T117" s="160"/>
      <c r="U117" s="160"/>
      <c r="V117" s="160"/>
      <c r="W117" s="160"/>
      <c r="X117" s="160"/>
      <c r="Y117" s="160"/>
      <c r="Z117" s="160"/>
      <c r="AA117" s="160" t="s">
        <v>487</v>
      </c>
      <c r="AB117" s="160"/>
      <c r="AC117" s="160"/>
      <c r="AD117" s="160"/>
      <c r="AE117" s="160"/>
      <c r="AF117" s="160"/>
      <c r="AG117" s="160"/>
      <c r="AH117" s="160"/>
      <c r="AI117" s="160" t="s">
        <v>488</v>
      </c>
      <c r="AJ117" s="160"/>
      <c r="AK117" s="160"/>
      <c r="AL117" s="160"/>
      <c r="AM117" s="160"/>
      <c r="AN117" s="160"/>
      <c r="AO117" s="160"/>
      <c r="AP117" s="160"/>
      <c r="AQ117" s="160" t="s">
        <v>489</v>
      </c>
      <c r="AR117" s="160"/>
      <c r="AS117" s="160"/>
      <c r="AT117" s="160"/>
      <c r="AU117" s="160"/>
    </row>
    <row r="119" spans="1:48">
      <c r="B119" s="162" t="s">
        <v>380</v>
      </c>
      <c r="C119" s="162" t="s">
        <v>376</v>
      </c>
      <c r="D119" s="162" t="s">
        <v>377</v>
      </c>
      <c r="E119" s="162" t="s">
        <v>378</v>
      </c>
      <c r="F119" s="162" t="s">
        <v>907</v>
      </c>
      <c r="G119" s="162" t="s">
        <v>890</v>
      </c>
      <c r="H119" s="162" t="s">
        <v>379</v>
      </c>
      <c r="J119" s="162" t="s">
        <v>380</v>
      </c>
      <c r="K119" s="162" t="s">
        <v>376</v>
      </c>
      <c r="L119" s="162" t="s">
        <v>377</v>
      </c>
      <c r="M119" s="162" t="s">
        <v>378</v>
      </c>
      <c r="N119" s="162" t="s">
        <v>907</v>
      </c>
      <c r="O119" s="162" t="s">
        <v>890</v>
      </c>
      <c r="P119" s="162" t="s">
        <v>379</v>
      </c>
      <c r="R119" s="162" t="s">
        <v>380</v>
      </c>
      <c r="S119" s="162" t="s">
        <v>376</v>
      </c>
      <c r="T119" s="162" t="s">
        <v>377</v>
      </c>
      <c r="U119" s="162" t="s">
        <v>378</v>
      </c>
      <c r="V119" s="162" t="s">
        <v>907</v>
      </c>
      <c r="W119" s="162" t="s">
        <v>890</v>
      </c>
      <c r="X119" s="162" t="s">
        <v>379</v>
      </c>
      <c r="Y119" s="159"/>
      <c r="Z119" s="162" t="s">
        <v>380</v>
      </c>
      <c r="AA119" s="162" t="s">
        <v>376</v>
      </c>
      <c r="AB119" s="162" t="s">
        <v>377</v>
      </c>
      <c r="AC119" s="162" t="s">
        <v>378</v>
      </c>
      <c r="AD119" s="162" t="s">
        <v>907</v>
      </c>
      <c r="AE119" s="162" t="s">
        <v>890</v>
      </c>
      <c r="AF119" s="162" t="s">
        <v>379</v>
      </c>
      <c r="AG119" s="159"/>
      <c r="AH119" s="162" t="s">
        <v>380</v>
      </c>
      <c r="AI119" s="162" t="s">
        <v>376</v>
      </c>
      <c r="AJ119" s="162" t="s">
        <v>377</v>
      </c>
      <c r="AK119" s="162" t="s">
        <v>378</v>
      </c>
      <c r="AL119" s="162" t="s">
        <v>907</v>
      </c>
      <c r="AM119" s="162" t="s">
        <v>890</v>
      </c>
      <c r="AN119" s="162" t="s">
        <v>379</v>
      </c>
      <c r="AO119" s="159"/>
      <c r="AP119" s="162" t="s">
        <v>380</v>
      </c>
      <c r="AQ119" s="162" t="s">
        <v>376</v>
      </c>
      <c r="AR119" s="162" t="s">
        <v>377</v>
      </c>
      <c r="AS119" s="162" t="s">
        <v>378</v>
      </c>
      <c r="AT119" s="162" t="s">
        <v>907</v>
      </c>
      <c r="AU119" s="162" t="s">
        <v>890</v>
      </c>
      <c r="AV119" s="162" t="s">
        <v>379</v>
      </c>
    </row>
    <row r="120" spans="1:48">
      <c r="A120" s="204">
        <v>1</v>
      </c>
      <c r="B120" s="207" t="str">
        <f t="array" ref="B120:B219">getAllTickers(C120:H219,100)</f>
        <v>EONIA ICPL Index</v>
      </c>
      <c r="C120" s="163" t="s">
        <v>496</v>
      </c>
      <c r="D120" s="164" t="s">
        <v>392</v>
      </c>
      <c r="E120" s="164" t="s">
        <v>388</v>
      </c>
      <c r="F120" s="164" t="s">
        <v>189</v>
      </c>
      <c r="G120" s="164" t="s">
        <v>70</v>
      </c>
      <c r="H120" s="165" t="b">
        <v>1</v>
      </c>
      <c r="J120" s="207" t="str">
        <f t="array" ref="J120:J219">getAllTickers(K120:P219,100)</f>
        <v>EUR006M ICPL Index</v>
      </c>
      <c r="K120" s="163" t="s">
        <v>497</v>
      </c>
      <c r="L120" s="164" t="s">
        <v>392</v>
      </c>
      <c r="M120" s="164" t="s">
        <v>388</v>
      </c>
      <c r="N120" s="164" t="s">
        <v>892</v>
      </c>
      <c r="O120" s="164" t="s">
        <v>22</v>
      </c>
      <c r="P120" s="165" t="b">
        <v>1</v>
      </c>
      <c r="R120" s="207" t="str">
        <f t="array" ref="R120:R219">getAllTickers(S120:X219,100)</f>
        <v>EUBSV1 CMPN Curncy</v>
      </c>
      <c r="S120" s="163" t="s">
        <v>498</v>
      </c>
      <c r="T120" s="164" t="s">
        <v>395</v>
      </c>
      <c r="U120" s="164" t="s">
        <v>393</v>
      </c>
      <c r="V120" s="164" t="s">
        <v>909</v>
      </c>
      <c r="W120" s="164" t="s">
        <v>154</v>
      </c>
      <c r="X120" s="165" t="b">
        <v>1</v>
      </c>
      <c r="Y120" s="159"/>
      <c r="Z120" s="207" t="str">
        <f t="array" ref="Z120:Z219">getAllTickers(AA120:AF219,100)</f>
        <v>EUBSA1 TRPU Curncy</v>
      </c>
      <c r="AA120" s="163" t="s">
        <v>499</v>
      </c>
      <c r="AB120" s="164" t="s">
        <v>912</v>
      </c>
      <c r="AC120" s="164" t="s">
        <v>393</v>
      </c>
      <c r="AD120" s="164" t="s">
        <v>909</v>
      </c>
      <c r="AE120" s="164" t="s">
        <v>154</v>
      </c>
      <c r="AF120" s="165" t="b">
        <v>1</v>
      </c>
      <c r="AH120" s="207" t="str">
        <f t="array" ref="AH120:AH219">getAllTickers(AI120:AN219,100)</f>
        <v>EUBSS1 ICPL Curncy</v>
      </c>
      <c r="AI120" s="163" t="s">
        <v>500</v>
      </c>
      <c r="AJ120" s="164" t="s">
        <v>392</v>
      </c>
      <c r="AK120" s="164" t="s">
        <v>393</v>
      </c>
      <c r="AL120" s="164" t="s">
        <v>909</v>
      </c>
      <c r="AM120" s="164" t="s">
        <v>154</v>
      </c>
      <c r="AN120" s="165" t="b">
        <v>1</v>
      </c>
      <c r="AP120" s="207" t="str">
        <f t="array" ref="AP120:AP219">getAllTickers(AQ120:AV219,100)</f>
        <v>EUBS1 ICPL Curncy</v>
      </c>
      <c r="AQ120" s="163" t="s">
        <v>501</v>
      </c>
      <c r="AR120" s="164" t="s">
        <v>392</v>
      </c>
      <c r="AS120" s="164" t="s">
        <v>393</v>
      </c>
      <c r="AT120" s="164" t="s">
        <v>910</v>
      </c>
      <c r="AU120" s="164" t="s">
        <v>154</v>
      </c>
      <c r="AV120" s="165" t="b">
        <v>1</v>
      </c>
    </row>
    <row r="121" spans="1:48">
      <c r="A121" s="204">
        <v>2</v>
      </c>
      <c r="B121" s="208" t="str">
        <v>EUSF1A ICPL Curncy</v>
      </c>
      <c r="C121" s="172" t="s">
        <v>914</v>
      </c>
      <c r="D121" s="173" t="s">
        <v>392</v>
      </c>
      <c r="E121" s="173" t="s">
        <v>393</v>
      </c>
      <c r="F121" s="173" t="s">
        <v>934</v>
      </c>
      <c r="G121" s="173" t="s">
        <v>914</v>
      </c>
      <c r="H121" s="174" t="b">
        <v>1</v>
      </c>
      <c r="J121" s="208" t="str">
        <v>EUFR0AG ICPL Curncy</v>
      </c>
      <c r="K121" s="172" t="s">
        <v>503</v>
      </c>
      <c r="L121" s="173" t="s">
        <v>392</v>
      </c>
      <c r="M121" s="173" t="s">
        <v>393</v>
      </c>
      <c r="N121" s="173" t="s">
        <v>508</v>
      </c>
      <c r="O121" s="173" t="s">
        <v>69</v>
      </c>
      <c r="P121" s="174" t="b">
        <v>0</v>
      </c>
      <c r="R121" s="208" t="str">
        <v>EUBSV2 CMPN Curncy</v>
      </c>
      <c r="S121" s="172" t="s">
        <v>504</v>
      </c>
      <c r="T121" s="173" t="s">
        <v>395</v>
      </c>
      <c r="U121" s="173" t="s">
        <v>393</v>
      </c>
      <c r="V121" s="173" t="s">
        <v>909</v>
      </c>
      <c r="W121" s="173" t="s">
        <v>40</v>
      </c>
      <c r="X121" s="174" t="b">
        <v>1</v>
      </c>
      <c r="Y121" s="159"/>
      <c r="Z121" s="208" t="str">
        <v>EUBSA2 TRPU Curncy</v>
      </c>
      <c r="AA121" s="172" t="s">
        <v>505</v>
      </c>
      <c r="AB121" s="173" t="s">
        <v>912</v>
      </c>
      <c r="AC121" s="173" t="s">
        <v>393</v>
      </c>
      <c r="AD121" s="173" t="s">
        <v>909</v>
      </c>
      <c r="AE121" s="173" t="s">
        <v>40</v>
      </c>
      <c r="AF121" s="174" t="b">
        <v>1</v>
      </c>
      <c r="AH121" s="208" t="str">
        <v>EUBSS2 ICPL Curncy</v>
      </c>
      <c r="AI121" s="172" t="s">
        <v>506</v>
      </c>
      <c r="AJ121" s="173" t="s">
        <v>392</v>
      </c>
      <c r="AK121" s="173" t="s">
        <v>393</v>
      </c>
      <c r="AL121" s="173" t="s">
        <v>909</v>
      </c>
      <c r="AM121" s="173" t="s">
        <v>40</v>
      </c>
      <c r="AN121" s="174" t="b">
        <v>1</v>
      </c>
      <c r="AP121" s="208" t="str">
        <v>EUBS2 ICPL Curncy</v>
      </c>
      <c r="AQ121" s="172" t="s">
        <v>507</v>
      </c>
      <c r="AR121" s="173" t="s">
        <v>392</v>
      </c>
      <c r="AS121" s="173" t="s">
        <v>393</v>
      </c>
      <c r="AT121" s="173" t="s">
        <v>910</v>
      </c>
      <c r="AU121" s="173" t="s">
        <v>40</v>
      </c>
      <c r="AV121" s="174" t="b">
        <v>1</v>
      </c>
    </row>
    <row r="122" spans="1:48">
      <c r="A122" s="204">
        <v>3</v>
      </c>
      <c r="B122" s="208" t="str">
        <v>EUSF2A ICPL Curncy</v>
      </c>
      <c r="C122" s="172" t="s">
        <v>915</v>
      </c>
      <c r="D122" s="173" t="s">
        <v>392</v>
      </c>
      <c r="E122" s="173" t="s">
        <v>393</v>
      </c>
      <c r="F122" s="173" t="s">
        <v>934</v>
      </c>
      <c r="G122" s="173" t="s">
        <v>915</v>
      </c>
      <c r="H122" s="174" t="b">
        <v>1</v>
      </c>
      <c r="J122" s="208" t="str">
        <v>EUFR0BH ICPL Curncy</v>
      </c>
      <c r="K122" s="172" t="s">
        <v>510</v>
      </c>
      <c r="L122" s="173" t="s">
        <v>392</v>
      </c>
      <c r="M122" s="173" t="s">
        <v>393</v>
      </c>
      <c r="N122" s="173" t="s">
        <v>508</v>
      </c>
      <c r="O122" s="173" t="s">
        <v>66</v>
      </c>
      <c r="P122" s="174" t="b">
        <v>1</v>
      </c>
      <c r="R122" s="208" t="str">
        <v>EUBSV3 CMPN Curncy</v>
      </c>
      <c r="S122" s="172" t="s">
        <v>511</v>
      </c>
      <c r="T122" s="173" t="s">
        <v>395</v>
      </c>
      <c r="U122" s="173" t="s">
        <v>393</v>
      </c>
      <c r="V122" s="173" t="s">
        <v>909</v>
      </c>
      <c r="W122" s="173" t="s">
        <v>37</v>
      </c>
      <c r="X122" s="174" t="b">
        <v>1</v>
      </c>
      <c r="Y122" s="159"/>
      <c r="Z122" s="208" t="str">
        <v>EUBSA3 TRPU Curncy</v>
      </c>
      <c r="AA122" s="172" t="s">
        <v>512</v>
      </c>
      <c r="AB122" s="173" t="s">
        <v>912</v>
      </c>
      <c r="AC122" s="173" t="s">
        <v>393</v>
      </c>
      <c r="AD122" s="173" t="s">
        <v>909</v>
      </c>
      <c r="AE122" s="173" t="s">
        <v>37</v>
      </c>
      <c r="AF122" s="174" t="b">
        <v>1</v>
      </c>
      <c r="AH122" s="208" t="str">
        <v>EUBSS3 ICPL Curncy</v>
      </c>
      <c r="AI122" s="172" t="s">
        <v>513</v>
      </c>
      <c r="AJ122" s="173" t="s">
        <v>392</v>
      </c>
      <c r="AK122" s="173" t="s">
        <v>393</v>
      </c>
      <c r="AL122" s="173" t="s">
        <v>909</v>
      </c>
      <c r="AM122" s="173" t="s">
        <v>37</v>
      </c>
      <c r="AN122" s="174" t="b">
        <v>1</v>
      </c>
      <c r="AP122" s="208" t="str">
        <v>EUBS3 ICPL Curncy</v>
      </c>
      <c r="AQ122" s="172" t="s">
        <v>514</v>
      </c>
      <c r="AR122" s="173" t="s">
        <v>392</v>
      </c>
      <c r="AS122" s="173" t="s">
        <v>393</v>
      </c>
      <c r="AT122" s="173" t="s">
        <v>910</v>
      </c>
      <c r="AU122" s="173" t="s">
        <v>37</v>
      </c>
      <c r="AV122" s="174" t="b">
        <v>1</v>
      </c>
    </row>
    <row r="123" spans="1:48">
      <c r="A123" s="204">
        <v>4</v>
      </c>
      <c r="B123" s="208" t="str">
        <v>EUSF3A ICPL Curncy</v>
      </c>
      <c r="C123" s="172" t="s">
        <v>916</v>
      </c>
      <c r="D123" s="173" t="s">
        <v>392</v>
      </c>
      <c r="E123" s="173" t="s">
        <v>393</v>
      </c>
      <c r="F123" s="173" t="s">
        <v>934</v>
      </c>
      <c r="G123" s="173" t="s">
        <v>916</v>
      </c>
      <c r="H123" s="174" t="b">
        <v>1</v>
      </c>
      <c r="J123" s="208" t="str">
        <v>EUFR0CI ICPL Curncy</v>
      </c>
      <c r="K123" s="172" t="s">
        <v>516</v>
      </c>
      <c r="L123" s="173" t="s">
        <v>392</v>
      </c>
      <c r="M123" s="173" t="s">
        <v>393</v>
      </c>
      <c r="N123" s="173" t="s">
        <v>508</v>
      </c>
      <c r="O123" s="173" t="s">
        <v>64</v>
      </c>
      <c r="P123" s="174" t="b">
        <v>1</v>
      </c>
      <c r="R123" s="208" t="str">
        <v>EUBSV4 CMPN Curncy</v>
      </c>
      <c r="S123" s="172" t="s">
        <v>517</v>
      </c>
      <c r="T123" s="173" t="s">
        <v>395</v>
      </c>
      <c r="U123" s="173" t="s">
        <v>393</v>
      </c>
      <c r="V123" s="173" t="s">
        <v>909</v>
      </c>
      <c r="W123" s="173" t="s">
        <v>33</v>
      </c>
      <c r="X123" s="174" t="b">
        <v>1</v>
      </c>
      <c r="Y123" s="159"/>
      <c r="Z123" s="208" t="str">
        <v>EUBSA4 TRPU Curncy</v>
      </c>
      <c r="AA123" s="172" t="s">
        <v>518</v>
      </c>
      <c r="AB123" s="173" t="s">
        <v>912</v>
      </c>
      <c r="AC123" s="173" t="s">
        <v>393</v>
      </c>
      <c r="AD123" s="173" t="s">
        <v>909</v>
      </c>
      <c r="AE123" s="173" t="s">
        <v>33</v>
      </c>
      <c r="AF123" s="174" t="b">
        <v>1</v>
      </c>
      <c r="AH123" s="208" t="str">
        <v>EUBSS4 ICPL Curncy</v>
      </c>
      <c r="AI123" s="172" t="s">
        <v>519</v>
      </c>
      <c r="AJ123" s="173" t="s">
        <v>392</v>
      </c>
      <c r="AK123" s="173" t="s">
        <v>393</v>
      </c>
      <c r="AL123" s="173" t="s">
        <v>909</v>
      </c>
      <c r="AM123" s="173" t="s">
        <v>33</v>
      </c>
      <c r="AN123" s="174" t="b">
        <v>1</v>
      </c>
      <c r="AP123" s="208" t="str">
        <v>EUBS4 ICPL Curncy</v>
      </c>
      <c r="AQ123" s="172" t="s">
        <v>520</v>
      </c>
      <c r="AR123" s="173" t="s">
        <v>392</v>
      </c>
      <c r="AS123" s="173" t="s">
        <v>393</v>
      </c>
      <c r="AT123" s="173" t="s">
        <v>910</v>
      </c>
      <c r="AU123" s="173" t="s">
        <v>33</v>
      </c>
      <c r="AV123" s="174" t="b">
        <v>1</v>
      </c>
    </row>
    <row r="124" spans="1:48">
      <c r="A124" s="204">
        <v>5</v>
      </c>
      <c r="B124" s="208" t="str">
        <v>EUSF4A ICPL Curncy</v>
      </c>
      <c r="C124" s="172" t="s">
        <v>917</v>
      </c>
      <c r="D124" s="173" t="s">
        <v>392</v>
      </c>
      <c r="E124" s="173" t="s">
        <v>393</v>
      </c>
      <c r="F124" s="173" t="s">
        <v>934</v>
      </c>
      <c r="G124" s="173" t="s">
        <v>917</v>
      </c>
      <c r="H124" s="174" t="b">
        <v>1</v>
      </c>
      <c r="J124" s="208" t="str">
        <v>EUFR0DJ ICPL Curncy</v>
      </c>
      <c r="K124" s="172" t="s">
        <v>522</v>
      </c>
      <c r="L124" s="173" t="s">
        <v>392</v>
      </c>
      <c r="M124" s="173" t="s">
        <v>393</v>
      </c>
      <c r="N124" s="173" t="s">
        <v>508</v>
      </c>
      <c r="O124" s="173" t="s">
        <v>60</v>
      </c>
      <c r="P124" s="174" t="b">
        <v>1</v>
      </c>
      <c r="R124" s="208" t="str">
        <v>EUBSV5 CMPN Curncy</v>
      </c>
      <c r="S124" s="172" t="s">
        <v>523</v>
      </c>
      <c r="T124" s="173" t="s">
        <v>395</v>
      </c>
      <c r="U124" s="173" t="s">
        <v>393</v>
      </c>
      <c r="V124" s="173" t="s">
        <v>909</v>
      </c>
      <c r="W124" s="173" t="s">
        <v>31</v>
      </c>
      <c r="X124" s="174" t="b">
        <v>1</v>
      </c>
      <c r="Y124" s="159"/>
      <c r="Z124" s="208" t="str">
        <v>EUBSA5 TRPU Curncy</v>
      </c>
      <c r="AA124" s="172" t="s">
        <v>524</v>
      </c>
      <c r="AB124" s="173" t="s">
        <v>912</v>
      </c>
      <c r="AC124" s="173" t="s">
        <v>393</v>
      </c>
      <c r="AD124" s="173" t="s">
        <v>909</v>
      </c>
      <c r="AE124" s="173" t="s">
        <v>31</v>
      </c>
      <c r="AF124" s="174" t="b">
        <v>1</v>
      </c>
      <c r="AH124" s="208" t="str">
        <v>EUBSS5 ICPL Curncy</v>
      </c>
      <c r="AI124" s="172" t="s">
        <v>525</v>
      </c>
      <c r="AJ124" s="173" t="s">
        <v>392</v>
      </c>
      <c r="AK124" s="173" t="s">
        <v>393</v>
      </c>
      <c r="AL124" s="173" t="s">
        <v>909</v>
      </c>
      <c r="AM124" s="173" t="s">
        <v>31</v>
      </c>
      <c r="AN124" s="174" t="b">
        <v>1</v>
      </c>
      <c r="AP124" s="208" t="str">
        <v>EUBS5 ICPL Curncy</v>
      </c>
      <c r="AQ124" s="172" t="s">
        <v>526</v>
      </c>
      <c r="AR124" s="173" t="s">
        <v>392</v>
      </c>
      <c r="AS124" s="173" t="s">
        <v>393</v>
      </c>
      <c r="AT124" s="173" t="s">
        <v>910</v>
      </c>
      <c r="AU124" s="173" t="s">
        <v>31</v>
      </c>
      <c r="AV124" s="174" t="b">
        <v>1</v>
      </c>
    </row>
    <row r="125" spans="1:48">
      <c r="A125" s="204">
        <v>6</v>
      </c>
      <c r="B125" s="208" t="str">
        <v>EUSF5A ICPL Curncy</v>
      </c>
      <c r="C125" s="172" t="s">
        <v>918</v>
      </c>
      <c r="D125" s="173" t="s">
        <v>392</v>
      </c>
      <c r="E125" s="173" t="s">
        <v>393</v>
      </c>
      <c r="F125" s="173" t="s">
        <v>934</v>
      </c>
      <c r="G125" s="173" t="s">
        <v>918</v>
      </c>
      <c r="H125" s="174" t="b">
        <v>0</v>
      </c>
      <c r="J125" s="208" t="str">
        <v>EUFR0EK ICPL Curncy</v>
      </c>
      <c r="K125" s="172" t="s">
        <v>528</v>
      </c>
      <c r="L125" s="173" t="s">
        <v>392</v>
      </c>
      <c r="M125" s="173" t="s">
        <v>393</v>
      </c>
      <c r="N125" s="173" t="s">
        <v>508</v>
      </c>
      <c r="O125" s="173" t="s">
        <v>56</v>
      </c>
      <c r="P125" s="174" t="b">
        <v>1</v>
      </c>
      <c r="R125" s="208" t="str">
        <v>EUBSV6 CMPN Curncy</v>
      </c>
      <c r="S125" s="172" t="s">
        <v>529</v>
      </c>
      <c r="T125" s="173" t="s">
        <v>395</v>
      </c>
      <c r="U125" s="173" t="s">
        <v>393</v>
      </c>
      <c r="V125" s="173" t="s">
        <v>909</v>
      </c>
      <c r="W125" s="173" t="s">
        <v>127</v>
      </c>
      <c r="X125" s="174" t="b">
        <v>1</v>
      </c>
      <c r="Y125" s="159"/>
      <c r="Z125" s="208" t="str">
        <v>EUBSA6 TRPU Curncy</v>
      </c>
      <c r="AA125" s="172" t="s">
        <v>530</v>
      </c>
      <c r="AB125" s="173" t="s">
        <v>912</v>
      </c>
      <c r="AC125" s="173" t="s">
        <v>393</v>
      </c>
      <c r="AD125" s="173" t="s">
        <v>909</v>
      </c>
      <c r="AE125" s="173" t="s">
        <v>127</v>
      </c>
      <c r="AF125" s="174" t="b">
        <v>1</v>
      </c>
      <c r="AH125" s="208" t="str">
        <v>EUBSS6 ICPL Curncy</v>
      </c>
      <c r="AI125" s="172" t="s">
        <v>531</v>
      </c>
      <c r="AJ125" s="173" t="s">
        <v>392</v>
      </c>
      <c r="AK125" s="173" t="s">
        <v>393</v>
      </c>
      <c r="AL125" s="173" t="s">
        <v>909</v>
      </c>
      <c r="AM125" s="173" t="s">
        <v>127</v>
      </c>
      <c r="AN125" s="174" t="b">
        <v>1</v>
      </c>
      <c r="AP125" s="208" t="str">
        <v>EUBS6 ICPL Curncy</v>
      </c>
      <c r="AQ125" s="172" t="s">
        <v>532</v>
      </c>
      <c r="AR125" s="173" t="s">
        <v>392</v>
      </c>
      <c r="AS125" s="173" t="s">
        <v>393</v>
      </c>
      <c r="AT125" s="173" t="s">
        <v>910</v>
      </c>
      <c r="AU125" s="173" t="s">
        <v>127</v>
      </c>
      <c r="AV125" s="174" t="b">
        <v>1</v>
      </c>
    </row>
    <row r="126" spans="1:48">
      <c r="A126" s="204">
        <v>7</v>
      </c>
      <c r="B126" s="208" t="str">
        <v>EUSF6A ICPL Curncy</v>
      </c>
      <c r="C126" s="172" t="s">
        <v>919</v>
      </c>
      <c r="D126" s="173" t="s">
        <v>392</v>
      </c>
      <c r="E126" s="173" t="s">
        <v>393</v>
      </c>
      <c r="F126" s="173" t="s">
        <v>934</v>
      </c>
      <c r="G126" s="173" t="s">
        <v>919</v>
      </c>
      <c r="H126" s="174" t="b">
        <v>0</v>
      </c>
      <c r="J126" s="208" t="str">
        <v>EUFR0F1 ICPL Curncy</v>
      </c>
      <c r="K126" s="172" t="s">
        <v>534</v>
      </c>
      <c r="L126" s="173" t="s">
        <v>392</v>
      </c>
      <c r="M126" s="173" t="s">
        <v>393</v>
      </c>
      <c r="N126" s="173" t="s">
        <v>508</v>
      </c>
      <c r="O126" s="173" t="s">
        <v>319</v>
      </c>
      <c r="P126" s="174" t="b">
        <v>1</v>
      </c>
      <c r="R126" s="208" t="str">
        <v>EUBSV7 CMPN Curncy</v>
      </c>
      <c r="S126" s="172" t="s">
        <v>535</v>
      </c>
      <c r="T126" s="173" t="s">
        <v>395</v>
      </c>
      <c r="U126" s="173" t="s">
        <v>393</v>
      </c>
      <c r="V126" s="173" t="s">
        <v>909</v>
      </c>
      <c r="W126" s="173" t="s">
        <v>29</v>
      </c>
      <c r="X126" s="174" t="b">
        <v>1</v>
      </c>
      <c r="Y126" s="159"/>
      <c r="Z126" s="208" t="str">
        <v>EUBSA7 TRPU Curncy</v>
      </c>
      <c r="AA126" s="172" t="s">
        <v>536</v>
      </c>
      <c r="AB126" s="173" t="s">
        <v>912</v>
      </c>
      <c r="AC126" s="173" t="s">
        <v>393</v>
      </c>
      <c r="AD126" s="173" t="s">
        <v>909</v>
      </c>
      <c r="AE126" s="173" t="s">
        <v>29</v>
      </c>
      <c r="AF126" s="174" t="b">
        <v>1</v>
      </c>
      <c r="AH126" s="208" t="str">
        <v>EUBSS7 ICPL Curncy</v>
      </c>
      <c r="AI126" s="172" t="s">
        <v>537</v>
      </c>
      <c r="AJ126" s="173" t="s">
        <v>392</v>
      </c>
      <c r="AK126" s="173" t="s">
        <v>393</v>
      </c>
      <c r="AL126" s="173" t="s">
        <v>909</v>
      </c>
      <c r="AM126" s="173" t="s">
        <v>29</v>
      </c>
      <c r="AN126" s="174" t="b">
        <v>1</v>
      </c>
      <c r="AP126" s="208" t="str">
        <v>EUBS7 ICPL Curncy</v>
      </c>
      <c r="AQ126" s="172" t="s">
        <v>538</v>
      </c>
      <c r="AR126" s="173" t="s">
        <v>392</v>
      </c>
      <c r="AS126" s="173" t="s">
        <v>393</v>
      </c>
      <c r="AT126" s="173" t="s">
        <v>910</v>
      </c>
      <c r="AU126" s="173" t="s">
        <v>29</v>
      </c>
      <c r="AV126" s="174" t="b">
        <v>1</v>
      </c>
    </row>
    <row r="127" spans="1:48">
      <c r="A127" s="204">
        <v>8</v>
      </c>
      <c r="B127" s="208" t="str">
        <v>EUSF7A ICPL Curncy</v>
      </c>
      <c r="C127" s="172" t="s">
        <v>920</v>
      </c>
      <c r="D127" s="173" t="s">
        <v>392</v>
      </c>
      <c r="E127" s="173" t="s">
        <v>393</v>
      </c>
      <c r="F127" s="173" t="s">
        <v>934</v>
      </c>
      <c r="G127" s="173" t="s">
        <v>920</v>
      </c>
      <c r="H127" s="174" t="b">
        <v>0</v>
      </c>
      <c r="J127" s="208" t="str">
        <v>EUFR0G1A ICPL Curncy</v>
      </c>
      <c r="K127" s="172" t="s">
        <v>540</v>
      </c>
      <c r="L127" s="173" t="s">
        <v>392</v>
      </c>
      <c r="M127" s="173" t="s">
        <v>393</v>
      </c>
      <c r="N127" s="173" t="s">
        <v>508</v>
      </c>
      <c r="O127" s="173" t="s">
        <v>320</v>
      </c>
      <c r="P127" s="174" t="b">
        <v>1</v>
      </c>
      <c r="R127" s="208" t="str">
        <v>EUBSV8 CMPN Curncy</v>
      </c>
      <c r="S127" s="172" t="s">
        <v>541</v>
      </c>
      <c r="T127" s="173" t="s">
        <v>395</v>
      </c>
      <c r="U127" s="173" t="s">
        <v>393</v>
      </c>
      <c r="V127" s="173" t="s">
        <v>909</v>
      </c>
      <c r="W127" s="173" t="s">
        <v>115</v>
      </c>
      <c r="X127" s="174" t="b">
        <v>1</v>
      </c>
      <c r="Y127" s="159"/>
      <c r="Z127" s="208" t="str">
        <v>EUBSA8 TRPU Curncy</v>
      </c>
      <c r="AA127" s="172" t="s">
        <v>542</v>
      </c>
      <c r="AB127" s="173" t="s">
        <v>912</v>
      </c>
      <c r="AC127" s="173" t="s">
        <v>393</v>
      </c>
      <c r="AD127" s="173" t="s">
        <v>909</v>
      </c>
      <c r="AE127" s="173" t="s">
        <v>115</v>
      </c>
      <c r="AF127" s="174" t="b">
        <v>1</v>
      </c>
      <c r="AH127" s="208" t="str">
        <v>EUBSS8 ICPL Curncy</v>
      </c>
      <c r="AI127" s="172" t="s">
        <v>543</v>
      </c>
      <c r="AJ127" s="173" t="s">
        <v>392</v>
      </c>
      <c r="AK127" s="173" t="s">
        <v>393</v>
      </c>
      <c r="AL127" s="173" t="s">
        <v>909</v>
      </c>
      <c r="AM127" s="173" t="s">
        <v>115</v>
      </c>
      <c r="AN127" s="174" t="b">
        <v>1</v>
      </c>
      <c r="AP127" s="208" t="str">
        <v>EUBS8 ICPL Curncy</v>
      </c>
      <c r="AQ127" s="172" t="s">
        <v>544</v>
      </c>
      <c r="AR127" s="173" t="s">
        <v>392</v>
      </c>
      <c r="AS127" s="173" t="s">
        <v>393</v>
      </c>
      <c r="AT127" s="173" t="s">
        <v>910</v>
      </c>
      <c r="AU127" s="173" t="s">
        <v>115</v>
      </c>
      <c r="AV127" s="174" t="b">
        <v>1</v>
      </c>
    </row>
    <row r="128" spans="1:48">
      <c r="A128" s="204">
        <v>9</v>
      </c>
      <c r="B128" s="208" t="str">
        <v>EUSF8A ICPL Curncy</v>
      </c>
      <c r="C128" s="172" t="s">
        <v>921</v>
      </c>
      <c r="D128" s="173" t="s">
        <v>392</v>
      </c>
      <c r="E128" s="173" t="s">
        <v>393</v>
      </c>
      <c r="F128" s="173" t="s">
        <v>934</v>
      </c>
      <c r="G128" s="173" t="s">
        <v>921</v>
      </c>
      <c r="H128" s="174" t="b">
        <v>0</v>
      </c>
      <c r="J128" s="208" t="str">
        <v>EUFR0H1B ICPL Curncy</v>
      </c>
      <c r="K128" s="172" t="s">
        <v>546</v>
      </c>
      <c r="L128" s="173" t="s">
        <v>392</v>
      </c>
      <c r="M128" s="173" t="s">
        <v>393</v>
      </c>
      <c r="N128" s="173" t="s">
        <v>508</v>
      </c>
      <c r="O128" s="173" t="s">
        <v>321</v>
      </c>
      <c r="P128" s="174" t="b">
        <v>1</v>
      </c>
      <c r="R128" s="208" t="str">
        <v>EUBSV9 CMPN Curncy</v>
      </c>
      <c r="S128" s="172" t="s">
        <v>547</v>
      </c>
      <c r="T128" s="173" t="s">
        <v>395</v>
      </c>
      <c r="U128" s="173" t="s">
        <v>393</v>
      </c>
      <c r="V128" s="173" t="s">
        <v>909</v>
      </c>
      <c r="W128" s="173" t="s">
        <v>109</v>
      </c>
      <c r="X128" s="174" t="b">
        <v>1</v>
      </c>
      <c r="Y128" s="159"/>
      <c r="Z128" s="208" t="str">
        <v>EUBSA9 TRPU Curncy</v>
      </c>
      <c r="AA128" s="172" t="s">
        <v>548</v>
      </c>
      <c r="AB128" s="173" t="s">
        <v>912</v>
      </c>
      <c r="AC128" s="173" t="s">
        <v>393</v>
      </c>
      <c r="AD128" s="173" t="s">
        <v>909</v>
      </c>
      <c r="AE128" s="173" t="s">
        <v>109</v>
      </c>
      <c r="AF128" s="174" t="b">
        <v>1</v>
      </c>
      <c r="AH128" s="208" t="str">
        <v>EUBSS9 ICPL Curncy</v>
      </c>
      <c r="AI128" s="172" t="s">
        <v>549</v>
      </c>
      <c r="AJ128" s="173" t="s">
        <v>392</v>
      </c>
      <c r="AK128" s="173" t="s">
        <v>393</v>
      </c>
      <c r="AL128" s="173" t="s">
        <v>909</v>
      </c>
      <c r="AM128" s="173" t="s">
        <v>109</v>
      </c>
      <c r="AN128" s="174" t="b">
        <v>1</v>
      </c>
      <c r="AP128" s="208" t="str">
        <v>EUBS9 ICPL Curncy</v>
      </c>
      <c r="AQ128" s="172" t="s">
        <v>550</v>
      </c>
      <c r="AR128" s="173" t="s">
        <v>392</v>
      </c>
      <c r="AS128" s="173" t="s">
        <v>393</v>
      </c>
      <c r="AT128" s="173" t="s">
        <v>910</v>
      </c>
      <c r="AU128" s="173" t="s">
        <v>109</v>
      </c>
      <c r="AV128" s="174" t="b">
        <v>1</v>
      </c>
    </row>
    <row r="129" spans="1:48">
      <c r="A129" s="204">
        <v>10</v>
      </c>
      <c r="B129" s="208" t="str">
        <v>EUSF9A ICPL Curncy</v>
      </c>
      <c r="C129" s="172" t="s">
        <v>922</v>
      </c>
      <c r="D129" s="173" t="s">
        <v>392</v>
      </c>
      <c r="E129" s="173" t="s">
        <v>393</v>
      </c>
      <c r="F129" s="173" t="s">
        <v>934</v>
      </c>
      <c r="G129" s="173" t="s">
        <v>922</v>
      </c>
      <c r="H129" s="174" t="b">
        <v>0</v>
      </c>
      <c r="J129" s="208" t="str">
        <v>EUFR0I1C ICPL Curncy</v>
      </c>
      <c r="K129" s="172" t="s">
        <v>552</v>
      </c>
      <c r="L129" s="173" t="s">
        <v>392</v>
      </c>
      <c r="M129" s="173" t="s">
        <v>393</v>
      </c>
      <c r="N129" s="173" t="s">
        <v>508</v>
      </c>
      <c r="O129" s="173" t="s">
        <v>322</v>
      </c>
      <c r="P129" s="174" t="b">
        <v>1</v>
      </c>
      <c r="R129" s="208" t="str">
        <v>EUBSV10 CMPN Curncy</v>
      </c>
      <c r="S129" s="172" t="s">
        <v>553</v>
      </c>
      <c r="T129" s="173" t="s">
        <v>395</v>
      </c>
      <c r="U129" s="173" t="s">
        <v>393</v>
      </c>
      <c r="V129" s="173" t="s">
        <v>909</v>
      </c>
      <c r="W129" s="173" t="s">
        <v>27</v>
      </c>
      <c r="X129" s="174" t="b">
        <v>1</v>
      </c>
      <c r="Y129" s="159"/>
      <c r="Z129" s="208" t="str">
        <v>EUBSA10 TRPU Curncy</v>
      </c>
      <c r="AA129" s="172" t="s">
        <v>554</v>
      </c>
      <c r="AB129" s="173" t="s">
        <v>912</v>
      </c>
      <c r="AC129" s="173" t="s">
        <v>393</v>
      </c>
      <c r="AD129" s="173" t="s">
        <v>909</v>
      </c>
      <c r="AE129" s="173" t="s">
        <v>27</v>
      </c>
      <c r="AF129" s="174" t="b">
        <v>1</v>
      </c>
      <c r="AH129" s="208" t="str">
        <v>EUBSS10 ICPL Curncy</v>
      </c>
      <c r="AI129" s="172" t="s">
        <v>555</v>
      </c>
      <c r="AJ129" s="173" t="s">
        <v>392</v>
      </c>
      <c r="AK129" s="173" t="s">
        <v>393</v>
      </c>
      <c r="AL129" s="173" t="s">
        <v>909</v>
      </c>
      <c r="AM129" s="173" t="s">
        <v>27</v>
      </c>
      <c r="AN129" s="174" t="b">
        <v>1</v>
      </c>
      <c r="AP129" s="208" t="str">
        <v>EUBS10 ICPL Curncy</v>
      </c>
      <c r="AQ129" s="172" t="s">
        <v>556</v>
      </c>
      <c r="AR129" s="173" t="s">
        <v>392</v>
      </c>
      <c r="AS129" s="173" t="s">
        <v>393</v>
      </c>
      <c r="AT129" s="173" t="s">
        <v>910</v>
      </c>
      <c r="AU129" s="173" t="s">
        <v>27</v>
      </c>
      <c r="AV129" s="174" t="b">
        <v>1</v>
      </c>
    </row>
    <row r="130" spans="1:48">
      <c r="A130" s="204">
        <v>11</v>
      </c>
      <c r="B130" s="208" t="str">
        <v>EUSF10A ICPL Curncy</v>
      </c>
      <c r="C130" s="172" t="s">
        <v>923</v>
      </c>
      <c r="D130" s="173" t="s">
        <v>392</v>
      </c>
      <c r="E130" s="173" t="s">
        <v>393</v>
      </c>
      <c r="F130" s="173" t="s">
        <v>934</v>
      </c>
      <c r="G130" s="173" t="s">
        <v>923</v>
      </c>
      <c r="H130" s="174" t="b">
        <v>0</v>
      </c>
      <c r="J130" s="208" t="str">
        <v>EUFR0J1D ICPL Curncy</v>
      </c>
      <c r="K130" s="172" t="s">
        <v>558</v>
      </c>
      <c r="L130" s="173" t="s">
        <v>392</v>
      </c>
      <c r="M130" s="173" t="s">
        <v>393</v>
      </c>
      <c r="N130" s="173" t="s">
        <v>508</v>
      </c>
      <c r="O130" s="173" t="s">
        <v>323</v>
      </c>
      <c r="P130" s="174" t="b">
        <v>1</v>
      </c>
      <c r="R130" s="208" t="str">
        <v>EUBSV11 CMPN Curncy</v>
      </c>
      <c r="S130" s="172" t="s">
        <v>559</v>
      </c>
      <c r="T130" s="173" t="s">
        <v>395</v>
      </c>
      <c r="U130" s="173" t="s">
        <v>393</v>
      </c>
      <c r="V130" s="173" t="s">
        <v>909</v>
      </c>
      <c r="W130" s="173" t="s">
        <v>318</v>
      </c>
      <c r="X130" s="174" t="b">
        <v>1</v>
      </c>
      <c r="Y130" s="159"/>
      <c r="Z130" s="208" t="str">
        <v>EUBSA11 TRPU Curncy</v>
      </c>
      <c r="AA130" s="172" t="s">
        <v>560</v>
      </c>
      <c r="AB130" s="173" t="s">
        <v>912</v>
      </c>
      <c r="AC130" s="173" t="s">
        <v>393</v>
      </c>
      <c r="AD130" s="173" t="s">
        <v>909</v>
      </c>
      <c r="AE130" s="173" t="s">
        <v>318</v>
      </c>
      <c r="AF130" s="174" t="b">
        <v>1</v>
      </c>
      <c r="AH130" s="208" t="str">
        <v>EUBSS11 ICPL Curncy</v>
      </c>
      <c r="AI130" s="172" t="s">
        <v>561</v>
      </c>
      <c r="AJ130" s="173" t="s">
        <v>392</v>
      </c>
      <c r="AK130" s="173" t="s">
        <v>393</v>
      </c>
      <c r="AL130" s="173" t="s">
        <v>909</v>
      </c>
      <c r="AM130" s="173" t="s">
        <v>318</v>
      </c>
      <c r="AN130" s="174" t="b">
        <v>1</v>
      </c>
      <c r="AP130" s="208" t="str">
        <v>EUBS11 ICPL Curncy</v>
      </c>
      <c r="AQ130" s="172" t="s">
        <v>562</v>
      </c>
      <c r="AR130" s="173" t="s">
        <v>392</v>
      </c>
      <c r="AS130" s="173" t="s">
        <v>393</v>
      </c>
      <c r="AT130" s="173" t="s">
        <v>910</v>
      </c>
      <c r="AU130" s="173" t="s">
        <v>318</v>
      </c>
      <c r="AV130" s="174" t="b">
        <v>1</v>
      </c>
    </row>
    <row r="131" spans="1:48">
      <c r="A131" s="204">
        <v>12</v>
      </c>
      <c r="B131" s="208" t="str">
        <v>EUSF11A ICPL Curncy</v>
      </c>
      <c r="C131" s="172" t="s">
        <v>924</v>
      </c>
      <c r="D131" s="173" t="s">
        <v>392</v>
      </c>
      <c r="E131" s="173" t="s">
        <v>393</v>
      </c>
      <c r="F131" s="173" t="s">
        <v>934</v>
      </c>
      <c r="G131" s="173" t="s">
        <v>924</v>
      </c>
      <c r="H131" s="174" t="b">
        <v>0</v>
      </c>
      <c r="J131" s="208" t="str">
        <v>EUFR0K1E ICPL Curncy</v>
      </c>
      <c r="K131" s="172" t="s">
        <v>564</v>
      </c>
      <c r="L131" s="173" t="s">
        <v>392</v>
      </c>
      <c r="M131" s="173" t="s">
        <v>393</v>
      </c>
      <c r="N131" s="173" t="s">
        <v>508</v>
      </c>
      <c r="O131" s="173" t="s">
        <v>324</v>
      </c>
      <c r="P131" s="174" t="b">
        <v>1</v>
      </c>
      <c r="R131" s="208" t="str">
        <v>EUBSV12 CMPN Curncy</v>
      </c>
      <c r="S131" s="172" t="s">
        <v>565</v>
      </c>
      <c r="T131" s="173" t="s">
        <v>395</v>
      </c>
      <c r="U131" s="173" t="s">
        <v>393</v>
      </c>
      <c r="V131" s="173" t="s">
        <v>909</v>
      </c>
      <c r="W131" s="173" t="s">
        <v>25</v>
      </c>
      <c r="X131" s="174" t="b">
        <v>1</v>
      </c>
      <c r="Y131" s="159"/>
      <c r="Z131" s="208" t="str">
        <v>EUBSA12 TRPU Curncy</v>
      </c>
      <c r="AA131" s="172" t="s">
        <v>566</v>
      </c>
      <c r="AB131" s="173" t="s">
        <v>912</v>
      </c>
      <c r="AC131" s="173" t="s">
        <v>393</v>
      </c>
      <c r="AD131" s="173" t="s">
        <v>909</v>
      </c>
      <c r="AE131" s="173" t="s">
        <v>25</v>
      </c>
      <c r="AF131" s="174" t="b">
        <v>1</v>
      </c>
      <c r="AH131" s="208" t="str">
        <v>EUBSS12 ICPL Curncy</v>
      </c>
      <c r="AI131" s="172" t="s">
        <v>567</v>
      </c>
      <c r="AJ131" s="173" t="s">
        <v>392</v>
      </c>
      <c r="AK131" s="173" t="s">
        <v>393</v>
      </c>
      <c r="AL131" s="173" t="s">
        <v>909</v>
      </c>
      <c r="AM131" s="173" t="s">
        <v>25</v>
      </c>
      <c r="AN131" s="174" t="b">
        <v>1</v>
      </c>
      <c r="AP131" s="208" t="str">
        <v>EUBS12 ICPL Curncy</v>
      </c>
      <c r="AQ131" s="172" t="s">
        <v>568</v>
      </c>
      <c r="AR131" s="173" t="s">
        <v>392</v>
      </c>
      <c r="AS131" s="173" t="s">
        <v>393</v>
      </c>
      <c r="AT131" s="173" t="s">
        <v>910</v>
      </c>
      <c r="AU131" s="173" t="s">
        <v>25</v>
      </c>
      <c r="AV131" s="174" t="b">
        <v>1</v>
      </c>
    </row>
    <row r="132" spans="1:48">
      <c r="A132" s="204">
        <v>13</v>
      </c>
      <c r="B132" s="208" t="str">
        <v>EUSF12A ICPL Curncy</v>
      </c>
      <c r="C132" s="172" t="s">
        <v>925</v>
      </c>
      <c r="D132" s="173" t="s">
        <v>392</v>
      </c>
      <c r="E132" s="173" t="s">
        <v>393</v>
      </c>
      <c r="F132" s="173" t="s">
        <v>934</v>
      </c>
      <c r="G132" s="173" t="s">
        <v>925</v>
      </c>
      <c r="H132" s="174" t="b">
        <v>0</v>
      </c>
      <c r="J132" s="208" t="str">
        <v>EUFR011F ICPL Curncy</v>
      </c>
      <c r="K132" s="172" t="s">
        <v>570</v>
      </c>
      <c r="L132" s="173" t="s">
        <v>392</v>
      </c>
      <c r="M132" s="173" t="s">
        <v>393</v>
      </c>
      <c r="N132" s="173" t="s">
        <v>508</v>
      </c>
      <c r="O132" s="173" t="s">
        <v>325</v>
      </c>
      <c r="P132" s="174" t="b">
        <v>1</v>
      </c>
      <c r="R132" s="208" t="str">
        <v>EUBSV13 CMPN Curncy</v>
      </c>
      <c r="S132" s="172" t="s">
        <v>571</v>
      </c>
      <c r="T132" s="173" t="s">
        <v>395</v>
      </c>
      <c r="U132" s="173" t="s">
        <v>393</v>
      </c>
      <c r="V132" s="173" t="s">
        <v>909</v>
      </c>
      <c r="W132" s="173" t="s">
        <v>326</v>
      </c>
      <c r="X132" s="174" t="b">
        <v>1</v>
      </c>
      <c r="Y132" s="159"/>
      <c r="Z132" s="208" t="str">
        <v>EUBSA15 TRPU Curncy</v>
      </c>
      <c r="AA132" s="172" t="s">
        <v>572</v>
      </c>
      <c r="AB132" s="173" t="s">
        <v>912</v>
      </c>
      <c r="AC132" s="173" t="s">
        <v>393</v>
      </c>
      <c r="AD132" s="173" t="s">
        <v>909</v>
      </c>
      <c r="AE132" s="173" t="s">
        <v>23</v>
      </c>
      <c r="AF132" s="174" t="b">
        <v>1</v>
      </c>
      <c r="AH132" s="208" t="str">
        <v>EUBSS15 ICPL Curncy</v>
      </c>
      <c r="AI132" s="172" t="s">
        <v>573</v>
      </c>
      <c r="AJ132" s="173" t="s">
        <v>392</v>
      </c>
      <c r="AK132" s="173" t="s">
        <v>393</v>
      </c>
      <c r="AL132" s="173" t="s">
        <v>909</v>
      </c>
      <c r="AM132" s="173" t="s">
        <v>23</v>
      </c>
      <c r="AN132" s="174" t="b">
        <v>1</v>
      </c>
      <c r="AP132" s="208" t="str">
        <v>EUBS13 ICPL Curncy</v>
      </c>
      <c r="AQ132" s="172" t="s">
        <v>574</v>
      </c>
      <c r="AR132" s="173" t="s">
        <v>392</v>
      </c>
      <c r="AS132" s="173" t="s">
        <v>393</v>
      </c>
      <c r="AT132" s="173" t="s">
        <v>910</v>
      </c>
      <c r="AU132" s="173" t="s">
        <v>326</v>
      </c>
      <c r="AV132" s="174" t="b">
        <v>1</v>
      </c>
    </row>
    <row r="133" spans="1:48">
      <c r="A133" s="204">
        <v>14</v>
      </c>
      <c r="B133" s="208" t="str">
        <v>EUSWE1Z ICPL Curncy</v>
      </c>
      <c r="C133" s="172" t="s">
        <v>502</v>
      </c>
      <c r="D133" s="173" t="s">
        <v>392</v>
      </c>
      <c r="E133" s="173" t="s">
        <v>393</v>
      </c>
      <c r="F133" s="173" t="s">
        <v>189</v>
      </c>
      <c r="G133" s="173" t="s">
        <v>94</v>
      </c>
      <c r="H133" s="174" t="b">
        <v>0</v>
      </c>
      <c r="J133" s="208" t="str">
        <v>EUSA2 MHIS Curncy</v>
      </c>
      <c r="K133" s="172" t="s">
        <v>576</v>
      </c>
      <c r="L133" s="173" t="s">
        <v>2146</v>
      </c>
      <c r="M133" s="173" t="s">
        <v>393</v>
      </c>
      <c r="N133" s="173" t="s">
        <v>472</v>
      </c>
      <c r="O133" s="173" t="s">
        <v>40</v>
      </c>
      <c r="P133" s="174" t="b">
        <v>1</v>
      </c>
      <c r="Q133" s="1115"/>
      <c r="R133" s="208" t="str">
        <v>EUBSV14 CMPN Curncy</v>
      </c>
      <c r="S133" s="172" t="s">
        <v>577</v>
      </c>
      <c r="T133" s="173" t="s">
        <v>395</v>
      </c>
      <c r="U133" s="173" t="s">
        <v>393</v>
      </c>
      <c r="V133" s="173" t="s">
        <v>909</v>
      </c>
      <c r="W133" s="173" t="s">
        <v>327</v>
      </c>
      <c r="X133" s="174" t="b">
        <v>1</v>
      </c>
      <c r="Y133" s="159"/>
      <c r="Z133" s="208" t="str">
        <v>EUBSA20 TRPU Curncy</v>
      </c>
      <c r="AA133" s="172" t="s">
        <v>578</v>
      </c>
      <c r="AB133" s="173" t="s">
        <v>912</v>
      </c>
      <c r="AC133" s="173" t="s">
        <v>393</v>
      </c>
      <c r="AD133" s="173" t="s">
        <v>909</v>
      </c>
      <c r="AE133" s="173" t="s">
        <v>19</v>
      </c>
      <c r="AF133" s="174" t="b">
        <v>1</v>
      </c>
      <c r="AH133" s="208" t="str">
        <v>EUBSS20 ICPL Curncy</v>
      </c>
      <c r="AI133" s="172" t="s">
        <v>579</v>
      </c>
      <c r="AJ133" s="173" t="s">
        <v>392</v>
      </c>
      <c r="AK133" s="173" t="s">
        <v>393</v>
      </c>
      <c r="AL133" s="173" t="s">
        <v>909</v>
      </c>
      <c r="AM133" s="173" t="s">
        <v>19</v>
      </c>
      <c r="AN133" s="174" t="b">
        <v>1</v>
      </c>
      <c r="AP133" s="208" t="str">
        <v>EUBS14 ICPL Curncy</v>
      </c>
      <c r="AQ133" s="172" t="s">
        <v>580</v>
      </c>
      <c r="AR133" s="173" t="s">
        <v>392</v>
      </c>
      <c r="AS133" s="173" t="s">
        <v>393</v>
      </c>
      <c r="AT133" s="173" t="s">
        <v>910</v>
      </c>
      <c r="AU133" s="173" t="s">
        <v>327</v>
      </c>
      <c r="AV133" s="174" t="b">
        <v>1</v>
      </c>
    </row>
    <row r="134" spans="1:48">
      <c r="A134" s="204">
        <v>15</v>
      </c>
      <c r="B134" s="208" t="str">
        <v>EUSWE2Z ICPL Curncy</v>
      </c>
      <c r="C134" s="172" t="s">
        <v>509</v>
      </c>
      <c r="D134" s="173" t="s">
        <v>392</v>
      </c>
      <c r="E134" s="173" t="s">
        <v>393</v>
      </c>
      <c r="F134" s="173" t="s">
        <v>189</v>
      </c>
      <c r="G134" s="173" t="s">
        <v>91</v>
      </c>
      <c r="H134" s="174" t="b">
        <v>0</v>
      </c>
      <c r="J134" s="208" t="str">
        <v>EUSA3 MHIS Curncy</v>
      </c>
      <c r="K134" s="172" t="s">
        <v>582</v>
      </c>
      <c r="L134" s="173" t="s">
        <v>2146</v>
      </c>
      <c r="M134" s="173" t="s">
        <v>393</v>
      </c>
      <c r="N134" s="173" t="s">
        <v>472</v>
      </c>
      <c r="O134" s="173" t="s">
        <v>37</v>
      </c>
      <c r="P134" s="174" t="b">
        <v>1</v>
      </c>
      <c r="Q134" s="1115"/>
      <c r="R134" s="208" t="str">
        <v>EUBSV15 CMPN Curncy</v>
      </c>
      <c r="S134" s="172" t="s">
        <v>583</v>
      </c>
      <c r="T134" s="173" t="s">
        <v>395</v>
      </c>
      <c r="U134" s="173" t="s">
        <v>393</v>
      </c>
      <c r="V134" s="173" t="s">
        <v>909</v>
      </c>
      <c r="W134" s="173" t="s">
        <v>23</v>
      </c>
      <c r="X134" s="174" t="b">
        <v>1</v>
      </c>
      <c r="Y134" s="159"/>
      <c r="Z134" s="208" t="str">
        <v>EUBSA25 TRPU Curncy</v>
      </c>
      <c r="AA134" s="172" t="s">
        <v>584</v>
      </c>
      <c r="AB134" s="173" t="s">
        <v>912</v>
      </c>
      <c r="AC134" s="173" t="s">
        <v>393</v>
      </c>
      <c r="AD134" s="173" t="s">
        <v>909</v>
      </c>
      <c r="AE134" s="173" t="s">
        <v>17</v>
      </c>
      <c r="AF134" s="174" t="b">
        <v>1</v>
      </c>
      <c r="AH134" s="208" t="str">
        <v>EUBSS25 ICPL Curncy</v>
      </c>
      <c r="AI134" s="172" t="s">
        <v>585</v>
      </c>
      <c r="AJ134" s="173" t="s">
        <v>392</v>
      </c>
      <c r="AK134" s="173" t="s">
        <v>393</v>
      </c>
      <c r="AL134" s="173" t="s">
        <v>909</v>
      </c>
      <c r="AM134" s="173" t="s">
        <v>17</v>
      </c>
      <c r="AN134" s="174" t="b">
        <v>1</v>
      </c>
      <c r="AP134" s="208" t="str">
        <v>EUBS15 ICPL Curncy</v>
      </c>
      <c r="AQ134" s="172" t="s">
        <v>586</v>
      </c>
      <c r="AR134" s="173" t="s">
        <v>392</v>
      </c>
      <c r="AS134" s="173" t="s">
        <v>393</v>
      </c>
      <c r="AT134" s="173" t="s">
        <v>910</v>
      </c>
      <c r="AU134" s="173" t="s">
        <v>23</v>
      </c>
      <c r="AV134" s="174" t="b">
        <v>1</v>
      </c>
    </row>
    <row r="135" spans="1:48">
      <c r="A135" s="204">
        <v>16</v>
      </c>
      <c r="B135" s="208" t="str">
        <v>EUSWEA ICPL Curncy</v>
      </c>
      <c r="C135" s="172" t="s">
        <v>515</v>
      </c>
      <c r="D135" s="173" t="s">
        <v>392</v>
      </c>
      <c r="E135" s="173" t="s">
        <v>393</v>
      </c>
      <c r="F135" s="173" t="s">
        <v>189</v>
      </c>
      <c r="G135" s="173" t="s">
        <v>20</v>
      </c>
      <c r="H135" s="174" t="b">
        <v>0</v>
      </c>
      <c r="J135" s="208" t="str">
        <v>EUSA4 MHIS Curncy</v>
      </c>
      <c r="K135" s="172" t="s">
        <v>588</v>
      </c>
      <c r="L135" s="173" t="s">
        <v>2146</v>
      </c>
      <c r="M135" s="173" t="s">
        <v>393</v>
      </c>
      <c r="N135" s="173" t="s">
        <v>472</v>
      </c>
      <c r="O135" s="173" t="s">
        <v>33</v>
      </c>
      <c r="P135" s="174" t="b">
        <v>1</v>
      </c>
      <c r="Q135" s="1115"/>
      <c r="R135" s="208" t="str">
        <v>EUBSV20 CMPN Curncy</v>
      </c>
      <c r="S135" s="172" t="s">
        <v>589</v>
      </c>
      <c r="T135" s="173" t="s">
        <v>395</v>
      </c>
      <c r="U135" s="173" t="s">
        <v>393</v>
      </c>
      <c r="V135" s="173" t="s">
        <v>909</v>
      </c>
      <c r="W135" s="173" t="s">
        <v>19</v>
      </c>
      <c r="X135" s="174" t="b">
        <v>1</v>
      </c>
      <c r="Y135" s="159"/>
      <c r="Z135" s="208" t="str">
        <v>EUBSA30 TRPU Curncy</v>
      </c>
      <c r="AA135" s="172" t="s">
        <v>590</v>
      </c>
      <c r="AB135" s="173" t="s">
        <v>912</v>
      </c>
      <c r="AC135" s="173" t="s">
        <v>393</v>
      </c>
      <c r="AD135" s="173" t="s">
        <v>909</v>
      </c>
      <c r="AE135" s="173" t="s">
        <v>16</v>
      </c>
      <c r="AF135" s="174" t="b">
        <v>1</v>
      </c>
      <c r="AH135" s="208" t="str">
        <v>EUBSS30 ICPL Curncy</v>
      </c>
      <c r="AI135" s="172" t="s">
        <v>591</v>
      </c>
      <c r="AJ135" s="173" t="s">
        <v>392</v>
      </c>
      <c r="AK135" s="173" t="s">
        <v>393</v>
      </c>
      <c r="AL135" s="173" t="s">
        <v>909</v>
      </c>
      <c r="AM135" s="173" t="s">
        <v>16</v>
      </c>
      <c r="AN135" s="174" t="b">
        <v>1</v>
      </c>
      <c r="AP135" s="208" t="str">
        <v>EUBS20 ICPL Curncy</v>
      </c>
      <c r="AQ135" s="172" t="s">
        <v>592</v>
      </c>
      <c r="AR135" s="173" t="s">
        <v>392</v>
      </c>
      <c r="AS135" s="173" t="s">
        <v>393</v>
      </c>
      <c r="AT135" s="173" t="s">
        <v>910</v>
      </c>
      <c r="AU135" s="173" t="s">
        <v>19</v>
      </c>
      <c r="AV135" s="174" t="b">
        <v>1</v>
      </c>
    </row>
    <row r="136" spans="1:48">
      <c r="A136" s="204">
        <v>17</v>
      </c>
      <c r="B136" s="208" t="str">
        <v>EUSWEB ICPL Curncy</v>
      </c>
      <c r="C136" s="172" t="s">
        <v>521</v>
      </c>
      <c r="D136" s="173" t="s">
        <v>392</v>
      </c>
      <c r="E136" s="173" t="s">
        <v>393</v>
      </c>
      <c r="F136" s="173" t="s">
        <v>189</v>
      </c>
      <c r="G136" s="173" t="s">
        <v>57</v>
      </c>
      <c r="H136" s="174" t="b">
        <v>0</v>
      </c>
      <c r="J136" s="208" t="str">
        <v>EUSA5 MHIS Curncy</v>
      </c>
      <c r="K136" s="172" t="s">
        <v>594</v>
      </c>
      <c r="L136" s="173" t="s">
        <v>2146</v>
      </c>
      <c r="M136" s="173" t="s">
        <v>393</v>
      </c>
      <c r="N136" s="173" t="s">
        <v>472</v>
      </c>
      <c r="O136" s="173" t="s">
        <v>31</v>
      </c>
      <c r="P136" s="174" t="b">
        <v>1</v>
      </c>
      <c r="Q136" s="1115"/>
      <c r="R136" s="208" t="str">
        <v>EUBSV25 CMPN Curncy</v>
      </c>
      <c r="S136" s="172" t="s">
        <v>595</v>
      </c>
      <c r="T136" s="173" t="s">
        <v>395</v>
      </c>
      <c r="U136" s="173" t="s">
        <v>393</v>
      </c>
      <c r="V136" s="173" t="s">
        <v>909</v>
      </c>
      <c r="W136" s="173" t="s">
        <v>17</v>
      </c>
      <c r="X136" s="174" t="b">
        <v>1</v>
      </c>
      <c r="Y136" s="159"/>
      <c r="Z136" s="208" t="str">
        <v xml:space="preserve">  </v>
      </c>
      <c r="AA136" s="172"/>
      <c r="AB136" s="173"/>
      <c r="AC136" s="173"/>
      <c r="AD136" s="173"/>
      <c r="AE136" s="173"/>
      <c r="AF136" s="174"/>
      <c r="AH136" s="208" t="str">
        <v xml:space="preserve">  </v>
      </c>
      <c r="AI136" s="172"/>
      <c r="AJ136" s="173"/>
      <c r="AK136" s="173"/>
      <c r="AL136" s="173"/>
      <c r="AM136" s="173"/>
      <c r="AN136" s="174"/>
      <c r="AP136" s="208" t="str">
        <v>EUBS25 ICPL Curncy</v>
      </c>
      <c r="AQ136" s="172" t="s">
        <v>596</v>
      </c>
      <c r="AR136" s="173" t="s">
        <v>392</v>
      </c>
      <c r="AS136" s="173" t="s">
        <v>393</v>
      </c>
      <c r="AT136" s="173" t="s">
        <v>910</v>
      </c>
      <c r="AU136" s="173" t="s">
        <v>17</v>
      </c>
      <c r="AV136" s="174" t="b">
        <v>1</v>
      </c>
    </row>
    <row r="137" spans="1:48">
      <c r="A137" s="204">
        <v>18</v>
      </c>
      <c r="B137" s="208" t="str">
        <v>EUSWEC ICPL Curncy</v>
      </c>
      <c r="C137" s="172" t="s">
        <v>527</v>
      </c>
      <c r="D137" s="173" t="s">
        <v>392</v>
      </c>
      <c r="E137" s="173" t="s">
        <v>393</v>
      </c>
      <c r="F137" s="173" t="s">
        <v>189</v>
      </c>
      <c r="G137" s="173" t="s">
        <v>51</v>
      </c>
      <c r="H137" s="174" t="b">
        <v>0</v>
      </c>
      <c r="J137" s="208" t="str">
        <v>EUSA6 MHIS Curncy</v>
      </c>
      <c r="K137" s="172" t="s">
        <v>598</v>
      </c>
      <c r="L137" s="173" t="s">
        <v>2146</v>
      </c>
      <c r="M137" s="173" t="s">
        <v>393</v>
      </c>
      <c r="N137" s="173" t="s">
        <v>472</v>
      </c>
      <c r="O137" s="173" t="s">
        <v>127</v>
      </c>
      <c r="P137" s="174" t="b">
        <v>1</v>
      </c>
      <c r="Q137" s="1115"/>
      <c r="R137" s="208" t="str">
        <v>EUBSV30 CMPN Curncy</v>
      </c>
      <c r="S137" s="172" t="s">
        <v>599</v>
      </c>
      <c r="T137" s="173" t="s">
        <v>395</v>
      </c>
      <c r="U137" s="173" t="s">
        <v>393</v>
      </c>
      <c r="V137" s="173" t="s">
        <v>909</v>
      </c>
      <c r="W137" s="173" t="s">
        <v>16</v>
      </c>
      <c r="X137" s="174" t="b">
        <v>1</v>
      </c>
      <c r="Y137" s="159"/>
      <c r="Z137" s="208" t="str">
        <v xml:space="preserve">  </v>
      </c>
      <c r="AA137" s="172"/>
      <c r="AB137" s="173"/>
      <c r="AC137" s="173"/>
      <c r="AD137" s="173"/>
      <c r="AE137" s="173"/>
      <c r="AF137" s="174"/>
      <c r="AH137" s="208" t="str">
        <v xml:space="preserve">  </v>
      </c>
      <c r="AI137" s="172"/>
      <c r="AJ137" s="173"/>
      <c r="AK137" s="173"/>
      <c r="AL137" s="173"/>
      <c r="AM137" s="173"/>
      <c r="AN137" s="174"/>
      <c r="AP137" s="208" t="str">
        <v>EUBS30 ICPL Curncy</v>
      </c>
      <c r="AQ137" s="172" t="s">
        <v>600</v>
      </c>
      <c r="AR137" s="173" t="s">
        <v>392</v>
      </c>
      <c r="AS137" s="173" t="s">
        <v>393</v>
      </c>
      <c r="AT137" s="173" t="s">
        <v>910</v>
      </c>
      <c r="AU137" s="173" t="s">
        <v>16</v>
      </c>
      <c r="AV137" s="174" t="b">
        <v>1</v>
      </c>
    </row>
    <row r="138" spans="1:48">
      <c r="A138" s="204">
        <v>19</v>
      </c>
      <c r="B138" s="208" t="str">
        <v>EUSWED ICPL Curncy</v>
      </c>
      <c r="C138" s="172" t="s">
        <v>533</v>
      </c>
      <c r="D138" s="173" t="s">
        <v>392</v>
      </c>
      <c r="E138" s="173" t="s">
        <v>393</v>
      </c>
      <c r="F138" s="173" t="s">
        <v>189</v>
      </c>
      <c r="G138" s="173" t="s">
        <v>72</v>
      </c>
      <c r="H138" s="174" t="b">
        <v>0</v>
      </c>
      <c r="J138" s="208" t="str">
        <v>EUSA7 MHIS Curncy</v>
      </c>
      <c r="K138" s="172" t="s">
        <v>602</v>
      </c>
      <c r="L138" s="173" t="s">
        <v>2146</v>
      </c>
      <c r="M138" s="173" t="s">
        <v>393</v>
      </c>
      <c r="N138" s="173" t="s">
        <v>472</v>
      </c>
      <c r="O138" s="173" t="s">
        <v>29</v>
      </c>
      <c r="P138" s="174" t="b">
        <v>1</v>
      </c>
      <c r="Q138" s="1115"/>
      <c r="R138" s="208" t="str">
        <v xml:space="preserve">  </v>
      </c>
      <c r="S138" s="172"/>
      <c r="T138" s="173"/>
      <c r="U138" s="173"/>
      <c r="V138" s="173"/>
      <c r="W138" s="173"/>
      <c r="X138" s="174"/>
      <c r="Y138" s="159"/>
      <c r="Z138" s="208" t="str">
        <v xml:space="preserve">  </v>
      </c>
      <c r="AA138" s="172"/>
      <c r="AB138" s="173"/>
      <c r="AC138" s="173"/>
      <c r="AD138" s="173"/>
      <c r="AE138" s="173"/>
      <c r="AF138" s="174"/>
      <c r="AH138" s="208" t="str">
        <v xml:space="preserve">  </v>
      </c>
      <c r="AI138" s="172"/>
      <c r="AJ138" s="173"/>
      <c r="AK138" s="173"/>
      <c r="AL138" s="173"/>
      <c r="AM138" s="173"/>
      <c r="AN138" s="174"/>
      <c r="AP138" s="208" t="str">
        <v xml:space="preserve">  </v>
      </c>
      <c r="AQ138" s="172"/>
      <c r="AR138" s="173"/>
      <c r="AS138" s="173"/>
      <c r="AT138" s="173"/>
      <c r="AU138" s="173"/>
      <c r="AV138" s="174"/>
    </row>
    <row r="139" spans="1:48">
      <c r="A139" s="204">
        <v>20</v>
      </c>
      <c r="B139" s="208" t="str">
        <v>EUSWEE ICPL Curncy</v>
      </c>
      <c r="C139" s="172" t="s">
        <v>539</v>
      </c>
      <c r="D139" s="173" t="s">
        <v>392</v>
      </c>
      <c r="E139" s="173" t="s">
        <v>393</v>
      </c>
      <c r="F139" s="173" t="s">
        <v>189</v>
      </c>
      <c r="G139" s="173" t="s">
        <v>68</v>
      </c>
      <c r="H139" s="174" t="b">
        <v>0</v>
      </c>
      <c r="J139" s="208" t="str">
        <v>EUSA8 MHIS Curncy</v>
      </c>
      <c r="K139" s="172" t="s">
        <v>604</v>
      </c>
      <c r="L139" s="173" t="s">
        <v>2146</v>
      </c>
      <c r="M139" s="173" t="s">
        <v>393</v>
      </c>
      <c r="N139" s="173" t="s">
        <v>472</v>
      </c>
      <c r="O139" s="173" t="s">
        <v>115</v>
      </c>
      <c r="P139" s="174" t="b">
        <v>1</v>
      </c>
      <c r="Q139" s="1115"/>
      <c r="R139" s="208" t="str">
        <v xml:space="preserve">  </v>
      </c>
      <c r="S139" s="172"/>
      <c r="T139" s="173"/>
      <c r="U139" s="173"/>
      <c r="V139" s="173"/>
      <c r="W139" s="173"/>
      <c r="X139" s="174"/>
      <c r="Y139" s="159"/>
      <c r="Z139" s="208" t="str">
        <v xml:space="preserve">  </v>
      </c>
      <c r="AA139" s="172"/>
      <c r="AB139" s="173"/>
      <c r="AC139" s="173"/>
      <c r="AD139" s="173"/>
      <c r="AE139" s="173"/>
      <c r="AF139" s="174"/>
      <c r="AH139" s="208" t="str">
        <v xml:space="preserve">  </v>
      </c>
      <c r="AI139" s="172"/>
      <c r="AJ139" s="173"/>
      <c r="AK139" s="173"/>
      <c r="AL139" s="173"/>
      <c r="AM139" s="173"/>
      <c r="AN139" s="174"/>
      <c r="AP139" s="208" t="str">
        <v xml:space="preserve">  </v>
      </c>
      <c r="AQ139" s="172"/>
      <c r="AR139" s="173"/>
      <c r="AS139" s="173"/>
      <c r="AT139" s="173"/>
      <c r="AU139" s="173"/>
      <c r="AV139" s="174"/>
    </row>
    <row r="140" spans="1:48">
      <c r="A140" s="204">
        <v>21</v>
      </c>
      <c r="B140" s="208" t="str">
        <v>EUSWEF ICPL Curncy</v>
      </c>
      <c r="C140" s="172" t="s">
        <v>545</v>
      </c>
      <c r="D140" s="173" t="s">
        <v>392</v>
      </c>
      <c r="E140" s="173" t="s">
        <v>393</v>
      </c>
      <c r="F140" s="173" t="s">
        <v>189</v>
      </c>
      <c r="G140" s="173" t="s">
        <v>22</v>
      </c>
      <c r="H140" s="174" t="b">
        <v>0</v>
      </c>
      <c r="J140" s="208" t="str">
        <v>EUSA9 MHIS Curncy</v>
      </c>
      <c r="K140" s="172" t="s">
        <v>606</v>
      </c>
      <c r="L140" s="173" t="s">
        <v>2146</v>
      </c>
      <c r="M140" s="173" t="s">
        <v>393</v>
      </c>
      <c r="N140" s="173" t="s">
        <v>472</v>
      </c>
      <c r="O140" s="173" t="s">
        <v>109</v>
      </c>
      <c r="P140" s="174" t="b">
        <v>1</v>
      </c>
      <c r="Q140" s="1115"/>
      <c r="R140" s="208" t="str">
        <v xml:space="preserve">  </v>
      </c>
      <c r="S140" s="172"/>
      <c r="T140" s="173"/>
      <c r="U140" s="173"/>
      <c r="V140" s="173"/>
      <c r="W140" s="173"/>
      <c r="X140" s="174"/>
      <c r="Y140" s="159"/>
      <c r="Z140" s="208" t="str">
        <v xml:space="preserve">  </v>
      </c>
      <c r="AA140" s="172"/>
      <c r="AB140" s="173"/>
      <c r="AC140" s="173"/>
      <c r="AD140" s="173"/>
      <c r="AE140" s="173"/>
      <c r="AF140" s="174"/>
      <c r="AH140" s="208" t="str">
        <v xml:space="preserve">  </v>
      </c>
      <c r="AI140" s="172"/>
      <c r="AJ140" s="173"/>
      <c r="AK140" s="173"/>
      <c r="AL140" s="173"/>
      <c r="AM140" s="173"/>
      <c r="AN140" s="174"/>
      <c r="AP140" s="208" t="str">
        <v xml:space="preserve">  </v>
      </c>
      <c r="AQ140" s="172"/>
      <c r="AR140" s="173"/>
      <c r="AS140" s="173"/>
      <c r="AT140" s="173"/>
      <c r="AU140" s="173"/>
      <c r="AV140" s="174"/>
    </row>
    <row r="141" spans="1:48">
      <c r="A141" s="204">
        <v>22</v>
      </c>
      <c r="B141" s="208" t="str">
        <v>EUSWEG ICPL Curncy</v>
      </c>
      <c r="C141" s="172" t="s">
        <v>551</v>
      </c>
      <c r="D141" s="173" t="s">
        <v>392</v>
      </c>
      <c r="E141" s="173" t="s">
        <v>393</v>
      </c>
      <c r="F141" s="173" t="s">
        <v>189</v>
      </c>
      <c r="G141" s="173" t="s">
        <v>63</v>
      </c>
      <c r="H141" s="174" t="b">
        <v>0</v>
      </c>
      <c r="J141" s="208" t="str">
        <v>EUSA10 MHIS Curncy</v>
      </c>
      <c r="K141" s="172" t="s">
        <v>608</v>
      </c>
      <c r="L141" s="173" t="s">
        <v>2146</v>
      </c>
      <c r="M141" s="173" t="s">
        <v>393</v>
      </c>
      <c r="N141" s="173" t="s">
        <v>472</v>
      </c>
      <c r="O141" s="173" t="s">
        <v>27</v>
      </c>
      <c r="P141" s="174" t="b">
        <v>1</v>
      </c>
      <c r="Q141" s="1115"/>
      <c r="R141" s="208" t="str">
        <v xml:space="preserve">  </v>
      </c>
      <c r="S141" s="172"/>
      <c r="T141" s="173"/>
      <c r="U141" s="173"/>
      <c r="V141" s="173"/>
      <c r="W141" s="173"/>
      <c r="X141" s="174"/>
      <c r="Y141" s="159"/>
      <c r="Z141" s="208" t="str">
        <v xml:space="preserve">  </v>
      </c>
      <c r="AA141" s="172"/>
      <c r="AB141" s="173"/>
      <c r="AC141" s="173"/>
      <c r="AD141" s="173"/>
      <c r="AE141" s="173"/>
      <c r="AF141" s="174"/>
      <c r="AH141" s="208" t="str">
        <v xml:space="preserve">  </v>
      </c>
      <c r="AI141" s="172"/>
      <c r="AJ141" s="173"/>
      <c r="AK141" s="173"/>
      <c r="AL141" s="173"/>
      <c r="AM141" s="173"/>
      <c r="AN141" s="174"/>
      <c r="AP141" s="208" t="str">
        <v xml:space="preserve">  </v>
      </c>
      <c r="AQ141" s="172"/>
      <c r="AR141" s="173"/>
      <c r="AS141" s="173"/>
      <c r="AT141" s="173"/>
      <c r="AU141" s="173"/>
      <c r="AV141" s="174"/>
    </row>
    <row r="142" spans="1:48">
      <c r="A142" s="204">
        <v>23</v>
      </c>
      <c r="B142" s="208" t="str">
        <v>EUSWEH ICPL Curncy</v>
      </c>
      <c r="C142" s="172" t="s">
        <v>557</v>
      </c>
      <c r="D142" s="173" t="s">
        <v>392</v>
      </c>
      <c r="E142" s="173" t="s">
        <v>393</v>
      </c>
      <c r="F142" s="173" t="s">
        <v>189</v>
      </c>
      <c r="G142" s="173" t="s">
        <v>59</v>
      </c>
      <c r="H142" s="174" t="b">
        <v>0</v>
      </c>
      <c r="J142" s="208" t="str">
        <v>EUSA11 MHIS Curncy</v>
      </c>
      <c r="K142" s="172" t="s">
        <v>610</v>
      </c>
      <c r="L142" s="173" t="s">
        <v>2146</v>
      </c>
      <c r="M142" s="173" t="s">
        <v>393</v>
      </c>
      <c r="N142" s="173" t="s">
        <v>472</v>
      </c>
      <c r="O142" s="173" t="s">
        <v>318</v>
      </c>
      <c r="P142" s="174" t="b">
        <v>1</v>
      </c>
      <c r="Q142" s="1115"/>
      <c r="R142" s="208" t="str">
        <v xml:space="preserve">  </v>
      </c>
      <c r="S142" s="172"/>
      <c r="T142" s="173"/>
      <c r="U142" s="173"/>
      <c r="V142" s="173"/>
      <c r="W142" s="173"/>
      <c r="X142" s="174"/>
      <c r="Y142" s="159"/>
      <c r="Z142" s="208" t="str">
        <v xml:space="preserve">  </v>
      </c>
      <c r="AA142" s="172"/>
      <c r="AB142" s="173"/>
      <c r="AC142" s="173"/>
      <c r="AD142" s="173"/>
      <c r="AE142" s="173"/>
      <c r="AF142" s="174"/>
      <c r="AH142" s="208" t="str">
        <v xml:space="preserve">  </v>
      </c>
      <c r="AI142" s="172"/>
      <c r="AJ142" s="173"/>
      <c r="AK142" s="173"/>
      <c r="AL142" s="173"/>
      <c r="AM142" s="173"/>
      <c r="AN142" s="174"/>
      <c r="AP142" s="208" t="str">
        <v xml:space="preserve">  </v>
      </c>
      <c r="AQ142" s="172"/>
      <c r="AR142" s="173"/>
      <c r="AS142" s="173"/>
      <c r="AT142" s="173"/>
      <c r="AU142" s="173"/>
      <c r="AV142" s="174"/>
    </row>
    <row r="143" spans="1:48">
      <c r="A143" s="204">
        <v>24</v>
      </c>
      <c r="B143" s="208" t="str">
        <v>EUSWEI ICPL Curncy</v>
      </c>
      <c r="C143" s="172" t="s">
        <v>563</v>
      </c>
      <c r="D143" s="173" t="s">
        <v>392</v>
      </c>
      <c r="E143" s="173" t="s">
        <v>393</v>
      </c>
      <c r="F143" s="173" t="s">
        <v>189</v>
      </c>
      <c r="G143" s="173" t="s">
        <v>55</v>
      </c>
      <c r="H143" s="174" t="b">
        <v>0</v>
      </c>
      <c r="J143" s="208" t="str">
        <v>EUSA12 MHIS Curncy</v>
      </c>
      <c r="K143" s="172" t="s">
        <v>612</v>
      </c>
      <c r="L143" s="173" t="s">
        <v>2146</v>
      </c>
      <c r="M143" s="173" t="s">
        <v>393</v>
      </c>
      <c r="N143" s="173" t="s">
        <v>472</v>
      </c>
      <c r="O143" s="173" t="s">
        <v>25</v>
      </c>
      <c r="P143" s="174" t="b">
        <v>1</v>
      </c>
      <c r="Q143" s="1115"/>
      <c r="R143" s="208" t="str">
        <v xml:space="preserve">  </v>
      </c>
      <c r="S143" s="172"/>
      <c r="T143" s="173"/>
      <c r="U143" s="173"/>
      <c r="V143" s="173"/>
      <c r="W143" s="173"/>
      <c r="X143" s="174"/>
      <c r="Y143" s="159"/>
      <c r="Z143" s="208" t="str">
        <v xml:space="preserve">  </v>
      </c>
      <c r="AA143" s="172"/>
      <c r="AB143" s="173"/>
      <c r="AC143" s="173"/>
      <c r="AD143" s="173"/>
      <c r="AE143" s="173"/>
      <c r="AF143" s="174"/>
      <c r="AG143" s="178"/>
      <c r="AH143" s="208" t="str">
        <v xml:space="preserve">  </v>
      </c>
      <c r="AI143" s="172"/>
      <c r="AJ143" s="173"/>
      <c r="AK143" s="173"/>
      <c r="AL143" s="173"/>
      <c r="AM143" s="173"/>
      <c r="AN143" s="174"/>
      <c r="AO143" s="178"/>
      <c r="AP143" s="208" t="str">
        <v xml:space="preserve">  </v>
      </c>
      <c r="AQ143" s="172"/>
      <c r="AR143" s="173"/>
      <c r="AS143" s="173"/>
      <c r="AT143" s="173"/>
      <c r="AU143" s="173"/>
      <c r="AV143" s="174"/>
    </row>
    <row r="144" spans="1:48">
      <c r="A144" s="204">
        <v>25</v>
      </c>
      <c r="B144" s="208" t="str">
        <v>EUSWEJ ICPL Curncy</v>
      </c>
      <c r="C144" s="172" t="s">
        <v>569</v>
      </c>
      <c r="D144" s="173" t="s">
        <v>392</v>
      </c>
      <c r="E144" s="173" t="s">
        <v>393</v>
      </c>
      <c r="F144" s="173" t="s">
        <v>189</v>
      </c>
      <c r="G144" s="173" t="s">
        <v>50</v>
      </c>
      <c r="H144" s="174" t="b">
        <v>0</v>
      </c>
      <c r="J144" s="208" t="str">
        <v>EUSA15 MHIS Curncy</v>
      </c>
      <c r="K144" s="172" t="s">
        <v>614</v>
      </c>
      <c r="L144" s="173" t="s">
        <v>2146</v>
      </c>
      <c r="M144" s="173" t="s">
        <v>393</v>
      </c>
      <c r="N144" s="173" t="s">
        <v>472</v>
      </c>
      <c r="O144" s="173" t="s">
        <v>23</v>
      </c>
      <c r="P144" s="174" t="b">
        <v>1</v>
      </c>
      <c r="Q144" s="1115"/>
      <c r="R144" s="208" t="str">
        <v xml:space="preserve">  </v>
      </c>
      <c r="S144" s="172"/>
      <c r="T144" s="173"/>
      <c r="U144" s="173"/>
      <c r="V144" s="173"/>
      <c r="W144" s="173"/>
      <c r="X144" s="174"/>
      <c r="Y144" s="159"/>
      <c r="Z144" s="208" t="str">
        <v xml:space="preserve">  </v>
      </c>
      <c r="AA144" s="172"/>
      <c r="AB144" s="173"/>
      <c r="AC144" s="173"/>
      <c r="AD144" s="173"/>
      <c r="AE144" s="173"/>
      <c r="AF144" s="174"/>
      <c r="AG144" s="178"/>
      <c r="AH144" s="208" t="str">
        <v xml:space="preserve">  </v>
      </c>
      <c r="AI144" s="172"/>
      <c r="AJ144" s="173"/>
      <c r="AK144" s="173"/>
      <c r="AL144" s="173"/>
      <c r="AM144" s="173"/>
      <c r="AN144" s="174"/>
      <c r="AO144" s="178"/>
      <c r="AP144" s="208" t="str">
        <v xml:space="preserve">  </v>
      </c>
      <c r="AQ144" s="172"/>
      <c r="AR144" s="173"/>
      <c r="AS144" s="173"/>
      <c r="AT144" s="173"/>
      <c r="AU144" s="173"/>
      <c r="AV144" s="174"/>
    </row>
    <row r="145" spans="1:48">
      <c r="A145" s="204">
        <v>26</v>
      </c>
      <c r="B145" s="208" t="str">
        <v>EUSWEK ICPL Curncy</v>
      </c>
      <c r="C145" s="172" t="s">
        <v>575</v>
      </c>
      <c r="D145" s="173" t="s">
        <v>392</v>
      </c>
      <c r="E145" s="173" t="s">
        <v>393</v>
      </c>
      <c r="F145" s="173" t="s">
        <v>189</v>
      </c>
      <c r="G145" s="173" t="s">
        <v>48</v>
      </c>
      <c r="H145" s="174" t="b">
        <v>0</v>
      </c>
      <c r="J145" s="208" t="str">
        <v>EUSA20 MHIS Curncy</v>
      </c>
      <c r="K145" s="172" t="s">
        <v>616</v>
      </c>
      <c r="L145" s="173" t="s">
        <v>2146</v>
      </c>
      <c r="M145" s="173" t="s">
        <v>393</v>
      </c>
      <c r="N145" s="173" t="s">
        <v>472</v>
      </c>
      <c r="O145" s="173" t="s">
        <v>19</v>
      </c>
      <c r="P145" s="174" t="b">
        <v>1</v>
      </c>
      <c r="Q145" s="1115"/>
      <c r="R145" s="208" t="str">
        <v xml:space="preserve">  </v>
      </c>
      <c r="S145" s="172"/>
      <c r="T145" s="173"/>
      <c r="U145" s="173"/>
      <c r="V145" s="173"/>
      <c r="W145" s="173"/>
      <c r="X145" s="174"/>
      <c r="Y145" s="159"/>
      <c r="Z145" s="208" t="str">
        <v xml:space="preserve">  </v>
      </c>
      <c r="AA145" s="172"/>
      <c r="AB145" s="173"/>
      <c r="AC145" s="173"/>
      <c r="AD145" s="173"/>
      <c r="AE145" s="173"/>
      <c r="AF145" s="174"/>
      <c r="AG145" s="178"/>
      <c r="AH145" s="208" t="str">
        <v xml:space="preserve">  </v>
      </c>
      <c r="AI145" s="172"/>
      <c r="AJ145" s="173"/>
      <c r="AK145" s="173"/>
      <c r="AL145" s="173"/>
      <c r="AM145" s="173"/>
      <c r="AN145" s="174"/>
      <c r="AO145" s="178"/>
      <c r="AP145" s="208" t="str">
        <v xml:space="preserve">  </v>
      </c>
      <c r="AQ145" s="172"/>
      <c r="AR145" s="173"/>
      <c r="AS145" s="173"/>
      <c r="AT145" s="173"/>
      <c r="AU145" s="173"/>
      <c r="AV145" s="174"/>
    </row>
    <row r="146" spans="1:48">
      <c r="A146" s="204">
        <v>27</v>
      </c>
      <c r="B146" s="208" t="str">
        <v>EUSWE1 ICPL Curncy</v>
      </c>
      <c r="C146" s="172" t="s">
        <v>581</v>
      </c>
      <c r="D146" s="173" t="s">
        <v>392</v>
      </c>
      <c r="E146" s="173" t="s">
        <v>393</v>
      </c>
      <c r="F146" s="173" t="s">
        <v>189</v>
      </c>
      <c r="G146" s="173" t="s">
        <v>250</v>
      </c>
      <c r="H146" s="174" t="b">
        <v>1</v>
      </c>
      <c r="J146" s="208" t="str">
        <v>EUSA25 MHIS Curncy</v>
      </c>
      <c r="K146" s="172" t="s">
        <v>618</v>
      </c>
      <c r="L146" s="173" t="s">
        <v>2146</v>
      </c>
      <c r="M146" s="173" t="s">
        <v>393</v>
      </c>
      <c r="N146" s="173" t="s">
        <v>472</v>
      </c>
      <c r="O146" s="173" t="s">
        <v>17</v>
      </c>
      <c r="P146" s="174" t="b">
        <v>1</v>
      </c>
      <c r="Q146" s="1115"/>
      <c r="R146" s="208" t="str">
        <v xml:space="preserve">  </v>
      </c>
      <c r="S146" s="172"/>
      <c r="T146" s="173"/>
      <c r="U146" s="173"/>
      <c r="V146" s="173"/>
      <c r="W146" s="173"/>
      <c r="X146" s="174"/>
      <c r="Y146" s="159"/>
      <c r="Z146" s="208" t="str">
        <v xml:space="preserve">  </v>
      </c>
      <c r="AA146" s="172"/>
      <c r="AB146" s="173"/>
      <c r="AC146" s="173"/>
      <c r="AD146" s="173"/>
      <c r="AE146" s="173"/>
      <c r="AF146" s="174"/>
      <c r="AG146" s="178"/>
      <c r="AH146" s="208" t="str">
        <v xml:space="preserve">  </v>
      </c>
      <c r="AI146" s="172"/>
      <c r="AJ146" s="173"/>
      <c r="AK146" s="173"/>
      <c r="AL146" s="173"/>
      <c r="AM146" s="173"/>
      <c r="AN146" s="174"/>
      <c r="AO146" s="178"/>
      <c r="AP146" s="208" t="str">
        <v xml:space="preserve">  </v>
      </c>
      <c r="AQ146" s="172"/>
      <c r="AR146" s="173"/>
      <c r="AS146" s="173"/>
      <c r="AT146" s="173"/>
      <c r="AU146" s="173"/>
      <c r="AV146" s="174"/>
    </row>
    <row r="147" spans="1:48">
      <c r="A147" s="204">
        <v>28</v>
      </c>
      <c r="B147" s="208" t="str">
        <v>EUSWE1F ICPL Curncy</v>
      </c>
      <c r="C147" s="172" t="s">
        <v>587</v>
      </c>
      <c r="D147" s="173" t="s">
        <v>392</v>
      </c>
      <c r="E147" s="173" t="s">
        <v>393</v>
      </c>
      <c r="F147" s="173" t="s">
        <v>189</v>
      </c>
      <c r="G147" s="173" t="s">
        <v>43</v>
      </c>
      <c r="H147" s="174" t="b">
        <v>1</v>
      </c>
      <c r="J147" s="208" t="str">
        <v>EUSA30 MHIS Curncy</v>
      </c>
      <c r="K147" s="172" t="s">
        <v>620</v>
      </c>
      <c r="L147" s="173" t="s">
        <v>2146</v>
      </c>
      <c r="M147" s="173" t="s">
        <v>393</v>
      </c>
      <c r="N147" s="173" t="s">
        <v>472</v>
      </c>
      <c r="O147" s="173" t="s">
        <v>16</v>
      </c>
      <c r="P147" s="174" t="b">
        <v>1</v>
      </c>
      <c r="Q147" s="1115"/>
      <c r="R147" s="208" t="str">
        <v xml:space="preserve">  </v>
      </c>
      <c r="S147" s="172"/>
      <c r="T147" s="173"/>
      <c r="U147" s="173"/>
      <c r="V147" s="173"/>
      <c r="W147" s="173"/>
      <c r="X147" s="174"/>
      <c r="Y147" s="159"/>
      <c r="Z147" s="208" t="str">
        <v xml:space="preserve">  </v>
      </c>
      <c r="AA147" s="172"/>
      <c r="AB147" s="173"/>
      <c r="AC147" s="173"/>
      <c r="AD147" s="173"/>
      <c r="AE147" s="173"/>
      <c r="AF147" s="174"/>
      <c r="AG147" s="178"/>
      <c r="AH147" s="208" t="str">
        <v xml:space="preserve">  </v>
      </c>
      <c r="AI147" s="172"/>
      <c r="AJ147" s="173"/>
      <c r="AK147" s="173"/>
      <c r="AL147" s="173"/>
      <c r="AM147" s="173"/>
      <c r="AN147" s="174"/>
      <c r="AO147" s="178"/>
      <c r="AP147" s="208" t="str">
        <v xml:space="preserve">  </v>
      </c>
      <c r="AQ147" s="172"/>
      <c r="AR147" s="173"/>
      <c r="AS147" s="173"/>
      <c r="AT147" s="173"/>
      <c r="AU147" s="173"/>
      <c r="AV147" s="174"/>
    </row>
    <row r="148" spans="1:48">
      <c r="A148" s="204">
        <v>29</v>
      </c>
      <c r="B148" s="208" t="str">
        <v>EUSWE2 ICPL Curncy</v>
      </c>
      <c r="C148" s="172" t="s">
        <v>593</v>
      </c>
      <c r="D148" s="173" t="s">
        <v>392</v>
      </c>
      <c r="E148" s="173" t="s">
        <v>393</v>
      </c>
      <c r="F148" s="173" t="s">
        <v>189</v>
      </c>
      <c r="G148" s="173" t="s">
        <v>40</v>
      </c>
      <c r="H148" s="174" t="b">
        <v>1</v>
      </c>
      <c r="J148" s="208" t="str">
        <v>EUSA40 MHIS Curncy</v>
      </c>
      <c r="K148" s="172" t="s">
        <v>623</v>
      </c>
      <c r="L148" s="173" t="s">
        <v>2146</v>
      </c>
      <c r="M148" s="173" t="s">
        <v>393</v>
      </c>
      <c r="N148" s="173" t="s">
        <v>472</v>
      </c>
      <c r="O148" s="173" t="s">
        <v>14</v>
      </c>
      <c r="P148" s="174" t="b">
        <v>1</v>
      </c>
      <c r="Q148" s="1115"/>
      <c r="R148" s="208" t="str">
        <v xml:space="preserve">  </v>
      </c>
      <c r="S148" s="172"/>
      <c r="T148" s="173"/>
      <c r="U148" s="173"/>
      <c r="V148" s="173"/>
      <c r="W148" s="173"/>
      <c r="X148" s="174"/>
      <c r="Y148" s="159"/>
      <c r="Z148" s="208" t="str">
        <v xml:space="preserve">  </v>
      </c>
      <c r="AA148" s="172"/>
      <c r="AB148" s="173"/>
      <c r="AC148" s="173"/>
      <c r="AD148" s="173"/>
      <c r="AE148" s="173"/>
      <c r="AF148" s="174"/>
      <c r="AG148" s="178"/>
      <c r="AH148" s="208" t="str">
        <v xml:space="preserve">  </v>
      </c>
      <c r="AI148" s="172"/>
      <c r="AJ148" s="173"/>
      <c r="AK148" s="173"/>
      <c r="AL148" s="173"/>
      <c r="AM148" s="173"/>
      <c r="AN148" s="174"/>
      <c r="AO148" s="178"/>
      <c r="AP148" s="208" t="str">
        <v xml:space="preserve">  </v>
      </c>
      <c r="AQ148" s="172"/>
      <c r="AR148" s="173"/>
      <c r="AS148" s="173"/>
      <c r="AT148" s="173"/>
      <c r="AU148" s="173"/>
      <c r="AV148" s="174"/>
    </row>
    <row r="149" spans="1:48">
      <c r="A149" s="204">
        <v>30</v>
      </c>
      <c r="B149" s="208" t="str">
        <v>EUSWE2F ICPL Curncy</v>
      </c>
      <c r="C149" s="172" t="s">
        <v>597</v>
      </c>
      <c r="D149" s="173" t="s">
        <v>392</v>
      </c>
      <c r="E149" s="173" t="s">
        <v>393</v>
      </c>
      <c r="F149" s="173" t="s">
        <v>189</v>
      </c>
      <c r="G149" s="173" t="s">
        <v>317</v>
      </c>
      <c r="H149" s="174" t="b">
        <v>0</v>
      </c>
      <c r="J149" s="208" t="str">
        <v>EUSA50 MHIS Curncy</v>
      </c>
      <c r="K149" s="172" t="s">
        <v>626</v>
      </c>
      <c r="L149" s="173" t="s">
        <v>2146</v>
      </c>
      <c r="M149" s="173" t="s">
        <v>393</v>
      </c>
      <c r="N149" s="173" t="s">
        <v>472</v>
      </c>
      <c r="O149" s="173" t="s">
        <v>13</v>
      </c>
      <c r="P149" s="174" t="b">
        <v>1</v>
      </c>
      <c r="Q149" s="1115"/>
      <c r="R149" s="208" t="str">
        <v xml:space="preserve">  </v>
      </c>
      <c r="S149" s="172"/>
      <c r="T149" s="173"/>
      <c r="U149" s="173"/>
      <c r="V149" s="173"/>
      <c r="W149" s="173"/>
      <c r="X149" s="174"/>
      <c r="Y149" s="159"/>
      <c r="Z149" s="208" t="str">
        <v xml:space="preserve">  </v>
      </c>
      <c r="AA149" s="172"/>
      <c r="AB149" s="173"/>
      <c r="AC149" s="173"/>
      <c r="AD149" s="173"/>
      <c r="AE149" s="173"/>
      <c r="AF149" s="174"/>
      <c r="AG149" s="178"/>
      <c r="AH149" s="208" t="str">
        <v xml:space="preserve">  </v>
      </c>
      <c r="AI149" s="172"/>
      <c r="AJ149" s="173"/>
      <c r="AK149" s="173"/>
      <c r="AL149" s="173"/>
      <c r="AM149" s="173"/>
      <c r="AN149" s="174"/>
      <c r="AO149" s="178"/>
      <c r="AP149" s="208" t="str">
        <v xml:space="preserve">  </v>
      </c>
      <c r="AQ149" s="172"/>
      <c r="AR149" s="173"/>
      <c r="AS149" s="173"/>
      <c r="AT149" s="173"/>
      <c r="AU149" s="173"/>
      <c r="AV149" s="174"/>
    </row>
    <row r="150" spans="1:48">
      <c r="A150" s="204">
        <v>31</v>
      </c>
      <c r="B150" s="208" t="str">
        <v>EUSWE3 ICPL Curncy</v>
      </c>
      <c r="C150" s="172" t="s">
        <v>601</v>
      </c>
      <c r="D150" s="173" t="s">
        <v>392</v>
      </c>
      <c r="E150" s="173" t="s">
        <v>393</v>
      </c>
      <c r="F150" s="173" t="s">
        <v>189</v>
      </c>
      <c r="G150" s="173" t="s">
        <v>37</v>
      </c>
      <c r="H150" s="174" t="b">
        <v>1</v>
      </c>
      <c r="J150" s="208" t="str">
        <v xml:space="preserve">  </v>
      </c>
      <c r="K150" s="172"/>
      <c r="L150" s="173"/>
      <c r="M150" s="173"/>
      <c r="N150" s="173"/>
      <c r="O150" s="173"/>
      <c r="P150" s="174"/>
      <c r="R150" s="208" t="str">
        <v xml:space="preserve">  </v>
      </c>
      <c r="S150" s="172"/>
      <c r="T150" s="173"/>
      <c r="U150" s="173"/>
      <c r="V150" s="173"/>
      <c r="W150" s="173"/>
      <c r="X150" s="174"/>
      <c r="Y150" s="159"/>
      <c r="Z150" s="208" t="str">
        <v xml:space="preserve">  </v>
      </c>
      <c r="AA150" s="172"/>
      <c r="AB150" s="173"/>
      <c r="AC150" s="173"/>
      <c r="AD150" s="173"/>
      <c r="AE150" s="173"/>
      <c r="AF150" s="174"/>
      <c r="AG150" s="178"/>
      <c r="AH150" s="208" t="str">
        <v xml:space="preserve">  </v>
      </c>
      <c r="AI150" s="172"/>
      <c r="AJ150" s="173"/>
      <c r="AK150" s="173"/>
      <c r="AL150" s="173"/>
      <c r="AM150" s="173"/>
      <c r="AN150" s="174"/>
      <c r="AO150" s="178"/>
      <c r="AP150" s="208" t="str">
        <v xml:space="preserve">  </v>
      </c>
      <c r="AQ150" s="172"/>
      <c r="AR150" s="173"/>
      <c r="AS150" s="173"/>
      <c r="AT150" s="173"/>
      <c r="AU150" s="173"/>
      <c r="AV150" s="174"/>
    </row>
    <row r="151" spans="1:48">
      <c r="A151" s="204">
        <v>32</v>
      </c>
      <c r="B151" s="208" t="str">
        <v>EUSWE4 ICPL Curncy</v>
      </c>
      <c r="C151" s="172" t="s">
        <v>603</v>
      </c>
      <c r="D151" s="173" t="s">
        <v>392</v>
      </c>
      <c r="E151" s="173" t="s">
        <v>393</v>
      </c>
      <c r="F151" s="173" t="s">
        <v>189</v>
      </c>
      <c r="G151" s="173" t="s">
        <v>33</v>
      </c>
      <c r="H151" s="174" t="b">
        <v>1</v>
      </c>
      <c r="J151" s="208" t="str">
        <v xml:space="preserve">  </v>
      </c>
      <c r="K151" s="172"/>
      <c r="L151" s="173"/>
      <c r="M151" s="173"/>
      <c r="N151" s="173"/>
      <c r="O151" s="173"/>
      <c r="P151" s="174"/>
      <c r="R151" s="208" t="str">
        <v xml:space="preserve">  </v>
      </c>
      <c r="S151" s="172"/>
      <c r="T151" s="173"/>
      <c r="U151" s="173"/>
      <c r="V151" s="173"/>
      <c r="W151" s="173"/>
      <c r="X151" s="174"/>
      <c r="Y151" s="159"/>
      <c r="Z151" s="208" t="str">
        <v xml:space="preserve">  </v>
      </c>
      <c r="AA151" s="172"/>
      <c r="AB151" s="173"/>
      <c r="AC151" s="173"/>
      <c r="AD151" s="173"/>
      <c r="AE151" s="173"/>
      <c r="AF151" s="174"/>
      <c r="AG151" s="178"/>
      <c r="AH151" s="208" t="str">
        <v xml:space="preserve">  </v>
      </c>
      <c r="AI151" s="172"/>
      <c r="AJ151" s="173"/>
      <c r="AK151" s="173"/>
      <c r="AL151" s="173"/>
      <c r="AM151" s="173"/>
      <c r="AN151" s="174"/>
      <c r="AO151" s="178"/>
      <c r="AP151" s="208" t="str">
        <v xml:space="preserve">  </v>
      </c>
      <c r="AQ151" s="172"/>
      <c r="AR151" s="173"/>
      <c r="AS151" s="173"/>
      <c r="AT151" s="173"/>
      <c r="AU151" s="173"/>
      <c r="AV151" s="174"/>
    </row>
    <row r="152" spans="1:48">
      <c r="A152" s="204">
        <v>33</v>
      </c>
      <c r="B152" s="208" t="str">
        <v>EUSWE5 ICPL Curncy</v>
      </c>
      <c r="C152" s="172" t="s">
        <v>605</v>
      </c>
      <c r="D152" s="173" t="s">
        <v>392</v>
      </c>
      <c r="E152" s="173" t="s">
        <v>393</v>
      </c>
      <c r="F152" s="173" t="s">
        <v>189</v>
      </c>
      <c r="G152" s="173" t="s">
        <v>31</v>
      </c>
      <c r="H152" s="174" t="b">
        <v>1</v>
      </c>
      <c r="J152" s="208" t="str">
        <v xml:space="preserve">  </v>
      </c>
      <c r="K152" s="172"/>
      <c r="L152" s="173"/>
      <c r="M152" s="173"/>
      <c r="N152" s="173"/>
      <c r="O152" s="173"/>
      <c r="P152" s="174"/>
      <c r="R152" s="208" t="str">
        <v xml:space="preserve">  </v>
      </c>
      <c r="S152" s="172"/>
      <c r="T152" s="173"/>
      <c r="U152" s="173"/>
      <c r="V152" s="173"/>
      <c r="W152" s="173"/>
      <c r="X152" s="174"/>
      <c r="Y152" s="159"/>
      <c r="Z152" s="208" t="str">
        <v xml:space="preserve">  </v>
      </c>
      <c r="AA152" s="172"/>
      <c r="AB152" s="173"/>
      <c r="AC152" s="173"/>
      <c r="AD152" s="173"/>
      <c r="AE152" s="173"/>
      <c r="AF152" s="174"/>
      <c r="AG152" s="178"/>
      <c r="AH152" s="208" t="str">
        <v xml:space="preserve">  </v>
      </c>
      <c r="AI152" s="172"/>
      <c r="AJ152" s="173"/>
      <c r="AK152" s="173"/>
      <c r="AL152" s="173"/>
      <c r="AM152" s="173"/>
      <c r="AN152" s="174"/>
      <c r="AO152" s="178"/>
      <c r="AP152" s="208" t="str">
        <v xml:space="preserve">  </v>
      </c>
      <c r="AQ152" s="172"/>
      <c r="AR152" s="173"/>
      <c r="AS152" s="173"/>
      <c r="AT152" s="173"/>
      <c r="AU152" s="173"/>
      <c r="AV152" s="174"/>
    </row>
    <row r="153" spans="1:48">
      <c r="A153" s="204">
        <v>34</v>
      </c>
      <c r="B153" s="208" t="str">
        <v>EUSWE6 ICPL Curncy</v>
      </c>
      <c r="C153" s="172" t="s">
        <v>607</v>
      </c>
      <c r="D153" s="173" t="s">
        <v>392</v>
      </c>
      <c r="E153" s="173" t="s">
        <v>393</v>
      </c>
      <c r="F153" s="173" t="s">
        <v>189</v>
      </c>
      <c r="G153" s="173" t="s">
        <v>127</v>
      </c>
      <c r="H153" s="174" t="b">
        <v>1</v>
      </c>
      <c r="J153" s="208" t="str">
        <v xml:space="preserve">  </v>
      </c>
      <c r="K153" s="172"/>
      <c r="L153" s="173"/>
      <c r="M153" s="173"/>
      <c r="N153" s="173"/>
      <c r="O153" s="173"/>
      <c r="P153" s="174"/>
      <c r="R153" s="208" t="str">
        <v xml:space="preserve">  </v>
      </c>
      <c r="S153" s="172"/>
      <c r="T153" s="173"/>
      <c r="U153" s="173"/>
      <c r="V153" s="173"/>
      <c r="W153" s="173"/>
      <c r="X153" s="174"/>
      <c r="Y153" s="159"/>
      <c r="Z153" s="208" t="str">
        <v xml:space="preserve">  </v>
      </c>
      <c r="AA153" s="172"/>
      <c r="AB153" s="173"/>
      <c r="AC153" s="173"/>
      <c r="AD153" s="173"/>
      <c r="AE153" s="173"/>
      <c r="AF153" s="174"/>
      <c r="AG153" s="178"/>
      <c r="AH153" s="208" t="str">
        <v xml:space="preserve">  </v>
      </c>
      <c r="AI153" s="172"/>
      <c r="AJ153" s="173"/>
      <c r="AK153" s="173"/>
      <c r="AL153" s="173"/>
      <c r="AM153" s="173"/>
      <c r="AN153" s="174"/>
      <c r="AO153" s="178"/>
      <c r="AP153" s="208" t="str">
        <v xml:space="preserve">  </v>
      </c>
      <c r="AQ153" s="172"/>
      <c r="AR153" s="173"/>
      <c r="AS153" s="173"/>
      <c r="AT153" s="173"/>
      <c r="AU153" s="173"/>
      <c r="AV153" s="174"/>
    </row>
    <row r="154" spans="1:48">
      <c r="A154" s="204">
        <v>35</v>
      </c>
      <c r="B154" s="208" t="str">
        <v>EUSWE7 ICPL Curncy</v>
      </c>
      <c r="C154" s="172" t="s">
        <v>609</v>
      </c>
      <c r="D154" s="173" t="s">
        <v>392</v>
      </c>
      <c r="E154" s="173" t="s">
        <v>393</v>
      </c>
      <c r="F154" s="173" t="s">
        <v>189</v>
      </c>
      <c r="G154" s="173" t="s">
        <v>29</v>
      </c>
      <c r="H154" s="174" t="b">
        <v>1</v>
      </c>
      <c r="J154" s="208" t="str">
        <v xml:space="preserve">  </v>
      </c>
      <c r="K154" s="172"/>
      <c r="L154" s="173"/>
      <c r="M154" s="173"/>
      <c r="N154" s="173"/>
      <c r="O154" s="173"/>
      <c r="P154" s="174"/>
      <c r="R154" s="208" t="str">
        <v xml:space="preserve">  </v>
      </c>
      <c r="S154" s="172"/>
      <c r="T154" s="173"/>
      <c r="U154" s="173"/>
      <c r="V154" s="173"/>
      <c r="W154" s="173"/>
      <c r="X154" s="174"/>
      <c r="Y154" s="159"/>
      <c r="Z154" s="208" t="str">
        <v xml:space="preserve">  </v>
      </c>
      <c r="AA154" s="172"/>
      <c r="AB154" s="173"/>
      <c r="AC154" s="173"/>
      <c r="AD154" s="173"/>
      <c r="AE154" s="173"/>
      <c r="AF154" s="174"/>
      <c r="AG154" s="178"/>
      <c r="AH154" s="208" t="str">
        <v xml:space="preserve">  </v>
      </c>
      <c r="AI154" s="172"/>
      <c r="AJ154" s="173"/>
      <c r="AK154" s="173"/>
      <c r="AL154" s="173"/>
      <c r="AM154" s="173"/>
      <c r="AN154" s="174"/>
      <c r="AO154" s="178"/>
      <c r="AP154" s="208" t="str">
        <v xml:space="preserve">  </v>
      </c>
      <c r="AQ154" s="172"/>
      <c r="AR154" s="173"/>
      <c r="AS154" s="173"/>
      <c r="AT154" s="173"/>
      <c r="AU154" s="173"/>
      <c r="AV154" s="174"/>
    </row>
    <row r="155" spans="1:48">
      <c r="A155" s="204">
        <v>36</v>
      </c>
      <c r="B155" s="208" t="str">
        <v>EUSWE8 ICPL Curncy</v>
      </c>
      <c r="C155" s="172" t="s">
        <v>611</v>
      </c>
      <c r="D155" s="173" t="s">
        <v>392</v>
      </c>
      <c r="E155" s="173" t="s">
        <v>393</v>
      </c>
      <c r="F155" s="173" t="s">
        <v>189</v>
      </c>
      <c r="G155" s="173" t="s">
        <v>115</v>
      </c>
      <c r="H155" s="174" t="b">
        <v>1</v>
      </c>
      <c r="J155" s="208" t="str">
        <v xml:space="preserve">  </v>
      </c>
      <c r="K155" s="172"/>
      <c r="L155" s="173"/>
      <c r="M155" s="173"/>
      <c r="N155" s="173"/>
      <c r="O155" s="173"/>
      <c r="P155" s="174"/>
      <c r="R155" s="208" t="str">
        <v xml:space="preserve">  </v>
      </c>
      <c r="S155" s="172"/>
      <c r="T155" s="173"/>
      <c r="U155" s="173"/>
      <c r="V155" s="173"/>
      <c r="W155" s="173"/>
      <c r="X155" s="174"/>
      <c r="Y155" s="159"/>
      <c r="Z155" s="208" t="str">
        <v xml:space="preserve">  </v>
      </c>
      <c r="AA155" s="172"/>
      <c r="AB155" s="173"/>
      <c r="AC155" s="173"/>
      <c r="AD155" s="173"/>
      <c r="AE155" s="173"/>
      <c r="AF155" s="174"/>
      <c r="AG155" s="178"/>
      <c r="AH155" s="208" t="str">
        <v xml:space="preserve">  </v>
      </c>
      <c r="AI155" s="172"/>
      <c r="AJ155" s="173"/>
      <c r="AK155" s="173"/>
      <c r="AL155" s="173"/>
      <c r="AM155" s="173"/>
      <c r="AN155" s="174"/>
      <c r="AO155" s="178"/>
      <c r="AP155" s="208" t="str">
        <v xml:space="preserve">  </v>
      </c>
      <c r="AQ155" s="172"/>
      <c r="AR155" s="173"/>
      <c r="AS155" s="173"/>
      <c r="AT155" s="173"/>
      <c r="AU155" s="173"/>
      <c r="AV155" s="174"/>
    </row>
    <row r="156" spans="1:48">
      <c r="A156" s="204">
        <v>37</v>
      </c>
      <c r="B156" s="208" t="str">
        <v>EUSWE9 ICPL Curncy</v>
      </c>
      <c r="C156" s="172" t="s">
        <v>613</v>
      </c>
      <c r="D156" s="173" t="s">
        <v>392</v>
      </c>
      <c r="E156" s="173" t="s">
        <v>393</v>
      </c>
      <c r="F156" s="173" t="s">
        <v>189</v>
      </c>
      <c r="G156" s="173" t="s">
        <v>109</v>
      </c>
      <c r="H156" s="174" t="b">
        <v>1</v>
      </c>
      <c r="J156" s="208" t="str">
        <v xml:space="preserve">  </v>
      </c>
      <c r="K156" s="172"/>
      <c r="L156" s="173"/>
      <c r="M156" s="173"/>
      <c r="N156" s="173"/>
      <c r="O156" s="173"/>
      <c r="P156" s="174"/>
      <c r="R156" s="208" t="str">
        <v xml:space="preserve">  </v>
      </c>
      <c r="S156" s="172"/>
      <c r="T156" s="173"/>
      <c r="U156" s="173"/>
      <c r="V156" s="173"/>
      <c r="W156" s="173"/>
      <c r="X156" s="174"/>
      <c r="Y156" s="159"/>
      <c r="Z156" s="208" t="str">
        <v xml:space="preserve">  </v>
      </c>
      <c r="AA156" s="172"/>
      <c r="AB156" s="173"/>
      <c r="AC156" s="173"/>
      <c r="AD156" s="173"/>
      <c r="AE156" s="173"/>
      <c r="AF156" s="174"/>
      <c r="AG156" s="178"/>
      <c r="AH156" s="208" t="str">
        <v xml:space="preserve">  </v>
      </c>
      <c r="AI156" s="172"/>
      <c r="AJ156" s="173"/>
      <c r="AK156" s="173"/>
      <c r="AL156" s="173"/>
      <c r="AM156" s="173"/>
      <c r="AN156" s="174"/>
      <c r="AO156" s="178"/>
      <c r="AP156" s="208" t="str">
        <v xml:space="preserve">  </v>
      </c>
      <c r="AQ156" s="172"/>
      <c r="AR156" s="173"/>
      <c r="AS156" s="173"/>
      <c r="AT156" s="173"/>
      <c r="AU156" s="173"/>
      <c r="AV156" s="174"/>
    </row>
    <row r="157" spans="1:48">
      <c r="A157" s="204">
        <v>38</v>
      </c>
      <c r="B157" s="208" t="str">
        <v>EUSWE10 ICPL Curncy</v>
      </c>
      <c r="C157" s="172" t="s">
        <v>615</v>
      </c>
      <c r="D157" s="173" t="s">
        <v>392</v>
      </c>
      <c r="E157" s="173" t="s">
        <v>393</v>
      </c>
      <c r="F157" s="173" t="s">
        <v>189</v>
      </c>
      <c r="G157" s="173" t="s">
        <v>27</v>
      </c>
      <c r="H157" s="174" t="b">
        <v>1</v>
      </c>
      <c r="J157" s="208" t="str">
        <v xml:space="preserve">  </v>
      </c>
      <c r="K157" s="172"/>
      <c r="L157" s="173"/>
      <c r="M157" s="173"/>
      <c r="N157" s="173"/>
      <c r="O157" s="173"/>
      <c r="P157" s="174"/>
      <c r="R157" s="208" t="str">
        <v xml:space="preserve">  </v>
      </c>
      <c r="S157" s="172"/>
      <c r="T157" s="173"/>
      <c r="U157" s="173"/>
      <c r="V157" s="173"/>
      <c r="W157" s="173"/>
      <c r="X157" s="174"/>
      <c r="Y157" s="159"/>
      <c r="Z157" s="208" t="str">
        <v xml:space="preserve">  </v>
      </c>
      <c r="AA157" s="172"/>
      <c r="AB157" s="173"/>
      <c r="AC157" s="173"/>
      <c r="AD157" s="173"/>
      <c r="AE157" s="173"/>
      <c r="AF157" s="174"/>
      <c r="AG157" s="178"/>
      <c r="AH157" s="208" t="str">
        <v xml:space="preserve">  </v>
      </c>
      <c r="AI157" s="172"/>
      <c r="AJ157" s="173"/>
      <c r="AK157" s="173"/>
      <c r="AL157" s="173"/>
      <c r="AM157" s="173"/>
      <c r="AN157" s="174"/>
      <c r="AO157" s="178"/>
      <c r="AP157" s="208" t="str">
        <v xml:space="preserve">  </v>
      </c>
      <c r="AQ157" s="172"/>
      <c r="AR157" s="173"/>
      <c r="AS157" s="173"/>
      <c r="AT157" s="173"/>
      <c r="AU157" s="173"/>
      <c r="AV157" s="174"/>
    </row>
    <row r="158" spans="1:48">
      <c r="A158" s="204">
        <v>39</v>
      </c>
      <c r="B158" s="208" t="str">
        <v>EUSWE11 ICPL Curncy</v>
      </c>
      <c r="C158" s="172" t="s">
        <v>617</v>
      </c>
      <c r="D158" s="173" t="s">
        <v>392</v>
      </c>
      <c r="E158" s="173" t="s">
        <v>393</v>
      </c>
      <c r="F158" s="173" t="s">
        <v>189</v>
      </c>
      <c r="G158" s="173" t="s">
        <v>318</v>
      </c>
      <c r="H158" s="174" t="b">
        <v>1</v>
      </c>
      <c r="J158" s="208" t="str">
        <v xml:space="preserve">  </v>
      </c>
      <c r="K158" s="172"/>
      <c r="L158" s="173"/>
      <c r="M158" s="173"/>
      <c r="N158" s="173"/>
      <c r="O158" s="173"/>
      <c r="P158" s="174"/>
      <c r="R158" s="208" t="str">
        <v xml:space="preserve">  </v>
      </c>
      <c r="S158" s="172"/>
      <c r="T158" s="173"/>
      <c r="U158" s="173"/>
      <c r="V158" s="173"/>
      <c r="W158" s="173"/>
      <c r="X158" s="174"/>
      <c r="Y158" s="159"/>
      <c r="Z158" s="208" t="str">
        <v xml:space="preserve">  </v>
      </c>
      <c r="AA158" s="172"/>
      <c r="AB158" s="173"/>
      <c r="AC158" s="173"/>
      <c r="AD158" s="173"/>
      <c r="AE158" s="173"/>
      <c r="AF158" s="174"/>
      <c r="AG158" s="178"/>
      <c r="AH158" s="208" t="str">
        <v xml:space="preserve">  </v>
      </c>
      <c r="AI158" s="172"/>
      <c r="AJ158" s="173"/>
      <c r="AK158" s="173"/>
      <c r="AL158" s="173"/>
      <c r="AM158" s="173"/>
      <c r="AN158" s="174"/>
      <c r="AO158" s="178"/>
      <c r="AP158" s="208" t="str">
        <v xml:space="preserve">  </v>
      </c>
      <c r="AQ158" s="172"/>
      <c r="AR158" s="173"/>
      <c r="AS158" s="173"/>
      <c r="AT158" s="173"/>
      <c r="AU158" s="173"/>
      <c r="AV158" s="174"/>
    </row>
    <row r="159" spans="1:48">
      <c r="A159" s="204">
        <v>40</v>
      </c>
      <c r="B159" s="208" t="str">
        <v>EUSWE12 ICPL Curncy</v>
      </c>
      <c r="C159" s="172" t="s">
        <v>619</v>
      </c>
      <c r="D159" s="173" t="s">
        <v>392</v>
      </c>
      <c r="E159" s="173" t="s">
        <v>393</v>
      </c>
      <c r="F159" s="173" t="s">
        <v>189</v>
      </c>
      <c r="G159" s="173" t="s">
        <v>25</v>
      </c>
      <c r="H159" s="174" t="b">
        <v>1</v>
      </c>
      <c r="J159" s="208" t="str">
        <v xml:space="preserve">  </v>
      </c>
      <c r="K159" s="172"/>
      <c r="L159" s="173"/>
      <c r="M159" s="173"/>
      <c r="N159" s="173"/>
      <c r="O159" s="173"/>
      <c r="P159" s="174"/>
      <c r="R159" s="208" t="str">
        <v xml:space="preserve">  </v>
      </c>
      <c r="S159" s="172"/>
      <c r="T159" s="173"/>
      <c r="U159" s="173"/>
      <c r="V159" s="173"/>
      <c r="W159" s="173"/>
      <c r="X159" s="174"/>
      <c r="Y159" s="159"/>
      <c r="Z159" s="208" t="str">
        <v xml:space="preserve">  </v>
      </c>
      <c r="AA159" s="172"/>
      <c r="AB159" s="173"/>
      <c r="AC159" s="173"/>
      <c r="AD159" s="173"/>
      <c r="AE159" s="173"/>
      <c r="AF159" s="174"/>
      <c r="AG159" s="178"/>
      <c r="AH159" s="208" t="str">
        <v xml:space="preserve">  </v>
      </c>
      <c r="AI159" s="172"/>
      <c r="AJ159" s="173"/>
      <c r="AK159" s="173"/>
      <c r="AL159" s="173"/>
      <c r="AM159" s="173"/>
      <c r="AN159" s="174"/>
      <c r="AO159" s="178"/>
      <c r="AP159" s="208" t="str">
        <v xml:space="preserve">  </v>
      </c>
      <c r="AQ159" s="172"/>
      <c r="AR159" s="173"/>
      <c r="AS159" s="173"/>
      <c r="AT159" s="173"/>
      <c r="AU159" s="173"/>
      <c r="AV159" s="174"/>
    </row>
    <row r="160" spans="1:48">
      <c r="A160" s="204">
        <v>41</v>
      </c>
      <c r="B160" s="208" t="str">
        <v>EUSWE15 ICPL Curncy</v>
      </c>
      <c r="C160" s="172" t="s">
        <v>621</v>
      </c>
      <c r="D160" s="173" t="s">
        <v>392</v>
      </c>
      <c r="E160" s="173" t="s">
        <v>393</v>
      </c>
      <c r="F160" s="173" t="s">
        <v>189</v>
      </c>
      <c r="G160" s="173" t="s">
        <v>23</v>
      </c>
      <c r="H160" s="174" t="b">
        <v>1</v>
      </c>
      <c r="J160" s="208" t="str">
        <v xml:space="preserve">  </v>
      </c>
      <c r="K160" s="172"/>
      <c r="L160" s="173"/>
      <c r="M160" s="173"/>
      <c r="N160" s="173"/>
      <c r="O160" s="173"/>
      <c r="P160" s="174"/>
      <c r="R160" s="208" t="str">
        <v xml:space="preserve">  </v>
      </c>
      <c r="S160" s="172"/>
      <c r="T160" s="173"/>
      <c r="U160" s="173"/>
      <c r="V160" s="173"/>
      <c r="W160" s="173"/>
      <c r="X160" s="174"/>
      <c r="Y160" s="159"/>
      <c r="Z160" s="208" t="str">
        <v xml:space="preserve">  </v>
      </c>
      <c r="AA160" s="172"/>
      <c r="AB160" s="173"/>
      <c r="AC160" s="173"/>
      <c r="AD160" s="173"/>
      <c r="AE160" s="173"/>
      <c r="AF160" s="174"/>
      <c r="AG160" s="178"/>
      <c r="AH160" s="208" t="str">
        <v xml:space="preserve">  </v>
      </c>
      <c r="AI160" s="172"/>
      <c r="AJ160" s="173"/>
      <c r="AK160" s="173"/>
      <c r="AL160" s="173"/>
      <c r="AM160" s="173"/>
      <c r="AN160" s="174"/>
      <c r="AO160" s="178"/>
      <c r="AP160" s="208" t="str">
        <v xml:space="preserve">  </v>
      </c>
      <c r="AQ160" s="172"/>
      <c r="AR160" s="173"/>
      <c r="AS160" s="173"/>
      <c r="AT160" s="173"/>
      <c r="AU160" s="173"/>
      <c r="AV160" s="174"/>
    </row>
    <row r="161" spans="1:48">
      <c r="A161" s="204">
        <v>42</v>
      </c>
      <c r="B161" s="208" t="str">
        <v>EUSWE20 ICPL Curncy</v>
      </c>
      <c r="C161" s="172" t="s">
        <v>622</v>
      </c>
      <c r="D161" s="173" t="s">
        <v>392</v>
      </c>
      <c r="E161" s="173" t="s">
        <v>393</v>
      </c>
      <c r="F161" s="173" t="s">
        <v>189</v>
      </c>
      <c r="G161" s="173" t="s">
        <v>19</v>
      </c>
      <c r="H161" s="174" t="b">
        <v>1</v>
      </c>
      <c r="J161" s="208" t="str">
        <v xml:space="preserve">  </v>
      </c>
      <c r="K161" s="172"/>
      <c r="L161" s="173"/>
      <c r="M161" s="173"/>
      <c r="N161" s="173"/>
      <c r="O161" s="173"/>
      <c r="P161" s="174"/>
      <c r="R161" s="208" t="str">
        <v xml:space="preserve">  </v>
      </c>
      <c r="S161" s="172"/>
      <c r="T161" s="173"/>
      <c r="U161" s="173"/>
      <c r="V161" s="173"/>
      <c r="W161" s="173"/>
      <c r="X161" s="174"/>
      <c r="Y161" s="159"/>
      <c r="Z161" s="208" t="str">
        <v xml:space="preserve">  </v>
      </c>
      <c r="AA161" s="172"/>
      <c r="AB161" s="173"/>
      <c r="AC161" s="173"/>
      <c r="AD161" s="173"/>
      <c r="AE161" s="173"/>
      <c r="AF161" s="174"/>
      <c r="AG161" s="178"/>
      <c r="AH161" s="208" t="str">
        <v xml:space="preserve">  </v>
      </c>
      <c r="AI161" s="172"/>
      <c r="AJ161" s="173"/>
      <c r="AK161" s="173"/>
      <c r="AL161" s="173"/>
      <c r="AM161" s="173"/>
      <c r="AN161" s="174"/>
      <c r="AO161" s="178"/>
      <c r="AP161" s="208" t="str">
        <v xml:space="preserve">  </v>
      </c>
      <c r="AQ161" s="172"/>
      <c r="AR161" s="173"/>
      <c r="AS161" s="173"/>
      <c r="AT161" s="173"/>
      <c r="AU161" s="173"/>
      <c r="AV161" s="174"/>
    </row>
    <row r="162" spans="1:48">
      <c r="A162" s="204">
        <v>43</v>
      </c>
      <c r="B162" s="208" t="str">
        <v>EUSWE25 ICPL Curncy</v>
      </c>
      <c r="C162" s="172" t="s">
        <v>624</v>
      </c>
      <c r="D162" s="173" t="s">
        <v>392</v>
      </c>
      <c r="E162" s="173" t="s">
        <v>393</v>
      </c>
      <c r="F162" s="173" t="s">
        <v>189</v>
      </c>
      <c r="G162" s="173" t="s">
        <v>17</v>
      </c>
      <c r="H162" s="174" t="b">
        <v>1</v>
      </c>
      <c r="J162" s="208" t="str">
        <v xml:space="preserve">  </v>
      </c>
      <c r="K162" s="172"/>
      <c r="L162" s="173"/>
      <c r="M162" s="173"/>
      <c r="N162" s="173"/>
      <c r="O162" s="173"/>
      <c r="P162" s="174"/>
      <c r="R162" s="208" t="str">
        <v xml:space="preserve">  </v>
      </c>
      <c r="S162" s="172"/>
      <c r="T162" s="173"/>
      <c r="U162" s="173"/>
      <c r="V162" s="173"/>
      <c r="W162" s="173"/>
      <c r="X162" s="174"/>
      <c r="Y162" s="159"/>
      <c r="Z162" s="208" t="str">
        <v xml:space="preserve">  </v>
      </c>
      <c r="AA162" s="172"/>
      <c r="AB162" s="173"/>
      <c r="AC162" s="173"/>
      <c r="AD162" s="173"/>
      <c r="AE162" s="173"/>
      <c r="AF162" s="174"/>
      <c r="AG162" s="178"/>
      <c r="AH162" s="208" t="str">
        <v xml:space="preserve">  </v>
      </c>
      <c r="AI162" s="172"/>
      <c r="AJ162" s="173"/>
      <c r="AK162" s="173"/>
      <c r="AL162" s="173"/>
      <c r="AM162" s="173"/>
      <c r="AN162" s="174"/>
      <c r="AO162" s="178"/>
      <c r="AP162" s="208" t="str">
        <v xml:space="preserve">  </v>
      </c>
      <c r="AQ162" s="172"/>
      <c r="AR162" s="173"/>
      <c r="AS162" s="173"/>
      <c r="AT162" s="173"/>
      <c r="AU162" s="173"/>
      <c r="AV162" s="174"/>
    </row>
    <row r="163" spans="1:48">
      <c r="A163" s="204">
        <v>44</v>
      </c>
      <c r="B163" s="208" t="str">
        <v>EUSWE30 ICPL Curncy</v>
      </c>
      <c r="C163" s="172" t="s">
        <v>625</v>
      </c>
      <c r="D163" s="173" t="s">
        <v>392</v>
      </c>
      <c r="E163" s="173" t="s">
        <v>393</v>
      </c>
      <c r="F163" s="173" t="s">
        <v>189</v>
      </c>
      <c r="G163" s="173" t="s">
        <v>16</v>
      </c>
      <c r="H163" s="174" t="b">
        <v>1</v>
      </c>
      <c r="J163" s="208" t="str">
        <v xml:space="preserve">  </v>
      </c>
      <c r="K163" s="172"/>
      <c r="L163" s="173"/>
      <c r="M163" s="173"/>
      <c r="N163" s="173"/>
      <c r="O163" s="173"/>
      <c r="P163" s="174"/>
      <c r="R163" s="208" t="str">
        <v xml:space="preserve">  </v>
      </c>
      <c r="S163" s="172"/>
      <c r="T163" s="173"/>
      <c r="U163" s="173"/>
      <c r="V163" s="173"/>
      <c r="W163" s="173"/>
      <c r="X163" s="174"/>
      <c r="Y163" s="159"/>
      <c r="Z163" s="208" t="str">
        <v xml:space="preserve">  </v>
      </c>
      <c r="AA163" s="172"/>
      <c r="AB163" s="173"/>
      <c r="AC163" s="173"/>
      <c r="AD163" s="173"/>
      <c r="AE163" s="173"/>
      <c r="AF163" s="174"/>
      <c r="AG163" s="178"/>
      <c r="AH163" s="208" t="str">
        <v xml:space="preserve">  </v>
      </c>
      <c r="AI163" s="172"/>
      <c r="AJ163" s="173"/>
      <c r="AK163" s="173"/>
      <c r="AL163" s="173"/>
      <c r="AM163" s="173"/>
      <c r="AN163" s="174"/>
      <c r="AO163" s="178"/>
      <c r="AP163" s="208" t="str">
        <v xml:space="preserve">  </v>
      </c>
      <c r="AQ163" s="172"/>
      <c r="AR163" s="173"/>
      <c r="AS163" s="173"/>
      <c r="AT163" s="173"/>
      <c r="AU163" s="173"/>
      <c r="AV163" s="174"/>
    </row>
    <row r="164" spans="1:48">
      <c r="A164" s="204">
        <v>45</v>
      </c>
      <c r="B164" s="208" t="str">
        <v>EUSWE35 ICPL Curncy</v>
      </c>
      <c r="C164" s="172" t="s">
        <v>627</v>
      </c>
      <c r="D164" s="173" t="s">
        <v>392</v>
      </c>
      <c r="E164" s="173" t="s">
        <v>393</v>
      </c>
      <c r="F164" s="173" t="s">
        <v>189</v>
      </c>
      <c r="G164" s="173" t="s">
        <v>15</v>
      </c>
      <c r="H164" s="174" t="b">
        <v>1</v>
      </c>
      <c r="J164" s="208" t="str">
        <v xml:space="preserve">  </v>
      </c>
      <c r="K164" s="172"/>
      <c r="L164" s="173"/>
      <c r="M164" s="173"/>
      <c r="N164" s="173"/>
      <c r="O164" s="173"/>
      <c r="P164" s="174"/>
      <c r="R164" s="208" t="str">
        <v xml:space="preserve">  </v>
      </c>
      <c r="S164" s="172"/>
      <c r="T164" s="173"/>
      <c r="U164" s="173"/>
      <c r="V164" s="173"/>
      <c r="W164" s="173"/>
      <c r="X164" s="174"/>
      <c r="Y164" s="159"/>
      <c r="Z164" s="208" t="str">
        <v xml:space="preserve">  </v>
      </c>
      <c r="AA164" s="172"/>
      <c r="AB164" s="173"/>
      <c r="AC164" s="173"/>
      <c r="AD164" s="173"/>
      <c r="AE164" s="173"/>
      <c r="AF164" s="174"/>
      <c r="AG164" s="178"/>
      <c r="AH164" s="208" t="str">
        <v xml:space="preserve">  </v>
      </c>
      <c r="AI164" s="172"/>
      <c r="AJ164" s="173"/>
      <c r="AK164" s="173"/>
      <c r="AL164" s="173"/>
      <c r="AM164" s="173"/>
      <c r="AN164" s="174"/>
      <c r="AO164" s="178"/>
      <c r="AP164" s="208" t="str">
        <v xml:space="preserve">  </v>
      </c>
      <c r="AQ164" s="172"/>
      <c r="AR164" s="173"/>
      <c r="AS164" s="173"/>
      <c r="AT164" s="173"/>
      <c r="AU164" s="173"/>
      <c r="AV164" s="174"/>
    </row>
    <row r="165" spans="1:48">
      <c r="A165" s="204">
        <v>46</v>
      </c>
      <c r="B165" s="208" t="str">
        <v>EUSWE40 ICPL Curncy</v>
      </c>
      <c r="C165" s="172" t="s">
        <v>628</v>
      </c>
      <c r="D165" s="173" t="s">
        <v>392</v>
      </c>
      <c r="E165" s="173" t="s">
        <v>393</v>
      </c>
      <c r="F165" s="173" t="s">
        <v>189</v>
      </c>
      <c r="G165" s="173" t="s">
        <v>14</v>
      </c>
      <c r="H165" s="174" t="b">
        <v>1</v>
      </c>
      <c r="J165" s="208" t="str">
        <v xml:space="preserve">  </v>
      </c>
      <c r="K165" s="172"/>
      <c r="L165" s="173"/>
      <c r="M165" s="173"/>
      <c r="N165" s="173"/>
      <c r="O165" s="173"/>
      <c r="P165" s="174"/>
      <c r="R165" s="208" t="str">
        <v xml:space="preserve">  </v>
      </c>
      <c r="S165" s="172"/>
      <c r="T165" s="173"/>
      <c r="U165" s="173"/>
      <c r="V165" s="173"/>
      <c r="W165" s="173"/>
      <c r="X165" s="174"/>
      <c r="Y165" s="159"/>
      <c r="Z165" s="208" t="str">
        <v xml:space="preserve">  </v>
      </c>
      <c r="AA165" s="172"/>
      <c r="AB165" s="173"/>
      <c r="AC165" s="173"/>
      <c r="AD165" s="173"/>
      <c r="AE165" s="173"/>
      <c r="AF165" s="174"/>
      <c r="AG165" s="178"/>
      <c r="AH165" s="208" t="str">
        <v xml:space="preserve">  </v>
      </c>
      <c r="AI165" s="172"/>
      <c r="AJ165" s="173"/>
      <c r="AK165" s="173"/>
      <c r="AL165" s="173"/>
      <c r="AM165" s="173"/>
      <c r="AN165" s="174"/>
      <c r="AO165" s="178"/>
      <c r="AP165" s="208" t="str">
        <v xml:space="preserve">  </v>
      </c>
      <c r="AQ165" s="172"/>
      <c r="AR165" s="173"/>
      <c r="AS165" s="173"/>
      <c r="AT165" s="173"/>
      <c r="AU165" s="173"/>
      <c r="AV165" s="174"/>
    </row>
    <row r="166" spans="1:48">
      <c r="A166" s="204">
        <v>47</v>
      </c>
      <c r="B166" s="208" t="str">
        <v>EUSWE50 ICPL Curncy</v>
      </c>
      <c r="C166" s="172" t="s">
        <v>629</v>
      </c>
      <c r="D166" s="173" t="s">
        <v>392</v>
      </c>
      <c r="E166" s="173" t="s">
        <v>393</v>
      </c>
      <c r="F166" s="173" t="s">
        <v>189</v>
      </c>
      <c r="G166" s="173" t="s">
        <v>13</v>
      </c>
      <c r="H166" s="174" t="b">
        <v>1</v>
      </c>
      <c r="J166" s="208" t="str">
        <v xml:space="preserve">  </v>
      </c>
      <c r="K166" s="172"/>
      <c r="L166" s="173"/>
      <c r="M166" s="173"/>
      <c r="N166" s="173"/>
      <c r="O166" s="173"/>
      <c r="P166" s="174"/>
      <c r="R166" s="208" t="str">
        <v xml:space="preserve">  </v>
      </c>
      <c r="S166" s="172"/>
      <c r="T166" s="173"/>
      <c r="U166" s="173"/>
      <c r="V166" s="173"/>
      <c r="W166" s="173"/>
      <c r="X166" s="174"/>
      <c r="Y166" s="159"/>
      <c r="Z166" s="208" t="str">
        <v xml:space="preserve">  </v>
      </c>
      <c r="AA166" s="172"/>
      <c r="AB166" s="173"/>
      <c r="AC166" s="173"/>
      <c r="AD166" s="173"/>
      <c r="AE166" s="173"/>
      <c r="AF166" s="174"/>
      <c r="AG166" s="178"/>
      <c r="AH166" s="208" t="str">
        <v xml:space="preserve">  </v>
      </c>
      <c r="AI166" s="172"/>
      <c r="AJ166" s="173"/>
      <c r="AK166" s="173"/>
      <c r="AL166" s="173"/>
      <c r="AM166" s="173"/>
      <c r="AN166" s="174"/>
      <c r="AO166" s="178"/>
      <c r="AP166" s="208" t="str">
        <v xml:space="preserve">  </v>
      </c>
      <c r="AQ166" s="172"/>
      <c r="AR166" s="173"/>
      <c r="AS166" s="173"/>
      <c r="AT166" s="173"/>
      <c r="AU166" s="173"/>
      <c r="AV166" s="174"/>
    </row>
    <row r="167" spans="1:48">
      <c r="A167" s="204">
        <v>48</v>
      </c>
      <c r="B167" s="208" t="str">
        <v>EOBSVC2 ICPL Curncy</v>
      </c>
      <c r="C167" s="172" t="s">
        <v>936</v>
      </c>
      <c r="D167" s="173" t="s">
        <v>392</v>
      </c>
      <c r="E167" s="173" t="s">
        <v>393</v>
      </c>
      <c r="F167" s="173" t="s">
        <v>935</v>
      </c>
      <c r="G167" s="173" t="s">
        <v>40</v>
      </c>
      <c r="H167" s="174" t="b">
        <v>1</v>
      </c>
      <c r="J167" s="208" t="str">
        <v xml:space="preserve">  </v>
      </c>
      <c r="K167" s="172"/>
      <c r="L167" s="173"/>
      <c r="M167" s="173"/>
      <c r="N167" s="173"/>
      <c r="O167" s="173"/>
      <c r="P167" s="174"/>
      <c r="R167" s="208" t="str">
        <v xml:space="preserve">  </v>
      </c>
      <c r="S167" s="172"/>
      <c r="T167" s="173"/>
      <c r="U167" s="173"/>
      <c r="V167" s="173"/>
      <c r="W167" s="173"/>
      <c r="X167" s="174"/>
      <c r="Y167" s="159"/>
      <c r="Z167" s="208" t="str">
        <v xml:space="preserve">  </v>
      </c>
      <c r="AA167" s="172"/>
      <c r="AB167" s="173"/>
      <c r="AC167" s="173"/>
      <c r="AD167" s="173"/>
      <c r="AE167" s="173"/>
      <c r="AF167" s="174"/>
      <c r="AG167" s="178"/>
      <c r="AH167" s="208" t="str">
        <v xml:space="preserve">  </v>
      </c>
      <c r="AI167" s="172"/>
      <c r="AJ167" s="173"/>
      <c r="AK167" s="173"/>
      <c r="AL167" s="173"/>
      <c r="AM167" s="173"/>
      <c r="AN167" s="174"/>
      <c r="AO167" s="178"/>
      <c r="AP167" s="208" t="str">
        <v xml:space="preserve">  </v>
      </c>
      <c r="AQ167" s="172"/>
      <c r="AR167" s="173"/>
      <c r="AS167" s="173"/>
      <c r="AT167" s="173"/>
      <c r="AU167" s="173"/>
      <c r="AV167" s="174"/>
    </row>
    <row r="168" spans="1:48">
      <c r="A168" s="204">
        <v>49</v>
      </c>
      <c r="B168" s="208" t="str">
        <v>EOBSVC3 ICPL Curncy</v>
      </c>
      <c r="C168" s="172" t="s">
        <v>937</v>
      </c>
      <c r="D168" s="173" t="s">
        <v>392</v>
      </c>
      <c r="E168" s="173" t="s">
        <v>393</v>
      </c>
      <c r="F168" s="173" t="s">
        <v>935</v>
      </c>
      <c r="G168" s="173" t="s">
        <v>37</v>
      </c>
      <c r="H168" s="174" t="b">
        <v>1</v>
      </c>
      <c r="J168" s="208" t="str">
        <v xml:space="preserve">  </v>
      </c>
      <c r="K168" s="172"/>
      <c r="L168" s="173"/>
      <c r="M168" s="173"/>
      <c r="N168" s="173"/>
      <c r="O168" s="173"/>
      <c r="P168" s="174"/>
      <c r="R168" s="208" t="str">
        <v xml:space="preserve">  </v>
      </c>
      <c r="S168" s="172"/>
      <c r="T168" s="173"/>
      <c r="U168" s="173"/>
      <c r="V168" s="173"/>
      <c r="W168" s="173"/>
      <c r="X168" s="174"/>
      <c r="Y168" s="159"/>
      <c r="Z168" s="208" t="str">
        <v xml:space="preserve">  </v>
      </c>
      <c r="AA168" s="172"/>
      <c r="AB168" s="173"/>
      <c r="AC168" s="173"/>
      <c r="AD168" s="173"/>
      <c r="AE168" s="173"/>
      <c r="AF168" s="174"/>
      <c r="AG168" s="178"/>
      <c r="AH168" s="208" t="str">
        <v xml:space="preserve">  </v>
      </c>
      <c r="AI168" s="172"/>
      <c r="AJ168" s="173"/>
      <c r="AK168" s="173"/>
      <c r="AL168" s="173"/>
      <c r="AM168" s="173"/>
      <c r="AN168" s="174"/>
      <c r="AO168" s="178"/>
      <c r="AP168" s="208" t="str">
        <v xml:space="preserve">  </v>
      </c>
      <c r="AQ168" s="172"/>
      <c r="AR168" s="173"/>
      <c r="AS168" s="173"/>
      <c r="AT168" s="173"/>
      <c r="AU168" s="173"/>
      <c r="AV168" s="174"/>
    </row>
    <row r="169" spans="1:48">
      <c r="A169" s="204">
        <v>50</v>
      </c>
      <c r="B169" s="208" t="str">
        <v>EOBSVC4 ICPL Curncy</v>
      </c>
      <c r="C169" s="172" t="s">
        <v>938</v>
      </c>
      <c r="D169" s="173" t="s">
        <v>392</v>
      </c>
      <c r="E169" s="173" t="s">
        <v>393</v>
      </c>
      <c r="F169" s="173" t="s">
        <v>935</v>
      </c>
      <c r="G169" s="173" t="s">
        <v>33</v>
      </c>
      <c r="H169" s="174" t="b">
        <v>1</v>
      </c>
      <c r="J169" s="208" t="str">
        <v xml:space="preserve">  </v>
      </c>
      <c r="K169" s="172"/>
      <c r="L169" s="173"/>
      <c r="M169" s="173"/>
      <c r="N169" s="173"/>
      <c r="O169" s="173"/>
      <c r="P169" s="174"/>
      <c r="R169" s="208" t="str">
        <v xml:space="preserve">  </v>
      </c>
      <c r="S169" s="172"/>
      <c r="T169" s="173"/>
      <c r="U169" s="173"/>
      <c r="V169" s="173"/>
      <c r="W169" s="173"/>
      <c r="X169" s="174"/>
      <c r="Y169" s="159"/>
      <c r="Z169" s="208" t="str">
        <v xml:space="preserve">  </v>
      </c>
      <c r="AA169" s="172"/>
      <c r="AB169" s="173"/>
      <c r="AC169" s="173"/>
      <c r="AD169" s="173"/>
      <c r="AE169" s="173"/>
      <c r="AF169" s="174"/>
      <c r="AG169" s="178"/>
      <c r="AH169" s="208" t="str">
        <v xml:space="preserve">  </v>
      </c>
      <c r="AI169" s="172"/>
      <c r="AJ169" s="173"/>
      <c r="AK169" s="173"/>
      <c r="AL169" s="173"/>
      <c r="AM169" s="173"/>
      <c r="AN169" s="174"/>
      <c r="AO169" s="178"/>
      <c r="AP169" s="208" t="str">
        <v xml:space="preserve">  </v>
      </c>
      <c r="AQ169" s="172"/>
      <c r="AR169" s="173"/>
      <c r="AS169" s="173"/>
      <c r="AT169" s="173"/>
      <c r="AU169" s="173"/>
      <c r="AV169" s="174"/>
    </row>
    <row r="170" spans="1:48">
      <c r="A170" s="204">
        <v>51</v>
      </c>
      <c r="B170" s="208" t="str">
        <v>EOBSVC5 ICPL Curncy</v>
      </c>
      <c r="C170" s="172" t="s">
        <v>939</v>
      </c>
      <c r="D170" s="173" t="s">
        <v>392</v>
      </c>
      <c r="E170" s="173" t="s">
        <v>393</v>
      </c>
      <c r="F170" s="173" t="s">
        <v>935</v>
      </c>
      <c r="G170" s="173" t="s">
        <v>31</v>
      </c>
      <c r="H170" s="174" t="b">
        <v>1</v>
      </c>
      <c r="J170" s="208" t="str">
        <v xml:space="preserve">  </v>
      </c>
      <c r="K170" s="172"/>
      <c r="L170" s="173"/>
      <c r="M170" s="173"/>
      <c r="N170" s="173"/>
      <c r="O170" s="173"/>
      <c r="P170" s="174"/>
      <c r="R170" s="208" t="str">
        <v xml:space="preserve">  </v>
      </c>
      <c r="S170" s="172"/>
      <c r="T170" s="173"/>
      <c r="U170" s="173"/>
      <c r="V170" s="173"/>
      <c r="W170" s="173"/>
      <c r="X170" s="174"/>
      <c r="Y170" s="159"/>
      <c r="Z170" s="208" t="str">
        <v xml:space="preserve">  </v>
      </c>
      <c r="AA170" s="172"/>
      <c r="AB170" s="173"/>
      <c r="AC170" s="173"/>
      <c r="AD170" s="173"/>
      <c r="AE170" s="173"/>
      <c r="AF170" s="174"/>
      <c r="AG170" s="178"/>
      <c r="AH170" s="208" t="str">
        <v xml:space="preserve">  </v>
      </c>
      <c r="AI170" s="172"/>
      <c r="AJ170" s="173"/>
      <c r="AK170" s="173"/>
      <c r="AL170" s="173"/>
      <c r="AM170" s="173"/>
      <c r="AN170" s="174"/>
      <c r="AO170" s="178"/>
      <c r="AP170" s="208" t="str">
        <v xml:space="preserve">  </v>
      </c>
      <c r="AQ170" s="172"/>
      <c r="AR170" s="173"/>
      <c r="AS170" s="173"/>
      <c r="AT170" s="173"/>
      <c r="AU170" s="173"/>
      <c r="AV170" s="174"/>
    </row>
    <row r="171" spans="1:48">
      <c r="A171" s="204">
        <v>52</v>
      </c>
      <c r="B171" s="208" t="str">
        <v>EOBSVC6 ICPL Curncy</v>
      </c>
      <c r="C171" s="172" t="s">
        <v>940</v>
      </c>
      <c r="D171" s="173" t="s">
        <v>392</v>
      </c>
      <c r="E171" s="173" t="s">
        <v>393</v>
      </c>
      <c r="F171" s="173" t="s">
        <v>935</v>
      </c>
      <c r="G171" s="173" t="s">
        <v>127</v>
      </c>
      <c r="H171" s="174" t="b">
        <v>1</v>
      </c>
      <c r="J171" s="208" t="str">
        <v xml:space="preserve">  </v>
      </c>
      <c r="K171" s="172"/>
      <c r="L171" s="173"/>
      <c r="M171" s="173"/>
      <c r="N171" s="173"/>
      <c r="O171" s="173"/>
      <c r="P171" s="174"/>
      <c r="R171" s="208" t="str">
        <v xml:space="preserve">  </v>
      </c>
      <c r="S171" s="172"/>
      <c r="T171" s="173"/>
      <c r="U171" s="173"/>
      <c r="V171" s="173"/>
      <c r="W171" s="173"/>
      <c r="X171" s="174"/>
      <c r="Y171" s="159"/>
      <c r="Z171" s="208" t="str">
        <v xml:space="preserve">  </v>
      </c>
      <c r="AA171" s="172"/>
      <c r="AB171" s="173"/>
      <c r="AC171" s="173"/>
      <c r="AD171" s="173"/>
      <c r="AE171" s="173"/>
      <c r="AF171" s="174"/>
      <c r="AG171" s="178"/>
      <c r="AH171" s="208" t="str">
        <v xml:space="preserve">  </v>
      </c>
      <c r="AI171" s="172"/>
      <c r="AJ171" s="173"/>
      <c r="AK171" s="173"/>
      <c r="AL171" s="173"/>
      <c r="AM171" s="173"/>
      <c r="AN171" s="174"/>
      <c r="AO171" s="178"/>
      <c r="AP171" s="208" t="str">
        <v xml:space="preserve">  </v>
      </c>
      <c r="AQ171" s="172"/>
      <c r="AR171" s="173"/>
      <c r="AS171" s="173"/>
      <c r="AT171" s="173"/>
      <c r="AU171" s="173"/>
      <c r="AV171" s="174"/>
    </row>
    <row r="172" spans="1:48">
      <c r="A172" s="204">
        <v>53</v>
      </c>
      <c r="B172" s="208" t="str">
        <v>EOBSVC7 ICPL Curncy</v>
      </c>
      <c r="C172" s="172" t="s">
        <v>941</v>
      </c>
      <c r="D172" s="173" t="s">
        <v>392</v>
      </c>
      <c r="E172" s="173" t="s">
        <v>393</v>
      </c>
      <c r="F172" s="173" t="s">
        <v>935</v>
      </c>
      <c r="G172" s="173" t="s">
        <v>29</v>
      </c>
      <c r="H172" s="174" t="b">
        <v>1</v>
      </c>
      <c r="J172" s="208" t="str">
        <v xml:space="preserve">  </v>
      </c>
      <c r="K172" s="172"/>
      <c r="L172" s="173"/>
      <c r="M172" s="173"/>
      <c r="N172" s="173"/>
      <c r="O172" s="173"/>
      <c r="P172" s="174"/>
      <c r="R172" s="208" t="str">
        <v xml:space="preserve">  </v>
      </c>
      <c r="S172" s="172"/>
      <c r="T172" s="173"/>
      <c r="U172" s="173"/>
      <c r="V172" s="173"/>
      <c r="W172" s="173"/>
      <c r="X172" s="174"/>
      <c r="Y172" s="159"/>
      <c r="Z172" s="208" t="str">
        <v xml:space="preserve">  </v>
      </c>
      <c r="AA172" s="172"/>
      <c r="AB172" s="173"/>
      <c r="AC172" s="173"/>
      <c r="AD172" s="173"/>
      <c r="AE172" s="173"/>
      <c r="AF172" s="174"/>
      <c r="AG172" s="178"/>
      <c r="AH172" s="208" t="str">
        <v xml:space="preserve">  </v>
      </c>
      <c r="AI172" s="172"/>
      <c r="AJ172" s="173"/>
      <c r="AK172" s="173"/>
      <c r="AL172" s="173"/>
      <c r="AM172" s="173"/>
      <c r="AN172" s="174"/>
      <c r="AO172" s="178"/>
      <c r="AP172" s="208" t="str">
        <v xml:space="preserve">  </v>
      </c>
      <c r="AQ172" s="172"/>
      <c r="AR172" s="173"/>
      <c r="AS172" s="173"/>
      <c r="AT172" s="173"/>
      <c r="AU172" s="173"/>
      <c r="AV172" s="174"/>
    </row>
    <row r="173" spans="1:48">
      <c r="A173" s="204">
        <v>54</v>
      </c>
      <c r="B173" s="208" t="str">
        <v>EOBSVC8 ICPL Curncy</v>
      </c>
      <c r="C173" s="172" t="s">
        <v>942</v>
      </c>
      <c r="D173" s="173" t="s">
        <v>392</v>
      </c>
      <c r="E173" s="173" t="s">
        <v>393</v>
      </c>
      <c r="F173" s="173" t="s">
        <v>935</v>
      </c>
      <c r="G173" s="173" t="s">
        <v>115</v>
      </c>
      <c r="H173" s="174" t="b">
        <v>1</v>
      </c>
      <c r="J173" s="208" t="str">
        <v xml:space="preserve">  </v>
      </c>
      <c r="K173" s="172"/>
      <c r="L173" s="173"/>
      <c r="M173" s="173"/>
      <c r="N173" s="173"/>
      <c r="O173" s="173"/>
      <c r="P173" s="174"/>
      <c r="R173" s="208" t="str">
        <v xml:space="preserve">  </v>
      </c>
      <c r="S173" s="172"/>
      <c r="T173" s="173"/>
      <c r="U173" s="173"/>
      <c r="V173" s="173"/>
      <c r="W173" s="173"/>
      <c r="X173" s="174"/>
      <c r="Y173" s="159"/>
      <c r="Z173" s="208" t="str">
        <v xml:space="preserve">  </v>
      </c>
      <c r="AA173" s="172"/>
      <c r="AB173" s="173"/>
      <c r="AC173" s="173"/>
      <c r="AD173" s="173"/>
      <c r="AE173" s="173"/>
      <c r="AF173" s="174"/>
      <c r="AG173" s="178"/>
      <c r="AH173" s="208" t="str">
        <v xml:space="preserve">  </v>
      </c>
      <c r="AI173" s="172"/>
      <c r="AJ173" s="173"/>
      <c r="AK173" s="173"/>
      <c r="AL173" s="173"/>
      <c r="AM173" s="173"/>
      <c r="AN173" s="174"/>
      <c r="AO173" s="178"/>
      <c r="AP173" s="208" t="str">
        <v xml:space="preserve">  </v>
      </c>
      <c r="AQ173" s="172"/>
      <c r="AR173" s="173"/>
      <c r="AS173" s="173"/>
      <c r="AT173" s="173"/>
      <c r="AU173" s="173"/>
      <c r="AV173" s="174"/>
    </row>
    <row r="174" spans="1:48">
      <c r="A174" s="204">
        <v>55</v>
      </c>
      <c r="B174" s="208" t="str">
        <v>EOBSVC9 ICPL Curncy</v>
      </c>
      <c r="C174" s="172" t="s">
        <v>943</v>
      </c>
      <c r="D174" s="173" t="s">
        <v>392</v>
      </c>
      <c r="E174" s="173" t="s">
        <v>393</v>
      </c>
      <c r="F174" s="173" t="s">
        <v>935</v>
      </c>
      <c r="G174" s="173" t="s">
        <v>109</v>
      </c>
      <c r="H174" s="174" t="b">
        <v>1</v>
      </c>
      <c r="J174" s="208" t="str">
        <v xml:space="preserve">  </v>
      </c>
      <c r="K174" s="172"/>
      <c r="L174" s="173"/>
      <c r="M174" s="173"/>
      <c r="N174" s="173"/>
      <c r="O174" s="173"/>
      <c r="P174" s="174"/>
      <c r="R174" s="208" t="str">
        <v xml:space="preserve">  </v>
      </c>
      <c r="S174" s="172"/>
      <c r="T174" s="173"/>
      <c r="U174" s="173"/>
      <c r="V174" s="173"/>
      <c r="W174" s="173"/>
      <c r="X174" s="174"/>
      <c r="Y174" s="159"/>
      <c r="Z174" s="208" t="str">
        <v xml:space="preserve">  </v>
      </c>
      <c r="AA174" s="172"/>
      <c r="AB174" s="173"/>
      <c r="AC174" s="173"/>
      <c r="AD174" s="173"/>
      <c r="AE174" s="173"/>
      <c r="AF174" s="174"/>
      <c r="AG174" s="178"/>
      <c r="AH174" s="208" t="str">
        <v xml:space="preserve">  </v>
      </c>
      <c r="AI174" s="172"/>
      <c r="AJ174" s="173"/>
      <c r="AK174" s="173"/>
      <c r="AL174" s="173"/>
      <c r="AM174" s="173"/>
      <c r="AN174" s="174"/>
      <c r="AO174" s="178"/>
      <c r="AP174" s="208" t="str">
        <v xml:space="preserve">  </v>
      </c>
      <c r="AQ174" s="172"/>
      <c r="AR174" s="173"/>
      <c r="AS174" s="173"/>
      <c r="AT174" s="173"/>
      <c r="AU174" s="173"/>
      <c r="AV174" s="174"/>
    </row>
    <row r="175" spans="1:48">
      <c r="A175" s="204">
        <v>56</v>
      </c>
      <c r="B175" s="208" t="str">
        <v>EOBSVC10 ICPL Curncy</v>
      </c>
      <c r="C175" s="172" t="s">
        <v>944</v>
      </c>
      <c r="D175" s="173" t="s">
        <v>392</v>
      </c>
      <c r="E175" s="173" t="s">
        <v>393</v>
      </c>
      <c r="F175" s="173" t="s">
        <v>935</v>
      </c>
      <c r="G175" s="173" t="s">
        <v>27</v>
      </c>
      <c r="H175" s="174" t="b">
        <v>1</v>
      </c>
      <c r="J175" s="208" t="str">
        <v xml:space="preserve">  </v>
      </c>
      <c r="K175" s="172"/>
      <c r="L175" s="173"/>
      <c r="M175" s="173"/>
      <c r="N175" s="173"/>
      <c r="O175" s="173"/>
      <c r="P175" s="174"/>
      <c r="R175" s="208" t="str">
        <v xml:space="preserve">  </v>
      </c>
      <c r="S175" s="172"/>
      <c r="T175" s="173"/>
      <c r="U175" s="173"/>
      <c r="V175" s="173"/>
      <c r="W175" s="173"/>
      <c r="X175" s="174"/>
      <c r="Y175" s="159"/>
      <c r="Z175" s="208" t="str">
        <v xml:space="preserve">  </v>
      </c>
      <c r="AA175" s="172"/>
      <c r="AB175" s="173"/>
      <c r="AC175" s="173"/>
      <c r="AD175" s="173"/>
      <c r="AE175" s="173"/>
      <c r="AF175" s="174"/>
      <c r="AG175" s="178"/>
      <c r="AH175" s="208" t="str">
        <v xml:space="preserve">  </v>
      </c>
      <c r="AI175" s="172"/>
      <c r="AJ175" s="173"/>
      <c r="AK175" s="173"/>
      <c r="AL175" s="173"/>
      <c r="AM175" s="173"/>
      <c r="AN175" s="174"/>
      <c r="AO175" s="178"/>
      <c r="AP175" s="208" t="str">
        <v xml:space="preserve">  </v>
      </c>
      <c r="AQ175" s="172"/>
      <c r="AR175" s="173"/>
      <c r="AS175" s="173"/>
      <c r="AT175" s="173"/>
      <c r="AU175" s="173"/>
      <c r="AV175" s="174"/>
    </row>
    <row r="176" spans="1:48">
      <c r="A176" s="204">
        <v>57</v>
      </c>
      <c r="B176" s="208" t="str">
        <v>EOBSVC11 ICPL Curncy</v>
      </c>
      <c r="C176" s="172" t="s">
        <v>945</v>
      </c>
      <c r="D176" s="173" t="s">
        <v>392</v>
      </c>
      <c r="E176" s="173" t="s">
        <v>393</v>
      </c>
      <c r="F176" s="173" t="s">
        <v>935</v>
      </c>
      <c r="G176" s="173" t="s">
        <v>318</v>
      </c>
      <c r="H176" s="174" t="b">
        <v>1</v>
      </c>
      <c r="J176" s="208" t="str">
        <v xml:space="preserve">  </v>
      </c>
      <c r="K176" s="172"/>
      <c r="L176" s="173"/>
      <c r="M176" s="173"/>
      <c r="N176" s="173"/>
      <c r="O176" s="173"/>
      <c r="P176" s="174"/>
      <c r="R176" s="208" t="str">
        <v xml:space="preserve">  </v>
      </c>
      <c r="S176" s="172"/>
      <c r="T176" s="173"/>
      <c r="U176" s="173"/>
      <c r="V176" s="173"/>
      <c r="W176" s="173"/>
      <c r="X176" s="174"/>
      <c r="Y176" s="159"/>
      <c r="Z176" s="208" t="str">
        <v xml:space="preserve">  </v>
      </c>
      <c r="AA176" s="172"/>
      <c r="AB176" s="173"/>
      <c r="AC176" s="173"/>
      <c r="AD176" s="173"/>
      <c r="AE176" s="173"/>
      <c r="AF176" s="174"/>
      <c r="AG176" s="178"/>
      <c r="AH176" s="208" t="str">
        <v xml:space="preserve">  </v>
      </c>
      <c r="AI176" s="172"/>
      <c r="AJ176" s="173"/>
      <c r="AK176" s="173"/>
      <c r="AL176" s="173"/>
      <c r="AM176" s="173"/>
      <c r="AN176" s="174"/>
      <c r="AO176" s="178"/>
      <c r="AP176" s="208" t="str">
        <v xml:space="preserve">  </v>
      </c>
      <c r="AQ176" s="172"/>
      <c r="AR176" s="173"/>
      <c r="AS176" s="173"/>
      <c r="AT176" s="173"/>
      <c r="AU176" s="173"/>
      <c r="AV176" s="174"/>
    </row>
    <row r="177" spans="1:48">
      <c r="A177" s="204">
        <v>58</v>
      </c>
      <c r="B177" s="208" t="str">
        <v>EOBSVC12 ICPL Curncy</v>
      </c>
      <c r="C177" s="172" t="s">
        <v>946</v>
      </c>
      <c r="D177" s="173" t="s">
        <v>392</v>
      </c>
      <c r="E177" s="173" t="s">
        <v>393</v>
      </c>
      <c r="F177" s="173" t="s">
        <v>935</v>
      </c>
      <c r="G177" s="173" t="s">
        <v>25</v>
      </c>
      <c r="H177" s="174" t="b">
        <v>1</v>
      </c>
      <c r="J177" s="208" t="str">
        <v xml:space="preserve">  </v>
      </c>
      <c r="K177" s="172"/>
      <c r="L177" s="173"/>
      <c r="M177" s="173"/>
      <c r="N177" s="173"/>
      <c r="O177" s="173"/>
      <c r="P177" s="174"/>
      <c r="R177" s="208" t="str">
        <v xml:space="preserve">  </v>
      </c>
      <c r="S177" s="172"/>
      <c r="T177" s="173"/>
      <c r="U177" s="173"/>
      <c r="V177" s="173"/>
      <c r="W177" s="173"/>
      <c r="X177" s="174"/>
      <c r="Y177" s="159"/>
      <c r="Z177" s="208" t="str">
        <v xml:space="preserve">  </v>
      </c>
      <c r="AA177" s="172"/>
      <c r="AB177" s="173"/>
      <c r="AC177" s="173"/>
      <c r="AD177" s="173"/>
      <c r="AE177" s="173"/>
      <c r="AF177" s="174"/>
      <c r="AG177" s="178"/>
      <c r="AH177" s="208" t="str">
        <v xml:space="preserve">  </v>
      </c>
      <c r="AI177" s="172"/>
      <c r="AJ177" s="173"/>
      <c r="AK177" s="173"/>
      <c r="AL177" s="173"/>
      <c r="AM177" s="173"/>
      <c r="AN177" s="174"/>
      <c r="AO177" s="178"/>
      <c r="AP177" s="208" t="str">
        <v xml:space="preserve">  </v>
      </c>
      <c r="AQ177" s="172"/>
      <c r="AR177" s="173"/>
      <c r="AS177" s="173"/>
      <c r="AT177" s="173"/>
      <c r="AU177" s="173"/>
      <c r="AV177" s="174"/>
    </row>
    <row r="178" spans="1:48">
      <c r="A178" s="204">
        <v>59</v>
      </c>
      <c r="B178" s="208" t="str">
        <v>EOBSVC15 ICPL Curncy</v>
      </c>
      <c r="C178" s="172" t="s">
        <v>947</v>
      </c>
      <c r="D178" s="173" t="s">
        <v>392</v>
      </c>
      <c r="E178" s="173" t="s">
        <v>393</v>
      </c>
      <c r="F178" s="173" t="s">
        <v>935</v>
      </c>
      <c r="G178" s="173" t="s">
        <v>23</v>
      </c>
      <c r="H178" s="174" t="b">
        <v>1</v>
      </c>
      <c r="J178" s="208" t="str">
        <v xml:space="preserve">  </v>
      </c>
      <c r="K178" s="172"/>
      <c r="L178" s="173"/>
      <c r="M178" s="173"/>
      <c r="N178" s="173"/>
      <c r="O178" s="173"/>
      <c r="P178" s="174"/>
      <c r="R178" s="208" t="str">
        <v xml:space="preserve">  </v>
      </c>
      <c r="S178" s="172"/>
      <c r="T178" s="173"/>
      <c r="U178" s="173"/>
      <c r="V178" s="173"/>
      <c r="W178" s="173"/>
      <c r="X178" s="174"/>
      <c r="Y178" s="159"/>
      <c r="Z178" s="208" t="str">
        <v xml:space="preserve">  </v>
      </c>
      <c r="AA178" s="172"/>
      <c r="AB178" s="173"/>
      <c r="AC178" s="173"/>
      <c r="AD178" s="173"/>
      <c r="AE178" s="173"/>
      <c r="AF178" s="174"/>
      <c r="AG178" s="178"/>
      <c r="AH178" s="208" t="str">
        <v xml:space="preserve">  </v>
      </c>
      <c r="AI178" s="172"/>
      <c r="AJ178" s="173"/>
      <c r="AK178" s="173"/>
      <c r="AL178" s="173"/>
      <c r="AM178" s="173"/>
      <c r="AN178" s="174"/>
      <c r="AO178" s="178"/>
      <c r="AP178" s="208" t="str">
        <v xml:space="preserve">  </v>
      </c>
      <c r="AQ178" s="172"/>
      <c r="AR178" s="173"/>
      <c r="AS178" s="173"/>
      <c r="AT178" s="173"/>
      <c r="AU178" s="173"/>
      <c r="AV178" s="174"/>
    </row>
    <row r="179" spans="1:48">
      <c r="A179" s="204">
        <v>60</v>
      </c>
      <c r="B179" s="208" t="str">
        <v>EOBSVC20 ICPL Curncy</v>
      </c>
      <c r="C179" s="172" t="s">
        <v>948</v>
      </c>
      <c r="D179" s="173" t="s">
        <v>392</v>
      </c>
      <c r="E179" s="173" t="s">
        <v>393</v>
      </c>
      <c r="F179" s="173" t="s">
        <v>935</v>
      </c>
      <c r="G179" s="173" t="s">
        <v>19</v>
      </c>
      <c r="H179" s="174" t="b">
        <v>1</v>
      </c>
      <c r="J179" s="208" t="str">
        <v xml:space="preserve">  </v>
      </c>
      <c r="K179" s="172"/>
      <c r="L179" s="173"/>
      <c r="M179" s="173"/>
      <c r="N179" s="173"/>
      <c r="O179" s="173"/>
      <c r="P179" s="174"/>
      <c r="R179" s="208" t="str">
        <v xml:space="preserve">  </v>
      </c>
      <c r="S179" s="172"/>
      <c r="T179" s="173"/>
      <c r="U179" s="173"/>
      <c r="V179" s="173"/>
      <c r="W179" s="173"/>
      <c r="X179" s="174"/>
      <c r="Y179" s="159"/>
      <c r="Z179" s="208" t="str">
        <v xml:space="preserve">  </v>
      </c>
      <c r="AA179" s="172"/>
      <c r="AB179" s="173"/>
      <c r="AC179" s="173"/>
      <c r="AD179" s="173"/>
      <c r="AE179" s="173"/>
      <c r="AF179" s="174"/>
      <c r="AG179" s="178"/>
      <c r="AH179" s="208" t="str">
        <v xml:space="preserve">  </v>
      </c>
      <c r="AI179" s="172"/>
      <c r="AJ179" s="173"/>
      <c r="AK179" s="173"/>
      <c r="AL179" s="173"/>
      <c r="AM179" s="173"/>
      <c r="AN179" s="174"/>
      <c r="AO179" s="178"/>
      <c r="AP179" s="208" t="str">
        <v xml:space="preserve">  </v>
      </c>
      <c r="AQ179" s="172"/>
      <c r="AR179" s="173"/>
      <c r="AS179" s="173"/>
      <c r="AT179" s="173"/>
      <c r="AU179" s="173"/>
      <c r="AV179" s="174"/>
    </row>
    <row r="180" spans="1:48">
      <c r="A180" s="204">
        <v>61</v>
      </c>
      <c r="B180" s="208" t="str">
        <v>EOBSVC25 ICPL Curncy</v>
      </c>
      <c r="C180" s="172" t="s">
        <v>949</v>
      </c>
      <c r="D180" s="173" t="s">
        <v>392</v>
      </c>
      <c r="E180" s="173" t="s">
        <v>393</v>
      </c>
      <c r="F180" s="173" t="s">
        <v>935</v>
      </c>
      <c r="G180" s="173" t="s">
        <v>17</v>
      </c>
      <c r="H180" s="174" t="b">
        <v>1</v>
      </c>
      <c r="J180" s="208" t="str">
        <v xml:space="preserve">  </v>
      </c>
      <c r="K180" s="172"/>
      <c r="L180" s="173"/>
      <c r="M180" s="173"/>
      <c r="N180" s="173"/>
      <c r="O180" s="173"/>
      <c r="P180" s="174"/>
      <c r="R180" s="208" t="str">
        <v xml:space="preserve">  </v>
      </c>
      <c r="S180" s="172"/>
      <c r="T180" s="173"/>
      <c r="U180" s="173"/>
      <c r="V180" s="173"/>
      <c r="W180" s="173"/>
      <c r="X180" s="174"/>
      <c r="Y180" s="159"/>
      <c r="Z180" s="208" t="str">
        <v xml:space="preserve">  </v>
      </c>
      <c r="AA180" s="172"/>
      <c r="AB180" s="173"/>
      <c r="AC180" s="173"/>
      <c r="AD180" s="173"/>
      <c r="AE180" s="173"/>
      <c r="AF180" s="174"/>
      <c r="AG180" s="178"/>
      <c r="AH180" s="208" t="str">
        <v xml:space="preserve">  </v>
      </c>
      <c r="AI180" s="172"/>
      <c r="AJ180" s="173"/>
      <c r="AK180" s="173"/>
      <c r="AL180" s="173"/>
      <c r="AM180" s="173"/>
      <c r="AN180" s="174"/>
      <c r="AO180" s="178"/>
      <c r="AP180" s="208" t="str">
        <v xml:space="preserve">  </v>
      </c>
      <c r="AQ180" s="172"/>
      <c r="AR180" s="173"/>
      <c r="AS180" s="173"/>
      <c r="AT180" s="173"/>
      <c r="AU180" s="173"/>
      <c r="AV180" s="174"/>
    </row>
    <row r="181" spans="1:48">
      <c r="A181" s="204">
        <v>62</v>
      </c>
      <c r="B181" s="208" t="str">
        <v>EOBSVC30 ICPL Curncy</v>
      </c>
      <c r="C181" s="172" t="s">
        <v>950</v>
      </c>
      <c r="D181" s="173" t="s">
        <v>392</v>
      </c>
      <c r="E181" s="173" t="s">
        <v>393</v>
      </c>
      <c r="F181" s="173" t="s">
        <v>935</v>
      </c>
      <c r="G181" s="173" t="s">
        <v>16</v>
      </c>
      <c r="H181" s="174" t="b">
        <v>1</v>
      </c>
      <c r="J181" s="208" t="str">
        <v xml:space="preserve">  </v>
      </c>
      <c r="K181" s="172"/>
      <c r="L181" s="173"/>
      <c r="M181" s="173"/>
      <c r="N181" s="173"/>
      <c r="O181" s="173"/>
      <c r="P181" s="174"/>
      <c r="R181" s="208" t="str">
        <v xml:space="preserve">  </v>
      </c>
      <c r="S181" s="172"/>
      <c r="T181" s="173"/>
      <c r="U181" s="173"/>
      <c r="V181" s="173"/>
      <c r="W181" s="173"/>
      <c r="X181" s="174"/>
      <c r="Y181" s="159"/>
      <c r="Z181" s="208" t="str">
        <v xml:space="preserve">  </v>
      </c>
      <c r="AA181" s="172"/>
      <c r="AB181" s="173"/>
      <c r="AC181" s="173"/>
      <c r="AD181" s="173"/>
      <c r="AE181" s="173"/>
      <c r="AF181" s="174"/>
      <c r="AG181" s="178"/>
      <c r="AH181" s="208" t="str">
        <v xml:space="preserve">  </v>
      </c>
      <c r="AI181" s="172"/>
      <c r="AJ181" s="173"/>
      <c r="AK181" s="173"/>
      <c r="AL181" s="173"/>
      <c r="AM181" s="173"/>
      <c r="AN181" s="174"/>
      <c r="AO181" s="178"/>
      <c r="AP181" s="208" t="str">
        <v xml:space="preserve">  </v>
      </c>
      <c r="AQ181" s="172"/>
      <c r="AR181" s="173"/>
      <c r="AS181" s="173"/>
      <c r="AT181" s="173"/>
      <c r="AU181" s="173"/>
      <c r="AV181" s="174"/>
    </row>
    <row r="182" spans="1:48">
      <c r="A182" s="204">
        <v>63</v>
      </c>
      <c r="B182" s="208" t="str">
        <v>EOBSVC40 ICPL Curncy</v>
      </c>
      <c r="C182" s="172" t="s">
        <v>951</v>
      </c>
      <c r="D182" s="173" t="s">
        <v>392</v>
      </c>
      <c r="E182" s="173" t="s">
        <v>393</v>
      </c>
      <c r="F182" s="173" t="s">
        <v>935</v>
      </c>
      <c r="G182" s="173" t="s">
        <v>14</v>
      </c>
      <c r="H182" s="174" t="b">
        <v>1</v>
      </c>
      <c r="J182" s="208" t="str">
        <v xml:space="preserve">  </v>
      </c>
      <c r="K182" s="172"/>
      <c r="L182" s="173"/>
      <c r="M182" s="173"/>
      <c r="N182" s="173"/>
      <c r="O182" s="173"/>
      <c r="P182" s="174"/>
      <c r="R182" s="208" t="str">
        <v xml:space="preserve">  </v>
      </c>
      <c r="S182" s="172"/>
      <c r="T182" s="173"/>
      <c r="U182" s="173"/>
      <c r="V182" s="173"/>
      <c r="W182" s="173"/>
      <c r="X182" s="174"/>
      <c r="Y182" s="159"/>
      <c r="Z182" s="208" t="str">
        <v xml:space="preserve">  </v>
      </c>
      <c r="AA182" s="172"/>
      <c r="AB182" s="173"/>
      <c r="AC182" s="173"/>
      <c r="AD182" s="173"/>
      <c r="AE182" s="173"/>
      <c r="AF182" s="174"/>
      <c r="AG182" s="178"/>
      <c r="AH182" s="208" t="str">
        <v xml:space="preserve">  </v>
      </c>
      <c r="AI182" s="172"/>
      <c r="AJ182" s="173"/>
      <c r="AK182" s="173"/>
      <c r="AL182" s="173"/>
      <c r="AM182" s="173"/>
      <c r="AN182" s="174"/>
      <c r="AO182" s="178"/>
      <c r="AP182" s="208" t="str">
        <v xml:space="preserve">  </v>
      </c>
      <c r="AQ182" s="172"/>
      <c r="AR182" s="173"/>
      <c r="AS182" s="173"/>
      <c r="AT182" s="173"/>
      <c r="AU182" s="173"/>
      <c r="AV182" s="174"/>
    </row>
    <row r="183" spans="1:48">
      <c r="A183" s="204">
        <v>64</v>
      </c>
      <c r="B183" s="208" t="str">
        <v>EOBSVC50 ICPL Curncy</v>
      </c>
      <c r="C183" s="172" t="s">
        <v>952</v>
      </c>
      <c r="D183" s="173" t="s">
        <v>392</v>
      </c>
      <c r="E183" s="173" t="s">
        <v>393</v>
      </c>
      <c r="F183" s="173" t="s">
        <v>935</v>
      </c>
      <c r="G183" s="173" t="s">
        <v>13</v>
      </c>
      <c r="H183" s="174" t="b">
        <v>1</v>
      </c>
      <c r="J183" s="208" t="str">
        <v xml:space="preserve">  </v>
      </c>
      <c r="K183" s="172"/>
      <c r="L183" s="173"/>
      <c r="M183" s="173"/>
      <c r="N183" s="173"/>
      <c r="O183" s="173"/>
      <c r="P183" s="174"/>
      <c r="R183" s="208" t="str">
        <v xml:space="preserve">  </v>
      </c>
      <c r="S183" s="172"/>
      <c r="T183" s="173"/>
      <c r="U183" s="173"/>
      <c r="V183" s="173"/>
      <c r="W183" s="173"/>
      <c r="X183" s="174"/>
      <c r="Y183" s="159"/>
      <c r="Z183" s="208" t="str">
        <v xml:space="preserve">  </v>
      </c>
      <c r="AA183" s="172"/>
      <c r="AB183" s="173"/>
      <c r="AC183" s="173"/>
      <c r="AD183" s="173"/>
      <c r="AE183" s="173"/>
      <c r="AF183" s="174"/>
      <c r="AG183" s="178"/>
      <c r="AH183" s="208" t="str">
        <v xml:space="preserve">  </v>
      </c>
      <c r="AI183" s="172"/>
      <c r="AJ183" s="173"/>
      <c r="AK183" s="173"/>
      <c r="AL183" s="173"/>
      <c r="AM183" s="173"/>
      <c r="AN183" s="174"/>
      <c r="AO183" s="178"/>
      <c r="AP183" s="208" t="str">
        <v xml:space="preserve">  </v>
      </c>
      <c r="AQ183" s="172"/>
      <c r="AR183" s="173"/>
      <c r="AS183" s="173"/>
      <c r="AT183" s="173"/>
      <c r="AU183" s="173"/>
      <c r="AV183" s="174"/>
    </row>
    <row r="184" spans="1:48">
      <c r="A184" s="204">
        <v>65</v>
      </c>
      <c r="B184" s="208" t="str">
        <v>EUSW2V3 MHIS Curncy</v>
      </c>
      <c r="C184" s="172" t="s">
        <v>960</v>
      </c>
      <c r="D184" s="173" t="s">
        <v>2146</v>
      </c>
      <c r="E184" s="173" t="s">
        <v>393</v>
      </c>
      <c r="F184" s="173" t="s">
        <v>472</v>
      </c>
      <c r="G184" s="173" t="s">
        <v>40</v>
      </c>
      <c r="H184" s="174" t="b">
        <v>1</v>
      </c>
      <c r="J184" s="208" t="str">
        <v xml:space="preserve">  </v>
      </c>
      <c r="K184" s="172"/>
      <c r="L184" s="173"/>
      <c r="M184" s="173"/>
      <c r="N184" s="173"/>
      <c r="O184" s="173"/>
      <c r="P184" s="174"/>
      <c r="R184" s="208" t="str">
        <v xml:space="preserve">  </v>
      </c>
      <c r="S184" s="172"/>
      <c r="T184" s="173"/>
      <c r="U184" s="173"/>
      <c r="V184" s="173"/>
      <c r="W184" s="173"/>
      <c r="X184" s="174"/>
      <c r="Y184" s="159"/>
      <c r="Z184" s="208" t="str">
        <v xml:space="preserve">  </v>
      </c>
      <c r="AA184" s="172"/>
      <c r="AB184" s="173"/>
      <c r="AC184" s="173"/>
      <c r="AD184" s="173"/>
      <c r="AE184" s="173"/>
      <c r="AF184" s="174"/>
      <c r="AG184" s="178"/>
      <c r="AH184" s="208" t="str">
        <v xml:space="preserve">  </v>
      </c>
      <c r="AI184" s="172"/>
      <c r="AJ184" s="173"/>
      <c r="AK184" s="173"/>
      <c r="AL184" s="173"/>
      <c r="AM184" s="173"/>
      <c r="AN184" s="174"/>
      <c r="AO184" s="178"/>
      <c r="AP184" s="208" t="str">
        <v xml:space="preserve">  </v>
      </c>
      <c r="AQ184" s="172"/>
      <c r="AR184" s="173"/>
      <c r="AS184" s="173"/>
      <c r="AT184" s="173"/>
      <c r="AU184" s="173"/>
      <c r="AV184" s="174"/>
    </row>
    <row r="185" spans="1:48">
      <c r="A185" s="204">
        <v>66</v>
      </c>
      <c r="B185" s="208" t="str">
        <v>EUSW3V3 MHIS Curncy</v>
      </c>
      <c r="C185" s="172" t="s">
        <v>961</v>
      </c>
      <c r="D185" s="173" t="s">
        <v>2146</v>
      </c>
      <c r="E185" s="173" t="s">
        <v>393</v>
      </c>
      <c r="F185" s="173" t="s">
        <v>472</v>
      </c>
      <c r="G185" s="173" t="s">
        <v>37</v>
      </c>
      <c r="H185" s="174" t="b">
        <v>1</v>
      </c>
      <c r="J185" s="208" t="str">
        <v xml:space="preserve">  </v>
      </c>
      <c r="K185" s="172"/>
      <c r="L185" s="173"/>
      <c r="M185" s="173"/>
      <c r="N185" s="173"/>
      <c r="O185" s="173"/>
      <c r="P185" s="174"/>
      <c r="R185" s="208" t="str">
        <v xml:space="preserve">  </v>
      </c>
      <c r="S185" s="172"/>
      <c r="T185" s="173"/>
      <c r="U185" s="173"/>
      <c r="V185" s="173"/>
      <c r="W185" s="173"/>
      <c r="X185" s="174"/>
      <c r="Y185" s="159"/>
      <c r="Z185" s="208" t="str">
        <v xml:space="preserve">  </v>
      </c>
      <c r="AA185" s="172"/>
      <c r="AB185" s="173"/>
      <c r="AC185" s="173"/>
      <c r="AD185" s="173"/>
      <c r="AE185" s="173"/>
      <c r="AF185" s="174"/>
      <c r="AG185" s="178"/>
      <c r="AH185" s="208" t="str">
        <v xml:space="preserve">  </v>
      </c>
      <c r="AI185" s="172"/>
      <c r="AJ185" s="173"/>
      <c r="AK185" s="173"/>
      <c r="AL185" s="173"/>
      <c r="AM185" s="173"/>
      <c r="AN185" s="174"/>
      <c r="AO185" s="178"/>
      <c r="AP185" s="208" t="str">
        <v xml:space="preserve">  </v>
      </c>
      <c r="AQ185" s="172"/>
      <c r="AR185" s="173"/>
      <c r="AS185" s="173"/>
      <c r="AT185" s="173"/>
      <c r="AU185" s="173"/>
      <c r="AV185" s="174"/>
    </row>
    <row r="186" spans="1:48">
      <c r="A186" s="204">
        <v>67</v>
      </c>
      <c r="B186" s="208" t="str">
        <v>EUSW4V3 MHIS Curncy</v>
      </c>
      <c r="C186" s="172" t="s">
        <v>962</v>
      </c>
      <c r="D186" s="173" t="s">
        <v>2146</v>
      </c>
      <c r="E186" s="173" t="s">
        <v>393</v>
      </c>
      <c r="F186" s="173" t="s">
        <v>472</v>
      </c>
      <c r="G186" s="173" t="s">
        <v>33</v>
      </c>
      <c r="H186" s="174" t="b">
        <v>1</v>
      </c>
      <c r="J186" s="208" t="str">
        <v xml:space="preserve">  </v>
      </c>
      <c r="K186" s="172"/>
      <c r="L186" s="173"/>
      <c r="M186" s="173"/>
      <c r="N186" s="173"/>
      <c r="O186" s="173"/>
      <c r="P186" s="174"/>
      <c r="R186" s="208" t="str">
        <v xml:space="preserve">  </v>
      </c>
      <c r="S186" s="172"/>
      <c r="T186" s="173"/>
      <c r="U186" s="173"/>
      <c r="V186" s="173"/>
      <c r="W186" s="173"/>
      <c r="X186" s="174"/>
      <c r="Y186" s="159"/>
      <c r="Z186" s="208" t="str">
        <v xml:space="preserve">  </v>
      </c>
      <c r="AA186" s="172"/>
      <c r="AB186" s="173"/>
      <c r="AC186" s="173"/>
      <c r="AD186" s="173"/>
      <c r="AE186" s="173"/>
      <c r="AF186" s="174"/>
      <c r="AG186" s="178"/>
      <c r="AH186" s="208" t="str">
        <v xml:space="preserve">  </v>
      </c>
      <c r="AI186" s="172"/>
      <c r="AJ186" s="173"/>
      <c r="AK186" s="173"/>
      <c r="AL186" s="173"/>
      <c r="AM186" s="173"/>
      <c r="AN186" s="174"/>
      <c r="AO186" s="178"/>
      <c r="AP186" s="208" t="str">
        <v xml:space="preserve">  </v>
      </c>
      <c r="AQ186" s="172"/>
      <c r="AR186" s="173"/>
      <c r="AS186" s="173"/>
      <c r="AT186" s="173"/>
      <c r="AU186" s="173"/>
      <c r="AV186" s="174"/>
    </row>
    <row r="187" spans="1:48">
      <c r="A187" s="204">
        <v>68</v>
      </c>
      <c r="B187" s="208" t="str">
        <v>EUSW5V3 MHIS Curncy</v>
      </c>
      <c r="C187" s="172" t="s">
        <v>963</v>
      </c>
      <c r="D187" s="173" t="s">
        <v>2146</v>
      </c>
      <c r="E187" s="173" t="s">
        <v>393</v>
      </c>
      <c r="F187" s="173" t="s">
        <v>472</v>
      </c>
      <c r="G187" s="173" t="s">
        <v>31</v>
      </c>
      <c r="H187" s="174" t="b">
        <v>1</v>
      </c>
      <c r="J187" s="208" t="str">
        <v xml:space="preserve">  </v>
      </c>
      <c r="K187" s="172"/>
      <c r="L187" s="173"/>
      <c r="M187" s="173"/>
      <c r="N187" s="173"/>
      <c r="O187" s="173"/>
      <c r="P187" s="174"/>
      <c r="R187" s="208" t="str">
        <v xml:space="preserve">  </v>
      </c>
      <c r="S187" s="172"/>
      <c r="T187" s="173"/>
      <c r="U187" s="173"/>
      <c r="V187" s="173"/>
      <c r="W187" s="173"/>
      <c r="X187" s="174"/>
      <c r="Y187" s="159"/>
      <c r="Z187" s="208" t="str">
        <v xml:space="preserve">  </v>
      </c>
      <c r="AA187" s="172"/>
      <c r="AB187" s="173"/>
      <c r="AC187" s="173"/>
      <c r="AD187" s="173"/>
      <c r="AE187" s="173"/>
      <c r="AF187" s="174"/>
      <c r="AG187" s="178"/>
      <c r="AH187" s="208" t="str">
        <v xml:space="preserve">  </v>
      </c>
      <c r="AI187" s="172"/>
      <c r="AJ187" s="173"/>
      <c r="AK187" s="173"/>
      <c r="AL187" s="173"/>
      <c r="AM187" s="173"/>
      <c r="AN187" s="174"/>
      <c r="AO187" s="178"/>
      <c r="AP187" s="208" t="str">
        <v xml:space="preserve">  </v>
      </c>
      <c r="AQ187" s="172"/>
      <c r="AR187" s="173"/>
      <c r="AS187" s="173"/>
      <c r="AT187" s="173"/>
      <c r="AU187" s="173"/>
      <c r="AV187" s="174"/>
    </row>
    <row r="188" spans="1:48">
      <c r="A188" s="204">
        <v>69</v>
      </c>
      <c r="B188" s="208" t="str">
        <v>EUSW6V3 MHIS Curncy</v>
      </c>
      <c r="C188" s="172" t="s">
        <v>964</v>
      </c>
      <c r="D188" s="173" t="s">
        <v>2146</v>
      </c>
      <c r="E188" s="173" t="s">
        <v>393</v>
      </c>
      <c r="F188" s="173" t="s">
        <v>472</v>
      </c>
      <c r="G188" s="173" t="s">
        <v>127</v>
      </c>
      <c r="H188" s="174" t="b">
        <v>1</v>
      </c>
      <c r="J188" s="208" t="str">
        <v xml:space="preserve">  </v>
      </c>
      <c r="K188" s="172"/>
      <c r="L188" s="173"/>
      <c r="M188" s="173"/>
      <c r="N188" s="173"/>
      <c r="O188" s="173"/>
      <c r="P188" s="174"/>
      <c r="R188" s="208" t="str">
        <v xml:space="preserve">  </v>
      </c>
      <c r="S188" s="172"/>
      <c r="T188" s="173"/>
      <c r="U188" s="173"/>
      <c r="V188" s="173"/>
      <c r="W188" s="173"/>
      <c r="X188" s="174"/>
      <c r="Y188" s="159"/>
      <c r="Z188" s="208" t="str">
        <v xml:space="preserve">  </v>
      </c>
      <c r="AA188" s="172"/>
      <c r="AB188" s="173"/>
      <c r="AC188" s="173"/>
      <c r="AD188" s="173"/>
      <c r="AE188" s="173"/>
      <c r="AF188" s="174"/>
      <c r="AG188" s="178"/>
      <c r="AH188" s="208" t="str">
        <v xml:space="preserve">  </v>
      </c>
      <c r="AI188" s="172"/>
      <c r="AJ188" s="173"/>
      <c r="AK188" s="173"/>
      <c r="AL188" s="173"/>
      <c r="AM188" s="173"/>
      <c r="AN188" s="174"/>
      <c r="AO188" s="178"/>
      <c r="AP188" s="208" t="str">
        <v xml:space="preserve">  </v>
      </c>
      <c r="AQ188" s="172"/>
      <c r="AR188" s="173"/>
      <c r="AS188" s="173"/>
      <c r="AT188" s="173"/>
      <c r="AU188" s="173"/>
      <c r="AV188" s="174"/>
    </row>
    <row r="189" spans="1:48">
      <c r="A189" s="204">
        <v>70</v>
      </c>
      <c r="B189" s="208" t="str">
        <v>EUSW7V3 MHIS Curncy</v>
      </c>
      <c r="C189" s="172" t="s">
        <v>965</v>
      </c>
      <c r="D189" s="173" t="s">
        <v>2146</v>
      </c>
      <c r="E189" s="173" t="s">
        <v>393</v>
      </c>
      <c r="F189" s="173" t="s">
        <v>472</v>
      </c>
      <c r="G189" s="173" t="s">
        <v>29</v>
      </c>
      <c r="H189" s="174" t="b">
        <v>1</v>
      </c>
      <c r="J189" s="208" t="str">
        <v xml:space="preserve">  </v>
      </c>
      <c r="K189" s="172"/>
      <c r="L189" s="173"/>
      <c r="M189" s="173"/>
      <c r="N189" s="173"/>
      <c r="O189" s="173"/>
      <c r="P189" s="174"/>
      <c r="R189" s="208" t="str">
        <v xml:space="preserve">  </v>
      </c>
      <c r="S189" s="172"/>
      <c r="T189" s="173"/>
      <c r="U189" s="173"/>
      <c r="V189" s="173"/>
      <c r="W189" s="173"/>
      <c r="X189" s="174"/>
      <c r="Y189" s="159"/>
      <c r="Z189" s="208" t="str">
        <v xml:space="preserve">  </v>
      </c>
      <c r="AA189" s="172"/>
      <c r="AB189" s="173"/>
      <c r="AC189" s="173"/>
      <c r="AD189" s="173"/>
      <c r="AE189" s="173"/>
      <c r="AF189" s="174"/>
      <c r="AG189" s="178"/>
      <c r="AH189" s="208" t="str">
        <v xml:space="preserve">  </v>
      </c>
      <c r="AI189" s="172"/>
      <c r="AJ189" s="173"/>
      <c r="AK189" s="173"/>
      <c r="AL189" s="173"/>
      <c r="AM189" s="173"/>
      <c r="AN189" s="174"/>
      <c r="AO189" s="178"/>
      <c r="AP189" s="208" t="str">
        <v xml:space="preserve">  </v>
      </c>
      <c r="AQ189" s="172"/>
      <c r="AR189" s="173"/>
      <c r="AS189" s="173"/>
      <c r="AT189" s="173"/>
      <c r="AU189" s="173"/>
      <c r="AV189" s="174"/>
    </row>
    <row r="190" spans="1:48">
      <c r="A190" s="204">
        <v>71</v>
      </c>
      <c r="B190" s="208" t="str">
        <v>EUSW8V3 MHIS Curncy</v>
      </c>
      <c r="C190" s="172" t="s">
        <v>966</v>
      </c>
      <c r="D190" s="173" t="s">
        <v>2146</v>
      </c>
      <c r="E190" s="173" t="s">
        <v>393</v>
      </c>
      <c r="F190" s="173" t="s">
        <v>472</v>
      </c>
      <c r="G190" s="173" t="s">
        <v>115</v>
      </c>
      <c r="H190" s="174" t="b">
        <v>1</v>
      </c>
      <c r="J190" s="208" t="str">
        <v xml:space="preserve">  </v>
      </c>
      <c r="K190" s="172"/>
      <c r="L190" s="173"/>
      <c r="M190" s="173"/>
      <c r="N190" s="173"/>
      <c r="O190" s="173"/>
      <c r="P190" s="174"/>
      <c r="R190" s="208" t="str">
        <v xml:space="preserve">  </v>
      </c>
      <c r="S190" s="172"/>
      <c r="T190" s="173"/>
      <c r="U190" s="173"/>
      <c r="V190" s="173"/>
      <c r="W190" s="173"/>
      <c r="X190" s="174"/>
      <c r="Y190" s="159"/>
      <c r="Z190" s="208" t="str">
        <v xml:space="preserve">  </v>
      </c>
      <c r="AA190" s="172"/>
      <c r="AB190" s="173"/>
      <c r="AC190" s="173"/>
      <c r="AD190" s="173"/>
      <c r="AE190" s="173"/>
      <c r="AF190" s="174"/>
      <c r="AG190" s="178"/>
      <c r="AH190" s="208" t="str">
        <v xml:space="preserve">  </v>
      </c>
      <c r="AI190" s="172"/>
      <c r="AJ190" s="173"/>
      <c r="AK190" s="173"/>
      <c r="AL190" s="173"/>
      <c r="AM190" s="173"/>
      <c r="AN190" s="174"/>
      <c r="AO190" s="178"/>
      <c r="AP190" s="208" t="str">
        <v xml:space="preserve">  </v>
      </c>
      <c r="AQ190" s="172"/>
      <c r="AR190" s="173"/>
      <c r="AS190" s="173"/>
      <c r="AT190" s="173"/>
      <c r="AU190" s="173"/>
      <c r="AV190" s="174"/>
    </row>
    <row r="191" spans="1:48">
      <c r="A191" s="204">
        <v>72</v>
      </c>
      <c r="B191" s="208" t="str">
        <v>EUSW9V3 MHIS Curncy</v>
      </c>
      <c r="C191" s="172" t="s">
        <v>967</v>
      </c>
      <c r="D191" s="173" t="s">
        <v>2146</v>
      </c>
      <c r="E191" s="173" t="s">
        <v>393</v>
      </c>
      <c r="F191" s="173" t="s">
        <v>472</v>
      </c>
      <c r="G191" s="173" t="s">
        <v>109</v>
      </c>
      <c r="H191" s="174" t="b">
        <v>1</v>
      </c>
      <c r="J191" s="208" t="str">
        <v xml:space="preserve">  </v>
      </c>
      <c r="K191" s="172"/>
      <c r="L191" s="173"/>
      <c r="M191" s="173"/>
      <c r="N191" s="173"/>
      <c r="O191" s="173"/>
      <c r="P191" s="174"/>
      <c r="R191" s="208" t="str">
        <v xml:space="preserve">  </v>
      </c>
      <c r="S191" s="172"/>
      <c r="T191" s="173"/>
      <c r="U191" s="173"/>
      <c r="V191" s="173"/>
      <c r="W191" s="173"/>
      <c r="X191" s="174"/>
      <c r="Y191" s="159"/>
      <c r="Z191" s="208" t="str">
        <v xml:space="preserve">  </v>
      </c>
      <c r="AA191" s="172"/>
      <c r="AB191" s="173"/>
      <c r="AC191" s="173"/>
      <c r="AD191" s="173"/>
      <c r="AE191" s="173"/>
      <c r="AF191" s="174"/>
      <c r="AG191" s="178"/>
      <c r="AH191" s="208" t="str">
        <v xml:space="preserve">  </v>
      </c>
      <c r="AI191" s="172"/>
      <c r="AJ191" s="173"/>
      <c r="AK191" s="173"/>
      <c r="AL191" s="173"/>
      <c r="AM191" s="173"/>
      <c r="AN191" s="174"/>
      <c r="AO191" s="178"/>
      <c r="AP191" s="208" t="str">
        <v xml:space="preserve">  </v>
      </c>
      <c r="AQ191" s="172"/>
      <c r="AR191" s="173"/>
      <c r="AS191" s="173"/>
      <c r="AT191" s="173"/>
      <c r="AU191" s="173"/>
      <c r="AV191" s="174"/>
    </row>
    <row r="192" spans="1:48">
      <c r="A192" s="204">
        <v>73</v>
      </c>
      <c r="B192" s="208" t="str">
        <v>EUSW10V3 MHIS Curncy</v>
      </c>
      <c r="C192" s="172" t="s">
        <v>968</v>
      </c>
      <c r="D192" s="173" t="s">
        <v>2146</v>
      </c>
      <c r="E192" s="173" t="s">
        <v>393</v>
      </c>
      <c r="F192" s="173" t="s">
        <v>472</v>
      </c>
      <c r="G192" s="173" t="s">
        <v>27</v>
      </c>
      <c r="H192" s="174" t="b">
        <v>1</v>
      </c>
      <c r="J192" s="208" t="str">
        <v xml:space="preserve">  </v>
      </c>
      <c r="K192" s="172"/>
      <c r="L192" s="173"/>
      <c r="M192" s="173"/>
      <c r="N192" s="173"/>
      <c r="O192" s="173"/>
      <c r="P192" s="174"/>
      <c r="R192" s="208" t="str">
        <v xml:space="preserve">  </v>
      </c>
      <c r="S192" s="172"/>
      <c r="T192" s="173"/>
      <c r="U192" s="173"/>
      <c r="V192" s="173"/>
      <c r="W192" s="173"/>
      <c r="X192" s="174"/>
      <c r="Y192" s="159"/>
      <c r="Z192" s="208" t="str">
        <v xml:space="preserve">  </v>
      </c>
      <c r="AA192" s="172"/>
      <c r="AB192" s="173"/>
      <c r="AC192" s="173"/>
      <c r="AD192" s="173"/>
      <c r="AE192" s="173"/>
      <c r="AF192" s="174"/>
      <c r="AG192" s="178"/>
      <c r="AH192" s="208" t="str">
        <v xml:space="preserve">  </v>
      </c>
      <c r="AI192" s="172"/>
      <c r="AJ192" s="173"/>
      <c r="AK192" s="173"/>
      <c r="AL192" s="173"/>
      <c r="AM192" s="173"/>
      <c r="AN192" s="174"/>
      <c r="AO192" s="178"/>
      <c r="AP192" s="208" t="str">
        <v xml:space="preserve">  </v>
      </c>
      <c r="AQ192" s="172"/>
      <c r="AR192" s="173"/>
      <c r="AS192" s="173"/>
      <c r="AT192" s="173"/>
      <c r="AU192" s="173"/>
      <c r="AV192" s="174"/>
    </row>
    <row r="193" spans="1:48">
      <c r="A193" s="204">
        <v>74</v>
      </c>
      <c r="B193" s="208" t="str">
        <v>EUSW11V3 MHIS Curncy</v>
      </c>
      <c r="C193" s="172" t="s">
        <v>969</v>
      </c>
      <c r="D193" s="173" t="s">
        <v>2146</v>
      </c>
      <c r="E193" s="173" t="s">
        <v>393</v>
      </c>
      <c r="F193" s="173" t="s">
        <v>472</v>
      </c>
      <c r="G193" s="173" t="s">
        <v>318</v>
      </c>
      <c r="H193" s="174" t="b">
        <v>1</v>
      </c>
      <c r="J193" s="208" t="str">
        <v xml:space="preserve">  </v>
      </c>
      <c r="K193" s="172"/>
      <c r="L193" s="173"/>
      <c r="M193" s="173"/>
      <c r="N193" s="173"/>
      <c r="O193" s="173"/>
      <c r="P193" s="174"/>
      <c r="R193" s="208" t="str">
        <v xml:space="preserve">  </v>
      </c>
      <c r="S193" s="172"/>
      <c r="T193" s="173"/>
      <c r="U193" s="173"/>
      <c r="V193" s="173"/>
      <c r="W193" s="173"/>
      <c r="X193" s="174"/>
      <c r="Y193" s="159"/>
      <c r="Z193" s="208" t="str">
        <v xml:space="preserve">  </v>
      </c>
      <c r="AA193" s="172"/>
      <c r="AB193" s="173"/>
      <c r="AC193" s="173"/>
      <c r="AD193" s="173"/>
      <c r="AE193" s="173"/>
      <c r="AF193" s="174"/>
      <c r="AG193" s="178"/>
      <c r="AH193" s="208" t="str">
        <v xml:space="preserve">  </v>
      </c>
      <c r="AI193" s="172"/>
      <c r="AJ193" s="173"/>
      <c r="AK193" s="173"/>
      <c r="AL193" s="173"/>
      <c r="AM193" s="173"/>
      <c r="AN193" s="174"/>
      <c r="AO193" s="178"/>
      <c r="AP193" s="208" t="str">
        <v xml:space="preserve">  </v>
      </c>
      <c r="AQ193" s="172"/>
      <c r="AR193" s="173"/>
      <c r="AS193" s="173"/>
      <c r="AT193" s="173"/>
      <c r="AU193" s="173"/>
      <c r="AV193" s="174"/>
    </row>
    <row r="194" spans="1:48">
      <c r="A194" s="204">
        <v>75</v>
      </c>
      <c r="B194" s="208" t="str">
        <v>EUSW12V3 MHIS Curncy</v>
      </c>
      <c r="C194" s="172" t="s">
        <v>970</v>
      </c>
      <c r="D194" s="173" t="s">
        <v>2146</v>
      </c>
      <c r="E194" s="173" t="s">
        <v>393</v>
      </c>
      <c r="F194" s="173" t="s">
        <v>472</v>
      </c>
      <c r="G194" s="173" t="s">
        <v>25</v>
      </c>
      <c r="H194" s="174" t="b">
        <v>1</v>
      </c>
      <c r="J194" s="208" t="str">
        <v xml:space="preserve">  </v>
      </c>
      <c r="K194" s="172"/>
      <c r="L194" s="173"/>
      <c r="M194" s="173"/>
      <c r="N194" s="173"/>
      <c r="O194" s="173"/>
      <c r="P194" s="174"/>
      <c r="R194" s="208" t="str">
        <v xml:space="preserve">  </v>
      </c>
      <c r="S194" s="172"/>
      <c r="T194" s="173"/>
      <c r="U194" s="173"/>
      <c r="V194" s="173"/>
      <c r="W194" s="173"/>
      <c r="X194" s="174"/>
      <c r="Y194" s="159"/>
      <c r="Z194" s="208" t="str">
        <v xml:space="preserve">  </v>
      </c>
      <c r="AA194" s="172"/>
      <c r="AB194" s="173"/>
      <c r="AC194" s="173"/>
      <c r="AD194" s="173"/>
      <c r="AE194" s="173"/>
      <c r="AF194" s="174"/>
      <c r="AG194" s="178"/>
      <c r="AH194" s="208" t="str">
        <v xml:space="preserve">  </v>
      </c>
      <c r="AI194" s="172"/>
      <c r="AJ194" s="173"/>
      <c r="AK194" s="173"/>
      <c r="AL194" s="173"/>
      <c r="AM194" s="173"/>
      <c r="AN194" s="174"/>
      <c r="AO194" s="178"/>
      <c r="AP194" s="208" t="str">
        <v xml:space="preserve">  </v>
      </c>
      <c r="AQ194" s="172"/>
      <c r="AR194" s="173"/>
      <c r="AS194" s="173"/>
      <c r="AT194" s="173"/>
      <c r="AU194" s="173"/>
      <c r="AV194" s="174"/>
    </row>
    <row r="195" spans="1:48">
      <c r="A195" s="204">
        <v>76</v>
      </c>
      <c r="B195" s="208" t="str">
        <v>EUSW15V3 MHIS Curncy</v>
      </c>
      <c r="C195" s="172" t="s">
        <v>971</v>
      </c>
      <c r="D195" s="173" t="s">
        <v>2146</v>
      </c>
      <c r="E195" s="173" t="s">
        <v>393</v>
      </c>
      <c r="F195" s="173" t="s">
        <v>472</v>
      </c>
      <c r="G195" s="173" t="s">
        <v>23</v>
      </c>
      <c r="H195" s="174" t="b">
        <v>1</v>
      </c>
      <c r="J195" s="208" t="str">
        <v xml:space="preserve">  </v>
      </c>
      <c r="K195" s="172"/>
      <c r="L195" s="173"/>
      <c r="M195" s="173"/>
      <c r="N195" s="173"/>
      <c r="O195" s="173"/>
      <c r="P195" s="174"/>
      <c r="R195" s="208" t="str">
        <v xml:space="preserve">  </v>
      </c>
      <c r="S195" s="172"/>
      <c r="T195" s="173"/>
      <c r="U195" s="173"/>
      <c r="V195" s="173"/>
      <c r="W195" s="173"/>
      <c r="X195" s="174"/>
      <c r="Y195" s="159"/>
      <c r="Z195" s="208" t="str">
        <v xml:space="preserve">  </v>
      </c>
      <c r="AA195" s="172"/>
      <c r="AB195" s="173"/>
      <c r="AC195" s="173"/>
      <c r="AD195" s="173"/>
      <c r="AE195" s="173"/>
      <c r="AF195" s="174"/>
      <c r="AG195" s="178"/>
      <c r="AH195" s="208" t="str">
        <v xml:space="preserve">  </v>
      </c>
      <c r="AI195" s="172"/>
      <c r="AJ195" s="173"/>
      <c r="AK195" s="173"/>
      <c r="AL195" s="173"/>
      <c r="AM195" s="173"/>
      <c r="AN195" s="174"/>
      <c r="AO195" s="178"/>
      <c r="AP195" s="208" t="str">
        <v xml:space="preserve">  </v>
      </c>
      <c r="AQ195" s="172"/>
      <c r="AR195" s="173"/>
      <c r="AS195" s="173"/>
      <c r="AT195" s="173"/>
      <c r="AU195" s="173"/>
      <c r="AV195" s="174"/>
    </row>
    <row r="196" spans="1:48">
      <c r="A196" s="204">
        <v>77</v>
      </c>
      <c r="B196" s="208" t="str">
        <v>EUSW20V3 MHIS Curncy</v>
      </c>
      <c r="C196" s="172" t="s">
        <v>972</v>
      </c>
      <c r="D196" s="173" t="s">
        <v>2146</v>
      </c>
      <c r="E196" s="173" t="s">
        <v>393</v>
      </c>
      <c r="F196" s="173" t="s">
        <v>472</v>
      </c>
      <c r="G196" s="173" t="s">
        <v>19</v>
      </c>
      <c r="H196" s="174" t="b">
        <v>1</v>
      </c>
      <c r="J196" s="208" t="str">
        <v xml:space="preserve">  </v>
      </c>
      <c r="K196" s="172"/>
      <c r="L196" s="173"/>
      <c r="M196" s="173"/>
      <c r="N196" s="173"/>
      <c r="O196" s="173"/>
      <c r="P196" s="174"/>
      <c r="R196" s="208" t="str">
        <v xml:space="preserve">  </v>
      </c>
      <c r="S196" s="172"/>
      <c r="T196" s="173"/>
      <c r="U196" s="173"/>
      <c r="V196" s="173"/>
      <c r="W196" s="173"/>
      <c r="X196" s="174"/>
      <c r="Y196" s="159"/>
      <c r="Z196" s="208" t="str">
        <v xml:space="preserve">  </v>
      </c>
      <c r="AA196" s="172"/>
      <c r="AB196" s="173"/>
      <c r="AC196" s="173"/>
      <c r="AD196" s="173"/>
      <c r="AE196" s="173"/>
      <c r="AF196" s="174"/>
      <c r="AG196" s="178"/>
      <c r="AH196" s="208" t="str">
        <v xml:space="preserve">  </v>
      </c>
      <c r="AI196" s="172"/>
      <c r="AJ196" s="173"/>
      <c r="AK196" s="173"/>
      <c r="AL196" s="173"/>
      <c r="AM196" s="173"/>
      <c r="AN196" s="174"/>
      <c r="AO196" s="178"/>
      <c r="AP196" s="208" t="str">
        <v xml:space="preserve">  </v>
      </c>
      <c r="AQ196" s="172"/>
      <c r="AR196" s="173"/>
      <c r="AS196" s="173"/>
      <c r="AT196" s="173"/>
      <c r="AU196" s="173"/>
      <c r="AV196" s="174"/>
    </row>
    <row r="197" spans="1:48">
      <c r="A197" s="204">
        <v>78</v>
      </c>
      <c r="B197" s="208" t="str">
        <v>EUSW25V3 MHIS Curncy</v>
      </c>
      <c r="C197" s="172" t="s">
        <v>973</v>
      </c>
      <c r="D197" s="173" t="s">
        <v>2146</v>
      </c>
      <c r="E197" s="173" t="s">
        <v>393</v>
      </c>
      <c r="F197" s="173" t="s">
        <v>472</v>
      </c>
      <c r="G197" s="173" t="s">
        <v>17</v>
      </c>
      <c r="H197" s="174" t="b">
        <v>1</v>
      </c>
      <c r="J197" s="208" t="str">
        <v xml:space="preserve">  </v>
      </c>
      <c r="K197" s="172"/>
      <c r="L197" s="173"/>
      <c r="M197" s="173"/>
      <c r="N197" s="173"/>
      <c r="O197" s="173"/>
      <c r="P197" s="174"/>
      <c r="R197" s="208" t="str">
        <v xml:space="preserve">  </v>
      </c>
      <c r="S197" s="172"/>
      <c r="T197" s="173"/>
      <c r="U197" s="173"/>
      <c r="V197" s="173"/>
      <c r="W197" s="173"/>
      <c r="X197" s="174"/>
      <c r="Y197" s="159"/>
      <c r="Z197" s="208" t="str">
        <v xml:space="preserve">  </v>
      </c>
      <c r="AA197" s="172"/>
      <c r="AB197" s="173"/>
      <c r="AC197" s="173"/>
      <c r="AD197" s="173"/>
      <c r="AE197" s="173"/>
      <c r="AF197" s="174"/>
      <c r="AG197" s="178"/>
      <c r="AH197" s="208" t="str">
        <v xml:space="preserve">  </v>
      </c>
      <c r="AI197" s="172"/>
      <c r="AJ197" s="173"/>
      <c r="AK197" s="173"/>
      <c r="AL197" s="173"/>
      <c r="AM197" s="173"/>
      <c r="AN197" s="174"/>
      <c r="AO197" s="178"/>
      <c r="AP197" s="208" t="str">
        <v xml:space="preserve">  </v>
      </c>
      <c r="AQ197" s="172"/>
      <c r="AR197" s="173"/>
      <c r="AS197" s="173"/>
      <c r="AT197" s="173"/>
      <c r="AU197" s="173"/>
      <c r="AV197" s="174"/>
    </row>
    <row r="198" spans="1:48">
      <c r="A198" s="204">
        <v>79</v>
      </c>
      <c r="B198" s="208" t="str">
        <v>EUSW30V3 MHIS Curncy</v>
      </c>
      <c r="C198" s="172" t="s">
        <v>974</v>
      </c>
      <c r="D198" s="173" t="s">
        <v>2146</v>
      </c>
      <c r="E198" s="173" t="s">
        <v>393</v>
      </c>
      <c r="F198" s="173" t="s">
        <v>472</v>
      </c>
      <c r="G198" s="173" t="s">
        <v>16</v>
      </c>
      <c r="H198" s="174" t="b">
        <v>1</v>
      </c>
      <c r="J198" s="208" t="str">
        <v xml:space="preserve">  </v>
      </c>
      <c r="K198" s="172"/>
      <c r="L198" s="173"/>
      <c r="M198" s="173"/>
      <c r="N198" s="173"/>
      <c r="O198" s="173"/>
      <c r="P198" s="174"/>
      <c r="R198" s="208" t="str">
        <v xml:space="preserve">  </v>
      </c>
      <c r="S198" s="172"/>
      <c r="T198" s="173"/>
      <c r="U198" s="173"/>
      <c r="V198" s="173"/>
      <c r="W198" s="173"/>
      <c r="X198" s="174"/>
      <c r="Y198" s="159"/>
      <c r="Z198" s="208" t="str">
        <v xml:space="preserve">  </v>
      </c>
      <c r="AA198" s="172"/>
      <c r="AB198" s="173"/>
      <c r="AC198" s="173"/>
      <c r="AD198" s="173"/>
      <c r="AE198" s="173"/>
      <c r="AF198" s="174"/>
      <c r="AG198" s="178"/>
      <c r="AH198" s="208" t="str">
        <v xml:space="preserve">  </v>
      </c>
      <c r="AI198" s="172"/>
      <c r="AJ198" s="173"/>
      <c r="AK198" s="173"/>
      <c r="AL198" s="173"/>
      <c r="AM198" s="173"/>
      <c r="AN198" s="174"/>
      <c r="AO198" s="178"/>
      <c r="AP198" s="208" t="str">
        <v xml:space="preserve">  </v>
      </c>
      <c r="AQ198" s="172"/>
      <c r="AR198" s="173"/>
      <c r="AS198" s="173"/>
      <c r="AT198" s="173"/>
      <c r="AU198" s="173"/>
      <c r="AV198" s="174"/>
    </row>
    <row r="199" spans="1:48">
      <c r="A199" s="204">
        <v>80</v>
      </c>
      <c r="B199" s="208" t="str">
        <v>EUSW40V3 MHIS Curncy</v>
      </c>
      <c r="C199" s="172" t="s">
        <v>975</v>
      </c>
      <c r="D199" s="173" t="s">
        <v>2146</v>
      </c>
      <c r="E199" s="173" t="s">
        <v>393</v>
      </c>
      <c r="F199" s="173" t="s">
        <v>472</v>
      </c>
      <c r="G199" s="173" t="s">
        <v>14</v>
      </c>
      <c r="H199" s="174" t="b">
        <v>1</v>
      </c>
      <c r="J199" s="208" t="str">
        <v xml:space="preserve">  </v>
      </c>
      <c r="K199" s="172"/>
      <c r="L199" s="173"/>
      <c r="M199" s="173"/>
      <c r="N199" s="173"/>
      <c r="O199" s="173"/>
      <c r="P199" s="174"/>
      <c r="R199" s="208" t="str">
        <v xml:space="preserve">  </v>
      </c>
      <c r="S199" s="172"/>
      <c r="T199" s="173"/>
      <c r="U199" s="173"/>
      <c r="V199" s="173"/>
      <c r="W199" s="173"/>
      <c r="X199" s="174"/>
      <c r="Y199" s="159"/>
      <c r="Z199" s="208" t="str">
        <v xml:space="preserve">  </v>
      </c>
      <c r="AA199" s="172"/>
      <c r="AB199" s="173"/>
      <c r="AC199" s="173"/>
      <c r="AD199" s="173"/>
      <c r="AE199" s="173"/>
      <c r="AF199" s="174"/>
      <c r="AG199" s="178"/>
      <c r="AH199" s="208" t="str">
        <v xml:space="preserve">  </v>
      </c>
      <c r="AI199" s="172"/>
      <c r="AJ199" s="173"/>
      <c r="AK199" s="173"/>
      <c r="AL199" s="173"/>
      <c r="AM199" s="173"/>
      <c r="AN199" s="174"/>
      <c r="AO199" s="178"/>
      <c r="AP199" s="208" t="str">
        <v xml:space="preserve">  </v>
      </c>
      <c r="AQ199" s="172"/>
      <c r="AR199" s="173"/>
      <c r="AS199" s="173"/>
      <c r="AT199" s="173"/>
      <c r="AU199" s="173"/>
      <c r="AV199" s="174"/>
    </row>
    <row r="200" spans="1:48">
      <c r="A200" s="204">
        <v>81</v>
      </c>
      <c r="B200" s="208" t="str">
        <v>EUSW50V3 MHIS Curncy</v>
      </c>
      <c r="C200" s="172" t="s">
        <v>976</v>
      </c>
      <c r="D200" s="173" t="s">
        <v>2146</v>
      </c>
      <c r="E200" s="173" t="s">
        <v>393</v>
      </c>
      <c r="F200" s="173" t="s">
        <v>472</v>
      </c>
      <c r="G200" s="173" t="s">
        <v>13</v>
      </c>
      <c r="H200" s="174" t="b">
        <v>1</v>
      </c>
      <c r="J200" s="208" t="str">
        <v xml:space="preserve">  </v>
      </c>
      <c r="K200" s="172"/>
      <c r="L200" s="173"/>
      <c r="M200" s="173"/>
      <c r="N200" s="173"/>
      <c r="O200" s="173"/>
      <c r="P200" s="174"/>
      <c r="R200" s="208" t="str">
        <v xml:space="preserve">  </v>
      </c>
      <c r="S200" s="172"/>
      <c r="T200" s="173"/>
      <c r="U200" s="173"/>
      <c r="V200" s="173"/>
      <c r="W200" s="173"/>
      <c r="X200" s="174"/>
      <c r="Y200" s="159"/>
      <c r="Z200" s="208" t="str">
        <v xml:space="preserve">  </v>
      </c>
      <c r="AA200" s="172"/>
      <c r="AB200" s="173"/>
      <c r="AC200" s="173"/>
      <c r="AD200" s="173"/>
      <c r="AE200" s="173"/>
      <c r="AF200" s="174"/>
      <c r="AG200" s="178"/>
      <c r="AH200" s="208" t="str">
        <v xml:space="preserve">  </v>
      </c>
      <c r="AI200" s="172"/>
      <c r="AJ200" s="173"/>
      <c r="AK200" s="173"/>
      <c r="AL200" s="173"/>
      <c r="AM200" s="173"/>
      <c r="AN200" s="174"/>
      <c r="AO200" s="178"/>
      <c r="AP200" s="208" t="str">
        <v xml:space="preserve">  </v>
      </c>
      <c r="AQ200" s="172"/>
      <c r="AR200" s="173"/>
      <c r="AS200" s="173"/>
      <c r="AT200" s="173"/>
      <c r="AU200" s="173"/>
      <c r="AV200" s="174"/>
    </row>
    <row r="201" spans="1:48">
      <c r="A201" s="204">
        <v>82</v>
      </c>
      <c r="B201" s="208" t="str">
        <v xml:space="preserve">  </v>
      </c>
      <c r="C201" s="172"/>
      <c r="D201" s="173"/>
      <c r="E201" s="173"/>
      <c r="F201" s="173"/>
      <c r="G201" s="173"/>
      <c r="H201" s="174"/>
      <c r="J201" s="208" t="str">
        <v xml:space="preserve">  </v>
      </c>
      <c r="K201" s="172"/>
      <c r="L201" s="173"/>
      <c r="M201" s="173"/>
      <c r="N201" s="173"/>
      <c r="O201" s="173"/>
      <c r="P201" s="174"/>
      <c r="R201" s="208" t="str">
        <v xml:space="preserve">  </v>
      </c>
      <c r="S201" s="172"/>
      <c r="T201" s="173"/>
      <c r="U201" s="173"/>
      <c r="V201" s="173"/>
      <c r="W201" s="173"/>
      <c r="X201" s="174"/>
      <c r="Y201" s="159"/>
      <c r="Z201" s="208" t="str">
        <v xml:space="preserve">  </v>
      </c>
      <c r="AA201" s="172"/>
      <c r="AB201" s="173"/>
      <c r="AC201" s="173"/>
      <c r="AD201" s="173"/>
      <c r="AE201" s="173"/>
      <c r="AF201" s="174"/>
      <c r="AG201" s="178"/>
      <c r="AH201" s="208" t="str">
        <v xml:space="preserve">  </v>
      </c>
      <c r="AI201" s="172"/>
      <c r="AJ201" s="173"/>
      <c r="AK201" s="173"/>
      <c r="AL201" s="173"/>
      <c r="AM201" s="173"/>
      <c r="AN201" s="174"/>
      <c r="AO201" s="178"/>
      <c r="AP201" s="208" t="str">
        <v xml:space="preserve">  </v>
      </c>
      <c r="AQ201" s="172"/>
      <c r="AR201" s="173"/>
      <c r="AS201" s="173"/>
      <c r="AT201" s="173"/>
      <c r="AU201" s="173"/>
      <c r="AV201" s="174"/>
    </row>
    <row r="202" spans="1:48">
      <c r="A202" s="204">
        <v>83</v>
      </c>
      <c r="B202" s="208" t="str">
        <v xml:space="preserve">  </v>
      </c>
      <c r="C202" s="172"/>
      <c r="D202" s="173"/>
      <c r="E202" s="173"/>
      <c r="F202" s="173"/>
      <c r="G202" s="173"/>
      <c r="H202" s="174"/>
      <c r="J202" s="208" t="str">
        <v xml:space="preserve">  </v>
      </c>
      <c r="K202" s="172"/>
      <c r="L202" s="173"/>
      <c r="M202" s="173"/>
      <c r="N202" s="173"/>
      <c r="O202" s="173"/>
      <c r="P202" s="174"/>
      <c r="R202" s="208" t="str">
        <v xml:space="preserve">  </v>
      </c>
      <c r="S202" s="172"/>
      <c r="T202" s="173"/>
      <c r="U202" s="173"/>
      <c r="V202" s="173"/>
      <c r="W202" s="173"/>
      <c r="X202" s="174"/>
      <c r="Y202" s="159"/>
      <c r="Z202" s="208" t="str">
        <v xml:space="preserve">  </v>
      </c>
      <c r="AA202" s="172"/>
      <c r="AB202" s="173"/>
      <c r="AC202" s="173"/>
      <c r="AD202" s="173"/>
      <c r="AE202" s="173"/>
      <c r="AF202" s="174"/>
      <c r="AG202" s="178"/>
      <c r="AH202" s="208" t="str">
        <v xml:space="preserve">  </v>
      </c>
      <c r="AI202" s="172"/>
      <c r="AJ202" s="173"/>
      <c r="AK202" s="173"/>
      <c r="AL202" s="173"/>
      <c r="AM202" s="173"/>
      <c r="AN202" s="174"/>
      <c r="AO202" s="178"/>
      <c r="AP202" s="208" t="str">
        <v xml:space="preserve">  </v>
      </c>
      <c r="AQ202" s="172"/>
      <c r="AR202" s="173"/>
      <c r="AS202" s="173"/>
      <c r="AT202" s="173"/>
      <c r="AU202" s="173"/>
      <c r="AV202" s="174"/>
    </row>
    <row r="203" spans="1:48">
      <c r="A203" s="204">
        <v>84</v>
      </c>
      <c r="B203" s="208" t="str">
        <v xml:space="preserve">  </v>
      </c>
      <c r="C203" s="172"/>
      <c r="D203" s="173"/>
      <c r="E203" s="173"/>
      <c r="F203" s="173"/>
      <c r="G203" s="173"/>
      <c r="H203" s="174"/>
      <c r="J203" s="208" t="str">
        <v xml:space="preserve">  </v>
      </c>
      <c r="K203" s="172"/>
      <c r="L203" s="173"/>
      <c r="M203" s="173"/>
      <c r="N203" s="173"/>
      <c r="O203" s="173"/>
      <c r="P203" s="174"/>
      <c r="R203" s="208" t="str">
        <v xml:space="preserve">  </v>
      </c>
      <c r="S203" s="172"/>
      <c r="T203" s="173"/>
      <c r="U203" s="173"/>
      <c r="V203" s="173"/>
      <c r="W203" s="173"/>
      <c r="X203" s="174"/>
      <c r="Y203" s="159"/>
      <c r="Z203" s="208" t="str">
        <v xml:space="preserve">  </v>
      </c>
      <c r="AA203" s="172"/>
      <c r="AB203" s="173"/>
      <c r="AC203" s="173"/>
      <c r="AD203" s="173"/>
      <c r="AE203" s="173"/>
      <c r="AF203" s="174"/>
      <c r="AG203" s="178"/>
      <c r="AH203" s="208" t="str">
        <v xml:space="preserve">  </v>
      </c>
      <c r="AI203" s="172"/>
      <c r="AJ203" s="173"/>
      <c r="AK203" s="173"/>
      <c r="AL203" s="173"/>
      <c r="AM203" s="173"/>
      <c r="AN203" s="174"/>
      <c r="AO203" s="178"/>
      <c r="AP203" s="208" t="str">
        <v xml:space="preserve">  </v>
      </c>
      <c r="AQ203" s="172"/>
      <c r="AR203" s="173"/>
      <c r="AS203" s="173"/>
      <c r="AT203" s="173"/>
      <c r="AU203" s="173"/>
      <c r="AV203" s="174"/>
    </row>
    <row r="204" spans="1:48">
      <c r="A204" s="204">
        <v>85</v>
      </c>
      <c r="B204" s="208" t="str">
        <v xml:space="preserve">  </v>
      </c>
      <c r="C204" s="172"/>
      <c r="D204" s="173"/>
      <c r="E204" s="173"/>
      <c r="F204" s="173"/>
      <c r="G204" s="173"/>
      <c r="H204" s="174"/>
      <c r="J204" s="208" t="str">
        <v xml:space="preserve">  </v>
      </c>
      <c r="K204" s="172"/>
      <c r="L204" s="173"/>
      <c r="M204" s="173"/>
      <c r="N204" s="173"/>
      <c r="O204" s="173"/>
      <c r="P204" s="174"/>
      <c r="R204" s="208" t="str">
        <v xml:space="preserve">  </v>
      </c>
      <c r="S204" s="172"/>
      <c r="T204" s="173"/>
      <c r="U204" s="173"/>
      <c r="V204" s="173"/>
      <c r="W204" s="173"/>
      <c r="X204" s="174"/>
      <c r="Y204" s="159"/>
      <c r="Z204" s="208" t="str">
        <v xml:space="preserve">  </v>
      </c>
      <c r="AA204" s="172"/>
      <c r="AB204" s="173"/>
      <c r="AC204" s="173"/>
      <c r="AD204" s="173"/>
      <c r="AE204" s="173"/>
      <c r="AF204" s="174"/>
      <c r="AG204" s="178"/>
      <c r="AH204" s="208" t="str">
        <v xml:space="preserve">  </v>
      </c>
      <c r="AI204" s="172"/>
      <c r="AJ204" s="173"/>
      <c r="AK204" s="173"/>
      <c r="AL204" s="173"/>
      <c r="AM204" s="173"/>
      <c r="AN204" s="174"/>
      <c r="AO204" s="178"/>
      <c r="AP204" s="208" t="str">
        <v xml:space="preserve">  </v>
      </c>
      <c r="AQ204" s="172"/>
      <c r="AR204" s="173"/>
      <c r="AS204" s="173"/>
      <c r="AT204" s="173"/>
      <c r="AU204" s="173"/>
      <c r="AV204" s="174"/>
    </row>
    <row r="205" spans="1:48">
      <c r="A205" s="204">
        <v>86</v>
      </c>
      <c r="B205" s="208" t="str">
        <v xml:space="preserve">  </v>
      </c>
      <c r="C205" s="172"/>
      <c r="D205" s="173"/>
      <c r="E205" s="173"/>
      <c r="F205" s="173"/>
      <c r="G205" s="173"/>
      <c r="H205" s="174"/>
      <c r="J205" s="208" t="str">
        <v xml:space="preserve">  </v>
      </c>
      <c r="K205" s="172"/>
      <c r="L205" s="173"/>
      <c r="M205" s="173"/>
      <c r="N205" s="173"/>
      <c r="O205" s="173"/>
      <c r="P205" s="174"/>
      <c r="R205" s="208" t="str">
        <v xml:space="preserve">  </v>
      </c>
      <c r="S205" s="172"/>
      <c r="T205" s="173"/>
      <c r="U205" s="173"/>
      <c r="V205" s="173"/>
      <c r="W205" s="173"/>
      <c r="X205" s="174"/>
      <c r="Y205" s="159"/>
      <c r="Z205" s="208" t="str">
        <v xml:space="preserve">  </v>
      </c>
      <c r="AA205" s="172"/>
      <c r="AB205" s="173"/>
      <c r="AC205" s="173"/>
      <c r="AD205" s="173"/>
      <c r="AE205" s="173"/>
      <c r="AF205" s="174"/>
      <c r="AG205" s="178"/>
      <c r="AH205" s="208" t="str">
        <v xml:space="preserve">  </v>
      </c>
      <c r="AI205" s="172"/>
      <c r="AJ205" s="173"/>
      <c r="AK205" s="173"/>
      <c r="AL205" s="173"/>
      <c r="AM205" s="173"/>
      <c r="AN205" s="174"/>
      <c r="AO205" s="178"/>
      <c r="AP205" s="208" t="str">
        <v xml:space="preserve">  </v>
      </c>
      <c r="AQ205" s="172"/>
      <c r="AR205" s="173"/>
      <c r="AS205" s="173"/>
      <c r="AT205" s="173"/>
      <c r="AU205" s="173"/>
      <c r="AV205" s="174"/>
    </row>
    <row r="206" spans="1:48">
      <c r="A206" s="204">
        <v>87</v>
      </c>
      <c r="B206" s="208" t="str">
        <v xml:space="preserve">  </v>
      </c>
      <c r="C206" s="172"/>
      <c r="D206" s="173"/>
      <c r="E206" s="173"/>
      <c r="F206" s="173"/>
      <c r="G206" s="173"/>
      <c r="H206" s="174"/>
      <c r="J206" s="208" t="str">
        <v xml:space="preserve">  </v>
      </c>
      <c r="K206" s="172"/>
      <c r="L206" s="173"/>
      <c r="M206" s="173"/>
      <c r="N206" s="173"/>
      <c r="O206" s="173"/>
      <c r="P206" s="174"/>
      <c r="R206" s="208" t="str">
        <v xml:space="preserve">  </v>
      </c>
      <c r="S206" s="172"/>
      <c r="T206" s="173"/>
      <c r="U206" s="173"/>
      <c r="V206" s="173"/>
      <c r="W206" s="173"/>
      <c r="X206" s="174"/>
      <c r="Y206" s="159"/>
      <c r="Z206" s="208" t="str">
        <v xml:space="preserve">  </v>
      </c>
      <c r="AA206" s="172"/>
      <c r="AB206" s="173"/>
      <c r="AC206" s="173"/>
      <c r="AD206" s="173"/>
      <c r="AE206" s="173"/>
      <c r="AF206" s="174"/>
      <c r="AG206" s="178"/>
      <c r="AH206" s="208" t="str">
        <v xml:space="preserve">  </v>
      </c>
      <c r="AI206" s="172"/>
      <c r="AJ206" s="173"/>
      <c r="AK206" s="173"/>
      <c r="AL206" s="173"/>
      <c r="AM206" s="173"/>
      <c r="AN206" s="174"/>
      <c r="AO206" s="178"/>
      <c r="AP206" s="208" t="str">
        <v xml:space="preserve">  </v>
      </c>
      <c r="AQ206" s="172"/>
      <c r="AR206" s="173"/>
      <c r="AS206" s="173"/>
      <c r="AT206" s="173"/>
      <c r="AU206" s="173"/>
      <c r="AV206" s="174"/>
    </row>
    <row r="207" spans="1:48">
      <c r="A207" s="204">
        <v>88</v>
      </c>
      <c r="B207" s="208" t="str">
        <v xml:space="preserve">  </v>
      </c>
      <c r="C207" s="172"/>
      <c r="D207" s="173"/>
      <c r="E207" s="173"/>
      <c r="F207" s="173"/>
      <c r="G207" s="173"/>
      <c r="H207" s="174"/>
      <c r="J207" s="208" t="str">
        <v xml:space="preserve">  </v>
      </c>
      <c r="K207" s="172"/>
      <c r="L207" s="173"/>
      <c r="M207" s="173"/>
      <c r="N207" s="173"/>
      <c r="O207" s="173"/>
      <c r="P207" s="174"/>
      <c r="R207" s="208" t="str">
        <v xml:space="preserve">  </v>
      </c>
      <c r="S207" s="172"/>
      <c r="T207" s="173"/>
      <c r="U207" s="173"/>
      <c r="V207" s="173"/>
      <c r="W207" s="173"/>
      <c r="X207" s="174"/>
      <c r="Y207" s="159"/>
      <c r="Z207" s="208" t="str">
        <v xml:space="preserve">  </v>
      </c>
      <c r="AA207" s="172"/>
      <c r="AB207" s="173"/>
      <c r="AC207" s="173"/>
      <c r="AD207" s="173"/>
      <c r="AE207" s="173"/>
      <c r="AF207" s="174"/>
      <c r="AG207" s="178"/>
      <c r="AH207" s="208" t="str">
        <v xml:space="preserve">  </v>
      </c>
      <c r="AI207" s="172"/>
      <c r="AJ207" s="173"/>
      <c r="AK207" s="173"/>
      <c r="AL207" s="173"/>
      <c r="AM207" s="173"/>
      <c r="AN207" s="174"/>
      <c r="AO207" s="178"/>
      <c r="AP207" s="208" t="str">
        <v xml:space="preserve">  </v>
      </c>
      <c r="AQ207" s="172"/>
      <c r="AR207" s="173"/>
      <c r="AS207" s="173"/>
      <c r="AT207" s="173"/>
      <c r="AU207" s="173"/>
      <c r="AV207" s="174"/>
    </row>
    <row r="208" spans="1:48">
      <c r="A208" s="204">
        <v>89</v>
      </c>
      <c r="B208" s="208" t="str">
        <v xml:space="preserve">  </v>
      </c>
      <c r="C208" s="172"/>
      <c r="D208" s="173"/>
      <c r="E208" s="173"/>
      <c r="F208" s="173"/>
      <c r="G208" s="173"/>
      <c r="H208" s="174"/>
      <c r="J208" s="208" t="str">
        <v xml:space="preserve">  </v>
      </c>
      <c r="K208" s="172"/>
      <c r="L208" s="173"/>
      <c r="M208" s="173"/>
      <c r="N208" s="173"/>
      <c r="O208" s="173"/>
      <c r="P208" s="174"/>
      <c r="R208" s="208" t="str">
        <v xml:space="preserve">  </v>
      </c>
      <c r="S208" s="172"/>
      <c r="T208" s="173"/>
      <c r="U208" s="173"/>
      <c r="V208" s="173"/>
      <c r="W208" s="173"/>
      <c r="X208" s="174"/>
      <c r="Y208" s="159"/>
      <c r="Z208" s="208" t="str">
        <v xml:space="preserve">  </v>
      </c>
      <c r="AA208" s="172"/>
      <c r="AB208" s="173"/>
      <c r="AC208" s="173"/>
      <c r="AD208" s="173"/>
      <c r="AE208" s="173"/>
      <c r="AF208" s="174"/>
      <c r="AG208" s="178"/>
      <c r="AH208" s="208" t="str">
        <v xml:space="preserve">  </v>
      </c>
      <c r="AI208" s="172"/>
      <c r="AJ208" s="173"/>
      <c r="AK208" s="173"/>
      <c r="AL208" s="173"/>
      <c r="AM208" s="173"/>
      <c r="AN208" s="174"/>
      <c r="AO208" s="178"/>
      <c r="AP208" s="208" t="str">
        <v xml:space="preserve">  </v>
      </c>
      <c r="AQ208" s="172"/>
      <c r="AR208" s="173"/>
      <c r="AS208" s="173"/>
      <c r="AT208" s="173"/>
      <c r="AU208" s="173"/>
      <c r="AV208" s="174"/>
    </row>
    <row r="209" spans="1:48">
      <c r="A209" s="204">
        <v>90</v>
      </c>
      <c r="B209" s="208" t="str">
        <v xml:space="preserve">  </v>
      </c>
      <c r="C209" s="172"/>
      <c r="D209" s="173"/>
      <c r="E209" s="173"/>
      <c r="F209" s="173"/>
      <c r="G209" s="173"/>
      <c r="H209" s="174"/>
      <c r="J209" s="208" t="str">
        <v xml:space="preserve">  </v>
      </c>
      <c r="K209" s="172"/>
      <c r="L209" s="173"/>
      <c r="M209" s="173"/>
      <c r="N209" s="173"/>
      <c r="O209" s="173"/>
      <c r="P209" s="174"/>
      <c r="R209" s="208" t="str">
        <v xml:space="preserve">  </v>
      </c>
      <c r="S209" s="172"/>
      <c r="T209" s="173"/>
      <c r="U209" s="173"/>
      <c r="V209" s="173"/>
      <c r="W209" s="173"/>
      <c r="X209" s="174"/>
      <c r="Y209" s="159"/>
      <c r="Z209" s="208" t="str">
        <v xml:space="preserve">  </v>
      </c>
      <c r="AA209" s="172"/>
      <c r="AB209" s="173"/>
      <c r="AC209" s="173"/>
      <c r="AD209" s="173"/>
      <c r="AE209" s="173"/>
      <c r="AF209" s="174"/>
      <c r="AG209" s="178"/>
      <c r="AH209" s="208" t="str">
        <v xml:space="preserve">  </v>
      </c>
      <c r="AI209" s="172"/>
      <c r="AJ209" s="173"/>
      <c r="AK209" s="173"/>
      <c r="AL209" s="173"/>
      <c r="AM209" s="173"/>
      <c r="AN209" s="174"/>
      <c r="AO209" s="178"/>
      <c r="AP209" s="208" t="str">
        <v xml:space="preserve">  </v>
      </c>
      <c r="AQ209" s="172"/>
      <c r="AR209" s="173"/>
      <c r="AS209" s="173"/>
      <c r="AT209" s="173"/>
      <c r="AU209" s="173"/>
      <c r="AV209" s="174"/>
    </row>
    <row r="210" spans="1:48">
      <c r="A210" s="204">
        <v>91</v>
      </c>
      <c r="B210" s="208" t="str">
        <v xml:space="preserve">  </v>
      </c>
      <c r="C210" s="172"/>
      <c r="D210" s="173"/>
      <c r="E210" s="173"/>
      <c r="F210" s="173"/>
      <c r="G210" s="173"/>
      <c r="H210" s="174"/>
      <c r="J210" s="208" t="str">
        <v xml:space="preserve">  </v>
      </c>
      <c r="K210" s="172"/>
      <c r="L210" s="173"/>
      <c r="M210" s="173"/>
      <c r="N210" s="173"/>
      <c r="O210" s="173"/>
      <c r="P210" s="174"/>
      <c r="R210" s="208" t="str">
        <v xml:space="preserve">  </v>
      </c>
      <c r="S210" s="172"/>
      <c r="T210" s="173"/>
      <c r="U210" s="173"/>
      <c r="V210" s="173"/>
      <c r="W210" s="173"/>
      <c r="X210" s="174"/>
      <c r="Y210" s="159"/>
      <c r="Z210" s="208" t="str">
        <v xml:space="preserve">  </v>
      </c>
      <c r="AA210" s="172"/>
      <c r="AB210" s="173"/>
      <c r="AC210" s="173"/>
      <c r="AD210" s="173"/>
      <c r="AE210" s="173"/>
      <c r="AF210" s="174"/>
      <c r="AG210" s="178"/>
      <c r="AH210" s="208" t="str">
        <v xml:space="preserve">  </v>
      </c>
      <c r="AI210" s="172"/>
      <c r="AJ210" s="173"/>
      <c r="AK210" s="173"/>
      <c r="AL210" s="173"/>
      <c r="AM210" s="173"/>
      <c r="AN210" s="174"/>
      <c r="AO210" s="178"/>
      <c r="AP210" s="208" t="str">
        <v xml:space="preserve">  </v>
      </c>
      <c r="AQ210" s="172"/>
      <c r="AR210" s="173"/>
      <c r="AS210" s="173"/>
      <c r="AT210" s="173"/>
      <c r="AU210" s="173"/>
      <c r="AV210" s="174"/>
    </row>
    <row r="211" spans="1:48">
      <c r="A211" s="204">
        <v>92</v>
      </c>
      <c r="B211" s="208" t="str">
        <v xml:space="preserve">  </v>
      </c>
      <c r="C211" s="172"/>
      <c r="D211" s="173"/>
      <c r="E211" s="173"/>
      <c r="F211" s="173"/>
      <c r="G211" s="173"/>
      <c r="H211" s="174"/>
      <c r="J211" s="208" t="str">
        <v xml:space="preserve">  </v>
      </c>
      <c r="K211" s="172"/>
      <c r="L211" s="173"/>
      <c r="M211" s="173"/>
      <c r="N211" s="173"/>
      <c r="O211" s="173"/>
      <c r="P211" s="174"/>
      <c r="R211" s="208" t="str">
        <v xml:space="preserve">  </v>
      </c>
      <c r="S211" s="172"/>
      <c r="T211" s="173"/>
      <c r="U211" s="173"/>
      <c r="V211" s="173"/>
      <c r="W211" s="173"/>
      <c r="X211" s="174"/>
      <c r="Y211" s="159"/>
      <c r="Z211" s="208" t="str">
        <v xml:space="preserve">  </v>
      </c>
      <c r="AA211" s="172"/>
      <c r="AB211" s="173"/>
      <c r="AC211" s="173"/>
      <c r="AD211" s="173"/>
      <c r="AE211" s="173"/>
      <c r="AF211" s="174"/>
      <c r="AG211" s="178"/>
      <c r="AH211" s="208" t="str">
        <v xml:space="preserve">  </v>
      </c>
      <c r="AI211" s="172"/>
      <c r="AJ211" s="173"/>
      <c r="AK211" s="173"/>
      <c r="AL211" s="173"/>
      <c r="AM211" s="173"/>
      <c r="AN211" s="174"/>
      <c r="AO211" s="178"/>
      <c r="AP211" s="208" t="str">
        <v xml:space="preserve">  </v>
      </c>
      <c r="AQ211" s="172"/>
      <c r="AR211" s="173"/>
      <c r="AS211" s="173"/>
      <c r="AT211" s="173"/>
      <c r="AU211" s="173"/>
      <c r="AV211" s="174"/>
    </row>
    <row r="212" spans="1:48">
      <c r="A212" s="204">
        <v>93</v>
      </c>
      <c r="B212" s="208" t="str">
        <v xml:space="preserve">  </v>
      </c>
      <c r="C212" s="172"/>
      <c r="D212" s="173"/>
      <c r="E212" s="173"/>
      <c r="F212" s="173"/>
      <c r="G212" s="173"/>
      <c r="H212" s="174"/>
      <c r="J212" s="208" t="str">
        <v xml:space="preserve">  </v>
      </c>
      <c r="K212" s="172"/>
      <c r="L212" s="173"/>
      <c r="M212" s="173"/>
      <c r="N212" s="173"/>
      <c r="O212" s="173"/>
      <c r="P212" s="174"/>
      <c r="R212" s="208" t="str">
        <v xml:space="preserve">  </v>
      </c>
      <c r="S212" s="172"/>
      <c r="T212" s="173"/>
      <c r="U212" s="173"/>
      <c r="V212" s="173"/>
      <c r="W212" s="173"/>
      <c r="X212" s="174"/>
      <c r="Y212" s="159"/>
      <c r="Z212" s="208" t="str">
        <v xml:space="preserve">  </v>
      </c>
      <c r="AA212" s="172"/>
      <c r="AB212" s="173"/>
      <c r="AC212" s="173"/>
      <c r="AD212" s="173"/>
      <c r="AE212" s="173"/>
      <c r="AF212" s="174"/>
      <c r="AG212" s="178"/>
      <c r="AH212" s="208" t="str">
        <v xml:space="preserve">  </v>
      </c>
      <c r="AI212" s="172"/>
      <c r="AJ212" s="173"/>
      <c r="AK212" s="173"/>
      <c r="AL212" s="173"/>
      <c r="AM212" s="173"/>
      <c r="AN212" s="174"/>
      <c r="AO212" s="178"/>
      <c r="AP212" s="208" t="str">
        <v xml:space="preserve">  </v>
      </c>
      <c r="AQ212" s="172"/>
      <c r="AR212" s="173"/>
      <c r="AS212" s="173"/>
      <c r="AT212" s="173"/>
      <c r="AU212" s="173"/>
      <c r="AV212" s="174"/>
    </row>
    <row r="213" spans="1:48">
      <c r="A213" s="204">
        <v>94</v>
      </c>
      <c r="B213" s="208" t="str">
        <v xml:space="preserve">  </v>
      </c>
      <c r="C213" s="172"/>
      <c r="D213" s="173"/>
      <c r="E213" s="173"/>
      <c r="F213" s="173"/>
      <c r="G213" s="173"/>
      <c r="H213" s="174"/>
      <c r="J213" s="208" t="str">
        <v xml:space="preserve">  </v>
      </c>
      <c r="K213" s="172"/>
      <c r="L213" s="173"/>
      <c r="M213" s="173"/>
      <c r="N213" s="173"/>
      <c r="O213" s="173"/>
      <c r="P213" s="174"/>
      <c r="R213" s="208" t="str">
        <v xml:space="preserve">  </v>
      </c>
      <c r="S213" s="172"/>
      <c r="T213" s="173"/>
      <c r="U213" s="173"/>
      <c r="V213" s="173"/>
      <c r="W213" s="173"/>
      <c r="X213" s="174"/>
      <c r="Y213" s="159"/>
      <c r="Z213" s="208" t="str">
        <v xml:space="preserve">  </v>
      </c>
      <c r="AA213" s="172"/>
      <c r="AB213" s="173"/>
      <c r="AC213" s="173"/>
      <c r="AD213" s="173"/>
      <c r="AE213" s="173"/>
      <c r="AF213" s="174"/>
      <c r="AG213" s="178"/>
      <c r="AH213" s="208" t="str">
        <v xml:space="preserve">  </v>
      </c>
      <c r="AI213" s="172"/>
      <c r="AJ213" s="173"/>
      <c r="AK213" s="173"/>
      <c r="AL213" s="173"/>
      <c r="AM213" s="173"/>
      <c r="AN213" s="174"/>
      <c r="AO213" s="178"/>
      <c r="AP213" s="208" t="str">
        <v xml:space="preserve">  </v>
      </c>
      <c r="AQ213" s="172"/>
      <c r="AR213" s="173"/>
      <c r="AS213" s="173"/>
      <c r="AT213" s="173"/>
      <c r="AU213" s="173"/>
      <c r="AV213" s="174"/>
    </row>
    <row r="214" spans="1:48">
      <c r="A214" s="204">
        <v>95</v>
      </c>
      <c r="B214" s="208" t="str">
        <v xml:space="preserve">  </v>
      </c>
      <c r="C214" s="172"/>
      <c r="D214" s="173"/>
      <c r="E214" s="173"/>
      <c r="F214" s="173"/>
      <c r="G214" s="173"/>
      <c r="H214" s="174"/>
      <c r="J214" s="208" t="str">
        <v xml:space="preserve">  </v>
      </c>
      <c r="K214" s="172"/>
      <c r="L214" s="173"/>
      <c r="M214" s="173"/>
      <c r="N214" s="173"/>
      <c r="O214" s="173"/>
      <c r="P214" s="174"/>
      <c r="R214" s="208" t="str">
        <v xml:space="preserve">  </v>
      </c>
      <c r="S214" s="172"/>
      <c r="T214" s="173"/>
      <c r="U214" s="173"/>
      <c r="V214" s="173"/>
      <c r="W214" s="173"/>
      <c r="X214" s="174"/>
      <c r="Y214" s="159"/>
      <c r="Z214" s="208" t="str">
        <v xml:space="preserve">  </v>
      </c>
      <c r="AA214" s="172"/>
      <c r="AB214" s="173"/>
      <c r="AC214" s="173"/>
      <c r="AD214" s="173"/>
      <c r="AE214" s="173"/>
      <c r="AF214" s="174"/>
      <c r="AG214" s="178"/>
      <c r="AH214" s="208" t="str">
        <v xml:space="preserve">  </v>
      </c>
      <c r="AI214" s="172"/>
      <c r="AJ214" s="173"/>
      <c r="AK214" s="173"/>
      <c r="AL214" s="173"/>
      <c r="AM214" s="173"/>
      <c r="AN214" s="174"/>
      <c r="AO214" s="178"/>
      <c r="AP214" s="208" t="str">
        <v xml:space="preserve">  </v>
      </c>
      <c r="AQ214" s="172"/>
      <c r="AR214" s="173"/>
      <c r="AS214" s="173"/>
      <c r="AT214" s="173"/>
      <c r="AU214" s="173"/>
      <c r="AV214" s="174"/>
    </row>
    <row r="215" spans="1:48">
      <c r="A215" s="204">
        <v>96</v>
      </c>
      <c r="B215" s="208" t="str">
        <v xml:space="preserve">  </v>
      </c>
      <c r="C215" s="172"/>
      <c r="D215" s="173"/>
      <c r="E215" s="173"/>
      <c r="F215" s="173"/>
      <c r="G215" s="173"/>
      <c r="H215" s="174"/>
      <c r="J215" s="208" t="str">
        <v xml:space="preserve">  </v>
      </c>
      <c r="K215" s="172"/>
      <c r="L215" s="173"/>
      <c r="M215" s="173"/>
      <c r="N215" s="173"/>
      <c r="O215" s="173"/>
      <c r="P215" s="174"/>
      <c r="R215" s="208" t="str">
        <v xml:space="preserve">  </v>
      </c>
      <c r="S215" s="172"/>
      <c r="T215" s="173"/>
      <c r="U215" s="173"/>
      <c r="V215" s="173"/>
      <c r="W215" s="173"/>
      <c r="X215" s="174"/>
      <c r="Y215" s="159"/>
      <c r="Z215" s="208" t="str">
        <v xml:space="preserve">  </v>
      </c>
      <c r="AA215" s="172"/>
      <c r="AB215" s="173"/>
      <c r="AC215" s="173"/>
      <c r="AD215" s="173"/>
      <c r="AE215" s="173"/>
      <c r="AF215" s="174"/>
      <c r="AG215" s="178"/>
      <c r="AH215" s="208" t="str">
        <v xml:space="preserve">  </v>
      </c>
      <c r="AI215" s="172"/>
      <c r="AJ215" s="173"/>
      <c r="AK215" s="173"/>
      <c r="AL215" s="173"/>
      <c r="AM215" s="173"/>
      <c r="AN215" s="174"/>
      <c r="AO215" s="178"/>
      <c r="AP215" s="208" t="str">
        <v xml:space="preserve">  </v>
      </c>
      <c r="AQ215" s="172"/>
      <c r="AR215" s="173"/>
      <c r="AS215" s="173"/>
      <c r="AT215" s="173"/>
      <c r="AU215" s="173"/>
      <c r="AV215" s="174"/>
    </row>
    <row r="216" spans="1:48">
      <c r="A216" s="204">
        <v>97</v>
      </c>
      <c r="B216" s="208" t="str">
        <v xml:space="preserve">  </v>
      </c>
      <c r="C216" s="172"/>
      <c r="D216" s="173"/>
      <c r="E216" s="173"/>
      <c r="F216" s="173"/>
      <c r="G216" s="173"/>
      <c r="H216" s="174"/>
      <c r="J216" s="208" t="str">
        <v xml:space="preserve">  </v>
      </c>
      <c r="K216" s="172"/>
      <c r="L216" s="173"/>
      <c r="M216" s="173"/>
      <c r="N216" s="173"/>
      <c r="O216" s="173"/>
      <c r="P216" s="174"/>
      <c r="R216" s="208" t="str">
        <v xml:space="preserve">  </v>
      </c>
      <c r="S216" s="172"/>
      <c r="T216" s="173"/>
      <c r="U216" s="173"/>
      <c r="V216" s="173"/>
      <c r="W216" s="173"/>
      <c r="X216" s="174"/>
      <c r="Y216" s="159"/>
      <c r="Z216" s="208" t="str">
        <v xml:space="preserve">  </v>
      </c>
      <c r="AA216" s="172"/>
      <c r="AB216" s="173"/>
      <c r="AC216" s="173"/>
      <c r="AD216" s="173"/>
      <c r="AE216" s="173"/>
      <c r="AF216" s="174"/>
      <c r="AG216" s="178"/>
      <c r="AH216" s="208" t="str">
        <v xml:space="preserve">  </v>
      </c>
      <c r="AI216" s="172"/>
      <c r="AJ216" s="173"/>
      <c r="AK216" s="173"/>
      <c r="AL216" s="173"/>
      <c r="AM216" s="173"/>
      <c r="AN216" s="174"/>
      <c r="AO216" s="178"/>
      <c r="AP216" s="208" t="str">
        <v xml:space="preserve">  </v>
      </c>
      <c r="AQ216" s="172"/>
      <c r="AR216" s="173"/>
      <c r="AS216" s="173"/>
      <c r="AT216" s="173"/>
      <c r="AU216" s="173"/>
      <c r="AV216" s="174"/>
    </row>
    <row r="217" spans="1:48">
      <c r="A217" s="204">
        <v>98</v>
      </c>
      <c r="B217" s="208" t="str">
        <v xml:space="preserve">  </v>
      </c>
      <c r="C217" s="172"/>
      <c r="D217" s="173"/>
      <c r="E217" s="173"/>
      <c r="F217" s="173"/>
      <c r="G217" s="173"/>
      <c r="H217" s="174"/>
      <c r="J217" s="208" t="str">
        <v xml:space="preserve">  </v>
      </c>
      <c r="K217" s="172"/>
      <c r="L217" s="173"/>
      <c r="M217" s="173"/>
      <c r="N217" s="173"/>
      <c r="O217" s="173"/>
      <c r="P217" s="174"/>
      <c r="R217" s="208" t="str">
        <v xml:space="preserve">  </v>
      </c>
      <c r="S217" s="172"/>
      <c r="T217" s="173"/>
      <c r="U217" s="173"/>
      <c r="V217" s="173"/>
      <c r="W217" s="173"/>
      <c r="X217" s="174"/>
      <c r="Y217" s="159"/>
      <c r="Z217" s="208" t="str">
        <v xml:space="preserve">  </v>
      </c>
      <c r="AA217" s="172"/>
      <c r="AB217" s="173"/>
      <c r="AC217" s="173"/>
      <c r="AD217" s="173"/>
      <c r="AE217" s="173"/>
      <c r="AF217" s="174"/>
      <c r="AG217" s="178"/>
      <c r="AH217" s="208" t="str">
        <v xml:space="preserve">  </v>
      </c>
      <c r="AI217" s="172"/>
      <c r="AJ217" s="173"/>
      <c r="AK217" s="173"/>
      <c r="AL217" s="173"/>
      <c r="AM217" s="173"/>
      <c r="AN217" s="174"/>
      <c r="AO217" s="178"/>
      <c r="AP217" s="208" t="str">
        <v xml:space="preserve">  </v>
      </c>
      <c r="AQ217" s="172"/>
      <c r="AR217" s="173"/>
      <c r="AS217" s="173"/>
      <c r="AT217" s="173"/>
      <c r="AU217" s="173"/>
      <c r="AV217" s="174"/>
    </row>
    <row r="218" spans="1:48">
      <c r="A218" s="204">
        <v>99</v>
      </c>
      <c r="B218" s="208" t="str">
        <v xml:space="preserve">  </v>
      </c>
      <c r="C218" s="172"/>
      <c r="D218" s="173"/>
      <c r="E218" s="173"/>
      <c r="F218" s="173"/>
      <c r="G218" s="173"/>
      <c r="H218" s="174"/>
      <c r="J218" s="208" t="str">
        <v xml:space="preserve">  </v>
      </c>
      <c r="K218" s="172"/>
      <c r="L218" s="173"/>
      <c r="M218" s="173"/>
      <c r="N218" s="173"/>
      <c r="O218" s="173"/>
      <c r="P218" s="174"/>
      <c r="R218" s="208" t="str">
        <v xml:space="preserve">  </v>
      </c>
      <c r="S218" s="172"/>
      <c r="T218" s="173"/>
      <c r="U218" s="173"/>
      <c r="V218" s="173"/>
      <c r="W218" s="173"/>
      <c r="X218" s="174"/>
      <c r="Y218" s="159"/>
      <c r="Z218" s="208" t="str">
        <v xml:space="preserve">  </v>
      </c>
      <c r="AA218" s="172"/>
      <c r="AB218" s="173"/>
      <c r="AC218" s="173"/>
      <c r="AD218" s="173"/>
      <c r="AE218" s="173"/>
      <c r="AF218" s="174"/>
      <c r="AG218" s="178"/>
      <c r="AH218" s="208" t="str">
        <v xml:space="preserve">  </v>
      </c>
      <c r="AI218" s="172"/>
      <c r="AJ218" s="173"/>
      <c r="AK218" s="173"/>
      <c r="AL218" s="173"/>
      <c r="AM218" s="173"/>
      <c r="AN218" s="174"/>
      <c r="AO218" s="178"/>
      <c r="AP218" s="208" t="str">
        <v xml:space="preserve">  </v>
      </c>
      <c r="AQ218" s="172"/>
      <c r="AR218" s="173"/>
      <c r="AS218" s="173"/>
      <c r="AT218" s="173"/>
      <c r="AU218" s="173"/>
      <c r="AV218" s="174"/>
    </row>
    <row r="219" spans="1:48">
      <c r="A219" s="204">
        <v>100</v>
      </c>
      <c r="B219" s="209" t="str">
        <v xml:space="preserve">  </v>
      </c>
      <c r="C219" s="179"/>
      <c r="D219" s="180"/>
      <c r="E219" s="180"/>
      <c r="F219" s="180"/>
      <c r="G219" s="180"/>
      <c r="H219" s="181"/>
      <c r="J219" s="209" t="str">
        <v xml:space="preserve">  </v>
      </c>
      <c r="K219" s="179"/>
      <c r="L219" s="180"/>
      <c r="M219" s="180"/>
      <c r="N219" s="180"/>
      <c r="O219" s="180"/>
      <c r="P219" s="181"/>
      <c r="R219" s="209" t="str">
        <v xml:space="preserve">  </v>
      </c>
      <c r="S219" s="179"/>
      <c r="T219" s="180"/>
      <c r="U219" s="180"/>
      <c r="V219" s="180"/>
      <c r="W219" s="180"/>
      <c r="X219" s="181"/>
      <c r="Y219" s="159"/>
      <c r="Z219" s="209" t="str">
        <v xml:space="preserve">  </v>
      </c>
      <c r="AA219" s="179"/>
      <c r="AB219" s="180"/>
      <c r="AC219" s="180"/>
      <c r="AD219" s="180"/>
      <c r="AE219" s="180"/>
      <c r="AF219" s="181"/>
      <c r="AG219" s="178"/>
      <c r="AH219" s="209" t="str">
        <v xml:space="preserve">  </v>
      </c>
      <c r="AI219" s="179"/>
      <c r="AJ219" s="180"/>
      <c r="AK219" s="180"/>
      <c r="AL219" s="180"/>
      <c r="AM219" s="180"/>
      <c r="AN219" s="181"/>
      <c r="AO219" s="178"/>
      <c r="AP219" s="209" t="str">
        <v xml:space="preserve">  </v>
      </c>
      <c r="AQ219" s="179"/>
      <c r="AR219" s="180"/>
      <c r="AS219" s="180"/>
      <c r="AT219" s="180"/>
      <c r="AU219" s="180"/>
      <c r="AV219" s="181"/>
    </row>
    <row r="220" spans="1:48">
      <c r="A220" s="151" t="s">
        <v>12</v>
      </c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H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151" t="s">
        <v>12</v>
      </c>
      <c r="O220" s="151" t="s">
        <v>12</v>
      </c>
      <c r="P220" s="151" t="s">
        <v>12</v>
      </c>
      <c r="Q220" s="151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X220" s="151" t="s">
        <v>12</v>
      </c>
      <c r="Y220" s="159"/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E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L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  <c r="AS220" s="151" t="s">
        <v>12</v>
      </c>
      <c r="AT220" s="151" t="s">
        <v>12</v>
      </c>
      <c r="AU220" s="151" t="s">
        <v>12</v>
      </c>
      <c r="AV220" s="151" t="s">
        <v>12</v>
      </c>
    </row>
    <row r="221" spans="1:48">
      <c r="Y221" s="159"/>
    </row>
    <row r="222" spans="1:48">
      <c r="Y222" s="159"/>
    </row>
    <row r="223" spans="1:48">
      <c r="C223" s="185"/>
      <c r="D223" s="185"/>
      <c r="E223" s="185"/>
      <c r="F223" s="185"/>
      <c r="G223" s="185"/>
      <c r="H223" s="185"/>
      <c r="I223" s="185"/>
      <c r="J223" s="185"/>
      <c r="Q223" s="160"/>
      <c r="R223" s="160"/>
      <c r="S223" s="155"/>
      <c r="Y223" s="159"/>
      <c r="Z223" s="155"/>
      <c r="AA223" s="155"/>
      <c r="AB223" s="155"/>
      <c r="AC223" s="155"/>
      <c r="AD223" s="155"/>
      <c r="AE223" s="155"/>
      <c r="AF223" s="155"/>
      <c r="AG223" s="155"/>
      <c r="AH223" s="155"/>
      <c r="AI223" s="155"/>
      <c r="AJ223" s="155"/>
      <c r="AK223" s="155"/>
      <c r="AL223" s="155"/>
      <c r="AM223" s="155"/>
      <c r="AN223" s="160"/>
      <c r="AO223" s="155"/>
      <c r="AP223" s="155"/>
      <c r="AQ223" s="155"/>
      <c r="AR223" s="155"/>
      <c r="AS223" s="155"/>
      <c r="AT223" s="155"/>
      <c r="AU223" s="155"/>
      <c r="AV223" s="160"/>
    </row>
    <row r="224" spans="1:48">
      <c r="C224" s="160" t="s">
        <v>630</v>
      </c>
      <c r="D224" s="160"/>
      <c r="E224" s="160"/>
      <c r="F224" s="160"/>
      <c r="G224" s="160"/>
      <c r="H224" s="160"/>
      <c r="I224" s="160"/>
      <c r="J224" s="160"/>
      <c r="K224" s="160" t="s">
        <v>631</v>
      </c>
      <c r="Q224" s="160"/>
      <c r="R224" s="160"/>
      <c r="S224" s="160" t="s">
        <v>632</v>
      </c>
      <c r="T224" s="160"/>
      <c r="U224" s="160"/>
      <c r="V224" s="160"/>
      <c r="W224" s="160"/>
      <c r="X224" s="160"/>
      <c r="Y224" s="159"/>
      <c r="Z224" s="160"/>
      <c r="AA224" s="160" t="s">
        <v>633</v>
      </c>
      <c r="AB224" s="160"/>
      <c r="AC224" s="160"/>
      <c r="AD224" s="160"/>
      <c r="AE224" s="160"/>
      <c r="AF224" s="160"/>
      <c r="AG224" s="160"/>
      <c r="AH224" s="160"/>
      <c r="AI224" s="160" t="s">
        <v>634</v>
      </c>
      <c r="AJ224" s="160"/>
      <c r="AK224" s="160"/>
      <c r="AL224" s="160"/>
      <c r="AM224" s="160"/>
      <c r="AN224" s="160"/>
      <c r="AO224" s="160"/>
      <c r="AP224" s="160"/>
      <c r="AQ224" s="160" t="s">
        <v>635</v>
      </c>
      <c r="AR224" s="160"/>
      <c r="AS224" s="160"/>
      <c r="AT224" s="160"/>
      <c r="AV224" s="160"/>
    </row>
    <row r="225" spans="1:48">
      <c r="Y225" s="159"/>
    </row>
    <row r="226" spans="1:48">
      <c r="B226" s="162" t="s">
        <v>380</v>
      </c>
      <c r="C226" s="162" t="s">
        <v>376</v>
      </c>
      <c r="D226" s="162" t="s">
        <v>377</v>
      </c>
      <c r="E226" s="162" t="s">
        <v>378</v>
      </c>
      <c r="F226" s="162" t="s">
        <v>907</v>
      </c>
      <c r="G226" s="162" t="s">
        <v>890</v>
      </c>
      <c r="H226" s="162" t="s">
        <v>379</v>
      </c>
      <c r="J226" s="162" t="s">
        <v>380</v>
      </c>
      <c r="K226" s="162" t="s">
        <v>376</v>
      </c>
      <c r="L226" s="162" t="s">
        <v>377</v>
      </c>
      <c r="M226" s="162" t="s">
        <v>378</v>
      </c>
      <c r="N226" s="162" t="s">
        <v>907</v>
      </c>
      <c r="O226" s="162" t="s">
        <v>890</v>
      </c>
      <c r="P226" s="162" t="s">
        <v>379</v>
      </c>
      <c r="R226" s="162" t="s">
        <v>380</v>
      </c>
      <c r="S226" s="162" t="s">
        <v>376</v>
      </c>
      <c r="T226" s="162" t="s">
        <v>377</v>
      </c>
      <c r="U226" s="162" t="s">
        <v>378</v>
      </c>
      <c r="V226" s="162" t="s">
        <v>907</v>
      </c>
      <c r="W226" s="162" t="s">
        <v>890</v>
      </c>
      <c r="X226" s="162" t="s">
        <v>379</v>
      </c>
      <c r="Y226" s="159"/>
      <c r="Z226" s="162" t="s">
        <v>380</v>
      </c>
      <c r="AA226" s="162" t="s">
        <v>376</v>
      </c>
      <c r="AB226" s="162" t="s">
        <v>377</v>
      </c>
      <c r="AC226" s="162" t="s">
        <v>378</v>
      </c>
      <c r="AD226" s="162" t="s">
        <v>907</v>
      </c>
      <c r="AE226" s="162" t="s">
        <v>890</v>
      </c>
      <c r="AF226" s="162" t="s">
        <v>379</v>
      </c>
      <c r="AG226" s="159"/>
      <c r="AH226" s="162" t="s">
        <v>380</v>
      </c>
      <c r="AI226" s="162" t="s">
        <v>376</v>
      </c>
      <c r="AJ226" s="162" t="s">
        <v>377</v>
      </c>
      <c r="AK226" s="162" t="s">
        <v>378</v>
      </c>
      <c r="AL226" s="162" t="s">
        <v>907</v>
      </c>
      <c r="AM226" s="162" t="s">
        <v>890</v>
      </c>
      <c r="AN226" s="162" t="s">
        <v>379</v>
      </c>
      <c r="AO226" s="159"/>
      <c r="AP226" s="162" t="s">
        <v>380</v>
      </c>
      <c r="AQ226" s="162" t="s">
        <v>376</v>
      </c>
      <c r="AR226" s="162" t="s">
        <v>377</v>
      </c>
      <c r="AS226" s="162" t="s">
        <v>378</v>
      </c>
      <c r="AT226" s="162" t="s">
        <v>907</v>
      </c>
      <c r="AU226" s="162" t="s">
        <v>890</v>
      </c>
      <c r="AV226" s="162" t="s">
        <v>379</v>
      </c>
    </row>
    <row r="227" spans="1:48">
      <c r="A227" s="204">
        <v>1</v>
      </c>
      <c r="B227" s="207" t="str">
        <f t="array" ref="B227:B326">getAllTickers(C227:H326,100)</f>
        <v>SONIO/N BGN Index</v>
      </c>
      <c r="C227" s="186" t="s">
        <v>642</v>
      </c>
      <c r="D227" s="187" t="s">
        <v>387</v>
      </c>
      <c r="E227" s="187" t="s">
        <v>388</v>
      </c>
      <c r="F227" s="187" t="s">
        <v>189</v>
      </c>
      <c r="G227" s="164" t="s">
        <v>70</v>
      </c>
      <c r="H227" s="165" t="b">
        <v>1</v>
      </c>
      <c r="J227" s="207" t="str">
        <f t="array" ref="J227:J326">getAllTickers(K227:P326,100)</f>
        <v>BP0006M ICPL Index</v>
      </c>
      <c r="K227" s="163" t="s">
        <v>643</v>
      </c>
      <c r="L227" s="164" t="s">
        <v>392</v>
      </c>
      <c r="M227" s="164" t="s">
        <v>388</v>
      </c>
      <c r="N227" s="164" t="s">
        <v>892</v>
      </c>
      <c r="O227" s="164" t="s">
        <v>22</v>
      </c>
      <c r="P227" s="165" t="b">
        <v>1</v>
      </c>
      <c r="R227" s="207" t="str">
        <f t="array" ref="R227:R326">getAllTickers(S227:X326,100)</f>
        <v>BPSFVC1 ICPL Curncy</v>
      </c>
      <c r="S227" s="163" t="s">
        <v>644</v>
      </c>
      <c r="T227" s="164" t="s">
        <v>392</v>
      </c>
      <c r="U227" s="164" t="s">
        <v>393</v>
      </c>
      <c r="V227" s="164" t="s">
        <v>909</v>
      </c>
      <c r="W227" s="164" t="s">
        <v>154</v>
      </c>
      <c r="X227" s="165" t="b">
        <v>1</v>
      </c>
      <c r="Y227" s="159"/>
      <c r="Z227" s="207" t="str">
        <f t="array" ref="Z227:Z326">getAllTickers(AA227:AF326,100)</f>
        <v>BPSFVA1 ICPL Curncy</v>
      </c>
      <c r="AA227" s="163" t="s">
        <v>645</v>
      </c>
      <c r="AB227" s="164" t="s">
        <v>392</v>
      </c>
      <c r="AC227" s="164" t="s">
        <v>393</v>
      </c>
      <c r="AD227" s="164" t="s">
        <v>909</v>
      </c>
      <c r="AE227" s="164" t="s">
        <v>154</v>
      </c>
      <c r="AF227" s="165" t="b">
        <v>1</v>
      </c>
      <c r="AH227" s="207" t="str">
        <f t="array" ref="AH227:AH326">getAllTickers(AI227:AN326,100)</f>
        <v>BPSIVF1 ICPL Curncy</v>
      </c>
      <c r="AI227" s="163" t="s">
        <v>646</v>
      </c>
      <c r="AJ227" s="164" t="s">
        <v>392</v>
      </c>
      <c r="AK227" s="164" t="s">
        <v>393</v>
      </c>
      <c r="AL227" s="164" t="s">
        <v>909</v>
      </c>
      <c r="AM227" s="164" t="s">
        <v>154</v>
      </c>
      <c r="AN227" s="165" t="b">
        <v>1</v>
      </c>
      <c r="AP227" s="207" t="str">
        <f t="array" ref="AP227:AP326">getAllTickers(AQ227:AV326,100)</f>
        <v>BPBS1 ICPL Curncy</v>
      </c>
      <c r="AQ227" s="163" t="s">
        <v>647</v>
      </c>
      <c r="AR227" s="164" t="s">
        <v>392</v>
      </c>
      <c r="AS227" s="164" t="s">
        <v>393</v>
      </c>
      <c r="AT227" s="164" t="s">
        <v>910</v>
      </c>
      <c r="AU227" s="164" t="s">
        <v>154</v>
      </c>
      <c r="AV227" s="165" t="b">
        <v>1</v>
      </c>
    </row>
    <row r="228" spans="1:48">
      <c r="A228" s="204">
        <v>2</v>
      </c>
      <c r="B228" s="208" t="str">
        <v>BPSWS1Z BGN Curncy</v>
      </c>
      <c r="C228" s="188" t="s">
        <v>648</v>
      </c>
      <c r="D228" s="189" t="s">
        <v>387</v>
      </c>
      <c r="E228" s="189" t="s">
        <v>393</v>
      </c>
      <c r="F228" s="189" t="s">
        <v>189</v>
      </c>
      <c r="G228" s="189" t="s">
        <v>94</v>
      </c>
      <c r="H228" s="174" t="b">
        <v>0</v>
      </c>
      <c r="J228" s="208" t="str">
        <v>BPFR0AG ICPL Curncy</v>
      </c>
      <c r="K228" s="172" t="s">
        <v>649</v>
      </c>
      <c r="L228" s="173" t="s">
        <v>392</v>
      </c>
      <c r="M228" s="173" t="s">
        <v>393</v>
      </c>
      <c r="N228" s="173" t="s">
        <v>508</v>
      </c>
      <c r="O228" s="173" t="s">
        <v>69</v>
      </c>
      <c r="P228" s="174" t="b">
        <v>1</v>
      </c>
      <c r="R228" s="208" t="str">
        <v>BPSFVC2 ICPL Curncy</v>
      </c>
      <c r="S228" s="172" t="s">
        <v>650</v>
      </c>
      <c r="T228" s="173" t="s">
        <v>392</v>
      </c>
      <c r="U228" s="173" t="s">
        <v>393</v>
      </c>
      <c r="V228" s="173" t="s">
        <v>909</v>
      </c>
      <c r="W228" s="173" t="s">
        <v>40</v>
      </c>
      <c r="X228" s="174" t="b">
        <v>1</v>
      </c>
      <c r="Y228" s="159"/>
      <c r="Z228" s="208" t="str">
        <v>BPSFVA2 ICPL Curncy</v>
      </c>
      <c r="AA228" s="172" t="s">
        <v>651</v>
      </c>
      <c r="AB228" s="173" t="s">
        <v>392</v>
      </c>
      <c r="AC228" s="173" t="s">
        <v>393</v>
      </c>
      <c r="AD228" s="173" t="s">
        <v>909</v>
      </c>
      <c r="AE228" s="173" t="s">
        <v>40</v>
      </c>
      <c r="AF228" s="174" t="b">
        <v>1</v>
      </c>
      <c r="AH228" s="208" t="str">
        <v>BPSIVF2 ICPL Curncy</v>
      </c>
      <c r="AI228" s="172" t="s">
        <v>652</v>
      </c>
      <c r="AJ228" s="173" t="s">
        <v>392</v>
      </c>
      <c r="AK228" s="173" t="s">
        <v>393</v>
      </c>
      <c r="AL228" s="173" t="s">
        <v>909</v>
      </c>
      <c r="AM228" s="173" t="s">
        <v>40</v>
      </c>
      <c r="AN228" s="174" t="b">
        <v>1</v>
      </c>
      <c r="AP228" s="208" t="str">
        <v>BPBS2 ICPL Curncy</v>
      </c>
      <c r="AQ228" s="172" t="s">
        <v>653</v>
      </c>
      <c r="AR228" s="173" t="s">
        <v>392</v>
      </c>
      <c r="AS228" s="173" t="s">
        <v>393</v>
      </c>
      <c r="AT228" s="173" t="s">
        <v>910</v>
      </c>
      <c r="AU228" s="173" t="s">
        <v>40</v>
      </c>
      <c r="AV228" s="174" t="b">
        <v>1</v>
      </c>
    </row>
    <row r="229" spans="1:48">
      <c r="A229" s="204">
        <v>3</v>
      </c>
      <c r="B229" s="208" t="str">
        <v>BPSWS2Z BGN Curncy</v>
      </c>
      <c r="C229" s="188" t="s">
        <v>654</v>
      </c>
      <c r="D229" s="189" t="s">
        <v>387</v>
      </c>
      <c r="E229" s="189" t="s">
        <v>393</v>
      </c>
      <c r="F229" s="189" t="s">
        <v>189</v>
      </c>
      <c r="G229" s="189" t="s">
        <v>91</v>
      </c>
      <c r="H229" s="174" t="b">
        <v>0</v>
      </c>
      <c r="J229" s="208" t="str">
        <v>BPFR0BH ICPL Curncy</v>
      </c>
      <c r="K229" s="172" t="s">
        <v>655</v>
      </c>
      <c r="L229" s="173" t="s">
        <v>392</v>
      </c>
      <c r="M229" s="173" t="s">
        <v>393</v>
      </c>
      <c r="N229" s="173" t="s">
        <v>508</v>
      </c>
      <c r="O229" s="173" t="s">
        <v>66</v>
      </c>
      <c r="P229" s="174" t="b">
        <v>1</v>
      </c>
      <c r="R229" s="208" t="str">
        <v>BPSFVC3 ICPL Curncy</v>
      </c>
      <c r="S229" s="172" t="s">
        <v>656</v>
      </c>
      <c r="T229" s="173" t="s">
        <v>392</v>
      </c>
      <c r="U229" s="173" t="s">
        <v>393</v>
      </c>
      <c r="V229" s="173" t="s">
        <v>909</v>
      </c>
      <c r="W229" s="173" t="s">
        <v>37</v>
      </c>
      <c r="X229" s="174" t="b">
        <v>1</v>
      </c>
      <c r="Y229" s="159"/>
      <c r="Z229" s="208" t="str">
        <v>BPSFVA3 ICPL Curncy</v>
      </c>
      <c r="AA229" s="172" t="s">
        <v>657</v>
      </c>
      <c r="AB229" s="173" t="s">
        <v>392</v>
      </c>
      <c r="AC229" s="173" t="s">
        <v>393</v>
      </c>
      <c r="AD229" s="173" t="s">
        <v>909</v>
      </c>
      <c r="AE229" s="173" t="s">
        <v>37</v>
      </c>
      <c r="AF229" s="174" t="b">
        <v>1</v>
      </c>
      <c r="AH229" s="208" t="str">
        <v>BPSIVF3 ICPL Curncy</v>
      </c>
      <c r="AI229" s="172" t="s">
        <v>658</v>
      </c>
      <c r="AJ229" s="173" t="s">
        <v>392</v>
      </c>
      <c r="AK229" s="173" t="s">
        <v>393</v>
      </c>
      <c r="AL229" s="173" t="s">
        <v>909</v>
      </c>
      <c r="AM229" s="173" t="s">
        <v>37</v>
      </c>
      <c r="AN229" s="174" t="b">
        <v>1</v>
      </c>
      <c r="AP229" s="208" t="str">
        <v>BPBS3 ICPL Curncy</v>
      </c>
      <c r="AQ229" s="172" t="s">
        <v>659</v>
      </c>
      <c r="AR229" s="173" t="s">
        <v>392</v>
      </c>
      <c r="AS229" s="173" t="s">
        <v>393</v>
      </c>
      <c r="AT229" s="173" t="s">
        <v>910</v>
      </c>
      <c r="AU229" s="173" t="s">
        <v>37</v>
      </c>
      <c r="AV229" s="174" t="b">
        <v>1</v>
      </c>
    </row>
    <row r="230" spans="1:48">
      <c r="A230" s="204">
        <v>4</v>
      </c>
      <c r="B230" s="208" t="str">
        <v>BPSWSA BGN Curncy</v>
      </c>
      <c r="C230" s="188" t="s">
        <v>660</v>
      </c>
      <c r="D230" s="189" t="s">
        <v>387</v>
      </c>
      <c r="E230" s="189" t="s">
        <v>393</v>
      </c>
      <c r="F230" s="189" t="s">
        <v>189</v>
      </c>
      <c r="G230" s="189" t="s">
        <v>20</v>
      </c>
      <c r="H230" s="174" t="b">
        <v>1</v>
      </c>
      <c r="J230" s="208" t="str">
        <v>BPFR0CI ICPL Curncy</v>
      </c>
      <c r="K230" s="172" t="s">
        <v>661</v>
      </c>
      <c r="L230" s="173" t="s">
        <v>392</v>
      </c>
      <c r="M230" s="173" t="s">
        <v>393</v>
      </c>
      <c r="N230" s="173" t="s">
        <v>508</v>
      </c>
      <c r="O230" s="173" t="s">
        <v>64</v>
      </c>
      <c r="P230" s="174" t="b">
        <v>1</v>
      </c>
      <c r="R230" s="208" t="str">
        <v>BPSFVC4 ICPL Curncy</v>
      </c>
      <c r="S230" s="172" t="s">
        <v>662</v>
      </c>
      <c r="T230" s="173" t="s">
        <v>392</v>
      </c>
      <c r="U230" s="173" t="s">
        <v>393</v>
      </c>
      <c r="V230" s="173" t="s">
        <v>909</v>
      </c>
      <c r="W230" s="173" t="s">
        <v>33</v>
      </c>
      <c r="X230" s="174" t="b">
        <v>1</v>
      </c>
      <c r="Y230" s="159"/>
      <c r="Z230" s="208" t="str">
        <v>BPSFVA4 ICPL Curncy</v>
      </c>
      <c r="AA230" s="172" t="s">
        <v>663</v>
      </c>
      <c r="AB230" s="173" t="s">
        <v>392</v>
      </c>
      <c r="AC230" s="173" t="s">
        <v>393</v>
      </c>
      <c r="AD230" s="173" t="s">
        <v>909</v>
      </c>
      <c r="AE230" s="173" t="s">
        <v>33</v>
      </c>
      <c r="AF230" s="174" t="b">
        <v>1</v>
      </c>
      <c r="AH230" s="208" t="str">
        <v>BPSIVF4 ICPL Curncy</v>
      </c>
      <c r="AI230" s="172" t="s">
        <v>664</v>
      </c>
      <c r="AJ230" s="173" t="s">
        <v>392</v>
      </c>
      <c r="AK230" s="173" t="s">
        <v>393</v>
      </c>
      <c r="AL230" s="173" t="s">
        <v>909</v>
      </c>
      <c r="AM230" s="173" t="s">
        <v>33</v>
      </c>
      <c r="AN230" s="174" t="b">
        <v>1</v>
      </c>
      <c r="AP230" s="208" t="str">
        <v>BPBS4 ICPL Curncy</v>
      </c>
      <c r="AQ230" s="172" t="s">
        <v>665</v>
      </c>
      <c r="AR230" s="173" t="s">
        <v>392</v>
      </c>
      <c r="AS230" s="173" t="s">
        <v>393</v>
      </c>
      <c r="AT230" s="173" t="s">
        <v>910</v>
      </c>
      <c r="AU230" s="173" t="s">
        <v>33</v>
      </c>
      <c r="AV230" s="174" t="b">
        <v>1</v>
      </c>
    </row>
    <row r="231" spans="1:48">
      <c r="A231" s="204">
        <v>5</v>
      </c>
      <c r="B231" s="208" t="str">
        <v>BPSWSB BGN Curncy</v>
      </c>
      <c r="C231" s="188" t="s">
        <v>666</v>
      </c>
      <c r="D231" s="189" t="s">
        <v>387</v>
      </c>
      <c r="E231" s="189" t="s">
        <v>393</v>
      </c>
      <c r="F231" s="189" t="s">
        <v>189</v>
      </c>
      <c r="G231" s="189" t="s">
        <v>57</v>
      </c>
      <c r="H231" s="174" t="b">
        <v>0</v>
      </c>
      <c r="J231" s="208" t="str">
        <v>BPFR0DJ ICPL Curncy</v>
      </c>
      <c r="K231" s="172" t="s">
        <v>667</v>
      </c>
      <c r="L231" s="173" t="s">
        <v>392</v>
      </c>
      <c r="M231" s="173" t="s">
        <v>393</v>
      </c>
      <c r="N231" s="173" t="s">
        <v>508</v>
      </c>
      <c r="O231" s="173" t="s">
        <v>60</v>
      </c>
      <c r="P231" s="174" t="b">
        <v>1</v>
      </c>
      <c r="R231" s="208" t="str">
        <v>BPSFVC5 ICPL Curncy</v>
      </c>
      <c r="S231" s="172" t="s">
        <v>668</v>
      </c>
      <c r="T231" s="173" t="s">
        <v>392</v>
      </c>
      <c r="U231" s="173" t="s">
        <v>393</v>
      </c>
      <c r="V231" s="173" t="s">
        <v>909</v>
      </c>
      <c r="W231" s="173" t="s">
        <v>31</v>
      </c>
      <c r="X231" s="174" t="b">
        <v>1</v>
      </c>
      <c r="Y231" s="159"/>
      <c r="Z231" s="208" t="str">
        <v>BPSFVA5 ICPL Curncy</v>
      </c>
      <c r="AA231" s="172" t="s">
        <v>669</v>
      </c>
      <c r="AB231" s="173" t="s">
        <v>392</v>
      </c>
      <c r="AC231" s="173" t="s">
        <v>393</v>
      </c>
      <c r="AD231" s="173" t="s">
        <v>909</v>
      </c>
      <c r="AE231" s="173" t="s">
        <v>31</v>
      </c>
      <c r="AF231" s="174" t="b">
        <v>1</v>
      </c>
      <c r="AH231" s="208" t="str">
        <v>BPSIVF5 ICPL Curncy</v>
      </c>
      <c r="AI231" s="172" t="s">
        <v>670</v>
      </c>
      <c r="AJ231" s="173" t="s">
        <v>392</v>
      </c>
      <c r="AK231" s="173" t="s">
        <v>393</v>
      </c>
      <c r="AL231" s="173" t="s">
        <v>909</v>
      </c>
      <c r="AM231" s="173" t="s">
        <v>31</v>
      </c>
      <c r="AN231" s="174" t="b">
        <v>1</v>
      </c>
      <c r="AP231" s="208" t="str">
        <v>BPBS5 ICPL Curncy</v>
      </c>
      <c r="AQ231" s="172" t="s">
        <v>671</v>
      </c>
      <c r="AR231" s="173" t="s">
        <v>392</v>
      </c>
      <c r="AS231" s="173" t="s">
        <v>393</v>
      </c>
      <c r="AT231" s="173" t="s">
        <v>910</v>
      </c>
      <c r="AU231" s="173" t="s">
        <v>31</v>
      </c>
      <c r="AV231" s="174" t="b">
        <v>1</v>
      </c>
    </row>
    <row r="232" spans="1:48">
      <c r="A232" s="204">
        <v>6</v>
      </c>
      <c r="B232" s="208" t="str">
        <v>BPSWSC BGN Curncy</v>
      </c>
      <c r="C232" s="188" t="s">
        <v>672</v>
      </c>
      <c r="D232" s="189" t="s">
        <v>387</v>
      </c>
      <c r="E232" s="189" t="s">
        <v>393</v>
      </c>
      <c r="F232" s="189" t="s">
        <v>189</v>
      </c>
      <c r="G232" s="189" t="s">
        <v>51</v>
      </c>
      <c r="H232" s="174" t="b">
        <v>1</v>
      </c>
      <c r="J232" s="208" t="str">
        <v>BPFR0EK ICPL Curncy</v>
      </c>
      <c r="K232" s="172" t="s">
        <v>673</v>
      </c>
      <c r="L232" s="173" t="s">
        <v>392</v>
      </c>
      <c r="M232" s="173" t="s">
        <v>393</v>
      </c>
      <c r="N232" s="173" t="s">
        <v>508</v>
      </c>
      <c r="O232" s="173" t="s">
        <v>56</v>
      </c>
      <c r="P232" s="174" t="b">
        <v>1</v>
      </c>
      <c r="R232" s="208" t="str">
        <v>BPSFVC6 ICPL Curncy</v>
      </c>
      <c r="S232" s="172" t="s">
        <v>674</v>
      </c>
      <c r="T232" s="173" t="s">
        <v>392</v>
      </c>
      <c r="U232" s="173" t="s">
        <v>393</v>
      </c>
      <c r="V232" s="173" t="s">
        <v>909</v>
      </c>
      <c r="W232" s="173" t="s">
        <v>127</v>
      </c>
      <c r="X232" s="174" t="b">
        <v>1</v>
      </c>
      <c r="Y232" s="159"/>
      <c r="Z232" s="208" t="str">
        <v>BPSFVA6 ICPL Curncy</v>
      </c>
      <c r="AA232" s="172" t="s">
        <v>675</v>
      </c>
      <c r="AB232" s="173" t="s">
        <v>392</v>
      </c>
      <c r="AC232" s="173" t="s">
        <v>393</v>
      </c>
      <c r="AD232" s="173" t="s">
        <v>909</v>
      </c>
      <c r="AE232" s="173" t="s">
        <v>127</v>
      </c>
      <c r="AF232" s="174" t="b">
        <v>1</v>
      </c>
      <c r="AH232" s="208" t="str">
        <v>BPSIVF6 ICPL Curncy</v>
      </c>
      <c r="AI232" s="172" t="s">
        <v>676</v>
      </c>
      <c r="AJ232" s="173" t="s">
        <v>392</v>
      </c>
      <c r="AK232" s="173" t="s">
        <v>393</v>
      </c>
      <c r="AL232" s="173" t="s">
        <v>909</v>
      </c>
      <c r="AM232" s="173" t="s">
        <v>127</v>
      </c>
      <c r="AN232" s="174" t="b">
        <v>1</v>
      </c>
      <c r="AP232" s="208" t="str">
        <v>BPBS6 ICPL Curncy</v>
      </c>
      <c r="AQ232" s="172" t="s">
        <v>677</v>
      </c>
      <c r="AR232" s="173" t="s">
        <v>392</v>
      </c>
      <c r="AS232" s="173" t="s">
        <v>393</v>
      </c>
      <c r="AT232" s="173" t="s">
        <v>910</v>
      </c>
      <c r="AU232" s="173" t="s">
        <v>127</v>
      </c>
      <c r="AV232" s="174" t="b">
        <v>1</v>
      </c>
    </row>
    <row r="233" spans="1:48">
      <c r="A233" s="204">
        <v>7</v>
      </c>
      <c r="B233" s="208" t="str">
        <v>BPSWSD BGN Curncy</v>
      </c>
      <c r="C233" s="188" t="s">
        <v>678</v>
      </c>
      <c r="D233" s="189" t="s">
        <v>387</v>
      </c>
      <c r="E233" s="189" t="s">
        <v>393</v>
      </c>
      <c r="F233" s="189" t="s">
        <v>189</v>
      </c>
      <c r="G233" s="189" t="s">
        <v>72</v>
      </c>
      <c r="H233" s="174" t="b">
        <v>0</v>
      </c>
      <c r="J233" s="208" t="str">
        <v>BPFR0F1 ICPL Curncy</v>
      </c>
      <c r="K233" s="172" t="s">
        <v>679</v>
      </c>
      <c r="L233" s="173" t="s">
        <v>392</v>
      </c>
      <c r="M233" s="173" t="s">
        <v>393</v>
      </c>
      <c r="N233" s="173" t="s">
        <v>508</v>
      </c>
      <c r="O233" s="173" t="s">
        <v>319</v>
      </c>
      <c r="P233" s="174" t="b">
        <v>1</v>
      </c>
      <c r="R233" s="208" t="str">
        <v>BPSFVC7 ICPL Curncy</v>
      </c>
      <c r="S233" s="172" t="s">
        <v>680</v>
      </c>
      <c r="T233" s="173" t="s">
        <v>392</v>
      </c>
      <c r="U233" s="173" t="s">
        <v>393</v>
      </c>
      <c r="V233" s="173" t="s">
        <v>909</v>
      </c>
      <c r="W233" s="173" t="s">
        <v>29</v>
      </c>
      <c r="X233" s="174" t="b">
        <v>1</v>
      </c>
      <c r="Y233" s="159"/>
      <c r="Z233" s="208" t="str">
        <v>BPSFVA7 ICPL Curncy</v>
      </c>
      <c r="AA233" s="172" t="s">
        <v>681</v>
      </c>
      <c r="AB233" s="173" t="s">
        <v>392</v>
      </c>
      <c r="AC233" s="173" t="s">
        <v>393</v>
      </c>
      <c r="AD233" s="173" t="s">
        <v>909</v>
      </c>
      <c r="AE233" s="173" t="s">
        <v>29</v>
      </c>
      <c r="AF233" s="174" t="b">
        <v>1</v>
      </c>
      <c r="AH233" s="208" t="str">
        <v>BPSIVF7 ICPL Curncy</v>
      </c>
      <c r="AI233" s="172" t="s">
        <v>682</v>
      </c>
      <c r="AJ233" s="173" t="s">
        <v>392</v>
      </c>
      <c r="AK233" s="173" t="s">
        <v>393</v>
      </c>
      <c r="AL233" s="173" t="s">
        <v>909</v>
      </c>
      <c r="AM233" s="173" t="s">
        <v>29</v>
      </c>
      <c r="AN233" s="174" t="b">
        <v>1</v>
      </c>
      <c r="AP233" s="208" t="str">
        <v>BPBS7 ICPL Curncy</v>
      </c>
      <c r="AQ233" s="172" t="s">
        <v>683</v>
      </c>
      <c r="AR233" s="173" t="s">
        <v>392</v>
      </c>
      <c r="AS233" s="173" t="s">
        <v>393</v>
      </c>
      <c r="AT233" s="173" t="s">
        <v>910</v>
      </c>
      <c r="AU233" s="173" t="s">
        <v>29</v>
      </c>
      <c r="AV233" s="174" t="b">
        <v>1</v>
      </c>
    </row>
    <row r="234" spans="1:48">
      <c r="A234" s="204">
        <v>8</v>
      </c>
      <c r="B234" s="208" t="str">
        <v>BPSWSE BGN Curncy</v>
      </c>
      <c r="C234" s="188" t="s">
        <v>684</v>
      </c>
      <c r="D234" s="189" t="s">
        <v>387</v>
      </c>
      <c r="E234" s="189" t="s">
        <v>393</v>
      </c>
      <c r="F234" s="189" t="s">
        <v>189</v>
      </c>
      <c r="G234" s="189" t="s">
        <v>68</v>
      </c>
      <c r="H234" s="174" t="b">
        <v>0</v>
      </c>
      <c r="J234" s="208" t="str">
        <v>BPFR0I1C ICPL Curncy</v>
      </c>
      <c r="K234" s="172" t="s">
        <v>685</v>
      </c>
      <c r="L234" s="173" t="s">
        <v>392</v>
      </c>
      <c r="M234" s="173" t="s">
        <v>393</v>
      </c>
      <c r="N234" s="173" t="s">
        <v>508</v>
      </c>
      <c r="O234" s="173" t="s">
        <v>322</v>
      </c>
      <c r="P234" s="174" t="b">
        <v>1</v>
      </c>
      <c r="R234" s="208" t="str">
        <v>BPSFVC8 ICPL Curncy</v>
      </c>
      <c r="S234" s="172" t="s">
        <v>686</v>
      </c>
      <c r="T234" s="173" t="s">
        <v>392</v>
      </c>
      <c r="U234" s="173" t="s">
        <v>393</v>
      </c>
      <c r="V234" s="173" t="s">
        <v>909</v>
      </c>
      <c r="W234" s="173" t="s">
        <v>115</v>
      </c>
      <c r="X234" s="174" t="b">
        <v>1</v>
      </c>
      <c r="Y234" s="159"/>
      <c r="Z234" s="208" t="str">
        <v>BPSFVA8 ICPL Curncy</v>
      </c>
      <c r="AA234" s="172" t="s">
        <v>687</v>
      </c>
      <c r="AB234" s="173" t="s">
        <v>392</v>
      </c>
      <c r="AC234" s="173" t="s">
        <v>393</v>
      </c>
      <c r="AD234" s="173" t="s">
        <v>909</v>
      </c>
      <c r="AE234" s="173" t="s">
        <v>115</v>
      </c>
      <c r="AF234" s="174" t="b">
        <v>1</v>
      </c>
      <c r="AH234" s="208" t="str">
        <v>BPSIVF8 ICPL Curncy</v>
      </c>
      <c r="AI234" s="172" t="s">
        <v>688</v>
      </c>
      <c r="AJ234" s="173" t="s">
        <v>392</v>
      </c>
      <c r="AK234" s="173" t="s">
        <v>393</v>
      </c>
      <c r="AL234" s="173" t="s">
        <v>909</v>
      </c>
      <c r="AM234" s="173" t="s">
        <v>115</v>
      </c>
      <c r="AN234" s="174" t="b">
        <v>1</v>
      </c>
      <c r="AP234" s="208" t="str">
        <v>BPBS8 ICPL Curncy</v>
      </c>
      <c r="AQ234" s="172" t="s">
        <v>689</v>
      </c>
      <c r="AR234" s="173" t="s">
        <v>392</v>
      </c>
      <c r="AS234" s="173" t="s">
        <v>393</v>
      </c>
      <c r="AT234" s="173" t="s">
        <v>910</v>
      </c>
      <c r="AU234" s="173" t="s">
        <v>115</v>
      </c>
      <c r="AV234" s="174" t="b">
        <v>1</v>
      </c>
    </row>
    <row r="235" spans="1:48">
      <c r="A235" s="204">
        <v>9</v>
      </c>
      <c r="B235" s="208" t="str">
        <v>BPSWSF BGN Curncy</v>
      </c>
      <c r="C235" s="188" t="s">
        <v>690</v>
      </c>
      <c r="D235" s="189" t="s">
        <v>387</v>
      </c>
      <c r="E235" s="189" t="s">
        <v>393</v>
      </c>
      <c r="F235" s="189" t="s">
        <v>189</v>
      </c>
      <c r="G235" s="189" t="s">
        <v>22</v>
      </c>
      <c r="H235" s="174" t="b">
        <v>1</v>
      </c>
      <c r="J235" s="208" t="str">
        <v>BPFR011F ICPL Curncy</v>
      </c>
      <c r="K235" s="172" t="s">
        <v>691</v>
      </c>
      <c r="L235" s="173" t="s">
        <v>392</v>
      </c>
      <c r="M235" s="173" t="s">
        <v>393</v>
      </c>
      <c r="N235" s="173" t="s">
        <v>508</v>
      </c>
      <c r="O235" s="173" t="s">
        <v>325</v>
      </c>
      <c r="P235" s="174" t="b">
        <v>1</v>
      </c>
      <c r="R235" s="208" t="str">
        <v>BPSFVC9 ICPL Curncy</v>
      </c>
      <c r="S235" s="172" t="s">
        <v>692</v>
      </c>
      <c r="T235" s="173" t="s">
        <v>392</v>
      </c>
      <c r="U235" s="173" t="s">
        <v>393</v>
      </c>
      <c r="V235" s="173" t="s">
        <v>909</v>
      </c>
      <c r="W235" s="173" t="s">
        <v>109</v>
      </c>
      <c r="X235" s="174" t="b">
        <v>1</v>
      </c>
      <c r="Y235" s="159"/>
      <c r="Z235" s="208" t="str">
        <v>BPSFVA9 ICPL Curncy</v>
      </c>
      <c r="AA235" s="172" t="s">
        <v>693</v>
      </c>
      <c r="AB235" s="173" t="s">
        <v>392</v>
      </c>
      <c r="AC235" s="173" t="s">
        <v>393</v>
      </c>
      <c r="AD235" s="173" t="s">
        <v>909</v>
      </c>
      <c r="AE235" s="173" t="s">
        <v>109</v>
      </c>
      <c r="AF235" s="174" t="b">
        <v>1</v>
      </c>
      <c r="AH235" s="208" t="str">
        <v>BPSIVF9 ICPL Curncy</v>
      </c>
      <c r="AI235" s="172" t="s">
        <v>694</v>
      </c>
      <c r="AJ235" s="173" t="s">
        <v>392</v>
      </c>
      <c r="AK235" s="173" t="s">
        <v>393</v>
      </c>
      <c r="AL235" s="173" t="s">
        <v>909</v>
      </c>
      <c r="AM235" s="173" t="s">
        <v>109</v>
      </c>
      <c r="AN235" s="174" t="b">
        <v>1</v>
      </c>
      <c r="AP235" s="208" t="str">
        <v>BPBS9 ICPL Curncy</v>
      </c>
      <c r="AQ235" s="172" t="s">
        <v>695</v>
      </c>
      <c r="AR235" s="173" t="s">
        <v>392</v>
      </c>
      <c r="AS235" s="173" t="s">
        <v>393</v>
      </c>
      <c r="AT235" s="173" t="s">
        <v>910</v>
      </c>
      <c r="AU235" s="173" t="s">
        <v>109</v>
      </c>
      <c r="AV235" s="174" t="b">
        <v>1</v>
      </c>
    </row>
    <row r="236" spans="1:48">
      <c r="A236" s="204">
        <v>10</v>
      </c>
      <c r="B236" s="208" t="str">
        <v>BPSWSG BGN Curncy</v>
      </c>
      <c r="C236" s="188" t="s">
        <v>696</v>
      </c>
      <c r="D236" s="189" t="s">
        <v>387</v>
      </c>
      <c r="E236" s="189" t="s">
        <v>393</v>
      </c>
      <c r="F236" s="189" t="s">
        <v>189</v>
      </c>
      <c r="G236" s="189" t="s">
        <v>63</v>
      </c>
      <c r="H236" s="174" t="b">
        <v>0</v>
      </c>
      <c r="J236" s="208" t="str">
        <v>BPSW2 ICPL Curncy</v>
      </c>
      <c r="K236" s="172" t="s">
        <v>697</v>
      </c>
      <c r="L236" s="173" t="s">
        <v>392</v>
      </c>
      <c r="M236" s="173" t="s">
        <v>393</v>
      </c>
      <c r="N236" s="173" t="s">
        <v>472</v>
      </c>
      <c r="O236" s="173" t="s">
        <v>40</v>
      </c>
      <c r="P236" s="174" t="b">
        <v>1</v>
      </c>
      <c r="R236" s="208" t="str">
        <v>BPSFVC10 ICPL Curncy</v>
      </c>
      <c r="S236" s="172" t="s">
        <v>698</v>
      </c>
      <c r="T236" s="173" t="s">
        <v>392</v>
      </c>
      <c r="U236" s="173" t="s">
        <v>393</v>
      </c>
      <c r="V236" s="173" t="s">
        <v>909</v>
      </c>
      <c r="W236" s="173" t="s">
        <v>27</v>
      </c>
      <c r="X236" s="174" t="b">
        <v>1</v>
      </c>
      <c r="Y236" s="159"/>
      <c r="Z236" s="208" t="str">
        <v>BPSFVA10 ICPL Curncy</v>
      </c>
      <c r="AA236" s="172" t="s">
        <v>699</v>
      </c>
      <c r="AB236" s="173" t="s">
        <v>392</v>
      </c>
      <c r="AC236" s="173" t="s">
        <v>393</v>
      </c>
      <c r="AD236" s="173" t="s">
        <v>909</v>
      </c>
      <c r="AE236" s="173" t="s">
        <v>27</v>
      </c>
      <c r="AF236" s="174" t="b">
        <v>1</v>
      </c>
      <c r="AH236" s="208" t="str">
        <v>BPSIVF10 ICPL Curncy</v>
      </c>
      <c r="AI236" s="172" t="s">
        <v>700</v>
      </c>
      <c r="AJ236" s="173" t="s">
        <v>392</v>
      </c>
      <c r="AK236" s="173" t="s">
        <v>393</v>
      </c>
      <c r="AL236" s="173" t="s">
        <v>909</v>
      </c>
      <c r="AM236" s="173" t="s">
        <v>27</v>
      </c>
      <c r="AN236" s="174" t="b">
        <v>1</v>
      </c>
      <c r="AP236" s="208" t="str">
        <v>BPBS10 ICPL Curncy</v>
      </c>
      <c r="AQ236" s="172" t="s">
        <v>701</v>
      </c>
      <c r="AR236" s="173" t="s">
        <v>392</v>
      </c>
      <c r="AS236" s="173" t="s">
        <v>393</v>
      </c>
      <c r="AT236" s="173" t="s">
        <v>910</v>
      </c>
      <c r="AU236" s="173" t="s">
        <v>27</v>
      </c>
      <c r="AV236" s="174" t="b">
        <v>1</v>
      </c>
    </row>
    <row r="237" spans="1:48">
      <c r="A237" s="204">
        <v>11</v>
      </c>
      <c r="B237" s="208" t="str">
        <v>BPSWSH BGN Curncy</v>
      </c>
      <c r="C237" s="188" t="s">
        <v>702</v>
      </c>
      <c r="D237" s="189" t="s">
        <v>387</v>
      </c>
      <c r="E237" s="189" t="s">
        <v>393</v>
      </c>
      <c r="F237" s="189" t="s">
        <v>189</v>
      </c>
      <c r="G237" s="189" t="s">
        <v>59</v>
      </c>
      <c r="H237" s="174" t="b">
        <v>0</v>
      </c>
      <c r="J237" s="208" t="str">
        <v>BPSW3 ICPL Curncy</v>
      </c>
      <c r="K237" s="172" t="s">
        <v>703</v>
      </c>
      <c r="L237" s="173" t="s">
        <v>392</v>
      </c>
      <c r="M237" s="173" t="s">
        <v>393</v>
      </c>
      <c r="N237" s="173" t="s">
        <v>472</v>
      </c>
      <c r="O237" s="173" t="s">
        <v>37</v>
      </c>
      <c r="P237" s="174" t="b">
        <v>1</v>
      </c>
      <c r="R237" s="208" t="str">
        <v>BPSFVC11 ICPL Curncy</v>
      </c>
      <c r="S237" s="172" t="s">
        <v>704</v>
      </c>
      <c r="T237" s="173" t="s">
        <v>392</v>
      </c>
      <c r="U237" s="173" t="s">
        <v>393</v>
      </c>
      <c r="V237" s="173" t="s">
        <v>909</v>
      </c>
      <c r="W237" s="173" t="s">
        <v>318</v>
      </c>
      <c r="X237" s="174" t="b">
        <v>1</v>
      </c>
      <c r="Y237" s="159"/>
      <c r="Z237" s="208" t="str">
        <v>BPSFVA12 ICPL Curncy</v>
      </c>
      <c r="AA237" s="172" t="s">
        <v>705</v>
      </c>
      <c r="AB237" s="173" t="s">
        <v>392</v>
      </c>
      <c r="AC237" s="173" t="s">
        <v>393</v>
      </c>
      <c r="AD237" s="173" t="s">
        <v>909</v>
      </c>
      <c r="AE237" s="173" t="s">
        <v>25</v>
      </c>
      <c r="AF237" s="174" t="b">
        <v>1</v>
      </c>
      <c r="AH237" s="208" t="str">
        <v>BPSIVF12 ICPL Curncy</v>
      </c>
      <c r="AI237" s="172" t="s">
        <v>706</v>
      </c>
      <c r="AJ237" s="173" t="s">
        <v>392</v>
      </c>
      <c r="AK237" s="173" t="s">
        <v>393</v>
      </c>
      <c r="AL237" s="173" t="s">
        <v>909</v>
      </c>
      <c r="AM237" s="173" t="s">
        <v>25</v>
      </c>
      <c r="AN237" s="174" t="b">
        <v>1</v>
      </c>
      <c r="AP237" s="208" t="str">
        <v>BPBS11 ICPL Curncy</v>
      </c>
      <c r="AQ237" s="172" t="s">
        <v>707</v>
      </c>
      <c r="AR237" s="173" t="s">
        <v>392</v>
      </c>
      <c r="AS237" s="173" t="s">
        <v>393</v>
      </c>
      <c r="AT237" s="173" t="s">
        <v>910</v>
      </c>
      <c r="AU237" s="173" t="s">
        <v>318</v>
      </c>
      <c r="AV237" s="174" t="b">
        <v>1</v>
      </c>
    </row>
    <row r="238" spans="1:48">
      <c r="A238" s="204">
        <v>12</v>
      </c>
      <c r="B238" s="208" t="str">
        <v>BPSWSI BGN Curncy</v>
      </c>
      <c r="C238" s="188" t="s">
        <v>708</v>
      </c>
      <c r="D238" s="189" t="s">
        <v>387</v>
      </c>
      <c r="E238" s="189" t="s">
        <v>393</v>
      </c>
      <c r="F238" s="189" t="s">
        <v>189</v>
      </c>
      <c r="G238" s="189" t="s">
        <v>55</v>
      </c>
      <c r="H238" s="174" t="b">
        <v>0</v>
      </c>
      <c r="J238" s="208" t="str">
        <v>BPSW4 ICPL Curncy</v>
      </c>
      <c r="K238" s="172" t="s">
        <v>709</v>
      </c>
      <c r="L238" s="173" t="s">
        <v>392</v>
      </c>
      <c r="M238" s="173" t="s">
        <v>393</v>
      </c>
      <c r="N238" s="173" t="s">
        <v>472</v>
      </c>
      <c r="O238" s="173" t="s">
        <v>33</v>
      </c>
      <c r="P238" s="174" t="b">
        <v>1</v>
      </c>
      <c r="R238" s="208" t="str">
        <v>BPSFVC12 ICPL Curncy</v>
      </c>
      <c r="S238" s="172" t="s">
        <v>710</v>
      </c>
      <c r="T238" s="173" t="s">
        <v>392</v>
      </c>
      <c r="U238" s="173" t="s">
        <v>393</v>
      </c>
      <c r="V238" s="173" t="s">
        <v>909</v>
      </c>
      <c r="W238" s="173" t="s">
        <v>25</v>
      </c>
      <c r="X238" s="174" t="b">
        <v>1</v>
      </c>
      <c r="Y238" s="159"/>
      <c r="Z238" s="208" t="str">
        <v>BPSFVA15 ICPL Curncy</v>
      </c>
      <c r="AA238" s="172" t="s">
        <v>711</v>
      </c>
      <c r="AB238" s="173" t="s">
        <v>392</v>
      </c>
      <c r="AC238" s="173" t="s">
        <v>393</v>
      </c>
      <c r="AD238" s="173" t="s">
        <v>909</v>
      </c>
      <c r="AE238" s="173" t="s">
        <v>23</v>
      </c>
      <c r="AF238" s="174" t="b">
        <v>1</v>
      </c>
      <c r="AH238" s="208" t="str">
        <v>BPSIVF15 ICPL Curncy</v>
      </c>
      <c r="AI238" s="172" t="s">
        <v>712</v>
      </c>
      <c r="AJ238" s="173" t="s">
        <v>392</v>
      </c>
      <c r="AK238" s="173" t="s">
        <v>393</v>
      </c>
      <c r="AL238" s="173" t="s">
        <v>909</v>
      </c>
      <c r="AM238" s="173" t="s">
        <v>23</v>
      </c>
      <c r="AN238" s="174" t="b">
        <v>1</v>
      </c>
      <c r="AP238" s="208" t="str">
        <v>BPBS12 ICPL Curncy</v>
      </c>
      <c r="AQ238" s="172" t="s">
        <v>713</v>
      </c>
      <c r="AR238" s="173" t="s">
        <v>392</v>
      </c>
      <c r="AS238" s="173" t="s">
        <v>393</v>
      </c>
      <c r="AT238" s="173" t="s">
        <v>910</v>
      </c>
      <c r="AU238" s="173" t="s">
        <v>25</v>
      </c>
      <c r="AV238" s="174" t="b">
        <v>1</v>
      </c>
    </row>
    <row r="239" spans="1:48">
      <c r="A239" s="204">
        <v>13</v>
      </c>
      <c r="B239" s="208" t="str">
        <v>BPSWSJ BGN Curncy</v>
      </c>
      <c r="C239" s="188" t="s">
        <v>714</v>
      </c>
      <c r="D239" s="189" t="s">
        <v>387</v>
      </c>
      <c r="E239" s="189" t="s">
        <v>393</v>
      </c>
      <c r="F239" s="189" t="s">
        <v>189</v>
      </c>
      <c r="G239" s="189" t="s">
        <v>50</v>
      </c>
      <c r="H239" s="174" t="b">
        <v>0</v>
      </c>
      <c r="J239" s="208" t="str">
        <v>BPSW5 ICPL Curncy</v>
      </c>
      <c r="K239" s="172" t="s">
        <v>715</v>
      </c>
      <c r="L239" s="173" t="s">
        <v>392</v>
      </c>
      <c r="M239" s="173" t="s">
        <v>393</v>
      </c>
      <c r="N239" s="173" t="s">
        <v>472</v>
      </c>
      <c r="O239" s="173" t="s">
        <v>31</v>
      </c>
      <c r="P239" s="174" t="b">
        <v>1</v>
      </c>
      <c r="R239" s="208" t="str">
        <v>BPSFVC15 ICPL Curncy</v>
      </c>
      <c r="S239" s="172" t="s">
        <v>716</v>
      </c>
      <c r="T239" s="173" t="s">
        <v>392</v>
      </c>
      <c r="U239" s="173" t="s">
        <v>393</v>
      </c>
      <c r="V239" s="173" t="s">
        <v>909</v>
      </c>
      <c r="W239" s="173" t="s">
        <v>23</v>
      </c>
      <c r="X239" s="174" t="b">
        <v>1</v>
      </c>
      <c r="Y239" s="159"/>
      <c r="Z239" s="208" t="str">
        <v>BPSFVA20 ICPL Curncy</v>
      </c>
      <c r="AA239" s="172" t="s">
        <v>717</v>
      </c>
      <c r="AB239" s="173" t="s">
        <v>392</v>
      </c>
      <c r="AC239" s="173" t="s">
        <v>393</v>
      </c>
      <c r="AD239" s="173" t="s">
        <v>909</v>
      </c>
      <c r="AE239" s="173" t="s">
        <v>19</v>
      </c>
      <c r="AF239" s="174" t="b">
        <v>1</v>
      </c>
      <c r="AH239" s="208" t="str">
        <v>BPSIVF20 ICPL Curncy</v>
      </c>
      <c r="AI239" s="172" t="s">
        <v>718</v>
      </c>
      <c r="AJ239" s="173" t="s">
        <v>392</v>
      </c>
      <c r="AK239" s="173" t="s">
        <v>393</v>
      </c>
      <c r="AL239" s="173" t="s">
        <v>909</v>
      </c>
      <c r="AM239" s="173" t="s">
        <v>19</v>
      </c>
      <c r="AN239" s="174" t="b">
        <v>1</v>
      </c>
      <c r="AP239" s="208" t="str">
        <v>BPBS13 ICPL Curncy</v>
      </c>
      <c r="AQ239" s="172" t="s">
        <v>719</v>
      </c>
      <c r="AR239" s="173" t="s">
        <v>392</v>
      </c>
      <c r="AS239" s="173" t="s">
        <v>393</v>
      </c>
      <c r="AT239" s="173" t="s">
        <v>910</v>
      </c>
      <c r="AU239" s="173" t="s">
        <v>326</v>
      </c>
      <c r="AV239" s="174" t="b">
        <v>1</v>
      </c>
    </row>
    <row r="240" spans="1:48">
      <c r="A240" s="204">
        <v>14</v>
      </c>
      <c r="B240" s="208" t="str">
        <v>BPSWSK BGN Curncy</v>
      </c>
      <c r="C240" s="188" t="s">
        <v>720</v>
      </c>
      <c r="D240" s="189" t="s">
        <v>387</v>
      </c>
      <c r="E240" s="189" t="s">
        <v>393</v>
      </c>
      <c r="F240" s="189" t="s">
        <v>189</v>
      </c>
      <c r="G240" s="189" t="s">
        <v>48</v>
      </c>
      <c r="H240" s="174" t="b">
        <v>0</v>
      </c>
      <c r="J240" s="208" t="str">
        <v>BPSW6 ICPL Curncy</v>
      </c>
      <c r="K240" s="172" t="s">
        <v>721</v>
      </c>
      <c r="L240" s="173" t="s">
        <v>392</v>
      </c>
      <c r="M240" s="173" t="s">
        <v>393</v>
      </c>
      <c r="N240" s="173" t="s">
        <v>472</v>
      </c>
      <c r="O240" s="173" t="s">
        <v>127</v>
      </c>
      <c r="P240" s="174" t="b">
        <v>1</v>
      </c>
      <c r="R240" s="208" t="str">
        <v>BPSFVC20 ICPL Curncy</v>
      </c>
      <c r="S240" s="172" t="s">
        <v>722</v>
      </c>
      <c r="T240" s="173" t="s">
        <v>392</v>
      </c>
      <c r="U240" s="173" t="s">
        <v>393</v>
      </c>
      <c r="V240" s="173" t="s">
        <v>909</v>
      </c>
      <c r="W240" s="173" t="s">
        <v>19</v>
      </c>
      <c r="X240" s="174" t="b">
        <v>1</v>
      </c>
      <c r="Y240" s="159"/>
      <c r="Z240" s="208" t="str">
        <v>BPSFVA25 ICPL Curncy</v>
      </c>
      <c r="AA240" s="172" t="s">
        <v>723</v>
      </c>
      <c r="AB240" s="173" t="s">
        <v>392</v>
      </c>
      <c r="AC240" s="173" t="s">
        <v>393</v>
      </c>
      <c r="AD240" s="173" t="s">
        <v>909</v>
      </c>
      <c r="AE240" s="173" t="s">
        <v>17</v>
      </c>
      <c r="AF240" s="174" t="b">
        <v>1</v>
      </c>
      <c r="AH240" s="208" t="str">
        <v>BPSIVF25 ICPL Curncy</v>
      </c>
      <c r="AI240" s="172" t="s">
        <v>724</v>
      </c>
      <c r="AJ240" s="173" t="s">
        <v>392</v>
      </c>
      <c r="AK240" s="173" t="s">
        <v>393</v>
      </c>
      <c r="AL240" s="173" t="s">
        <v>909</v>
      </c>
      <c r="AM240" s="173" t="s">
        <v>17</v>
      </c>
      <c r="AN240" s="174" t="b">
        <v>1</v>
      </c>
      <c r="AP240" s="208" t="str">
        <v>BPBS14 ICPL Curncy</v>
      </c>
      <c r="AQ240" s="172" t="s">
        <v>725</v>
      </c>
      <c r="AR240" s="173" t="s">
        <v>392</v>
      </c>
      <c r="AS240" s="173" t="s">
        <v>393</v>
      </c>
      <c r="AT240" s="173" t="s">
        <v>910</v>
      </c>
      <c r="AU240" s="173" t="s">
        <v>327</v>
      </c>
      <c r="AV240" s="174" t="b">
        <v>1</v>
      </c>
    </row>
    <row r="241" spans="1:48">
      <c r="A241" s="204">
        <v>15</v>
      </c>
      <c r="B241" s="208" t="str">
        <v>BPSWS1 BGN Curncy</v>
      </c>
      <c r="C241" s="188" t="s">
        <v>726</v>
      </c>
      <c r="D241" s="189" t="s">
        <v>387</v>
      </c>
      <c r="E241" s="189" t="s">
        <v>393</v>
      </c>
      <c r="F241" s="189" t="s">
        <v>189</v>
      </c>
      <c r="G241" s="189" t="s">
        <v>154</v>
      </c>
      <c r="H241" s="174" t="b">
        <v>1</v>
      </c>
      <c r="J241" s="208" t="str">
        <v>BPSW7 ICPL Curncy</v>
      </c>
      <c r="K241" s="172" t="s">
        <v>727</v>
      </c>
      <c r="L241" s="173" t="s">
        <v>392</v>
      </c>
      <c r="M241" s="173" t="s">
        <v>393</v>
      </c>
      <c r="N241" s="173" t="s">
        <v>472</v>
      </c>
      <c r="O241" s="173" t="s">
        <v>29</v>
      </c>
      <c r="P241" s="174" t="b">
        <v>1</v>
      </c>
      <c r="R241" s="208" t="str">
        <v>BPSFVC25 ICPL Curncy</v>
      </c>
      <c r="S241" s="172" t="s">
        <v>728</v>
      </c>
      <c r="T241" s="173" t="s">
        <v>392</v>
      </c>
      <c r="U241" s="173" t="s">
        <v>393</v>
      </c>
      <c r="V241" s="173" t="s">
        <v>909</v>
      </c>
      <c r="W241" s="173" t="s">
        <v>17</v>
      </c>
      <c r="X241" s="174" t="b">
        <v>1</v>
      </c>
      <c r="Y241" s="159"/>
      <c r="Z241" s="208" t="str">
        <v>BPSFVA30 ICPL Curncy</v>
      </c>
      <c r="AA241" s="172" t="s">
        <v>729</v>
      </c>
      <c r="AB241" s="173" t="s">
        <v>392</v>
      </c>
      <c r="AC241" s="173" t="s">
        <v>393</v>
      </c>
      <c r="AD241" s="173" t="s">
        <v>909</v>
      </c>
      <c r="AE241" s="173" t="s">
        <v>16</v>
      </c>
      <c r="AF241" s="174" t="b">
        <v>1</v>
      </c>
      <c r="AH241" s="208" t="str">
        <v>BPSIVF30 ICPL Curncy</v>
      </c>
      <c r="AI241" s="172" t="s">
        <v>730</v>
      </c>
      <c r="AJ241" s="173" t="s">
        <v>392</v>
      </c>
      <c r="AK241" s="173" t="s">
        <v>393</v>
      </c>
      <c r="AL241" s="173" t="s">
        <v>909</v>
      </c>
      <c r="AM241" s="173" t="s">
        <v>16</v>
      </c>
      <c r="AN241" s="174" t="b">
        <v>1</v>
      </c>
      <c r="AP241" s="208" t="str">
        <v>BPBS15 ICPL Curncy</v>
      </c>
      <c r="AQ241" s="172" t="s">
        <v>731</v>
      </c>
      <c r="AR241" s="173" t="s">
        <v>392</v>
      </c>
      <c r="AS241" s="173" t="s">
        <v>393</v>
      </c>
      <c r="AT241" s="173" t="s">
        <v>910</v>
      </c>
      <c r="AU241" s="173" t="s">
        <v>23</v>
      </c>
      <c r="AV241" s="174" t="b">
        <v>1</v>
      </c>
    </row>
    <row r="242" spans="1:48">
      <c r="A242" s="204">
        <v>16</v>
      </c>
      <c r="B242" s="208" t="str">
        <v>BPSWS1F BGN Curncy</v>
      </c>
      <c r="C242" s="188" t="s">
        <v>732</v>
      </c>
      <c r="D242" s="189" t="s">
        <v>387</v>
      </c>
      <c r="E242" s="189" t="s">
        <v>393</v>
      </c>
      <c r="F242" s="189" t="s">
        <v>189</v>
      </c>
      <c r="G242" s="189" t="s">
        <v>43</v>
      </c>
      <c r="H242" s="174" t="b">
        <v>0</v>
      </c>
      <c r="J242" s="208" t="str">
        <v>BPSW8 ICPL Curncy</v>
      </c>
      <c r="K242" s="172" t="s">
        <v>733</v>
      </c>
      <c r="L242" s="173" t="s">
        <v>392</v>
      </c>
      <c r="M242" s="173" t="s">
        <v>393</v>
      </c>
      <c r="N242" s="173" t="s">
        <v>472</v>
      </c>
      <c r="O242" s="173" t="s">
        <v>115</v>
      </c>
      <c r="P242" s="174" t="b">
        <v>1</v>
      </c>
      <c r="R242" s="208" t="str">
        <v>BPSFVC30 ICPL Curncy</v>
      </c>
      <c r="S242" s="172" t="s">
        <v>734</v>
      </c>
      <c r="T242" s="173" t="s">
        <v>392</v>
      </c>
      <c r="U242" s="173" t="s">
        <v>393</v>
      </c>
      <c r="V242" s="173" t="s">
        <v>909</v>
      </c>
      <c r="W242" s="173" t="s">
        <v>16</v>
      </c>
      <c r="X242" s="174" t="b">
        <v>1</v>
      </c>
      <c r="Y242" s="159"/>
      <c r="Z242" s="208" t="str">
        <v>BPSFVA40 ICPL Curncy</v>
      </c>
      <c r="AA242" s="172" t="s">
        <v>735</v>
      </c>
      <c r="AB242" s="173" t="s">
        <v>392</v>
      </c>
      <c r="AC242" s="173" t="s">
        <v>393</v>
      </c>
      <c r="AD242" s="173" t="s">
        <v>909</v>
      </c>
      <c r="AE242" s="173" t="s">
        <v>14</v>
      </c>
      <c r="AF242" s="174" t="b">
        <v>1</v>
      </c>
      <c r="AH242" s="208" t="str">
        <v>BPSIVF40 ICPL Curncy</v>
      </c>
      <c r="AI242" s="172" t="s">
        <v>736</v>
      </c>
      <c r="AJ242" s="173" t="s">
        <v>392</v>
      </c>
      <c r="AK242" s="173" t="s">
        <v>393</v>
      </c>
      <c r="AL242" s="173" t="s">
        <v>909</v>
      </c>
      <c r="AM242" s="173" t="s">
        <v>14</v>
      </c>
      <c r="AN242" s="174" t="b">
        <v>1</v>
      </c>
      <c r="AP242" s="208" t="str">
        <v>BPBS20 ICPL Curncy</v>
      </c>
      <c r="AQ242" s="172" t="s">
        <v>737</v>
      </c>
      <c r="AR242" s="173" t="s">
        <v>392</v>
      </c>
      <c r="AS242" s="173" t="s">
        <v>393</v>
      </c>
      <c r="AT242" s="173" t="s">
        <v>910</v>
      </c>
      <c r="AU242" s="173" t="s">
        <v>19</v>
      </c>
      <c r="AV242" s="174" t="b">
        <v>1</v>
      </c>
    </row>
    <row r="243" spans="1:48">
      <c r="A243" s="204">
        <v>17</v>
      </c>
      <c r="B243" s="208" t="str">
        <v>BPSWS2 BGN Curncy</v>
      </c>
      <c r="C243" s="188" t="s">
        <v>738</v>
      </c>
      <c r="D243" s="189" t="s">
        <v>387</v>
      </c>
      <c r="E243" s="189" t="s">
        <v>393</v>
      </c>
      <c r="F243" s="189" t="s">
        <v>189</v>
      </c>
      <c r="G243" s="189" t="s">
        <v>40</v>
      </c>
      <c r="H243" s="174" t="b">
        <v>0</v>
      </c>
      <c r="J243" s="208" t="str">
        <v>BPSW9 ICPL Curncy</v>
      </c>
      <c r="K243" s="172" t="s">
        <v>739</v>
      </c>
      <c r="L243" s="173" t="s">
        <v>392</v>
      </c>
      <c r="M243" s="173" t="s">
        <v>393</v>
      </c>
      <c r="N243" s="173" t="s">
        <v>472</v>
      </c>
      <c r="O243" s="173" t="s">
        <v>109</v>
      </c>
      <c r="P243" s="174" t="b">
        <v>1</v>
      </c>
      <c r="R243" s="208" t="str">
        <v>BPSFVC40 ICPL Curncy</v>
      </c>
      <c r="S243" s="172" t="s">
        <v>740</v>
      </c>
      <c r="T243" s="173" t="s">
        <v>392</v>
      </c>
      <c r="U243" s="173" t="s">
        <v>393</v>
      </c>
      <c r="V243" s="173" t="s">
        <v>909</v>
      </c>
      <c r="W243" s="173" t="s">
        <v>14</v>
      </c>
      <c r="X243" s="174" t="b">
        <v>1</v>
      </c>
      <c r="Y243" s="159"/>
      <c r="Z243" s="208" t="str">
        <v>BPSFVA50 ICPL Curncy</v>
      </c>
      <c r="AA243" s="172" t="s">
        <v>741</v>
      </c>
      <c r="AB243" s="173" t="s">
        <v>392</v>
      </c>
      <c r="AC243" s="173" t="s">
        <v>393</v>
      </c>
      <c r="AD243" s="173" t="s">
        <v>909</v>
      </c>
      <c r="AE243" s="173" t="s">
        <v>13</v>
      </c>
      <c r="AF243" s="174" t="b">
        <v>1</v>
      </c>
      <c r="AH243" s="208" t="str">
        <v>BPSIVF50 ICPL Curncy</v>
      </c>
      <c r="AI243" s="172" t="s">
        <v>742</v>
      </c>
      <c r="AJ243" s="173" t="s">
        <v>392</v>
      </c>
      <c r="AK243" s="173" t="s">
        <v>393</v>
      </c>
      <c r="AL243" s="173" t="s">
        <v>909</v>
      </c>
      <c r="AM243" s="173" t="s">
        <v>13</v>
      </c>
      <c r="AN243" s="174" t="b">
        <v>1</v>
      </c>
      <c r="AP243" s="208" t="str">
        <v>BPBS25 ICPL Curncy</v>
      </c>
      <c r="AQ243" s="172" t="s">
        <v>743</v>
      </c>
      <c r="AR243" s="173" t="s">
        <v>392</v>
      </c>
      <c r="AS243" s="173" t="s">
        <v>393</v>
      </c>
      <c r="AT243" s="173" t="s">
        <v>910</v>
      </c>
      <c r="AU243" s="173" t="s">
        <v>17</v>
      </c>
      <c r="AV243" s="174" t="b">
        <v>1</v>
      </c>
    </row>
    <row r="244" spans="1:48">
      <c r="A244" s="204">
        <v>18</v>
      </c>
      <c r="B244" s="208" t="str">
        <v>BPSWS3 BGN Curncy</v>
      </c>
      <c r="C244" s="188" t="s">
        <v>744</v>
      </c>
      <c r="D244" s="189" t="s">
        <v>387</v>
      </c>
      <c r="E244" s="189" t="s">
        <v>393</v>
      </c>
      <c r="F244" s="189" t="s">
        <v>189</v>
      </c>
      <c r="G244" s="189" t="s">
        <v>37</v>
      </c>
      <c r="H244" s="174" t="b">
        <v>1</v>
      </c>
      <c r="J244" s="208" t="str">
        <v>BPSW10 ICPL Curncy</v>
      </c>
      <c r="K244" s="172" t="s">
        <v>745</v>
      </c>
      <c r="L244" s="173" t="s">
        <v>392</v>
      </c>
      <c r="M244" s="173" t="s">
        <v>393</v>
      </c>
      <c r="N244" s="173" t="s">
        <v>472</v>
      </c>
      <c r="O244" s="173" t="s">
        <v>27</v>
      </c>
      <c r="P244" s="174" t="b">
        <v>1</v>
      </c>
      <c r="R244" s="208" t="str">
        <v>BPSFVC50 ICPL Curncy</v>
      </c>
      <c r="S244" s="172" t="s">
        <v>746</v>
      </c>
      <c r="T244" s="173" t="s">
        <v>392</v>
      </c>
      <c r="U244" s="173" t="s">
        <v>393</v>
      </c>
      <c r="V244" s="173" t="s">
        <v>909</v>
      </c>
      <c r="W244" s="173" t="s">
        <v>13</v>
      </c>
      <c r="X244" s="174" t="b">
        <v>1</v>
      </c>
      <c r="Y244" s="159"/>
      <c r="Z244" s="208" t="str">
        <v xml:space="preserve">  </v>
      </c>
      <c r="AA244" s="172"/>
      <c r="AB244" s="173"/>
      <c r="AC244" s="173"/>
      <c r="AD244" s="173"/>
      <c r="AE244" s="173"/>
      <c r="AF244" s="174"/>
      <c r="AH244" s="208" t="str">
        <v xml:space="preserve">  </v>
      </c>
      <c r="AI244" s="172"/>
      <c r="AJ244" s="173"/>
      <c r="AK244" s="173"/>
      <c r="AL244" s="173"/>
      <c r="AM244" s="173"/>
      <c r="AN244" s="174"/>
      <c r="AP244" s="208" t="str">
        <v>BPBS30 ICPL Curncy</v>
      </c>
      <c r="AQ244" s="172" t="s">
        <v>747</v>
      </c>
      <c r="AR244" s="173" t="s">
        <v>392</v>
      </c>
      <c r="AS244" s="173" t="s">
        <v>393</v>
      </c>
      <c r="AT244" s="173" t="s">
        <v>910</v>
      </c>
      <c r="AU244" s="173" t="s">
        <v>16</v>
      </c>
      <c r="AV244" s="174" t="b">
        <v>1</v>
      </c>
    </row>
    <row r="245" spans="1:48">
      <c r="A245" s="204">
        <v>19</v>
      </c>
      <c r="B245" s="208" t="str">
        <v>BPSWS4 BGN Curncy</v>
      </c>
      <c r="C245" s="188" t="s">
        <v>748</v>
      </c>
      <c r="D245" s="189" t="s">
        <v>387</v>
      </c>
      <c r="E245" s="189" t="s">
        <v>393</v>
      </c>
      <c r="F245" s="189" t="s">
        <v>189</v>
      </c>
      <c r="G245" s="189" t="s">
        <v>33</v>
      </c>
      <c r="H245" s="174" t="b">
        <v>1</v>
      </c>
      <c r="J245" s="208" t="str">
        <v>BPSW12 ICPL Curncy</v>
      </c>
      <c r="K245" s="172" t="s">
        <v>749</v>
      </c>
      <c r="L245" s="173" t="s">
        <v>392</v>
      </c>
      <c r="M245" s="173" t="s">
        <v>393</v>
      </c>
      <c r="N245" s="173" t="s">
        <v>472</v>
      </c>
      <c r="O245" s="173" t="s">
        <v>25</v>
      </c>
      <c r="P245" s="174" t="b">
        <v>1</v>
      </c>
      <c r="R245" s="208" t="str">
        <v xml:space="preserve">  </v>
      </c>
      <c r="S245" s="172"/>
      <c r="T245" s="173"/>
      <c r="U245" s="173"/>
      <c r="V245" s="173"/>
      <c r="W245" s="173"/>
      <c r="X245" s="174"/>
      <c r="Y245" s="159"/>
      <c r="Z245" s="208" t="str">
        <v xml:space="preserve">  </v>
      </c>
      <c r="AA245" s="172"/>
      <c r="AB245" s="173"/>
      <c r="AC245" s="173"/>
      <c r="AD245" s="173"/>
      <c r="AE245" s="173"/>
      <c r="AF245" s="174"/>
      <c r="AH245" s="208" t="str">
        <v xml:space="preserve">  </v>
      </c>
      <c r="AI245" s="172"/>
      <c r="AJ245" s="173"/>
      <c r="AK245" s="173"/>
      <c r="AL245" s="173"/>
      <c r="AM245" s="173"/>
      <c r="AN245" s="174"/>
      <c r="AP245" s="208" t="str">
        <v xml:space="preserve">  </v>
      </c>
      <c r="AQ245" s="172"/>
      <c r="AR245" s="173"/>
      <c r="AS245" s="173"/>
      <c r="AT245" s="173"/>
      <c r="AU245" s="173"/>
      <c r="AV245" s="174"/>
    </row>
    <row r="246" spans="1:48">
      <c r="A246" s="204">
        <v>20</v>
      </c>
      <c r="B246" s="208" t="str">
        <v>BPSWS5 BGN Curncy</v>
      </c>
      <c r="C246" s="188" t="s">
        <v>750</v>
      </c>
      <c r="D246" s="189" t="s">
        <v>387</v>
      </c>
      <c r="E246" s="189" t="s">
        <v>393</v>
      </c>
      <c r="F246" s="189" t="s">
        <v>189</v>
      </c>
      <c r="G246" s="189" t="s">
        <v>31</v>
      </c>
      <c r="H246" s="174" t="b">
        <v>1</v>
      </c>
      <c r="J246" s="208" t="str">
        <v>BPSW15 ICPL Curncy</v>
      </c>
      <c r="K246" s="172" t="s">
        <v>751</v>
      </c>
      <c r="L246" s="173" t="s">
        <v>392</v>
      </c>
      <c r="M246" s="173" t="s">
        <v>393</v>
      </c>
      <c r="N246" s="173" t="s">
        <v>472</v>
      </c>
      <c r="O246" s="173" t="s">
        <v>23</v>
      </c>
      <c r="P246" s="174" t="b">
        <v>1</v>
      </c>
      <c r="R246" s="208" t="str">
        <v xml:space="preserve">  </v>
      </c>
      <c r="S246" s="172"/>
      <c r="T246" s="173"/>
      <c r="U246" s="173"/>
      <c r="V246" s="173"/>
      <c r="W246" s="173"/>
      <c r="X246" s="174"/>
      <c r="Y246" s="159"/>
      <c r="Z246" s="208" t="str">
        <v xml:space="preserve">  </v>
      </c>
      <c r="AA246" s="172"/>
      <c r="AB246" s="173"/>
      <c r="AC246" s="173"/>
      <c r="AD246" s="173"/>
      <c r="AE246" s="173"/>
      <c r="AF246" s="174"/>
      <c r="AH246" s="208" t="str">
        <v xml:space="preserve">  </v>
      </c>
      <c r="AI246" s="172"/>
      <c r="AJ246" s="173"/>
      <c r="AK246" s="173"/>
      <c r="AL246" s="173"/>
      <c r="AM246" s="173"/>
      <c r="AN246" s="174"/>
      <c r="AP246" s="208" t="str">
        <v xml:space="preserve">  </v>
      </c>
      <c r="AQ246" s="172"/>
      <c r="AR246" s="173"/>
      <c r="AS246" s="173"/>
      <c r="AT246" s="173"/>
      <c r="AU246" s="173"/>
      <c r="AV246" s="174"/>
    </row>
    <row r="247" spans="1:48">
      <c r="A247" s="204">
        <v>21</v>
      </c>
      <c r="B247" s="208" t="str">
        <v>BPSWS6 BGN Curncy</v>
      </c>
      <c r="C247" s="188" t="s">
        <v>752</v>
      </c>
      <c r="D247" s="189" t="s">
        <v>387</v>
      </c>
      <c r="E247" s="189" t="s">
        <v>393</v>
      </c>
      <c r="F247" s="189" t="s">
        <v>189</v>
      </c>
      <c r="G247" s="189" t="s">
        <v>127</v>
      </c>
      <c r="H247" s="174" t="b">
        <v>1</v>
      </c>
      <c r="J247" s="208" t="str">
        <v>BPSW20 ICPL Curncy</v>
      </c>
      <c r="K247" s="172" t="s">
        <v>753</v>
      </c>
      <c r="L247" s="173" t="s">
        <v>392</v>
      </c>
      <c r="M247" s="173" t="s">
        <v>393</v>
      </c>
      <c r="N247" s="173" t="s">
        <v>472</v>
      </c>
      <c r="O247" s="173" t="s">
        <v>19</v>
      </c>
      <c r="P247" s="174" t="b">
        <v>1</v>
      </c>
      <c r="R247" s="208" t="str">
        <v xml:space="preserve">  </v>
      </c>
      <c r="S247" s="172"/>
      <c r="T247" s="173"/>
      <c r="U247" s="173"/>
      <c r="V247" s="173"/>
      <c r="W247" s="173"/>
      <c r="X247" s="174"/>
      <c r="Y247" s="159"/>
      <c r="Z247" s="208" t="str">
        <v xml:space="preserve">  </v>
      </c>
      <c r="AA247" s="172"/>
      <c r="AB247" s="173"/>
      <c r="AC247" s="173"/>
      <c r="AD247" s="173"/>
      <c r="AE247" s="173"/>
      <c r="AF247" s="174"/>
      <c r="AH247" s="208" t="str">
        <v xml:space="preserve">  </v>
      </c>
      <c r="AI247" s="172"/>
      <c r="AJ247" s="173"/>
      <c r="AK247" s="173"/>
      <c r="AL247" s="173"/>
      <c r="AM247" s="173"/>
      <c r="AN247" s="174"/>
      <c r="AP247" s="208" t="str">
        <v xml:space="preserve">  </v>
      </c>
      <c r="AQ247" s="172"/>
      <c r="AR247" s="173"/>
      <c r="AS247" s="173"/>
      <c r="AT247" s="173"/>
      <c r="AU247" s="173"/>
      <c r="AV247" s="174"/>
    </row>
    <row r="248" spans="1:48">
      <c r="A248" s="204">
        <v>22</v>
      </c>
      <c r="B248" s="208" t="str">
        <v>BPSWS7 BGN Curncy</v>
      </c>
      <c r="C248" s="188" t="s">
        <v>754</v>
      </c>
      <c r="D248" s="189" t="s">
        <v>387</v>
      </c>
      <c r="E248" s="189" t="s">
        <v>393</v>
      </c>
      <c r="F248" s="189" t="s">
        <v>189</v>
      </c>
      <c r="G248" s="189" t="s">
        <v>29</v>
      </c>
      <c r="H248" s="174" t="b">
        <v>1</v>
      </c>
      <c r="J248" s="208" t="str">
        <v>BPSW25 ICPL Curncy</v>
      </c>
      <c r="K248" s="172" t="s">
        <v>755</v>
      </c>
      <c r="L248" s="173" t="s">
        <v>392</v>
      </c>
      <c r="M248" s="173" t="s">
        <v>393</v>
      </c>
      <c r="N248" s="173" t="s">
        <v>472</v>
      </c>
      <c r="O248" s="173" t="s">
        <v>17</v>
      </c>
      <c r="P248" s="174" t="b">
        <v>1</v>
      </c>
      <c r="R248" s="208" t="str">
        <v xml:space="preserve">  </v>
      </c>
      <c r="S248" s="172"/>
      <c r="T248" s="173"/>
      <c r="U248" s="173"/>
      <c r="V248" s="173"/>
      <c r="W248" s="173"/>
      <c r="X248" s="174"/>
      <c r="Y248" s="159"/>
      <c r="Z248" s="208" t="str">
        <v xml:space="preserve">  </v>
      </c>
      <c r="AA248" s="172"/>
      <c r="AB248" s="173"/>
      <c r="AC248" s="173"/>
      <c r="AD248" s="173"/>
      <c r="AE248" s="173"/>
      <c r="AF248" s="174"/>
      <c r="AH248" s="208" t="str">
        <v xml:space="preserve">  </v>
      </c>
      <c r="AI248" s="172"/>
      <c r="AJ248" s="173"/>
      <c r="AK248" s="173"/>
      <c r="AL248" s="173"/>
      <c r="AM248" s="173"/>
      <c r="AN248" s="174"/>
      <c r="AP248" s="208" t="str">
        <v xml:space="preserve">  </v>
      </c>
      <c r="AQ248" s="172"/>
      <c r="AR248" s="173"/>
      <c r="AS248" s="173"/>
      <c r="AT248" s="173"/>
      <c r="AU248" s="173"/>
      <c r="AV248" s="174"/>
    </row>
    <row r="249" spans="1:48">
      <c r="A249" s="204">
        <v>23</v>
      </c>
      <c r="B249" s="208" t="str">
        <v>BPSWS8 BGN Curncy</v>
      </c>
      <c r="C249" s="188" t="s">
        <v>756</v>
      </c>
      <c r="D249" s="189" t="s">
        <v>387</v>
      </c>
      <c r="E249" s="189" t="s">
        <v>393</v>
      </c>
      <c r="F249" s="189" t="s">
        <v>189</v>
      </c>
      <c r="G249" s="189" t="s">
        <v>115</v>
      </c>
      <c r="H249" s="174" t="b">
        <v>1</v>
      </c>
      <c r="J249" s="208" t="str">
        <v>BPSW30 ICPL Curncy</v>
      </c>
      <c r="K249" s="172" t="s">
        <v>757</v>
      </c>
      <c r="L249" s="173" t="s">
        <v>392</v>
      </c>
      <c r="M249" s="173" t="s">
        <v>393</v>
      </c>
      <c r="N249" s="173" t="s">
        <v>472</v>
      </c>
      <c r="O249" s="173" t="s">
        <v>16</v>
      </c>
      <c r="P249" s="174" t="b">
        <v>1</v>
      </c>
      <c r="R249" s="208" t="str">
        <v xml:space="preserve">  </v>
      </c>
      <c r="S249" s="172"/>
      <c r="T249" s="173"/>
      <c r="U249" s="173"/>
      <c r="V249" s="173"/>
      <c r="W249" s="173"/>
      <c r="X249" s="174"/>
      <c r="Y249" s="159"/>
      <c r="Z249" s="208" t="str">
        <v xml:space="preserve">  </v>
      </c>
      <c r="AA249" s="172"/>
      <c r="AB249" s="173"/>
      <c r="AC249" s="173"/>
      <c r="AD249" s="173"/>
      <c r="AE249" s="173"/>
      <c r="AF249" s="174"/>
      <c r="AH249" s="208" t="str">
        <v xml:space="preserve">  </v>
      </c>
      <c r="AI249" s="172"/>
      <c r="AJ249" s="173"/>
      <c r="AK249" s="173"/>
      <c r="AL249" s="173"/>
      <c r="AM249" s="173"/>
      <c r="AN249" s="174"/>
      <c r="AP249" s="208" t="str">
        <v xml:space="preserve">  </v>
      </c>
      <c r="AQ249" s="172"/>
      <c r="AR249" s="173"/>
      <c r="AS249" s="173"/>
      <c r="AT249" s="173"/>
      <c r="AU249" s="173"/>
      <c r="AV249" s="174"/>
    </row>
    <row r="250" spans="1:48">
      <c r="A250" s="204">
        <v>24</v>
      </c>
      <c r="B250" s="208" t="str">
        <v>BPSWS9 BGN Curncy</v>
      </c>
      <c r="C250" s="188" t="s">
        <v>758</v>
      </c>
      <c r="D250" s="189" t="s">
        <v>387</v>
      </c>
      <c r="E250" s="189" t="s">
        <v>393</v>
      </c>
      <c r="F250" s="189" t="s">
        <v>189</v>
      </c>
      <c r="G250" s="189" t="s">
        <v>109</v>
      </c>
      <c r="H250" s="174" t="b">
        <v>1</v>
      </c>
      <c r="J250" s="208" t="str">
        <v>BPSW40 ICPL Curncy</v>
      </c>
      <c r="K250" s="172" t="s">
        <v>759</v>
      </c>
      <c r="L250" s="173" t="s">
        <v>392</v>
      </c>
      <c r="M250" s="173" t="s">
        <v>393</v>
      </c>
      <c r="N250" s="173" t="s">
        <v>472</v>
      </c>
      <c r="O250" s="173" t="s">
        <v>14</v>
      </c>
      <c r="P250" s="174" t="b">
        <v>1</v>
      </c>
      <c r="R250" s="208" t="str">
        <v xml:space="preserve">  </v>
      </c>
      <c r="S250" s="172"/>
      <c r="T250" s="173"/>
      <c r="U250" s="173"/>
      <c r="V250" s="173"/>
      <c r="W250" s="173"/>
      <c r="X250" s="174"/>
      <c r="Y250" s="159"/>
      <c r="Z250" s="208" t="str">
        <v xml:space="preserve">  </v>
      </c>
      <c r="AA250" s="172"/>
      <c r="AB250" s="173"/>
      <c r="AC250" s="173"/>
      <c r="AD250" s="173"/>
      <c r="AE250" s="173"/>
      <c r="AF250" s="174"/>
      <c r="AG250" s="178"/>
      <c r="AH250" s="208" t="str">
        <v xml:space="preserve">  </v>
      </c>
      <c r="AI250" s="172"/>
      <c r="AJ250" s="173"/>
      <c r="AK250" s="173"/>
      <c r="AL250" s="173"/>
      <c r="AM250" s="173"/>
      <c r="AN250" s="174"/>
      <c r="AO250" s="178"/>
      <c r="AP250" s="208" t="str">
        <v xml:space="preserve">  </v>
      </c>
      <c r="AQ250" s="172"/>
      <c r="AR250" s="173"/>
      <c r="AS250" s="173"/>
      <c r="AT250" s="173"/>
      <c r="AU250" s="173"/>
      <c r="AV250" s="174"/>
    </row>
    <row r="251" spans="1:48">
      <c r="A251" s="204">
        <v>25</v>
      </c>
      <c r="B251" s="208" t="str">
        <v>BPSWS10 BGN Curncy</v>
      </c>
      <c r="C251" s="188" t="s">
        <v>760</v>
      </c>
      <c r="D251" s="189" t="s">
        <v>387</v>
      </c>
      <c r="E251" s="189" t="s">
        <v>393</v>
      </c>
      <c r="F251" s="189" t="s">
        <v>189</v>
      </c>
      <c r="G251" s="189" t="s">
        <v>27</v>
      </c>
      <c r="H251" s="174" t="b">
        <v>1</v>
      </c>
      <c r="J251" s="208" t="str">
        <v>BPSW50 ICPL Curncy</v>
      </c>
      <c r="K251" s="172" t="s">
        <v>761</v>
      </c>
      <c r="L251" s="173" t="s">
        <v>392</v>
      </c>
      <c r="M251" s="173" t="s">
        <v>393</v>
      </c>
      <c r="N251" s="173" t="s">
        <v>472</v>
      </c>
      <c r="O251" s="173" t="s">
        <v>13</v>
      </c>
      <c r="P251" s="174" t="b">
        <v>1</v>
      </c>
      <c r="R251" s="208" t="str">
        <v xml:space="preserve">  </v>
      </c>
      <c r="S251" s="172"/>
      <c r="T251" s="173"/>
      <c r="U251" s="173"/>
      <c r="V251" s="173"/>
      <c r="W251" s="173"/>
      <c r="X251" s="174"/>
      <c r="Y251" s="159"/>
      <c r="Z251" s="208" t="str">
        <v xml:space="preserve">  </v>
      </c>
      <c r="AA251" s="172"/>
      <c r="AB251" s="173"/>
      <c r="AC251" s="173"/>
      <c r="AD251" s="173"/>
      <c r="AE251" s="173"/>
      <c r="AF251" s="174"/>
      <c r="AG251" s="178"/>
      <c r="AH251" s="208" t="str">
        <v xml:space="preserve">  </v>
      </c>
      <c r="AI251" s="172"/>
      <c r="AJ251" s="173"/>
      <c r="AK251" s="173"/>
      <c r="AL251" s="173"/>
      <c r="AM251" s="173"/>
      <c r="AN251" s="174"/>
      <c r="AO251" s="178"/>
      <c r="AP251" s="208" t="str">
        <v xml:space="preserve">  </v>
      </c>
      <c r="AQ251" s="172"/>
      <c r="AR251" s="173"/>
      <c r="AS251" s="173"/>
      <c r="AT251" s="173"/>
      <c r="AU251" s="173"/>
      <c r="AV251" s="174"/>
    </row>
    <row r="252" spans="1:48">
      <c r="A252" s="204">
        <v>26</v>
      </c>
      <c r="B252" s="208" t="str">
        <v>BPSWS12 BGN Curncy</v>
      </c>
      <c r="C252" s="188" t="s">
        <v>762</v>
      </c>
      <c r="D252" s="189" t="s">
        <v>387</v>
      </c>
      <c r="E252" s="189" t="s">
        <v>393</v>
      </c>
      <c r="F252" s="189" t="s">
        <v>189</v>
      </c>
      <c r="G252" s="189" t="s">
        <v>25</v>
      </c>
      <c r="H252" s="174" t="b">
        <v>1</v>
      </c>
      <c r="J252" s="208" t="str">
        <v xml:space="preserve">  </v>
      </c>
      <c r="K252" s="172"/>
      <c r="L252" s="173"/>
      <c r="M252" s="173"/>
      <c r="N252" s="173"/>
      <c r="O252" s="173"/>
      <c r="P252" s="174"/>
      <c r="R252" s="208" t="str">
        <v xml:space="preserve">  </v>
      </c>
      <c r="S252" s="172"/>
      <c r="T252" s="173"/>
      <c r="U252" s="173"/>
      <c r="V252" s="173"/>
      <c r="W252" s="173"/>
      <c r="X252" s="174"/>
      <c r="Y252" s="159"/>
      <c r="Z252" s="208" t="str">
        <v xml:space="preserve">  </v>
      </c>
      <c r="AA252" s="172"/>
      <c r="AB252" s="173"/>
      <c r="AC252" s="173"/>
      <c r="AD252" s="173"/>
      <c r="AE252" s="173"/>
      <c r="AF252" s="174"/>
      <c r="AG252" s="178"/>
      <c r="AH252" s="208" t="str">
        <v xml:space="preserve">  </v>
      </c>
      <c r="AI252" s="172"/>
      <c r="AJ252" s="173"/>
      <c r="AK252" s="173"/>
      <c r="AL252" s="173"/>
      <c r="AM252" s="173"/>
      <c r="AN252" s="174"/>
      <c r="AO252" s="178"/>
      <c r="AP252" s="208" t="str">
        <v xml:space="preserve">  </v>
      </c>
      <c r="AQ252" s="172"/>
      <c r="AR252" s="173"/>
      <c r="AS252" s="173"/>
      <c r="AT252" s="173"/>
      <c r="AU252" s="173"/>
      <c r="AV252" s="174"/>
    </row>
    <row r="253" spans="1:48">
      <c r="A253" s="204">
        <v>27</v>
      </c>
      <c r="B253" s="208" t="str">
        <v>BPSWS15 BGN Curncy</v>
      </c>
      <c r="C253" s="172" t="s">
        <v>763</v>
      </c>
      <c r="D253" s="189" t="s">
        <v>387</v>
      </c>
      <c r="E253" s="189" t="s">
        <v>393</v>
      </c>
      <c r="F253" s="189" t="s">
        <v>189</v>
      </c>
      <c r="G253" s="189" t="s">
        <v>23</v>
      </c>
      <c r="H253" s="174" t="b">
        <v>1</v>
      </c>
      <c r="J253" s="208" t="str">
        <v xml:space="preserve">  </v>
      </c>
      <c r="K253" s="172"/>
      <c r="L253" s="173"/>
      <c r="M253" s="173"/>
      <c r="N253" s="173"/>
      <c r="O253" s="173"/>
      <c r="P253" s="174"/>
      <c r="R253" s="208" t="str">
        <v xml:space="preserve">  </v>
      </c>
      <c r="S253" s="172"/>
      <c r="T253" s="173"/>
      <c r="U253" s="173"/>
      <c r="V253" s="173"/>
      <c r="W253" s="173"/>
      <c r="X253" s="174"/>
      <c r="Y253" s="159"/>
      <c r="Z253" s="208" t="str">
        <v xml:space="preserve">  </v>
      </c>
      <c r="AA253" s="172"/>
      <c r="AB253" s="173"/>
      <c r="AC253" s="173"/>
      <c r="AD253" s="173"/>
      <c r="AE253" s="173"/>
      <c r="AF253" s="174"/>
      <c r="AG253" s="178"/>
      <c r="AH253" s="208" t="str">
        <v xml:space="preserve">  </v>
      </c>
      <c r="AI253" s="172"/>
      <c r="AJ253" s="173"/>
      <c r="AK253" s="173"/>
      <c r="AL253" s="173"/>
      <c r="AM253" s="173"/>
      <c r="AN253" s="174"/>
      <c r="AO253" s="178"/>
      <c r="AP253" s="208" t="str">
        <v xml:space="preserve">  </v>
      </c>
      <c r="AQ253" s="172"/>
      <c r="AR253" s="173"/>
      <c r="AS253" s="173"/>
      <c r="AT253" s="173"/>
      <c r="AU253" s="173"/>
      <c r="AV253" s="174"/>
    </row>
    <row r="254" spans="1:48">
      <c r="A254" s="204">
        <v>28</v>
      </c>
      <c r="B254" s="208" t="str">
        <v>BPSWS20 BGN Curncy</v>
      </c>
      <c r="C254" s="172" t="s">
        <v>764</v>
      </c>
      <c r="D254" s="189" t="s">
        <v>387</v>
      </c>
      <c r="E254" s="189" t="s">
        <v>393</v>
      </c>
      <c r="F254" s="189" t="s">
        <v>189</v>
      </c>
      <c r="G254" s="189" t="s">
        <v>19</v>
      </c>
      <c r="H254" s="174" t="b">
        <v>1</v>
      </c>
      <c r="J254" s="208" t="str">
        <v xml:space="preserve">  </v>
      </c>
      <c r="K254" s="172"/>
      <c r="L254" s="173"/>
      <c r="M254" s="173"/>
      <c r="N254" s="173"/>
      <c r="O254" s="173"/>
      <c r="P254" s="174"/>
      <c r="R254" s="208" t="str">
        <v xml:space="preserve">  </v>
      </c>
      <c r="S254" s="172"/>
      <c r="T254" s="173"/>
      <c r="U254" s="173"/>
      <c r="V254" s="173"/>
      <c r="W254" s="173"/>
      <c r="X254" s="174"/>
      <c r="Y254" s="159"/>
      <c r="Z254" s="208" t="str">
        <v xml:space="preserve">  </v>
      </c>
      <c r="AA254" s="172"/>
      <c r="AB254" s="173"/>
      <c r="AC254" s="173"/>
      <c r="AD254" s="173"/>
      <c r="AE254" s="173"/>
      <c r="AF254" s="174"/>
      <c r="AG254" s="178"/>
      <c r="AH254" s="208" t="str">
        <v xml:space="preserve">  </v>
      </c>
      <c r="AI254" s="172"/>
      <c r="AJ254" s="173"/>
      <c r="AK254" s="173"/>
      <c r="AL254" s="173"/>
      <c r="AM254" s="173"/>
      <c r="AN254" s="174"/>
      <c r="AO254" s="178"/>
      <c r="AP254" s="208" t="str">
        <v xml:space="preserve">  </v>
      </c>
      <c r="AQ254" s="172"/>
      <c r="AR254" s="173"/>
      <c r="AS254" s="173"/>
      <c r="AT254" s="173"/>
      <c r="AU254" s="173"/>
      <c r="AV254" s="174"/>
    </row>
    <row r="255" spans="1:48">
      <c r="A255" s="204">
        <v>29</v>
      </c>
      <c r="B255" s="208" t="str">
        <v>BPSWS25 BGN Curncy</v>
      </c>
      <c r="C255" s="172" t="s">
        <v>765</v>
      </c>
      <c r="D255" s="189" t="s">
        <v>387</v>
      </c>
      <c r="E255" s="189" t="s">
        <v>393</v>
      </c>
      <c r="F255" s="189" t="s">
        <v>189</v>
      </c>
      <c r="G255" s="189" t="s">
        <v>17</v>
      </c>
      <c r="H255" s="174" t="b">
        <v>1</v>
      </c>
      <c r="J255" s="208" t="str">
        <v xml:space="preserve">  </v>
      </c>
      <c r="K255" s="172"/>
      <c r="L255" s="173"/>
      <c r="M255" s="173"/>
      <c r="N255" s="173"/>
      <c r="O255" s="173"/>
      <c r="P255" s="174"/>
      <c r="R255" s="208" t="str">
        <v xml:space="preserve">  </v>
      </c>
      <c r="S255" s="172"/>
      <c r="T255" s="173"/>
      <c r="U255" s="173"/>
      <c r="V255" s="173"/>
      <c r="W255" s="173"/>
      <c r="X255" s="174"/>
      <c r="Y255" s="159"/>
      <c r="Z255" s="208" t="str">
        <v xml:space="preserve">  </v>
      </c>
      <c r="AA255" s="172"/>
      <c r="AB255" s="173"/>
      <c r="AC255" s="173"/>
      <c r="AD255" s="173"/>
      <c r="AE255" s="173"/>
      <c r="AF255" s="174"/>
      <c r="AG255" s="178"/>
      <c r="AH255" s="208" t="str">
        <v xml:space="preserve">  </v>
      </c>
      <c r="AI255" s="172"/>
      <c r="AJ255" s="173"/>
      <c r="AK255" s="173"/>
      <c r="AL255" s="173"/>
      <c r="AM255" s="173"/>
      <c r="AN255" s="174"/>
      <c r="AO255" s="178"/>
      <c r="AP255" s="208" t="str">
        <v xml:space="preserve">  </v>
      </c>
      <c r="AQ255" s="172"/>
      <c r="AR255" s="173"/>
      <c r="AS255" s="173"/>
      <c r="AT255" s="173"/>
      <c r="AU255" s="173"/>
      <c r="AV255" s="174"/>
    </row>
    <row r="256" spans="1:48">
      <c r="A256" s="204">
        <v>30</v>
      </c>
      <c r="B256" s="208" t="str">
        <v>BPSWS30 BGN Curncy</v>
      </c>
      <c r="C256" s="172" t="s">
        <v>766</v>
      </c>
      <c r="D256" s="189" t="s">
        <v>387</v>
      </c>
      <c r="E256" s="189" t="s">
        <v>393</v>
      </c>
      <c r="F256" s="189" t="s">
        <v>189</v>
      </c>
      <c r="G256" s="189" t="s">
        <v>16</v>
      </c>
      <c r="H256" s="174" t="b">
        <v>1</v>
      </c>
      <c r="J256" s="208" t="str">
        <v xml:space="preserve">  </v>
      </c>
      <c r="K256" s="172"/>
      <c r="L256" s="173"/>
      <c r="M256" s="173"/>
      <c r="N256" s="173"/>
      <c r="O256" s="173"/>
      <c r="P256" s="174"/>
      <c r="R256" s="208" t="str">
        <v xml:space="preserve">  </v>
      </c>
      <c r="S256" s="172"/>
      <c r="T256" s="173"/>
      <c r="U256" s="173"/>
      <c r="V256" s="173"/>
      <c r="W256" s="173"/>
      <c r="X256" s="174"/>
      <c r="Y256" s="159"/>
      <c r="Z256" s="208" t="str">
        <v xml:space="preserve">  </v>
      </c>
      <c r="AA256" s="172"/>
      <c r="AB256" s="173"/>
      <c r="AC256" s="173"/>
      <c r="AD256" s="173"/>
      <c r="AE256" s="173"/>
      <c r="AF256" s="174"/>
      <c r="AG256" s="178"/>
      <c r="AH256" s="208" t="str">
        <v xml:space="preserve">  </v>
      </c>
      <c r="AI256" s="172"/>
      <c r="AJ256" s="173"/>
      <c r="AK256" s="173"/>
      <c r="AL256" s="173"/>
      <c r="AM256" s="173"/>
      <c r="AN256" s="174"/>
      <c r="AO256" s="178"/>
      <c r="AP256" s="208" t="str">
        <v xml:space="preserve">  </v>
      </c>
      <c r="AQ256" s="172"/>
      <c r="AR256" s="173"/>
      <c r="AS256" s="173"/>
      <c r="AT256" s="173"/>
      <c r="AU256" s="173"/>
      <c r="AV256" s="174"/>
    </row>
    <row r="257" spans="1:48">
      <c r="A257" s="204">
        <v>31</v>
      </c>
      <c r="B257" s="208" t="str">
        <v>BPSWS40 BGN Curncy</v>
      </c>
      <c r="C257" s="172" t="s">
        <v>767</v>
      </c>
      <c r="D257" s="189" t="s">
        <v>387</v>
      </c>
      <c r="E257" s="189" t="s">
        <v>393</v>
      </c>
      <c r="F257" s="189" t="s">
        <v>189</v>
      </c>
      <c r="G257" s="189" t="s">
        <v>14</v>
      </c>
      <c r="H257" s="174" t="b">
        <v>1</v>
      </c>
      <c r="J257" s="208" t="str">
        <v xml:space="preserve">  </v>
      </c>
      <c r="K257" s="172"/>
      <c r="L257" s="173"/>
      <c r="M257" s="173"/>
      <c r="N257" s="173"/>
      <c r="O257" s="173"/>
      <c r="P257" s="174"/>
      <c r="R257" s="208" t="str">
        <v xml:space="preserve">  </v>
      </c>
      <c r="S257" s="172"/>
      <c r="T257" s="173"/>
      <c r="U257" s="173"/>
      <c r="V257" s="173"/>
      <c r="W257" s="173"/>
      <c r="X257" s="174"/>
      <c r="Y257" s="159"/>
      <c r="Z257" s="208" t="str">
        <v xml:space="preserve">  </v>
      </c>
      <c r="AA257" s="172"/>
      <c r="AB257" s="173"/>
      <c r="AC257" s="173"/>
      <c r="AD257" s="173"/>
      <c r="AE257" s="173"/>
      <c r="AF257" s="174"/>
      <c r="AG257" s="178"/>
      <c r="AH257" s="208" t="str">
        <v xml:space="preserve">  </v>
      </c>
      <c r="AI257" s="172"/>
      <c r="AJ257" s="173"/>
      <c r="AK257" s="173"/>
      <c r="AL257" s="173"/>
      <c r="AM257" s="173"/>
      <c r="AN257" s="174"/>
      <c r="AO257" s="178"/>
      <c r="AP257" s="208" t="str">
        <v xml:space="preserve">  </v>
      </c>
      <c r="AQ257" s="172"/>
      <c r="AR257" s="173"/>
      <c r="AS257" s="173"/>
      <c r="AT257" s="173"/>
      <c r="AU257" s="173"/>
      <c r="AV257" s="174"/>
    </row>
    <row r="258" spans="1:48">
      <c r="A258" s="204">
        <v>32</v>
      </c>
      <c r="B258" s="208" t="str">
        <v>BPSWS50 BGN Curncy</v>
      </c>
      <c r="C258" s="172" t="s">
        <v>768</v>
      </c>
      <c r="D258" s="189" t="s">
        <v>387</v>
      </c>
      <c r="E258" s="189" t="s">
        <v>393</v>
      </c>
      <c r="F258" s="189" t="s">
        <v>189</v>
      </c>
      <c r="G258" s="189" t="s">
        <v>13</v>
      </c>
      <c r="H258" s="174" t="b">
        <v>1</v>
      </c>
      <c r="J258" s="208" t="str">
        <v xml:space="preserve">  </v>
      </c>
      <c r="K258" s="172"/>
      <c r="L258" s="173"/>
      <c r="M258" s="173"/>
      <c r="N258" s="173"/>
      <c r="O258" s="173"/>
      <c r="P258" s="174"/>
      <c r="R258" s="208" t="str">
        <v xml:space="preserve">  </v>
      </c>
      <c r="S258" s="172"/>
      <c r="T258" s="173"/>
      <c r="U258" s="173"/>
      <c r="V258" s="173"/>
      <c r="W258" s="173"/>
      <c r="X258" s="174"/>
      <c r="Y258" s="159"/>
      <c r="Z258" s="208" t="str">
        <v xml:space="preserve">  </v>
      </c>
      <c r="AA258" s="172"/>
      <c r="AB258" s="173"/>
      <c r="AC258" s="173"/>
      <c r="AD258" s="173"/>
      <c r="AE258" s="173"/>
      <c r="AF258" s="174"/>
      <c r="AG258" s="178"/>
      <c r="AH258" s="208" t="str">
        <v xml:space="preserve">  </v>
      </c>
      <c r="AI258" s="172"/>
      <c r="AJ258" s="173"/>
      <c r="AK258" s="173"/>
      <c r="AL258" s="173"/>
      <c r="AM258" s="173"/>
      <c r="AN258" s="174"/>
      <c r="AO258" s="178"/>
      <c r="AP258" s="208" t="str">
        <v xml:space="preserve">  </v>
      </c>
      <c r="AQ258" s="172"/>
      <c r="AR258" s="173"/>
      <c r="AS258" s="173"/>
      <c r="AT258" s="173"/>
      <c r="AU258" s="173"/>
      <c r="AV258" s="174"/>
    </row>
    <row r="259" spans="1:48">
      <c r="A259" s="204">
        <v>33</v>
      </c>
      <c r="B259" s="208" t="str">
        <v xml:space="preserve">  </v>
      </c>
      <c r="C259" s="172"/>
      <c r="D259" s="173"/>
      <c r="E259" s="173"/>
      <c r="F259" s="173"/>
      <c r="G259" s="173"/>
      <c r="H259" s="174"/>
      <c r="J259" s="208" t="str">
        <v xml:space="preserve">  </v>
      </c>
      <c r="K259" s="172"/>
      <c r="L259" s="173"/>
      <c r="M259" s="173"/>
      <c r="N259" s="173"/>
      <c r="O259" s="173"/>
      <c r="P259" s="174"/>
      <c r="R259" s="208" t="str">
        <v xml:space="preserve">  </v>
      </c>
      <c r="S259" s="172"/>
      <c r="T259" s="173"/>
      <c r="U259" s="173"/>
      <c r="V259" s="173"/>
      <c r="W259" s="173"/>
      <c r="X259" s="174"/>
      <c r="Y259" s="159"/>
      <c r="Z259" s="208" t="str">
        <v xml:space="preserve">  </v>
      </c>
      <c r="AA259" s="172"/>
      <c r="AB259" s="173"/>
      <c r="AC259" s="173"/>
      <c r="AD259" s="173"/>
      <c r="AE259" s="173"/>
      <c r="AF259" s="174"/>
      <c r="AG259" s="178"/>
      <c r="AH259" s="208" t="str">
        <v xml:space="preserve">  </v>
      </c>
      <c r="AI259" s="172"/>
      <c r="AJ259" s="173"/>
      <c r="AK259" s="173"/>
      <c r="AL259" s="173"/>
      <c r="AM259" s="173"/>
      <c r="AN259" s="174"/>
      <c r="AO259" s="178"/>
      <c r="AP259" s="208" t="str">
        <v xml:space="preserve">  </v>
      </c>
      <c r="AQ259" s="172"/>
      <c r="AR259" s="173"/>
      <c r="AS259" s="173"/>
      <c r="AT259" s="173"/>
      <c r="AU259" s="173"/>
      <c r="AV259" s="174"/>
    </row>
    <row r="260" spans="1:48">
      <c r="A260" s="204">
        <v>34</v>
      </c>
      <c r="B260" s="208" t="str">
        <v xml:space="preserve">  </v>
      </c>
      <c r="C260" s="172"/>
      <c r="D260" s="173"/>
      <c r="E260" s="173"/>
      <c r="F260" s="173"/>
      <c r="G260" s="173"/>
      <c r="H260" s="174"/>
      <c r="J260" s="208" t="str">
        <v xml:space="preserve">  </v>
      </c>
      <c r="K260" s="172"/>
      <c r="L260" s="173"/>
      <c r="M260" s="173"/>
      <c r="N260" s="173"/>
      <c r="O260" s="173"/>
      <c r="P260" s="174"/>
      <c r="R260" s="208" t="str">
        <v xml:space="preserve">  </v>
      </c>
      <c r="S260" s="172"/>
      <c r="T260" s="173"/>
      <c r="U260" s="173"/>
      <c r="V260" s="173"/>
      <c r="W260" s="173"/>
      <c r="X260" s="174"/>
      <c r="Y260" s="159"/>
      <c r="Z260" s="208" t="str">
        <v xml:space="preserve">  </v>
      </c>
      <c r="AA260" s="172"/>
      <c r="AB260" s="173"/>
      <c r="AC260" s="173"/>
      <c r="AD260" s="173"/>
      <c r="AE260" s="173"/>
      <c r="AF260" s="174"/>
      <c r="AG260" s="178"/>
      <c r="AH260" s="208" t="str">
        <v xml:space="preserve">  </v>
      </c>
      <c r="AI260" s="172"/>
      <c r="AJ260" s="173"/>
      <c r="AK260" s="173"/>
      <c r="AL260" s="173"/>
      <c r="AM260" s="173"/>
      <c r="AN260" s="174"/>
      <c r="AO260" s="178"/>
      <c r="AP260" s="208" t="str">
        <v xml:space="preserve">  </v>
      </c>
      <c r="AQ260" s="172"/>
      <c r="AR260" s="173"/>
      <c r="AS260" s="173"/>
      <c r="AT260" s="173"/>
      <c r="AU260" s="173"/>
      <c r="AV260" s="174"/>
    </row>
    <row r="261" spans="1:48">
      <c r="A261" s="204">
        <v>35</v>
      </c>
      <c r="B261" s="208" t="str">
        <v xml:space="preserve">  </v>
      </c>
      <c r="C261" s="172"/>
      <c r="D261" s="173"/>
      <c r="E261" s="173"/>
      <c r="F261" s="173"/>
      <c r="G261" s="173"/>
      <c r="H261" s="174"/>
      <c r="J261" s="208" t="str">
        <v xml:space="preserve">  </v>
      </c>
      <c r="K261" s="172"/>
      <c r="L261" s="173"/>
      <c r="M261" s="173"/>
      <c r="N261" s="173"/>
      <c r="O261" s="173"/>
      <c r="P261" s="174"/>
      <c r="R261" s="208" t="str">
        <v xml:space="preserve">  </v>
      </c>
      <c r="S261" s="172"/>
      <c r="T261" s="173"/>
      <c r="U261" s="173"/>
      <c r="V261" s="173"/>
      <c r="W261" s="173"/>
      <c r="X261" s="174"/>
      <c r="Y261" s="159"/>
      <c r="Z261" s="208" t="str">
        <v xml:space="preserve">  </v>
      </c>
      <c r="AA261" s="172"/>
      <c r="AB261" s="173"/>
      <c r="AC261" s="173"/>
      <c r="AD261" s="173"/>
      <c r="AE261" s="173"/>
      <c r="AF261" s="174"/>
      <c r="AG261" s="178"/>
      <c r="AH261" s="208" t="str">
        <v xml:space="preserve">  </v>
      </c>
      <c r="AI261" s="172"/>
      <c r="AJ261" s="173"/>
      <c r="AK261" s="173"/>
      <c r="AL261" s="173"/>
      <c r="AM261" s="173"/>
      <c r="AN261" s="174"/>
      <c r="AO261" s="178"/>
      <c r="AP261" s="208" t="str">
        <v xml:space="preserve">  </v>
      </c>
      <c r="AQ261" s="172"/>
      <c r="AR261" s="173"/>
      <c r="AS261" s="173"/>
      <c r="AT261" s="173"/>
      <c r="AU261" s="173"/>
      <c r="AV261" s="174"/>
    </row>
    <row r="262" spans="1:48">
      <c r="A262" s="204">
        <v>36</v>
      </c>
      <c r="B262" s="208" t="str">
        <v xml:space="preserve">  </v>
      </c>
      <c r="C262" s="172"/>
      <c r="D262" s="173"/>
      <c r="E262" s="173"/>
      <c r="F262" s="173"/>
      <c r="G262" s="173"/>
      <c r="H262" s="174"/>
      <c r="J262" s="208" t="str">
        <v xml:space="preserve">  </v>
      </c>
      <c r="K262" s="172"/>
      <c r="L262" s="173"/>
      <c r="M262" s="173"/>
      <c r="N262" s="173"/>
      <c r="O262" s="173"/>
      <c r="P262" s="174"/>
      <c r="R262" s="208" t="str">
        <v xml:space="preserve">  </v>
      </c>
      <c r="S262" s="172"/>
      <c r="T262" s="173"/>
      <c r="U262" s="173"/>
      <c r="V262" s="173"/>
      <c r="W262" s="173"/>
      <c r="X262" s="174"/>
      <c r="Y262" s="159"/>
      <c r="Z262" s="208" t="str">
        <v xml:space="preserve">  </v>
      </c>
      <c r="AA262" s="172"/>
      <c r="AB262" s="173"/>
      <c r="AC262" s="173"/>
      <c r="AD262" s="173"/>
      <c r="AE262" s="173"/>
      <c r="AF262" s="174"/>
      <c r="AG262" s="178"/>
      <c r="AH262" s="208" t="str">
        <v xml:space="preserve">  </v>
      </c>
      <c r="AI262" s="172"/>
      <c r="AJ262" s="173"/>
      <c r="AK262" s="173"/>
      <c r="AL262" s="173"/>
      <c r="AM262" s="173"/>
      <c r="AN262" s="174"/>
      <c r="AO262" s="178"/>
      <c r="AP262" s="208" t="str">
        <v xml:space="preserve">  </v>
      </c>
      <c r="AQ262" s="172"/>
      <c r="AR262" s="173"/>
      <c r="AS262" s="173"/>
      <c r="AT262" s="173"/>
      <c r="AU262" s="173"/>
      <c r="AV262" s="174"/>
    </row>
    <row r="263" spans="1:48">
      <c r="A263" s="204">
        <v>37</v>
      </c>
      <c r="B263" s="208" t="str">
        <v xml:space="preserve">  </v>
      </c>
      <c r="C263" s="172"/>
      <c r="D263" s="173"/>
      <c r="E263" s="173"/>
      <c r="F263" s="173"/>
      <c r="G263" s="173"/>
      <c r="H263" s="174"/>
      <c r="J263" s="208" t="str">
        <v xml:space="preserve">  </v>
      </c>
      <c r="K263" s="172"/>
      <c r="L263" s="173"/>
      <c r="M263" s="173"/>
      <c r="N263" s="173"/>
      <c r="O263" s="173"/>
      <c r="P263" s="174"/>
      <c r="R263" s="208" t="str">
        <v xml:space="preserve">  </v>
      </c>
      <c r="S263" s="172"/>
      <c r="T263" s="173"/>
      <c r="U263" s="173"/>
      <c r="V263" s="173"/>
      <c r="W263" s="173"/>
      <c r="X263" s="174"/>
      <c r="Y263" s="159"/>
      <c r="Z263" s="208" t="str">
        <v xml:space="preserve">  </v>
      </c>
      <c r="AA263" s="172"/>
      <c r="AB263" s="173"/>
      <c r="AC263" s="173"/>
      <c r="AD263" s="173"/>
      <c r="AE263" s="173"/>
      <c r="AF263" s="174"/>
      <c r="AG263" s="178"/>
      <c r="AH263" s="208" t="str">
        <v xml:space="preserve">  </v>
      </c>
      <c r="AI263" s="172"/>
      <c r="AJ263" s="173"/>
      <c r="AK263" s="173"/>
      <c r="AL263" s="173"/>
      <c r="AM263" s="173"/>
      <c r="AN263" s="174"/>
      <c r="AO263" s="178"/>
      <c r="AP263" s="208" t="str">
        <v xml:space="preserve">  </v>
      </c>
      <c r="AQ263" s="172"/>
      <c r="AR263" s="173"/>
      <c r="AS263" s="173"/>
      <c r="AT263" s="173"/>
      <c r="AU263" s="173"/>
      <c r="AV263" s="174"/>
    </row>
    <row r="264" spans="1:48">
      <c r="A264" s="204">
        <v>38</v>
      </c>
      <c r="B264" s="208" t="str">
        <v xml:space="preserve">  </v>
      </c>
      <c r="C264" s="172"/>
      <c r="D264" s="173"/>
      <c r="E264" s="173"/>
      <c r="F264" s="173"/>
      <c r="G264" s="173"/>
      <c r="H264" s="174"/>
      <c r="J264" s="208" t="str">
        <v xml:space="preserve">  </v>
      </c>
      <c r="K264" s="172"/>
      <c r="L264" s="173"/>
      <c r="M264" s="173"/>
      <c r="N264" s="173"/>
      <c r="O264" s="173"/>
      <c r="P264" s="174"/>
      <c r="R264" s="208" t="str">
        <v xml:space="preserve">  </v>
      </c>
      <c r="S264" s="172"/>
      <c r="T264" s="173"/>
      <c r="U264" s="173"/>
      <c r="V264" s="173"/>
      <c r="W264" s="173"/>
      <c r="X264" s="174"/>
      <c r="Y264" s="159"/>
      <c r="Z264" s="208" t="str">
        <v xml:space="preserve">  </v>
      </c>
      <c r="AA264" s="172"/>
      <c r="AB264" s="173"/>
      <c r="AC264" s="173"/>
      <c r="AD264" s="173"/>
      <c r="AE264" s="173"/>
      <c r="AF264" s="174"/>
      <c r="AG264" s="178"/>
      <c r="AH264" s="208" t="str">
        <v xml:space="preserve">  </v>
      </c>
      <c r="AI264" s="172"/>
      <c r="AJ264" s="173"/>
      <c r="AK264" s="173"/>
      <c r="AL264" s="173"/>
      <c r="AM264" s="173"/>
      <c r="AN264" s="174"/>
      <c r="AO264" s="178"/>
      <c r="AP264" s="208" t="str">
        <v xml:space="preserve">  </v>
      </c>
      <c r="AQ264" s="172"/>
      <c r="AR264" s="173"/>
      <c r="AS264" s="173"/>
      <c r="AT264" s="173"/>
      <c r="AU264" s="173"/>
      <c r="AV264" s="174"/>
    </row>
    <row r="265" spans="1:48">
      <c r="A265" s="204">
        <v>39</v>
      </c>
      <c r="B265" s="208" t="str">
        <v xml:space="preserve">  </v>
      </c>
      <c r="C265" s="172"/>
      <c r="D265" s="173"/>
      <c r="E265" s="173"/>
      <c r="F265" s="173"/>
      <c r="G265" s="173"/>
      <c r="H265" s="174"/>
      <c r="J265" s="208" t="str">
        <v xml:space="preserve">  </v>
      </c>
      <c r="K265" s="172"/>
      <c r="L265" s="173"/>
      <c r="M265" s="173"/>
      <c r="N265" s="173"/>
      <c r="O265" s="173"/>
      <c r="P265" s="174"/>
      <c r="R265" s="208" t="str">
        <v xml:space="preserve">  </v>
      </c>
      <c r="S265" s="172"/>
      <c r="T265" s="173"/>
      <c r="U265" s="173"/>
      <c r="V265" s="173"/>
      <c r="W265" s="173"/>
      <c r="X265" s="174"/>
      <c r="Y265" s="159"/>
      <c r="Z265" s="208" t="str">
        <v xml:space="preserve">  </v>
      </c>
      <c r="AA265" s="172"/>
      <c r="AB265" s="173"/>
      <c r="AC265" s="173"/>
      <c r="AD265" s="173"/>
      <c r="AE265" s="173"/>
      <c r="AF265" s="174"/>
      <c r="AG265" s="178"/>
      <c r="AH265" s="208" t="str">
        <v xml:space="preserve">  </v>
      </c>
      <c r="AI265" s="172"/>
      <c r="AJ265" s="173"/>
      <c r="AK265" s="173"/>
      <c r="AL265" s="173"/>
      <c r="AM265" s="173"/>
      <c r="AN265" s="174"/>
      <c r="AO265" s="178"/>
      <c r="AP265" s="208" t="str">
        <v xml:space="preserve">  </v>
      </c>
      <c r="AQ265" s="172"/>
      <c r="AR265" s="173"/>
      <c r="AS265" s="173"/>
      <c r="AT265" s="173"/>
      <c r="AU265" s="173"/>
      <c r="AV265" s="174"/>
    </row>
    <row r="266" spans="1:48">
      <c r="A266" s="204">
        <v>40</v>
      </c>
      <c r="B266" s="208" t="str">
        <v xml:space="preserve">  </v>
      </c>
      <c r="C266" s="172"/>
      <c r="D266" s="173"/>
      <c r="E266" s="173"/>
      <c r="F266" s="173"/>
      <c r="G266" s="173"/>
      <c r="H266" s="174"/>
      <c r="J266" s="208" t="str">
        <v xml:space="preserve">  </v>
      </c>
      <c r="K266" s="172"/>
      <c r="L266" s="173"/>
      <c r="M266" s="173"/>
      <c r="N266" s="173"/>
      <c r="O266" s="173"/>
      <c r="P266" s="174"/>
      <c r="R266" s="208" t="str">
        <v xml:space="preserve">  </v>
      </c>
      <c r="S266" s="172"/>
      <c r="T266" s="173"/>
      <c r="U266" s="173"/>
      <c r="V266" s="173"/>
      <c r="W266" s="173"/>
      <c r="X266" s="174"/>
      <c r="Y266" s="159"/>
      <c r="Z266" s="208" t="str">
        <v xml:space="preserve">  </v>
      </c>
      <c r="AA266" s="172"/>
      <c r="AB266" s="173"/>
      <c r="AC266" s="173"/>
      <c r="AD266" s="173"/>
      <c r="AE266" s="173"/>
      <c r="AF266" s="174"/>
      <c r="AG266" s="178"/>
      <c r="AH266" s="208" t="str">
        <v xml:space="preserve">  </v>
      </c>
      <c r="AI266" s="172"/>
      <c r="AJ266" s="173"/>
      <c r="AK266" s="173"/>
      <c r="AL266" s="173"/>
      <c r="AM266" s="173"/>
      <c r="AN266" s="174"/>
      <c r="AO266" s="178"/>
      <c r="AP266" s="208" t="str">
        <v xml:space="preserve">  </v>
      </c>
      <c r="AQ266" s="172"/>
      <c r="AR266" s="173"/>
      <c r="AS266" s="173"/>
      <c r="AT266" s="173"/>
      <c r="AU266" s="173"/>
      <c r="AV266" s="174"/>
    </row>
    <row r="267" spans="1:48">
      <c r="A267" s="204">
        <v>41</v>
      </c>
      <c r="B267" s="208" t="str">
        <v xml:space="preserve">  </v>
      </c>
      <c r="C267" s="172"/>
      <c r="D267" s="173"/>
      <c r="E267" s="173"/>
      <c r="F267" s="173"/>
      <c r="G267" s="173"/>
      <c r="H267" s="174"/>
      <c r="J267" s="208" t="str">
        <v xml:space="preserve">  </v>
      </c>
      <c r="K267" s="172"/>
      <c r="L267" s="173"/>
      <c r="M267" s="173"/>
      <c r="N267" s="173"/>
      <c r="O267" s="173"/>
      <c r="P267" s="174"/>
      <c r="R267" s="208" t="str">
        <v xml:space="preserve">  </v>
      </c>
      <c r="S267" s="172"/>
      <c r="T267" s="173"/>
      <c r="U267" s="173"/>
      <c r="V267" s="173"/>
      <c r="W267" s="173"/>
      <c r="X267" s="174"/>
      <c r="Y267" s="159"/>
      <c r="Z267" s="208" t="str">
        <v xml:space="preserve">  </v>
      </c>
      <c r="AA267" s="172"/>
      <c r="AB267" s="173"/>
      <c r="AC267" s="173"/>
      <c r="AD267" s="173"/>
      <c r="AE267" s="173"/>
      <c r="AF267" s="174"/>
      <c r="AG267" s="178"/>
      <c r="AH267" s="208" t="str">
        <v xml:space="preserve">  </v>
      </c>
      <c r="AI267" s="172"/>
      <c r="AJ267" s="173"/>
      <c r="AK267" s="173"/>
      <c r="AL267" s="173"/>
      <c r="AM267" s="173"/>
      <c r="AN267" s="174"/>
      <c r="AO267" s="178"/>
      <c r="AP267" s="208" t="str">
        <v xml:space="preserve">  </v>
      </c>
      <c r="AQ267" s="172"/>
      <c r="AR267" s="173"/>
      <c r="AS267" s="173"/>
      <c r="AT267" s="173"/>
      <c r="AU267" s="173"/>
      <c r="AV267" s="174"/>
    </row>
    <row r="268" spans="1:48">
      <c r="A268" s="204">
        <v>42</v>
      </c>
      <c r="B268" s="208" t="str">
        <v xml:space="preserve">  </v>
      </c>
      <c r="C268" s="172"/>
      <c r="D268" s="173"/>
      <c r="E268" s="173"/>
      <c r="F268" s="173"/>
      <c r="G268" s="173"/>
      <c r="H268" s="174"/>
      <c r="J268" s="208" t="str">
        <v xml:space="preserve">  </v>
      </c>
      <c r="K268" s="172"/>
      <c r="L268" s="173"/>
      <c r="M268" s="173"/>
      <c r="N268" s="173"/>
      <c r="O268" s="173"/>
      <c r="P268" s="174"/>
      <c r="R268" s="208" t="str">
        <v xml:space="preserve">  </v>
      </c>
      <c r="S268" s="172"/>
      <c r="T268" s="173"/>
      <c r="U268" s="173"/>
      <c r="V268" s="173"/>
      <c r="W268" s="173"/>
      <c r="X268" s="174"/>
      <c r="Y268" s="159"/>
      <c r="Z268" s="208" t="str">
        <v xml:space="preserve">  </v>
      </c>
      <c r="AA268" s="172"/>
      <c r="AB268" s="173"/>
      <c r="AC268" s="173"/>
      <c r="AD268" s="173"/>
      <c r="AE268" s="173"/>
      <c r="AF268" s="174"/>
      <c r="AG268" s="178"/>
      <c r="AH268" s="208" t="str">
        <v xml:space="preserve">  </v>
      </c>
      <c r="AI268" s="172"/>
      <c r="AJ268" s="173"/>
      <c r="AK268" s="173"/>
      <c r="AL268" s="173"/>
      <c r="AM268" s="173"/>
      <c r="AN268" s="174"/>
      <c r="AO268" s="178"/>
      <c r="AP268" s="208" t="str">
        <v xml:space="preserve">  </v>
      </c>
      <c r="AQ268" s="172"/>
      <c r="AR268" s="173"/>
      <c r="AS268" s="173"/>
      <c r="AT268" s="173"/>
      <c r="AU268" s="173"/>
      <c r="AV268" s="174"/>
    </row>
    <row r="269" spans="1:48">
      <c r="A269" s="204">
        <v>43</v>
      </c>
      <c r="B269" s="208" t="str">
        <v xml:space="preserve">  </v>
      </c>
      <c r="C269" s="172"/>
      <c r="D269" s="173"/>
      <c r="E269" s="173"/>
      <c r="F269" s="173"/>
      <c r="G269" s="173"/>
      <c r="H269" s="174"/>
      <c r="J269" s="208" t="str">
        <v xml:space="preserve">  </v>
      </c>
      <c r="K269" s="172"/>
      <c r="L269" s="173"/>
      <c r="M269" s="173"/>
      <c r="N269" s="173"/>
      <c r="O269" s="173"/>
      <c r="P269" s="174"/>
      <c r="R269" s="208" t="str">
        <v xml:space="preserve">  </v>
      </c>
      <c r="S269" s="172"/>
      <c r="T269" s="173"/>
      <c r="U269" s="173"/>
      <c r="V269" s="173"/>
      <c r="W269" s="173"/>
      <c r="X269" s="174"/>
      <c r="Y269" s="159"/>
      <c r="Z269" s="208" t="str">
        <v xml:space="preserve">  </v>
      </c>
      <c r="AA269" s="172"/>
      <c r="AB269" s="173"/>
      <c r="AC269" s="173"/>
      <c r="AD269" s="173"/>
      <c r="AE269" s="173"/>
      <c r="AF269" s="174"/>
      <c r="AG269" s="178"/>
      <c r="AH269" s="208" t="str">
        <v xml:space="preserve">  </v>
      </c>
      <c r="AI269" s="172"/>
      <c r="AJ269" s="173"/>
      <c r="AK269" s="173"/>
      <c r="AL269" s="173"/>
      <c r="AM269" s="173"/>
      <c r="AN269" s="174"/>
      <c r="AO269" s="178"/>
      <c r="AP269" s="208" t="str">
        <v xml:space="preserve">  </v>
      </c>
      <c r="AQ269" s="172"/>
      <c r="AR269" s="173"/>
      <c r="AS269" s="173"/>
      <c r="AT269" s="173"/>
      <c r="AU269" s="173"/>
      <c r="AV269" s="174"/>
    </row>
    <row r="270" spans="1:48">
      <c r="A270" s="204">
        <v>44</v>
      </c>
      <c r="B270" s="208" t="str">
        <v xml:space="preserve">  </v>
      </c>
      <c r="C270" s="172"/>
      <c r="D270" s="173"/>
      <c r="E270" s="173"/>
      <c r="F270" s="173"/>
      <c r="G270" s="173"/>
      <c r="H270" s="174"/>
      <c r="J270" s="208" t="str">
        <v xml:space="preserve">  </v>
      </c>
      <c r="K270" s="172"/>
      <c r="L270" s="173"/>
      <c r="M270" s="173"/>
      <c r="N270" s="173"/>
      <c r="O270" s="173"/>
      <c r="P270" s="174"/>
      <c r="R270" s="208" t="str">
        <v xml:space="preserve">  </v>
      </c>
      <c r="S270" s="172"/>
      <c r="T270" s="173"/>
      <c r="U270" s="173"/>
      <c r="V270" s="173"/>
      <c r="W270" s="173"/>
      <c r="X270" s="174"/>
      <c r="Y270" s="159"/>
      <c r="Z270" s="208" t="str">
        <v xml:space="preserve">  </v>
      </c>
      <c r="AA270" s="172"/>
      <c r="AB270" s="173"/>
      <c r="AC270" s="173"/>
      <c r="AD270" s="173"/>
      <c r="AE270" s="173"/>
      <c r="AF270" s="174"/>
      <c r="AG270" s="178"/>
      <c r="AH270" s="208" t="str">
        <v xml:space="preserve">  </v>
      </c>
      <c r="AI270" s="172"/>
      <c r="AJ270" s="173"/>
      <c r="AK270" s="173"/>
      <c r="AL270" s="173"/>
      <c r="AM270" s="173"/>
      <c r="AN270" s="174"/>
      <c r="AO270" s="178"/>
      <c r="AP270" s="208" t="str">
        <v xml:space="preserve">  </v>
      </c>
      <c r="AQ270" s="172"/>
      <c r="AR270" s="173"/>
      <c r="AS270" s="173"/>
      <c r="AT270" s="173"/>
      <c r="AU270" s="173"/>
      <c r="AV270" s="174"/>
    </row>
    <row r="271" spans="1:48">
      <c r="A271" s="204">
        <v>45</v>
      </c>
      <c r="B271" s="208" t="str">
        <v xml:space="preserve">  </v>
      </c>
      <c r="C271" s="172"/>
      <c r="D271" s="173"/>
      <c r="E271" s="173"/>
      <c r="F271" s="173"/>
      <c r="G271" s="173"/>
      <c r="H271" s="174"/>
      <c r="J271" s="208" t="str">
        <v xml:space="preserve">  </v>
      </c>
      <c r="K271" s="172"/>
      <c r="L271" s="173"/>
      <c r="M271" s="173"/>
      <c r="N271" s="173"/>
      <c r="O271" s="173"/>
      <c r="P271" s="174"/>
      <c r="R271" s="208" t="str">
        <v xml:space="preserve">  </v>
      </c>
      <c r="S271" s="172"/>
      <c r="T271" s="173"/>
      <c r="U271" s="173"/>
      <c r="V271" s="173"/>
      <c r="W271" s="173"/>
      <c r="X271" s="174"/>
      <c r="Y271" s="159"/>
      <c r="Z271" s="208" t="str">
        <v xml:space="preserve">  </v>
      </c>
      <c r="AA271" s="172"/>
      <c r="AB271" s="173"/>
      <c r="AC271" s="173"/>
      <c r="AD271" s="173"/>
      <c r="AE271" s="173"/>
      <c r="AF271" s="174"/>
      <c r="AG271" s="178"/>
      <c r="AH271" s="208" t="str">
        <v xml:space="preserve">  </v>
      </c>
      <c r="AI271" s="172"/>
      <c r="AJ271" s="173"/>
      <c r="AK271" s="173"/>
      <c r="AL271" s="173"/>
      <c r="AM271" s="173"/>
      <c r="AN271" s="174"/>
      <c r="AO271" s="178"/>
      <c r="AP271" s="208" t="str">
        <v xml:space="preserve">  </v>
      </c>
      <c r="AQ271" s="172"/>
      <c r="AR271" s="173"/>
      <c r="AS271" s="173"/>
      <c r="AT271" s="173"/>
      <c r="AU271" s="173"/>
      <c r="AV271" s="174"/>
    </row>
    <row r="272" spans="1:48">
      <c r="A272" s="204">
        <v>46</v>
      </c>
      <c r="B272" s="208" t="str">
        <v xml:space="preserve">  </v>
      </c>
      <c r="C272" s="172"/>
      <c r="D272" s="173"/>
      <c r="E272" s="173"/>
      <c r="F272" s="173"/>
      <c r="G272" s="173"/>
      <c r="H272" s="174"/>
      <c r="J272" s="208" t="str">
        <v xml:space="preserve">  </v>
      </c>
      <c r="K272" s="172"/>
      <c r="L272" s="173"/>
      <c r="M272" s="173"/>
      <c r="N272" s="173"/>
      <c r="O272" s="173"/>
      <c r="P272" s="174"/>
      <c r="R272" s="208" t="str">
        <v xml:space="preserve">  </v>
      </c>
      <c r="S272" s="172"/>
      <c r="T272" s="173"/>
      <c r="U272" s="173"/>
      <c r="V272" s="173"/>
      <c r="W272" s="173"/>
      <c r="X272" s="174"/>
      <c r="Y272" s="159"/>
      <c r="Z272" s="208" t="str">
        <v xml:space="preserve">  </v>
      </c>
      <c r="AA272" s="172"/>
      <c r="AB272" s="173"/>
      <c r="AC272" s="173"/>
      <c r="AD272" s="173"/>
      <c r="AE272" s="173"/>
      <c r="AF272" s="174"/>
      <c r="AG272" s="178"/>
      <c r="AH272" s="208" t="str">
        <v xml:space="preserve">  </v>
      </c>
      <c r="AI272" s="172"/>
      <c r="AJ272" s="173"/>
      <c r="AK272" s="173"/>
      <c r="AL272" s="173"/>
      <c r="AM272" s="173"/>
      <c r="AN272" s="174"/>
      <c r="AO272" s="178"/>
      <c r="AP272" s="208" t="str">
        <v xml:space="preserve">  </v>
      </c>
      <c r="AQ272" s="172"/>
      <c r="AR272" s="173"/>
      <c r="AS272" s="173"/>
      <c r="AT272" s="173"/>
      <c r="AU272" s="173"/>
      <c r="AV272" s="174"/>
    </row>
    <row r="273" spans="1:48">
      <c r="A273" s="204">
        <v>47</v>
      </c>
      <c r="B273" s="208" t="str">
        <v xml:space="preserve">  </v>
      </c>
      <c r="C273" s="172"/>
      <c r="D273" s="173"/>
      <c r="E273" s="173"/>
      <c r="F273" s="173"/>
      <c r="G273" s="173"/>
      <c r="H273" s="174"/>
      <c r="J273" s="208" t="str">
        <v xml:space="preserve">  </v>
      </c>
      <c r="K273" s="172"/>
      <c r="L273" s="173"/>
      <c r="M273" s="173"/>
      <c r="N273" s="173"/>
      <c r="O273" s="173"/>
      <c r="P273" s="174"/>
      <c r="R273" s="208" t="str">
        <v xml:space="preserve">  </v>
      </c>
      <c r="S273" s="172"/>
      <c r="T273" s="173"/>
      <c r="U273" s="173"/>
      <c r="V273" s="173"/>
      <c r="W273" s="173"/>
      <c r="X273" s="174"/>
      <c r="Y273" s="159"/>
      <c r="Z273" s="208" t="str">
        <v xml:space="preserve">  </v>
      </c>
      <c r="AA273" s="172"/>
      <c r="AB273" s="173"/>
      <c r="AC273" s="173"/>
      <c r="AD273" s="173"/>
      <c r="AE273" s="173"/>
      <c r="AF273" s="174"/>
      <c r="AG273" s="178"/>
      <c r="AH273" s="208" t="str">
        <v xml:space="preserve">  </v>
      </c>
      <c r="AI273" s="172"/>
      <c r="AJ273" s="173"/>
      <c r="AK273" s="173"/>
      <c r="AL273" s="173"/>
      <c r="AM273" s="173"/>
      <c r="AN273" s="174"/>
      <c r="AO273" s="178"/>
      <c r="AP273" s="208" t="str">
        <v xml:space="preserve">  </v>
      </c>
      <c r="AQ273" s="172"/>
      <c r="AR273" s="173"/>
      <c r="AS273" s="173"/>
      <c r="AT273" s="173"/>
      <c r="AU273" s="173"/>
      <c r="AV273" s="174"/>
    </row>
    <row r="274" spans="1:48">
      <c r="A274" s="204">
        <v>48</v>
      </c>
      <c r="B274" s="208" t="str">
        <v xml:space="preserve">  </v>
      </c>
      <c r="C274" s="172"/>
      <c r="D274" s="173"/>
      <c r="E274" s="173"/>
      <c r="F274" s="173"/>
      <c r="G274" s="173"/>
      <c r="H274" s="174"/>
      <c r="J274" s="208" t="str">
        <v xml:space="preserve">  </v>
      </c>
      <c r="K274" s="172"/>
      <c r="L274" s="173"/>
      <c r="M274" s="173"/>
      <c r="N274" s="173"/>
      <c r="O274" s="173"/>
      <c r="P274" s="174"/>
      <c r="R274" s="208" t="str">
        <v xml:space="preserve">  </v>
      </c>
      <c r="S274" s="172"/>
      <c r="T274" s="173"/>
      <c r="U274" s="173"/>
      <c r="V274" s="173"/>
      <c r="W274" s="173"/>
      <c r="X274" s="174"/>
      <c r="Y274" s="159"/>
      <c r="Z274" s="208" t="str">
        <v xml:space="preserve">  </v>
      </c>
      <c r="AA274" s="172"/>
      <c r="AB274" s="173"/>
      <c r="AC274" s="173"/>
      <c r="AD274" s="173"/>
      <c r="AE274" s="173"/>
      <c r="AF274" s="174"/>
      <c r="AG274" s="178"/>
      <c r="AH274" s="208" t="str">
        <v xml:space="preserve">  </v>
      </c>
      <c r="AI274" s="172"/>
      <c r="AJ274" s="173"/>
      <c r="AK274" s="173"/>
      <c r="AL274" s="173"/>
      <c r="AM274" s="173"/>
      <c r="AN274" s="174"/>
      <c r="AO274" s="178"/>
      <c r="AP274" s="208" t="str">
        <v xml:space="preserve">  </v>
      </c>
      <c r="AQ274" s="172"/>
      <c r="AR274" s="173"/>
      <c r="AS274" s="173"/>
      <c r="AT274" s="173"/>
      <c r="AU274" s="173"/>
      <c r="AV274" s="174"/>
    </row>
    <row r="275" spans="1:48">
      <c r="A275" s="204">
        <v>49</v>
      </c>
      <c r="B275" s="208" t="str">
        <v xml:space="preserve">  </v>
      </c>
      <c r="C275" s="172"/>
      <c r="D275" s="173"/>
      <c r="E275" s="173"/>
      <c r="F275" s="173"/>
      <c r="G275" s="173"/>
      <c r="H275" s="174"/>
      <c r="J275" s="208" t="str">
        <v xml:space="preserve">  </v>
      </c>
      <c r="K275" s="172"/>
      <c r="L275" s="173"/>
      <c r="M275" s="173"/>
      <c r="N275" s="173"/>
      <c r="O275" s="173"/>
      <c r="P275" s="174"/>
      <c r="R275" s="208" t="str">
        <v xml:space="preserve">  </v>
      </c>
      <c r="S275" s="172"/>
      <c r="T275" s="173"/>
      <c r="U275" s="173"/>
      <c r="V275" s="173"/>
      <c r="W275" s="173"/>
      <c r="X275" s="174"/>
      <c r="Y275" s="159"/>
      <c r="Z275" s="208" t="str">
        <v xml:space="preserve">  </v>
      </c>
      <c r="AA275" s="172"/>
      <c r="AB275" s="173"/>
      <c r="AC275" s="173"/>
      <c r="AD275" s="173"/>
      <c r="AE275" s="173"/>
      <c r="AF275" s="174"/>
      <c r="AG275" s="178"/>
      <c r="AH275" s="208" t="str">
        <v xml:space="preserve">  </v>
      </c>
      <c r="AI275" s="172"/>
      <c r="AJ275" s="173"/>
      <c r="AK275" s="173"/>
      <c r="AL275" s="173"/>
      <c r="AM275" s="173"/>
      <c r="AN275" s="174"/>
      <c r="AO275" s="178"/>
      <c r="AP275" s="208" t="str">
        <v xml:space="preserve">  </v>
      </c>
      <c r="AQ275" s="172"/>
      <c r="AR275" s="173"/>
      <c r="AS275" s="173"/>
      <c r="AT275" s="173"/>
      <c r="AU275" s="173"/>
      <c r="AV275" s="174"/>
    </row>
    <row r="276" spans="1:48">
      <c r="A276" s="204">
        <v>50</v>
      </c>
      <c r="B276" s="208" t="str">
        <v xml:space="preserve">  </v>
      </c>
      <c r="C276" s="172"/>
      <c r="D276" s="173"/>
      <c r="E276" s="173"/>
      <c r="F276" s="173"/>
      <c r="G276" s="173"/>
      <c r="H276" s="174"/>
      <c r="J276" s="208" t="str">
        <v xml:space="preserve">  </v>
      </c>
      <c r="K276" s="172"/>
      <c r="L276" s="173"/>
      <c r="M276" s="173"/>
      <c r="N276" s="173"/>
      <c r="O276" s="173"/>
      <c r="P276" s="174"/>
      <c r="R276" s="208" t="str">
        <v xml:space="preserve">  </v>
      </c>
      <c r="S276" s="172"/>
      <c r="T276" s="173"/>
      <c r="U276" s="173"/>
      <c r="V276" s="173"/>
      <c r="W276" s="173"/>
      <c r="X276" s="174"/>
      <c r="Y276" s="159"/>
      <c r="Z276" s="208" t="str">
        <v xml:space="preserve">  </v>
      </c>
      <c r="AA276" s="172"/>
      <c r="AB276" s="173"/>
      <c r="AC276" s="173"/>
      <c r="AD276" s="173"/>
      <c r="AE276" s="173"/>
      <c r="AF276" s="174"/>
      <c r="AG276" s="178"/>
      <c r="AH276" s="208" t="str">
        <v xml:space="preserve">  </v>
      </c>
      <c r="AI276" s="172"/>
      <c r="AJ276" s="173"/>
      <c r="AK276" s="173"/>
      <c r="AL276" s="173"/>
      <c r="AM276" s="173"/>
      <c r="AN276" s="174"/>
      <c r="AO276" s="178"/>
      <c r="AP276" s="208" t="str">
        <v xml:space="preserve">  </v>
      </c>
      <c r="AQ276" s="172"/>
      <c r="AR276" s="173"/>
      <c r="AS276" s="173"/>
      <c r="AT276" s="173"/>
      <c r="AU276" s="173"/>
      <c r="AV276" s="174"/>
    </row>
    <row r="277" spans="1:48">
      <c r="A277" s="204">
        <v>51</v>
      </c>
      <c r="B277" s="208" t="str">
        <v xml:space="preserve">  </v>
      </c>
      <c r="C277" s="172"/>
      <c r="D277" s="173"/>
      <c r="E277" s="173"/>
      <c r="F277" s="173"/>
      <c r="G277" s="173"/>
      <c r="H277" s="174"/>
      <c r="J277" s="208" t="str">
        <v xml:space="preserve">  </v>
      </c>
      <c r="K277" s="172"/>
      <c r="L277" s="173"/>
      <c r="M277" s="173"/>
      <c r="N277" s="173"/>
      <c r="O277" s="173"/>
      <c r="P277" s="174"/>
      <c r="R277" s="208" t="str">
        <v xml:space="preserve">  </v>
      </c>
      <c r="S277" s="172"/>
      <c r="T277" s="173"/>
      <c r="U277" s="173"/>
      <c r="V277" s="173"/>
      <c r="W277" s="173"/>
      <c r="X277" s="174"/>
      <c r="Y277" s="159"/>
      <c r="Z277" s="208" t="str">
        <v xml:space="preserve">  </v>
      </c>
      <c r="AA277" s="172"/>
      <c r="AB277" s="173"/>
      <c r="AC277" s="173"/>
      <c r="AD277" s="173"/>
      <c r="AE277" s="173"/>
      <c r="AF277" s="174"/>
      <c r="AG277" s="178"/>
      <c r="AH277" s="208" t="str">
        <v xml:space="preserve">  </v>
      </c>
      <c r="AI277" s="172"/>
      <c r="AJ277" s="173"/>
      <c r="AK277" s="173"/>
      <c r="AL277" s="173"/>
      <c r="AM277" s="173"/>
      <c r="AN277" s="174"/>
      <c r="AO277" s="178"/>
      <c r="AP277" s="208" t="str">
        <v xml:space="preserve">  </v>
      </c>
      <c r="AQ277" s="172"/>
      <c r="AR277" s="173"/>
      <c r="AS277" s="173"/>
      <c r="AT277" s="173"/>
      <c r="AU277" s="173"/>
      <c r="AV277" s="174"/>
    </row>
    <row r="278" spans="1:48">
      <c r="A278" s="204">
        <v>52</v>
      </c>
      <c r="B278" s="208" t="str">
        <v xml:space="preserve">  </v>
      </c>
      <c r="C278" s="172"/>
      <c r="D278" s="173"/>
      <c r="E278" s="173"/>
      <c r="F278" s="173"/>
      <c r="G278" s="173"/>
      <c r="H278" s="174"/>
      <c r="J278" s="208" t="str">
        <v xml:space="preserve">  </v>
      </c>
      <c r="K278" s="172"/>
      <c r="L278" s="173"/>
      <c r="M278" s="173"/>
      <c r="N278" s="173"/>
      <c r="O278" s="173"/>
      <c r="P278" s="174"/>
      <c r="R278" s="208" t="str">
        <v xml:space="preserve">  </v>
      </c>
      <c r="S278" s="172"/>
      <c r="T278" s="173"/>
      <c r="U278" s="173"/>
      <c r="V278" s="173"/>
      <c r="W278" s="173"/>
      <c r="X278" s="174"/>
      <c r="Y278" s="159"/>
      <c r="Z278" s="208" t="str">
        <v xml:space="preserve">  </v>
      </c>
      <c r="AA278" s="172"/>
      <c r="AB278" s="173"/>
      <c r="AC278" s="173"/>
      <c r="AD278" s="173"/>
      <c r="AE278" s="173"/>
      <c r="AF278" s="174"/>
      <c r="AG278" s="178"/>
      <c r="AH278" s="208" t="str">
        <v xml:space="preserve">  </v>
      </c>
      <c r="AI278" s="172"/>
      <c r="AJ278" s="173"/>
      <c r="AK278" s="173"/>
      <c r="AL278" s="173"/>
      <c r="AM278" s="173"/>
      <c r="AN278" s="174"/>
      <c r="AO278" s="178"/>
      <c r="AP278" s="208" t="str">
        <v xml:space="preserve">  </v>
      </c>
      <c r="AQ278" s="172"/>
      <c r="AR278" s="173"/>
      <c r="AS278" s="173"/>
      <c r="AT278" s="173"/>
      <c r="AU278" s="173"/>
      <c r="AV278" s="174"/>
    </row>
    <row r="279" spans="1:48">
      <c r="A279" s="204">
        <v>53</v>
      </c>
      <c r="B279" s="208" t="str">
        <v xml:space="preserve">  </v>
      </c>
      <c r="C279" s="172"/>
      <c r="D279" s="173"/>
      <c r="E279" s="173"/>
      <c r="F279" s="173"/>
      <c r="G279" s="173"/>
      <c r="H279" s="174"/>
      <c r="J279" s="208" t="str">
        <v xml:space="preserve">  </v>
      </c>
      <c r="K279" s="172"/>
      <c r="L279" s="173"/>
      <c r="M279" s="173"/>
      <c r="N279" s="173"/>
      <c r="O279" s="173"/>
      <c r="P279" s="174"/>
      <c r="R279" s="208" t="str">
        <v xml:space="preserve">  </v>
      </c>
      <c r="S279" s="172"/>
      <c r="T279" s="173"/>
      <c r="U279" s="173"/>
      <c r="V279" s="173"/>
      <c r="W279" s="173"/>
      <c r="X279" s="174"/>
      <c r="Y279" s="159"/>
      <c r="Z279" s="208" t="str">
        <v xml:space="preserve">  </v>
      </c>
      <c r="AA279" s="172"/>
      <c r="AB279" s="173"/>
      <c r="AC279" s="173"/>
      <c r="AD279" s="173"/>
      <c r="AE279" s="173"/>
      <c r="AF279" s="174"/>
      <c r="AG279" s="178"/>
      <c r="AH279" s="208" t="str">
        <v xml:space="preserve">  </v>
      </c>
      <c r="AI279" s="172"/>
      <c r="AJ279" s="173"/>
      <c r="AK279" s="173"/>
      <c r="AL279" s="173"/>
      <c r="AM279" s="173"/>
      <c r="AN279" s="174"/>
      <c r="AO279" s="178"/>
      <c r="AP279" s="208" t="str">
        <v xml:space="preserve">  </v>
      </c>
      <c r="AQ279" s="172"/>
      <c r="AR279" s="173"/>
      <c r="AS279" s="173"/>
      <c r="AT279" s="173"/>
      <c r="AU279" s="173"/>
      <c r="AV279" s="174"/>
    </row>
    <row r="280" spans="1:48">
      <c r="A280" s="204">
        <v>54</v>
      </c>
      <c r="B280" s="208" t="str">
        <v xml:space="preserve">  </v>
      </c>
      <c r="C280" s="172"/>
      <c r="D280" s="173"/>
      <c r="E280" s="173"/>
      <c r="F280" s="173"/>
      <c r="G280" s="173"/>
      <c r="H280" s="174"/>
      <c r="J280" s="208" t="str">
        <v xml:space="preserve">  </v>
      </c>
      <c r="K280" s="172"/>
      <c r="L280" s="173"/>
      <c r="M280" s="173"/>
      <c r="N280" s="173"/>
      <c r="O280" s="173"/>
      <c r="P280" s="174"/>
      <c r="R280" s="208" t="str">
        <v xml:space="preserve">  </v>
      </c>
      <c r="S280" s="172"/>
      <c r="T280" s="173"/>
      <c r="U280" s="173"/>
      <c r="V280" s="173"/>
      <c r="W280" s="173"/>
      <c r="X280" s="174"/>
      <c r="Y280" s="159"/>
      <c r="Z280" s="208" t="str">
        <v xml:space="preserve">  </v>
      </c>
      <c r="AA280" s="172"/>
      <c r="AB280" s="173"/>
      <c r="AC280" s="173"/>
      <c r="AD280" s="173"/>
      <c r="AE280" s="173"/>
      <c r="AF280" s="174"/>
      <c r="AG280" s="178"/>
      <c r="AH280" s="208" t="str">
        <v xml:space="preserve">  </v>
      </c>
      <c r="AI280" s="172"/>
      <c r="AJ280" s="173"/>
      <c r="AK280" s="173"/>
      <c r="AL280" s="173"/>
      <c r="AM280" s="173"/>
      <c r="AN280" s="174"/>
      <c r="AO280" s="178"/>
      <c r="AP280" s="208" t="str">
        <v xml:space="preserve">  </v>
      </c>
      <c r="AQ280" s="172"/>
      <c r="AR280" s="173"/>
      <c r="AS280" s="173"/>
      <c r="AT280" s="173"/>
      <c r="AU280" s="173"/>
      <c r="AV280" s="174"/>
    </row>
    <row r="281" spans="1:48">
      <c r="A281" s="204">
        <v>55</v>
      </c>
      <c r="B281" s="208" t="str">
        <v xml:space="preserve">  </v>
      </c>
      <c r="C281" s="172"/>
      <c r="D281" s="173"/>
      <c r="E281" s="173"/>
      <c r="F281" s="173"/>
      <c r="G281" s="173"/>
      <c r="H281" s="174"/>
      <c r="J281" s="208" t="str">
        <v xml:space="preserve">  </v>
      </c>
      <c r="K281" s="172"/>
      <c r="L281" s="173"/>
      <c r="M281" s="173"/>
      <c r="N281" s="173"/>
      <c r="O281" s="173"/>
      <c r="P281" s="174"/>
      <c r="R281" s="208" t="str">
        <v xml:space="preserve">  </v>
      </c>
      <c r="S281" s="172"/>
      <c r="T281" s="173"/>
      <c r="U281" s="173"/>
      <c r="V281" s="173"/>
      <c r="W281" s="173"/>
      <c r="X281" s="174"/>
      <c r="Y281" s="159"/>
      <c r="Z281" s="208" t="str">
        <v xml:space="preserve">  </v>
      </c>
      <c r="AA281" s="172"/>
      <c r="AB281" s="173"/>
      <c r="AC281" s="173"/>
      <c r="AD281" s="173"/>
      <c r="AE281" s="173"/>
      <c r="AF281" s="174"/>
      <c r="AG281" s="178"/>
      <c r="AH281" s="208" t="str">
        <v xml:space="preserve">  </v>
      </c>
      <c r="AI281" s="172"/>
      <c r="AJ281" s="173"/>
      <c r="AK281" s="173"/>
      <c r="AL281" s="173"/>
      <c r="AM281" s="173"/>
      <c r="AN281" s="174"/>
      <c r="AO281" s="178"/>
      <c r="AP281" s="208" t="str">
        <v xml:space="preserve">  </v>
      </c>
      <c r="AQ281" s="172"/>
      <c r="AR281" s="173"/>
      <c r="AS281" s="173"/>
      <c r="AT281" s="173"/>
      <c r="AU281" s="173"/>
      <c r="AV281" s="174"/>
    </row>
    <row r="282" spans="1:48">
      <c r="A282" s="204">
        <v>56</v>
      </c>
      <c r="B282" s="208" t="str">
        <v xml:space="preserve">  </v>
      </c>
      <c r="C282" s="172"/>
      <c r="D282" s="173"/>
      <c r="E282" s="173"/>
      <c r="F282" s="173"/>
      <c r="G282" s="173"/>
      <c r="H282" s="174"/>
      <c r="J282" s="208" t="str">
        <v xml:space="preserve">  </v>
      </c>
      <c r="K282" s="172"/>
      <c r="L282" s="173"/>
      <c r="M282" s="173"/>
      <c r="N282" s="173"/>
      <c r="O282" s="173"/>
      <c r="P282" s="174"/>
      <c r="R282" s="208" t="str">
        <v xml:space="preserve">  </v>
      </c>
      <c r="S282" s="172"/>
      <c r="T282" s="173"/>
      <c r="U282" s="173"/>
      <c r="V282" s="173"/>
      <c r="W282" s="173"/>
      <c r="X282" s="174"/>
      <c r="Y282" s="159"/>
      <c r="Z282" s="208" t="str">
        <v xml:space="preserve">  </v>
      </c>
      <c r="AA282" s="172"/>
      <c r="AB282" s="173"/>
      <c r="AC282" s="173"/>
      <c r="AD282" s="173"/>
      <c r="AE282" s="173"/>
      <c r="AF282" s="174"/>
      <c r="AG282" s="178"/>
      <c r="AH282" s="208" t="str">
        <v xml:space="preserve">  </v>
      </c>
      <c r="AI282" s="172"/>
      <c r="AJ282" s="173"/>
      <c r="AK282" s="173"/>
      <c r="AL282" s="173"/>
      <c r="AM282" s="173"/>
      <c r="AN282" s="174"/>
      <c r="AO282" s="178"/>
      <c r="AP282" s="208" t="str">
        <v xml:space="preserve">  </v>
      </c>
      <c r="AQ282" s="172"/>
      <c r="AR282" s="173"/>
      <c r="AS282" s="173"/>
      <c r="AT282" s="173"/>
      <c r="AU282" s="173"/>
      <c r="AV282" s="174"/>
    </row>
    <row r="283" spans="1:48">
      <c r="A283" s="204">
        <v>57</v>
      </c>
      <c r="B283" s="208" t="str">
        <v xml:space="preserve">  </v>
      </c>
      <c r="C283" s="172"/>
      <c r="D283" s="173"/>
      <c r="E283" s="173"/>
      <c r="F283" s="173"/>
      <c r="G283" s="173"/>
      <c r="H283" s="174"/>
      <c r="J283" s="208" t="str">
        <v xml:space="preserve">  </v>
      </c>
      <c r="K283" s="172"/>
      <c r="L283" s="173"/>
      <c r="M283" s="173"/>
      <c r="N283" s="173"/>
      <c r="O283" s="173"/>
      <c r="P283" s="174"/>
      <c r="R283" s="208" t="str">
        <v xml:space="preserve">  </v>
      </c>
      <c r="S283" s="172"/>
      <c r="T283" s="173"/>
      <c r="U283" s="173"/>
      <c r="V283" s="173"/>
      <c r="W283" s="173"/>
      <c r="X283" s="174"/>
      <c r="Y283" s="159"/>
      <c r="Z283" s="208" t="str">
        <v xml:space="preserve">  </v>
      </c>
      <c r="AA283" s="172"/>
      <c r="AB283" s="173"/>
      <c r="AC283" s="173"/>
      <c r="AD283" s="173"/>
      <c r="AE283" s="173"/>
      <c r="AF283" s="174"/>
      <c r="AG283" s="178"/>
      <c r="AH283" s="208" t="str">
        <v xml:space="preserve">  </v>
      </c>
      <c r="AI283" s="172"/>
      <c r="AJ283" s="173"/>
      <c r="AK283" s="173"/>
      <c r="AL283" s="173"/>
      <c r="AM283" s="173"/>
      <c r="AN283" s="174"/>
      <c r="AO283" s="178"/>
      <c r="AP283" s="208" t="str">
        <v xml:space="preserve">  </v>
      </c>
      <c r="AQ283" s="172"/>
      <c r="AR283" s="173"/>
      <c r="AS283" s="173"/>
      <c r="AT283" s="173"/>
      <c r="AU283" s="173"/>
      <c r="AV283" s="174"/>
    </row>
    <row r="284" spans="1:48">
      <c r="A284" s="204">
        <v>58</v>
      </c>
      <c r="B284" s="208" t="str">
        <v xml:space="preserve">  </v>
      </c>
      <c r="C284" s="172"/>
      <c r="D284" s="173"/>
      <c r="E284" s="173"/>
      <c r="F284" s="173"/>
      <c r="G284" s="173"/>
      <c r="H284" s="174"/>
      <c r="J284" s="208" t="str">
        <v xml:space="preserve">  </v>
      </c>
      <c r="K284" s="172"/>
      <c r="L284" s="173"/>
      <c r="M284" s="173"/>
      <c r="N284" s="173"/>
      <c r="O284" s="173"/>
      <c r="P284" s="174"/>
      <c r="R284" s="208" t="str">
        <v xml:space="preserve">  </v>
      </c>
      <c r="S284" s="172"/>
      <c r="T284" s="173"/>
      <c r="U284" s="173"/>
      <c r="V284" s="173"/>
      <c r="W284" s="173"/>
      <c r="X284" s="174"/>
      <c r="Y284" s="159"/>
      <c r="Z284" s="208" t="str">
        <v xml:space="preserve">  </v>
      </c>
      <c r="AA284" s="172"/>
      <c r="AB284" s="173"/>
      <c r="AC284" s="173"/>
      <c r="AD284" s="173"/>
      <c r="AE284" s="173"/>
      <c r="AF284" s="174"/>
      <c r="AG284" s="178"/>
      <c r="AH284" s="208" t="str">
        <v xml:space="preserve">  </v>
      </c>
      <c r="AI284" s="172"/>
      <c r="AJ284" s="173"/>
      <c r="AK284" s="173"/>
      <c r="AL284" s="173"/>
      <c r="AM284" s="173"/>
      <c r="AN284" s="174"/>
      <c r="AO284" s="178"/>
      <c r="AP284" s="208" t="str">
        <v xml:space="preserve">  </v>
      </c>
      <c r="AQ284" s="172"/>
      <c r="AR284" s="173"/>
      <c r="AS284" s="173"/>
      <c r="AT284" s="173"/>
      <c r="AU284" s="173"/>
      <c r="AV284" s="174"/>
    </row>
    <row r="285" spans="1:48">
      <c r="A285" s="204">
        <v>59</v>
      </c>
      <c r="B285" s="208" t="str">
        <v xml:space="preserve">  </v>
      </c>
      <c r="C285" s="172"/>
      <c r="D285" s="173"/>
      <c r="E285" s="173"/>
      <c r="F285" s="173"/>
      <c r="G285" s="173"/>
      <c r="H285" s="174"/>
      <c r="J285" s="208" t="str">
        <v xml:space="preserve">  </v>
      </c>
      <c r="K285" s="172"/>
      <c r="L285" s="173"/>
      <c r="M285" s="173"/>
      <c r="N285" s="173"/>
      <c r="O285" s="173"/>
      <c r="P285" s="174"/>
      <c r="R285" s="208" t="str">
        <v xml:space="preserve">  </v>
      </c>
      <c r="S285" s="172"/>
      <c r="T285" s="173"/>
      <c r="U285" s="173"/>
      <c r="V285" s="173"/>
      <c r="W285" s="173"/>
      <c r="X285" s="174"/>
      <c r="Y285" s="159"/>
      <c r="Z285" s="208" t="str">
        <v xml:space="preserve">  </v>
      </c>
      <c r="AA285" s="172"/>
      <c r="AB285" s="173"/>
      <c r="AC285" s="173"/>
      <c r="AD285" s="173"/>
      <c r="AE285" s="173"/>
      <c r="AF285" s="174"/>
      <c r="AG285" s="178"/>
      <c r="AH285" s="208" t="str">
        <v xml:space="preserve">  </v>
      </c>
      <c r="AI285" s="172"/>
      <c r="AJ285" s="173"/>
      <c r="AK285" s="173"/>
      <c r="AL285" s="173"/>
      <c r="AM285" s="173"/>
      <c r="AN285" s="174"/>
      <c r="AO285" s="178"/>
      <c r="AP285" s="208" t="str">
        <v xml:space="preserve">  </v>
      </c>
      <c r="AQ285" s="172"/>
      <c r="AR285" s="173"/>
      <c r="AS285" s="173"/>
      <c r="AT285" s="173"/>
      <c r="AU285" s="173"/>
      <c r="AV285" s="174"/>
    </row>
    <row r="286" spans="1:48">
      <c r="A286" s="204">
        <v>60</v>
      </c>
      <c r="B286" s="208" t="str">
        <v xml:space="preserve">  </v>
      </c>
      <c r="C286" s="172"/>
      <c r="D286" s="173"/>
      <c r="E286" s="173"/>
      <c r="F286" s="173"/>
      <c r="G286" s="173"/>
      <c r="H286" s="174"/>
      <c r="J286" s="208" t="str">
        <v xml:space="preserve">  </v>
      </c>
      <c r="K286" s="172"/>
      <c r="L286" s="173"/>
      <c r="M286" s="173"/>
      <c r="N286" s="173"/>
      <c r="O286" s="173"/>
      <c r="P286" s="174"/>
      <c r="R286" s="208" t="str">
        <v xml:space="preserve">  </v>
      </c>
      <c r="S286" s="172"/>
      <c r="T286" s="173"/>
      <c r="U286" s="173"/>
      <c r="V286" s="173"/>
      <c r="W286" s="173"/>
      <c r="X286" s="174"/>
      <c r="Y286" s="159"/>
      <c r="Z286" s="208" t="str">
        <v xml:space="preserve">  </v>
      </c>
      <c r="AA286" s="172"/>
      <c r="AB286" s="173"/>
      <c r="AC286" s="173"/>
      <c r="AD286" s="173"/>
      <c r="AE286" s="173"/>
      <c r="AF286" s="174"/>
      <c r="AG286" s="178"/>
      <c r="AH286" s="208" t="str">
        <v xml:space="preserve">  </v>
      </c>
      <c r="AI286" s="172"/>
      <c r="AJ286" s="173"/>
      <c r="AK286" s="173"/>
      <c r="AL286" s="173"/>
      <c r="AM286" s="173"/>
      <c r="AN286" s="174"/>
      <c r="AO286" s="178"/>
      <c r="AP286" s="208" t="str">
        <v xml:space="preserve">  </v>
      </c>
      <c r="AQ286" s="172"/>
      <c r="AR286" s="173"/>
      <c r="AS286" s="173"/>
      <c r="AT286" s="173"/>
      <c r="AU286" s="173"/>
      <c r="AV286" s="174"/>
    </row>
    <row r="287" spans="1:48">
      <c r="A287" s="204">
        <v>61</v>
      </c>
      <c r="B287" s="208" t="str">
        <v xml:space="preserve">  </v>
      </c>
      <c r="C287" s="172"/>
      <c r="D287" s="173"/>
      <c r="E287" s="173"/>
      <c r="F287" s="173"/>
      <c r="G287" s="173"/>
      <c r="H287" s="174"/>
      <c r="J287" s="208" t="str">
        <v xml:space="preserve">  </v>
      </c>
      <c r="K287" s="172"/>
      <c r="L287" s="173"/>
      <c r="M287" s="173"/>
      <c r="N287" s="173"/>
      <c r="O287" s="173"/>
      <c r="P287" s="174"/>
      <c r="R287" s="208" t="str">
        <v xml:space="preserve">  </v>
      </c>
      <c r="S287" s="172"/>
      <c r="T287" s="173"/>
      <c r="U287" s="173"/>
      <c r="V287" s="173"/>
      <c r="W287" s="173"/>
      <c r="X287" s="174"/>
      <c r="Y287" s="159"/>
      <c r="Z287" s="208" t="str">
        <v xml:space="preserve">  </v>
      </c>
      <c r="AA287" s="172"/>
      <c r="AB287" s="173"/>
      <c r="AC287" s="173"/>
      <c r="AD287" s="173"/>
      <c r="AE287" s="173"/>
      <c r="AF287" s="174"/>
      <c r="AG287" s="178"/>
      <c r="AH287" s="208" t="str">
        <v xml:space="preserve">  </v>
      </c>
      <c r="AI287" s="172"/>
      <c r="AJ287" s="173"/>
      <c r="AK287" s="173"/>
      <c r="AL287" s="173"/>
      <c r="AM287" s="173"/>
      <c r="AN287" s="174"/>
      <c r="AO287" s="178"/>
      <c r="AP287" s="208" t="str">
        <v xml:space="preserve">  </v>
      </c>
      <c r="AQ287" s="172"/>
      <c r="AR287" s="173"/>
      <c r="AS287" s="173"/>
      <c r="AT287" s="173"/>
      <c r="AU287" s="173"/>
      <c r="AV287" s="174"/>
    </row>
    <row r="288" spans="1:48">
      <c r="A288" s="204">
        <v>62</v>
      </c>
      <c r="B288" s="208" t="str">
        <v xml:space="preserve">  </v>
      </c>
      <c r="C288" s="172"/>
      <c r="D288" s="173"/>
      <c r="E288" s="173"/>
      <c r="F288" s="173"/>
      <c r="G288" s="173"/>
      <c r="H288" s="174"/>
      <c r="J288" s="208" t="str">
        <v xml:space="preserve">  </v>
      </c>
      <c r="K288" s="172"/>
      <c r="L288" s="173"/>
      <c r="M288" s="173"/>
      <c r="N288" s="173"/>
      <c r="O288" s="173"/>
      <c r="P288" s="174"/>
      <c r="R288" s="208" t="str">
        <v xml:space="preserve">  </v>
      </c>
      <c r="S288" s="172"/>
      <c r="T288" s="173"/>
      <c r="U288" s="173"/>
      <c r="V288" s="173"/>
      <c r="W288" s="173"/>
      <c r="X288" s="174"/>
      <c r="Y288" s="159"/>
      <c r="Z288" s="208" t="str">
        <v xml:space="preserve">  </v>
      </c>
      <c r="AA288" s="172"/>
      <c r="AB288" s="173"/>
      <c r="AC288" s="173"/>
      <c r="AD288" s="173"/>
      <c r="AE288" s="173"/>
      <c r="AF288" s="174"/>
      <c r="AG288" s="178"/>
      <c r="AH288" s="208" t="str">
        <v xml:space="preserve">  </v>
      </c>
      <c r="AI288" s="172"/>
      <c r="AJ288" s="173"/>
      <c r="AK288" s="173"/>
      <c r="AL288" s="173"/>
      <c r="AM288" s="173"/>
      <c r="AN288" s="174"/>
      <c r="AO288" s="178"/>
      <c r="AP288" s="208" t="str">
        <v xml:space="preserve">  </v>
      </c>
      <c r="AQ288" s="172"/>
      <c r="AR288" s="173"/>
      <c r="AS288" s="173"/>
      <c r="AT288" s="173"/>
      <c r="AU288" s="173"/>
      <c r="AV288" s="174"/>
    </row>
    <row r="289" spans="1:48">
      <c r="A289" s="204">
        <v>63</v>
      </c>
      <c r="B289" s="208" t="str">
        <v xml:space="preserve">  </v>
      </c>
      <c r="C289" s="172"/>
      <c r="D289" s="173"/>
      <c r="E289" s="173"/>
      <c r="F289" s="173"/>
      <c r="G289" s="173"/>
      <c r="H289" s="174"/>
      <c r="J289" s="208" t="str">
        <v xml:space="preserve">  </v>
      </c>
      <c r="K289" s="172"/>
      <c r="L289" s="173"/>
      <c r="M289" s="173"/>
      <c r="N289" s="173"/>
      <c r="O289" s="173"/>
      <c r="P289" s="174"/>
      <c r="R289" s="208" t="str">
        <v xml:space="preserve">  </v>
      </c>
      <c r="S289" s="172"/>
      <c r="T289" s="173"/>
      <c r="U289" s="173"/>
      <c r="V289" s="173"/>
      <c r="W289" s="173"/>
      <c r="X289" s="174"/>
      <c r="Y289" s="159"/>
      <c r="Z289" s="208" t="str">
        <v xml:space="preserve">  </v>
      </c>
      <c r="AA289" s="172"/>
      <c r="AB289" s="173"/>
      <c r="AC289" s="173"/>
      <c r="AD289" s="173"/>
      <c r="AE289" s="173"/>
      <c r="AF289" s="174"/>
      <c r="AG289" s="178"/>
      <c r="AH289" s="208" t="str">
        <v xml:space="preserve">  </v>
      </c>
      <c r="AI289" s="172"/>
      <c r="AJ289" s="173"/>
      <c r="AK289" s="173"/>
      <c r="AL289" s="173"/>
      <c r="AM289" s="173"/>
      <c r="AN289" s="174"/>
      <c r="AO289" s="178"/>
      <c r="AP289" s="208" t="str">
        <v xml:space="preserve">  </v>
      </c>
      <c r="AQ289" s="172"/>
      <c r="AR289" s="173"/>
      <c r="AS289" s="173"/>
      <c r="AT289" s="173"/>
      <c r="AU289" s="173"/>
      <c r="AV289" s="174"/>
    </row>
    <row r="290" spans="1:48">
      <c r="A290" s="204">
        <v>64</v>
      </c>
      <c r="B290" s="208" t="str">
        <v xml:space="preserve">  </v>
      </c>
      <c r="C290" s="172"/>
      <c r="D290" s="173"/>
      <c r="E290" s="173"/>
      <c r="F290" s="173"/>
      <c r="G290" s="173"/>
      <c r="H290" s="174"/>
      <c r="J290" s="208" t="str">
        <v xml:space="preserve">  </v>
      </c>
      <c r="K290" s="172"/>
      <c r="L290" s="173"/>
      <c r="M290" s="173"/>
      <c r="N290" s="173"/>
      <c r="O290" s="173"/>
      <c r="P290" s="174"/>
      <c r="R290" s="208" t="str">
        <v xml:space="preserve">  </v>
      </c>
      <c r="S290" s="172"/>
      <c r="T290" s="173"/>
      <c r="U290" s="173"/>
      <c r="V290" s="173"/>
      <c r="W290" s="173"/>
      <c r="X290" s="174"/>
      <c r="Y290" s="159"/>
      <c r="Z290" s="208" t="str">
        <v xml:space="preserve">  </v>
      </c>
      <c r="AA290" s="172"/>
      <c r="AB290" s="173"/>
      <c r="AC290" s="173"/>
      <c r="AD290" s="173"/>
      <c r="AE290" s="173"/>
      <c r="AF290" s="174"/>
      <c r="AG290" s="178"/>
      <c r="AH290" s="208" t="str">
        <v xml:space="preserve">  </v>
      </c>
      <c r="AI290" s="172"/>
      <c r="AJ290" s="173"/>
      <c r="AK290" s="173"/>
      <c r="AL290" s="173"/>
      <c r="AM290" s="173"/>
      <c r="AN290" s="174"/>
      <c r="AO290" s="178"/>
      <c r="AP290" s="208" t="str">
        <v xml:space="preserve">  </v>
      </c>
      <c r="AQ290" s="172"/>
      <c r="AR290" s="173"/>
      <c r="AS290" s="173"/>
      <c r="AT290" s="173"/>
      <c r="AU290" s="173"/>
      <c r="AV290" s="174"/>
    </row>
    <row r="291" spans="1:48">
      <c r="A291" s="204">
        <v>65</v>
      </c>
      <c r="B291" s="208" t="str">
        <v xml:space="preserve">  </v>
      </c>
      <c r="C291" s="172"/>
      <c r="D291" s="173"/>
      <c r="E291" s="173"/>
      <c r="F291" s="173"/>
      <c r="G291" s="173"/>
      <c r="H291" s="174"/>
      <c r="J291" s="208" t="str">
        <v xml:space="preserve">  </v>
      </c>
      <c r="K291" s="172"/>
      <c r="L291" s="173"/>
      <c r="M291" s="173"/>
      <c r="N291" s="173"/>
      <c r="O291" s="173"/>
      <c r="P291" s="174"/>
      <c r="R291" s="208" t="str">
        <v xml:space="preserve">  </v>
      </c>
      <c r="S291" s="172"/>
      <c r="T291" s="173"/>
      <c r="U291" s="173"/>
      <c r="V291" s="173"/>
      <c r="W291" s="173"/>
      <c r="X291" s="174"/>
      <c r="Y291" s="159"/>
      <c r="Z291" s="208" t="str">
        <v xml:space="preserve">  </v>
      </c>
      <c r="AA291" s="172"/>
      <c r="AB291" s="173"/>
      <c r="AC291" s="173"/>
      <c r="AD291" s="173"/>
      <c r="AE291" s="173"/>
      <c r="AF291" s="174"/>
      <c r="AG291" s="178"/>
      <c r="AH291" s="208" t="str">
        <v xml:space="preserve">  </v>
      </c>
      <c r="AI291" s="172"/>
      <c r="AJ291" s="173"/>
      <c r="AK291" s="173"/>
      <c r="AL291" s="173"/>
      <c r="AM291" s="173"/>
      <c r="AN291" s="174"/>
      <c r="AO291" s="178"/>
      <c r="AP291" s="208" t="str">
        <v xml:space="preserve">  </v>
      </c>
      <c r="AQ291" s="172"/>
      <c r="AR291" s="173"/>
      <c r="AS291" s="173"/>
      <c r="AT291" s="173"/>
      <c r="AU291" s="173"/>
      <c r="AV291" s="174"/>
    </row>
    <row r="292" spans="1:48">
      <c r="A292" s="204">
        <v>66</v>
      </c>
      <c r="B292" s="208" t="str">
        <v xml:space="preserve">  </v>
      </c>
      <c r="C292" s="172"/>
      <c r="D292" s="173"/>
      <c r="E292" s="173"/>
      <c r="F292" s="173"/>
      <c r="G292" s="173"/>
      <c r="H292" s="174"/>
      <c r="J292" s="208" t="str">
        <v xml:space="preserve">  </v>
      </c>
      <c r="K292" s="172"/>
      <c r="L292" s="173"/>
      <c r="M292" s="173"/>
      <c r="N292" s="173"/>
      <c r="O292" s="173"/>
      <c r="P292" s="174"/>
      <c r="R292" s="208" t="str">
        <v xml:space="preserve">  </v>
      </c>
      <c r="S292" s="172"/>
      <c r="T292" s="173"/>
      <c r="U292" s="173"/>
      <c r="V292" s="173"/>
      <c r="W292" s="173"/>
      <c r="X292" s="174"/>
      <c r="Y292" s="159"/>
      <c r="Z292" s="208" t="str">
        <v xml:space="preserve">  </v>
      </c>
      <c r="AA292" s="172"/>
      <c r="AB292" s="173"/>
      <c r="AC292" s="173"/>
      <c r="AD292" s="173"/>
      <c r="AE292" s="173"/>
      <c r="AF292" s="174"/>
      <c r="AG292" s="178"/>
      <c r="AH292" s="208" t="str">
        <v xml:space="preserve">  </v>
      </c>
      <c r="AI292" s="172"/>
      <c r="AJ292" s="173"/>
      <c r="AK292" s="173"/>
      <c r="AL292" s="173"/>
      <c r="AM292" s="173"/>
      <c r="AN292" s="174"/>
      <c r="AO292" s="178"/>
      <c r="AP292" s="208" t="str">
        <v xml:space="preserve">  </v>
      </c>
      <c r="AQ292" s="172"/>
      <c r="AR292" s="173"/>
      <c r="AS292" s="173"/>
      <c r="AT292" s="173"/>
      <c r="AU292" s="173"/>
      <c r="AV292" s="174"/>
    </row>
    <row r="293" spans="1:48">
      <c r="A293" s="204">
        <v>67</v>
      </c>
      <c r="B293" s="208" t="str">
        <v xml:space="preserve">  </v>
      </c>
      <c r="C293" s="172"/>
      <c r="D293" s="173"/>
      <c r="E293" s="173"/>
      <c r="F293" s="173"/>
      <c r="G293" s="173"/>
      <c r="H293" s="174"/>
      <c r="J293" s="208" t="str">
        <v xml:space="preserve">  </v>
      </c>
      <c r="K293" s="172"/>
      <c r="L293" s="173"/>
      <c r="M293" s="173"/>
      <c r="N293" s="173"/>
      <c r="O293" s="173"/>
      <c r="P293" s="174"/>
      <c r="R293" s="208" t="str">
        <v xml:space="preserve">  </v>
      </c>
      <c r="S293" s="172"/>
      <c r="T293" s="173"/>
      <c r="U293" s="173"/>
      <c r="V293" s="173"/>
      <c r="W293" s="173"/>
      <c r="X293" s="174"/>
      <c r="Y293" s="159"/>
      <c r="Z293" s="208" t="str">
        <v xml:space="preserve">  </v>
      </c>
      <c r="AA293" s="172"/>
      <c r="AB293" s="173"/>
      <c r="AC293" s="173"/>
      <c r="AD293" s="173"/>
      <c r="AE293" s="173"/>
      <c r="AF293" s="174"/>
      <c r="AG293" s="178"/>
      <c r="AH293" s="208" t="str">
        <v xml:space="preserve">  </v>
      </c>
      <c r="AI293" s="172"/>
      <c r="AJ293" s="173"/>
      <c r="AK293" s="173"/>
      <c r="AL293" s="173"/>
      <c r="AM293" s="173"/>
      <c r="AN293" s="174"/>
      <c r="AO293" s="178"/>
      <c r="AP293" s="208" t="str">
        <v xml:space="preserve">  </v>
      </c>
      <c r="AQ293" s="172"/>
      <c r="AR293" s="173"/>
      <c r="AS293" s="173"/>
      <c r="AT293" s="173"/>
      <c r="AU293" s="173"/>
      <c r="AV293" s="174"/>
    </row>
    <row r="294" spans="1:48">
      <c r="A294" s="204">
        <v>68</v>
      </c>
      <c r="B294" s="208" t="str">
        <v xml:space="preserve">  </v>
      </c>
      <c r="C294" s="172"/>
      <c r="D294" s="173"/>
      <c r="E294" s="173"/>
      <c r="F294" s="173"/>
      <c r="G294" s="173"/>
      <c r="H294" s="174"/>
      <c r="J294" s="208" t="str">
        <v xml:space="preserve">  </v>
      </c>
      <c r="K294" s="172"/>
      <c r="L294" s="173"/>
      <c r="M294" s="173"/>
      <c r="N294" s="173"/>
      <c r="O294" s="173"/>
      <c r="P294" s="174"/>
      <c r="R294" s="208" t="str">
        <v xml:space="preserve">  </v>
      </c>
      <c r="S294" s="172"/>
      <c r="T294" s="173"/>
      <c r="U294" s="173"/>
      <c r="V294" s="173"/>
      <c r="W294" s="173"/>
      <c r="X294" s="174"/>
      <c r="Y294" s="159"/>
      <c r="Z294" s="208" t="str">
        <v xml:space="preserve">  </v>
      </c>
      <c r="AA294" s="172"/>
      <c r="AB294" s="173"/>
      <c r="AC294" s="173"/>
      <c r="AD294" s="173"/>
      <c r="AE294" s="173"/>
      <c r="AF294" s="174"/>
      <c r="AG294" s="178"/>
      <c r="AH294" s="208" t="str">
        <v xml:space="preserve">  </v>
      </c>
      <c r="AI294" s="172"/>
      <c r="AJ294" s="173"/>
      <c r="AK294" s="173"/>
      <c r="AL294" s="173"/>
      <c r="AM294" s="173"/>
      <c r="AN294" s="174"/>
      <c r="AO294" s="178"/>
      <c r="AP294" s="208" t="str">
        <v xml:space="preserve">  </v>
      </c>
      <c r="AQ294" s="172"/>
      <c r="AR294" s="173"/>
      <c r="AS294" s="173"/>
      <c r="AT294" s="173"/>
      <c r="AU294" s="173"/>
      <c r="AV294" s="174"/>
    </row>
    <row r="295" spans="1:48">
      <c r="A295" s="204">
        <v>69</v>
      </c>
      <c r="B295" s="208" t="str">
        <v xml:space="preserve">  </v>
      </c>
      <c r="C295" s="172"/>
      <c r="D295" s="173"/>
      <c r="E295" s="173"/>
      <c r="F295" s="173"/>
      <c r="G295" s="173"/>
      <c r="H295" s="174"/>
      <c r="J295" s="208" t="str">
        <v xml:space="preserve">  </v>
      </c>
      <c r="K295" s="172"/>
      <c r="L295" s="173"/>
      <c r="M295" s="173"/>
      <c r="N295" s="173"/>
      <c r="O295" s="173"/>
      <c r="P295" s="174"/>
      <c r="R295" s="208" t="str">
        <v xml:space="preserve">  </v>
      </c>
      <c r="S295" s="172"/>
      <c r="T295" s="173"/>
      <c r="U295" s="173"/>
      <c r="V295" s="173"/>
      <c r="W295" s="173"/>
      <c r="X295" s="174"/>
      <c r="Y295" s="159"/>
      <c r="Z295" s="208" t="str">
        <v xml:space="preserve">  </v>
      </c>
      <c r="AA295" s="172"/>
      <c r="AB295" s="173"/>
      <c r="AC295" s="173"/>
      <c r="AD295" s="173"/>
      <c r="AE295" s="173"/>
      <c r="AF295" s="174"/>
      <c r="AG295" s="178"/>
      <c r="AH295" s="208" t="str">
        <v xml:space="preserve">  </v>
      </c>
      <c r="AI295" s="172"/>
      <c r="AJ295" s="173"/>
      <c r="AK295" s="173"/>
      <c r="AL295" s="173"/>
      <c r="AM295" s="173"/>
      <c r="AN295" s="174"/>
      <c r="AO295" s="178"/>
      <c r="AP295" s="208" t="str">
        <v xml:space="preserve">  </v>
      </c>
      <c r="AQ295" s="172"/>
      <c r="AR295" s="173"/>
      <c r="AS295" s="173"/>
      <c r="AT295" s="173"/>
      <c r="AU295" s="173"/>
      <c r="AV295" s="174"/>
    </row>
    <row r="296" spans="1:48">
      <c r="A296" s="204">
        <v>70</v>
      </c>
      <c r="B296" s="208" t="str">
        <v xml:space="preserve">  </v>
      </c>
      <c r="C296" s="172"/>
      <c r="D296" s="173"/>
      <c r="E296" s="173"/>
      <c r="F296" s="173"/>
      <c r="G296" s="173"/>
      <c r="H296" s="174"/>
      <c r="J296" s="208" t="str">
        <v xml:space="preserve">  </v>
      </c>
      <c r="K296" s="172"/>
      <c r="L296" s="173"/>
      <c r="M296" s="173"/>
      <c r="N296" s="173"/>
      <c r="O296" s="173"/>
      <c r="P296" s="174"/>
      <c r="R296" s="208" t="str">
        <v xml:space="preserve">  </v>
      </c>
      <c r="S296" s="172"/>
      <c r="T296" s="173"/>
      <c r="U296" s="173"/>
      <c r="V296" s="173"/>
      <c r="W296" s="173"/>
      <c r="X296" s="174"/>
      <c r="Y296" s="159"/>
      <c r="Z296" s="208" t="str">
        <v xml:space="preserve">  </v>
      </c>
      <c r="AA296" s="172"/>
      <c r="AB296" s="173"/>
      <c r="AC296" s="173"/>
      <c r="AD296" s="173"/>
      <c r="AE296" s="173"/>
      <c r="AF296" s="174"/>
      <c r="AG296" s="178"/>
      <c r="AH296" s="208" t="str">
        <v xml:space="preserve">  </v>
      </c>
      <c r="AI296" s="172"/>
      <c r="AJ296" s="173"/>
      <c r="AK296" s="173"/>
      <c r="AL296" s="173"/>
      <c r="AM296" s="173"/>
      <c r="AN296" s="174"/>
      <c r="AO296" s="178"/>
      <c r="AP296" s="208" t="str">
        <v xml:space="preserve">  </v>
      </c>
      <c r="AQ296" s="172"/>
      <c r="AR296" s="173"/>
      <c r="AS296" s="173"/>
      <c r="AT296" s="173"/>
      <c r="AU296" s="173"/>
      <c r="AV296" s="174"/>
    </row>
    <row r="297" spans="1:48">
      <c r="A297" s="204">
        <v>71</v>
      </c>
      <c r="B297" s="208" t="str">
        <v xml:space="preserve">  </v>
      </c>
      <c r="C297" s="172"/>
      <c r="D297" s="173"/>
      <c r="E297" s="173"/>
      <c r="F297" s="173"/>
      <c r="G297" s="173"/>
      <c r="H297" s="174"/>
      <c r="J297" s="208" t="str">
        <v xml:space="preserve">  </v>
      </c>
      <c r="K297" s="172"/>
      <c r="L297" s="173"/>
      <c r="M297" s="173"/>
      <c r="N297" s="173"/>
      <c r="O297" s="173"/>
      <c r="P297" s="174"/>
      <c r="R297" s="208" t="str">
        <v xml:space="preserve">  </v>
      </c>
      <c r="S297" s="172"/>
      <c r="T297" s="173"/>
      <c r="U297" s="173"/>
      <c r="V297" s="173"/>
      <c r="W297" s="173"/>
      <c r="X297" s="174"/>
      <c r="Y297" s="159"/>
      <c r="Z297" s="208" t="str">
        <v xml:space="preserve">  </v>
      </c>
      <c r="AA297" s="172"/>
      <c r="AB297" s="173"/>
      <c r="AC297" s="173"/>
      <c r="AD297" s="173"/>
      <c r="AE297" s="173"/>
      <c r="AF297" s="174"/>
      <c r="AG297" s="178"/>
      <c r="AH297" s="208" t="str">
        <v xml:space="preserve">  </v>
      </c>
      <c r="AI297" s="172"/>
      <c r="AJ297" s="173"/>
      <c r="AK297" s="173"/>
      <c r="AL297" s="173"/>
      <c r="AM297" s="173"/>
      <c r="AN297" s="174"/>
      <c r="AO297" s="178"/>
      <c r="AP297" s="208" t="str">
        <v xml:space="preserve">  </v>
      </c>
      <c r="AQ297" s="172"/>
      <c r="AR297" s="173"/>
      <c r="AS297" s="173"/>
      <c r="AT297" s="173"/>
      <c r="AU297" s="173"/>
      <c r="AV297" s="174"/>
    </row>
    <row r="298" spans="1:48">
      <c r="A298" s="204">
        <v>72</v>
      </c>
      <c r="B298" s="208" t="str">
        <v xml:space="preserve">  </v>
      </c>
      <c r="C298" s="172"/>
      <c r="D298" s="173"/>
      <c r="E298" s="173"/>
      <c r="F298" s="173"/>
      <c r="G298" s="173"/>
      <c r="H298" s="174"/>
      <c r="J298" s="208" t="str">
        <v xml:space="preserve">  </v>
      </c>
      <c r="K298" s="172"/>
      <c r="L298" s="173"/>
      <c r="M298" s="173"/>
      <c r="N298" s="173"/>
      <c r="O298" s="173"/>
      <c r="P298" s="174"/>
      <c r="R298" s="208" t="str">
        <v xml:space="preserve">  </v>
      </c>
      <c r="S298" s="172"/>
      <c r="T298" s="173"/>
      <c r="U298" s="173"/>
      <c r="V298" s="173"/>
      <c r="W298" s="173"/>
      <c r="X298" s="174"/>
      <c r="Y298" s="159"/>
      <c r="Z298" s="208" t="str">
        <v xml:space="preserve">  </v>
      </c>
      <c r="AA298" s="172"/>
      <c r="AB298" s="173"/>
      <c r="AC298" s="173"/>
      <c r="AD298" s="173"/>
      <c r="AE298" s="173"/>
      <c r="AF298" s="174"/>
      <c r="AG298" s="178"/>
      <c r="AH298" s="208" t="str">
        <v xml:space="preserve">  </v>
      </c>
      <c r="AI298" s="172"/>
      <c r="AJ298" s="173"/>
      <c r="AK298" s="173"/>
      <c r="AL298" s="173"/>
      <c r="AM298" s="173"/>
      <c r="AN298" s="174"/>
      <c r="AO298" s="178"/>
      <c r="AP298" s="208" t="str">
        <v xml:space="preserve">  </v>
      </c>
      <c r="AQ298" s="172"/>
      <c r="AR298" s="173"/>
      <c r="AS298" s="173"/>
      <c r="AT298" s="173"/>
      <c r="AU298" s="173"/>
      <c r="AV298" s="174"/>
    </row>
    <row r="299" spans="1:48">
      <c r="A299" s="204">
        <v>73</v>
      </c>
      <c r="B299" s="208" t="str">
        <v xml:space="preserve">  </v>
      </c>
      <c r="C299" s="172"/>
      <c r="D299" s="173"/>
      <c r="E299" s="173"/>
      <c r="F299" s="173"/>
      <c r="G299" s="173"/>
      <c r="H299" s="174"/>
      <c r="J299" s="208" t="str">
        <v xml:space="preserve">  </v>
      </c>
      <c r="K299" s="172"/>
      <c r="L299" s="173"/>
      <c r="M299" s="173"/>
      <c r="N299" s="173"/>
      <c r="O299" s="173"/>
      <c r="P299" s="174"/>
      <c r="R299" s="208" t="str">
        <v xml:space="preserve">  </v>
      </c>
      <c r="S299" s="172"/>
      <c r="T299" s="173"/>
      <c r="U299" s="173"/>
      <c r="V299" s="173"/>
      <c r="W299" s="173"/>
      <c r="X299" s="174"/>
      <c r="Y299" s="159"/>
      <c r="Z299" s="208" t="str">
        <v xml:space="preserve">  </v>
      </c>
      <c r="AA299" s="172"/>
      <c r="AB299" s="173"/>
      <c r="AC299" s="173"/>
      <c r="AD299" s="173"/>
      <c r="AE299" s="173"/>
      <c r="AF299" s="174"/>
      <c r="AG299" s="178"/>
      <c r="AH299" s="208" t="str">
        <v xml:space="preserve">  </v>
      </c>
      <c r="AI299" s="172"/>
      <c r="AJ299" s="173"/>
      <c r="AK299" s="173"/>
      <c r="AL299" s="173"/>
      <c r="AM299" s="173"/>
      <c r="AN299" s="174"/>
      <c r="AO299" s="178"/>
      <c r="AP299" s="208" t="str">
        <v xml:space="preserve">  </v>
      </c>
      <c r="AQ299" s="172"/>
      <c r="AR299" s="173"/>
      <c r="AS299" s="173"/>
      <c r="AT299" s="173"/>
      <c r="AU299" s="173"/>
      <c r="AV299" s="174"/>
    </row>
    <row r="300" spans="1:48">
      <c r="A300" s="204">
        <v>74</v>
      </c>
      <c r="B300" s="208" t="str">
        <v xml:space="preserve">  </v>
      </c>
      <c r="C300" s="172"/>
      <c r="D300" s="173"/>
      <c r="E300" s="173"/>
      <c r="F300" s="173"/>
      <c r="G300" s="173"/>
      <c r="H300" s="174"/>
      <c r="J300" s="208" t="str">
        <v xml:space="preserve">  </v>
      </c>
      <c r="K300" s="172"/>
      <c r="L300" s="173"/>
      <c r="M300" s="173"/>
      <c r="N300" s="173"/>
      <c r="O300" s="173"/>
      <c r="P300" s="174"/>
      <c r="R300" s="208" t="str">
        <v xml:space="preserve">  </v>
      </c>
      <c r="S300" s="172"/>
      <c r="T300" s="173"/>
      <c r="U300" s="173"/>
      <c r="V300" s="173"/>
      <c r="W300" s="173"/>
      <c r="X300" s="174"/>
      <c r="Y300" s="159"/>
      <c r="Z300" s="208" t="str">
        <v xml:space="preserve">  </v>
      </c>
      <c r="AA300" s="172"/>
      <c r="AB300" s="173"/>
      <c r="AC300" s="173"/>
      <c r="AD300" s="173"/>
      <c r="AE300" s="173"/>
      <c r="AF300" s="174"/>
      <c r="AG300" s="178"/>
      <c r="AH300" s="208" t="str">
        <v xml:space="preserve">  </v>
      </c>
      <c r="AI300" s="172"/>
      <c r="AJ300" s="173"/>
      <c r="AK300" s="173"/>
      <c r="AL300" s="173"/>
      <c r="AM300" s="173"/>
      <c r="AN300" s="174"/>
      <c r="AO300" s="178"/>
      <c r="AP300" s="208" t="str">
        <v xml:space="preserve">  </v>
      </c>
      <c r="AQ300" s="172"/>
      <c r="AR300" s="173"/>
      <c r="AS300" s="173"/>
      <c r="AT300" s="173"/>
      <c r="AU300" s="173"/>
      <c r="AV300" s="174"/>
    </row>
    <row r="301" spans="1:48">
      <c r="A301" s="204">
        <v>75</v>
      </c>
      <c r="B301" s="208" t="str">
        <v xml:space="preserve">  </v>
      </c>
      <c r="C301" s="172"/>
      <c r="D301" s="173"/>
      <c r="E301" s="173"/>
      <c r="F301" s="173"/>
      <c r="G301" s="173"/>
      <c r="H301" s="174"/>
      <c r="J301" s="208" t="str">
        <v xml:space="preserve">  </v>
      </c>
      <c r="K301" s="172"/>
      <c r="L301" s="173"/>
      <c r="M301" s="173"/>
      <c r="N301" s="173"/>
      <c r="O301" s="173"/>
      <c r="P301" s="174"/>
      <c r="R301" s="208" t="str">
        <v xml:space="preserve">  </v>
      </c>
      <c r="S301" s="172"/>
      <c r="T301" s="173"/>
      <c r="U301" s="173"/>
      <c r="V301" s="173"/>
      <c r="W301" s="173"/>
      <c r="X301" s="174"/>
      <c r="Y301" s="159"/>
      <c r="Z301" s="208" t="str">
        <v xml:space="preserve">  </v>
      </c>
      <c r="AA301" s="172"/>
      <c r="AB301" s="173"/>
      <c r="AC301" s="173"/>
      <c r="AD301" s="173"/>
      <c r="AE301" s="173"/>
      <c r="AF301" s="174"/>
      <c r="AG301" s="178"/>
      <c r="AH301" s="208" t="str">
        <v xml:space="preserve">  </v>
      </c>
      <c r="AI301" s="172"/>
      <c r="AJ301" s="173"/>
      <c r="AK301" s="173"/>
      <c r="AL301" s="173"/>
      <c r="AM301" s="173"/>
      <c r="AN301" s="174"/>
      <c r="AO301" s="178"/>
      <c r="AP301" s="208" t="str">
        <v xml:space="preserve">  </v>
      </c>
      <c r="AQ301" s="172"/>
      <c r="AR301" s="173"/>
      <c r="AS301" s="173"/>
      <c r="AT301" s="173"/>
      <c r="AU301" s="173"/>
      <c r="AV301" s="174"/>
    </row>
    <row r="302" spans="1:48">
      <c r="A302" s="204">
        <v>76</v>
      </c>
      <c r="B302" s="208" t="str">
        <v xml:space="preserve">  </v>
      </c>
      <c r="C302" s="172"/>
      <c r="D302" s="173"/>
      <c r="E302" s="173"/>
      <c r="F302" s="173"/>
      <c r="G302" s="173"/>
      <c r="H302" s="174"/>
      <c r="J302" s="208" t="str">
        <v xml:space="preserve">  </v>
      </c>
      <c r="K302" s="172"/>
      <c r="L302" s="173"/>
      <c r="M302" s="173"/>
      <c r="N302" s="173"/>
      <c r="O302" s="173"/>
      <c r="P302" s="174"/>
      <c r="R302" s="208" t="str">
        <v xml:space="preserve">  </v>
      </c>
      <c r="S302" s="172"/>
      <c r="T302" s="173"/>
      <c r="U302" s="173"/>
      <c r="V302" s="173"/>
      <c r="W302" s="173"/>
      <c r="X302" s="174"/>
      <c r="Y302" s="159"/>
      <c r="Z302" s="208" t="str">
        <v xml:space="preserve">  </v>
      </c>
      <c r="AA302" s="172"/>
      <c r="AB302" s="173"/>
      <c r="AC302" s="173"/>
      <c r="AD302" s="173"/>
      <c r="AE302" s="173"/>
      <c r="AF302" s="174"/>
      <c r="AG302" s="178"/>
      <c r="AH302" s="208" t="str">
        <v xml:space="preserve">  </v>
      </c>
      <c r="AI302" s="172"/>
      <c r="AJ302" s="173"/>
      <c r="AK302" s="173"/>
      <c r="AL302" s="173"/>
      <c r="AM302" s="173"/>
      <c r="AN302" s="174"/>
      <c r="AO302" s="178"/>
      <c r="AP302" s="208" t="str">
        <v xml:space="preserve">  </v>
      </c>
      <c r="AQ302" s="172"/>
      <c r="AR302" s="173"/>
      <c r="AS302" s="173"/>
      <c r="AT302" s="173"/>
      <c r="AU302" s="173"/>
      <c r="AV302" s="174"/>
    </row>
    <row r="303" spans="1:48">
      <c r="A303" s="204">
        <v>77</v>
      </c>
      <c r="B303" s="208" t="str">
        <v xml:space="preserve">  </v>
      </c>
      <c r="C303" s="172"/>
      <c r="D303" s="173"/>
      <c r="E303" s="173"/>
      <c r="F303" s="173"/>
      <c r="G303" s="173"/>
      <c r="H303" s="174"/>
      <c r="J303" s="208" t="str">
        <v xml:space="preserve">  </v>
      </c>
      <c r="K303" s="172"/>
      <c r="L303" s="173"/>
      <c r="M303" s="173"/>
      <c r="N303" s="173"/>
      <c r="O303" s="173"/>
      <c r="P303" s="174"/>
      <c r="R303" s="208" t="str">
        <v xml:space="preserve">  </v>
      </c>
      <c r="S303" s="172"/>
      <c r="T303" s="173"/>
      <c r="U303" s="173"/>
      <c r="V303" s="173"/>
      <c r="W303" s="173"/>
      <c r="X303" s="174"/>
      <c r="Y303" s="159"/>
      <c r="Z303" s="208" t="str">
        <v xml:space="preserve">  </v>
      </c>
      <c r="AA303" s="172"/>
      <c r="AB303" s="173"/>
      <c r="AC303" s="173"/>
      <c r="AD303" s="173"/>
      <c r="AE303" s="173"/>
      <c r="AF303" s="174"/>
      <c r="AG303" s="178"/>
      <c r="AH303" s="208" t="str">
        <v xml:space="preserve">  </v>
      </c>
      <c r="AI303" s="172"/>
      <c r="AJ303" s="173"/>
      <c r="AK303" s="173"/>
      <c r="AL303" s="173"/>
      <c r="AM303" s="173"/>
      <c r="AN303" s="174"/>
      <c r="AO303" s="178"/>
      <c r="AP303" s="208" t="str">
        <v xml:space="preserve">  </v>
      </c>
      <c r="AQ303" s="172"/>
      <c r="AR303" s="173"/>
      <c r="AS303" s="173"/>
      <c r="AT303" s="173"/>
      <c r="AU303" s="173"/>
      <c r="AV303" s="174"/>
    </row>
    <row r="304" spans="1:48">
      <c r="A304" s="204">
        <v>78</v>
      </c>
      <c r="B304" s="208" t="str">
        <v xml:space="preserve">  </v>
      </c>
      <c r="C304" s="172"/>
      <c r="D304" s="173"/>
      <c r="E304" s="173"/>
      <c r="F304" s="173"/>
      <c r="G304" s="173"/>
      <c r="H304" s="174"/>
      <c r="J304" s="208" t="str">
        <v xml:space="preserve">  </v>
      </c>
      <c r="K304" s="172"/>
      <c r="L304" s="173"/>
      <c r="M304" s="173"/>
      <c r="N304" s="173"/>
      <c r="O304" s="173"/>
      <c r="P304" s="174"/>
      <c r="R304" s="208" t="str">
        <v xml:space="preserve">  </v>
      </c>
      <c r="S304" s="172"/>
      <c r="T304" s="173"/>
      <c r="U304" s="173"/>
      <c r="V304" s="173"/>
      <c r="W304" s="173"/>
      <c r="X304" s="174"/>
      <c r="Y304" s="159"/>
      <c r="Z304" s="208" t="str">
        <v xml:space="preserve">  </v>
      </c>
      <c r="AA304" s="172"/>
      <c r="AB304" s="173"/>
      <c r="AC304" s="173"/>
      <c r="AD304" s="173"/>
      <c r="AE304" s="173"/>
      <c r="AF304" s="174"/>
      <c r="AG304" s="178"/>
      <c r="AH304" s="208" t="str">
        <v xml:space="preserve">  </v>
      </c>
      <c r="AI304" s="172"/>
      <c r="AJ304" s="173"/>
      <c r="AK304" s="173"/>
      <c r="AL304" s="173"/>
      <c r="AM304" s="173"/>
      <c r="AN304" s="174"/>
      <c r="AO304" s="178"/>
      <c r="AP304" s="208" t="str">
        <v xml:space="preserve">  </v>
      </c>
      <c r="AQ304" s="172"/>
      <c r="AR304" s="173"/>
      <c r="AS304" s="173"/>
      <c r="AT304" s="173"/>
      <c r="AU304" s="173"/>
      <c r="AV304" s="174"/>
    </row>
    <row r="305" spans="1:48">
      <c r="A305" s="204">
        <v>79</v>
      </c>
      <c r="B305" s="208" t="str">
        <v xml:space="preserve">  </v>
      </c>
      <c r="C305" s="172"/>
      <c r="D305" s="173"/>
      <c r="E305" s="173"/>
      <c r="F305" s="173"/>
      <c r="G305" s="173"/>
      <c r="H305" s="174"/>
      <c r="J305" s="208" t="str">
        <v xml:space="preserve">  </v>
      </c>
      <c r="K305" s="172"/>
      <c r="L305" s="173"/>
      <c r="M305" s="173"/>
      <c r="N305" s="173"/>
      <c r="O305" s="173"/>
      <c r="P305" s="174"/>
      <c r="R305" s="208" t="str">
        <v xml:space="preserve">  </v>
      </c>
      <c r="S305" s="172"/>
      <c r="T305" s="173"/>
      <c r="U305" s="173"/>
      <c r="V305" s="173"/>
      <c r="W305" s="173"/>
      <c r="X305" s="174"/>
      <c r="Y305" s="159"/>
      <c r="Z305" s="208" t="str">
        <v xml:space="preserve">  </v>
      </c>
      <c r="AA305" s="172"/>
      <c r="AB305" s="173"/>
      <c r="AC305" s="173"/>
      <c r="AD305" s="173"/>
      <c r="AE305" s="173"/>
      <c r="AF305" s="174"/>
      <c r="AG305" s="178"/>
      <c r="AH305" s="208" t="str">
        <v xml:space="preserve">  </v>
      </c>
      <c r="AI305" s="172"/>
      <c r="AJ305" s="173"/>
      <c r="AK305" s="173"/>
      <c r="AL305" s="173"/>
      <c r="AM305" s="173"/>
      <c r="AN305" s="174"/>
      <c r="AO305" s="178"/>
      <c r="AP305" s="208" t="str">
        <v xml:space="preserve">  </v>
      </c>
      <c r="AQ305" s="172"/>
      <c r="AR305" s="173"/>
      <c r="AS305" s="173"/>
      <c r="AT305" s="173"/>
      <c r="AU305" s="173"/>
      <c r="AV305" s="174"/>
    </row>
    <row r="306" spans="1:48">
      <c r="A306" s="204">
        <v>80</v>
      </c>
      <c r="B306" s="208" t="str">
        <v xml:space="preserve">  </v>
      </c>
      <c r="C306" s="172"/>
      <c r="D306" s="173"/>
      <c r="E306" s="173"/>
      <c r="F306" s="173"/>
      <c r="G306" s="173"/>
      <c r="H306" s="174"/>
      <c r="J306" s="208" t="str">
        <v xml:space="preserve">  </v>
      </c>
      <c r="K306" s="172"/>
      <c r="L306" s="173"/>
      <c r="M306" s="173"/>
      <c r="N306" s="173"/>
      <c r="O306" s="173"/>
      <c r="P306" s="174"/>
      <c r="R306" s="208" t="str">
        <v xml:space="preserve">  </v>
      </c>
      <c r="S306" s="172"/>
      <c r="T306" s="173"/>
      <c r="U306" s="173"/>
      <c r="V306" s="173"/>
      <c r="W306" s="173"/>
      <c r="X306" s="174"/>
      <c r="Y306" s="159"/>
      <c r="Z306" s="208" t="str">
        <v xml:space="preserve">  </v>
      </c>
      <c r="AA306" s="172"/>
      <c r="AB306" s="173"/>
      <c r="AC306" s="173"/>
      <c r="AD306" s="173"/>
      <c r="AE306" s="173"/>
      <c r="AF306" s="174"/>
      <c r="AG306" s="178"/>
      <c r="AH306" s="208" t="str">
        <v xml:space="preserve">  </v>
      </c>
      <c r="AI306" s="172"/>
      <c r="AJ306" s="173"/>
      <c r="AK306" s="173"/>
      <c r="AL306" s="173"/>
      <c r="AM306" s="173"/>
      <c r="AN306" s="174"/>
      <c r="AO306" s="178"/>
      <c r="AP306" s="208" t="str">
        <v xml:space="preserve">  </v>
      </c>
      <c r="AQ306" s="172"/>
      <c r="AR306" s="173"/>
      <c r="AS306" s="173"/>
      <c r="AT306" s="173"/>
      <c r="AU306" s="173"/>
      <c r="AV306" s="174"/>
    </row>
    <row r="307" spans="1:48">
      <c r="A307" s="204">
        <v>81</v>
      </c>
      <c r="B307" s="208" t="str">
        <v xml:space="preserve">  </v>
      </c>
      <c r="C307" s="172"/>
      <c r="D307" s="173"/>
      <c r="E307" s="173"/>
      <c r="F307" s="173"/>
      <c r="G307" s="173"/>
      <c r="H307" s="174"/>
      <c r="J307" s="208" t="str">
        <v xml:space="preserve">  </v>
      </c>
      <c r="K307" s="172"/>
      <c r="L307" s="173"/>
      <c r="M307" s="173"/>
      <c r="N307" s="173"/>
      <c r="O307" s="173"/>
      <c r="P307" s="174"/>
      <c r="R307" s="208" t="str">
        <v xml:space="preserve">  </v>
      </c>
      <c r="S307" s="172"/>
      <c r="T307" s="173"/>
      <c r="U307" s="173"/>
      <c r="V307" s="173"/>
      <c r="W307" s="173"/>
      <c r="X307" s="174"/>
      <c r="Y307" s="159"/>
      <c r="Z307" s="208" t="str">
        <v xml:space="preserve">  </v>
      </c>
      <c r="AA307" s="172"/>
      <c r="AB307" s="173"/>
      <c r="AC307" s="173"/>
      <c r="AD307" s="173"/>
      <c r="AE307" s="173"/>
      <c r="AF307" s="174"/>
      <c r="AG307" s="178"/>
      <c r="AH307" s="208" t="str">
        <v xml:space="preserve">  </v>
      </c>
      <c r="AI307" s="172"/>
      <c r="AJ307" s="173"/>
      <c r="AK307" s="173"/>
      <c r="AL307" s="173"/>
      <c r="AM307" s="173"/>
      <c r="AN307" s="174"/>
      <c r="AO307" s="178"/>
      <c r="AP307" s="208" t="str">
        <v xml:space="preserve">  </v>
      </c>
      <c r="AQ307" s="172"/>
      <c r="AR307" s="173"/>
      <c r="AS307" s="173"/>
      <c r="AT307" s="173"/>
      <c r="AU307" s="173"/>
      <c r="AV307" s="174"/>
    </row>
    <row r="308" spans="1:48">
      <c r="A308" s="204">
        <v>82</v>
      </c>
      <c r="B308" s="208" t="str">
        <v xml:space="preserve">  </v>
      </c>
      <c r="C308" s="172"/>
      <c r="D308" s="173"/>
      <c r="E308" s="173"/>
      <c r="F308" s="173"/>
      <c r="G308" s="173"/>
      <c r="H308" s="174"/>
      <c r="J308" s="208" t="str">
        <v xml:space="preserve">  </v>
      </c>
      <c r="K308" s="172"/>
      <c r="L308" s="173"/>
      <c r="M308" s="173"/>
      <c r="N308" s="173"/>
      <c r="O308" s="173"/>
      <c r="P308" s="174"/>
      <c r="R308" s="208" t="str">
        <v xml:space="preserve">  </v>
      </c>
      <c r="S308" s="172"/>
      <c r="T308" s="173"/>
      <c r="U308" s="173"/>
      <c r="V308" s="173"/>
      <c r="W308" s="173"/>
      <c r="X308" s="174"/>
      <c r="Y308" s="159"/>
      <c r="Z308" s="208" t="str">
        <v xml:space="preserve">  </v>
      </c>
      <c r="AA308" s="172"/>
      <c r="AB308" s="173"/>
      <c r="AC308" s="173"/>
      <c r="AD308" s="173"/>
      <c r="AE308" s="173"/>
      <c r="AF308" s="174"/>
      <c r="AG308" s="178"/>
      <c r="AH308" s="208" t="str">
        <v xml:space="preserve">  </v>
      </c>
      <c r="AI308" s="172"/>
      <c r="AJ308" s="173"/>
      <c r="AK308" s="173"/>
      <c r="AL308" s="173"/>
      <c r="AM308" s="173"/>
      <c r="AN308" s="174"/>
      <c r="AO308" s="178"/>
      <c r="AP308" s="208" t="str">
        <v xml:space="preserve">  </v>
      </c>
      <c r="AQ308" s="172"/>
      <c r="AR308" s="173"/>
      <c r="AS308" s="173"/>
      <c r="AT308" s="173"/>
      <c r="AU308" s="173"/>
      <c r="AV308" s="174"/>
    </row>
    <row r="309" spans="1:48">
      <c r="A309" s="204">
        <v>83</v>
      </c>
      <c r="B309" s="208" t="str">
        <v xml:space="preserve">  </v>
      </c>
      <c r="C309" s="172"/>
      <c r="D309" s="173"/>
      <c r="E309" s="173"/>
      <c r="F309" s="173"/>
      <c r="G309" s="173"/>
      <c r="H309" s="174"/>
      <c r="J309" s="208" t="str">
        <v xml:space="preserve">  </v>
      </c>
      <c r="K309" s="172"/>
      <c r="L309" s="173"/>
      <c r="M309" s="173"/>
      <c r="N309" s="173"/>
      <c r="O309" s="173"/>
      <c r="P309" s="174"/>
      <c r="R309" s="208" t="str">
        <v xml:space="preserve">  </v>
      </c>
      <c r="S309" s="172"/>
      <c r="T309" s="173"/>
      <c r="U309" s="173"/>
      <c r="V309" s="173"/>
      <c r="W309" s="173"/>
      <c r="X309" s="174"/>
      <c r="Y309" s="159"/>
      <c r="Z309" s="208" t="str">
        <v xml:space="preserve">  </v>
      </c>
      <c r="AA309" s="172"/>
      <c r="AB309" s="173"/>
      <c r="AC309" s="173"/>
      <c r="AD309" s="173"/>
      <c r="AE309" s="173"/>
      <c r="AF309" s="174"/>
      <c r="AG309" s="178"/>
      <c r="AH309" s="208" t="str">
        <v xml:space="preserve">  </v>
      </c>
      <c r="AI309" s="172"/>
      <c r="AJ309" s="173"/>
      <c r="AK309" s="173"/>
      <c r="AL309" s="173"/>
      <c r="AM309" s="173"/>
      <c r="AN309" s="174"/>
      <c r="AO309" s="178"/>
      <c r="AP309" s="208" t="str">
        <v xml:space="preserve">  </v>
      </c>
      <c r="AQ309" s="172"/>
      <c r="AR309" s="173"/>
      <c r="AS309" s="173"/>
      <c r="AT309" s="173"/>
      <c r="AU309" s="173"/>
      <c r="AV309" s="174"/>
    </row>
    <row r="310" spans="1:48">
      <c r="A310" s="204">
        <v>84</v>
      </c>
      <c r="B310" s="208" t="str">
        <v xml:space="preserve">  </v>
      </c>
      <c r="C310" s="172"/>
      <c r="D310" s="173"/>
      <c r="E310" s="173"/>
      <c r="F310" s="173"/>
      <c r="G310" s="173"/>
      <c r="H310" s="174"/>
      <c r="J310" s="208" t="str">
        <v xml:space="preserve">  </v>
      </c>
      <c r="K310" s="172"/>
      <c r="L310" s="173"/>
      <c r="M310" s="173"/>
      <c r="N310" s="173"/>
      <c r="O310" s="173"/>
      <c r="P310" s="174"/>
      <c r="R310" s="208" t="str">
        <v xml:space="preserve">  </v>
      </c>
      <c r="S310" s="172"/>
      <c r="T310" s="173"/>
      <c r="U310" s="173"/>
      <c r="V310" s="173"/>
      <c r="W310" s="173"/>
      <c r="X310" s="174"/>
      <c r="Y310" s="159"/>
      <c r="Z310" s="208" t="str">
        <v xml:space="preserve">  </v>
      </c>
      <c r="AA310" s="172"/>
      <c r="AB310" s="173"/>
      <c r="AC310" s="173"/>
      <c r="AD310" s="173"/>
      <c r="AE310" s="173"/>
      <c r="AF310" s="174"/>
      <c r="AG310" s="178"/>
      <c r="AH310" s="208" t="str">
        <v xml:space="preserve">  </v>
      </c>
      <c r="AI310" s="172"/>
      <c r="AJ310" s="173"/>
      <c r="AK310" s="173"/>
      <c r="AL310" s="173"/>
      <c r="AM310" s="173"/>
      <c r="AN310" s="174"/>
      <c r="AO310" s="178"/>
      <c r="AP310" s="208" t="str">
        <v xml:space="preserve">  </v>
      </c>
      <c r="AQ310" s="172"/>
      <c r="AR310" s="173"/>
      <c r="AS310" s="173"/>
      <c r="AT310" s="173"/>
      <c r="AU310" s="173"/>
      <c r="AV310" s="174"/>
    </row>
    <row r="311" spans="1:48">
      <c r="A311" s="204">
        <v>85</v>
      </c>
      <c r="B311" s="208" t="str">
        <v xml:space="preserve">  </v>
      </c>
      <c r="C311" s="172"/>
      <c r="D311" s="173"/>
      <c r="E311" s="173"/>
      <c r="F311" s="173"/>
      <c r="G311" s="173"/>
      <c r="H311" s="174"/>
      <c r="J311" s="208" t="str">
        <v xml:space="preserve">  </v>
      </c>
      <c r="K311" s="172"/>
      <c r="L311" s="173"/>
      <c r="M311" s="173"/>
      <c r="N311" s="173"/>
      <c r="O311" s="173"/>
      <c r="P311" s="174"/>
      <c r="R311" s="208" t="str">
        <v xml:space="preserve">  </v>
      </c>
      <c r="S311" s="172"/>
      <c r="T311" s="173"/>
      <c r="U311" s="173"/>
      <c r="V311" s="173"/>
      <c r="W311" s="173"/>
      <c r="X311" s="174"/>
      <c r="Y311" s="159"/>
      <c r="Z311" s="208" t="str">
        <v xml:space="preserve">  </v>
      </c>
      <c r="AA311" s="172"/>
      <c r="AB311" s="173"/>
      <c r="AC311" s="173"/>
      <c r="AD311" s="173"/>
      <c r="AE311" s="173"/>
      <c r="AF311" s="174"/>
      <c r="AG311" s="178"/>
      <c r="AH311" s="208" t="str">
        <v xml:space="preserve">  </v>
      </c>
      <c r="AI311" s="172"/>
      <c r="AJ311" s="173"/>
      <c r="AK311" s="173"/>
      <c r="AL311" s="173"/>
      <c r="AM311" s="173"/>
      <c r="AN311" s="174"/>
      <c r="AO311" s="178"/>
      <c r="AP311" s="208" t="str">
        <v xml:space="preserve">  </v>
      </c>
      <c r="AQ311" s="172"/>
      <c r="AR311" s="173"/>
      <c r="AS311" s="173"/>
      <c r="AT311" s="173"/>
      <c r="AU311" s="173"/>
      <c r="AV311" s="174"/>
    </row>
    <row r="312" spans="1:48">
      <c r="A312" s="204">
        <v>86</v>
      </c>
      <c r="B312" s="208" t="str">
        <v xml:space="preserve">  </v>
      </c>
      <c r="C312" s="172"/>
      <c r="D312" s="173"/>
      <c r="E312" s="173"/>
      <c r="F312" s="173"/>
      <c r="G312" s="173"/>
      <c r="H312" s="174"/>
      <c r="J312" s="208" t="str">
        <v xml:space="preserve">  </v>
      </c>
      <c r="K312" s="172"/>
      <c r="L312" s="173"/>
      <c r="M312" s="173"/>
      <c r="N312" s="173"/>
      <c r="O312" s="173"/>
      <c r="P312" s="174"/>
      <c r="R312" s="208" t="str">
        <v xml:space="preserve">  </v>
      </c>
      <c r="S312" s="172"/>
      <c r="T312" s="173"/>
      <c r="U312" s="173"/>
      <c r="V312" s="173"/>
      <c r="W312" s="173"/>
      <c r="X312" s="174"/>
      <c r="Y312" s="159"/>
      <c r="Z312" s="208" t="str">
        <v xml:space="preserve">  </v>
      </c>
      <c r="AA312" s="172"/>
      <c r="AB312" s="173"/>
      <c r="AC312" s="173"/>
      <c r="AD312" s="173"/>
      <c r="AE312" s="173"/>
      <c r="AF312" s="174"/>
      <c r="AG312" s="178"/>
      <c r="AH312" s="208" t="str">
        <v xml:space="preserve">  </v>
      </c>
      <c r="AI312" s="172"/>
      <c r="AJ312" s="173"/>
      <c r="AK312" s="173"/>
      <c r="AL312" s="173"/>
      <c r="AM312" s="173"/>
      <c r="AN312" s="174"/>
      <c r="AO312" s="178"/>
      <c r="AP312" s="208" t="str">
        <v xml:space="preserve">  </v>
      </c>
      <c r="AQ312" s="172"/>
      <c r="AR312" s="173"/>
      <c r="AS312" s="173"/>
      <c r="AT312" s="173"/>
      <c r="AU312" s="173"/>
      <c r="AV312" s="174"/>
    </row>
    <row r="313" spans="1:48">
      <c r="A313" s="204">
        <v>87</v>
      </c>
      <c r="B313" s="208" t="str">
        <v xml:space="preserve">  </v>
      </c>
      <c r="C313" s="172"/>
      <c r="D313" s="173"/>
      <c r="E313" s="173"/>
      <c r="F313" s="173"/>
      <c r="G313" s="173"/>
      <c r="H313" s="174"/>
      <c r="J313" s="208" t="str">
        <v xml:space="preserve">  </v>
      </c>
      <c r="K313" s="172"/>
      <c r="L313" s="173"/>
      <c r="M313" s="173"/>
      <c r="N313" s="173"/>
      <c r="O313" s="173"/>
      <c r="P313" s="174"/>
      <c r="R313" s="208" t="str">
        <v xml:space="preserve">  </v>
      </c>
      <c r="S313" s="172"/>
      <c r="T313" s="173"/>
      <c r="U313" s="173"/>
      <c r="V313" s="173"/>
      <c r="W313" s="173"/>
      <c r="X313" s="174"/>
      <c r="Y313" s="159"/>
      <c r="Z313" s="208" t="str">
        <v xml:space="preserve">  </v>
      </c>
      <c r="AA313" s="172"/>
      <c r="AB313" s="173"/>
      <c r="AC313" s="173"/>
      <c r="AD313" s="173"/>
      <c r="AE313" s="173"/>
      <c r="AF313" s="174"/>
      <c r="AG313" s="178"/>
      <c r="AH313" s="208" t="str">
        <v xml:space="preserve">  </v>
      </c>
      <c r="AI313" s="172"/>
      <c r="AJ313" s="173"/>
      <c r="AK313" s="173"/>
      <c r="AL313" s="173"/>
      <c r="AM313" s="173"/>
      <c r="AN313" s="174"/>
      <c r="AO313" s="178"/>
      <c r="AP313" s="208" t="str">
        <v xml:space="preserve">  </v>
      </c>
      <c r="AQ313" s="172"/>
      <c r="AR313" s="173"/>
      <c r="AS313" s="173"/>
      <c r="AT313" s="173"/>
      <c r="AU313" s="173"/>
      <c r="AV313" s="174"/>
    </row>
    <row r="314" spans="1:48">
      <c r="A314" s="204">
        <v>88</v>
      </c>
      <c r="B314" s="208" t="str">
        <v xml:space="preserve">  </v>
      </c>
      <c r="C314" s="172"/>
      <c r="D314" s="173"/>
      <c r="E314" s="173"/>
      <c r="F314" s="173"/>
      <c r="G314" s="173"/>
      <c r="H314" s="174"/>
      <c r="J314" s="208" t="str">
        <v xml:space="preserve">  </v>
      </c>
      <c r="K314" s="172"/>
      <c r="L314" s="173"/>
      <c r="M314" s="173"/>
      <c r="N314" s="173"/>
      <c r="O314" s="173"/>
      <c r="P314" s="174"/>
      <c r="R314" s="208" t="str">
        <v xml:space="preserve">  </v>
      </c>
      <c r="S314" s="172"/>
      <c r="T314" s="173"/>
      <c r="U314" s="173"/>
      <c r="V314" s="173"/>
      <c r="W314" s="173"/>
      <c r="X314" s="174"/>
      <c r="Y314" s="159"/>
      <c r="Z314" s="208" t="str">
        <v xml:space="preserve">  </v>
      </c>
      <c r="AA314" s="172"/>
      <c r="AB314" s="173"/>
      <c r="AC314" s="173"/>
      <c r="AD314" s="173"/>
      <c r="AE314" s="173"/>
      <c r="AF314" s="174"/>
      <c r="AG314" s="178"/>
      <c r="AH314" s="208" t="str">
        <v xml:space="preserve">  </v>
      </c>
      <c r="AI314" s="172"/>
      <c r="AJ314" s="173"/>
      <c r="AK314" s="173"/>
      <c r="AL314" s="173"/>
      <c r="AM314" s="173"/>
      <c r="AN314" s="174"/>
      <c r="AO314" s="178"/>
      <c r="AP314" s="208" t="str">
        <v xml:space="preserve">  </v>
      </c>
      <c r="AQ314" s="172"/>
      <c r="AR314" s="173"/>
      <c r="AS314" s="173"/>
      <c r="AT314" s="173"/>
      <c r="AU314" s="173"/>
      <c r="AV314" s="174"/>
    </row>
    <row r="315" spans="1:48">
      <c r="A315" s="204">
        <v>89</v>
      </c>
      <c r="B315" s="208" t="str">
        <v xml:space="preserve">  </v>
      </c>
      <c r="C315" s="172"/>
      <c r="D315" s="173"/>
      <c r="E315" s="173"/>
      <c r="F315" s="173"/>
      <c r="G315" s="173"/>
      <c r="H315" s="174"/>
      <c r="J315" s="208" t="str">
        <v xml:space="preserve">  </v>
      </c>
      <c r="K315" s="172"/>
      <c r="L315" s="173"/>
      <c r="M315" s="173"/>
      <c r="N315" s="173"/>
      <c r="O315" s="173"/>
      <c r="P315" s="174"/>
      <c r="R315" s="208" t="str">
        <v xml:space="preserve">  </v>
      </c>
      <c r="S315" s="172"/>
      <c r="T315" s="173"/>
      <c r="U315" s="173"/>
      <c r="V315" s="173"/>
      <c r="W315" s="173"/>
      <c r="X315" s="174"/>
      <c r="Y315" s="159"/>
      <c r="Z315" s="208" t="str">
        <v xml:space="preserve">  </v>
      </c>
      <c r="AA315" s="172"/>
      <c r="AB315" s="173"/>
      <c r="AC315" s="173"/>
      <c r="AD315" s="173"/>
      <c r="AE315" s="173"/>
      <c r="AF315" s="174"/>
      <c r="AG315" s="178"/>
      <c r="AH315" s="208" t="str">
        <v xml:space="preserve">  </v>
      </c>
      <c r="AI315" s="172"/>
      <c r="AJ315" s="173"/>
      <c r="AK315" s="173"/>
      <c r="AL315" s="173"/>
      <c r="AM315" s="173"/>
      <c r="AN315" s="174"/>
      <c r="AO315" s="178"/>
      <c r="AP315" s="208" t="str">
        <v xml:space="preserve">  </v>
      </c>
      <c r="AQ315" s="172"/>
      <c r="AR315" s="173"/>
      <c r="AS315" s="173"/>
      <c r="AT315" s="173"/>
      <c r="AU315" s="173"/>
      <c r="AV315" s="174"/>
    </row>
    <row r="316" spans="1:48">
      <c r="A316" s="204">
        <v>90</v>
      </c>
      <c r="B316" s="208" t="str">
        <v xml:space="preserve">  </v>
      </c>
      <c r="C316" s="172"/>
      <c r="D316" s="173"/>
      <c r="E316" s="173"/>
      <c r="F316" s="173"/>
      <c r="G316" s="173"/>
      <c r="H316" s="174"/>
      <c r="J316" s="208" t="str">
        <v xml:space="preserve">  </v>
      </c>
      <c r="K316" s="172"/>
      <c r="L316" s="173"/>
      <c r="M316" s="173"/>
      <c r="N316" s="173"/>
      <c r="O316" s="173"/>
      <c r="P316" s="174"/>
      <c r="R316" s="208" t="str">
        <v xml:space="preserve">  </v>
      </c>
      <c r="S316" s="172"/>
      <c r="T316" s="173"/>
      <c r="U316" s="173"/>
      <c r="V316" s="173"/>
      <c r="W316" s="173"/>
      <c r="X316" s="174"/>
      <c r="Y316" s="159"/>
      <c r="Z316" s="208" t="str">
        <v xml:space="preserve">  </v>
      </c>
      <c r="AA316" s="172"/>
      <c r="AB316" s="173"/>
      <c r="AC316" s="173"/>
      <c r="AD316" s="173"/>
      <c r="AE316" s="173"/>
      <c r="AF316" s="174"/>
      <c r="AG316" s="178"/>
      <c r="AH316" s="208" t="str">
        <v xml:space="preserve">  </v>
      </c>
      <c r="AI316" s="172"/>
      <c r="AJ316" s="173"/>
      <c r="AK316" s="173"/>
      <c r="AL316" s="173"/>
      <c r="AM316" s="173"/>
      <c r="AN316" s="174"/>
      <c r="AO316" s="178"/>
      <c r="AP316" s="208" t="str">
        <v xml:space="preserve">  </v>
      </c>
      <c r="AQ316" s="172"/>
      <c r="AR316" s="173"/>
      <c r="AS316" s="173"/>
      <c r="AT316" s="173"/>
      <c r="AU316" s="173"/>
      <c r="AV316" s="174"/>
    </row>
    <row r="317" spans="1:48">
      <c r="A317" s="204">
        <v>91</v>
      </c>
      <c r="B317" s="208" t="str">
        <v xml:space="preserve">  </v>
      </c>
      <c r="C317" s="172"/>
      <c r="D317" s="173"/>
      <c r="E317" s="173"/>
      <c r="F317" s="173"/>
      <c r="G317" s="173"/>
      <c r="H317" s="174"/>
      <c r="J317" s="208" t="str">
        <v xml:space="preserve">  </v>
      </c>
      <c r="K317" s="172"/>
      <c r="L317" s="173"/>
      <c r="M317" s="173"/>
      <c r="N317" s="173"/>
      <c r="O317" s="173"/>
      <c r="P317" s="174"/>
      <c r="R317" s="208" t="str">
        <v xml:space="preserve">  </v>
      </c>
      <c r="S317" s="172"/>
      <c r="T317" s="173"/>
      <c r="U317" s="173"/>
      <c r="V317" s="173"/>
      <c r="W317" s="173"/>
      <c r="X317" s="174"/>
      <c r="Y317" s="159"/>
      <c r="Z317" s="208" t="str">
        <v xml:space="preserve">  </v>
      </c>
      <c r="AA317" s="172"/>
      <c r="AB317" s="173"/>
      <c r="AC317" s="173"/>
      <c r="AD317" s="173"/>
      <c r="AE317" s="173"/>
      <c r="AF317" s="174"/>
      <c r="AG317" s="178"/>
      <c r="AH317" s="208" t="str">
        <v xml:space="preserve">  </v>
      </c>
      <c r="AI317" s="172"/>
      <c r="AJ317" s="173"/>
      <c r="AK317" s="173"/>
      <c r="AL317" s="173"/>
      <c r="AM317" s="173"/>
      <c r="AN317" s="174"/>
      <c r="AO317" s="178"/>
      <c r="AP317" s="208" t="str">
        <v xml:space="preserve">  </v>
      </c>
      <c r="AQ317" s="172"/>
      <c r="AR317" s="173"/>
      <c r="AS317" s="173"/>
      <c r="AT317" s="173"/>
      <c r="AU317" s="173"/>
      <c r="AV317" s="174"/>
    </row>
    <row r="318" spans="1:48">
      <c r="A318" s="204">
        <v>92</v>
      </c>
      <c r="B318" s="208" t="str">
        <v xml:space="preserve">  </v>
      </c>
      <c r="C318" s="172"/>
      <c r="D318" s="173"/>
      <c r="E318" s="173"/>
      <c r="F318" s="173"/>
      <c r="G318" s="173"/>
      <c r="H318" s="174"/>
      <c r="J318" s="208" t="str">
        <v xml:space="preserve">  </v>
      </c>
      <c r="K318" s="172"/>
      <c r="L318" s="173"/>
      <c r="M318" s="173"/>
      <c r="N318" s="173"/>
      <c r="O318" s="173"/>
      <c r="P318" s="174"/>
      <c r="R318" s="208" t="str">
        <v xml:space="preserve">  </v>
      </c>
      <c r="S318" s="172"/>
      <c r="T318" s="173"/>
      <c r="U318" s="173"/>
      <c r="V318" s="173"/>
      <c r="W318" s="173"/>
      <c r="X318" s="174"/>
      <c r="Y318" s="159"/>
      <c r="Z318" s="208" t="str">
        <v xml:space="preserve">  </v>
      </c>
      <c r="AA318" s="172"/>
      <c r="AB318" s="173"/>
      <c r="AC318" s="173"/>
      <c r="AD318" s="173"/>
      <c r="AE318" s="173"/>
      <c r="AF318" s="174"/>
      <c r="AG318" s="178"/>
      <c r="AH318" s="208" t="str">
        <v xml:space="preserve">  </v>
      </c>
      <c r="AI318" s="172"/>
      <c r="AJ318" s="173"/>
      <c r="AK318" s="173"/>
      <c r="AL318" s="173"/>
      <c r="AM318" s="173"/>
      <c r="AN318" s="174"/>
      <c r="AO318" s="178"/>
      <c r="AP318" s="208" t="str">
        <v xml:space="preserve">  </v>
      </c>
      <c r="AQ318" s="172"/>
      <c r="AR318" s="173"/>
      <c r="AS318" s="173"/>
      <c r="AT318" s="173"/>
      <c r="AU318" s="173"/>
      <c r="AV318" s="174"/>
    </row>
    <row r="319" spans="1:48">
      <c r="A319" s="204">
        <v>93</v>
      </c>
      <c r="B319" s="208" t="str">
        <v xml:space="preserve">  </v>
      </c>
      <c r="C319" s="172"/>
      <c r="D319" s="173"/>
      <c r="E319" s="173"/>
      <c r="F319" s="173"/>
      <c r="G319" s="173"/>
      <c r="H319" s="174"/>
      <c r="J319" s="208" t="str">
        <v xml:space="preserve">  </v>
      </c>
      <c r="K319" s="172"/>
      <c r="L319" s="173"/>
      <c r="M319" s="173"/>
      <c r="N319" s="173"/>
      <c r="O319" s="173"/>
      <c r="P319" s="174"/>
      <c r="R319" s="208" t="str">
        <v xml:space="preserve">  </v>
      </c>
      <c r="S319" s="172"/>
      <c r="T319" s="173"/>
      <c r="U319" s="173"/>
      <c r="V319" s="173"/>
      <c r="W319" s="173"/>
      <c r="X319" s="174"/>
      <c r="Y319" s="159"/>
      <c r="Z319" s="208" t="str">
        <v xml:space="preserve">  </v>
      </c>
      <c r="AA319" s="172"/>
      <c r="AB319" s="173"/>
      <c r="AC319" s="173"/>
      <c r="AD319" s="173"/>
      <c r="AE319" s="173"/>
      <c r="AF319" s="174"/>
      <c r="AG319" s="178"/>
      <c r="AH319" s="208" t="str">
        <v xml:space="preserve">  </v>
      </c>
      <c r="AI319" s="172"/>
      <c r="AJ319" s="173"/>
      <c r="AK319" s="173"/>
      <c r="AL319" s="173"/>
      <c r="AM319" s="173"/>
      <c r="AN319" s="174"/>
      <c r="AO319" s="178"/>
      <c r="AP319" s="208" t="str">
        <v xml:space="preserve">  </v>
      </c>
      <c r="AQ319" s="172"/>
      <c r="AR319" s="173"/>
      <c r="AS319" s="173"/>
      <c r="AT319" s="173"/>
      <c r="AU319" s="173"/>
      <c r="AV319" s="174"/>
    </row>
    <row r="320" spans="1:48">
      <c r="A320" s="204">
        <v>94</v>
      </c>
      <c r="B320" s="208" t="str">
        <v xml:space="preserve">  </v>
      </c>
      <c r="C320" s="172"/>
      <c r="D320" s="173"/>
      <c r="E320" s="173"/>
      <c r="F320" s="173"/>
      <c r="G320" s="173"/>
      <c r="H320" s="174"/>
      <c r="J320" s="208" t="str">
        <v xml:space="preserve">  </v>
      </c>
      <c r="K320" s="172"/>
      <c r="L320" s="173"/>
      <c r="M320" s="173"/>
      <c r="N320" s="173"/>
      <c r="O320" s="173"/>
      <c r="P320" s="174"/>
      <c r="R320" s="208" t="str">
        <v xml:space="preserve">  </v>
      </c>
      <c r="S320" s="172"/>
      <c r="T320" s="173"/>
      <c r="U320" s="173"/>
      <c r="V320" s="173"/>
      <c r="W320" s="173"/>
      <c r="X320" s="174"/>
      <c r="Y320" s="159"/>
      <c r="Z320" s="208" t="str">
        <v xml:space="preserve">  </v>
      </c>
      <c r="AA320" s="172"/>
      <c r="AB320" s="173"/>
      <c r="AC320" s="173"/>
      <c r="AD320" s="173"/>
      <c r="AE320" s="173"/>
      <c r="AF320" s="174"/>
      <c r="AG320" s="178"/>
      <c r="AH320" s="208" t="str">
        <v xml:space="preserve">  </v>
      </c>
      <c r="AI320" s="172"/>
      <c r="AJ320" s="173"/>
      <c r="AK320" s="173"/>
      <c r="AL320" s="173"/>
      <c r="AM320" s="173"/>
      <c r="AN320" s="174"/>
      <c r="AO320" s="178"/>
      <c r="AP320" s="208" t="str">
        <v xml:space="preserve">  </v>
      </c>
      <c r="AQ320" s="172"/>
      <c r="AR320" s="173"/>
      <c r="AS320" s="173"/>
      <c r="AT320" s="173"/>
      <c r="AU320" s="173"/>
      <c r="AV320" s="174"/>
    </row>
    <row r="321" spans="1:48">
      <c r="A321" s="204">
        <v>95</v>
      </c>
      <c r="B321" s="208" t="str">
        <v xml:space="preserve">  </v>
      </c>
      <c r="C321" s="172"/>
      <c r="D321" s="173"/>
      <c r="E321" s="173"/>
      <c r="F321" s="173"/>
      <c r="G321" s="173"/>
      <c r="H321" s="174"/>
      <c r="J321" s="208" t="str">
        <v xml:space="preserve">  </v>
      </c>
      <c r="K321" s="172"/>
      <c r="L321" s="173"/>
      <c r="M321" s="173"/>
      <c r="N321" s="173"/>
      <c r="O321" s="173"/>
      <c r="P321" s="174"/>
      <c r="R321" s="208" t="str">
        <v xml:space="preserve">  </v>
      </c>
      <c r="S321" s="172"/>
      <c r="T321" s="173"/>
      <c r="U321" s="173"/>
      <c r="V321" s="173"/>
      <c r="W321" s="173"/>
      <c r="X321" s="174"/>
      <c r="Y321" s="159"/>
      <c r="Z321" s="208" t="str">
        <v xml:space="preserve">  </v>
      </c>
      <c r="AA321" s="172"/>
      <c r="AB321" s="173"/>
      <c r="AC321" s="173"/>
      <c r="AD321" s="173"/>
      <c r="AE321" s="173"/>
      <c r="AF321" s="174"/>
      <c r="AG321" s="178"/>
      <c r="AH321" s="208" t="str">
        <v xml:space="preserve">  </v>
      </c>
      <c r="AI321" s="172"/>
      <c r="AJ321" s="173"/>
      <c r="AK321" s="173"/>
      <c r="AL321" s="173"/>
      <c r="AM321" s="173"/>
      <c r="AN321" s="174"/>
      <c r="AO321" s="178"/>
      <c r="AP321" s="208" t="str">
        <v xml:space="preserve">  </v>
      </c>
      <c r="AQ321" s="172"/>
      <c r="AR321" s="173"/>
      <c r="AS321" s="173"/>
      <c r="AT321" s="173"/>
      <c r="AU321" s="173"/>
      <c r="AV321" s="174"/>
    </row>
    <row r="322" spans="1:48">
      <c r="A322" s="204">
        <v>96</v>
      </c>
      <c r="B322" s="208" t="str">
        <v xml:space="preserve">  </v>
      </c>
      <c r="C322" s="172"/>
      <c r="D322" s="173"/>
      <c r="E322" s="173"/>
      <c r="F322" s="173"/>
      <c r="G322" s="173"/>
      <c r="H322" s="174"/>
      <c r="J322" s="208" t="str">
        <v xml:space="preserve">  </v>
      </c>
      <c r="K322" s="172"/>
      <c r="L322" s="173"/>
      <c r="M322" s="173"/>
      <c r="N322" s="173"/>
      <c r="O322" s="173"/>
      <c r="P322" s="174"/>
      <c r="R322" s="208" t="str">
        <v xml:space="preserve">  </v>
      </c>
      <c r="S322" s="172"/>
      <c r="T322" s="173"/>
      <c r="U322" s="173"/>
      <c r="V322" s="173"/>
      <c r="W322" s="173"/>
      <c r="X322" s="174"/>
      <c r="Y322" s="159"/>
      <c r="Z322" s="208" t="str">
        <v xml:space="preserve">  </v>
      </c>
      <c r="AA322" s="172"/>
      <c r="AB322" s="173"/>
      <c r="AC322" s="173"/>
      <c r="AD322" s="173"/>
      <c r="AE322" s="173"/>
      <c r="AF322" s="174"/>
      <c r="AG322" s="178"/>
      <c r="AH322" s="208" t="str">
        <v xml:space="preserve">  </v>
      </c>
      <c r="AI322" s="172"/>
      <c r="AJ322" s="173"/>
      <c r="AK322" s="173"/>
      <c r="AL322" s="173"/>
      <c r="AM322" s="173"/>
      <c r="AN322" s="174"/>
      <c r="AO322" s="178"/>
      <c r="AP322" s="208" t="str">
        <v xml:space="preserve">  </v>
      </c>
      <c r="AQ322" s="172"/>
      <c r="AR322" s="173"/>
      <c r="AS322" s="173"/>
      <c r="AT322" s="173"/>
      <c r="AU322" s="173"/>
      <c r="AV322" s="174"/>
    </row>
    <row r="323" spans="1:48">
      <c r="A323" s="204">
        <v>97</v>
      </c>
      <c r="B323" s="208" t="str">
        <v xml:space="preserve">  </v>
      </c>
      <c r="C323" s="172"/>
      <c r="D323" s="173"/>
      <c r="E323" s="173"/>
      <c r="F323" s="173"/>
      <c r="G323" s="173"/>
      <c r="H323" s="174"/>
      <c r="J323" s="208" t="str">
        <v xml:space="preserve">  </v>
      </c>
      <c r="K323" s="172"/>
      <c r="L323" s="173"/>
      <c r="M323" s="173"/>
      <c r="N323" s="173"/>
      <c r="O323" s="173"/>
      <c r="P323" s="174"/>
      <c r="R323" s="208" t="str">
        <v xml:space="preserve">  </v>
      </c>
      <c r="S323" s="172"/>
      <c r="T323" s="173"/>
      <c r="U323" s="173"/>
      <c r="V323" s="173"/>
      <c r="W323" s="173"/>
      <c r="X323" s="174"/>
      <c r="Y323" s="159"/>
      <c r="Z323" s="208" t="str">
        <v xml:space="preserve">  </v>
      </c>
      <c r="AA323" s="172"/>
      <c r="AB323" s="173"/>
      <c r="AC323" s="173"/>
      <c r="AD323" s="173"/>
      <c r="AE323" s="173"/>
      <c r="AF323" s="174"/>
      <c r="AG323" s="178"/>
      <c r="AH323" s="208" t="str">
        <v xml:space="preserve">  </v>
      </c>
      <c r="AI323" s="172"/>
      <c r="AJ323" s="173"/>
      <c r="AK323" s="173"/>
      <c r="AL323" s="173"/>
      <c r="AM323" s="173"/>
      <c r="AN323" s="174"/>
      <c r="AO323" s="178"/>
      <c r="AP323" s="208" t="str">
        <v xml:space="preserve">  </v>
      </c>
      <c r="AQ323" s="172"/>
      <c r="AR323" s="173"/>
      <c r="AS323" s="173"/>
      <c r="AT323" s="173"/>
      <c r="AU323" s="173"/>
      <c r="AV323" s="174"/>
    </row>
    <row r="324" spans="1:48">
      <c r="A324" s="204">
        <v>98</v>
      </c>
      <c r="B324" s="208" t="str">
        <v xml:space="preserve">  </v>
      </c>
      <c r="C324" s="172"/>
      <c r="D324" s="173"/>
      <c r="E324" s="173"/>
      <c r="F324" s="173"/>
      <c r="G324" s="173"/>
      <c r="H324" s="174"/>
      <c r="J324" s="208" t="str">
        <v xml:space="preserve">  </v>
      </c>
      <c r="K324" s="172"/>
      <c r="L324" s="173"/>
      <c r="M324" s="173"/>
      <c r="N324" s="173"/>
      <c r="O324" s="173"/>
      <c r="P324" s="174"/>
      <c r="R324" s="208" t="str">
        <v xml:space="preserve">  </v>
      </c>
      <c r="S324" s="172"/>
      <c r="T324" s="173"/>
      <c r="U324" s="173"/>
      <c r="V324" s="173"/>
      <c r="W324" s="173"/>
      <c r="X324" s="174"/>
      <c r="Y324" s="159"/>
      <c r="Z324" s="208" t="str">
        <v xml:space="preserve">  </v>
      </c>
      <c r="AA324" s="172"/>
      <c r="AB324" s="173"/>
      <c r="AC324" s="173"/>
      <c r="AD324" s="173"/>
      <c r="AE324" s="173"/>
      <c r="AF324" s="174"/>
      <c r="AG324" s="178"/>
      <c r="AH324" s="208" t="str">
        <v xml:space="preserve">  </v>
      </c>
      <c r="AI324" s="172"/>
      <c r="AJ324" s="173"/>
      <c r="AK324" s="173"/>
      <c r="AL324" s="173"/>
      <c r="AM324" s="173"/>
      <c r="AN324" s="174"/>
      <c r="AO324" s="178"/>
      <c r="AP324" s="208" t="str">
        <v xml:space="preserve">  </v>
      </c>
      <c r="AQ324" s="172"/>
      <c r="AR324" s="173"/>
      <c r="AS324" s="173"/>
      <c r="AT324" s="173"/>
      <c r="AU324" s="173"/>
      <c r="AV324" s="174"/>
    </row>
    <row r="325" spans="1:48">
      <c r="A325" s="204">
        <v>99</v>
      </c>
      <c r="B325" s="208" t="str">
        <v xml:space="preserve">  </v>
      </c>
      <c r="C325" s="172"/>
      <c r="D325" s="173"/>
      <c r="E325" s="173"/>
      <c r="F325" s="173"/>
      <c r="G325" s="173"/>
      <c r="H325" s="174"/>
      <c r="J325" s="208" t="str">
        <v xml:space="preserve">  </v>
      </c>
      <c r="K325" s="172"/>
      <c r="L325" s="173"/>
      <c r="M325" s="173"/>
      <c r="N325" s="173"/>
      <c r="O325" s="173"/>
      <c r="P325" s="174"/>
      <c r="R325" s="208" t="str">
        <v xml:space="preserve">  </v>
      </c>
      <c r="S325" s="172"/>
      <c r="T325" s="173"/>
      <c r="U325" s="173"/>
      <c r="V325" s="173"/>
      <c r="W325" s="173"/>
      <c r="X325" s="174"/>
      <c r="Y325" s="159"/>
      <c r="Z325" s="208" t="str">
        <v xml:space="preserve">  </v>
      </c>
      <c r="AA325" s="172"/>
      <c r="AB325" s="173"/>
      <c r="AC325" s="173"/>
      <c r="AD325" s="173"/>
      <c r="AE325" s="173"/>
      <c r="AF325" s="174"/>
      <c r="AG325" s="178"/>
      <c r="AH325" s="208" t="str">
        <v xml:space="preserve">  </v>
      </c>
      <c r="AI325" s="172"/>
      <c r="AJ325" s="173"/>
      <c r="AK325" s="173"/>
      <c r="AL325" s="173"/>
      <c r="AM325" s="173"/>
      <c r="AN325" s="174"/>
      <c r="AO325" s="178"/>
      <c r="AP325" s="208" t="str">
        <v xml:space="preserve">  </v>
      </c>
      <c r="AQ325" s="172"/>
      <c r="AR325" s="173"/>
      <c r="AS325" s="173"/>
      <c r="AT325" s="173"/>
      <c r="AU325" s="173"/>
      <c r="AV325" s="174"/>
    </row>
    <row r="326" spans="1:48">
      <c r="A326" s="204">
        <v>100</v>
      </c>
      <c r="B326" s="209" t="str">
        <v xml:space="preserve">  </v>
      </c>
      <c r="C326" s="179"/>
      <c r="D326" s="180"/>
      <c r="E326" s="180"/>
      <c r="F326" s="180"/>
      <c r="G326" s="180"/>
      <c r="H326" s="181"/>
      <c r="J326" s="209" t="str">
        <v xml:space="preserve">  </v>
      </c>
      <c r="K326" s="179"/>
      <c r="L326" s="180"/>
      <c r="M326" s="180"/>
      <c r="N326" s="180"/>
      <c r="O326" s="180"/>
      <c r="P326" s="181"/>
      <c r="R326" s="209" t="str">
        <v xml:space="preserve">  </v>
      </c>
      <c r="S326" s="179"/>
      <c r="T326" s="180"/>
      <c r="U326" s="180"/>
      <c r="V326" s="180"/>
      <c r="W326" s="180"/>
      <c r="X326" s="181"/>
      <c r="Y326" s="159"/>
      <c r="Z326" s="209" t="str">
        <v xml:space="preserve">  </v>
      </c>
      <c r="AA326" s="179"/>
      <c r="AB326" s="180"/>
      <c r="AC326" s="180"/>
      <c r="AD326" s="180"/>
      <c r="AE326" s="180"/>
      <c r="AF326" s="181"/>
      <c r="AG326" s="178"/>
      <c r="AH326" s="209" t="str">
        <v xml:space="preserve">  </v>
      </c>
      <c r="AI326" s="179"/>
      <c r="AJ326" s="180"/>
      <c r="AK326" s="180"/>
      <c r="AL326" s="180"/>
      <c r="AM326" s="180"/>
      <c r="AN326" s="181"/>
      <c r="AO326" s="178"/>
      <c r="AP326" s="209" t="str">
        <v xml:space="preserve">  </v>
      </c>
      <c r="AQ326" s="179"/>
      <c r="AR326" s="180"/>
      <c r="AS326" s="180"/>
      <c r="AT326" s="180"/>
      <c r="AU326" s="180"/>
      <c r="AV326" s="181"/>
    </row>
    <row r="327" spans="1:48">
      <c r="A327" s="151" t="s">
        <v>12</v>
      </c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H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151" t="s">
        <v>12</v>
      </c>
      <c r="O327" s="151" t="s">
        <v>12</v>
      </c>
      <c r="P327" s="151" t="s">
        <v>12</v>
      </c>
      <c r="Q327" s="151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X327" s="151" t="s">
        <v>12</v>
      </c>
      <c r="Y327" s="159"/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E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L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  <c r="AS327" s="151" t="s">
        <v>12</v>
      </c>
      <c r="AT327" s="151" t="s">
        <v>12</v>
      </c>
      <c r="AU327" s="151" t="s">
        <v>12</v>
      </c>
      <c r="AV327" s="151" t="s">
        <v>12</v>
      </c>
    </row>
    <row r="328" spans="1:48">
      <c r="Y328" s="159"/>
    </row>
    <row r="329" spans="1:48">
      <c r="Y329" s="159"/>
    </row>
    <row r="330" spans="1:48">
      <c r="C330" s="185"/>
      <c r="D330" s="185"/>
      <c r="E330" s="185"/>
      <c r="F330" s="185"/>
      <c r="G330" s="185"/>
      <c r="H330" s="185"/>
      <c r="I330" s="185"/>
      <c r="J330" s="185"/>
      <c r="Q330" s="160"/>
      <c r="R330" s="160"/>
      <c r="S330" s="155"/>
      <c r="Y330" s="159"/>
      <c r="Z330" s="155"/>
      <c r="AA330" s="155"/>
      <c r="AB330" s="155"/>
      <c r="AC330" s="155"/>
      <c r="AD330" s="155"/>
      <c r="AE330" s="155"/>
      <c r="AF330" s="155"/>
      <c r="AG330" s="155"/>
      <c r="AH330" s="155"/>
      <c r="AI330" s="155"/>
      <c r="AJ330" s="155"/>
      <c r="AK330" s="155"/>
      <c r="AL330" s="155"/>
      <c r="AM330" s="155"/>
      <c r="AN330" s="160"/>
      <c r="AO330" s="155"/>
      <c r="AP330" s="155"/>
      <c r="AQ330" s="155"/>
      <c r="AR330" s="155"/>
      <c r="AS330" s="155"/>
      <c r="AT330" s="155"/>
      <c r="AU330" s="155"/>
      <c r="AV330" s="160"/>
    </row>
    <row r="331" spans="1:48">
      <c r="C331" s="160" t="s">
        <v>769</v>
      </c>
      <c r="D331" s="160"/>
      <c r="E331" s="160"/>
      <c r="F331" s="160"/>
      <c r="G331" s="160"/>
      <c r="H331" s="160"/>
      <c r="I331" s="160"/>
      <c r="J331" s="160"/>
      <c r="K331" s="160" t="s">
        <v>770</v>
      </c>
      <c r="Q331" s="160"/>
      <c r="R331" s="160"/>
      <c r="S331" s="160" t="s">
        <v>771</v>
      </c>
      <c r="T331" s="160"/>
      <c r="U331" s="160"/>
      <c r="V331" s="160"/>
      <c r="W331" s="160"/>
      <c r="X331" s="160"/>
      <c r="Y331" s="159"/>
      <c r="Z331" s="160"/>
      <c r="AA331" s="160" t="s">
        <v>772</v>
      </c>
      <c r="AB331" s="160"/>
      <c r="AC331" s="160"/>
      <c r="AD331" s="160"/>
      <c r="AE331" s="160"/>
      <c r="AF331" s="160"/>
      <c r="AG331" s="160"/>
      <c r="AH331" s="160"/>
      <c r="AI331" s="160" t="s">
        <v>773</v>
      </c>
      <c r="AJ331" s="160"/>
      <c r="AK331" s="160"/>
      <c r="AL331" s="160"/>
      <c r="AM331" s="160"/>
      <c r="AN331" s="160"/>
      <c r="AO331" s="160"/>
      <c r="AP331" s="160"/>
      <c r="AQ331" s="160" t="s">
        <v>774</v>
      </c>
      <c r="AS331" s="160"/>
      <c r="AT331" s="160"/>
      <c r="AU331" s="160"/>
      <c r="AV331" s="160"/>
    </row>
    <row r="332" spans="1:48">
      <c r="Y332" s="159"/>
    </row>
    <row r="333" spans="1:48">
      <c r="B333" s="162" t="s">
        <v>380</v>
      </c>
      <c r="C333" s="162" t="s">
        <v>376</v>
      </c>
      <c r="D333" s="162" t="s">
        <v>377</v>
      </c>
      <c r="E333" s="162" t="s">
        <v>378</v>
      </c>
      <c r="F333" s="162" t="s">
        <v>907</v>
      </c>
      <c r="G333" s="162" t="s">
        <v>890</v>
      </c>
      <c r="H333" s="162" t="s">
        <v>379</v>
      </c>
      <c r="J333" s="162" t="s">
        <v>380</v>
      </c>
      <c r="K333" s="162" t="s">
        <v>376</v>
      </c>
      <c r="L333" s="162" t="s">
        <v>377</v>
      </c>
      <c r="M333" s="162" t="s">
        <v>378</v>
      </c>
      <c r="N333" s="162" t="s">
        <v>907</v>
      </c>
      <c r="O333" s="162" t="s">
        <v>890</v>
      </c>
      <c r="P333" s="162" t="s">
        <v>379</v>
      </c>
      <c r="R333" s="162" t="s">
        <v>380</v>
      </c>
      <c r="S333" s="162" t="s">
        <v>376</v>
      </c>
      <c r="T333" s="162" t="s">
        <v>377</v>
      </c>
      <c r="U333" s="162" t="s">
        <v>378</v>
      </c>
      <c r="V333" s="162" t="s">
        <v>907</v>
      </c>
      <c r="W333" s="162" t="s">
        <v>890</v>
      </c>
      <c r="X333" s="162" t="s">
        <v>379</v>
      </c>
      <c r="Y333" s="159"/>
      <c r="Z333" s="162" t="s">
        <v>380</v>
      </c>
      <c r="AA333" s="162" t="s">
        <v>376</v>
      </c>
      <c r="AB333" s="162" t="s">
        <v>377</v>
      </c>
      <c r="AC333" s="162" t="s">
        <v>378</v>
      </c>
      <c r="AD333" s="162" t="s">
        <v>907</v>
      </c>
      <c r="AE333" s="162" t="s">
        <v>890</v>
      </c>
      <c r="AF333" s="162" t="s">
        <v>379</v>
      </c>
      <c r="AG333" s="159"/>
      <c r="AH333" s="162" t="s">
        <v>380</v>
      </c>
      <c r="AI333" s="162" t="s">
        <v>376</v>
      </c>
      <c r="AJ333" s="162" t="s">
        <v>377</v>
      </c>
      <c r="AK333" s="162" t="s">
        <v>378</v>
      </c>
      <c r="AL333" s="162" t="s">
        <v>907</v>
      </c>
      <c r="AM333" s="162" t="s">
        <v>890</v>
      </c>
      <c r="AN333" s="162" t="s">
        <v>379</v>
      </c>
      <c r="AO333" s="159"/>
      <c r="AP333" s="162" t="s">
        <v>380</v>
      </c>
      <c r="AQ333" s="162" t="s">
        <v>376</v>
      </c>
      <c r="AR333" s="162" t="s">
        <v>377</v>
      </c>
      <c r="AS333" s="162" t="s">
        <v>378</v>
      </c>
      <c r="AT333" s="162" t="s">
        <v>907</v>
      </c>
      <c r="AU333" s="162" t="s">
        <v>890</v>
      </c>
      <c r="AV333" s="162" t="s">
        <v>379</v>
      </c>
    </row>
    <row r="334" spans="1:48">
      <c r="A334" s="204">
        <v>1</v>
      </c>
      <c r="B334" s="207" t="str">
        <f t="array" ref="B334:B433">getAllTickers(C334:H433,100)</f>
        <v>MUTSCALM MTRT Index</v>
      </c>
      <c r="C334" s="163" t="s">
        <v>781</v>
      </c>
      <c r="D334" s="164" t="s">
        <v>2264</v>
      </c>
      <c r="E334" s="164" t="s">
        <v>388</v>
      </c>
      <c r="F334" s="164" t="s">
        <v>189</v>
      </c>
      <c r="G334" s="164" t="s">
        <v>70</v>
      </c>
      <c r="H334" s="165" t="b">
        <v>1</v>
      </c>
      <c r="J334" s="207" t="str">
        <f t="array" ref="J334:J433">getAllTickers(K334:P433,100)</f>
        <v>JY0006M MTRT Index</v>
      </c>
      <c r="K334" s="163" t="s">
        <v>782</v>
      </c>
      <c r="L334" s="164" t="s">
        <v>2264</v>
      </c>
      <c r="M334" s="164" t="s">
        <v>388</v>
      </c>
      <c r="N334" s="164" t="s">
        <v>892</v>
      </c>
      <c r="O334" s="164" t="s">
        <v>22</v>
      </c>
      <c r="P334" s="165" t="b">
        <v>1</v>
      </c>
      <c r="R334" s="207" t="str">
        <f t="array" ref="R334:R433">getAllTickers(S334:X433,100)</f>
        <v>JYBC1 MTRT Curncy</v>
      </c>
      <c r="S334" s="163" t="s">
        <v>783</v>
      </c>
      <c r="T334" s="164" t="s">
        <v>2264</v>
      </c>
      <c r="U334" s="164" t="s">
        <v>393</v>
      </c>
      <c r="V334" s="164" t="s">
        <v>909</v>
      </c>
      <c r="W334" s="164" t="s">
        <v>154</v>
      </c>
      <c r="X334" s="165" t="b">
        <v>1</v>
      </c>
      <c r="Y334" s="159"/>
      <c r="Z334" s="207" t="str">
        <f t="array" ref="Z334:Z433">getAllTickers(AA334:AF433,100)</f>
        <v>JYBB1 MTRT Curncy</v>
      </c>
      <c r="AA334" s="163" t="s">
        <v>784</v>
      </c>
      <c r="AB334" s="164" t="s">
        <v>2264</v>
      </c>
      <c r="AC334" s="164" t="s">
        <v>393</v>
      </c>
      <c r="AD334" s="164" t="s">
        <v>909</v>
      </c>
      <c r="AE334" s="164" t="s">
        <v>154</v>
      </c>
      <c r="AF334" s="165" t="b">
        <v>1</v>
      </c>
      <c r="AH334" s="207" t="str">
        <f t="array" ref="AH334:AH433">getAllTickers(AI334:AN433,100)</f>
        <v xml:space="preserve">  </v>
      </c>
      <c r="AI334" s="163"/>
      <c r="AJ334" s="164"/>
      <c r="AK334" s="164"/>
      <c r="AL334" s="164"/>
      <c r="AM334" s="164"/>
      <c r="AN334" s="165"/>
      <c r="AP334" s="207" t="str">
        <f t="array" ref="AP334:AP433">getAllTickers(AQ334:AV433,100)</f>
        <v>JYBS1 MTRT Curncy</v>
      </c>
      <c r="AQ334" s="163" t="s">
        <v>785</v>
      </c>
      <c r="AR334" s="164" t="s">
        <v>2264</v>
      </c>
      <c r="AS334" s="164" t="s">
        <v>393</v>
      </c>
      <c r="AT334" s="164" t="s">
        <v>910</v>
      </c>
      <c r="AU334" s="164" t="s">
        <v>154</v>
      </c>
      <c r="AV334" s="165" t="b">
        <v>1</v>
      </c>
    </row>
    <row r="335" spans="1:48">
      <c r="A335" s="204">
        <v>2</v>
      </c>
      <c r="B335" s="208" t="str">
        <v>JYSO1Z MTRT Curncy</v>
      </c>
      <c r="C335" s="172" t="s">
        <v>786</v>
      </c>
      <c r="D335" s="173" t="s">
        <v>2264</v>
      </c>
      <c r="E335" s="173" t="s">
        <v>393</v>
      </c>
      <c r="F335" s="173" t="s">
        <v>189</v>
      </c>
      <c r="G335" s="173" t="s">
        <v>94</v>
      </c>
      <c r="H335" s="174" t="b">
        <v>0</v>
      </c>
      <c r="J335" s="208" t="str">
        <v>JYFR1/7 MTRT Curncy</v>
      </c>
      <c r="K335" s="172" t="s">
        <v>787</v>
      </c>
      <c r="L335" s="173" t="s">
        <v>2264</v>
      </c>
      <c r="M335" s="173" t="s">
        <v>393</v>
      </c>
      <c r="N335" s="173" t="s">
        <v>508</v>
      </c>
      <c r="O335" s="173" t="s">
        <v>69</v>
      </c>
      <c r="P335" s="174" t="b">
        <v>0</v>
      </c>
      <c r="R335" s="208" t="str">
        <v>JYBC2 MTRT Curncy</v>
      </c>
      <c r="S335" s="172" t="s">
        <v>788</v>
      </c>
      <c r="T335" s="173" t="s">
        <v>2264</v>
      </c>
      <c r="U335" s="173" t="s">
        <v>393</v>
      </c>
      <c r="V335" s="173" t="s">
        <v>909</v>
      </c>
      <c r="W335" s="173" t="s">
        <v>40</v>
      </c>
      <c r="X335" s="174" t="b">
        <v>1</v>
      </c>
      <c r="Y335" s="159"/>
      <c r="Z335" s="208" t="str">
        <v>JYBB2 MTRT Curncy</v>
      </c>
      <c r="AA335" s="172" t="s">
        <v>789</v>
      </c>
      <c r="AB335" s="173" t="s">
        <v>2264</v>
      </c>
      <c r="AC335" s="173" t="s">
        <v>393</v>
      </c>
      <c r="AD335" s="173" t="s">
        <v>909</v>
      </c>
      <c r="AE335" s="173" t="s">
        <v>40</v>
      </c>
      <c r="AF335" s="174" t="b">
        <v>1</v>
      </c>
      <c r="AH335" s="208" t="str">
        <v xml:space="preserve">  </v>
      </c>
      <c r="AI335" s="172"/>
      <c r="AJ335" s="173"/>
      <c r="AK335" s="173"/>
      <c r="AL335" s="173"/>
      <c r="AM335" s="173"/>
      <c r="AN335" s="174"/>
      <c r="AP335" s="208" t="str">
        <v>JYBS2 MTRT Curncy</v>
      </c>
      <c r="AQ335" s="172" t="s">
        <v>790</v>
      </c>
      <c r="AR335" s="173" t="s">
        <v>2264</v>
      </c>
      <c r="AS335" s="173" t="s">
        <v>393</v>
      </c>
      <c r="AT335" s="173" t="s">
        <v>910</v>
      </c>
      <c r="AU335" s="173" t="s">
        <v>40</v>
      </c>
      <c r="AV335" s="174" t="b">
        <v>1</v>
      </c>
    </row>
    <row r="336" spans="1:48">
      <c r="A336" s="204">
        <v>3</v>
      </c>
      <c r="B336" s="208" t="str">
        <v>JYSO2Z MTRT Curncy</v>
      </c>
      <c r="C336" s="172" t="s">
        <v>791</v>
      </c>
      <c r="D336" s="173" t="s">
        <v>2264</v>
      </c>
      <c r="E336" s="173" t="s">
        <v>393</v>
      </c>
      <c r="F336" s="173" t="s">
        <v>189</v>
      </c>
      <c r="G336" s="173" t="s">
        <v>91</v>
      </c>
      <c r="H336" s="174" t="b">
        <v>0</v>
      </c>
      <c r="J336" s="208" t="str">
        <v>JYFR2/8 MTRT Curncy</v>
      </c>
      <c r="K336" s="172" t="s">
        <v>792</v>
      </c>
      <c r="L336" s="173" t="s">
        <v>2264</v>
      </c>
      <c r="M336" s="173" t="s">
        <v>393</v>
      </c>
      <c r="N336" s="173" t="s">
        <v>508</v>
      </c>
      <c r="O336" s="173" t="s">
        <v>66</v>
      </c>
      <c r="P336" s="174" t="b">
        <v>1</v>
      </c>
      <c r="R336" s="208" t="str">
        <v>JYBC3 MTRT Curncy</v>
      </c>
      <c r="S336" s="172" t="s">
        <v>793</v>
      </c>
      <c r="T336" s="173" t="s">
        <v>2264</v>
      </c>
      <c r="U336" s="173" t="s">
        <v>393</v>
      </c>
      <c r="V336" s="173" t="s">
        <v>909</v>
      </c>
      <c r="W336" s="173" t="s">
        <v>37</v>
      </c>
      <c r="X336" s="174" t="b">
        <v>1</v>
      </c>
      <c r="Y336" s="159"/>
      <c r="Z336" s="208" t="str">
        <v>JYBB3 MTRT Curncy</v>
      </c>
      <c r="AA336" s="172" t="s">
        <v>794</v>
      </c>
      <c r="AB336" s="173" t="s">
        <v>2264</v>
      </c>
      <c r="AC336" s="173" t="s">
        <v>393</v>
      </c>
      <c r="AD336" s="173" t="s">
        <v>909</v>
      </c>
      <c r="AE336" s="173" t="s">
        <v>37</v>
      </c>
      <c r="AF336" s="174" t="b">
        <v>1</v>
      </c>
      <c r="AH336" s="208" t="str">
        <v xml:space="preserve">  </v>
      </c>
      <c r="AI336" s="172"/>
      <c r="AJ336" s="173"/>
      <c r="AK336" s="173"/>
      <c r="AL336" s="173"/>
      <c r="AM336" s="173"/>
      <c r="AN336" s="174"/>
      <c r="AP336" s="208" t="str">
        <v>JYBS3 MTRT Curncy</v>
      </c>
      <c r="AQ336" s="172" t="s">
        <v>795</v>
      </c>
      <c r="AR336" s="173" t="s">
        <v>2264</v>
      </c>
      <c r="AS336" s="173" t="s">
        <v>393</v>
      </c>
      <c r="AT336" s="173" t="s">
        <v>910</v>
      </c>
      <c r="AU336" s="173" t="s">
        <v>37</v>
      </c>
      <c r="AV336" s="174" t="b">
        <v>1</v>
      </c>
    </row>
    <row r="337" spans="1:48">
      <c r="A337" s="204">
        <v>4</v>
      </c>
      <c r="B337" s="208" t="str">
        <v>JYSO3Z MTRT Curncy</v>
      </c>
      <c r="C337" s="172" t="s">
        <v>796</v>
      </c>
      <c r="D337" s="173" t="s">
        <v>2264</v>
      </c>
      <c r="E337" s="173" t="s">
        <v>393</v>
      </c>
      <c r="F337" s="173" t="s">
        <v>189</v>
      </c>
      <c r="G337" s="173" t="s">
        <v>87</v>
      </c>
      <c r="H337" s="174" t="b">
        <v>0</v>
      </c>
      <c r="J337" s="208" t="str">
        <v>JYFR3/9 MTRT Curncy</v>
      </c>
      <c r="K337" s="172" t="s">
        <v>797</v>
      </c>
      <c r="L337" s="173" t="s">
        <v>2264</v>
      </c>
      <c r="M337" s="173" t="s">
        <v>393</v>
      </c>
      <c r="N337" s="173" t="s">
        <v>508</v>
      </c>
      <c r="O337" s="173" t="s">
        <v>64</v>
      </c>
      <c r="P337" s="174" t="b">
        <v>1</v>
      </c>
      <c r="R337" s="208" t="str">
        <v>JYBC4 MTRT Curncy</v>
      </c>
      <c r="S337" s="172" t="s">
        <v>798</v>
      </c>
      <c r="T337" s="173" t="s">
        <v>2264</v>
      </c>
      <c r="U337" s="173" t="s">
        <v>393</v>
      </c>
      <c r="V337" s="173" t="s">
        <v>909</v>
      </c>
      <c r="W337" s="173" t="s">
        <v>33</v>
      </c>
      <c r="X337" s="174" t="b">
        <v>1</v>
      </c>
      <c r="Y337" s="159"/>
      <c r="Z337" s="208" t="str">
        <v>JYBB4 MTRT Curncy</v>
      </c>
      <c r="AA337" s="172" t="s">
        <v>799</v>
      </c>
      <c r="AB337" s="173" t="s">
        <v>2264</v>
      </c>
      <c r="AC337" s="173" t="s">
        <v>393</v>
      </c>
      <c r="AD337" s="173" t="s">
        <v>909</v>
      </c>
      <c r="AE337" s="173" t="s">
        <v>33</v>
      </c>
      <c r="AF337" s="174" t="b">
        <v>1</v>
      </c>
      <c r="AH337" s="208" t="str">
        <v xml:space="preserve">  </v>
      </c>
      <c r="AI337" s="172"/>
      <c r="AJ337" s="173"/>
      <c r="AK337" s="173"/>
      <c r="AL337" s="173"/>
      <c r="AM337" s="173"/>
      <c r="AN337" s="174"/>
      <c r="AP337" s="208" t="str">
        <v>JYBS4 MTRT Curncy</v>
      </c>
      <c r="AQ337" s="172" t="s">
        <v>800</v>
      </c>
      <c r="AR337" s="173" t="s">
        <v>2264</v>
      </c>
      <c r="AS337" s="173" t="s">
        <v>393</v>
      </c>
      <c r="AT337" s="173" t="s">
        <v>910</v>
      </c>
      <c r="AU337" s="173" t="s">
        <v>33</v>
      </c>
      <c r="AV337" s="174" t="b">
        <v>1</v>
      </c>
    </row>
    <row r="338" spans="1:48">
      <c r="A338" s="204">
        <v>5</v>
      </c>
      <c r="B338" s="208" t="str">
        <v>JYSOA MTRT Curncy</v>
      </c>
      <c r="C338" s="172" t="s">
        <v>801</v>
      </c>
      <c r="D338" s="173" t="s">
        <v>2264</v>
      </c>
      <c r="E338" s="173" t="s">
        <v>393</v>
      </c>
      <c r="F338" s="173" t="s">
        <v>189</v>
      </c>
      <c r="G338" s="173" t="s">
        <v>20</v>
      </c>
      <c r="H338" s="174" t="b">
        <v>1</v>
      </c>
      <c r="J338" s="208" t="str">
        <v>JYFR4/10 MTRT Curncy</v>
      </c>
      <c r="K338" s="172" t="s">
        <v>802</v>
      </c>
      <c r="L338" s="173" t="s">
        <v>2264</v>
      </c>
      <c r="M338" s="173" t="s">
        <v>393</v>
      </c>
      <c r="N338" s="173" t="s">
        <v>508</v>
      </c>
      <c r="O338" s="173" t="s">
        <v>60</v>
      </c>
      <c r="P338" s="174" t="b">
        <v>1</v>
      </c>
      <c r="R338" s="208" t="str">
        <v>JYBC5 MTRT Curncy</v>
      </c>
      <c r="S338" s="172" t="s">
        <v>803</v>
      </c>
      <c r="T338" s="173" t="s">
        <v>2264</v>
      </c>
      <c r="U338" s="173" t="s">
        <v>393</v>
      </c>
      <c r="V338" s="173" t="s">
        <v>909</v>
      </c>
      <c r="W338" s="173" t="s">
        <v>31</v>
      </c>
      <c r="X338" s="174" t="b">
        <v>1</v>
      </c>
      <c r="Y338" s="159"/>
      <c r="Z338" s="208" t="str">
        <v>JYBB5 MTRT Curncy</v>
      </c>
      <c r="AA338" s="172" t="s">
        <v>804</v>
      </c>
      <c r="AB338" s="173" t="s">
        <v>2264</v>
      </c>
      <c r="AC338" s="173" t="s">
        <v>393</v>
      </c>
      <c r="AD338" s="173" t="s">
        <v>909</v>
      </c>
      <c r="AE338" s="173" t="s">
        <v>31</v>
      </c>
      <c r="AF338" s="174" t="b">
        <v>1</v>
      </c>
      <c r="AH338" s="208" t="str">
        <v xml:space="preserve">  </v>
      </c>
      <c r="AI338" s="172"/>
      <c r="AJ338" s="173"/>
      <c r="AK338" s="173"/>
      <c r="AL338" s="173"/>
      <c r="AM338" s="173"/>
      <c r="AN338" s="174"/>
      <c r="AP338" s="208" t="str">
        <v>JYBS5 MTRT Curncy</v>
      </c>
      <c r="AQ338" s="172" t="s">
        <v>805</v>
      </c>
      <c r="AR338" s="173" t="s">
        <v>2264</v>
      </c>
      <c r="AS338" s="173" t="s">
        <v>393</v>
      </c>
      <c r="AT338" s="173" t="s">
        <v>910</v>
      </c>
      <c r="AU338" s="173" t="s">
        <v>31</v>
      </c>
      <c r="AV338" s="174" t="b">
        <v>1</v>
      </c>
    </row>
    <row r="339" spans="1:48">
      <c r="A339" s="204">
        <v>6</v>
      </c>
      <c r="B339" s="208" t="str">
        <v>JYSOB MTRT Curncy</v>
      </c>
      <c r="C339" s="172" t="s">
        <v>806</v>
      </c>
      <c r="D339" s="173" t="s">
        <v>2264</v>
      </c>
      <c r="E339" s="173" t="s">
        <v>393</v>
      </c>
      <c r="F339" s="173" t="s">
        <v>189</v>
      </c>
      <c r="G339" s="173" t="s">
        <v>57</v>
      </c>
      <c r="H339" s="174" t="b">
        <v>0</v>
      </c>
      <c r="J339" s="208" t="str">
        <v>JYFR5/11 MTRT Curncy</v>
      </c>
      <c r="K339" s="172" t="s">
        <v>807</v>
      </c>
      <c r="L339" s="173" t="s">
        <v>2264</v>
      </c>
      <c r="M339" s="173" t="s">
        <v>393</v>
      </c>
      <c r="N339" s="173" t="s">
        <v>508</v>
      </c>
      <c r="O339" s="173" t="s">
        <v>56</v>
      </c>
      <c r="P339" s="174" t="b">
        <v>1</v>
      </c>
      <c r="R339" s="208" t="str">
        <v>JYBC6 MTRT Curncy</v>
      </c>
      <c r="S339" s="172" t="s">
        <v>808</v>
      </c>
      <c r="T339" s="173" t="s">
        <v>2264</v>
      </c>
      <c r="U339" s="173" t="s">
        <v>393</v>
      </c>
      <c r="V339" s="173" t="s">
        <v>909</v>
      </c>
      <c r="W339" s="173" t="s">
        <v>127</v>
      </c>
      <c r="X339" s="174" t="b">
        <v>1</v>
      </c>
      <c r="Y339" s="159"/>
      <c r="Z339" s="208" t="str">
        <v>JYBB6 MTRT Curncy</v>
      </c>
      <c r="AA339" s="172" t="s">
        <v>809</v>
      </c>
      <c r="AB339" s="173" t="s">
        <v>2264</v>
      </c>
      <c r="AC339" s="173" t="s">
        <v>393</v>
      </c>
      <c r="AD339" s="173" t="s">
        <v>909</v>
      </c>
      <c r="AE339" s="173" t="s">
        <v>127</v>
      </c>
      <c r="AF339" s="174" t="b">
        <v>1</v>
      </c>
      <c r="AH339" s="208" t="str">
        <v xml:space="preserve">  </v>
      </c>
      <c r="AI339" s="172"/>
      <c r="AJ339" s="173"/>
      <c r="AK339" s="173"/>
      <c r="AL339" s="173"/>
      <c r="AM339" s="173"/>
      <c r="AN339" s="174"/>
      <c r="AP339" s="208" t="str">
        <v>JYBS6 MTRT Curncy</v>
      </c>
      <c r="AQ339" s="172" t="s">
        <v>810</v>
      </c>
      <c r="AR339" s="173" t="s">
        <v>2264</v>
      </c>
      <c r="AS339" s="173" t="s">
        <v>393</v>
      </c>
      <c r="AT339" s="173" t="s">
        <v>910</v>
      </c>
      <c r="AU339" s="173" t="s">
        <v>127</v>
      </c>
      <c r="AV339" s="174" t="b">
        <v>1</v>
      </c>
    </row>
    <row r="340" spans="1:48">
      <c r="A340" s="204">
        <v>7</v>
      </c>
      <c r="B340" s="208" t="str">
        <v>JYSOC MTRT Curncy</v>
      </c>
      <c r="C340" s="172" t="s">
        <v>811</v>
      </c>
      <c r="D340" s="173" t="s">
        <v>2264</v>
      </c>
      <c r="E340" s="173" t="s">
        <v>393</v>
      </c>
      <c r="F340" s="173" t="s">
        <v>189</v>
      </c>
      <c r="G340" s="173" t="s">
        <v>51</v>
      </c>
      <c r="H340" s="174" t="b">
        <v>1</v>
      </c>
      <c r="J340" s="208" t="str">
        <v>JYFR6/12 MTRT Curncy</v>
      </c>
      <c r="K340" s="172" t="s">
        <v>812</v>
      </c>
      <c r="L340" s="173" t="s">
        <v>2264</v>
      </c>
      <c r="M340" s="173" t="s">
        <v>393</v>
      </c>
      <c r="N340" s="173" t="s">
        <v>508</v>
      </c>
      <c r="O340" s="173" t="s">
        <v>319</v>
      </c>
      <c r="P340" s="174" t="b">
        <v>1</v>
      </c>
      <c r="R340" s="208" t="str">
        <v>JYBC7 MTRT Curncy</v>
      </c>
      <c r="S340" s="172" t="s">
        <v>813</v>
      </c>
      <c r="T340" s="173" t="s">
        <v>2264</v>
      </c>
      <c r="U340" s="173" t="s">
        <v>393</v>
      </c>
      <c r="V340" s="173" t="s">
        <v>909</v>
      </c>
      <c r="W340" s="173" t="s">
        <v>29</v>
      </c>
      <c r="X340" s="174" t="b">
        <v>1</v>
      </c>
      <c r="Y340" s="159"/>
      <c r="Z340" s="208" t="str">
        <v>JYBB7 MTRT Curncy</v>
      </c>
      <c r="AA340" s="172" t="s">
        <v>814</v>
      </c>
      <c r="AB340" s="173" t="s">
        <v>2264</v>
      </c>
      <c r="AC340" s="173" t="s">
        <v>393</v>
      </c>
      <c r="AD340" s="173" t="s">
        <v>909</v>
      </c>
      <c r="AE340" s="173" t="s">
        <v>29</v>
      </c>
      <c r="AF340" s="174" t="b">
        <v>1</v>
      </c>
      <c r="AH340" s="208" t="str">
        <v xml:space="preserve">  </v>
      </c>
      <c r="AI340" s="172"/>
      <c r="AJ340" s="173"/>
      <c r="AK340" s="173"/>
      <c r="AL340" s="173"/>
      <c r="AM340" s="173"/>
      <c r="AN340" s="174"/>
      <c r="AP340" s="208" t="str">
        <v>JYBS7 MTRT Curncy</v>
      </c>
      <c r="AQ340" s="172" t="s">
        <v>815</v>
      </c>
      <c r="AR340" s="173" t="s">
        <v>2264</v>
      </c>
      <c r="AS340" s="173" t="s">
        <v>393</v>
      </c>
      <c r="AT340" s="173" t="s">
        <v>910</v>
      </c>
      <c r="AU340" s="173" t="s">
        <v>29</v>
      </c>
      <c r="AV340" s="174" t="b">
        <v>1</v>
      </c>
    </row>
    <row r="341" spans="1:48">
      <c r="A341" s="204">
        <v>8</v>
      </c>
      <c r="B341" s="208" t="str">
        <v>JYSOD MTRT Curncy</v>
      </c>
      <c r="C341" s="172" t="s">
        <v>816</v>
      </c>
      <c r="D341" s="173" t="s">
        <v>2264</v>
      </c>
      <c r="E341" s="173" t="s">
        <v>393</v>
      </c>
      <c r="F341" s="173" t="s">
        <v>189</v>
      </c>
      <c r="G341" s="173" t="s">
        <v>72</v>
      </c>
      <c r="H341" s="174" t="b">
        <v>0</v>
      </c>
      <c r="J341" s="208" t="str">
        <v>JYSWAP1F MTRT Curncy</v>
      </c>
      <c r="K341" s="172" t="s">
        <v>817</v>
      </c>
      <c r="L341" s="173" t="s">
        <v>2264</v>
      </c>
      <c r="M341" s="173" t="s">
        <v>393</v>
      </c>
      <c r="N341" s="173" t="s">
        <v>472</v>
      </c>
      <c r="O341" s="173" t="s">
        <v>43</v>
      </c>
      <c r="P341" s="174" t="b">
        <v>0</v>
      </c>
      <c r="R341" s="208" t="str">
        <v>JYBC8 MTRT Curncy</v>
      </c>
      <c r="S341" s="172" t="s">
        <v>818</v>
      </c>
      <c r="T341" s="173" t="s">
        <v>2264</v>
      </c>
      <c r="U341" s="173" t="s">
        <v>393</v>
      </c>
      <c r="V341" s="173" t="s">
        <v>909</v>
      </c>
      <c r="W341" s="173" t="s">
        <v>115</v>
      </c>
      <c r="X341" s="174" t="b">
        <v>1</v>
      </c>
      <c r="Y341" s="159"/>
      <c r="Z341" s="208" t="str">
        <v>JYBB8 MTRT Curncy</v>
      </c>
      <c r="AA341" s="172" t="s">
        <v>819</v>
      </c>
      <c r="AB341" s="173" t="s">
        <v>2264</v>
      </c>
      <c r="AC341" s="173" t="s">
        <v>393</v>
      </c>
      <c r="AD341" s="173" t="s">
        <v>909</v>
      </c>
      <c r="AE341" s="173" t="s">
        <v>115</v>
      </c>
      <c r="AF341" s="174" t="b">
        <v>1</v>
      </c>
      <c r="AH341" s="208" t="str">
        <v xml:space="preserve">  </v>
      </c>
      <c r="AI341" s="172"/>
      <c r="AJ341" s="173"/>
      <c r="AK341" s="173"/>
      <c r="AL341" s="173"/>
      <c r="AM341" s="173"/>
      <c r="AN341" s="174"/>
      <c r="AP341" s="208" t="str">
        <v>JYBS8 MTRT Curncy</v>
      </c>
      <c r="AQ341" s="172" t="s">
        <v>820</v>
      </c>
      <c r="AR341" s="173" t="s">
        <v>2264</v>
      </c>
      <c r="AS341" s="173" t="s">
        <v>393</v>
      </c>
      <c r="AT341" s="173" t="s">
        <v>910</v>
      </c>
      <c r="AU341" s="173" t="s">
        <v>115</v>
      </c>
      <c r="AV341" s="174" t="b">
        <v>1</v>
      </c>
    </row>
    <row r="342" spans="1:48">
      <c r="A342" s="204">
        <v>9</v>
      </c>
      <c r="B342" s="208" t="str">
        <v>JYSOE MTRT Curncy</v>
      </c>
      <c r="C342" s="172" t="s">
        <v>821</v>
      </c>
      <c r="D342" s="173" t="s">
        <v>2264</v>
      </c>
      <c r="E342" s="173" t="s">
        <v>393</v>
      </c>
      <c r="F342" s="173" t="s">
        <v>189</v>
      </c>
      <c r="G342" s="173" t="s">
        <v>68</v>
      </c>
      <c r="H342" s="174" t="b">
        <v>0</v>
      </c>
      <c r="J342" s="208" t="str">
        <v>JYSWAP2 MTRT Curncy</v>
      </c>
      <c r="K342" s="172" t="s">
        <v>822</v>
      </c>
      <c r="L342" s="173" t="s">
        <v>2264</v>
      </c>
      <c r="M342" s="173" t="s">
        <v>393</v>
      </c>
      <c r="N342" s="173" t="s">
        <v>472</v>
      </c>
      <c r="O342" s="173" t="s">
        <v>40</v>
      </c>
      <c r="P342" s="174" t="b">
        <v>1</v>
      </c>
      <c r="R342" s="208" t="str">
        <v>JYBC9 MTRT Curncy</v>
      </c>
      <c r="S342" s="172" t="s">
        <v>823</v>
      </c>
      <c r="T342" s="173" t="s">
        <v>2264</v>
      </c>
      <c r="U342" s="173" t="s">
        <v>393</v>
      </c>
      <c r="V342" s="173" t="s">
        <v>909</v>
      </c>
      <c r="W342" s="173" t="s">
        <v>109</v>
      </c>
      <c r="X342" s="174" t="b">
        <v>1</v>
      </c>
      <c r="Y342" s="159"/>
      <c r="Z342" s="208" t="str">
        <v>JYBB9 MTRT Curncy</v>
      </c>
      <c r="AA342" s="172" t="s">
        <v>824</v>
      </c>
      <c r="AB342" s="173" t="s">
        <v>2264</v>
      </c>
      <c r="AC342" s="173" t="s">
        <v>393</v>
      </c>
      <c r="AD342" s="173" t="s">
        <v>909</v>
      </c>
      <c r="AE342" s="173" t="s">
        <v>109</v>
      </c>
      <c r="AF342" s="174" t="b">
        <v>1</v>
      </c>
      <c r="AH342" s="208" t="str">
        <v xml:space="preserve">  </v>
      </c>
      <c r="AI342" s="172"/>
      <c r="AJ342" s="173"/>
      <c r="AK342" s="173"/>
      <c r="AL342" s="173"/>
      <c r="AM342" s="173"/>
      <c r="AN342" s="174"/>
      <c r="AP342" s="208" t="str">
        <v>JYBS9 MTRT Curncy</v>
      </c>
      <c r="AQ342" s="172" t="s">
        <v>825</v>
      </c>
      <c r="AR342" s="173" t="s">
        <v>2264</v>
      </c>
      <c r="AS342" s="173" t="s">
        <v>393</v>
      </c>
      <c r="AT342" s="173" t="s">
        <v>910</v>
      </c>
      <c r="AU342" s="173" t="s">
        <v>109</v>
      </c>
      <c r="AV342" s="174" t="b">
        <v>1</v>
      </c>
    </row>
    <row r="343" spans="1:48">
      <c r="A343" s="204">
        <v>10</v>
      </c>
      <c r="B343" s="208" t="str">
        <v>JYSOF MTRT Curncy</v>
      </c>
      <c r="C343" s="172" t="s">
        <v>826</v>
      </c>
      <c r="D343" s="173" t="s">
        <v>2264</v>
      </c>
      <c r="E343" s="173" t="s">
        <v>393</v>
      </c>
      <c r="F343" s="173" t="s">
        <v>189</v>
      </c>
      <c r="G343" s="173" t="s">
        <v>22</v>
      </c>
      <c r="H343" s="174" t="b">
        <v>1</v>
      </c>
      <c r="J343" s="208" t="str">
        <v>JYSWAP3 MTRT Curncy</v>
      </c>
      <c r="K343" s="172" t="s">
        <v>827</v>
      </c>
      <c r="L343" s="173" t="s">
        <v>2264</v>
      </c>
      <c r="M343" s="173" t="s">
        <v>393</v>
      </c>
      <c r="N343" s="173" t="s">
        <v>472</v>
      </c>
      <c r="O343" s="173" t="s">
        <v>37</v>
      </c>
      <c r="P343" s="174" t="b">
        <v>1</v>
      </c>
      <c r="R343" s="208" t="str">
        <v>JYBC10 MTRT Curncy</v>
      </c>
      <c r="S343" s="172" t="s">
        <v>828</v>
      </c>
      <c r="T343" s="173" t="s">
        <v>2264</v>
      </c>
      <c r="U343" s="173" t="s">
        <v>393</v>
      </c>
      <c r="V343" s="173" t="s">
        <v>909</v>
      </c>
      <c r="W343" s="173" t="s">
        <v>27</v>
      </c>
      <c r="X343" s="174" t="b">
        <v>1</v>
      </c>
      <c r="Y343" s="159"/>
      <c r="Z343" s="208" t="str">
        <v>JYBB10 MTRT Curncy</v>
      </c>
      <c r="AA343" s="172" t="s">
        <v>829</v>
      </c>
      <c r="AB343" s="173" t="s">
        <v>2264</v>
      </c>
      <c r="AC343" s="173" t="s">
        <v>393</v>
      </c>
      <c r="AD343" s="173" t="s">
        <v>909</v>
      </c>
      <c r="AE343" s="173" t="s">
        <v>27</v>
      </c>
      <c r="AF343" s="174" t="b">
        <v>1</v>
      </c>
      <c r="AH343" s="208" t="str">
        <v xml:space="preserve">  </v>
      </c>
      <c r="AI343" s="172"/>
      <c r="AJ343" s="173"/>
      <c r="AK343" s="173"/>
      <c r="AL343" s="173"/>
      <c r="AM343" s="173"/>
      <c r="AN343" s="174"/>
      <c r="AP343" s="208" t="str">
        <v>JYBS10 MTRT Curncy</v>
      </c>
      <c r="AQ343" s="172" t="s">
        <v>830</v>
      </c>
      <c r="AR343" s="173" t="s">
        <v>2264</v>
      </c>
      <c r="AS343" s="173" t="s">
        <v>393</v>
      </c>
      <c r="AT343" s="173" t="s">
        <v>910</v>
      </c>
      <c r="AU343" s="173" t="s">
        <v>27</v>
      </c>
      <c r="AV343" s="174" t="b">
        <v>1</v>
      </c>
    </row>
    <row r="344" spans="1:48">
      <c r="A344" s="204">
        <v>11</v>
      </c>
      <c r="B344" s="208" t="str">
        <v>JYSOG MTRT Curncy</v>
      </c>
      <c r="C344" s="172" t="s">
        <v>831</v>
      </c>
      <c r="D344" s="173" t="s">
        <v>2264</v>
      </c>
      <c r="E344" s="173" t="s">
        <v>393</v>
      </c>
      <c r="F344" s="173" t="s">
        <v>189</v>
      </c>
      <c r="G344" s="173" t="s">
        <v>63</v>
      </c>
      <c r="H344" s="174" t="b">
        <v>0</v>
      </c>
      <c r="J344" s="208" t="str">
        <v>JYSWAP4 MTRT Curncy</v>
      </c>
      <c r="K344" s="172" t="s">
        <v>832</v>
      </c>
      <c r="L344" s="173" t="s">
        <v>2264</v>
      </c>
      <c r="M344" s="173" t="s">
        <v>393</v>
      </c>
      <c r="N344" s="173" t="s">
        <v>472</v>
      </c>
      <c r="O344" s="173" t="s">
        <v>33</v>
      </c>
      <c r="P344" s="174" t="b">
        <v>1</v>
      </c>
      <c r="R344" s="208" t="str">
        <v>JYBC11 MTRT Curncy</v>
      </c>
      <c r="S344" s="172" t="s">
        <v>833</v>
      </c>
      <c r="T344" s="173" t="s">
        <v>2264</v>
      </c>
      <c r="U344" s="173" t="s">
        <v>393</v>
      </c>
      <c r="V344" s="173" t="s">
        <v>909</v>
      </c>
      <c r="W344" s="173" t="s">
        <v>318</v>
      </c>
      <c r="X344" s="174" t="b">
        <v>1</v>
      </c>
      <c r="Y344" s="159"/>
      <c r="Z344" s="208" t="str">
        <v>JYBB12 MTRT Curncy</v>
      </c>
      <c r="AA344" s="172" t="s">
        <v>834</v>
      </c>
      <c r="AB344" s="173" t="s">
        <v>2264</v>
      </c>
      <c r="AC344" s="173" t="s">
        <v>393</v>
      </c>
      <c r="AD344" s="173" t="s">
        <v>909</v>
      </c>
      <c r="AE344" s="173" t="s">
        <v>25</v>
      </c>
      <c r="AF344" s="174" t="b">
        <v>1</v>
      </c>
      <c r="AH344" s="208" t="str">
        <v xml:space="preserve">  </v>
      </c>
      <c r="AI344" s="172"/>
      <c r="AJ344" s="173"/>
      <c r="AK344" s="173"/>
      <c r="AL344" s="173"/>
      <c r="AM344" s="173"/>
      <c r="AN344" s="174"/>
      <c r="AP344" s="208" t="str">
        <v>JYBS11 MTRT Curncy</v>
      </c>
      <c r="AQ344" s="172" t="s">
        <v>835</v>
      </c>
      <c r="AR344" s="173" t="s">
        <v>2264</v>
      </c>
      <c r="AS344" s="173" t="s">
        <v>393</v>
      </c>
      <c r="AT344" s="173" t="s">
        <v>910</v>
      </c>
      <c r="AU344" s="173" t="s">
        <v>318</v>
      </c>
      <c r="AV344" s="174" t="b">
        <v>1</v>
      </c>
    </row>
    <row r="345" spans="1:48">
      <c r="A345" s="204">
        <v>12</v>
      </c>
      <c r="B345" s="208" t="str">
        <v>JYSOH MTRT Curncy</v>
      </c>
      <c r="C345" s="172" t="s">
        <v>836</v>
      </c>
      <c r="D345" s="173" t="s">
        <v>2264</v>
      </c>
      <c r="E345" s="173" t="s">
        <v>393</v>
      </c>
      <c r="F345" s="173" t="s">
        <v>189</v>
      </c>
      <c r="G345" s="173" t="s">
        <v>59</v>
      </c>
      <c r="H345" s="174" t="b">
        <v>0</v>
      </c>
      <c r="J345" s="208" t="str">
        <v>JYSWAP5 MTRT Curncy</v>
      </c>
      <c r="K345" s="172" t="s">
        <v>837</v>
      </c>
      <c r="L345" s="173" t="s">
        <v>2264</v>
      </c>
      <c r="M345" s="173" t="s">
        <v>393</v>
      </c>
      <c r="N345" s="173" t="s">
        <v>472</v>
      </c>
      <c r="O345" s="173" t="s">
        <v>31</v>
      </c>
      <c r="P345" s="174" t="b">
        <v>1</v>
      </c>
      <c r="R345" s="208" t="str">
        <v>JYBC12 MTRT Curncy</v>
      </c>
      <c r="S345" s="172" t="s">
        <v>838</v>
      </c>
      <c r="T345" s="173" t="s">
        <v>2264</v>
      </c>
      <c r="U345" s="173" t="s">
        <v>393</v>
      </c>
      <c r="V345" s="173" t="s">
        <v>909</v>
      </c>
      <c r="W345" s="173" t="s">
        <v>25</v>
      </c>
      <c r="X345" s="174" t="b">
        <v>1</v>
      </c>
      <c r="Y345" s="159"/>
      <c r="Z345" s="208" t="str">
        <v>JYBB15 MTRT Curncy</v>
      </c>
      <c r="AA345" s="172" t="s">
        <v>839</v>
      </c>
      <c r="AB345" s="173" t="s">
        <v>2264</v>
      </c>
      <c r="AC345" s="173" t="s">
        <v>393</v>
      </c>
      <c r="AD345" s="173" t="s">
        <v>909</v>
      </c>
      <c r="AE345" s="173" t="s">
        <v>23</v>
      </c>
      <c r="AF345" s="174" t="b">
        <v>1</v>
      </c>
      <c r="AH345" s="208" t="str">
        <v xml:space="preserve">  </v>
      </c>
      <c r="AI345" s="172"/>
      <c r="AJ345" s="173"/>
      <c r="AK345" s="173"/>
      <c r="AL345" s="173"/>
      <c r="AM345" s="173"/>
      <c r="AN345" s="174"/>
      <c r="AP345" s="208" t="str">
        <v>JYBS12 MTRT Curncy</v>
      </c>
      <c r="AQ345" s="172" t="s">
        <v>840</v>
      </c>
      <c r="AR345" s="173" t="s">
        <v>2264</v>
      </c>
      <c r="AS345" s="173" t="s">
        <v>393</v>
      </c>
      <c r="AT345" s="173" t="s">
        <v>910</v>
      </c>
      <c r="AU345" s="173" t="s">
        <v>25</v>
      </c>
      <c r="AV345" s="174" t="b">
        <v>1</v>
      </c>
    </row>
    <row r="346" spans="1:48">
      <c r="A346" s="204">
        <v>13</v>
      </c>
      <c r="B346" s="208" t="str">
        <v>JYSOI MTRT Curncy</v>
      </c>
      <c r="C346" s="172" t="s">
        <v>841</v>
      </c>
      <c r="D346" s="173" t="s">
        <v>2264</v>
      </c>
      <c r="E346" s="173" t="s">
        <v>393</v>
      </c>
      <c r="F346" s="173" t="s">
        <v>189</v>
      </c>
      <c r="G346" s="173" t="s">
        <v>55</v>
      </c>
      <c r="H346" s="174" t="b">
        <v>0</v>
      </c>
      <c r="J346" s="208" t="str">
        <v>JYSWAP6 MTRT Curncy</v>
      </c>
      <c r="K346" s="172" t="s">
        <v>842</v>
      </c>
      <c r="L346" s="173" t="s">
        <v>2264</v>
      </c>
      <c r="M346" s="173" t="s">
        <v>393</v>
      </c>
      <c r="N346" s="173" t="s">
        <v>472</v>
      </c>
      <c r="O346" s="173" t="s">
        <v>127</v>
      </c>
      <c r="P346" s="174" t="b">
        <v>1</v>
      </c>
      <c r="R346" s="208" t="str">
        <v>JYBC15 MTRT Curncy</v>
      </c>
      <c r="S346" s="172" t="s">
        <v>843</v>
      </c>
      <c r="T346" s="173" t="s">
        <v>2264</v>
      </c>
      <c r="U346" s="173" t="s">
        <v>393</v>
      </c>
      <c r="V346" s="173" t="s">
        <v>909</v>
      </c>
      <c r="W346" s="173" t="s">
        <v>23</v>
      </c>
      <c r="X346" s="174" t="b">
        <v>1</v>
      </c>
      <c r="Y346" s="159"/>
      <c r="Z346" s="208" t="str">
        <v>JYBB20 MTRT Curncy</v>
      </c>
      <c r="AA346" s="172" t="s">
        <v>844</v>
      </c>
      <c r="AB346" s="173" t="s">
        <v>2264</v>
      </c>
      <c r="AC346" s="173" t="s">
        <v>393</v>
      </c>
      <c r="AD346" s="173" t="s">
        <v>909</v>
      </c>
      <c r="AE346" s="173" t="s">
        <v>19</v>
      </c>
      <c r="AF346" s="174" t="b">
        <v>1</v>
      </c>
      <c r="AH346" s="208" t="str">
        <v xml:space="preserve">  </v>
      </c>
      <c r="AI346" s="172"/>
      <c r="AJ346" s="173"/>
      <c r="AK346" s="173"/>
      <c r="AL346" s="173"/>
      <c r="AM346" s="173"/>
      <c r="AN346" s="174"/>
      <c r="AP346" s="208" t="str">
        <v>JYBS13 MTRT Curncy</v>
      </c>
      <c r="AQ346" s="172" t="s">
        <v>845</v>
      </c>
      <c r="AR346" s="173" t="s">
        <v>2264</v>
      </c>
      <c r="AS346" s="173" t="s">
        <v>393</v>
      </c>
      <c r="AT346" s="173" t="s">
        <v>910</v>
      </c>
      <c r="AU346" s="173" t="s">
        <v>326</v>
      </c>
      <c r="AV346" s="174" t="b">
        <v>1</v>
      </c>
    </row>
    <row r="347" spans="1:48">
      <c r="A347" s="204">
        <v>14</v>
      </c>
      <c r="B347" s="208" t="str">
        <v>JYSOJ MTRT Curncy</v>
      </c>
      <c r="C347" s="172" t="s">
        <v>846</v>
      </c>
      <c r="D347" s="173" t="s">
        <v>2264</v>
      </c>
      <c r="E347" s="173" t="s">
        <v>393</v>
      </c>
      <c r="F347" s="173" t="s">
        <v>189</v>
      </c>
      <c r="G347" s="173" t="s">
        <v>50</v>
      </c>
      <c r="H347" s="174" t="b">
        <v>0</v>
      </c>
      <c r="J347" s="208" t="str">
        <v>JYSWAP7 MTRT Curncy</v>
      </c>
      <c r="K347" s="172" t="s">
        <v>847</v>
      </c>
      <c r="L347" s="173" t="s">
        <v>2264</v>
      </c>
      <c r="M347" s="173" t="s">
        <v>393</v>
      </c>
      <c r="N347" s="173" t="s">
        <v>472</v>
      </c>
      <c r="O347" s="173" t="s">
        <v>29</v>
      </c>
      <c r="P347" s="174" t="b">
        <v>1</v>
      </c>
      <c r="R347" s="208" t="str">
        <v>JYBC20 MTRT Curncy</v>
      </c>
      <c r="S347" s="172" t="s">
        <v>848</v>
      </c>
      <c r="T347" s="173" t="s">
        <v>2264</v>
      </c>
      <c r="U347" s="173" t="s">
        <v>393</v>
      </c>
      <c r="V347" s="173" t="s">
        <v>909</v>
      </c>
      <c r="W347" s="173" t="s">
        <v>19</v>
      </c>
      <c r="X347" s="174" t="b">
        <v>1</v>
      </c>
      <c r="Y347" s="159"/>
      <c r="Z347" s="208" t="str">
        <v>JYBB25 MTRT Curncy</v>
      </c>
      <c r="AA347" s="172" t="s">
        <v>849</v>
      </c>
      <c r="AB347" s="173" t="s">
        <v>2264</v>
      </c>
      <c r="AC347" s="173" t="s">
        <v>393</v>
      </c>
      <c r="AD347" s="173" t="s">
        <v>909</v>
      </c>
      <c r="AE347" s="173" t="s">
        <v>17</v>
      </c>
      <c r="AF347" s="174" t="b">
        <v>1</v>
      </c>
      <c r="AH347" s="208" t="str">
        <v xml:space="preserve">  </v>
      </c>
      <c r="AI347" s="172"/>
      <c r="AJ347" s="173"/>
      <c r="AK347" s="173"/>
      <c r="AL347" s="173"/>
      <c r="AM347" s="173"/>
      <c r="AN347" s="174"/>
      <c r="AP347" s="208" t="str">
        <v>JYBS14 MTRT Curncy</v>
      </c>
      <c r="AQ347" s="172" t="s">
        <v>850</v>
      </c>
      <c r="AR347" s="173" t="s">
        <v>2264</v>
      </c>
      <c r="AS347" s="173" t="s">
        <v>393</v>
      </c>
      <c r="AT347" s="173" t="s">
        <v>910</v>
      </c>
      <c r="AU347" s="173" t="s">
        <v>327</v>
      </c>
      <c r="AV347" s="174" t="b">
        <v>1</v>
      </c>
    </row>
    <row r="348" spans="1:48">
      <c r="A348" s="204">
        <v>15</v>
      </c>
      <c r="B348" s="208" t="str">
        <v>JYSOK MTRT Curncy</v>
      </c>
      <c r="C348" s="172" t="s">
        <v>851</v>
      </c>
      <c r="D348" s="173" t="s">
        <v>2264</v>
      </c>
      <c r="E348" s="173" t="s">
        <v>393</v>
      </c>
      <c r="F348" s="173" t="s">
        <v>189</v>
      </c>
      <c r="G348" s="173" t="s">
        <v>48</v>
      </c>
      <c r="H348" s="174" t="b">
        <v>0</v>
      </c>
      <c r="J348" s="208" t="str">
        <v>JYSWAP8 MTRT Curncy</v>
      </c>
      <c r="K348" s="172" t="s">
        <v>852</v>
      </c>
      <c r="L348" s="173" t="s">
        <v>2264</v>
      </c>
      <c r="M348" s="173" t="s">
        <v>393</v>
      </c>
      <c r="N348" s="173" t="s">
        <v>472</v>
      </c>
      <c r="O348" s="173" t="s">
        <v>115</v>
      </c>
      <c r="P348" s="174" t="b">
        <v>1</v>
      </c>
      <c r="R348" s="208" t="str">
        <v>JYBC25 MTRT Curncy</v>
      </c>
      <c r="S348" s="172" t="s">
        <v>853</v>
      </c>
      <c r="T348" s="173" t="s">
        <v>2264</v>
      </c>
      <c r="U348" s="173" t="s">
        <v>393</v>
      </c>
      <c r="V348" s="173" t="s">
        <v>909</v>
      </c>
      <c r="W348" s="173" t="s">
        <v>17</v>
      </c>
      <c r="X348" s="174" t="b">
        <v>1</v>
      </c>
      <c r="Y348" s="159"/>
      <c r="Z348" s="208" t="str">
        <v>JYBB30 MTRT Curncy</v>
      </c>
      <c r="AA348" s="172" t="s">
        <v>854</v>
      </c>
      <c r="AB348" s="173" t="s">
        <v>2264</v>
      </c>
      <c r="AC348" s="173" t="s">
        <v>393</v>
      </c>
      <c r="AD348" s="173" t="s">
        <v>909</v>
      </c>
      <c r="AE348" s="173" t="s">
        <v>16</v>
      </c>
      <c r="AF348" s="174" t="b">
        <v>1</v>
      </c>
      <c r="AH348" s="208" t="str">
        <v xml:space="preserve">  </v>
      </c>
      <c r="AI348" s="172"/>
      <c r="AJ348" s="173"/>
      <c r="AK348" s="173"/>
      <c r="AL348" s="173"/>
      <c r="AM348" s="173"/>
      <c r="AN348" s="174"/>
      <c r="AP348" s="208" t="str">
        <v>JYBS15 MTRT Curncy</v>
      </c>
      <c r="AQ348" s="172" t="s">
        <v>855</v>
      </c>
      <c r="AR348" s="173" t="s">
        <v>2264</v>
      </c>
      <c r="AS348" s="173" t="s">
        <v>393</v>
      </c>
      <c r="AT348" s="173" t="s">
        <v>910</v>
      </c>
      <c r="AU348" s="173" t="s">
        <v>23</v>
      </c>
      <c r="AV348" s="174" t="b">
        <v>1</v>
      </c>
    </row>
    <row r="349" spans="1:48">
      <c r="A349" s="204">
        <v>16</v>
      </c>
      <c r="B349" s="208" t="str">
        <v>JYSO1 MTRT Curncy</v>
      </c>
      <c r="C349" s="172" t="s">
        <v>856</v>
      </c>
      <c r="D349" s="173" t="s">
        <v>2264</v>
      </c>
      <c r="E349" s="173" t="s">
        <v>393</v>
      </c>
      <c r="F349" s="173" t="s">
        <v>189</v>
      </c>
      <c r="G349" s="173" t="s">
        <v>250</v>
      </c>
      <c r="H349" s="174" t="b">
        <v>1</v>
      </c>
      <c r="J349" s="208" t="str">
        <v>JYSWAP9 MTRT Curncy</v>
      </c>
      <c r="K349" s="172" t="s">
        <v>857</v>
      </c>
      <c r="L349" s="173" t="s">
        <v>2264</v>
      </c>
      <c r="M349" s="173" t="s">
        <v>393</v>
      </c>
      <c r="N349" s="173" t="s">
        <v>472</v>
      </c>
      <c r="O349" s="173" t="s">
        <v>109</v>
      </c>
      <c r="P349" s="174" t="b">
        <v>1</v>
      </c>
      <c r="R349" s="208" t="str">
        <v>JYBC30 MTRT Curncy</v>
      </c>
      <c r="S349" s="172" t="s">
        <v>858</v>
      </c>
      <c r="T349" s="173" t="s">
        <v>2264</v>
      </c>
      <c r="U349" s="173" t="s">
        <v>393</v>
      </c>
      <c r="V349" s="173" t="s">
        <v>909</v>
      </c>
      <c r="W349" s="173" t="s">
        <v>16</v>
      </c>
      <c r="X349" s="174" t="b">
        <v>1</v>
      </c>
      <c r="Y349" s="159"/>
      <c r="Z349" s="208" t="str">
        <v>JYBB40 MTRT Curncy</v>
      </c>
      <c r="AA349" s="172" t="s">
        <v>859</v>
      </c>
      <c r="AB349" s="173" t="s">
        <v>2264</v>
      </c>
      <c r="AC349" s="173" t="s">
        <v>393</v>
      </c>
      <c r="AD349" s="173" t="s">
        <v>909</v>
      </c>
      <c r="AE349" s="173" t="s">
        <v>14</v>
      </c>
      <c r="AF349" s="174" t="b">
        <v>1</v>
      </c>
      <c r="AH349" s="208" t="str">
        <v xml:space="preserve">  </v>
      </c>
      <c r="AI349" s="172"/>
      <c r="AJ349" s="173"/>
      <c r="AK349" s="173"/>
      <c r="AL349" s="173"/>
      <c r="AM349" s="173"/>
      <c r="AN349" s="174"/>
      <c r="AP349" s="208" t="str">
        <v>JYBS20 MTRT Curncy</v>
      </c>
      <c r="AQ349" s="172" t="s">
        <v>860</v>
      </c>
      <c r="AR349" s="173" t="s">
        <v>2264</v>
      </c>
      <c r="AS349" s="173" t="s">
        <v>393</v>
      </c>
      <c r="AT349" s="173" t="s">
        <v>910</v>
      </c>
      <c r="AU349" s="173" t="s">
        <v>19</v>
      </c>
      <c r="AV349" s="174" t="b">
        <v>1</v>
      </c>
    </row>
    <row r="350" spans="1:48">
      <c r="A350" s="204">
        <v>17</v>
      </c>
      <c r="B350" s="208" t="str">
        <v>JYSO1F MTRT Curncy</v>
      </c>
      <c r="C350" s="172" t="s">
        <v>861</v>
      </c>
      <c r="D350" s="173" t="s">
        <v>2264</v>
      </c>
      <c r="E350" s="173" t="s">
        <v>393</v>
      </c>
      <c r="F350" s="173" t="s">
        <v>189</v>
      </c>
      <c r="G350" s="173" t="s">
        <v>43</v>
      </c>
      <c r="H350" s="174" t="b">
        <v>0</v>
      </c>
      <c r="J350" s="208" t="str">
        <v>JYSWAP10 MTRT Curncy</v>
      </c>
      <c r="K350" s="172" t="s">
        <v>862</v>
      </c>
      <c r="L350" s="173" t="s">
        <v>2264</v>
      </c>
      <c r="M350" s="173" t="s">
        <v>393</v>
      </c>
      <c r="N350" s="173" t="s">
        <v>472</v>
      </c>
      <c r="O350" s="173" t="s">
        <v>27</v>
      </c>
      <c r="P350" s="174" t="b">
        <v>1</v>
      </c>
      <c r="R350" s="208" t="str">
        <v>JYBC40 MTRT Curncy</v>
      </c>
      <c r="S350" s="172" t="s">
        <v>863</v>
      </c>
      <c r="T350" s="173" t="s">
        <v>2264</v>
      </c>
      <c r="U350" s="173" t="s">
        <v>393</v>
      </c>
      <c r="V350" s="173" t="s">
        <v>909</v>
      </c>
      <c r="W350" s="173" t="s">
        <v>14</v>
      </c>
      <c r="X350" s="174" t="b">
        <v>1</v>
      </c>
      <c r="Y350" s="159"/>
      <c r="Z350" s="208" t="str">
        <v xml:space="preserve">  </v>
      </c>
      <c r="AA350" s="172"/>
      <c r="AB350" s="173"/>
      <c r="AC350" s="173"/>
      <c r="AD350" s="173"/>
      <c r="AE350" s="173"/>
      <c r="AF350" s="174"/>
      <c r="AH350" s="208" t="str">
        <v xml:space="preserve">  </v>
      </c>
      <c r="AI350" s="172"/>
      <c r="AJ350" s="173"/>
      <c r="AK350" s="173"/>
      <c r="AL350" s="173"/>
      <c r="AM350" s="173"/>
      <c r="AN350" s="174"/>
      <c r="AP350" s="208" t="str">
        <v>JYBS25 MTRT Curncy</v>
      </c>
      <c r="AQ350" s="172" t="s">
        <v>864</v>
      </c>
      <c r="AR350" s="173" t="s">
        <v>2264</v>
      </c>
      <c r="AS350" s="173" t="s">
        <v>393</v>
      </c>
      <c r="AT350" s="173" t="s">
        <v>910</v>
      </c>
      <c r="AU350" s="173" t="s">
        <v>17</v>
      </c>
      <c r="AV350" s="174" t="b">
        <v>1</v>
      </c>
    </row>
    <row r="351" spans="1:48">
      <c r="A351" s="204">
        <v>18</v>
      </c>
      <c r="B351" s="208" t="str">
        <v>JYSO2 MTRT Curncy</v>
      </c>
      <c r="C351" s="188" t="s">
        <v>865</v>
      </c>
      <c r="D351" s="173" t="s">
        <v>2264</v>
      </c>
      <c r="E351" s="173" t="s">
        <v>393</v>
      </c>
      <c r="F351" s="173" t="s">
        <v>189</v>
      </c>
      <c r="G351" s="173" t="s">
        <v>40</v>
      </c>
      <c r="H351" s="174" t="b">
        <v>1</v>
      </c>
      <c r="J351" s="208" t="str">
        <v>JYSWAP12 MTRT Curncy</v>
      </c>
      <c r="K351" s="172" t="s">
        <v>866</v>
      </c>
      <c r="L351" s="173" t="s">
        <v>2264</v>
      </c>
      <c r="M351" s="173" t="s">
        <v>393</v>
      </c>
      <c r="N351" s="173" t="s">
        <v>472</v>
      </c>
      <c r="O351" s="173" t="s">
        <v>25</v>
      </c>
      <c r="P351" s="174" t="b">
        <v>1</v>
      </c>
      <c r="R351" s="208" t="str">
        <v xml:space="preserve">  </v>
      </c>
      <c r="S351" s="172"/>
      <c r="T351" s="173"/>
      <c r="U351" s="173"/>
      <c r="V351" s="173"/>
      <c r="W351" s="173"/>
      <c r="X351" s="174"/>
      <c r="Y351" s="159"/>
      <c r="Z351" s="208" t="str">
        <v xml:space="preserve">  </v>
      </c>
      <c r="AA351" s="172"/>
      <c r="AB351" s="173"/>
      <c r="AC351" s="173"/>
      <c r="AD351" s="173"/>
      <c r="AE351" s="173"/>
      <c r="AF351" s="174"/>
      <c r="AH351" s="208" t="str">
        <v xml:space="preserve">  </v>
      </c>
      <c r="AI351" s="172"/>
      <c r="AJ351" s="173"/>
      <c r="AK351" s="173"/>
      <c r="AL351" s="173"/>
      <c r="AM351" s="173"/>
      <c r="AN351" s="174"/>
      <c r="AP351" s="208" t="str">
        <v>JYBS30 MTRT Curncy</v>
      </c>
      <c r="AQ351" s="172" t="s">
        <v>867</v>
      </c>
      <c r="AR351" s="173" t="s">
        <v>2264</v>
      </c>
      <c r="AS351" s="173" t="s">
        <v>393</v>
      </c>
      <c r="AT351" s="173" t="s">
        <v>910</v>
      </c>
      <c r="AU351" s="173" t="s">
        <v>16</v>
      </c>
      <c r="AV351" s="174" t="b">
        <v>1</v>
      </c>
    </row>
    <row r="352" spans="1:48">
      <c r="A352" s="204">
        <v>19</v>
      </c>
      <c r="B352" s="208" t="str">
        <v>JYSO3 MTRT Curncy</v>
      </c>
      <c r="C352" s="188" t="s">
        <v>868</v>
      </c>
      <c r="D352" s="173" t="s">
        <v>2264</v>
      </c>
      <c r="E352" s="173" t="s">
        <v>393</v>
      </c>
      <c r="F352" s="173" t="s">
        <v>189</v>
      </c>
      <c r="G352" s="173" t="s">
        <v>37</v>
      </c>
      <c r="H352" s="174" t="b">
        <v>1</v>
      </c>
      <c r="J352" s="208" t="str">
        <v>JYSW15 MTRT Curncy</v>
      </c>
      <c r="K352" s="172" t="s">
        <v>869</v>
      </c>
      <c r="L352" s="173" t="s">
        <v>2264</v>
      </c>
      <c r="M352" s="173" t="s">
        <v>393</v>
      </c>
      <c r="N352" s="173" t="s">
        <v>472</v>
      </c>
      <c r="O352" s="173" t="s">
        <v>23</v>
      </c>
      <c r="P352" s="174" t="b">
        <v>1</v>
      </c>
      <c r="R352" s="208" t="str">
        <v xml:space="preserve">  </v>
      </c>
      <c r="S352" s="172"/>
      <c r="T352" s="173"/>
      <c r="U352" s="173"/>
      <c r="V352" s="173"/>
      <c r="W352" s="173"/>
      <c r="X352" s="174"/>
      <c r="Y352" s="159"/>
      <c r="Z352" s="208" t="str">
        <v xml:space="preserve">  </v>
      </c>
      <c r="AA352" s="172"/>
      <c r="AB352" s="173"/>
      <c r="AC352" s="173"/>
      <c r="AD352" s="173"/>
      <c r="AE352" s="173"/>
      <c r="AF352" s="174"/>
      <c r="AH352" s="208" t="str">
        <v xml:space="preserve">  </v>
      </c>
      <c r="AI352" s="172"/>
      <c r="AJ352" s="173"/>
      <c r="AK352" s="173"/>
      <c r="AL352" s="173"/>
      <c r="AM352" s="173"/>
      <c r="AN352" s="174"/>
      <c r="AP352" s="208" t="str">
        <v xml:space="preserve">  </v>
      </c>
      <c r="AQ352" s="172"/>
      <c r="AR352" s="173"/>
      <c r="AS352" s="173"/>
      <c r="AT352" s="173"/>
      <c r="AU352" s="173"/>
      <c r="AV352" s="174"/>
    </row>
    <row r="353" spans="1:48">
      <c r="A353" s="204">
        <v>20</v>
      </c>
      <c r="B353" s="208" t="str">
        <v>JYSO4 MTRT Curncy</v>
      </c>
      <c r="C353" s="188" t="s">
        <v>870</v>
      </c>
      <c r="D353" s="173" t="s">
        <v>2264</v>
      </c>
      <c r="E353" s="173" t="s">
        <v>393</v>
      </c>
      <c r="F353" s="173" t="s">
        <v>189</v>
      </c>
      <c r="G353" s="173" t="s">
        <v>33</v>
      </c>
      <c r="H353" s="174" t="b">
        <v>1</v>
      </c>
      <c r="J353" s="208" t="str">
        <v>JYSW20 MTRT Curncy</v>
      </c>
      <c r="K353" s="172" t="s">
        <v>871</v>
      </c>
      <c r="L353" s="173" t="s">
        <v>2264</v>
      </c>
      <c r="M353" s="173" t="s">
        <v>393</v>
      </c>
      <c r="N353" s="173" t="s">
        <v>472</v>
      </c>
      <c r="O353" s="173" t="s">
        <v>19</v>
      </c>
      <c r="P353" s="174" t="b">
        <v>1</v>
      </c>
      <c r="R353" s="208" t="str">
        <v xml:space="preserve">  </v>
      </c>
      <c r="S353" s="172"/>
      <c r="T353" s="173"/>
      <c r="U353" s="173"/>
      <c r="V353" s="173"/>
      <c r="W353" s="173"/>
      <c r="X353" s="174"/>
      <c r="Y353" s="159"/>
      <c r="Z353" s="208" t="str">
        <v xml:space="preserve">  </v>
      </c>
      <c r="AA353" s="172"/>
      <c r="AB353" s="173"/>
      <c r="AC353" s="173"/>
      <c r="AD353" s="173"/>
      <c r="AE353" s="173"/>
      <c r="AF353" s="174"/>
      <c r="AH353" s="208" t="str">
        <v xml:space="preserve">  </v>
      </c>
      <c r="AI353" s="172"/>
      <c r="AJ353" s="173"/>
      <c r="AK353" s="173"/>
      <c r="AL353" s="173"/>
      <c r="AM353" s="173"/>
      <c r="AN353" s="174"/>
      <c r="AP353" s="208" t="str">
        <v xml:space="preserve">  </v>
      </c>
      <c r="AQ353" s="172"/>
      <c r="AR353" s="173"/>
      <c r="AS353" s="173"/>
      <c r="AT353" s="173"/>
      <c r="AU353" s="173"/>
      <c r="AV353" s="174"/>
    </row>
    <row r="354" spans="1:48">
      <c r="A354" s="204">
        <v>21</v>
      </c>
      <c r="B354" s="208" t="str">
        <v>JYSO5 MTRT Curncy</v>
      </c>
      <c r="C354" s="188" t="s">
        <v>872</v>
      </c>
      <c r="D354" s="173" t="s">
        <v>2264</v>
      </c>
      <c r="E354" s="173" t="s">
        <v>393</v>
      </c>
      <c r="F354" s="173" t="s">
        <v>189</v>
      </c>
      <c r="G354" s="173" t="s">
        <v>31</v>
      </c>
      <c r="H354" s="174" t="b">
        <v>1</v>
      </c>
      <c r="J354" s="208" t="str">
        <v>JYSW25 MTRT Curncy</v>
      </c>
      <c r="K354" s="172" t="s">
        <v>873</v>
      </c>
      <c r="L354" s="173" t="s">
        <v>2264</v>
      </c>
      <c r="M354" s="173" t="s">
        <v>393</v>
      </c>
      <c r="N354" s="173" t="s">
        <v>472</v>
      </c>
      <c r="O354" s="173" t="s">
        <v>17</v>
      </c>
      <c r="P354" s="174" t="b">
        <v>1</v>
      </c>
      <c r="R354" s="208" t="str">
        <v xml:space="preserve">  </v>
      </c>
      <c r="S354" s="172"/>
      <c r="T354" s="173"/>
      <c r="U354" s="173"/>
      <c r="V354" s="173"/>
      <c r="W354" s="173"/>
      <c r="X354" s="174"/>
      <c r="Y354" s="159"/>
      <c r="Z354" s="208" t="str">
        <v xml:space="preserve">  </v>
      </c>
      <c r="AA354" s="172"/>
      <c r="AB354" s="173"/>
      <c r="AC354" s="173"/>
      <c r="AD354" s="173"/>
      <c r="AE354" s="173"/>
      <c r="AF354" s="174"/>
      <c r="AH354" s="208" t="str">
        <v xml:space="preserve">  </v>
      </c>
      <c r="AI354" s="172"/>
      <c r="AJ354" s="173"/>
      <c r="AK354" s="173"/>
      <c r="AL354" s="173"/>
      <c r="AM354" s="173"/>
      <c r="AN354" s="174"/>
      <c r="AP354" s="208" t="str">
        <v xml:space="preserve">  </v>
      </c>
      <c r="AQ354" s="172"/>
      <c r="AR354" s="173"/>
      <c r="AS354" s="173"/>
      <c r="AT354" s="173"/>
      <c r="AU354" s="173"/>
      <c r="AV354" s="174"/>
    </row>
    <row r="355" spans="1:48">
      <c r="A355" s="204">
        <v>22</v>
      </c>
      <c r="B355" s="208" t="str">
        <v>JYSO6 MTRT Curncy</v>
      </c>
      <c r="C355" s="188" t="s">
        <v>874</v>
      </c>
      <c r="D355" s="173" t="s">
        <v>2264</v>
      </c>
      <c r="E355" s="173" t="s">
        <v>393</v>
      </c>
      <c r="F355" s="173" t="s">
        <v>189</v>
      </c>
      <c r="G355" s="173" t="s">
        <v>127</v>
      </c>
      <c r="H355" s="174" t="b">
        <v>1</v>
      </c>
      <c r="J355" s="208" t="str">
        <v>JYSW30 MTRT Curncy</v>
      </c>
      <c r="K355" s="172" t="s">
        <v>875</v>
      </c>
      <c r="L355" s="173" t="s">
        <v>2264</v>
      </c>
      <c r="M355" s="173" t="s">
        <v>393</v>
      </c>
      <c r="N355" s="173" t="s">
        <v>472</v>
      </c>
      <c r="O355" s="173" t="s">
        <v>16</v>
      </c>
      <c r="P355" s="174" t="b">
        <v>1</v>
      </c>
      <c r="R355" s="208" t="str">
        <v xml:space="preserve">  </v>
      </c>
      <c r="S355" s="172"/>
      <c r="T355" s="173"/>
      <c r="U355" s="173"/>
      <c r="V355" s="173"/>
      <c r="W355" s="173"/>
      <c r="X355" s="174"/>
      <c r="Y355" s="159"/>
      <c r="Z355" s="208" t="str">
        <v xml:space="preserve">  </v>
      </c>
      <c r="AA355" s="172"/>
      <c r="AB355" s="173"/>
      <c r="AC355" s="173"/>
      <c r="AD355" s="173"/>
      <c r="AE355" s="173"/>
      <c r="AF355" s="174"/>
      <c r="AH355" s="208" t="str">
        <v xml:space="preserve">  </v>
      </c>
      <c r="AI355" s="172"/>
      <c r="AJ355" s="173"/>
      <c r="AK355" s="173"/>
      <c r="AL355" s="173"/>
      <c r="AM355" s="173"/>
      <c r="AN355" s="174"/>
      <c r="AP355" s="208" t="str">
        <v xml:space="preserve">  </v>
      </c>
      <c r="AQ355" s="172"/>
      <c r="AR355" s="173"/>
      <c r="AS355" s="173"/>
      <c r="AT355" s="173"/>
      <c r="AU355" s="173"/>
      <c r="AV355" s="174"/>
    </row>
    <row r="356" spans="1:48">
      <c r="A356" s="204">
        <v>23</v>
      </c>
      <c r="B356" s="208" t="str">
        <v>JYSO7 MTRT Curncy</v>
      </c>
      <c r="C356" s="188" t="s">
        <v>876</v>
      </c>
      <c r="D356" s="173" t="s">
        <v>2264</v>
      </c>
      <c r="E356" s="173" t="s">
        <v>393</v>
      </c>
      <c r="F356" s="173" t="s">
        <v>189</v>
      </c>
      <c r="G356" s="173" t="s">
        <v>29</v>
      </c>
      <c r="H356" s="174" t="b">
        <v>1</v>
      </c>
      <c r="J356" s="208" t="str">
        <v>JYSW35 MTRT Curncy</v>
      </c>
      <c r="K356" s="172" t="s">
        <v>877</v>
      </c>
      <c r="L356" s="173" t="s">
        <v>2264</v>
      </c>
      <c r="M356" s="173" t="s">
        <v>393</v>
      </c>
      <c r="N356" s="173" t="s">
        <v>472</v>
      </c>
      <c r="O356" s="173" t="s">
        <v>15</v>
      </c>
      <c r="P356" s="174" t="b">
        <v>1</v>
      </c>
      <c r="R356" s="208" t="str">
        <v xml:space="preserve">  </v>
      </c>
      <c r="S356" s="172"/>
      <c r="T356" s="173"/>
      <c r="U356" s="173"/>
      <c r="V356" s="173"/>
      <c r="W356" s="173"/>
      <c r="X356" s="174"/>
      <c r="Y356" s="159"/>
      <c r="Z356" s="208" t="str">
        <v xml:space="preserve">  </v>
      </c>
      <c r="AA356" s="172"/>
      <c r="AB356" s="173"/>
      <c r="AC356" s="173"/>
      <c r="AD356" s="173"/>
      <c r="AE356" s="173"/>
      <c r="AF356" s="174"/>
      <c r="AH356" s="208" t="str">
        <v xml:space="preserve">  </v>
      </c>
      <c r="AI356" s="172"/>
      <c r="AJ356" s="173"/>
      <c r="AK356" s="173"/>
      <c r="AL356" s="173"/>
      <c r="AM356" s="173"/>
      <c r="AN356" s="174"/>
      <c r="AP356" s="208" t="str">
        <v xml:space="preserve">  </v>
      </c>
      <c r="AQ356" s="172"/>
      <c r="AR356" s="173"/>
      <c r="AS356" s="173"/>
      <c r="AT356" s="173"/>
      <c r="AU356" s="173"/>
      <c r="AV356" s="174"/>
    </row>
    <row r="357" spans="1:48">
      <c r="A357" s="204">
        <v>24</v>
      </c>
      <c r="B357" s="208" t="str">
        <v>JYSO8 MTRT Curncy</v>
      </c>
      <c r="C357" s="188" t="s">
        <v>878</v>
      </c>
      <c r="D357" s="173" t="s">
        <v>2264</v>
      </c>
      <c r="E357" s="173" t="s">
        <v>393</v>
      </c>
      <c r="F357" s="173" t="s">
        <v>189</v>
      </c>
      <c r="G357" s="173" t="s">
        <v>115</v>
      </c>
      <c r="H357" s="174" t="b">
        <v>1</v>
      </c>
      <c r="J357" s="208" t="str">
        <v>JYSW40 MTRT Curncy</v>
      </c>
      <c r="K357" s="172" t="s">
        <v>879</v>
      </c>
      <c r="L357" s="173" t="s">
        <v>2264</v>
      </c>
      <c r="M357" s="173" t="s">
        <v>393</v>
      </c>
      <c r="N357" s="173" t="s">
        <v>472</v>
      </c>
      <c r="O357" s="173" t="s">
        <v>14</v>
      </c>
      <c r="P357" s="174" t="b">
        <v>1</v>
      </c>
      <c r="R357" s="208" t="str">
        <v xml:space="preserve">  </v>
      </c>
      <c r="S357" s="172"/>
      <c r="T357" s="173"/>
      <c r="U357" s="173"/>
      <c r="V357" s="173"/>
      <c r="W357" s="173"/>
      <c r="X357" s="174"/>
      <c r="Y357" s="159"/>
      <c r="Z357" s="208" t="str">
        <v xml:space="preserve">  </v>
      </c>
      <c r="AA357" s="172"/>
      <c r="AB357" s="173"/>
      <c r="AC357" s="173"/>
      <c r="AD357" s="173"/>
      <c r="AE357" s="173"/>
      <c r="AF357" s="174"/>
      <c r="AG357" s="178"/>
      <c r="AH357" s="208" t="str">
        <v xml:space="preserve">  </v>
      </c>
      <c r="AI357" s="172"/>
      <c r="AJ357" s="173"/>
      <c r="AK357" s="173"/>
      <c r="AL357" s="173"/>
      <c r="AM357" s="173"/>
      <c r="AN357" s="174"/>
      <c r="AO357" s="178"/>
      <c r="AP357" s="208" t="str">
        <v xml:space="preserve">  </v>
      </c>
      <c r="AQ357" s="172"/>
      <c r="AR357" s="173"/>
      <c r="AS357" s="173"/>
      <c r="AT357" s="173"/>
      <c r="AU357" s="173"/>
      <c r="AV357" s="174"/>
    </row>
    <row r="358" spans="1:48">
      <c r="A358" s="204">
        <v>25</v>
      </c>
      <c r="B358" s="208" t="str">
        <v>JYSO9 MTRT Curncy</v>
      </c>
      <c r="C358" s="188" t="s">
        <v>880</v>
      </c>
      <c r="D358" s="173" t="s">
        <v>2264</v>
      </c>
      <c r="E358" s="173" t="s">
        <v>393</v>
      </c>
      <c r="F358" s="173" t="s">
        <v>189</v>
      </c>
      <c r="G358" s="173" t="s">
        <v>109</v>
      </c>
      <c r="H358" s="174" t="b">
        <v>1</v>
      </c>
      <c r="J358" s="208" t="str">
        <v xml:space="preserve">  </v>
      </c>
      <c r="K358" s="172"/>
      <c r="L358" s="173"/>
      <c r="M358" s="173"/>
      <c r="N358" s="173"/>
      <c r="O358" s="173"/>
      <c r="P358" s="174"/>
      <c r="R358" s="208" t="str">
        <v xml:space="preserve">  </v>
      </c>
      <c r="S358" s="172"/>
      <c r="T358" s="173"/>
      <c r="U358" s="173"/>
      <c r="V358" s="173"/>
      <c r="W358" s="173"/>
      <c r="X358" s="174"/>
      <c r="Y358" s="159"/>
      <c r="Z358" s="208" t="str">
        <v xml:space="preserve">  </v>
      </c>
      <c r="AA358" s="172"/>
      <c r="AB358" s="173"/>
      <c r="AC358" s="173"/>
      <c r="AD358" s="173"/>
      <c r="AE358" s="173"/>
      <c r="AF358" s="174"/>
      <c r="AG358" s="178"/>
      <c r="AH358" s="208" t="str">
        <v xml:space="preserve">  </v>
      </c>
      <c r="AI358" s="172"/>
      <c r="AJ358" s="173"/>
      <c r="AK358" s="173"/>
      <c r="AL358" s="173"/>
      <c r="AM358" s="173"/>
      <c r="AN358" s="174"/>
      <c r="AO358" s="178"/>
      <c r="AP358" s="208" t="str">
        <v xml:space="preserve">  </v>
      </c>
      <c r="AQ358" s="172"/>
      <c r="AR358" s="173"/>
      <c r="AS358" s="173"/>
      <c r="AT358" s="173"/>
      <c r="AU358" s="173"/>
      <c r="AV358" s="174"/>
    </row>
    <row r="359" spans="1:48">
      <c r="A359" s="204">
        <v>26</v>
      </c>
      <c r="B359" s="208" t="str">
        <v>JYSO10 MTRT Curncy</v>
      </c>
      <c r="C359" s="188" t="s">
        <v>881</v>
      </c>
      <c r="D359" s="173" t="s">
        <v>2264</v>
      </c>
      <c r="E359" s="173" t="s">
        <v>393</v>
      </c>
      <c r="F359" s="173" t="s">
        <v>189</v>
      </c>
      <c r="G359" s="173" t="s">
        <v>27</v>
      </c>
      <c r="H359" s="174" t="b">
        <v>1</v>
      </c>
      <c r="J359" s="208" t="str">
        <v xml:space="preserve">  </v>
      </c>
      <c r="K359" s="172"/>
      <c r="L359" s="173"/>
      <c r="M359" s="173"/>
      <c r="N359" s="173"/>
      <c r="O359" s="173"/>
      <c r="P359" s="174"/>
      <c r="R359" s="208" t="str">
        <v xml:space="preserve">  </v>
      </c>
      <c r="S359" s="172"/>
      <c r="T359" s="173"/>
      <c r="U359" s="173"/>
      <c r="V359" s="173"/>
      <c r="W359" s="173"/>
      <c r="X359" s="174"/>
      <c r="Y359" s="159"/>
      <c r="Z359" s="208" t="str">
        <v xml:space="preserve">  </v>
      </c>
      <c r="AA359" s="172"/>
      <c r="AB359" s="173"/>
      <c r="AC359" s="173"/>
      <c r="AD359" s="173"/>
      <c r="AE359" s="173"/>
      <c r="AF359" s="174"/>
      <c r="AG359" s="178"/>
      <c r="AH359" s="208" t="str">
        <v xml:space="preserve">  </v>
      </c>
      <c r="AI359" s="172"/>
      <c r="AJ359" s="173"/>
      <c r="AK359" s="173"/>
      <c r="AL359" s="173"/>
      <c r="AM359" s="173"/>
      <c r="AN359" s="174"/>
      <c r="AO359" s="178"/>
      <c r="AP359" s="208" t="str">
        <v xml:space="preserve">  </v>
      </c>
      <c r="AQ359" s="172"/>
      <c r="AR359" s="173"/>
      <c r="AS359" s="173"/>
      <c r="AT359" s="173"/>
      <c r="AU359" s="173"/>
      <c r="AV359" s="174"/>
    </row>
    <row r="360" spans="1:48">
      <c r="A360" s="204">
        <v>27</v>
      </c>
      <c r="B360" s="208" t="str">
        <v>JYSO11 MTRT Curncy</v>
      </c>
      <c r="C360" s="172" t="s">
        <v>882</v>
      </c>
      <c r="D360" s="173" t="s">
        <v>2264</v>
      </c>
      <c r="E360" s="173" t="s">
        <v>393</v>
      </c>
      <c r="F360" s="173" t="s">
        <v>189</v>
      </c>
      <c r="G360" s="173" t="s">
        <v>318</v>
      </c>
      <c r="H360" s="174" t="b">
        <v>1</v>
      </c>
      <c r="J360" s="208" t="str">
        <v xml:space="preserve">  </v>
      </c>
      <c r="K360" s="172"/>
      <c r="L360" s="173"/>
      <c r="M360" s="173"/>
      <c r="N360" s="173"/>
      <c r="O360" s="173"/>
      <c r="P360" s="174"/>
      <c r="R360" s="208" t="str">
        <v xml:space="preserve">  </v>
      </c>
      <c r="S360" s="172"/>
      <c r="T360" s="173"/>
      <c r="U360" s="173"/>
      <c r="V360" s="173"/>
      <c r="W360" s="173"/>
      <c r="X360" s="174"/>
      <c r="Y360" s="159"/>
      <c r="Z360" s="208" t="str">
        <v xml:space="preserve">  </v>
      </c>
      <c r="AA360" s="172"/>
      <c r="AB360" s="173"/>
      <c r="AC360" s="173"/>
      <c r="AD360" s="173"/>
      <c r="AE360" s="173"/>
      <c r="AF360" s="174"/>
      <c r="AG360" s="178"/>
      <c r="AH360" s="208" t="str">
        <v xml:space="preserve">  </v>
      </c>
      <c r="AI360" s="172"/>
      <c r="AJ360" s="173"/>
      <c r="AK360" s="173"/>
      <c r="AL360" s="173"/>
      <c r="AM360" s="173"/>
      <c r="AN360" s="174"/>
      <c r="AO360" s="178"/>
      <c r="AP360" s="208" t="str">
        <v xml:space="preserve">  </v>
      </c>
      <c r="AQ360" s="172"/>
      <c r="AR360" s="173"/>
      <c r="AS360" s="173"/>
      <c r="AT360" s="173"/>
      <c r="AU360" s="173"/>
      <c r="AV360" s="174"/>
    </row>
    <row r="361" spans="1:48">
      <c r="A361" s="204">
        <v>28</v>
      </c>
      <c r="B361" s="208" t="str">
        <v>JYSO12 MTRT Curncy</v>
      </c>
      <c r="C361" s="172" t="s">
        <v>883</v>
      </c>
      <c r="D361" s="173" t="s">
        <v>2264</v>
      </c>
      <c r="E361" s="173" t="s">
        <v>393</v>
      </c>
      <c r="F361" s="173" t="s">
        <v>189</v>
      </c>
      <c r="G361" s="173" t="s">
        <v>25</v>
      </c>
      <c r="H361" s="174" t="b">
        <v>1</v>
      </c>
      <c r="J361" s="208" t="str">
        <v xml:space="preserve">  </v>
      </c>
      <c r="K361" s="172"/>
      <c r="L361" s="173"/>
      <c r="M361" s="173"/>
      <c r="N361" s="173"/>
      <c r="O361" s="173"/>
      <c r="P361" s="174"/>
      <c r="R361" s="208" t="str">
        <v xml:space="preserve">  </v>
      </c>
      <c r="S361" s="172"/>
      <c r="T361" s="173"/>
      <c r="U361" s="173"/>
      <c r="V361" s="173"/>
      <c r="W361" s="173"/>
      <c r="X361" s="174"/>
      <c r="Y361" s="159"/>
      <c r="Z361" s="208" t="str">
        <v xml:space="preserve">  </v>
      </c>
      <c r="AA361" s="172"/>
      <c r="AB361" s="173"/>
      <c r="AC361" s="173"/>
      <c r="AD361" s="173"/>
      <c r="AE361" s="173"/>
      <c r="AF361" s="174"/>
      <c r="AG361" s="178"/>
      <c r="AH361" s="208" t="str">
        <v xml:space="preserve">  </v>
      </c>
      <c r="AI361" s="172"/>
      <c r="AJ361" s="173"/>
      <c r="AK361" s="173"/>
      <c r="AL361" s="173"/>
      <c r="AM361" s="173"/>
      <c r="AN361" s="174"/>
      <c r="AO361" s="178"/>
      <c r="AP361" s="208" t="str">
        <v xml:space="preserve">  </v>
      </c>
      <c r="AQ361" s="172"/>
      <c r="AR361" s="173"/>
      <c r="AS361" s="173"/>
      <c r="AT361" s="173"/>
      <c r="AU361" s="173"/>
      <c r="AV361" s="174"/>
    </row>
    <row r="362" spans="1:48">
      <c r="A362" s="204">
        <v>29</v>
      </c>
      <c r="B362" s="208" t="str">
        <v>JYSO15 MTRT Curncy</v>
      </c>
      <c r="C362" s="172" t="s">
        <v>884</v>
      </c>
      <c r="D362" s="173" t="s">
        <v>2264</v>
      </c>
      <c r="E362" s="173" t="s">
        <v>393</v>
      </c>
      <c r="F362" s="173" t="s">
        <v>189</v>
      </c>
      <c r="G362" s="173" t="s">
        <v>23</v>
      </c>
      <c r="H362" s="174" t="b">
        <v>1</v>
      </c>
      <c r="J362" s="208" t="str">
        <v xml:space="preserve">  </v>
      </c>
      <c r="K362" s="172"/>
      <c r="L362" s="173"/>
      <c r="M362" s="173"/>
      <c r="N362" s="173"/>
      <c r="O362" s="173"/>
      <c r="P362" s="174"/>
      <c r="R362" s="208" t="str">
        <v xml:space="preserve">  </v>
      </c>
      <c r="S362" s="172"/>
      <c r="T362" s="173"/>
      <c r="U362" s="173"/>
      <c r="V362" s="173"/>
      <c r="W362" s="173"/>
      <c r="X362" s="174"/>
      <c r="Y362" s="159"/>
      <c r="Z362" s="208" t="str">
        <v xml:space="preserve">  </v>
      </c>
      <c r="AA362" s="172"/>
      <c r="AB362" s="173"/>
      <c r="AC362" s="173"/>
      <c r="AD362" s="173"/>
      <c r="AE362" s="173"/>
      <c r="AF362" s="174"/>
      <c r="AG362" s="178"/>
      <c r="AH362" s="208" t="str">
        <v xml:space="preserve">  </v>
      </c>
      <c r="AI362" s="172"/>
      <c r="AJ362" s="173"/>
      <c r="AK362" s="173"/>
      <c r="AL362" s="173"/>
      <c r="AM362" s="173"/>
      <c r="AN362" s="174"/>
      <c r="AO362" s="178"/>
      <c r="AP362" s="208" t="str">
        <v xml:space="preserve">  </v>
      </c>
      <c r="AQ362" s="172"/>
      <c r="AR362" s="173"/>
      <c r="AS362" s="173"/>
      <c r="AT362" s="173"/>
      <c r="AU362" s="173"/>
      <c r="AV362" s="174"/>
    </row>
    <row r="363" spans="1:48">
      <c r="A363" s="204">
        <v>30</v>
      </c>
      <c r="B363" s="208" t="str">
        <v>JYSO20 MTRT Curncy</v>
      </c>
      <c r="C363" s="172" t="s">
        <v>885</v>
      </c>
      <c r="D363" s="173" t="s">
        <v>2264</v>
      </c>
      <c r="E363" s="173" t="s">
        <v>393</v>
      </c>
      <c r="F363" s="173" t="s">
        <v>189</v>
      </c>
      <c r="G363" s="173" t="s">
        <v>19</v>
      </c>
      <c r="H363" s="174" t="b">
        <v>1</v>
      </c>
      <c r="J363" s="208" t="str">
        <v xml:space="preserve">  </v>
      </c>
      <c r="K363" s="172"/>
      <c r="L363" s="173"/>
      <c r="M363" s="173"/>
      <c r="N363" s="173"/>
      <c r="O363" s="173"/>
      <c r="P363" s="174"/>
      <c r="R363" s="208" t="str">
        <v xml:space="preserve">  </v>
      </c>
      <c r="S363" s="172"/>
      <c r="T363" s="173"/>
      <c r="U363" s="173"/>
      <c r="V363" s="173"/>
      <c r="W363" s="173"/>
      <c r="X363" s="174"/>
      <c r="Y363" s="159"/>
      <c r="Z363" s="208" t="str">
        <v xml:space="preserve">  </v>
      </c>
      <c r="AA363" s="172"/>
      <c r="AB363" s="173"/>
      <c r="AC363" s="173"/>
      <c r="AD363" s="173"/>
      <c r="AE363" s="173"/>
      <c r="AF363" s="174"/>
      <c r="AG363" s="178"/>
      <c r="AH363" s="208" t="str">
        <v xml:space="preserve">  </v>
      </c>
      <c r="AI363" s="172"/>
      <c r="AJ363" s="173"/>
      <c r="AK363" s="173"/>
      <c r="AL363" s="173"/>
      <c r="AM363" s="173"/>
      <c r="AN363" s="174"/>
      <c r="AO363" s="178"/>
      <c r="AP363" s="208" t="str">
        <v xml:space="preserve">  </v>
      </c>
      <c r="AQ363" s="172"/>
      <c r="AR363" s="173"/>
      <c r="AS363" s="173"/>
      <c r="AT363" s="173"/>
      <c r="AU363" s="173"/>
      <c r="AV363" s="174"/>
    </row>
    <row r="364" spans="1:48">
      <c r="A364" s="204">
        <v>31</v>
      </c>
      <c r="B364" s="208" t="str">
        <v>JYSO25 MTRT Curncy</v>
      </c>
      <c r="C364" s="172" t="s">
        <v>886</v>
      </c>
      <c r="D364" s="173" t="s">
        <v>2264</v>
      </c>
      <c r="E364" s="173" t="s">
        <v>393</v>
      </c>
      <c r="F364" s="173" t="s">
        <v>189</v>
      </c>
      <c r="G364" s="173" t="s">
        <v>17</v>
      </c>
      <c r="H364" s="174" t="b">
        <v>1</v>
      </c>
      <c r="J364" s="208" t="str">
        <v xml:space="preserve">  </v>
      </c>
      <c r="K364" s="172"/>
      <c r="L364" s="173"/>
      <c r="M364" s="173"/>
      <c r="N364" s="173"/>
      <c r="O364" s="173"/>
      <c r="P364" s="174"/>
      <c r="R364" s="208" t="str">
        <v xml:space="preserve">  </v>
      </c>
      <c r="S364" s="172"/>
      <c r="T364" s="173"/>
      <c r="U364" s="173"/>
      <c r="V364" s="173"/>
      <c r="W364" s="173"/>
      <c r="X364" s="174"/>
      <c r="Y364" s="159"/>
      <c r="Z364" s="208" t="str">
        <v xml:space="preserve">  </v>
      </c>
      <c r="AA364" s="172"/>
      <c r="AB364" s="173"/>
      <c r="AC364" s="173"/>
      <c r="AD364" s="173"/>
      <c r="AE364" s="173"/>
      <c r="AF364" s="174"/>
      <c r="AG364" s="178"/>
      <c r="AH364" s="208" t="str">
        <v xml:space="preserve">  </v>
      </c>
      <c r="AI364" s="172"/>
      <c r="AJ364" s="173"/>
      <c r="AK364" s="173"/>
      <c r="AL364" s="173"/>
      <c r="AM364" s="173"/>
      <c r="AN364" s="174"/>
      <c r="AO364" s="178"/>
      <c r="AP364" s="208" t="str">
        <v xml:space="preserve">  </v>
      </c>
      <c r="AQ364" s="172"/>
      <c r="AR364" s="173"/>
      <c r="AS364" s="173"/>
      <c r="AT364" s="173"/>
      <c r="AU364" s="173"/>
      <c r="AV364" s="174"/>
    </row>
    <row r="365" spans="1:48">
      <c r="A365" s="204">
        <v>32</v>
      </c>
      <c r="B365" s="208" t="str">
        <v>JYSO30 MTRT Curncy</v>
      </c>
      <c r="C365" s="172" t="s">
        <v>887</v>
      </c>
      <c r="D365" s="173" t="s">
        <v>2264</v>
      </c>
      <c r="E365" s="173" t="s">
        <v>393</v>
      </c>
      <c r="F365" s="173" t="s">
        <v>189</v>
      </c>
      <c r="G365" s="173" t="s">
        <v>16</v>
      </c>
      <c r="H365" s="174" t="b">
        <v>1</v>
      </c>
      <c r="J365" s="208" t="str">
        <v xml:space="preserve">  </v>
      </c>
      <c r="K365" s="172"/>
      <c r="L365" s="173"/>
      <c r="M365" s="173"/>
      <c r="N365" s="173"/>
      <c r="O365" s="173"/>
      <c r="P365" s="174"/>
      <c r="R365" s="208" t="str">
        <v xml:space="preserve">  </v>
      </c>
      <c r="S365" s="172"/>
      <c r="T365" s="173"/>
      <c r="U365" s="173"/>
      <c r="V365" s="173"/>
      <c r="W365" s="173"/>
      <c r="X365" s="174"/>
      <c r="Y365" s="159"/>
      <c r="Z365" s="208" t="str">
        <v xml:space="preserve">  </v>
      </c>
      <c r="AA365" s="172"/>
      <c r="AB365" s="173"/>
      <c r="AC365" s="173"/>
      <c r="AD365" s="173"/>
      <c r="AE365" s="173"/>
      <c r="AF365" s="174"/>
      <c r="AG365" s="178"/>
      <c r="AH365" s="208" t="str">
        <v xml:space="preserve">  </v>
      </c>
      <c r="AI365" s="172"/>
      <c r="AJ365" s="173"/>
      <c r="AK365" s="173"/>
      <c r="AL365" s="173"/>
      <c r="AM365" s="173"/>
      <c r="AN365" s="174"/>
      <c r="AO365" s="178"/>
      <c r="AP365" s="208" t="str">
        <v xml:space="preserve">  </v>
      </c>
      <c r="AQ365" s="172"/>
      <c r="AR365" s="173"/>
      <c r="AS365" s="173"/>
      <c r="AT365" s="173"/>
      <c r="AU365" s="173"/>
      <c r="AV365" s="174"/>
    </row>
    <row r="366" spans="1:48">
      <c r="A366" s="204">
        <v>33</v>
      </c>
      <c r="B366" s="208" t="str">
        <v>JYSO35 MTRT Curncy</v>
      </c>
      <c r="C366" s="172" t="s">
        <v>888</v>
      </c>
      <c r="D366" s="173" t="s">
        <v>2264</v>
      </c>
      <c r="E366" s="173" t="s">
        <v>393</v>
      </c>
      <c r="F366" s="173" t="s">
        <v>189</v>
      </c>
      <c r="G366" s="173" t="s">
        <v>15</v>
      </c>
      <c r="H366" s="174" t="b">
        <v>0</v>
      </c>
      <c r="J366" s="208" t="str">
        <v xml:space="preserve">  </v>
      </c>
      <c r="K366" s="172"/>
      <c r="L366" s="173"/>
      <c r="M366" s="173"/>
      <c r="N366" s="173"/>
      <c r="O366" s="173"/>
      <c r="P366" s="174"/>
      <c r="R366" s="208" t="str">
        <v xml:space="preserve">  </v>
      </c>
      <c r="S366" s="172"/>
      <c r="T366" s="173"/>
      <c r="U366" s="173"/>
      <c r="V366" s="173"/>
      <c r="W366" s="173"/>
      <c r="X366" s="174"/>
      <c r="Y366" s="159"/>
      <c r="Z366" s="208" t="str">
        <v xml:space="preserve">  </v>
      </c>
      <c r="AA366" s="172"/>
      <c r="AB366" s="173"/>
      <c r="AC366" s="173"/>
      <c r="AD366" s="173"/>
      <c r="AE366" s="173"/>
      <c r="AF366" s="174"/>
      <c r="AG366" s="178"/>
      <c r="AH366" s="208" t="str">
        <v xml:space="preserve">  </v>
      </c>
      <c r="AI366" s="172"/>
      <c r="AJ366" s="173"/>
      <c r="AK366" s="173"/>
      <c r="AL366" s="173"/>
      <c r="AM366" s="173"/>
      <c r="AN366" s="174"/>
      <c r="AO366" s="178"/>
      <c r="AP366" s="208" t="str">
        <v xml:space="preserve">  </v>
      </c>
      <c r="AQ366" s="172"/>
      <c r="AR366" s="173"/>
      <c r="AS366" s="173"/>
      <c r="AT366" s="173"/>
      <c r="AU366" s="173"/>
      <c r="AV366" s="174"/>
    </row>
    <row r="367" spans="1:48">
      <c r="A367" s="204">
        <v>34</v>
      </c>
      <c r="B367" s="208" t="str">
        <v>JYSO40 MTRT Curncy</v>
      </c>
      <c r="C367" s="172" t="s">
        <v>889</v>
      </c>
      <c r="D367" s="173" t="s">
        <v>2264</v>
      </c>
      <c r="E367" s="173" t="s">
        <v>393</v>
      </c>
      <c r="F367" s="173" t="s">
        <v>189</v>
      </c>
      <c r="G367" s="173" t="s">
        <v>14</v>
      </c>
      <c r="H367" s="174" t="b">
        <v>0</v>
      </c>
      <c r="J367" s="208" t="str">
        <v xml:space="preserve">  </v>
      </c>
      <c r="K367" s="172"/>
      <c r="L367" s="173"/>
      <c r="M367" s="173"/>
      <c r="N367" s="173"/>
      <c r="O367" s="173"/>
      <c r="P367" s="174"/>
      <c r="R367" s="208" t="str">
        <v xml:space="preserve">  </v>
      </c>
      <c r="S367" s="172"/>
      <c r="T367" s="173"/>
      <c r="U367" s="173"/>
      <c r="V367" s="173"/>
      <c r="W367" s="173"/>
      <c r="X367" s="174"/>
      <c r="Y367" s="159"/>
      <c r="Z367" s="208" t="str">
        <v xml:space="preserve">  </v>
      </c>
      <c r="AA367" s="172"/>
      <c r="AB367" s="173"/>
      <c r="AC367" s="173"/>
      <c r="AD367" s="173"/>
      <c r="AE367" s="173"/>
      <c r="AF367" s="174"/>
      <c r="AG367" s="178"/>
      <c r="AH367" s="208" t="str">
        <v xml:space="preserve">  </v>
      </c>
      <c r="AI367" s="172"/>
      <c r="AJ367" s="173"/>
      <c r="AK367" s="173"/>
      <c r="AL367" s="173"/>
      <c r="AM367" s="173"/>
      <c r="AN367" s="174"/>
      <c r="AO367" s="178"/>
      <c r="AP367" s="208" t="str">
        <v xml:space="preserve">  </v>
      </c>
      <c r="AQ367" s="172"/>
      <c r="AR367" s="173"/>
      <c r="AS367" s="173"/>
      <c r="AT367" s="173"/>
      <c r="AU367" s="173"/>
      <c r="AV367" s="174"/>
    </row>
    <row r="368" spans="1:48">
      <c r="A368" s="204">
        <v>35</v>
      </c>
      <c r="B368" s="208" t="str">
        <v xml:space="preserve">  </v>
      </c>
      <c r="C368" s="172"/>
      <c r="D368" s="173"/>
      <c r="E368" s="173"/>
      <c r="F368" s="173"/>
      <c r="G368" s="173"/>
      <c r="H368" s="174"/>
      <c r="J368" s="208" t="str">
        <v xml:space="preserve">  </v>
      </c>
      <c r="K368" s="172"/>
      <c r="L368" s="173"/>
      <c r="M368" s="173"/>
      <c r="N368" s="173"/>
      <c r="O368" s="173"/>
      <c r="P368" s="174"/>
      <c r="R368" s="208" t="str">
        <v xml:space="preserve">  </v>
      </c>
      <c r="S368" s="172"/>
      <c r="T368" s="173"/>
      <c r="U368" s="173"/>
      <c r="V368" s="173"/>
      <c r="W368" s="173"/>
      <c r="X368" s="174"/>
      <c r="Y368" s="159"/>
      <c r="Z368" s="208" t="str">
        <v xml:space="preserve">  </v>
      </c>
      <c r="AA368" s="172"/>
      <c r="AB368" s="173"/>
      <c r="AC368" s="173"/>
      <c r="AD368" s="173"/>
      <c r="AE368" s="173"/>
      <c r="AF368" s="174"/>
      <c r="AG368" s="178"/>
      <c r="AH368" s="208" t="str">
        <v xml:space="preserve">  </v>
      </c>
      <c r="AI368" s="172"/>
      <c r="AJ368" s="173"/>
      <c r="AK368" s="173"/>
      <c r="AL368" s="173"/>
      <c r="AM368" s="173"/>
      <c r="AN368" s="174"/>
      <c r="AO368" s="178"/>
      <c r="AP368" s="208" t="str">
        <v xml:space="preserve">  </v>
      </c>
      <c r="AQ368" s="172"/>
      <c r="AR368" s="173"/>
      <c r="AS368" s="173"/>
      <c r="AT368" s="173"/>
      <c r="AU368" s="173"/>
      <c r="AV368" s="174"/>
    </row>
    <row r="369" spans="1:48">
      <c r="A369" s="204">
        <v>36</v>
      </c>
      <c r="B369" s="208" t="str">
        <v xml:space="preserve">  </v>
      </c>
      <c r="C369" s="172"/>
      <c r="D369" s="173"/>
      <c r="E369" s="173"/>
      <c r="F369" s="173"/>
      <c r="G369" s="173"/>
      <c r="H369" s="174"/>
      <c r="J369" s="208" t="str">
        <v xml:space="preserve">  </v>
      </c>
      <c r="K369" s="172"/>
      <c r="L369" s="173"/>
      <c r="M369" s="173"/>
      <c r="N369" s="173"/>
      <c r="O369" s="173"/>
      <c r="P369" s="174"/>
      <c r="R369" s="208" t="str">
        <v xml:space="preserve">  </v>
      </c>
      <c r="S369" s="172"/>
      <c r="T369" s="173"/>
      <c r="U369" s="173"/>
      <c r="V369" s="173"/>
      <c r="W369" s="173"/>
      <c r="X369" s="174"/>
      <c r="Y369" s="159"/>
      <c r="Z369" s="208" t="str">
        <v xml:space="preserve">  </v>
      </c>
      <c r="AA369" s="172"/>
      <c r="AB369" s="173"/>
      <c r="AC369" s="173"/>
      <c r="AD369" s="173"/>
      <c r="AE369" s="173"/>
      <c r="AF369" s="174"/>
      <c r="AG369" s="178"/>
      <c r="AH369" s="208" t="str">
        <v xml:space="preserve">  </v>
      </c>
      <c r="AI369" s="172"/>
      <c r="AJ369" s="173"/>
      <c r="AK369" s="173"/>
      <c r="AL369" s="173"/>
      <c r="AM369" s="173"/>
      <c r="AN369" s="174"/>
      <c r="AO369" s="178"/>
      <c r="AP369" s="208" t="str">
        <v xml:space="preserve">  </v>
      </c>
      <c r="AQ369" s="172"/>
      <c r="AR369" s="173"/>
      <c r="AS369" s="173"/>
      <c r="AT369" s="173"/>
      <c r="AU369" s="173"/>
      <c r="AV369" s="174"/>
    </row>
    <row r="370" spans="1:48">
      <c r="A370" s="204">
        <v>37</v>
      </c>
      <c r="B370" s="208" t="str">
        <v xml:space="preserve">  </v>
      </c>
      <c r="C370" s="172"/>
      <c r="D370" s="173"/>
      <c r="E370" s="173"/>
      <c r="F370" s="173"/>
      <c r="G370" s="173"/>
      <c r="H370" s="174"/>
      <c r="J370" s="208" t="str">
        <v xml:space="preserve">  </v>
      </c>
      <c r="K370" s="172"/>
      <c r="L370" s="173"/>
      <c r="M370" s="173"/>
      <c r="N370" s="173"/>
      <c r="O370" s="173"/>
      <c r="P370" s="174"/>
      <c r="R370" s="208" t="str">
        <v xml:space="preserve">  </v>
      </c>
      <c r="S370" s="172"/>
      <c r="T370" s="173"/>
      <c r="U370" s="173"/>
      <c r="V370" s="173"/>
      <c r="W370" s="173"/>
      <c r="X370" s="174"/>
      <c r="Y370" s="159"/>
      <c r="Z370" s="208" t="str">
        <v xml:space="preserve">  </v>
      </c>
      <c r="AA370" s="172"/>
      <c r="AB370" s="173"/>
      <c r="AC370" s="173"/>
      <c r="AD370" s="173"/>
      <c r="AE370" s="173"/>
      <c r="AF370" s="174"/>
      <c r="AG370" s="178"/>
      <c r="AH370" s="208" t="str">
        <v xml:space="preserve">  </v>
      </c>
      <c r="AI370" s="172"/>
      <c r="AJ370" s="173"/>
      <c r="AK370" s="173"/>
      <c r="AL370" s="173"/>
      <c r="AM370" s="173"/>
      <c r="AN370" s="174"/>
      <c r="AO370" s="178"/>
      <c r="AP370" s="208" t="str">
        <v xml:space="preserve">  </v>
      </c>
      <c r="AQ370" s="172"/>
      <c r="AR370" s="173"/>
      <c r="AS370" s="173"/>
      <c r="AT370" s="173"/>
      <c r="AU370" s="173"/>
      <c r="AV370" s="174"/>
    </row>
    <row r="371" spans="1:48">
      <c r="A371" s="204">
        <v>38</v>
      </c>
      <c r="B371" s="208" t="str">
        <v xml:space="preserve">  </v>
      </c>
      <c r="C371" s="172"/>
      <c r="D371" s="173"/>
      <c r="E371" s="173"/>
      <c r="F371" s="173"/>
      <c r="G371" s="173"/>
      <c r="H371" s="174"/>
      <c r="J371" s="208" t="str">
        <v xml:space="preserve">  </v>
      </c>
      <c r="K371" s="172"/>
      <c r="L371" s="173"/>
      <c r="M371" s="173"/>
      <c r="N371" s="173"/>
      <c r="O371" s="173"/>
      <c r="P371" s="174"/>
      <c r="R371" s="208" t="str">
        <v xml:space="preserve">  </v>
      </c>
      <c r="S371" s="172"/>
      <c r="T371" s="173"/>
      <c r="U371" s="173"/>
      <c r="V371" s="173"/>
      <c r="W371" s="173"/>
      <c r="X371" s="174"/>
      <c r="Y371" s="159"/>
      <c r="Z371" s="208" t="str">
        <v xml:space="preserve">  </v>
      </c>
      <c r="AA371" s="172"/>
      <c r="AB371" s="173"/>
      <c r="AC371" s="173"/>
      <c r="AD371" s="173"/>
      <c r="AE371" s="173"/>
      <c r="AF371" s="174"/>
      <c r="AG371" s="178"/>
      <c r="AH371" s="208" t="str">
        <v xml:space="preserve">  </v>
      </c>
      <c r="AI371" s="172"/>
      <c r="AJ371" s="173"/>
      <c r="AK371" s="173"/>
      <c r="AL371" s="173"/>
      <c r="AM371" s="173"/>
      <c r="AN371" s="174"/>
      <c r="AO371" s="178"/>
      <c r="AP371" s="208" t="str">
        <v xml:space="preserve">  </v>
      </c>
      <c r="AQ371" s="172"/>
      <c r="AR371" s="173"/>
      <c r="AS371" s="173"/>
      <c r="AT371" s="173"/>
      <c r="AU371" s="173"/>
      <c r="AV371" s="174"/>
    </row>
    <row r="372" spans="1:48">
      <c r="A372" s="204">
        <v>39</v>
      </c>
      <c r="B372" s="208" t="str">
        <v xml:space="preserve">  </v>
      </c>
      <c r="C372" s="172"/>
      <c r="D372" s="173"/>
      <c r="E372" s="173"/>
      <c r="F372" s="173"/>
      <c r="G372" s="173"/>
      <c r="H372" s="174"/>
      <c r="J372" s="208" t="str">
        <v xml:space="preserve">  </v>
      </c>
      <c r="K372" s="172"/>
      <c r="L372" s="173"/>
      <c r="M372" s="173"/>
      <c r="N372" s="173"/>
      <c r="O372" s="173"/>
      <c r="P372" s="174"/>
      <c r="R372" s="208" t="str">
        <v xml:space="preserve">  </v>
      </c>
      <c r="S372" s="172"/>
      <c r="T372" s="173"/>
      <c r="U372" s="173"/>
      <c r="V372" s="173"/>
      <c r="W372" s="173"/>
      <c r="X372" s="174"/>
      <c r="Y372" s="159"/>
      <c r="Z372" s="208" t="str">
        <v xml:space="preserve">  </v>
      </c>
      <c r="AA372" s="172"/>
      <c r="AB372" s="173"/>
      <c r="AC372" s="173"/>
      <c r="AD372" s="173"/>
      <c r="AE372" s="173"/>
      <c r="AF372" s="174"/>
      <c r="AG372" s="178"/>
      <c r="AH372" s="208" t="str">
        <v xml:space="preserve">  </v>
      </c>
      <c r="AI372" s="172"/>
      <c r="AJ372" s="173"/>
      <c r="AK372" s="173"/>
      <c r="AL372" s="173"/>
      <c r="AM372" s="173"/>
      <c r="AN372" s="174"/>
      <c r="AO372" s="178"/>
      <c r="AP372" s="208" t="str">
        <v xml:space="preserve">  </v>
      </c>
      <c r="AQ372" s="172"/>
      <c r="AR372" s="173"/>
      <c r="AS372" s="173"/>
      <c r="AT372" s="173"/>
      <c r="AU372" s="173"/>
      <c r="AV372" s="174"/>
    </row>
    <row r="373" spans="1:48">
      <c r="A373" s="204">
        <v>40</v>
      </c>
      <c r="B373" s="208" t="str">
        <v xml:space="preserve">  </v>
      </c>
      <c r="C373" s="172"/>
      <c r="D373" s="173"/>
      <c r="E373" s="173"/>
      <c r="F373" s="173"/>
      <c r="G373" s="173"/>
      <c r="H373" s="174"/>
      <c r="J373" s="208" t="str">
        <v xml:space="preserve">  </v>
      </c>
      <c r="K373" s="172"/>
      <c r="L373" s="173"/>
      <c r="M373" s="173"/>
      <c r="N373" s="173"/>
      <c r="O373" s="173"/>
      <c r="P373" s="174"/>
      <c r="R373" s="208" t="str">
        <v xml:space="preserve">  </v>
      </c>
      <c r="S373" s="172"/>
      <c r="T373" s="173"/>
      <c r="U373" s="173"/>
      <c r="V373" s="173"/>
      <c r="W373" s="173"/>
      <c r="X373" s="174"/>
      <c r="Y373" s="159"/>
      <c r="Z373" s="208" t="str">
        <v xml:space="preserve">  </v>
      </c>
      <c r="AA373" s="172"/>
      <c r="AB373" s="173"/>
      <c r="AC373" s="173"/>
      <c r="AD373" s="173"/>
      <c r="AE373" s="173"/>
      <c r="AF373" s="174"/>
      <c r="AG373" s="178"/>
      <c r="AH373" s="208" t="str">
        <v xml:space="preserve">  </v>
      </c>
      <c r="AI373" s="172"/>
      <c r="AJ373" s="173"/>
      <c r="AK373" s="173"/>
      <c r="AL373" s="173"/>
      <c r="AM373" s="173"/>
      <c r="AN373" s="174"/>
      <c r="AO373" s="178"/>
      <c r="AP373" s="208" t="str">
        <v xml:space="preserve">  </v>
      </c>
      <c r="AQ373" s="172"/>
      <c r="AR373" s="173"/>
      <c r="AS373" s="173"/>
      <c r="AT373" s="173"/>
      <c r="AU373" s="173"/>
      <c r="AV373" s="174"/>
    </row>
    <row r="374" spans="1:48">
      <c r="A374" s="204">
        <v>41</v>
      </c>
      <c r="B374" s="208" t="str">
        <v xml:space="preserve">  </v>
      </c>
      <c r="C374" s="172"/>
      <c r="D374" s="173"/>
      <c r="E374" s="173"/>
      <c r="F374" s="173"/>
      <c r="G374" s="173"/>
      <c r="H374" s="174"/>
      <c r="J374" s="208" t="str">
        <v xml:space="preserve">  </v>
      </c>
      <c r="K374" s="172"/>
      <c r="L374" s="173"/>
      <c r="M374" s="173"/>
      <c r="N374" s="173"/>
      <c r="O374" s="173"/>
      <c r="P374" s="174"/>
      <c r="R374" s="208" t="str">
        <v xml:space="preserve">  </v>
      </c>
      <c r="S374" s="172"/>
      <c r="T374" s="173"/>
      <c r="U374" s="173"/>
      <c r="V374" s="173"/>
      <c r="W374" s="173"/>
      <c r="X374" s="174"/>
      <c r="Y374" s="159"/>
      <c r="Z374" s="208" t="str">
        <v xml:space="preserve">  </v>
      </c>
      <c r="AA374" s="172"/>
      <c r="AB374" s="173"/>
      <c r="AC374" s="173"/>
      <c r="AD374" s="173"/>
      <c r="AE374" s="173"/>
      <c r="AF374" s="174"/>
      <c r="AG374" s="178"/>
      <c r="AH374" s="208" t="str">
        <v xml:space="preserve">  </v>
      </c>
      <c r="AI374" s="172"/>
      <c r="AJ374" s="173"/>
      <c r="AK374" s="173"/>
      <c r="AL374" s="173"/>
      <c r="AM374" s="173"/>
      <c r="AN374" s="174"/>
      <c r="AO374" s="178"/>
      <c r="AP374" s="208" t="str">
        <v xml:space="preserve">  </v>
      </c>
      <c r="AQ374" s="172"/>
      <c r="AR374" s="173"/>
      <c r="AS374" s="173"/>
      <c r="AT374" s="173"/>
      <c r="AU374" s="173"/>
      <c r="AV374" s="174"/>
    </row>
    <row r="375" spans="1:48">
      <c r="A375" s="204">
        <v>42</v>
      </c>
      <c r="B375" s="208" t="str">
        <v xml:space="preserve">  </v>
      </c>
      <c r="C375" s="172"/>
      <c r="D375" s="173"/>
      <c r="E375" s="173"/>
      <c r="F375" s="173"/>
      <c r="G375" s="173"/>
      <c r="H375" s="174"/>
      <c r="J375" s="208" t="str">
        <v xml:space="preserve">  </v>
      </c>
      <c r="K375" s="172"/>
      <c r="L375" s="173"/>
      <c r="M375" s="173"/>
      <c r="N375" s="173"/>
      <c r="O375" s="173"/>
      <c r="P375" s="174"/>
      <c r="R375" s="208" t="str">
        <v xml:space="preserve">  </v>
      </c>
      <c r="S375" s="172"/>
      <c r="T375" s="173"/>
      <c r="U375" s="173"/>
      <c r="V375" s="173"/>
      <c r="W375" s="173"/>
      <c r="X375" s="174"/>
      <c r="Y375" s="159"/>
      <c r="Z375" s="208" t="str">
        <v xml:space="preserve">  </v>
      </c>
      <c r="AA375" s="172"/>
      <c r="AB375" s="173"/>
      <c r="AC375" s="173"/>
      <c r="AD375" s="173"/>
      <c r="AE375" s="173"/>
      <c r="AF375" s="174"/>
      <c r="AG375" s="178"/>
      <c r="AH375" s="208" t="str">
        <v xml:space="preserve">  </v>
      </c>
      <c r="AI375" s="172"/>
      <c r="AJ375" s="173"/>
      <c r="AK375" s="173"/>
      <c r="AL375" s="173"/>
      <c r="AM375" s="173"/>
      <c r="AN375" s="174"/>
      <c r="AO375" s="178"/>
      <c r="AP375" s="208" t="str">
        <v xml:space="preserve">  </v>
      </c>
      <c r="AQ375" s="172"/>
      <c r="AR375" s="173"/>
      <c r="AS375" s="173"/>
      <c r="AT375" s="173"/>
      <c r="AU375" s="173"/>
      <c r="AV375" s="174"/>
    </row>
    <row r="376" spans="1:48">
      <c r="A376" s="204">
        <v>43</v>
      </c>
      <c r="B376" s="208" t="str">
        <v xml:space="preserve">  </v>
      </c>
      <c r="C376" s="172"/>
      <c r="D376" s="173"/>
      <c r="E376" s="173"/>
      <c r="F376" s="173"/>
      <c r="G376" s="173"/>
      <c r="H376" s="174"/>
      <c r="J376" s="208" t="str">
        <v xml:space="preserve">  </v>
      </c>
      <c r="K376" s="172"/>
      <c r="L376" s="173"/>
      <c r="M376" s="173"/>
      <c r="N376" s="173"/>
      <c r="O376" s="173"/>
      <c r="P376" s="174"/>
      <c r="R376" s="208" t="str">
        <v xml:space="preserve">  </v>
      </c>
      <c r="S376" s="172"/>
      <c r="T376" s="173"/>
      <c r="U376" s="173"/>
      <c r="V376" s="173"/>
      <c r="W376" s="173"/>
      <c r="X376" s="174"/>
      <c r="Y376" s="159"/>
      <c r="Z376" s="208" t="str">
        <v xml:space="preserve">  </v>
      </c>
      <c r="AA376" s="172"/>
      <c r="AB376" s="173"/>
      <c r="AC376" s="173"/>
      <c r="AD376" s="173"/>
      <c r="AE376" s="173"/>
      <c r="AF376" s="174"/>
      <c r="AG376" s="178"/>
      <c r="AH376" s="208" t="str">
        <v xml:space="preserve">  </v>
      </c>
      <c r="AI376" s="172"/>
      <c r="AJ376" s="173"/>
      <c r="AK376" s="173"/>
      <c r="AL376" s="173"/>
      <c r="AM376" s="173"/>
      <c r="AN376" s="174"/>
      <c r="AO376" s="178"/>
      <c r="AP376" s="208" t="str">
        <v xml:space="preserve">  </v>
      </c>
      <c r="AQ376" s="172"/>
      <c r="AR376" s="173"/>
      <c r="AS376" s="173"/>
      <c r="AT376" s="173"/>
      <c r="AU376" s="173"/>
      <c r="AV376" s="174"/>
    </row>
    <row r="377" spans="1:48">
      <c r="A377" s="204">
        <v>44</v>
      </c>
      <c r="B377" s="208" t="str">
        <v xml:space="preserve">  </v>
      </c>
      <c r="C377" s="172"/>
      <c r="D377" s="173"/>
      <c r="E377" s="173"/>
      <c r="F377" s="173"/>
      <c r="G377" s="173"/>
      <c r="H377" s="174"/>
      <c r="J377" s="208" t="str">
        <v xml:space="preserve">  </v>
      </c>
      <c r="K377" s="172"/>
      <c r="L377" s="173"/>
      <c r="M377" s="173"/>
      <c r="N377" s="173"/>
      <c r="O377" s="173"/>
      <c r="P377" s="174"/>
      <c r="R377" s="208" t="str">
        <v xml:space="preserve">  </v>
      </c>
      <c r="S377" s="172"/>
      <c r="T377" s="173"/>
      <c r="U377" s="173"/>
      <c r="V377" s="173"/>
      <c r="W377" s="173"/>
      <c r="X377" s="174"/>
      <c r="Y377" s="159"/>
      <c r="Z377" s="208" t="str">
        <v xml:space="preserve">  </v>
      </c>
      <c r="AA377" s="172"/>
      <c r="AB377" s="173"/>
      <c r="AC377" s="173"/>
      <c r="AD377" s="173"/>
      <c r="AE377" s="173"/>
      <c r="AF377" s="174"/>
      <c r="AG377" s="178"/>
      <c r="AH377" s="208" t="str">
        <v xml:space="preserve">  </v>
      </c>
      <c r="AI377" s="172"/>
      <c r="AJ377" s="173"/>
      <c r="AK377" s="173"/>
      <c r="AL377" s="173"/>
      <c r="AM377" s="173"/>
      <c r="AN377" s="174"/>
      <c r="AO377" s="178"/>
      <c r="AP377" s="208" t="str">
        <v xml:space="preserve">  </v>
      </c>
      <c r="AQ377" s="172"/>
      <c r="AR377" s="173"/>
      <c r="AS377" s="173"/>
      <c r="AT377" s="173"/>
      <c r="AU377" s="173"/>
      <c r="AV377" s="174"/>
    </row>
    <row r="378" spans="1:48">
      <c r="A378" s="204">
        <v>45</v>
      </c>
      <c r="B378" s="208" t="str">
        <v xml:space="preserve">  </v>
      </c>
      <c r="C378" s="172"/>
      <c r="D378" s="173"/>
      <c r="E378" s="173"/>
      <c r="F378" s="173"/>
      <c r="G378" s="173"/>
      <c r="H378" s="174"/>
      <c r="J378" s="208" t="str">
        <v xml:space="preserve">  </v>
      </c>
      <c r="K378" s="172"/>
      <c r="L378" s="173"/>
      <c r="M378" s="173"/>
      <c r="N378" s="173"/>
      <c r="O378" s="173"/>
      <c r="P378" s="174"/>
      <c r="R378" s="208" t="str">
        <v xml:space="preserve">  </v>
      </c>
      <c r="S378" s="172"/>
      <c r="T378" s="173"/>
      <c r="U378" s="173"/>
      <c r="V378" s="173"/>
      <c r="W378" s="173"/>
      <c r="X378" s="174"/>
      <c r="Y378" s="159"/>
      <c r="Z378" s="208" t="str">
        <v xml:space="preserve">  </v>
      </c>
      <c r="AA378" s="172"/>
      <c r="AB378" s="173"/>
      <c r="AC378" s="173"/>
      <c r="AD378" s="173"/>
      <c r="AE378" s="173"/>
      <c r="AF378" s="174"/>
      <c r="AG378" s="178"/>
      <c r="AH378" s="208" t="str">
        <v xml:space="preserve">  </v>
      </c>
      <c r="AI378" s="172"/>
      <c r="AJ378" s="173"/>
      <c r="AK378" s="173"/>
      <c r="AL378" s="173"/>
      <c r="AM378" s="173"/>
      <c r="AN378" s="174"/>
      <c r="AO378" s="178"/>
      <c r="AP378" s="208" t="str">
        <v xml:space="preserve">  </v>
      </c>
      <c r="AQ378" s="172"/>
      <c r="AR378" s="173"/>
      <c r="AS378" s="173"/>
      <c r="AT378" s="173"/>
      <c r="AU378" s="173"/>
      <c r="AV378" s="174"/>
    </row>
    <row r="379" spans="1:48">
      <c r="A379" s="204">
        <v>46</v>
      </c>
      <c r="B379" s="208" t="str">
        <v xml:space="preserve">  </v>
      </c>
      <c r="C379" s="172"/>
      <c r="D379" s="173"/>
      <c r="E379" s="173"/>
      <c r="F379" s="173"/>
      <c r="G379" s="173"/>
      <c r="H379" s="174"/>
      <c r="J379" s="208" t="str">
        <v xml:space="preserve">  </v>
      </c>
      <c r="K379" s="172"/>
      <c r="L379" s="173"/>
      <c r="M379" s="173"/>
      <c r="N379" s="173"/>
      <c r="O379" s="173"/>
      <c r="P379" s="174"/>
      <c r="R379" s="208" t="str">
        <v xml:space="preserve">  </v>
      </c>
      <c r="S379" s="172"/>
      <c r="T379" s="173"/>
      <c r="U379" s="173"/>
      <c r="V379" s="173"/>
      <c r="W379" s="173"/>
      <c r="X379" s="174"/>
      <c r="Y379" s="159"/>
      <c r="Z379" s="208" t="str">
        <v xml:space="preserve">  </v>
      </c>
      <c r="AA379" s="172"/>
      <c r="AB379" s="173"/>
      <c r="AC379" s="173"/>
      <c r="AD379" s="173"/>
      <c r="AE379" s="173"/>
      <c r="AF379" s="174"/>
      <c r="AG379" s="178"/>
      <c r="AH379" s="208" t="str">
        <v xml:space="preserve">  </v>
      </c>
      <c r="AI379" s="172"/>
      <c r="AJ379" s="173"/>
      <c r="AK379" s="173"/>
      <c r="AL379" s="173"/>
      <c r="AM379" s="173"/>
      <c r="AN379" s="174"/>
      <c r="AO379" s="178"/>
      <c r="AP379" s="208" t="str">
        <v xml:space="preserve">  </v>
      </c>
      <c r="AQ379" s="172"/>
      <c r="AR379" s="173"/>
      <c r="AS379" s="173"/>
      <c r="AT379" s="173"/>
      <c r="AU379" s="173"/>
      <c r="AV379" s="174"/>
    </row>
    <row r="380" spans="1:48">
      <c r="A380" s="204">
        <v>47</v>
      </c>
      <c r="B380" s="208" t="str">
        <v xml:space="preserve">  </v>
      </c>
      <c r="C380" s="172"/>
      <c r="D380" s="173"/>
      <c r="E380" s="173"/>
      <c r="F380" s="173"/>
      <c r="G380" s="173"/>
      <c r="H380" s="174"/>
      <c r="J380" s="208" t="str">
        <v xml:space="preserve">  </v>
      </c>
      <c r="K380" s="172"/>
      <c r="L380" s="173"/>
      <c r="M380" s="173"/>
      <c r="N380" s="173"/>
      <c r="O380" s="173"/>
      <c r="P380" s="174"/>
      <c r="R380" s="208" t="str">
        <v xml:space="preserve">  </v>
      </c>
      <c r="S380" s="172"/>
      <c r="T380" s="173"/>
      <c r="U380" s="173"/>
      <c r="V380" s="173"/>
      <c r="W380" s="173"/>
      <c r="X380" s="174"/>
      <c r="Y380" s="159"/>
      <c r="Z380" s="208" t="str">
        <v xml:space="preserve">  </v>
      </c>
      <c r="AA380" s="172"/>
      <c r="AB380" s="173"/>
      <c r="AC380" s="173"/>
      <c r="AD380" s="173"/>
      <c r="AE380" s="173"/>
      <c r="AF380" s="174"/>
      <c r="AG380" s="178"/>
      <c r="AH380" s="208" t="str">
        <v xml:space="preserve">  </v>
      </c>
      <c r="AI380" s="172"/>
      <c r="AJ380" s="173"/>
      <c r="AK380" s="173"/>
      <c r="AL380" s="173"/>
      <c r="AM380" s="173"/>
      <c r="AN380" s="174"/>
      <c r="AO380" s="178"/>
      <c r="AP380" s="208" t="str">
        <v xml:space="preserve">  </v>
      </c>
      <c r="AQ380" s="172"/>
      <c r="AR380" s="173"/>
      <c r="AS380" s="173"/>
      <c r="AT380" s="173"/>
      <c r="AU380" s="173"/>
      <c r="AV380" s="174"/>
    </row>
    <row r="381" spans="1:48">
      <c r="A381" s="204">
        <v>48</v>
      </c>
      <c r="B381" s="208" t="str">
        <v xml:space="preserve">  </v>
      </c>
      <c r="C381" s="172"/>
      <c r="D381" s="173"/>
      <c r="E381" s="173"/>
      <c r="F381" s="173"/>
      <c r="G381" s="173"/>
      <c r="H381" s="174"/>
      <c r="J381" s="208" t="str">
        <v xml:space="preserve">  </v>
      </c>
      <c r="K381" s="172"/>
      <c r="L381" s="173"/>
      <c r="M381" s="173"/>
      <c r="N381" s="173"/>
      <c r="O381" s="173"/>
      <c r="P381" s="174"/>
      <c r="R381" s="208" t="str">
        <v xml:space="preserve">  </v>
      </c>
      <c r="S381" s="172"/>
      <c r="T381" s="173"/>
      <c r="U381" s="173"/>
      <c r="V381" s="173"/>
      <c r="W381" s="173"/>
      <c r="X381" s="174"/>
      <c r="Y381" s="159"/>
      <c r="Z381" s="208" t="str">
        <v xml:space="preserve">  </v>
      </c>
      <c r="AA381" s="172"/>
      <c r="AB381" s="173"/>
      <c r="AC381" s="173"/>
      <c r="AD381" s="173"/>
      <c r="AE381" s="173"/>
      <c r="AF381" s="174"/>
      <c r="AG381" s="178"/>
      <c r="AH381" s="208" t="str">
        <v xml:space="preserve">  </v>
      </c>
      <c r="AI381" s="172"/>
      <c r="AJ381" s="173"/>
      <c r="AK381" s="173"/>
      <c r="AL381" s="173"/>
      <c r="AM381" s="173"/>
      <c r="AN381" s="174"/>
      <c r="AO381" s="178"/>
      <c r="AP381" s="208" t="str">
        <v xml:space="preserve">  </v>
      </c>
      <c r="AQ381" s="172"/>
      <c r="AR381" s="173"/>
      <c r="AS381" s="173"/>
      <c r="AT381" s="173"/>
      <c r="AU381" s="173"/>
      <c r="AV381" s="174"/>
    </row>
    <row r="382" spans="1:48">
      <c r="A382" s="204">
        <v>49</v>
      </c>
      <c r="B382" s="208" t="str">
        <v xml:space="preserve">  </v>
      </c>
      <c r="C382" s="172"/>
      <c r="D382" s="173"/>
      <c r="E382" s="173"/>
      <c r="F382" s="173"/>
      <c r="G382" s="173"/>
      <c r="H382" s="174"/>
      <c r="J382" s="208" t="str">
        <v xml:space="preserve">  </v>
      </c>
      <c r="K382" s="172"/>
      <c r="L382" s="173"/>
      <c r="M382" s="173"/>
      <c r="N382" s="173"/>
      <c r="O382" s="173"/>
      <c r="P382" s="174"/>
      <c r="R382" s="208" t="str">
        <v xml:space="preserve">  </v>
      </c>
      <c r="S382" s="172"/>
      <c r="T382" s="173"/>
      <c r="U382" s="173"/>
      <c r="V382" s="173"/>
      <c r="W382" s="173"/>
      <c r="X382" s="174"/>
      <c r="Y382" s="159"/>
      <c r="Z382" s="208" t="str">
        <v xml:space="preserve">  </v>
      </c>
      <c r="AA382" s="172"/>
      <c r="AB382" s="173"/>
      <c r="AC382" s="173"/>
      <c r="AD382" s="173"/>
      <c r="AE382" s="173"/>
      <c r="AF382" s="174"/>
      <c r="AG382" s="178"/>
      <c r="AH382" s="208" t="str">
        <v xml:space="preserve">  </v>
      </c>
      <c r="AI382" s="172"/>
      <c r="AJ382" s="173"/>
      <c r="AK382" s="173"/>
      <c r="AL382" s="173"/>
      <c r="AM382" s="173"/>
      <c r="AN382" s="174"/>
      <c r="AO382" s="178"/>
      <c r="AP382" s="208" t="str">
        <v xml:space="preserve">  </v>
      </c>
      <c r="AQ382" s="172"/>
      <c r="AR382" s="173"/>
      <c r="AS382" s="173"/>
      <c r="AT382" s="173"/>
      <c r="AU382" s="173"/>
      <c r="AV382" s="174"/>
    </row>
    <row r="383" spans="1:48">
      <c r="A383" s="204">
        <v>50</v>
      </c>
      <c r="B383" s="208" t="str">
        <v xml:space="preserve">  </v>
      </c>
      <c r="C383" s="172"/>
      <c r="D383" s="173"/>
      <c r="E383" s="173"/>
      <c r="F383" s="173"/>
      <c r="G383" s="173"/>
      <c r="H383" s="174"/>
      <c r="J383" s="208" t="str">
        <v xml:space="preserve">  </v>
      </c>
      <c r="K383" s="172"/>
      <c r="L383" s="173"/>
      <c r="M383" s="173"/>
      <c r="N383" s="173"/>
      <c r="O383" s="173"/>
      <c r="P383" s="174"/>
      <c r="R383" s="208" t="str">
        <v xml:space="preserve">  </v>
      </c>
      <c r="S383" s="172"/>
      <c r="T383" s="173"/>
      <c r="U383" s="173"/>
      <c r="V383" s="173"/>
      <c r="W383" s="173"/>
      <c r="X383" s="174"/>
      <c r="Y383" s="159"/>
      <c r="Z383" s="208" t="str">
        <v xml:space="preserve">  </v>
      </c>
      <c r="AA383" s="172"/>
      <c r="AB383" s="173"/>
      <c r="AC383" s="173"/>
      <c r="AD383" s="173"/>
      <c r="AE383" s="173"/>
      <c r="AF383" s="174"/>
      <c r="AG383" s="178"/>
      <c r="AH383" s="208" t="str">
        <v xml:space="preserve">  </v>
      </c>
      <c r="AI383" s="172"/>
      <c r="AJ383" s="173"/>
      <c r="AK383" s="173"/>
      <c r="AL383" s="173"/>
      <c r="AM383" s="173"/>
      <c r="AN383" s="174"/>
      <c r="AO383" s="178"/>
      <c r="AP383" s="208" t="str">
        <v xml:space="preserve">  </v>
      </c>
      <c r="AQ383" s="172"/>
      <c r="AR383" s="173"/>
      <c r="AS383" s="173"/>
      <c r="AT383" s="173"/>
      <c r="AU383" s="173"/>
      <c r="AV383" s="174"/>
    </row>
    <row r="384" spans="1:48">
      <c r="A384" s="204">
        <v>51</v>
      </c>
      <c r="B384" s="208" t="str">
        <v xml:space="preserve">  </v>
      </c>
      <c r="C384" s="172"/>
      <c r="D384" s="173"/>
      <c r="E384" s="173"/>
      <c r="F384" s="173"/>
      <c r="G384" s="173"/>
      <c r="H384" s="174"/>
      <c r="J384" s="208" t="str">
        <v xml:space="preserve">  </v>
      </c>
      <c r="K384" s="172"/>
      <c r="L384" s="173"/>
      <c r="M384" s="173"/>
      <c r="N384" s="173"/>
      <c r="O384" s="173"/>
      <c r="P384" s="174"/>
      <c r="R384" s="208" t="str">
        <v xml:space="preserve">  </v>
      </c>
      <c r="S384" s="172"/>
      <c r="T384" s="173"/>
      <c r="U384" s="173"/>
      <c r="V384" s="173"/>
      <c r="W384" s="173"/>
      <c r="X384" s="174"/>
      <c r="Y384" s="159"/>
      <c r="Z384" s="208" t="str">
        <v xml:space="preserve">  </v>
      </c>
      <c r="AA384" s="172"/>
      <c r="AB384" s="173"/>
      <c r="AC384" s="173"/>
      <c r="AD384" s="173"/>
      <c r="AE384" s="173"/>
      <c r="AF384" s="174"/>
      <c r="AG384" s="178"/>
      <c r="AH384" s="208" t="str">
        <v xml:space="preserve">  </v>
      </c>
      <c r="AI384" s="172"/>
      <c r="AJ384" s="173"/>
      <c r="AK384" s="173"/>
      <c r="AL384" s="173"/>
      <c r="AM384" s="173"/>
      <c r="AN384" s="174"/>
      <c r="AO384" s="178"/>
      <c r="AP384" s="208" t="str">
        <v xml:space="preserve">  </v>
      </c>
      <c r="AQ384" s="172"/>
      <c r="AR384" s="173"/>
      <c r="AS384" s="173"/>
      <c r="AT384" s="173"/>
      <c r="AU384" s="173"/>
      <c r="AV384" s="174"/>
    </row>
    <row r="385" spans="1:48">
      <c r="A385" s="204">
        <v>52</v>
      </c>
      <c r="B385" s="208" t="str">
        <v xml:space="preserve">  </v>
      </c>
      <c r="C385" s="172"/>
      <c r="D385" s="173"/>
      <c r="E385" s="173"/>
      <c r="F385" s="173"/>
      <c r="G385" s="173"/>
      <c r="H385" s="174"/>
      <c r="J385" s="208" t="str">
        <v xml:space="preserve">  </v>
      </c>
      <c r="K385" s="172"/>
      <c r="L385" s="173"/>
      <c r="M385" s="173"/>
      <c r="N385" s="173"/>
      <c r="O385" s="173"/>
      <c r="P385" s="174"/>
      <c r="R385" s="208" t="str">
        <v xml:space="preserve">  </v>
      </c>
      <c r="S385" s="172"/>
      <c r="T385" s="173"/>
      <c r="U385" s="173"/>
      <c r="V385" s="173"/>
      <c r="W385" s="173"/>
      <c r="X385" s="174"/>
      <c r="Y385" s="159"/>
      <c r="Z385" s="208" t="str">
        <v xml:space="preserve">  </v>
      </c>
      <c r="AA385" s="172"/>
      <c r="AB385" s="173"/>
      <c r="AC385" s="173"/>
      <c r="AD385" s="173"/>
      <c r="AE385" s="173"/>
      <c r="AF385" s="174"/>
      <c r="AG385" s="178"/>
      <c r="AH385" s="208" t="str">
        <v xml:space="preserve">  </v>
      </c>
      <c r="AI385" s="172"/>
      <c r="AJ385" s="173"/>
      <c r="AK385" s="173"/>
      <c r="AL385" s="173"/>
      <c r="AM385" s="173"/>
      <c r="AN385" s="174"/>
      <c r="AO385" s="178"/>
      <c r="AP385" s="208" t="str">
        <v xml:space="preserve">  </v>
      </c>
      <c r="AQ385" s="172"/>
      <c r="AR385" s="173"/>
      <c r="AS385" s="173"/>
      <c r="AT385" s="173"/>
      <c r="AU385" s="173"/>
      <c r="AV385" s="174"/>
    </row>
    <row r="386" spans="1:48">
      <c r="A386" s="204">
        <v>53</v>
      </c>
      <c r="B386" s="208" t="str">
        <v xml:space="preserve">  </v>
      </c>
      <c r="C386" s="172"/>
      <c r="D386" s="173"/>
      <c r="E386" s="173"/>
      <c r="F386" s="173"/>
      <c r="G386" s="173"/>
      <c r="H386" s="174"/>
      <c r="J386" s="208" t="str">
        <v xml:space="preserve">  </v>
      </c>
      <c r="K386" s="172"/>
      <c r="L386" s="173"/>
      <c r="M386" s="173"/>
      <c r="N386" s="173"/>
      <c r="O386" s="173"/>
      <c r="P386" s="174"/>
      <c r="R386" s="208" t="str">
        <v xml:space="preserve">  </v>
      </c>
      <c r="S386" s="172"/>
      <c r="T386" s="173"/>
      <c r="U386" s="173"/>
      <c r="V386" s="173"/>
      <c r="W386" s="173"/>
      <c r="X386" s="174"/>
      <c r="Y386" s="159"/>
      <c r="Z386" s="208" t="str">
        <v xml:space="preserve">  </v>
      </c>
      <c r="AA386" s="172"/>
      <c r="AB386" s="173"/>
      <c r="AC386" s="173"/>
      <c r="AD386" s="173"/>
      <c r="AE386" s="173"/>
      <c r="AF386" s="174"/>
      <c r="AG386" s="178"/>
      <c r="AH386" s="208" t="str">
        <v xml:space="preserve">  </v>
      </c>
      <c r="AI386" s="172"/>
      <c r="AJ386" s="173"/>
      <c r="AK386" s="173"/>
      <c r="AL386" s="173"/>
      <c r="AM386" s="173"/>
      <c r="AN386" s="174"/>
      <c r="AO386" s="178"/>
      <c r="AP386" s="208" t="str">
        <v xml:space="preserve">  </v>
      </c>
      <c r="AQ386" s="172"/>
      <c r="AR386" s="173"/>
      <c r="AS386" s="173"/>
      <c r="AT386" s="173"/>
      <c r="AU386" s="173"/>
      <c r="AV386" s="174"/>
    </row>
    <row r="387" spans="1:48">
      <c r="A387" s="204">
        <v>54</v>
      </c>
      <c r="B387" s="208" t="str">
        <v xml:space="preserve">  </v>
      </c>
      <c r="C387" s="172"/>
      <c r="D387" s="173"/>
      <c r="E387" s="173"/>
      <c r="F387" s="173"/>
      <c r="G387" s="173"/>
      <c r="H387" s="174"/>
      <c r="J387" s="208" t="str">
        <v xml:space="preserve">  </v>
      </c>
      <c r="K387" s="172"/>
      <c r="L387" s="173"/>
      <c r="M387" s="173"/>
      <c r="N387" s="173"/>
      <c r="O387" s="173"/>
      <c r="P387" s="174"/>
      <c r="R387" s="208" t="str">
        <v xml:space="preserve">  </v>
      </c>
      <c r="S387" s="172"/>
      <c r="T387" s="173"/>
      <c r="U387" s="173"/>
      <c r="V387" s="173"/>
      <c r="W387" s="173"/>
      <c r="X387" s="174"/>
      <c r="Y387" s="159"/>
      <c r="Z387" s="208" t="str">
        <v xml:space="preserve">  </v>
      </c>
      <c r="AA387" s="172"/>
      <c r="AB387" s="173"/>
      <c r="AC387" s="173"/>
      <c r="AD387" s="173"/>
      <c r="AE387" s="173"/>
      <c r="AF387" s="174"/>
      <c r="AG387" s="178"/>
      <c r="AH387" s="208" t="str">
        <v xml:space="preserve">  </v>
      </c>
      <c r="AI387" s="172"/>
      <c r="AJ387" s="173"/>
      <c r="AK387" s="173"/>
      <c r="AL387" s="173"/>
      <c r="AM387" s="173"/>
      <c r="AN387" s="174"/>
      <c r="AO387" s="178"/>
      <c r="AP387" s="208" t="str">
        <v xml:space="preserve">  </v>
      </c>
      <c r="AQ387" s="172"/>
      <c r="AR387" s="173"/>
      <c r="AS387" s="173"/>
      <c r="AT387" s="173"/>
      <c r="AU387" s="173"/>
      <c r="AV387" s="174"/>
    </row>
    <row r="388" spans="1:48">
      <c r="A388" s="204">
        <v>55</v>
      </c>
      <c r="B388" s="208" t="str">
        <v xml:space="preserve">  </v>
      </c>
      <c r="C388" s="172"/>
      <c r="D388" s="173"/>
      <c r="E388" s="173"/>
      <c r="F388" s="173"/>
      <c r="G388" s="173"/>
      <c r="H388" s="174"/>
      <c r="J388" s="208" t="str">
        <v xml:space="preserve">  </v>
      </c>
      <c r="K388" s="172"/>
      <c r="L388" s="173"/>
      <c r="M388" s="173"/>
      <c r="N388" s="173"/>
      <c r="O388" s="173"/>
      <c r="P388" s="174"/>
      <c r="R388" s="208" t="str">
        <v xml:space="preserve">  </v>
      </c>
      <c r="S388" s="172"/>
      <c r="T388" s="173"/>
      <c r="U388" s="173"/>
      <c r="V388" s="173"/>
      <c r="W388" s="173"/>
      <c r="X388" s="174"/>
      <c r="Y388" s="159"/>
      <c r="Z388" s="208" t="str">
        <v xml:space="preserve">  </v>
      </c>
      <c r="AA388" s="172"/>
      <c r="AB388" s="173"/>
      <c r="AC388" s="173"/>
      <c r="AD388" s="173"/>
      <c r="AE388" s="173"/>
      <c r="AF388" s="174"/>
      <c r="AG388" s="178"/>
      <c r="AH388" s="208" t="str">
        <v xml:space="preserve">  </v>
      </c>
      <c r="AI388" s="172"/>
      <c r="AJ388" s="173"/>
      <c r="AK388" s="173"/>
      <c r="AL388" s="173"/>
      <c r="AM388" s="173"/>
      <c r="AN388" s="174"/>
      <c r="AO388" s="178"/>
      <c r="AP388" s="208" t="str">
        <v xml:space="preserve">  </v>
      </c>
      <c r="AQ388" s="172"/>
      <c r="AR388" s="173"/>
      <c r="AS388" s="173"/>
      <c r="AT388" s="173"/>
      <c r="AU388" s="173"/>
      <c r="AV388" s="174"/>
    </row>
    <row r="389" spans="1:48">
      <c r="A389" s="204">
        <v>56</v>
      </c>
      <c r="B389" s="208" t="str">
        <v xml:space="preserve">  </v>
      </c>
      <c r="C389" s="172"/>
      <c r="D389" s="173"/>
      <c r="E389" s="173"/>
      <c r="F389" s="173"/>
      <c r="G389" s="173"/>
      <c r="H389" s="174"/>
      <c r="J389" s="208" t="str">
        <v xml:space="preserve">  </v>
      </c>
      <c r="K389" s="172"/>
      <c r="L389" s="173"/>
      <c r="M389" s="173"/>
      <c r="N389" s="173"/>
      <c r="O389" s="173"/>
      <c r="P389" s="174"/>
      <c r="R389" s="208" t="str">
        <v xml:space="preserve">  </v>
      </c>
      <c r="S389" s="172"/>
      <c r="T389" s="173"/>
      <c r="U389" s="173"/>
      <c r="V389" s="173"/>
      <c r="W389" s="173"/>
      <c r="X389" s="174"/>
      <c r="Y389" s="159"/>
      <c r="Z389" s="208" t="str">
        <v xml:space="preserve">  </v>
      </c>
      <c r="AA389" s="172"/>
      <c r="AB389" s="173"/>
      <c r="AC389" s="173"/>
      <c r="AD389" s="173"/>
      <c r="AE389" s="173"/>
      <c r="AF389" s="174"/>
      <c r="AG389" s="178"/>
      <c r="AH389" s="208" t="str">
        <v xml:space="preserve">  </v>
      </c>
      <c r="AI389" s="172"/>
      <c r="AJ389" s="173"/>
      <c r="AK389" s="173"/>
      <c r="AL389" s="173"/>
      <c r="AM389" s="173"/>
      <c r="AN389" s="174"/>
      <c r="AO389" s="178"/>
      <c r="AP389" s="208" t="str">
        <v xml:space="preserve">  </v>
      </c>
      <c r="AQ389" s="172"/>
      <c r="AR389" s="173"/>
      <c r="AS389" s="173"/>
      <c r="AT389" s="173"/>
      <c r="AU389" s="173"/>
      <c r="AV389" s="174"/>
    </row>
    <row r="390" spans="1:48">
      <c r="A390" s="204">
        <v>57</v>
      </c>
      <c r="B390" s="208" t="str">
        <v xml:space="preserve">  </v>
      </c>
      <c r="C390" s="172"/>
      <c r="D390" s="173"/>
      <c r="E390" s="173"/>
      <c r="F390" s="173"/>
      <c r="G390" s="173"/>
      <c r="H390" s="174"/>
      <c r="J390" s="208" t="str">
        <v xml:space="preserve">  </v>
      </c>
      <c r="K390" s="172"/>
      <c r="L390" s="173"/>
      <c r="M390" s="173"/>
      <c r="N390" s="173"/>
      <c r="O390" s="173"/>
      <c r="P390" s="174"/>
      <c r="R390" s="208" t="str">
        <v xml:space="preserve">  </v>
      </c>
      <c r="S390" s="172"/>
      <c r="T390" s="173"/>
      <c r="U390" s="173"/>
      <c r="V390" s="173"/>
      <c r="W390" s="173"/>
      <c r="X390" s="174"/>
      <c r="Y390" s="159"/>
      <c r="Z390" s="208" t="str">
        <v xml:space="preserve">  </v>
      </c>
      <c r="AA390" s="172"/>
      <c r="AB390" s="173"/>
      <c r="AC390" s="173"/>
      <c r="AD390" s="173"/>
      <c r="AE390" s="173"/>
      <c r="AF390" s="174"/>
      <c r="AG390" s="178"/>
      <c r="AH390" s="208" t="str">
        <v xml:space="preserve">  </v>
      </c>
      <c r="AI390" s="172"/>
      <c r="AJ390" s="173"/>
      <c r="AK390" s="173"/>
      <c r="AL390" s="173"/>
      <c r="AM390" s="173"/>
      <c r="AN390" s="174"/>
      <c r="AO390" s="178"/>
      <c r="AP390" s="208" t="str">
        <v xml:space="preserve">  </v>
      </c>
      <c r="AQ390" s="172"/>
      <c r="AR390" s="173"/>
      <c r="AS390" s="173"/>
      <c r="AT390" s="173"/>
      <c r="AU390" s="173"/>
      <c r="AV390" s="174"/>
    </row>
    <row r="391" spans="1:48">
      <c r="A391" s="204">
        <v>58</v>
      </c>
      <c r="B391" s="208" t="str">
        <v xml:space="preserve">  </v>
      </c>
      <c r="C391" s="172"/>
      <c r="D391" s="173"/>
      <c r="E391" s="173"/>
      <c r="F391" s="173"/>
      <c r="G391" s="173"/>
      <c r="H391" s="174"/>
      <c r="J391" s="208" t="str">
        <v xml:space="preserve">  </v>
      </c>
      <c r="K391" s="172"/>
      <c r="L391" s="173"/>
      <c r="M391" s="173"/>
      <c r="N391" s="173"/>
      <c r="O391" s="173"/>
      <c r="P391" s="174"/>
      <c r="R391" s="208" t="str">
        <v xml:space="preserve">  </v>
      </c>
      <c r="S391" s="172"/>
      <c r="T391" s="173"/>
      <c r="U391" s="173"/>
      <c r="V391" s="173"/>
      <c r="W391" s="173"/>
      <c r="X391" s="174"/>
      <c r="Y391" s="159"/>
      <c r="Z391" s="208" t="str">
        <v xml:space="preserve">  </v>
      </c>
      <c r="AA391" s="172"/>
      <c r="AB391" s="173"/>
      <c r="AC391" s="173"/>
      <c r="AD391" s="173"/>
      <c r="AE391" s="173"/>
      <c r="AF391" s="174"/>
      <c r="AG391" s="178"/>
      <c r="AH391" s="208" t="str">
        <v xml:space="preserve">  </v>
      </c>
      <c r="AI391" s="172"/>
      <c r="AJ391" s="173"/>
      <c r="AK391" s="173"/>
      <c r="AL391" s="173"/>
      <c r="AM391" s="173"/>
      <c r="AN391" s="174"/>
      <c r="AO391" s="178"/>
      <c r="AP391" s="208" t="str">
        <v xml:space="preserve">  </v>
      </c>
      <c r="AQ391" s="172"/>
      <c r="AR391" s="173"/>
      <c r="AS391" s="173"/>
      <c r="AT391" s="173"/>
      <c r="AU391" s="173"/>
      <c r="AV391" s="174"/>
    </row>
    <row r="392" spans="1:48">
      <c r="A392" s="204">
        <v>59</v>
      </c>
      <c r="B392" s="208" t="str">
        <v xml:space="preserve">  </v>
      </c>
      <c r="C392" s="172"/>
      <c r="D392" s="173"/>
      <c r="E392" s="173"/>
      <c r="F392" s="173"/>
      <c r="G392" s="173"/>
      <c r="H392" s="174"/>
      <c r="J392" s="208" t="str">
        <v xml:space="preserve">  </v>
      </c>
      <c r="K392" s="172"/>
      <c r="L392" s="173"/>
      <c r="M392" s="173"/>
      <c r="N392" s="173"/>
      <c r="O392" s="173"/>
      <c r="P392" s="174"/>
      <c r="R392" s="208" t="str">
        <v xml:space="preserve">  </v>
      </c>
      <c r="S392" s="172"/>
      <c r="T392" s="173"/>
      <c r="U392" s="173"/>
      <c r="V392" s="173"/>
      <c r="W392" s="173"/>
      <c r="X392" s="174"/>
      <c r="Y392" s="159"/>
      <c r="Z392" s="208" t="str">
        <v xml:space="preserve">  </v>
      </c>
      <c r="AA392" s="172"/>
      <c r="AB392" s="173"/>
      <c r="AC392" s="173"/>
      <c r="AD392" s="173"/>
      <c r="AE392" s="173"/>
      <c r="AF392" s="174"/>
      <c r="AG392" s="178"/>
      <c r="AH392" s="208" t="str">
        <v xml:space="preserve">  </v>
      </c>
      <c r="AI392" s="172"/>
      <c r="AJ392" s="173"/>
      <c r="AK392" s="173"/>
      <c r="AL392" s="173"/>
      <c r="AM392" s="173"/>
      <c r="AN392" s="174"/>
      <c r="AO392" s="178"/>
      <c r="AP392" s="208" t="str">
        <v xml:space="preserve">  </v>
      </c>
      <c r="AQ392" s="172"/>
      <c r="AR392" s="173"/>
      <c r="AS392" s="173"/>
      <c r="AT392" s="173"/>
      <c r="AU392" s="173"/>
      <c r="AV392" s="174"/>
    </row>
    <row r="393" spans="1:48">
      <c r="A393" s="204">
        <v>60</v>
      </c>
      <c r="B393" s="208" t="str">
        <v xml:space="preserve">  </v>
      </c>
      <c r="C393" s="172"/>
      <c r="D393" s="173"/>
      <c r="E393" s="173"/>
      <c r="F393" s="173"/>
      <c r="G393" s="173"/>
      <c r="H393" s="174"/>
      <c r="J393" s="208" t="str">
        <v xml:space="preserve">  </v>
      </c>
      <c r="K393" s="172"/>
      <c r="L393" s="173"/>
      <c r="M393" s="173"/>
      <c r="N393" s="173"/>
      <c r="O393" s="173"/>
      <c r="P393" s="174"/>
      <c r="R393" s="208" t="str">
        <v xml:space="preserve">  </v>
      </c>
      <c r="S393" s="172"/>
      <c r="T393" s="173"/>
      <c r="U393" s="173"/>
      <c r="V393" s="173"/>
      <c r="W393" s="173"/>
      <c r="X393" s="174"/>
      <c r="Y393" s="159"/>
      <c r="Z393" s="208" t="str">
        <v xml:space="preserve">  </v>
      </c>
      <c r="AA393" s="172"/>
      <c r="AB393" s="173"/>
      <c r="AC393" s="173"/>
      <c r="AD393" s="173"/>
      <c r="AE393" s="173"/>
      <c r="AF393" s="174"/>
      <c r="AG393" s="178"/>
      <c r="AH393" s="208" t="str">
        <v xml:space="preserve">  </v>
      </c>
      <c r="AI393" s="172"/>
      <c r="AJ393" s="173"/>
      <c r="AK393" s="173"/>
      <c r="AL393" s="173"/>
      <c r="AM393" s="173"/>
      <c r="AN393" s="174"/>
      <c r="AO393" s="178"/>
      <c r="AP393" s="208" t="str">
        <v xml:space="preserve">  </v>
      </c>
      <c r="AQ393" s="172"/>
      <c r="AR393" s="173"/>
      <c r="AS393" s="173"/>
      <c r="AT393" s="173"/>
      <c r="AU393" s="173"/>
      <c r="AV393" s="174"/>
    </row>
    <row r="394" spans="1:48">
      <c r="A394" s="204">
        <v>61</v>
      </c>
      <c r="B394" s="208" t="str">
        <v xml:space="preserve">  </v>
      </c>
      <c r="C394" s="172"/>
      <c r="D394" s="173"/>
      <c r="E394" s="173"/>
      <c r="F394" s="173"/>
      <c r="G394" s="173"/>
      <c r="H394" s="174"/>
      <c r="J394" s="208" t="str">
        <v xml:space="preserve">  </v>
      </c>
      <c r="K394" s="172"/>
      <c r="L394" s="173"/>
      <c r="M394" s="173"/>
      <c r="N394" s="173"/>
      <c r="O394" s="173"/>
      <c r="P394" s="174"/>
      <c r="R394" s="208" t="str">
        <v xml:space="preserve">  </v>
      </c>
      <c r="S394" s="172"/>
      <c r="T394" s="173"/>
      <c r="U394" s="173"/>
      <c r="V394" s="173"/>
      <c r="W394" s="173"/>
      <c r="X394" s="174"/>
      <c r="Y394" s="159"/>
      <c r="Z394" s="208" t="str">
        <v xml:space="preserve">  </v>
      </c>
      <c r="AA394" s="172"/>
      <c r="AB394" s="173"/>
      <c r="AC394" s="173"/>
      <c r="AD394" s="173"/>
      <c r="AE394" s="173"/>
      <c r="AF394" s="174"/>
      <c r="AG394" s="178"/>
      <c r="AH394" s="208" t="str">
        <v xml:space="preserve">  </v>
      </c>
      <c r="AI394" s="172"/>
      <c r="AJ394" s="173"/>
      <c r="AK394" s="173"/>
      <c r="AL394" s="173"/>
      <c r="AM394" s="173"/>
      <c r="AN394" s="174"/>
      <c r="AO394" s="178"/>
      <c r="AP394" s="208" t="str">
        <v xml:space="preserve">  </v>
      </c>
      <c r="AQ394" s="172"/>
      <c r="AR394" s="173"/>
      <c r="AS394" s="173"/>
      <c r="AT394" s="173"/>
      <c r="AU394" s="173"/>
      <c r="AV394" s="174"/>
    </row>
    <row r="395" spans="1:48">
      <c r="A395" s="204">
        <v>62</v>
      </c>
      <c r="B395" s="208" t="str">
        <v xml:space="preserve">  </v>
      </c>
      <c r="C395" s="172"/>
      <c r="D395" s="173"/>
      <c r="E395" s="173"/>
      <c r="F395" s="173"/>
      <c r="G395" s="173"/>
      <c r="H395" s="174"/>
      <c r="J395" s="208" t="str">
        <v xml:space="preserve">  </v>
      </c>
      <c r="K395" s="172"/>
      <c r="L395" s="173"/>
      <c r="M395" s="173"/>
      <c r="N395" s="173"/>
      <c r="O395" s="173"/>
      <c r="P395" s="174"/>
      <c r="R395" s="208" t="str">
        <v xml:space="preserve">  </v>
      </c>
      <c r="S395" s="172"/>
      <c r="T395" s="173"/>
      <c r="U395" s="173"/>
      <c r="V395" s="173"/>
      <c r="W395" s="173"/>
      <c r="X395" s="174"/>
      <c r="Y395" s="159"/>
      <c r="Z395" s="208" t="str">
        <v xml:space="preserve">  </v>
      </c>
      <c r="AA395" s="172"/>
      <c r="AB395" s="173"/>
      <c r="AC395" s="173"/>
      <c r="AD395" s="173"/>
      <c r="AE395" s="173"/>
      <c r="AF395" s="174"/>
      <c r="AG395" s="178"/>
      <c r="AH395" s="208" t="str">
        <v xml:space="preserve">  </v>
      </c>
      <c r="AI395" s="172"/>
      <c r="AJ395" s="173"/>
      <c r="AK395" s="173"/>
      <c r="AL395" s="173"/>
      <c r="AM395" s="173"/>
      <c r="AN395" s="174"/>
      <c r="AO395" s="178"/>
      <c r="AP395" s="208" t="str">
        <v xml:space="preserve">  </v>
      </c>
      <c r="AQ395" s="172"/>
      <c r="AR395" s="173"/>
      <c r="AS395" s="173"/>
      <c r="AT395" s="173"/>
      <c r="AU395" s="173"/>
      <c r="AV395" s="174"/>
    </row>
    <row r="396" spans="1:48">
      <c r="A396" s="204">
        <v>63</v>
      </c>
      <c r="B396" s="208" t="str">
        <v xml:space="preserve">  </v>
      </c>
      <c r="C396" s="172"/>
      <c r="D396" s="173"/>
      <c r="E396" s="173"/>
      <c r="F396" s="173"/>
      <c r="G396" s="173"/>
      <c r="H396" s="174"/>
      <c r="J396" s="208" t="str">
        <v xml:space="preserve">  </v>
      </c>
      <c r="K396" s="172"/>
      <c r="L396" s="173"/>
      <c r="M396" s="173"/>
      <c r="N396" s="173"/>
      <c r="O396" s="173"/>
      <c r="P396" s="174"/>
      <c r="R396" s="208" t="str">
        <v xml:space="preserve">  </v>
      </c>
      <c r="S396" s="172"/>
      <c r="T396" s="173"/>
      <c r="U396" s="173"/>
      <c r="V396" s="173"/>
      <c r="W396" s="173"/>
      <c r="X396" s="174"/>
      <c r="Y396" s="159"/>
      <c r="Z396" s="208" t="str">
        <v xml:space="preserve">  </v>
      </c>
      <c r="AA396" s="172"/>
      <c r="AB396" s="173"/>
      <c r="AC396" s="173"/>
      <c r="AD396" s="173"/>
      <c r="AE396" s="173"/>
      <c r="AF396" s="174"/>
      <c r="AG396" s="178"/>
      <c r="AH396" s="208" t="str">
        <v xml:space="preserve">  </v>
      </c>
      <c r="AI396" s="172"/>
      <c r="AJ396" s="173"/>
      <c r="AK396" s="173"/>
      <c r="AL396" s="173"/>
      <c r="AM396" s="173"/>
      <c r="AN396" s="174"/>
      <c r="AO396" s="178"/>
      <c r="AP396" s="208" t="str">
        <v xml:space="preserve">  </v>
      </c>
      <c r="AQ396" s="172"/>
      <c r="AR396" s="173"/>
      <c r="AS396" s="173"/>
      <c r="AT396" s="173"/>
      <c r="AU396" s="173"/>
      <c r="AV396" s="174"/>
    </row>
    <row r="397" spans="1:48">
      <c r="A397" s="204">
        <v>64</v>
      </c>
      <c r="B397" s="208" t="str">
        <v xml:space="preserve">  </v>
      </c>
      <c r="C397" s="172"/>
      <c r="D397" s="173"/>
      <c r="E397" s="173"/>
      <c r="F397" s="173"/>
      <c r="G397" s="173"/>
      <c r="H397" s="174"/>
      <c r="J397" s="208" t="str">
        <v xml:space="preserve">  </v>
      </c>
      <c r="K397" s="172"/>
      <c r="L397" s="173"/>
      <c r="M397" s="173"/>
      <c r="N397" s="173"/>
      <c r="O397" s="173"/>
      <c r="P397" s="174"/>
      <c r="R397" s="208" t="str">
        <v xml:space="preserve">  </v>
      </c>
      <c r="S397" s="172"/>
      <c r="T397" s="173"/>
      <c r="U397" s="173"/>
      <c r="V397" s="173"/>
      <c r="W397" s="173"/>
      <c r="X397" s="174"/>
      <c r="Y397" s="159"/>
      <c r="Z397" s="208" t="str">
        <v xml:space="preserve">  </v>
      </c>
      <c r="AA397" s="172"/>
      <c r="AB397" s="173"/>
      <c r="AC397" s="173"/>
      <c r="AD397" s="173"/>
      <c r="AE397" s="173"/>
      <c r="AF397" s="174"/>
      <c r="AG397" s="178"/>
      <c r="AH397" s="208" t="str">
        <v xml:space="preserve">  </v>
      </c>
      <c r="AI397" s="172"/>
      <c r="AJ397" s="173"/>
      <c r="AK397" s="173"/>
      <c r="AL397" s="173"/>
      <c r="AM397" s="173"/>
      <c r="AN397" s="174"/>
      <c r="AO397" s="178"/>
      <c r="AP397" s="208" t="str">
        <v xml:space="preserve">  </v>
      </c>
      <c r="AQ397" s="172"/>
      <c r="AR397" s="173"/>
      <c r="AS397" s="173"/>
      <c r="AT397" s="173"/>
      <c r="AU397" s="173"/>
      <c r="AV397" s="174"/>
    </row>
    <row r="398" spans="1:48">
      <c r="A398" s="204">
        <v>65</v>
      </c>
      <c r="B398" s="208" t="str">
        <v xml:space="preserve">  </v>
      </c>
      <c r="C398" s="172"/>
      <c r="D398" s="173"/>
      <c r="E398" s="173"/>
      <c r="F398" s="173"/>
      <c r="G398" s="173"/>
      <c r="H398" s="174"/>
      <c r="J398" s="208" t="str">
        <v xml:space="preserve">  </v>
      </c>
      <c r="K398" s="172"/>
      <c r="L398" s="173"/>
      <c r="M398" s="173"/>
      <c r="N398" s="173"/>
      <c r="O398" s="173"/>
      <c r="P398" s="174"/>
      <c r="R398" s="208" t="str">
        <v xml:space="preserve">  </v>
      </c>
      <c r="S398" s="172"/>
      <c r="T398" s="173"/>
      <c r="U398" s="173"/>
      <c r="V398" s="173"/>
      <c r="W398" s="173"/>
      <c r="X398" s="174"/>
      <c r="Y398" s="159"/>
      <c r="Z398" s="208" t="str">
        <v xml:space="preserve">  </v>
      </c>
      <c r="AA398" s="172"/>
      <c r="AB398" s="173"/>
      <c r="AC398" s="173"/>
      <c r="AD398" s="173"/>
      <c r="AE398" s="173"/>
      <c r="AF398" s="174"/>
      <c r="AG398" s="178"/>
      <c r="AH398" s="208" t="str">
        <v xml:space="preserve">  </v>
      </c>
      <c r="AI398" s="172"/>
      <c r="AJ398" s="173"/>
      <c r="AK398" s="173"/>
      <c r="AL398" s="173"/>
      <c r="AM398" s="173"/>
      <c r="AN398" s="174"/>
      <c r="AO398" s="178"/>
      <c r="AP398" s="208" t="str">
        <v xml:space="preserve">  </v>
      </c>
      <c r="AQ398" s="172"/>
      <c r="AR398" s="173"/>
      <c r="AS398" s="173"/>
      <c r="AT398" s="173"/>
      <c r="AU398" s="173"/>
      <c r="AV398" s="174"/>
    </row>
    <row r="399" spans="1:48">
      <c r="A399" s="204">
        <v>66</v>
      </c>
      <c r="B399" s="208" t="str">
        <v xml:space="preserve">  </v>
      </c>
      <c r="C399" s="172"/>
      <c r="D399" s="173"/>
      <c r="E399" s="173"/>
      <c r="F399" s="173"/>
      <c r="G399" s="173"/>
      <c r="H399" s="174"/>
      <c r="J399" s="208" t="str">
        <v xml:space="preserve">  </v>
      </c>
      <c r="K399" s="172"/>
      <c r="L399" s="173"/>
      <c r="M399" s="173"/>
      <c r="N399" s="173"/>
      <c r="O399" s="173"/>
      <c r="P399" s="174"/>
      <c r="R399" s="208" t="str">
        <v xml:space="preserve">  </v>
      </c>
      <c r="S399" s="172"/>
      <c r="T399" s="173"/>
      <c r="U399" s="173"/>
      <c r="V399" s="173"/>
      <c r="W399" s="173"/>
      <c r="X399" s="174"/>
      <c r="Y399" s="159"/>
      <c r="Z399" s="208" t="str">
        <v xml:space="preserve">  </v>
      </c>
      <c r="AA399" s="172"/>
      <c r="AB399" s="173"/>
      <c r="AC399" s="173"/>
      <c r="AD399" s="173"/>
      <c r="AE399" s="173"/>
      <c r="AF399" s="174"/>
      <c r="AG399" s="178"/>
      <c r="AH399" s="208" t="str">
        <v xml:space="preserve">  </v>
      </c>
      <c r="AI399" s="172"/>
      <c r="AJ399" s="173"/>
      <c r="AK399" s="173"/>
      <c r="AL399" s="173"/>
      <c r="AM399" s="173"/>
      <c r="AN399" s="174"/>
      <c r="AO399" s="178"/>
      <c r="AP399" s="208" t="str">
        <v xml:space="preserve">  </v>
      </c>
      <c r="AQ399" s="172"/>
      <c r="AR399" s="173"/>
      <c r="AS399" s="173"/>
      <c r="AT399" s="173"/>
      <c r="AU399" s="173"/>
      <c r="AV399" s="174"/>
    </row>
    <row r="400" spans="1:48">
      <c r="A400" s="204">
        <v>67</v>
      </c>
      <c r="B400" s="208" t="str">
        <v xml:space="preserve">  </v>
      </c>
      <c r="C400" s="172"/>
      <c r="D400" s="173"/>
      <c r="E400" s="173"/>
      <c r="F400" s="173"/>
      <c r="G400" s="173"/>
      <c r="H400" s="174"/>
      <c r="J400" s="208" t="str">
        <v xml:space="preserve">  </v>
      </c>
      <c r="K400" s="172"/>
      <c r="L400" s="173"/>
      <c r="M400" s="173"/>
      <c r="N400" s="173"/>
      <c r="O400" s="173"/>
      <c r="P400" s="174"/>
      <c r="R400" s="208" t="str">
        <v xml:space="preserve">  </v>
      </c>
      <c r="S400" s="172"/>
      <c r="T400" s="173"/>
      <c r="U400" s="173"/>
      <c r="V400" s="173"/>
      <c r="W400" s="173"/>
      <c r="X400" s="174"/>
      <c r="Y400" s="159"/>
      <c r="Z400" s="208" t="str">
        <v xml:space="preserve">  </v>
      </c>
      <c r="AA400" s="172"/>
      <c r="AB400" s="173"/>
      <c r="AC400" s="173"/>
      <c r="AD400" s="173"/>
      <c r="AE400" s="173"/>
      <c r="AF400" s="174"/>
      <c r="AG400" s="178"/>
      <c r="AH400" s="208" t="str">
        <v xml:space="preserve">  </v>
      </c>
      <c r="AI400" s="172"/>
      <c r="AJ400" s="173"/>
      <c r="AK400" s="173"/>
      <c r="AL400" s="173"/>
      <c r="AM400" s="173"/>
      <c r="AN400" s="174"/>
      <c r="AO400" s="178"/>
      <c r="AP400" s="208" t="str">
        <v xml:space="preserve">  </v>
      </c>
      <c r="AQ400" s="172"/>
      <c r="AR400" s="173"/>
      <c r="AS400" s="173"/>
      <c r="AT400" s="173"/>
      <c r="AU400" s="173"/>
      <c r="AV400" s="174"/>
    </row>
    <row r="401" spans="1:48">
      <c r="A401" s="204">
        <v>68</v>
      </c>
      <c r="B401" s="208" t="str">
        <v xml:space="preserve">  </v>
      </c>
      <c r="C401" s="172"/>
      <c r="D401" s="173"/>
      <c r="E401" s="173"/>
      <c r="F401" s="173"/>
      <c r="G401" s="173"/>
      <c r="H401" s="174"/>
      <c r="J401" s="208" t="str">
        <v xml:space="preserve">  </v>
      </c>
      <c r="K401" s="172"/>
      <c r="L401" s="173"/>
      <c r="M401" s="173"/>
      <c r="N401" s="173"/>
      <c r="O401" s="173"/>
      <c r="P401" s="174"/>
      <c r="R401" s="208" t="str">
        <v xml:space="preserve">  </v>
      </c>
      <c r="S401" s="172"/>
      <c r="T401" s="173"/>
      <c r="U401" s="173"/>
      <c r="V401" s="173"/>
      <c r="W401" s="173"/>
      <c r="X401" s="174"/>
      <c r="Y401" s="159"/>
      <c r="Z401" s="208" t="str">
        <v xml:space="preserve">  </v>
      </c>
      <c r="AA401" s="172"/>
      <c r="AB401" s="173"/>
      <c r="AC401" s="173"/>
      <c r="AD401" s="173"/>
      <c r="AE401" s="173"/>
      <c r="AF401" s="174"/>
      <c r="AG401" s="178"/>
      <c r="AH401" s="208" t="str">
        <v xml:space="preserve">  </v>
      </c>
      <c r="AI401" s="172"/>
      <c r="AJ401" s="173"/>
      <c r="AK401" s="173"/>
      <c r="AL401" s="173"/>
      <c r="AM401" s="173"/>
      <c r="AN401" s="174"/>
      <c r="AO401" s="178"/>
      <c r="AP401" s="208" t="str">
        <v xml:space="preserve">  </v>
      </c>
      <c r="AQ401" s="172"/>
      <c r="AR401" s="173"/>
      <c r="AS401" s="173"/>
      <c r="AT401" s="173"/>
      <c r="AU401" s="173"/>
      <c r="AV401" s="174"/>
    </row>
    <row r="402" spans="1:48">
      <c r="A402" s="204">
        <v>69</v>
      </c>
      <c r="B402" s="208" t="str">
        <v xml:space="preserve">  </v>
      </c>
      <c r="C402" s="172"/>
      <c r="D402" s="173"/>
      <c r="E402" s="173"/>
      <c r="F402" s="173"/>
      <c r="G402" s="173"/>
      <c r="H402" s="174"/>
      <c r="J402" s="208" t="str">
        <v xml:space="preserve">  </v>
      </c>
      <c r="K402" s="172"/>
      <c r="L402" s="173"/>
      <c r="M402" s="173"/>
      <c r="N402" s="173"/>
      <c r="O402" s="173"/>
      <c r="P402" s="174"/>
      <c r="R402" s="208" t="str">
        <v xml:space="preserve">  </v>
      </c>
      <c r="S402" s="172"/>
      <c r="T402" s="173"/>
      <c r="U402" s="173"/>
      <c r="V402" s="173"/>
      <c r="W402" s="173"/>
      <c r="X402" s="174"/>
      <c r="Y402" s="159"/>
      <c r="Z402" s="208" t="str">
        <v xml:space="preserve">  </v>
      </c>
      <c r="AA402" s="172"/>
      <c r="AB402" s="173"/>
      <c r="AC402" s="173"/>
      <c r="AD402" s="173"/>
      <c r="AE402" s="173"/>
      <c r="AF402" s="174"/>
      <c r="AG402" s="178"/>
      <c r="AH402" s="208" t="str">
        <v xml:space="preserve">  </v>
      </c>
      <c r="AI402" s="172"/>
      <c r="AJ402" s="173"/>
      <c r="AK402" s="173"/>
      <c r="AL402" s="173"/>
      <c r="AM402" s="173"/>
      <c r="AN402" s="174"/>
      <c r="AO402" s="178"/>
      <c r="AP402" s="208" t="str">
        <v xml:space="preserve">  </v>
      </c>
      <c r="AQ402" s="172"/>
      <c r="AR402" s="173"/>
      <c r="AS402" s="173"/>
      <c r="AT402" s="173"/>
      <c r="AU402" s="173"/>
      <c r="AV402" s="174"/>
    </row>
    <row r="403" spans="1:48">
      <c r="A403" s="204">
        <v>70</v>
      </c>
      <c r="B403" s="208" t="str">
        <v xml:space="preserve">  </v>
      </c>
      <c r="C403" s="172"/>
      <c r="D403" s="173"/>
      <c r="E403" s="173"/>
      <c r="F403" s="173"/>
      <c r="G403" s="173"/>
      <c r="H403" s="174"/>
      <c r="J403" s="208" t="str">
        <v xml:space="preserve">  </v>
      </c>
      <c r="K403" s="172"/>
      <c r="L403" s="173"/>
      <c r="M403" s="173"/>
      <c r="N403" s="173"/>
      <c r="O403" s="173"/>
      <c r="P403" s="174"/>
      <c r="R403" s="208" t="str">
        <v xml:space="preserve">  </v>
      </c>
      <c r="S403" s="172"/>
      <c r="T403" s="173"/>
      <c r="U403" s="173"/>
      <c r="V403" s="173"/>
      <c r="W403" s="173"/>
      <c r="X403" s="174"/>
      <c r="Y403" s="159"/>
      <c r="Z403" s="208" t="str">
        <v xml:space="preserve">  </v>
      </c>
      <c r="AA403" s="172"/>
      <c r="AB403" s="173"/>
      <c r="AC403" s="173"/>
      <c r="AD403" s="173"/>
      <c r="AE403" s="173"/>
      <c r="AF403" s="174"/>
      <c r="AG403" s="178"/>
      <c r="AH403" s="208" t="str">
        <v xml:space="preserve">  </v>
      </c>
      <c r="AI403" s="172"/>
      <c r="AJ403" s="173"/>
      <c r="AK403" s="173"/>
      <c r="AL403" s="173"/>
      <c r="AM403" s="173"/>
      <c r="AN403" s="174"/>
      <c r="AO403" s="178"/>
      <c r="AP403" s="208" t="str">
        <v xml:space="preserve">  </v>
      </c>
      <c r="AQ403" s="172"/>
      <c r="AR403" s="173"/>
      <c r="AS403" s="173"/>
      <c r="AT403" s="173"/>
      <c r="AU403" s="173"/>
      <c r="AV403" s="174"/>
    </row>
    <row r="404" spans="1:48">
      <c r="A404" s="204">
        <v>71</v>
      </c>
      <c r="B404" s="208" t="str">
        <v xml:space="preserve">  </v>
      </c>
      <c r="C404" s="172"/>
      <c r="D404" s="173"/>
      <c r="E404" s="173"/>
      <c r="F404" s="173"/>
      <c r="G404" s="173"/>
      <c r="H404" s="174"/>
      <c r="J404" s="208" t="str">
        <v xml:space="preserve">  </v>
      </c>
      <c r="K404" s="172"/>
      <c r="L404" s="173"/>
      <c r="M404" s="173"/>
      <c r="N404" s="173"/>
      <c r="O404" s="173"/>
      <c r="P404" s="174"/>
      <c r="R404" s="208" t="str">
        <v xml:space="preserve">  </v>
      </c>
      <c r="S404" s="172"/>
      <c r="T404" s="173"/>
      <c r="U404" s="173"/>
      <c r="V404" s="173"/>
      <c r="W404" s="173"/>
      <c r="X404" s="174"/>
      <c r="Y404" s="159"/>
      <c r="Z404" s="208" t="str">
        <v xml:space="preserve">  </v>
      </c>
      <c r="AA404" s="172"/>
      <c r="AB404" s="173"/>
      <c r="AC404" s="173"/>
      <c r="AD404" s="173"/>
      <c r="AE404" s="173"/>
      <c r="AF404" s="174"/>
      <c r="AG404" s="178"/>
      <c r="AH404" s="208" t="str">
        <v xml:space="preserve">  </v>
      </c>
      <c r="AI404" s="172"/>
      <c r="AJ404" s="173"/>
      <c r="AK404" s="173"/>
      <c r="AL404" s="173"/>
      <c r="AM404" s="173"/>
      <c r="AN404" s="174"/>
      <c r="AO404" s="178"/>
      <c r="AP404" s="208" t="str">
        <v xml:space="preserve">  </v>
      </c>
      <c r="AQ404" s="172"/>
      <c r="AR404" s="173"/>
      <c r="AS404" s="173"/>
      <c r="AT404" s="173"/>
      <c r="AU404" s="173"/>
      <c r="AV404" s="174"/>
    </row>
    <row r="405" spans="1:48">
      <c r="A405" s="204">
        <v>72</v>
      </c>
      <c r="B405" s="208" t="str">
        <v xml:space="preserve">  </v>
      </c>
      <c r="C405" s="172"/>
      <c r="D405" s="173"/>
      <c r="E405" s="173"/>
      <c r="F405" s="173"/>
      <c r="G405" s="173"/>
      <c r="H405" s="174"/>
      <c r="J405" s="208" t="str">
        <v xml:space="preserve">  </v>
      </c>
      <c r="K405" s="172"/>
      <c r="L405" s="173"/>
      <c r="M405" s="173"/>
      <c r="N405" s="173"/>
      <c r="O405" s="173"/>
      <c r="P405" s="174"/>
      <c r="R405" s="208" t="str">
        <v xml:space="preserve">  </v>
      </c>
      <c r="S405" s="172"/>
      <c r="T405" s="173"/>
      <c r="U405" s="173"/>
      <c r="V405" s="173"/>
      <c r="W405" s="173"/>
      <c r="X405" s="174"/>
      <c r="Y405" s="159"/>
      <c r="Z405" s="208" t="str">
        <v xml:space="preserve">  </v>
      </c>
      <c r="AA405" s="172"/>
      <c r="AB405" s="173"/>
      <c r="AC405" s="173"/>
      <c r="AD405" s="173"/>
      <c r="AE405" s="173"/>
      <c r="AF405" s="174"/>
      <c r="AG405" s="178"/>
      <c r="AH405" s="208" t="str">
        <v xml:space="preserve">  </v>
      </c>
      <c r="AI405" s="172"/>
      <c r="AJ405" s="173"/>
      <c r="AK405" s="173"/>
      <c r="AL405" s="173"/>
      <c r="AM405" s="173"/>
      <c r="AN405" s="174"/>
      <c r="AO405" s="178"/>
      <c r="AP405" s="208" t="str">
        <v xml:space="preserve">  </v>
      </c>
      <c r="AQ405" s="172"/>
      <c r="AR405" s="173"/>
      <c r="AS405" s="173"/>
      <c r="AT405" s="173"/>
      <c r="AU405" s="173"/>
      <c r="AV405" s="174"/>
    </row>
    <row r="406" spans="1:48">
      <c r="A406" s="204">
        <v>73</v>
      </c>
      <c r="B406" s="208" t="str">
        <v xml:space="preserve">  </v>
      </c>
      <c r="C406" s="172"/>
      <c r="D406" s="173"/>
      <c r="E406" s="173"/>
      <c r="F406" s="173"/>
      <c r="G406" s="173"/>
      <c r="H406" s="174"/>
      <c r="J406" s="208" t="str">
        <v xml:space="preserve">  </v>
      </c>
      <c r="K406" s="172"/>
      <c r="L406" s="173"/>
      <c r="M406" s="173"/>
      <c r="N406" s="173"/>
      <c r="O406" s="173"/>
      <c r="P406" s="174"/>
      <c r="R406" s="208" t="str">
        <v xml:space="preserve">  </v>
      </c>
      <c r="S406" s="172"/>
      <c r="T406" s="173"/>
      <c r="U406" s="173"/>
      <c r="V406" s="173"/>
      <c r="W406" s="173"/>
      <c r="X406" s="174"/>
      <c r="Y406" s="159"/>
      <c r="Z406" s="208" t="str">
        <v xml:space="preserve">  </v>
      </c>
      <c r="AA406" s="172"/>
      <c r="AB406" s="173"/>
      <c r="AC406" s="173"/>
      <c r="AD406" s="173"/>
      <c r="AE406" s="173"/>
      <c r="AF406" s="174"/>
      <c r="AG406" s="178"/>
      <c r="AH406" s="208" t="str">
        <v xml:space="preserve">  </v>
      </c>
      <c r="AI406" s="172"/>
      <c r="AJ406" s="173"/>
      <c r="AK406" s="173"/>
      <c r="AL406" s="173"/>
      <c r="AM406" s="173"/>
      <c r="AN406" s="174"/>
      <c r="AO406" s="178"/>
      <c r="AP406" s="208" t="str">
        <v xml:space="preserve">  </v>
      </c>
      <c r="AQ406" s="172"/>
      <c r="AR406" s="173"/>
      <c r="AS406" s="173"/>
      <c r="AT406" s="173"/>
      <c r="AU406" s="173"/>
      <c r="AV406" s="174"/>
    </row>
    <row r="407" spans="1:48">
      <c r="A407" s="204">
        <v>74</v>
      </c>
      <c r="B407" s="208" t="str">
        <v xml:space="preserve">  </v>
      </c>
      <c r="C407" s="172"/>
      <c r="D407" s="173"/>
      <c r="E407" s="173"/>
      <c r="F407" s="173"/>
      <c r="G407" s="173"/>
      <c r="H407" s="174"/>
      <c r="J407" s="208" t="str">
        <v xml:space="preserve">  </v>
      </c>
      <c r="K407" s="172"/>
      <c r="L407" s="173"/>
      <c r="M407" s="173"/>
      <c r="N407" s="173"/>
      <c r="O407" s="173"/>
      <c r="P407" s="174"/>
      <c r="R407" s="208" t="str">
        <v xml:space="preserve">  </v>
      </c>
      <c r="S407" s="172"/>
      <c r="T407" s="173"/>
      <c r="U407" s="173"/>
      <c r="V407" s="173"/>
      <c r="W407" s="173"/>
      <c r="X407" s="174"/>
      <c r="Y407" s="159"/>
      <c r="Z407" s="208" t="str">
        <v xml:space="preserve">  </v>
      </c>
      <c r="AA407" s="172"/>
      <c r="AB407" s="173"/>
      <c r="AC407" s="173"/>
      <c r="AD407" s="173"/>
      <c r="AE407" s="173"/>
      <c r="AF407" s="174"/>
      <c r="AG407" s="178"/>
      <c r="AH407" s="208" t="str">
        <v xml:space="preserve">  </v>
      </c>
      <c r="AI407" s="172"/>
      <c r="AJ407" s="173"/>
      <c r="AK407" s="173"/>
      <c r="AL407" s="173"/>
      <c r="AM407" s="173"/>
      <c r="AN407" s="174"/>
      <c r="AO407" s="178"/>
      <c r="AP407" s="208" t="str">
        <v xml:space="preserve">  </v>
      </c>
      <c r="AQ407" s="172"/>
      <c r="AR407" s="173"/>
      <c r="AS407" s="173"/>
      <c r="AT407" s="173"/>
      <c r="AU407" s="173"/>
      <c r="AV407" s="174"/>
    </row>
    <row r="408" spans="1:48">
      <c r="A408" s="204">
        <v>75</v>
      </c>
      <c r="B408" s="208" t="str">
        <v xml:space="preserve">  </v>
      </c>
      <c r="C408" s="172"/>
      <c r="D408" s="173"/>
      <c r="E408" s="173"/>
      <c r="F408" s="173"/>
      <c r="G408" s="173"/>
      <c r="H408" s="174"/>
      <c r="J408" s="208" t="str">
        <v xml:space="preserve">  </v>
      </c>
      <c r="K408" s="172"/>
      <c r="L408" s="173"/>
      <c r="M408" s="173"/>
      <c r="N408" s="173"/>
      <c r="O408" s="173"/>
      <c r="P408" s="174"/>
      <c r="R408" s="208" t="str">
        <v xml:space="preserve">  </v>
      </c>
      <c r="S408" s="172"/>
      <c r="T408" s="173"/>
      <c r="U408" s="173"/>
      <c r="V408" s="173"/>
      <c r="W408" s="173"/>
      <c r="X408" s="174"/>
      <c r="Y408" s="159"/>
      <c r="Z408" s="208" t="str">
        <v xml:space="preserve">  </v>
      </c>
      <c r="AA408" s="172"/>
      <c r="AB408" s="173"/>
      <c r="AC408" s="173"/>
      <c r="AD408" s="173"/>
      <c r="AE408" s="173"/>
      <c r="AF408" s="174"/>
      <c r="AG408" s="178"/>
      <c r="AH408" s="208" t="str">
        <v xml:space="preserve">  </v>
      </c>
      <c r="AI408" s="172"/>
      <c r="AJ408" s="173"/>
      <c r="AK408" s="173"/>
      <c r="AL408" s="173"/>
      <c r="AM408" s="173"/>
      <c r="AN408" s="174"/>
      <c r="AO408" s="178"/>
      <c r="AP408" s="208" t="str">
        <v xml:space="preserve">  </v>
      </c>
      <c r="AQ408" s="172"/>
      <c r="AR408" s="173"/>
      <c r="AS408" s="173"/>
      <c r="AT408" s="173"/>
      <c r="AU408" s="173"/>
      <c r="AV408" s="174"/>
    </row>
    <row r="409" spans="1:48">
      <c r="A409" s="204">
        <v>76</v>
      </c>
      <c r="B409" s="208" t="str">
        <v xml:space="preserve">  </v>
      </c>
      <c r="C409" s="172"/>
      <c r="D409" s="173"/>
      <c r="E409" s="173"/>
      <c r="F409" s="173"/>
      <c r="G409" s="173"/>
      <c r="H409" s="174"/>
      <c r="J409" s="208" t="str">
        <v xml:space="preserve">  </v>
      </c>
      <c r="K409" s="172"/>
      <c r="L409" s="173"/>
      <c r="M409" s="173"/>
      <c r="N409" s="173"/>
      <c r="O409" s="173"/>
      <c r="P409" s="174"/>
      <c r="R409" s="208" t="str">
        <v xml:space="preserve">  </v>
      </c>
      <c r="S409" s="172"/>
      <c r="T409" s="173"/>
      <c r="U409" s="173"/>
      <c r="V409" s="173"/>
      <c r="W409" s="173"/>
      <c r="X409" s="174"/>
      <c r="Y409" s="159"/>
      <c r="Z409" s="208" t="str">
        <v xml:space="preserve">  </v>
      </c>
      <c r="AA409" s="172"/>
      <c r="AB409" s="173"/>
      <c r="AC409" s="173"/>
      <c r="AD409" s="173"/>
      <c r="AE409" s="173"/>
      <c r="AF409" s="174"/>
      <c r="AG409" s="178"/>
      <c r="AH409" s="208" t="str">
        <v xml:space="preserve">  </v>
      </c>
      <c r="AI409" s="172"/>
      <c r="AJ409" s="173"/>
      <c r="AK409" s="173"/>
      <c r="AL409" s="173"/>
      <c r="AM409" s="173"/>
      <c r="AN409" s="174"/>
      <c r="AO409" s="178"/>
      <c r="AP409" s="208" t="str">
        <v xml:space="preserve">  </v>
      </c>
      <c r="AQ409" s="172"/>
      <c r="AR409" s="173"/>
      <c r="AS409" s="173"/>
      <c r="AT409" s="173"/>
      <c r="AU409" s="173"/>
      <c r="AV409" s="174"/>
    </row>
    <row r="410" spans="1:48">
      <c r="A410" s="204">
        <v>77</v>
      </c>
      <c r="B410" s="208" t="str">
        <v xml:space="preserve">  </v>
      </c>
      <c r="C410" s="172"/>
      <c r="D410" s="173"/>
      <c r="E410" s="173"/>
      <c r="F410" s="173"/>
      <c r="G410" s="173"/>
      <c r="H410" s="174"/>
      <c r="J410" s="208" t="str">
        <v xml:space="preserve">  </v>
      </c>
      <c r="K410" s="172"/>
      <c r="L410" s="173"/>
      <c r="M410" s="173"/>
      <c r="N410" s="173"/>
      <c r="O410" s="173"/>
      <c r="P410" s="174"/>
      <c r="R410" s="208" t="str">
        <v xml:space="preserve">  </v>
      </c>
      <c r="S410" s="172"/>
      <c r="T410" s="173"/>
      <c r="U410" s="173"/>
      <c r="V410" s="173"/>
      <c r="W410" s="173"/>
      <c r="X410" s="174"/>
      <c r="Y410" s="159"/>
      <c r="Z410" s="208" t="str">
        <v xml:space="preserve">  </v>
      </c>
      <c r="AA410" s="172"/>
      <c r="AB410" s="173"/>
      <c r="AC410" s="173"/>
      <c r="AD410" s="173"/>
      <c r="AE410" s="173"/>
      <c r="AF410" s="174"/>
      <c r="AG410" s="178"/>
      <c r="AH410" s="208" t="str">
        <v xml:space="preserve">  </v>
      </c>
      <c r="AI410" s="172"/>
      <c r="AJ410" s="173"/>
      <c r="AK410" s="173"/>
      <c r="AL410" s="173"/>
      <c r="AM410" s="173"/>
      <c r="AN410" s="174"/>
      <c r="AO410" s="178"/>
      <c r="AP410" s="208" t="str">
        <v xml:space="preserve">  </v>
      </c>
      <c r="AQ410" s="172"/>
      <c r="AR410" s="173"/>
      <c r="AS410" s="173"/>
      <c r="AT410" s="173"/>
      <c r="AU410" s="173"/>
      <c r="AV410" s="174"/>
    </row>
    <row r="411" spans="1:48">
      <c r="A411" s="204">
        <v>78</v>
      </c>
      <c r="B411" s="208" t="str">
        <v xml:space="preserve">  </v>
      </c>
      <c r="C411" s="172"/>
      <c r="D411" s="173"/>
      <c r="E411" s="173"/>
      <c r="F411" s="173"/>
      <c r="G411" s="173"/>
      <c r="H411" s="174"/>
      <c r="J411" s="208" t="str">
        <v xml:space="preserve">  </v>
      </c>
      <c r="K411" s="172"/>
      <c r="L411" s="173"/>
      <c r="M411" s="173"/>
      <c r="N411" s="173"/>
      <c r="O411" s="173"/>
      <c r="P411" s="174"/>
      <c r="R411" s="208" t="str">
        <v xml:space="preserve">  </v>
      </c>
      <c r="S411" s="172"/>
      <c r="T411" s="173"/>
      <c r="U411" s="173"/>
      <c r="V411" s="173"/>
      <c r="W411" s="173"/>
      <c r="X411" s="174"/>
      <c r="Y411" s="159"/>
      <c r="Z411" s="208" t="str">
        <v xml:space="preserve">  </v>
      </c>
      <c r="AA411" s="172"/>
      <c r="AB411" s="173"/>
      <c r="AC411" s="173"/>
      <c r="AD411" s="173"/>
      <c r="AE411" s="173"/>
      <c r="AF411" s="174"/>
      <c r="AG411" s="178"/>
      <c r="AH411" s="208" t="str">
        <v xml:space="preserve">  </v>
      </c>
      <c r="AI411" s="172"/>
      <c r="AJ411" s="173"/>
      <c r="AK411" s="173"/>
      <c r="AL411" s="173"/>
      <c r="AM411" s="173"/>
      <c r="AN411" s="174"/>
      <c r="AO411" s="178"/>
      <c r="AP411" s="208" t="str">
        <v xml:space="preserve">  </v>
      </c>
      <c r="AQ411" s="172"/>
      <c r="AR411" s="173"/>
      <c r="AS411" s="173"/>
      <c r="AT411" s="173"/>
      <c r="AU411" s="173"/>
      <c r="AV411" s="174"/>
    </row>
    <row r="412" spans="1:48">
      <c r="A412" s="204">
        <v>79</v>
      </c>
      <c r="B412" s="208" t="str">
        <v xml:space="preserve">  </v>
      </c>
      <c r="C412" s="172"/>
      <c r="D412" s="173"/>
      <c r="E412" s="173"/>
      <c r="F412" s="173"/>
      <c r="G412" s="173"/>
      <c r="H412" s="174"/>
      <c r="J412" s="208" t="str">
        <v xml:space="preserve">  </v>
      </c>
      <c r="K412" s="172"/>
      <c r="L412" s="173"/>
      <c r="M412" s="173"/>
      <c r="N412" s="173"/>
      <c r="O412" s="173"/>
      <c r="P412" s="174"/>
      <c r="R412" s="208" t="str">
        <v xml:space="preserve">  </v>
      </c>
      <c r="S412" s="172"/>
      <c r="T412" s="173"/>
      <c r="U412" s="173"/>
      <c r="V412" s="173"/>
      <c r="W412" s="173"/>
      <c r="X412" s="174"/>
      <c r="Y412" s="159"/>
      <c r="Z412" s="208" t="str">
        <v xml:space="preserve">  </v>
      </c>
      <c r="AA412" s="172"/>
      <c r="AB412" s="173"/>
      <c r="AC412" s="173"/>
      <c r="AD412" s="173"/>
      <c r="AE412" s="173"/>
      <c r="AF412" s="174"/>
      <c r="AG412" s="178"/>
      <c r="AH412" s="208" t="str">
        <v xml:space="preserve">  </v>
      </c>
      <c r="AI412" s="172"/>
      <c r="AJ412" s="173"/>
      <c r="AK412" s="173"/>
      <c r="AL412" s="173"/>
      <c r="AM412" s="173"/>
      <c r="AN412" s="174"/>
      <c r="AO412" s="178"/>
      <c r="AP412" s="208" t="str">
        <v xml:space="preserve">  </v>
      </c>
      <c r="AQ412" s="172"/>
      <c r="AR412" s="173"/>
      <c r="AS412" s="173"/>
      <c r="AT412" s="173"/>
      <c r="AU412" s="173"/>
      <c r="AV412" s="174"/>
    </row>
    <row r="413" spans="1:48">
      <c r="A413" s="204">
        <v>80</v>
      </c>
      <c r="B413" s="208" t="str">
        <v xml:space="preserve">  </v>
      </c>
      <c r="C413" s="172"/>
      <c r="D413" s="173"/>
      <c r="E413" s="173"/>
      <c r="F413" s="173"/>
      <c r="G413" s="173"/>
      <c r="H413" s="174"/>
      <c r="J413" s="208" t="str">
        <v xml:space="preserve">  </v>
      </c>
      <c r="K413" s="172"/>
      <c r="L413" s="173"/>
      <c r="M413" s="173"/>
      <c r="N413" s="173"/>
      <c r="O413" s="173"/>
      <c r="P413" s="174"/>
      <c r="R413" s="208" t="str">
        <v xml:space="preserve">  </v>
      </c>
      <c r="S413" s="172"/>
      <c r="T413" s="173"/>
      <c r="U413" s="173"/>
      <c r="V413" s="173"/>
      <c r="W413" s="173"/>
      <c r="X413" s="174"/>
      <c r="Y413" s="159"/>
      <c r="Z413" s="208" t="str">
        <v xml:space="preserve">  </v>
      </c>
      <c r="AA413" s="172"/>
      <c r="AB413" s="173"/>
      <c r="AC413" s="173"/>
      <c r="AD413" s="173"/>
      <c r="AE413" s="173"/>
      <c r="AF413" s="174"/>
      <c r="AG413" s="178"/>
      <c r="AH413" s="208" t="str">
        <v xml:space="preserve">  </v>
      </c>
      <c r="AI413" s="172"/>
      <c r="AJ413" s="173"/>
      <c r="AK413" s="173"/>
      <c r="AL413" s="173"/>
      <c r="AM413" s="173"/>
      <c r="AN413" s="174"/>
      <c r="AO413" s="178"/>
      <c r="AP413" s="208" t="str">
        <v xml:space="preserve">  </v>
      </c>
      <c r="AQ413" s="172"/>
      <c r="AR413" s="173"/>
      <c r="AS413" s="173"/>
      <c r="AT413" s="173"/>
      <c r="AU413" s="173"/>
      <c r="AV413" s="174"/>
    </row>
    <row r="414" spans="1:48">
      <c r="A414" s="204">
        <v>81</v>
      </c>
      <c r="B414" s="208" t="str">
        <v xml:space="preserve">  </v>
      </c>
      <c r="C414" s="172"/>
      <c r="D414" s="173"/>
      <c r="E414" s="173"/>
      <c r="F414" s="173"/>
      <c r="G414" s="173"/>
      <c r="H414" s="174"/>
      <c r="J414" s="208" t="str">
        <v xml:space="preserve">  </v>
      </c>
      <c r="K414" s="172"/>
      <c r="L414" s="173"/>
      <c r="M414" s="173"/>
      <c r="N414" s="173"/>
      <c r="O414" s="173"/>
      <c r="P414" s="174"/>
      <c r="R414" s="208" t="str">
        <v xml:space="preserve">  </v>
      </c>
      <c r="S414" s="172"/>
      <c r="T414" s="173"/>
      <c r="U414" s="173"/>
      <c r="V414" s="173"/>
      <c r="W414" s="173"/>
      <c r="X414" s="174"/>
      <c r="Y414" s="159"/>
      <c r="Z414" s="208" t="str">
        <v xml:space="preserve">  </v>
      </c>
      <c r="AA414" s="172"/>
      <c r="AB414" s="173"/>
      <c r="AC414" s="173"/>
      <c r="AD414" s="173"/>
      <c r="AE414" s="173"/>
      <c r="AF414" s="174"/>
      <c r="AG414" s="178"/>
      <c r="AH414" s="208" t="str">
        <v xml:space="preserve">  </v>
      </c>
      <c r="AI414" s="172"/>
      <c r="AJ414" s="173"/>
      <c r="AK414" s="173"/>
      <c r="AL414" s="173"/>
      <c r="AM414" s="173"/>
      <c r="AN414" s="174"/>
      <c r="AO414" s="178"/>
      <c r="AP414" s="208" t="str">
        <v xml:space="preserve">  </v>
      </c>
      <c r="AQ414" s="172"/>
      <c r="AR414" s="173"/>
      <c r="AS414" s="173"/>
      <c r="AT414" s="173"/>
      <c r="AU414" s="173"/>
      <c r="AV414" s="174"/>
    </row>
    <row r="415" spans="1:48">
      <c r="A415" s="204">
        <v>82</v>
      </c>
      <c r="B415" s="208" t="str">
        <v xml:space="preserve">  </v>
      </c>
      <c r="C415" s="172"/>
      <c r="D415" s="173"/>
      <c r="E415" s="173"/>
      <c r="F415" s="173"/>
      <c r="G415" s="173"/>
      <c r="H415" s="174"/>
      <c r="J415" s="208" t="str">
        <v xml:space="preserve">  </v>
      </c>
      <c r="K415" s="172"/>
      <c r="L415" s="173"/>
      <c r="M415" s="173"/>
      <c r="N415" s="173"/>
      <c r="O415" s="173"/>
      <c r="P415" s="174"/>
      <c r="R415" s="208" t="str">
        <v xml:space="preserve">  </v>
      </c>
      <c r="S415" s="172"/>
      <c r="T415" s="173"/>
      <c r="U415" s="173"/>
      <c r="V415" s="173"/>
      <c r="W415" s="173"/>
      <c r="X415" s="174"/>
      <c r="Y415" s="159"/>
      <c r="Z415" s="208" t="str">
        <v xml:space="preserve">  </v>
      </c>
      <c r="AA415" s="172"/>
      <c r="AB415" s="173"/>
      <c r="AC415" s="173"/>
      <c r="AD415" s="173"/>
      <c r="AE415" s="173"/>
      <c r="AF415" s="174"/>
      <c r="AG415" s="178"/>
      <c r="AH415" s="208" t="str">
        <v xml:space="preserve">  </v>
      </c>
      <c r="AI415" s="172"/>
      <c r="AJ415" s="173"/>
      <c r="AK415" s="173"/>
      <c r="AL415" s="173"/>
      <c r="AM415" s="173"/>
      <c r="AN415" s="174"/>
      <c r="AO415" s="178"/>
      <c r="AP415" s="208" t="str">
        <v xml:space="preserve">  </v>
      </c>
      <c r="AQ415" s="172"/>
      <c r="AR415" s="173"/>
      <c r="AS415" s="173"/>
      <c r="AT415" s="173"/>
      <c r="AU415" s="173"/>
      <c r="AV415" s="174"/>
    </row>
    <row r="416" spans="1:48">
      <c r="A416" s="204">
        <v>83</v>
      </c>
      <c r="B416" s="208" t="str">
        <v xml:space="preserve">  </v>
      </c>
      <c r="C416" s="172"/>
      <c r="D416" s="173"/>
      <c r="E416" s="173"/>
      <c r="F416" s="173"/>
      <c r="G416" s="173"/>
      <c r="H416" s="174"/>
      <c r="J416" s="208" t="str">
        <v xml:space="preserve">  </v>
      </c>
      <c r="K416" s="172"/>
      <c r="L416" s="173"/>
      <c r="M416" s="173"/>
      <c r="N416" s="173"/>
      <c r="O416" s="173"/>
      <c r="P416" s="174"/>
      <c r="R416" s="208" t="str">
        <v xml:space="preserve">  </v>
      </c>
      <c r="S416" s="172"/>
      <c r="T416" s="173"/>
      <c r="U416" s="173"/>
      <c r="V416" s="173"/>
      <c r="W416" s="173"/>
      <c r="X416" s="174"/>
      <c r="Y416" s="159"/>
      <c r="Z416" s="208" t="str">
        <v xml:space="preserve">  </v>
      </c>
      <c r="AA416" s="172"/>
      <c r="AB416" s="173"/>
      <c r="AC416" s="173"/>
      <c r="AD416" s="173"/>
      <c r="AE416" s="173"/>
      <c r="AF416" s="174"/>
      <c r="AG416" s="178"/>
      <c r="AH416" s="208" t="str">
        <v xml:space="preserve">  </v>
      </c>
      <c r="AI416" s="172"/>
      <c r="AJ416" s="173"/>
      <c r="AK416" s="173"/>
      <c r="AL416" s="173"/>
      <c r="AM416" s="173"/>
      <c r="AN416" s="174"/>
      <c r="AO416" s="178"/>
      <c r="AP416" s="208" t="str">
        <v xml:space="preserve">  </v>
      </c>
      <c r="AQ416" s="172"/>
      <c r="AR416" s="173"/>
      <c r="AS416" s="173"/>
      <c r="AT416" s="173"/>
      <c r="AU416" s="173"/>
      <c r="AV416" s="174"/>
    </row>
    <row r="417" spans="1:48">
      <c r="A417" s="204">
        <v>84</v>
      </c>
      <c r="B417" s="208" t="str">
        <v xml:space="preserve">  </v>
      </c>
      <c r="C417" s="172"/>
      <c r="D417" s="173"/>
      <c r="E417" s="173"/>
      <c r="F417" s="173"/>
      <c r="G417" s="173"/>
      <c r="H417" s="174"/>
      <c r="J417" s="208" t="str">
        <v xml:space="preserve">  </v>
      </c>
      <c r="K417" s="172"/>
      <c r="L417" s="173"/>
      <c r="M417" s="173"/>
      <c r="N417" s="173"/>
      <c r="O417" s="173"/>
      <c r="P417" s="174"/>
      <c r="R417" s="208" t="str">
        <v xml:space="preserve">  </v>
      </c>
      <c r="S417" s="172"/>
      <c r="T417" s="173"/>
      <c r="U417" s="173"/>
      <c r="V417" s="173"/>
      <c r="W417" s="173"/>
      <c r="X417" s="174"/>
      <c r="Y417" s="159"/>
      <c r="Z417" s="208" t="str">
        <v xml:space="preserve">  </v>
      </c>
      <c r="AA417" s="172"/>
      <c r="AB417" s="173"/>
      <c r="AC417" s="173"/>
      <c r="AD417" s="173"/>
      <c r="AE417" s="173"/>
      <c r="AF417" s="174"/>
      <c r="AG417" s="178"/>
      <c r="AH417" s="208" t="str">
        <v xml:space="preserve">  </v>
      </c>
      <c r="AI417" s="172"/>
      <c r="AJ417" s="173"/>
      <c r="AK417" s="173"/>
      <c r="AL417" s="173"/>
      <c r="AM417" s="173"/>
      <c r="AN417" s="174"/>
      <c r="AO417" s="178"/>
      <c r="AP417" s="208" t="str">
        <v xml:space="preserve">  </v>
      </c>
      <c r="AQ417" s="172"/>
      <c r="AR417" s="173"/>
      <c r="AS417" s="173"/>
      <c r="AT417" s="173"/>
      <c r="AU417" s="173"/>
      <c r="AV417" s="174"/>
    </row>
    <row r="418" spans="1:48">
      <c r="A418" s="204">
        <v>85</v>
      </c>
      <c r="B418" s="208" t="str">
        <v xml:space="preserve">  </v>
      </c>
      <c r="C418" s="172"/>
      <c r="D418" s="173"/>
      <c r="E418" s="173"/>
      <c r="F418" s="173"/>
      <c r="G418" s="173"/>
      <c r="H418" s="174"/>
      <c r="J418" s="208" t="str">
        <v xml:space="preserve">  </v>
      </c>
      <c r="K418" s="172"/>
      <c r="L418" s="173"/>
      <c r="M418" s="173"/>
      <c r="N418" s="173"/>
      <c r="O418" s="173"/>
      <c r="P418" s="174"/>
      <c r="R418" s="208" t="str">
        <v xml:space="preserve">  </v>
      </c>
      <c r="S418" s="172"/>
      <c r="T418" s="173"/>
      <c r="U418" s="173"/>
      <c r="V418" s="173"/>
      <c r="W418" s="173"/>
      <c r="X418" s="174"/>
      <c r="Y418" s="159"/>
      <c r="Z418" s="208" t="str">
        <v xml:space="preserve">  </v>
      </c>
      <c r="AA418" s="172"/>
      <c r="AB418" s="173"/>
      <c r="AC418" s="173"/>
      <c r="AD418" s="173"/>
      <c r="AE418" s="173"/>
      <c r="AF418" s="174"/>
      <c r="AG418" s="178"/>
      <c r="AH418" s="208" t="str">
        <v xml:space="preserve">  </v>
      </c>
      <c r="AI418" s="172"/>
      <c r="AJ418" s="173"/>
      <c r="AK418" s="173"/>
      <c r="AL418" s="173"/>
      <c r="AM418" s="173"/>
      <c r="AN418" s="174"/>
      <c r="AO418" s="178"/>
      <c r="AP418" s="208" t="str">
        <v xml:space="preserve">  </v>
      </c>
      <c r="AQ418" s="172"/>
      <c r="AR418" s="173"/>
      <c r="AS418" s="173"/>
      <c r="AT418" s="173"/>
      <c r="AU418" s="173"/>
      <c r="AV418" s="174"/>
    </row>
    <row r="419" spans="1:48">
      <c r="A419" s="204">
        <v>86</v>
      </c>
      <c r="B419" s="208" t="str">
        <v xml:space="preserve">  </v>
      </c>
      <c r="C419" s="172"/>
      <c r="D419" s="173"/>
      <c r="E419" s="173"/>
      <c r="F419" s="173"/>
      <c r="G419" s="173"/>
      <c r="H419" s="174"/>
      <c r="J419" s="208" t="str">
        <v xml:space="preserve">  </v>
      </c>
      <c r="K419" s="172"/>
      <c r="L419" s="173"/>
      <c r="M419" s="173"/>
      <c r="N419" s="173"/>
      <c r="O419" s="173"/>
      <c r="P419" s="174"/>
      <c r="R419" s="208" t="str">
        <v xml:space="preserve">  </v>
      </c>
      <c r="S419" s="172"/>
      <c r="T419" s="173"/>
      <c r="U419" s="173"/>
      <c r="V419" s="173"/>
      <c r="W419" s="173"/>
      <c r="X419" s="174"/>
      <c r="Y419" s="159"/>
      <c r="Z419" s="208" t="str">
        <v xml:space="preserve">  </v>
      </c>
      <c r="AA419" s="172"/>
      <c r="AB419" s="173"/>
      <c r="AC419" s="173"/>
      <c r="AD419" s="173"/>
      <c r="AE419" s="173"/>
      <c r="AF419" s="174"/>
      <c r="AG419" s="178"/>
      <c r="AH419" s="208" t="str">
        <v xml:space="preserve">  </v>
      </c>
      <c r="AI419" s="172"/>
      <c r="AJ419" s="173"/>
      <c r="AK419" s="173"/>
      <c r="AL419" s="173"/>
      <c r="AM419" s="173"/>
      <c r="AN419" s="174"/>
      <c r="AO419" s="178"/>
      <c r="AP419" s="208" t="str">
        <v xml:space="preserve">  </v>
      </c>
      <c r="AQ419" s="172"/>
      <c r="AR419" s="173"/>
      <c r="AS419" s="173"/>
      <c r="AT419" s="173"/>
      <c r="AU419" s="173"/>
      <c r="AV419" s="174"/>
    </row>
    <row r="420" spans="1:48">
      <c r="A420" s="204">
        <v>87</v>
      </c>
      <c r="B420" s="208" t="str">
        <v xml:space="preserve">  </v>
      </c>
      <c r="C420" s="172"/>
      <c r="D420" s="173"/>
      <c r="E420" s="173"/>
      <c r="F420" s="173"/>
      <c r="G420" s="173"/>
      <c r="H420" s="174"/>
      <c r="J420" s="208" t="str">
        <v xml:space="preserve">  </v>
      </c>
      <c r="K420" s="172"/>
      <c r="L420" s="173"/>
      <c r="M420" s="173"/>
      <c r="N420" s="173"/>
      <c r="O420" s="173"/>
      <c r="P420" s="174"/>
      <c r="R420" s="208" t="str">
        <v xml:space="preserve">  </v>
      </c>
      <c r="S420" s="172"/>
      <c r="T420" s="173"/>
      <c r="U420" s="173"/>
      <c r="V420" s="173"/>
      <c r="W420" s="173"/>
      <c r="X420" s="174"/>
      <c r="Y420" s="159"/>
      <c r="Z420" s="208" t="str">
        <v xml:space="preserve">  </v>
      </c>
      <c r="AA420" s="172"/>
      <c r="AB420" s="173"/>
      <c r="AC420" s="173"/>
      <c r="AD420" s="173"/>
      <c r="AE420" s="173"/>
      <c r="AF420" s="174"/>
      <c r="AG420" s="178"/>
      <c r="AH420" s="208" t="str">
        <v xml:space="preserve">  </v>
      </c>
      <c r="AI420" s="172"/>
      <c r="AJ420" s="173"/>
      <c r="AK420" s="173"/>
      <c r="AL420" s="173"/>
      <c r="AM420" s="173"/>
      <c r="AN420" s="174"/>
      <c r="AO420" s="178"/>
      <c r="AP420" s="208" t="str">
        <v xml:space="preserve">  </v>
      </c>
      <c r="AQ420" s="172"/>
      <c r="AR420" s="173"/>
      <c r="AS420" s="173"/>
      <c r="AT420" s="173"/>
      <c r="AU420" s="173"/>
      <c r="AV420" s="174"/>
    </row>
    <row r="421" spans="1:48">
      <c r="A421" s="204">
        <v>88</v>
      </c>
      <c r="B421" s="208" t="str">
        <v xml:space="preserve">  </v>
      </c>
      <c r="C421" s="172"/>
      <c r="D421" s="173"/>
      <c r="E421" s="173"/>
      <c r="F421" s="173"/>
      <c r="G421" s="173"/>
      <c r="H421" s="174"/>
      <c r="J421" s="208" t="str">
        <v xml:space="preserve">  </v>
      </c>
      <c r="K421" s="172"/>
      <c r="L421" s="173"/>
      <c r="M421" s="173"/>
      <c r="N421" s="173"/>
      <c r="O421" s="173"/>
      <c r="P421" s="174"/>
      <c r="R421" s="208" t="str">
        <v xml:space="preserve">  </v>
      </c>
      <c r="S421" s="172"/>
      <c r="T421" s="173"/>
      <c r="U421" s="173"/>
      <c r="V421" s="173"/>
      <c r="W421" s="173"/>
      <c r="X421" s="174"/>
      <c r="Y421" s="159"/>
      <c r="Z421" s="208" t="str">
        <v xml:space="preserve">  </v>
      </c>
      <c r="AA421" s="172"/>
      <c r="AB421" s="173"/>
      <c r="AC421" s="173"/>
      <c r="AD421" s="173"/>
      <c r="AE421" s="173"/>
      <c r="AF421" s="174"/>
      <c r="AG421" s="178"/>
      <c r="AH421" s="208" t="str">
        <v xml:space="preserve">  </v>
      </c>
      <c r="AI421" s="172"/>
      <c r="AJ421" s="173"/>
      <c r="AK421" s="173"/>
      <c r="AL421" s="173"/>
      <c r="AM421" s="173"/>
      <c r="AN421" s="174"/>
      <c r="AO421" s="178"/>
      <c r="AP421" s="208" t="str">
        <v xml:space="preserve">  </v>
      </c>
      <c r="AQ421" s="172"/>
      <c r="AR421" s="173"/>
      <c r="AS421" s="173"/>
      <c r="AT421" s="173"/>
      <c r="AU421" s="173"/>
      <c r="AV421" s="174"/>
    </row>
    <row r="422" spans="1:48">
      <c r="A422" s="204">
        <v>89</v>
      </c>
      <c r="B422" s="208" t="str">
        <v xml:space="preserve">  </v>
      </c>
      <c r="C422" s="172"/>
      <c r="D422" s="173"/>
      <c r="E422" s="173"/>
      <c r="F422" s="173"/>
      <c r="G422" s="173"/>
      <c r="H422" s="174"/>
      <c r="J422" s="208" t="str">
        <v xml:space="preserve">  </v>
      </c>
      <c r="K422" s="172"/>
      <c r="L422" s="173"/>
      <c r="M422" s="173"/>
      <c r="N422" s="173"/>
      <c r="O422" s="173"/>
      <c r="P422" s="174"/>
      <c r="R422" s="208" t="str">
        <v xml:space="preserve">  </v>
      </c>
      <c r="S422" s="172"/>
      <c r="T422" s="173"/>
      <c r="U422" s="173"/>
      <c r="V422" s="173"/>
      <c r="W422" s="173"/>
      <c r="X422" s="174"/>
      <c r="Y422" s="159"/>
      <c r="Z422" s="208" t="str">
        <v xml:space="preserve">  </v>
      </c>
      <c r="AA422" s="172"/>
      <c r="AB422" s="173"/>
      <c r="AC422" s="173"/>
      <c r="AD422" s="173"/>
      <c r="AE422" s="173"/>
      <c r="AF422" s="174"/>
      <c r="AG422" s="178"/>
      <c r="AH422" s="208" t="str">
        <v xml:space="preserve">  </v>
      </c>
      <c r="AI422" s="172"/>
      <c r="AJ422" s="173"/>
      <c r="AK422" s="173"/>
      <c r="AL422" s="173"/>
      <c r="AM422" s="173"/>
      <c r="AN422" s="174"/>
      <c r="AO422" s="178"/>
      <c r="AP422" s="208" t="str">
        <v xml:space="preserve">  </v>
      </c>
      <c r="AQ422" s="172"/>
      <c r="AR422" s="173"/>
      <c r="AS422" s="173"/>
      <c r="AT422" s="173"/>
      <c r="AU422" s="173"/>
      <c r="AV422" s="174"/>
    </row>
    <row r="423" spans="1:48">
      <c r="A423" s="204">
        <v>90</v>
      </c>
      <c r="B423" s="208" t="str">
        <v xml:space="preserve">  </v>
      </c>
      <c r="C423" s="172"/>
      <c r="D423" s="173"/>
      <c r="E423" s="173"/>
      <c r="F423" s="173"/>
      <c r="G423" s="173"/>
      <c r="H423" s="174"/>
      <c r="J423" s="208" t="str">
        <v xml:space="preserve">  </v>
      </c>
      <c r="K423" s="172"/>
      <c r="L423" s="173"/>
      <c r="M423" s="173"/>
      <c r="N423" s="173"/>
      <c r="O423" s="173"/>
      <c r="P423" s="174"/>
      <c r="R423" s="208" t="str">
        <v xml:space="preserve">  </v>
      </c>
      <c r="S423" s="172"/>
      <c r="T423" s="173"/>
      <c r="U423" s="173"/>
      <c r="V423" s="173"/>
      <c r="W423" s="173"/>
      <c r="X423" s="174"/>
      <c r="Y423" s="159"/>
      <c r="Z423" s="208" t="str">
        <v xml:space="preserve">  </v>
      </c>
      <c r="AA423" s="172"/>
      <c r="AB423" s="173"/>
      <c r="AC423" s="173"/>
      <c r="AD423" s="173"/>
      <c r="AE423" s="173"/>
      <c r="AF423" s="174"/>
      <c r="AG423" s="178"/>
      <c r="AH423" s="208" t="str">
        <v xml:space="preserve">  </v>
      </c>
      <c r="AI423" s="172"/>
      <c r="AJ423" s="173"/>
      <c r="AK423" s="173"/>
      <c r="AL423" s="173"/>
      <c r="AM423" s="173"/>
      <c r="AN423" s="174"/>
      <c r="AO423" s="178"/>
      <c r="AP423" s="208" t="str">
        <v xml:space="preserve">  </v>
      </c>
      <c r="AQ423" s="172"/>
      <c r="AR423" s="173"/>
      <c r="AS423" s="173"/>
      <c r="AT423" s="173"/>
      <c r="AU423" s="173"/>
      <c r="AV423" s="174"/>
    </row>
    <row r="424" spans="1:48">
      <c r="A424" s="204">
        <v>91</v>
      </c>
      <c r="B424" s="208" t="str">
        <v xml:space="preserve">  </v>
      </c>
      <c r="C424" s="172"/>
      <c r="D424" s="173"/>
      <c r="E424" s="173"/>
      <c r="F424" s="173"/>
      <c r="G424" s="173"/>
      <c r="H424" s="174"/>
      <c r="J424" s="208" t="str">
        <v xml:space="preserve">  </v>
      </c>
      <c r="K424" s="172"/>
      <c r="L424" s="173"/>
      <c r="M424" s="173"/>
      <c r="N424" s="173"/>
      <c r="O424" s="173"/>
      <c r="P424" s="174"/>
      <c r="R424" s="208" t="str">
        <v xml:space="preserve">  </v>
      </c>
      <c r="S424" s="172"/>
      <c r="T424" s="173"/>
      <c r="U424" s="173"/>
      <c r="V424" s="173"/>
      <c r="W424" s="173"/>
      <c r="X424" s="174"/>
      <c r="Y424" s="159"/>
      <c r="Z424" s="208" t="str">
        <v xml:space="preserve">  </v>
      </c>
      <c r="AA424" s="172"/>
      <c r="AB424" s="173"/>
      <c r="AC424" s="173"/>
      <c r="AD424" s="173"/>
      <c r="AE424" s="173"/>
      <c r="AF424" s="174"/>
      <c r="AG424" s="178"/>
      <c r="AH424" s="208" t="str">
        <v xml:space="preserve">  </v>
      </c>
      <c r="AI424" s="172"/>
      <c r="AJ424" s="173"/>
      <c r="AK424" s="173"/>
      <c r="AL424" s="173"/>
      <c r="AM424" s="173"/>
      <c r="AN424" s="174"/>
      <c r="AO424" s="178"/>
      <c r="AP424" s="208" t="str">
        <v xml:space="preserve">  </v>
      </c>
      <c r="AQ424" s="172"/>
      <c r="AR424" s="173"/>
      <c r="AS424" s="173"/>
      <c r="AT424" s="173"/>
      <c r="AU424" s="173"/>
      <c r="AV424" s="174"/>
    </row>
    <row r="425" spans="1:48">
      <c r="A425" s="204">
        <v>92</v>
      </c>
      <c r="B425" s="208" t="str">
        <v xml:space="preserve">  </v>
      </c>
      <c r="C425" s="172"/>
      <c r="D425" s="173"/>
      <c r="E425" s="173"/>
      <c r="F425" s="173"/>
      <c r="G425" s="173"/>
      <c r="H425" s="174"/>
      <c r="J425" s="208" t="str">
        <v xml:space="preserve">  </v>
      </c>
      <c r="K425" s="172"/>
      <c r="L425" s="173"/>
      <c r="M425" s="173"/>
      <c r="N425" s="173"/>
      <c r="O425" s="173"/>
      <c r="P425" s="174"/>
      <c r="R425" s="208" t="str">
        <v xml:space="preserve">  </v>
      </c>
      <c r="S425" s="172"/>
      <c r="T425" s="173"/>
      <c r="U425" s="173"/>
      <c r="V425" s="173"/>
      <c r="W425" s="173"/>
      <c r="X425" s="174"/>
      <c r="Y425" s="159"/>
      <c r="Z425" s="208" t="str">
        <v xml:space="preserve">  </v>
      </c>
      <c r="AA425" s="172"/>
      <c r="AB425" s="173"/>
      <c r="AC425" s="173"/>
      <c r="AD425" s="173"/>
      <c r="AE425" s="173"/>
      <c r="AF425" s="174"/>
      <c r="AG425" s="178"/>
      <c r="AH425" s="208" t="str">
        <v xml:space="preserve">  </v>
      </c>
      <c r="AI425" s="172"/>
      <c r="AJ425" s="173"/>
      <c r="AK425" s="173"/>
      <c r="AL425" s="173"/>
      <c r="AM425" s="173"/>
      <c r="AN425" s="174"/>
      <c r="AO425" s="178"/>
      <c r="AP425" s="208" t="str">
        <v xml:space="preserve">  </v>
      </c>
      <c r="AQ425" s="172"/>
      <c r="AR425" s="173"/>
      <c r="AS425" s="173"/>
      <c r="AT425" s="173"/>
      <c r="AU425" s="173"/>
      <c r="AV425" s="174"/>
    </row>
    <row r="426" spans="1:48">
      <c r="A426" s="204">
        <v>93</v>
      </c>
      <c r="B426" s="208" t="str">
        <v xml:space="preserve">  </v>
      </c>
      <c r="C426" s="172"/>
      <c r="D426" s="173"/>
      <c r="E426" s="173"/>
      <c r="F426" s="173"/>
      <c r="G426" s="173"/>
      <c r="H426" s="174"/>
      <c r="J426" s="208" t="str">
        <v xml:space="preserve">  </v>
      </c>
      <c r="K426" s="172"/>
      <c r="L426" s="173"/>
      <c r="M426" s="173"/>
      <c r="N426" s="173"/>
      <c r="O426" s="173"/>
      <c r="P426" s="174"/>
      <c r="R426" s="208" t="str">
        <v xml:space="preserve">  </v>
      </c>
      <c r="S426" s="172"/>
      <c r="T426" s="173"/>
      <c r="U426" s="173"/>
      <c r="V426" s="173"/>
      <c r="W426" s="173"/>
      <c r="X426" s="174"/>
      <c r="Y426" s="159"/>
      <c r="Z426" s="208" t="str">
        <v xml:space="preserve">  </v>
      </c>
      <c r="AA426" s="172"/>
      <c r="AB426" s="173"/>
      <c r="AC426" s="173"/>
      <c r="AD426" s="173"/>
      <c r="AE426" s="173"/>
      <c r="AF426" s="174"/>
      <c r="AG426" s="178"/>
      <c r="AH426" s="208" t="str">
        <v xml:space="preserve">  </v>
      </c>
      <c r="AI426" s="172"/>
      <c r="AJ426" s="173"/>
      <c r="AK426" s="173"/>
      <c r="AL426" s="173"/>
      <c r="AM426" s="173"/>
      <c r="AN426" s="174"/>
      <c r="AO426" s="178"/>
      <c r="AP426" s="208" t="str">
        <v xml:space="preserve">  </v>
      </c>
      <c r="AQ426" s="172"/>
      <c r="AR426" s="173"/>
      <c r="AS426" s="173"/>
      <c r="AT426" s="173"/>
      <c r="AU426" s="173"/>
      <c r="AV426" s="174"/>
    </row>
    <row r="427" spans="1:48">
      <c r="A427" s="204">
        <v>94</v>
      </c>
      <c r="B427" s="208" t="str">
        <v xml:space="preserve">  </v>
      </c>
      <c r="C427" s="172"/>
      <c r="D427" s="173"/>
      <c r="E427" s="173"/>
      <c r="F427" s="173"/>
      <c r="G427" s="173"/>
      <c r="H427" s="174"/>
      <c r="J427" s="208" t="str">
        <v xml:space="preserve">  </v>
      </c>
      <c r="K427" s="172"/>
      <c r="L427" s="173"/>
      <c r="M427" s="173"/>
      <c r="N427" s="173"/>
      <c r="O427" s="173"/>
      <c r="P427" s="174"/>
      <c r="R427" s="208" t="str">
        <v xml:space="preserve">  </v>
      </c>
      <c r="S427" s="172"/>
      <c r="T427" s="173"/>
      <c r="U427" s="173"/>
      <c r="V427" s="173"/>
      <c r="W427" s="173"/>
      <c r="X427" s="174"/>
      <c r="Y427" s="159"/>
      <c r="Z427" s="208" t="str">
        <v xml:space="preserve">  </v>
      </c>
      <c r="AA427" s="172"/>
      <c r="AB427" s="173"/>
      <c r="AC427" s="173"/>
      <c r="AD427" s="173"/>
      <c r="AE427" s="173"/>
      <c r="AF427" s="174"/>
      <c r="AG427" s="178"/>
      <c r="AH427" s="208" t="str">
        <v xml:space="preserve">  </v>
      </c>
      <c r="AI427" s="172"/>
      <c r="AJ427" s="173"/>
      <c r="AK427" s="173"/>
      <c r="AL427" s="173"/>
      <c r="AM427" s="173"/>
      <c r="AN427" s="174"/>
      <c r="AO427" s="178"/>
      <c r="AP427" s="208" t="str">
        <v xml:space="preserve">  </v>
      </c>
      <c r="AQ427" s="172"/>
      <c r="AR427" s="173"/>
      <c r="AS427" s="173"/>
      <c r="AT427" s="173"/>
      <c r="AU427" s="173"/>
      <c r="AV427" s="174"/>
    </row>
    <row r="428" spans="1:48">
      <c r="A428" s="204">
        <v>95</v>
      </c>
      <c r="B428" s="208" t="str">
        <v xml:space="preserve">  </v>
      </c>
      <c r="C428" s="172"/>
      <c r="D428" s="173"/>
      <c r="E428" s="173"/>
      <c r="F428" s="173"/>
      <c r="G428" s="173"/>
      <c r="H428" s="174"/>
      <c r="J428" s="208" t="str">
        <v xml:space="preserve">  </v>
      </c>
      <c r="K428" s="172"/>
      <c r="L428" s="173"/>
      <c r="M428" s="173"/>
      <c r="N428" s="173"/>
      <c r="O428" s="173"/>
      <c r="P428" s="174"/>
      <c r="R428" s="208" t="str">
        <v xml:space="preserve">  </v>
      </c>
      <c r="S428" s="172"/>
      <c r="T428" s="173"/>
      <c r="U428" s="173"/>
      <c r="V428" s="173"/>
      <c r="W428" s="173"/>
      <c r="X428" s="174"/>
      <c r="Y428" s="159"/>
      <c r="Z428" s="208" t="str">
        <v xml:space="preserve">  </v>
      </c>
      <c r="AA428" s="172"/>
      <c r="AB428" s="173"/>
      <c r="AC428" s="173"/>
      <c r="AD428" s="173"/>
      <c r="AE428" s="173"/>
      <c r="AF428" s="174"/>
      <c r="AG428" s="178"/>
      <c r="AH428" s="208" t="str">
        <v xml:space="preserve">  </v>
      </c>
      <c r="AI428" s="172"/>
      <c r="AJ428" s="173"/>
      <c r="AK428" s="173"/>
      <c r="AL428" s="173"/>
      <c r="AM428" s="173"/>
      <c r="AN428" s="174"/>
      <c r="AO428" s="178"/>
      <c r="AP428" s="208" t="str">
        <v xml:space="preserve">  </v>
      </c>
      <c r="AQ428" s="172"/>
      <c r="AR428" s="173"/>
      <c r="AS428" s="173"/>
      <c r="AT428" s="173"/>
      <c r="AU428" s="173"/>
      <c r="AV428" s="174"/>
    </row>
    <row r="429" spans="1:48">
      <c r="A429" s="204">
        <v>96</v>
      </c>
      <c r="B429" s="208" t="str">
        <v xml:space="preserve">  </v>
      </c>
      <c r="C429" s="172"/>
      <c r="D429" s="173"/>
      <c r="E429" s="173"/>
      <c r="F429" s="173"/>
      <c r="G429" s="173"/>
      <c r="H429" s="174"/>
      <c r="J429" s="208" t="str">
        <v xml:space="preserve">  </v>
      </c>
      <c r="K429" s="172"/>
      <c r="L429" s="173"/>
      <c r="M429" s="173"/>
      <c r="N429" s="173"/>
      <c r="O429" s="173"/>
      <c r="P429" s="174"/>
      <c r="R429" s="208" t="str">
        <v xml:space="preserve">  </v>
      </c>
      <c r="S429" s="172"/>
      <c r="T429" s="173"/>
      <c r="U429" s="173"/>
      <c r="V429" s="173"/>
      <c r="W429" s="173"/>
      <c r="X429" s="174"/>
      <c r="Y429" s="159"/>
      <c r="Z429" s="208" t="str">
        <v xml:space="preserve">  </v>
      </c>
      <c r="AA429" s="172"/>
      <c r="AB429" s="173"/>
      <c r="AC429" s="173"/>
      <c r="AD429" s="173"/>
      <c r="AE429" s="173"/>
      <c r="AF429" s="174"/>
      <c r="AG429" s="178"/>
      <c r="AH429" s="208" t="str">
        <v xml:space="preserve">  </v>
      </c>
      <c r="AI429" s="172"/>
      <c r="AJ429" s="173"/>
      <c r="AK429" s="173"/>
      <c r="AL429" s="173"/>
      <c r="AM429" s="173"/>
      <c r="AN429" s="174"/>
      <c r="AO429" s="178"/>
      <c r="AP429" s="208" t="str">
        <v xml:space="preserve">  </v>
      </c>
      <c r="AQ429" s="172"/>
      <c r="AR429" s="173"/>
      <c r="AS429" s="173"/>
      <c r="AT429" s="173"/>
      <c r="AU429" s="173"/>
      <c r="AV429" s="174"/>
    </row>
    <row r="430" spans="1:48">
      <c r="A430" s="204">
        <v>97</v>
      </c>
      <c r="B430" s="208" t="str">
        <v xml:space="preserve">  </v>
      </c>
      <c r="C430" s="172"/>
      <c r="D430" s="173"/>
      <c r="E430" s="173"/>
      <c r="F430" s="173"/>
      <c r="G430" s="173"/>
      <c r="H430" s="174"/>
      <c r="J430" s="208" t="str">
        <v xml:space="preserve">  </v>
      </c>
      <c r="K430" s="172"/>
      <c r="L430" s="173"/>
      <c r="M430" s="173"/>
      <c r="N430" s="173"/>
      <c r="O430" s="173"/>
      <c r="P430" s="174"/>
      <c r="R430" s="208" t="str">
        <v xml:space="preserve">  </v>
      </c>
      <c r="S430" s="172"/>
      <c r="T430" s="173"/>
      <c r="U430" s="173"/>
      <c r="V430" s="173"/>
      <c r="W430" s="173"/>
      <c r="X430" s="174"/>
      <c r="Y430" s="159"/>
      <c r="Z430" s="208" t="str">
        <v xml:space="preserve">  </v>
      </c>
      <c r="AA430" s="172"/>
      <c r="AB430" s="173"/>
      <c r="AC430" s="173"/>
      <c r="AD430" s="173"/>
      <c r="AE430" s="173"/>
      <c r="AF430" s="174"/>
      <c r="AG430" s="178"/>
      <c r="AH430" s="208" t="str">
        <v xml:space="preserve">  </v>
      </c>
      <c r="AI430" s="172"/>
      <c r="AJ430" s="173"/>
      <c r="AK430" s="173"/>
      <c r="AL430" s="173"/>
      <c r="AM430" s="173"/>
      <c r="AN430" s="174"/>
      <c r="AO430" s="178"/>
      <c r="AP430" s="208" t="str">
        <v xml:space="preserve">  </v>
      </c>
      <c r="AQ430" s="172"/>
      <c r="AR430" s="173"/>
      <c r="AS430" s="173"/>
      <c r="AT430" s="173"/>
      <c r="AU430" s="173"/>
      <c r="AV430" s="174"/>
    </row>
    <row r="431" spans="1:48">
      <c r="A431" s="204">
        <v>98</v>
      </c>
      <c r="B431" s="208" t="str">
        <v xml:space="preserve">  </v>
      </c>
      <c r="C431" s="172"/>
      <c r="D431" s="173"/>
      <c r="E431" s="173"/>
      <c r="F431" s="173"/>
      <c r="G431" s="173"/>
      <c r="H431" s="174"/>
      <c r="J431" s="208" t="str">
        <v xml:space="preserve">  </v>
      </c>
      <c r="K431" s="172"/>
      <c r="L431" s="173"/>
      <c r="M431" s="173"/>
      <c r="N431" s="173"/>
      <c r="O431" s="173"/>
      <c r="P431" s="174"/>
      <c r="R431" s="208" t="str">
        <v xml:space="preserve">  </v>
      </c>
      <c r="S431" s="172"/>
      <c r="T431" s="173"/>
      <c r="U431" s="173"/>
      <c r="V431" s="173"/>
      <c r="W431" s="173"/>
      <c r="X431" s="174"/>
      <c r="Y431" s="159"/>
      <c r="Z431" s="208" t="str">
        <v xml:space="preserve">  </v>
      </c>
      <c r="AA431" s="172"/>
      <c r="AB431" s="173"/>
      <c r="AC431" s="173"/>
      <c r="AD431" s="173"/>
      <c r="AE431" s="173"/>
      <c r="AF431" s="174"/>
      <c r="AG431" s="178"/>
      <c r="AH431" s="208" t="str">
        <v xml:space="preserve">  </v>
      </c>
      <c r="AI431" s="172"/>
      <c r="AJ431" s="173"/>
      <c r="AK431" s="173"/>
      <c r="AL431" s="173"/>
      <c r="AM431" s="173"/>
      <c r="AN431" s="174"/>
      <c r="AO431" s="178"/>
      <c r="AP431" s="208" t="str">
        <v xml:space="preserve">  </v>
      </c>
      <c r="AQ431" s="172"/>
      <c r="AR431" s="173"/>
      <c r="AS431" s="173"/>
      <c r="AT431" s="173"/>
      <c r="AU431" s="173"/>
      <c r="AV431" s="174"/>
    </row>
    <row r="432" spans="1:48">
      <c r="A432" s="204">
        <v>99</v>
      </c>
      <c r="B432" s="208" t="str">
        <v xml:space="preserve">  </v>
      </c>
      <c r="C432" s="172"/>
      <c r="D432" s="173"/>
      <c r="E432" s="173"/>
      <c r="F432" s="173"/>
      <c r="G432" s="173"/>
      <c r="H432" s="174"/>
      <c r="J432" s="208" t="str">
        <v xml:space="preserve">  </v>
      </c>
      <c r="K432" s="172"/>
      <c r="L432" s="173"/>
      <c r="M432" s="173"/>
      <c r="N432" s="173"/>
      <c r="O432" s="173"/>
      <c r="P432" s="174"/>
      <c r="R432" s="208" t="str">
        <v xml:space="preserve">  </v>
      </c>
      <c r="S432" s="172"/>
      <c r="T432" s="173"/>
      <c r="U432" s="173"/>
      <c r="V432" s="173"/>
      <c r="W432" s="173"/>
      <c r="X432" s="174"/>
      <c r="Y432" s="159"/>
      <c r="Z432" s="208" t="str">
        <v xml:space="preserve">  </v>
      </c>
      <c r="AA432" s="172"/>
      <c r="AB432" s="173"/>
      <c r="AC432" s="173"/>
      <c r="AD432" s="173"/>
      <c r="AE432" s="173"/>
      <c r="AF432" s="174"/>
      <c r="AG432" s="178"/>
      <c r="AH432" s="208" t="str">
        <v xml:space="preserve">  </v>
      </c>
      <c r="AI432" s="172"/>
      <c r="AJ432" s="173"/>
      <c r="AK432" s="173"/>
      <c r="AL432" s="173"/>
      <c r="AM432" s="173"/>
      <c r="AN432" s="174"/>
      <c r="AO432" s="178"/>
      <c r="AP432" s="208" t="str">
        <v xml:space="preserve">  </v>
      </c>
      <c r="AQ432" s="172"/>
      <c r="AR432" s="173"/>
      <c r="AS432" s="173"/>
      <c r="AT432" s="173"/>
      <c r="AU432" s="173"/>
      <c r="AV432" s="174"/>
    </row>
    <row r="433" spans="1:48">
      <c r="A433" s="204">
        <v>100</v>
      </c>
      <c r="B433" s="209" t="str">
        <v xml:space="preserve">  </v>
      </c>
      <c r="C433" s="179"/>
      <c r="D433" s="180"/>
      <c r="E433" s="180"/>
      <c r="F433" s="180"/>
      <c r="G433" s="180"/>
      <c r="H433" s="181"/>
      <c r="J433" s="209" t="str">
        <v xml:space="preserve">  </v>
      </c>
      <c r="K433" s="179"/>
      <c r="L433" s="180"/>
      <c r="M433" s="180"/>
      <c r="N433" s="180"/>
      <c r="O433" s="180"/>
      <c r="P433" s="181"/>
      <c r="R433" s="209" t="str">
        <v xml:space="preserve">  </v>
      </c>
      <c r="S433" s="179"/>
      <c r="T433" s="180"/>
      <c r="U433" s="180"/>
      <c r="V433" s="180"/>
      <c r="W433" s="180"/>
      <c r="X433" s="181"/>
      <c r="Y433" s="159"/>
      <c r="Z433" s="209" t="str">
        <v xml:space="preserve">  </v>
      </c>
      <c r="AA433" s="179"/>
      <c r="AB433" s="180"/>
      <c r="AC433" s="180"/>
      <c r="AD433" s="180"/>
      <c r="AE433" s="180"/>
      <c r="AF433" s="181"/>
      <c r="AG433" s="178"/>
      <c r="AH433" s="209" t="str">
        <v xml:space="preserve">  </v>
      </c>
      <c r="AI433" s="179"/>
      <c r="AJ433" s="180"/>
      <c r="AK433" s="180"/>
      <c r="AL433" s="180"/>
      <c r="AM433" s="180"/>
      <c r="AN433" s="181"/>
      <c r="AO433" s="178"/>
      <c r="AP433" s="209" t="str">
        <v xml:space="preserve">  </v>
      </c>
      <c r="AQ433" s="179"/>
      <c r="AR433" s="180"/>
      <c r="AS433" s="180"/>
      <c r="AT433" s="180"/>
      <c r="AU433" s="180"/>
      <c r="AV433" s="181"/>
    </row>
    <row r="434" spans="1:48">
      <c r="A434" s="151" t="s">
        <v>12</v>
      </c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H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1" t="s">
        <v>12</v>
      </c>
      <c r="O434" s="151" t="s">
        <v>12</v>
      </c>
      <c r="P434" s="151" t="s">
        <v>12</v>
      </c>
      <c r="Q434" s="151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X434" s="151" t="s">
        <v>12</v>
      </c>
      <c r="Y434" s="159"/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E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L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  <c r="AS434" s="151" t="s">
        <v>12</v>
      </c>
      <c r="AT434" s="151" t="s">
        <v>12</v>
      </c>
      <c r="AU434" s="151" t="s">
        <v>12</v>
      </c>
      <c r="AV434" s="151" t="s">
        <v>12</v>
      </c>
    </row>
    <row r="435" spans="1:48">
      <c r="Y435" s="159"/>
    </row>
    <row r="436" spans="1:48">
      <c r="Y436" s="159"/>
    </row>
    <row r="437" spans="1:48">
      <c r="Y437" s="159"/>
    </row>
    <row r="438" spans="1:48">
      <c r="Y438" s="159"/>
    </row>
  </sheetData>
  <dataValidations count="1">
    <dataValidation type="list" allowBlank="1" showInputMessage="1" showErrorMessage="1" sqref="P13:P43 H120:H166 X13:X43 AF13:AF43 AN334:AN364 P120:P151 AN227:AN257 AV334:AV364 X120:X150 AF120:AF150 P227:P257 H227:H257 X227:X257 AF227:AF257 AN120:AN150 P334:P364 H334:H364 X334:X364 AF334:AF364 AN13:AN43 AV227:AV257 AV120:AV150 AV13:AV43 H13:H81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AR434"/>
  <sheetViews>
    <sheetView showGridLines="0" workbookViewId="0"/>
  </sheetViews>
  <sheetFormatPr defaultRowHeight="12"/>
  <cols>
    <col min="1" max="1" width="9.140625" style="151"/>
    <col min="2" max="2" width="20.7109375" style="151" customWidth="1"/>
    <col min="3" max="3" width="22.5703125" style="151" bestFit="1" customWidth="1"/>
    <col min="4" max="6" width="22.7109375" style="151" customWidth="1"/>
    <col min="7" max="7" width="12.7109375" style="151" customWidth="1"/>
    <col min="8" max="8" width="9.140625" style="151"/>
    <col min="9" max="9" width="20.7109375" style="151" customWidth="1"/>
    <col min="10" max="10" width="22.5703125" style="151" bestFit="1" customWidth="1"/>
    <col min="11" max="11" width="22.7109375" style="151" customWidth="1"/>
    <col min="12" max="12" width="15.7109375" style="151" customWidth="1"/>
    <col min="13" max="13" width="22.7109375" style="151" customWidth="1"/>
    <col min="14" max="15" width="12.7109375" style="155" customWidth="1"/>
    <col min="16" max="16" width="12.7109375" style="151" customWidth="1"/>
    <col min="17" max="17" width="9.140625" style="151"/>
    <col min="18" max="18" width="20.7109375" style="151" customWidth="1"/>
    <col min="19" max="19" width="22.5703125" style="151" bestFit="1" customWidth="1"/>
    <col min="20" max="20" width="22.7109375" style="151" customWidth="1"/>
    <col min="21" max="21" width="15.7109375" style="151" customWidth="1"/>
    <col min="22" max="22" width="22.7109375" style="151" customWidth="1"/>
    <col min="23" max="23" width="12.7109375" style="151" customWidth="1"/>
    <col min="24" max="24" width="9.140625" style="151"/>
    <col min="25" max="25" width="20.7109375" style="151" customWidth="1"/>
    <col min="26" max="26" width="22.5703125" style="151" bestFit="1" customWidth="1"/>
    <col min="27" max="27" width="22.7109375" style="151" customWidth="1"/>
    <col min="28" max="28" width="15.7109375" style="151" customWidth="1"/>
    <col min="29" max="29" width="22.7109375" style="151" customWidth="1"/>
    <col min="30" max="30" width="12.7109375" style="151" customWidth="1"/>
    <col min="31" max="31" width="9.140625" style="151"/>
    <col min="32" max="32" width="20.7109375" style="151" customWidth="1"/>
    <col min="33" max="33" width="22.5703125" style="151" bestFit="1" customWidth="1"/>
    <col min="34" max="34" width="22.7109375" style="151" customWidth="1"/>
    <col min="35" max="35" width="15.7109375" style="151" customWidth="1"/>
    <col min="36" max="36" width="22.7109375" style="151" customWidth="1"/>
    <col min="37" max="37" width="12.7109375" style="151" customWidth="1"/>
    <col min="38" max="38" width="9.140625" style="151"/>
    <col min="39" max="39" width="20.7109375" style="151" customWidth="1"/>
    <col min="40" max="40" width="22.5703125" style="151" bestFit="1" customWidth="1"/>
    <col min="41" max="41" width="22.7109375" style="151" customWidth="1"/>
    <col min="42" max="42" width="15.7109375" style="151" customWidth="1"/>
    <col min="43" max="43" width="22.7109375" style="151" customWidth="1"/>
    <col min="44" max="44" width="12.7109375" style="151" customWidth="1"/>
    <col min="45" max="16384" width="9.140625" style="151"/>
  </cols>
  <sheetData>
    <row r="1" spans="1:44">
      <c r="I1" s="154"/>
      <c r="K1" s="154"/>
      <c r="R1" s="154"/>
      <c r="T1" s="154"/>
      <c r="Y1" s="154"/>
      <c r="AA1" s="154"/>
      <c r="AF1" s="154"/>
      <c r="AH1" s="154"/>
    </row>
    <row r="3" spans="1:44">
      <c r="A3" s="156"/>
    </row>
    <row r="4" spans="1:44">
      <c r="A4" s="156"/>
    </row>
    <row r="5" spans="1:44">
      <c r="A5" s="156"/>
    </row>
    <row r="6" spans="1:44">
      <c r="A6" s="156"/>
    </row>
    <row r="7" spans="1:44">
      <c r="A7" s="156"/>
      <c r="B7" s="156"/>
      <c r="C7" s="156"/>
      <c r="D7" s="156"/>
      <c r="E7" s="156"/>
      <c r="F7" s="156"/>
    </row>
    <row r="8" spans="1:44">
      <c r="A8" s="156"/>
      <c r="B8" s="156"/>
      <c r="C8" s="156"/>
      <c r="D8" s="156"/>
      <c r="E8" s="156"/>
      <c r="F8" s="156"/>
    </row>
    <row r="9" spans="1:44">
      <c r="D9" s="159" t="s">
        <v>363</v>
      </c>
      <c r="K9" s="159" t="s">
        <v>363</v>
      </c>
      <c r="T9" s="159" t="s">
        <v>363</v>
      </c>
      <c r="AA9" s="159" t="s">
        <v>363</v>
      </c>
      <c r="AH9" s="159" t="s">
        <v>363</v>
      </c>
      <c r="AO9" s="159" t="s">
        <v>363</v>
      </c>
    </row>
    <row r="10" spans="1:44">
      <c r="B10" s="154" t="s">
        <v>370</v>
      </c>
      <c r="D10" s="161" t="s">
        <v>2631</v>
      </c>
      <c r="I10" s="154" t="s">
        <v>371</v>
      </c>
      <c r="K10" s="161" t="s">
        <v>2632</v>
      </c>
      <c r="R10" s="154" t="s">
        <v>372</v>
      </c>
      <c r="T10" s="161" t="s">
        <v>2633</v>
      </c>
      <c r="Y10" s="154" t="s">
        <v>373</v>
      </c>
      <c r="AA10" s="161" t="s">
        <v>2634</v>
      </c>
      <c r="AF10" s="154" t="s">
        <v>374</v>
      </c>
      <c r="AH10" s="161" t="s">
        <v>2635</v>
      </c>
      <c r="AM10" s="154" t="s">
        <v>375</v>
      </c>
      <c r="AO10" s="161" t="s">
        <v>1990</v>
      </c>
    </row>
    <row r="12" spans="1:44">
      <c r="B12" s="162" t="s">
        <v>380</v>
      </c>
      <c r="C12" s="162" t="s">
        <v>381</v>
      </c>
      <c r="D12" s="162" t="s">
        <v>382</v>
      </c>
      <c r="E12" s="162" t="s">
        <v>383</v>
      </c>
      <c r="F12" s="162" t="s">
        <v>384</v>
      </c>
      <c r="G12" s="162" t="s">
        <v>385</v>
      </c>
      <c r="I12" s="162" t="s">
        <v>380</v>
      </c>
      <c r="J12" s="162" t="s">
        <v>381</v>
      </c>
      <c r="K12" s="162" t="s">
        <v>382</v>
      </c>
      <c r="L12" s="162" t="s">
        <v>383</v>
      </c>
      <c r="M12" s="162" t="s">
        <v>384</v>
      </c>
      <c r="N12" s="217" t="s">
        <v>928</v>
      </c>
      <c r="O12" s="217" t="s">
        <v>929</v>
      </c>
      <c r="P12" s="216" t="s">
        <v>385</v>
      </c>
      <c r="R12" s="162" t="s">
        <v>380</v>
      </c>
      <c r="S12" s="162" t="s">
        <v>381</v>
      </c>
      <c r="T12" s="162" t="s">
        <v>382</v>
      </c>
      <c r="U12" s="162" t="s">
        <v>383</v>
      </c>
      <c r="V12" s="162" t="s">
        <v>384</v>
      </c>
      <c r="W12" s="162" t="s">
        <v>385</v>
      </c>
      <c r="Y12" s="162" t="s">
        <v>380</v>
      </c>
      <c r="Z12" s="162" t="s">
        <v>381</v>
      </c>
      <c r="AA12" s="162" t="s">
        <v>382</v>
      </c>
      <c r="AB12" s="162" t="s">
        <v>383</v>
      </c>
      <c r="AC12" s="162" t="s">
        <v>384</v>
      </c>
      <c r="AD12" s="162" t="s">
        <v>385</v>
      </c>
      <c r="AF12" s="162" t="s">
        <v>380</v>
      </c>
      <c r="AG12" s="162" t="s">
        <v>381</v>
      </c>
      <c r="AH12" s="162" t="s">
        <v>382</v>
      </c>
      <c r="AI12" s="162" t="s">
        <v>383</v>
      </c>
      <c r="AJ12" s="162" t="s">
        <v>384</v>
      </c>
      <c r="AK12" s="162" t="s">
        <v>385</v>
      </c>
      <c r="AM12" s="162" t="s">
        <v>380</v>
      </c>
      <c r="AN12" s="162" t="s">
        <v>381</v>
      </c>
      <c r="AO12" s="162" t="s">
        <v>382</v>
      </c>
      <c r="AP12" s="162" t="s">
        <v>383</v>
      </c>
      <c r="AQ12" s="162" t="s">
        <v>384</v>
      </c>
      <c r="AR12" s="162" t="s">
        <v>385</v>
      </c>
    </row>
    <row r="13" spans="1:44">
      <c r="A13" s="204">
        <v>1</v>
      </c>
      <c r="B13" s="166" t="str">
        <f t="array" aca="1" ref="B13:B112" ca="1">getTickers(Instruments!C13:H112,100)</f>
        <v>FEDL01 BGN Index</v>
      </c>
      <c r="C13" s="169" t="s">
        <v>1469</v>
      </c>
      <c r="D13" s="170" t="s">
        <v>1942</v>
      </c>
      <c r="E13" s="170" t="s">
        <v>388</v>
      </c>
      <c r="F13" s="170" t="s">
        <v>1120</v>
      </c>
      <c r="G13" s="171">
        <v>1.7</v>
      </c>
      <c r="I13" s="166" t="str">
        <f t="array" ref="I13:I112">getTickers(Instruments!K13:P112,100)</f>
        <v>US0003M  ICUS Index</v>
      </c>
      <c r="J13" s="169" t="s">
        <v>1469</v>
      </c>
      <c r="K13" s="170" t="s">
        <v>1203</v>
      </c>
      <c r="L13" s="170" t="s">
        <v>388</v>
      </c>
      <c r="M13" s="170" t="s">
        <v>1204</v>
      </c>
      <c r="N13" s="246" t="s">
        <v>2364</v>
      </c>
      <c r="O13" s="246" t="s">
        <v>2364</v>
      </c>
      <c r="P13" s="171">
        <v>2.36294</v>
      </c>
      <c r="R13" s="166" t="str">
        <f t="array" ref="R13:R112">getTickers(Instruments!S13:X112,100)</f>
        <v>USBC1 ICPL Curncy</v>
      </c>
      <c r="S13" s="169" t="s">
        <v>1469</v>
      </c>
      <c r="T13" s="170" t="s">
        <v>1262</v>
      </c>
      <c r="U13" s="170" t="s">
        <v>1109</v>
      </c>
      <c r="V13" s="170" t="s">
        <v>1263</v>
      </c>
      <c r="W13" s="171">
        <v>12.25</v>
      </c>
      <c r="Y13" s="166" t="str">
        <f t="array" ref="Y13:Y112">getTickers(Instruments!AA13:AF112,100)</f>
        <v>USBA1 CMPN Curncy</v>
      </c>
      <c r="Z13" s="169" t="s">
        <v>1469</v>
      </c>
      <c r="AA13" s="170" t="s">
        <v>1328</v>
      </c>
      <c r="AB13" s="170" t="s">
        <v>1109</v>
      </c>
      <c r="AC13" s="170" t="s">
        <v>1329</v>
      </c>
      <c r="AD13" s="171">
        <v>22.75</v>
      </c>
      <c r="AF13" s="166" t="str">
        <f t="array" ref="AF13:AF112">getTickers(Instruments!AI13:AN112,100)</f>
        <v>USBL1 PREB Curncy</v>
      </c>
      <c r="AG13" s="169" t="s">
        <v>1469</v>
      </c>
      <c r="AH13" s="170" t="s">
        <v>1496</v>
      </c>
      <c r="AI13" s="170" t="s">
        <v>1109</v>
      </c>
      <c r="AJ13" s="170" t="s">
        <v>1481</v>
      </c>
      <c r="AK13" s="171">
        <v>24.125</v>
      </c>
      <c r="AM13" s="166" t="str">
        <f t="array" ref="AM13:AM112">getTickers(Instruments!AQ13:AV112,100)</f>
        <v>#Empty List</v>
      </c>
      <c r="AN13" s="169" t="s">
        <v>1469</v>
      </c>
      <c r="AO13" s="170"/>
      <c r="AP13" s="170"/>
      <c r="AQ13" s="170"/>
      <c r="AR13" s="171"/>
    </row>
    <row r="14" spans="1:44">
      <c r="A14" s="204">
        <v>2</v>
      </c>
      <c r="B14" s="167" t="str">
        <f ca="1"/>
        <v>USSO1 CMPN Curncy</v>
      </c>
      <c r="C14" s="175" t="s">
        <v>1470</v>
      </c>
      <c r="D14" s="176" t="s">
        <v>2112</v>
      </c>
      <c r="E14" s="176" t="s">
        <v>1121</v>
      </c>
      <c r="F14" s="403" t="s">
        <v>2113</v>
      </c>
      <c r="G14" s="177">
        <v>2.1086</v>
      </c>
      <c r="I14" s="167" t="str">
        <v>ED1  COMB Comdty</v>
      </c>
      <c r="J14" s="175" t="s">
        <v>1470</v>
      </c>
      <c r="K14" s="176" t="s">
        <v>1205</v>
      </c>
      <c r="L14" s="176" t="s">
        <v>1206</v>
      </c>
      <c r="M14" s="176" t="s">
        <v>1207</v>
      </c>
      <c r="N14" s="219">
        <v>43271</v>
      </c>
      <c r="O14" s="219">
        <v>43362</v>
      </c>
      <c r="P14" s="177">
        <v>97.63</v>
      </c>
      <c r="R14" s="167" t="str">
        <v>USBC2 ICPL Curncy</v>
      </c>
      <c r="S14" s="175" t="s">
        <v>1470</v>
      </c>
      <c r="T14" s="176" t="s">
        <v>1264</v>
      </c>
      <c r="U14" s="176" t="s">
        <v>1109</v>
      </c>
      <c r="V14" s="176" t="s">
        <v>1265</v>
      </c>
      <c r="W14" s="177">
        <v>12.375</v>
      </c>
      <c r="Y14" s="167" t="str">
        <v>USBA2 CMPN Curncy</v>
      </c>
      <c r="Z14" s="175" t="s">
        <v>1470</v>
      </c>
      <c r="AA14" s="176" t="s">
        <v>1330</v>
      </c>
      <c r="AB14" s="176" t="s">
        <v>1109</v>
      </c>
      <c r="AC14" s="176" t="s">
        <v>1331</v>
      </c>
      <c r="AD14" s="177">
        <v>18.1875</v>
      </c>
      <c r="AF14" s="167" t="str">
        <v>USBL2 PREB Curncy</v>
      </c>
      <c r="AG14" s="175" t="s">
        <v>1470</v>
      </c>
      <c r="AH14" s="176" t="s">
        <v>1497</v>
      </c>
      <c r="AI14" s="176" t="s">
        <v>1109</v>
      </c>
      <c r="AJ14" s="176" t="s">
        <v>1482</v>
      </c>
      <c r="AK14" s="177">
        <v>26.25</v>
      </c>
      <c r="AM14" s="167" t="str">
        <v>#Empty List</v>
      </c>
      <c r="AN14" s="175" t="s">
        <v>1470</v>
      </c>
      <c r="AO14" s="176"/>
      <c r="AP14" s="176"/>
      <c r="AQ14" s="176"/>
      <c r="AR14" s="177"/>
    </row>
    <row r="15" spans="1:44">
      <c r="A15" s="204">
        <v>3</v>
      </c>
      <c r="B15" s="167" t="str">
        <f ca="1"/>
        <v>USSO2 CMPN Curncy</v>
      </c>
      <c r="C15" s="175" t="s">
        <v>385</v>
      </c>
      <c r="D15" s="176" t="s">
        <v>1767</v>
      </c>
      <c r="E15" s="176" t="s">
        <v>1121</v>
      </c>
      <c r="F15" s="403" t="s">
        <v>1129</v>
      </c>
      <c r="G15" s="177">
        <v>2.3445</v>
      </c>
      <c r="I15" s="167" t="str">
        <v>ED2 COMB Comdty</v>
      </c>
      <c r="J15" s="175" t="s">
        <v>930</v>
      </c>
      <c r="K15" s="176" t="s">
        <v>1208</v>
      </c>
      <c r="L15" s="176" t="s">
        <v>1206</v>
      </c>
      <c r="M15" s="176" t="s">
        <v>1209</v>
      </c>
      <c r="N15" s="219">
        <v>43362</v>
      </c>
      <c r="O15" s="219">
        <v>43453</v>
      </c>
      <c r="P15" s="177">
        <v>97.504999999999995</v>
      </c>
      <c r="R15" s="167" t="str">
        <v>USBC3 ICPL Curncy</v>
      </c>
      <c r="S15" s="175" t="s">
        <v>385</v>
      </c>
      <c r="T15" s="176" t="s">
        <v>1266</v>
      </c>
      <c r="U15" s="176" t="s">
        <v>1109</v>
      </c>
      <c r="V15" s="176" t="s">
        <v>1267</v>
      </c>
      <c r="W15" s="177">
        <v>12.5</v>
      </c>
      <c r="Y15" s="167" t="str">
        <v>USBA3 CMPN Curncy</v>
      </c>
      <c r="Z15" s="175" t="s">
        <v>385</v>
      </c>
      <c r="AA15" s="176" t="s">
        <v>1332</v>
      </c>
      <c r="AB15" s="176" t="s">
        <v>1109</v>
      </c>
      <c r="AC15" s="176" t="s">
        <v>1333</v>
      </c>
      <c r="AD15" s="177">
        <v>15.75</v>
      </c>
      <c r="AF15" s="167" t="str">
        <v>USBL3 PREB Curncy</v>
      </c>
      <c r="AG15" s="175" t="s">
        <v>385</v>
      </c>
      <c r="AH15" s="176" t="s">
        <v>1498</v>
      </c>
      <c r="AI15" s="176" t="s">
        <v>1109</v>
      </c>
      <c r="AJ15" s="176" t="s">
        <v>1483</v>
      </c>
      <c r="AK15" s="177">
        <v>27.25</v>
      </c>
      <c r="AM15" s="167" t="str">
        <v>#Empty List</v>
      </c>
      <c r="AN15" s="175" t="s">
        <v>385</v>
      </c>
      <c r="AO15" s="176"/>
      <c r="AP15" s="176"/>
      <c r="AQ15" s="176"/>
      <c r="AR15" s="177"/>
    </row>
    <row r="16" spans="1:44">
      <c r="A16" s="204">
        <v>4</v>
      </c>
      <c r="B16" s="167" t="str">
        <f ca="1"/>
        <v>USSO3 CMPN Curncy</v>
      </c>
      <c r="C16" s="175"/>
      <c r="D16" s="176" t="s">
        <v>1763</v>
      </c>
      <c r="E16" s="176" t="s">
        <v>1121</v>
      </c>
      <c r="F16" s="403" t="s">
        <v>1130</v>
      </c>
      <c r="G16" s="177">
        <v>2.4489999999999998</v>
      </c>
      <c r="I16" s="167" t="str">
        <v>ED3 COMB Comdty</v>
      </c>
      <c r="J16" s="175" t="s">
        <v>931</v>
      </c>
      <c r="K16" s="176" t="s">
        <v>1210</v>
      </c>
      <c r="L16" s="176" t="s">
        <v>1206</v>
      </c>
      <c r="M16" s="176" t="s">
        <v>1211</v>
      </c>
      <c r="N16" s="219">
        <v>43453</v>
      </c>
      <c r="O16" s="219">
        <v>43544</v>
      </c>
      <c r="P16" s="177">
        <v>97.355000000000004</v>
      </c>
      <c r="R16" s="167" t="str">
        <v>USBC4 ICPL Curncy</v>
      </c>
      <c r="S16" s="175"/>
      <c r="T16" s="176" t="s">
        <v>1268</v>
      </c>
      <c r="U16" s="176" t="s">
        <v>1109</v>
      </c>
      <c r="V16" s="176" t="s">
        <v>1269</v>
      </c>
      <c r="W16" s="177">
        <v>12.5</v>
      </c>
      <c r="Y16" s="167" t="str">
        <v>USBA4 CMPN Curncy</v>
      </c>
      <c r="Z16" s="175"/>
      <c r="AA16" s="176" t="s">
        <v>1334</v>
      </c>
      <c r="AB16" s="176" t="s">
        <v>1109</v>
      </c>
      <c r="AC16" s="176" t="s">
        <v>1335</v>
      </c>
      <c r="AD16" s="177">
        <v>13.9375</v>
      </c>
      <c r="AF16" s="167" t="str">
        <v>USBL4 PREB Curncy</v>
      </c>
      <c r="AG16" s="175"/>
      <c r="AH16" s="176" t="s">
        <v>1499</v>
      </c>
      <c r="AI16" s="176" t="s">
        <v>1109</v>
      </c>
      <c r="AJ16" s="176" t="s">
        <v>1484</v>
      </c>
      <c r="AK16" s="177">
        <v>27.5</v>
      </c>
      <c r="AM16" s="167" t="str">
        <v>#Empty List</v>
      </c>
      <c r="AN16" s="175"/>
      <c r="AO16" s="176"/>
      <c r="AP16" s="176"/>
      <c r="AQ16" s="176"/>
      <c r="AR16" s="177"/>
    </row>
    <row r="17" spans="1:44">
      <c r="A17" s="204">
        <v>5</v>
      </c>
      <c r="B17" s="167" t="str">
        <f ca="1"/>
        <v>USSO4 CMPN Curncy</v>
      </c>
      <c r="C17" s="175"/>
      <c r="D17" s="176" t="s">
        <v>1764</v>
      </c>
      <c r="E17" s="176" t="s">
        <v>1121</v>
      </c>
      <c r="F17" s="403" t="s">
        <v>1131</v>
      </c>
      <c r="G17" s="177">
        <v>2.4990000000000001</v>
      </c>
      <c r="I17" s="167" t="str">
        <v>ED4  COMB Comdty</v>
      </c>
      <c r="J17" s="175" t="s">
        <v>385</v>
      </c>
      <c r="K17" s="176" t="s">
        <v>1212</v>
      </c>
      <c r="L17" s="176" t="s">
        <v>1206</v>
      </c>
      <c r="M17" s="176" t="s">
        <v>1213</v>
      </c>
      <c r="N17" s="219">
        <v>43544</v>
      </c>
      <c r="O17" s="219">
        <v>43635</v>
      </c>
      <c r="P17" s="177">
        <v>97.245000000000005</v>
      </c>
      <c r="R17" s="167" t="str">
        <v>USBC5 ICPL Curncy</v>
      </c>
      <c r="S17" s="175"/>
      <c r="T17" s="176" t="s">
        <v>1270</v>
      </c>
      <c r="U17" s="176" t="s">
        <v>1109</v>
      </c>
      <c r="V17" s="176" t="s">
        <v>1271</v>
      </c>
      <c r="W17" s="177">
        <v>12.625</v>
      </c>
      <c r="Y17" s="167" t="str">
        <v>USBA5 CMPN Curncy</v>
      </c>
      <c r="Z17" s="175"/>
      <c r="AA17" s="176" t="s">
        <v>1336</v>
      </c>
      <c r="AB17" s="176" t="s">
        <v>1109</v>
      </c>
      <c r="AC17" s="176" t="s">
        <v>1337</v>
      </c>
      <c r="AD17" s="177">
        <v>12.625</v>
      </c>
      <c r="AF17" s="167" t="str">
        <v>USBL5 PREB Curncy</v>
      </c>
      <c r="AG17" s="175"/>
      <c r="AH17" s="176" t="s">
        <v>1500</v>
      </c>
      <c r="AI17" s="176" t="s">
        <v>1109</v>
      </c>
      <c r="AJ17" s="176" t="s">
        <v>1485</v>
      </c>
      <c r="AK17" s="177">
        <v>27.75</v>
      </c>
      <c r="AM17" s="167" t="str">
        <v>#Empty List</v>
      </c>
      <c r="AN17" s="175"/>
      <c r="AO17" s="176"/>
      <c r="AP17" s="176"/>
      <c r="AQ17" s="176"/>
      <c r="AR17" s="177"/>
    </row>
    <row r="18" spans="1:44">
      <c r="A18" s="204">
        <v>6</v>
      </c>
      <c r="B18" s="167" t="str">
        <f ca="1"/>
        <v>USSO5 CMPN Curncy</v>
      </c>
      <c r="C18" s="175"/>
      <c r="D18" s="176" t="s">
        <v>1765</v>
      </c>
      <c r="E18" s="176" t="s">
        <v>1121</v>
      </c>
      <c r="F18" s="403" t="s">
        <v>1132</v>
      </c>
      <c r="G18" s="177">
        <v>2.5219999999999998</v>
      </c>
      <c r="I18" s="167" t="str">
        <v>ED5  COMB Comdty</v>
      </c>
      <c r="J18" s="175"/>
      <c r="K18" s="176" t="s">
        <v>1214</v>
      </c>
      <c r="L18" s="176" t="s">
        <v>1206</v>
      </c>
      <c r="M18" s="176" t="s">
        <v>1215</v>
      </c>
      <c r="N18" s="219">
        <v>43635</v>
      </c>
      <c r="O18" s="219">
        <v>43726</v>
      </c>
      <c r="P18" s="177">
        <v>97.144999999999996</v>
      </c>
      <c r="R18" s="167" t="str">
        <v>USBC6 ICPL Curncy</v>
      </c>
      <c r="S18" s="175"/>
      <c r="T18" s="176" t="s">
        <v>1272</v>
      </c>
      <c r="U18" s="176" t="s">
        <v>1109</v>
      </c>
      <c r="V18" s="176" t="s">
        <v>1273</v>
      </c>
      <c r="W18" s="177">
        <v>12.875</v>
      </c>
      <c r="Y18" s="167" t="str">
        <v>USBA6 CMPN Curncy</v>
      </c>
      <c r="Z18" s="175"/>
      <c r="AA18" s="176" t="s">
        <v>1338</v>
      </c>
      <c r="AB18" s="176" t="s">
        <v>1109</v>
      </c>
      <c r="AC18" s="176" t="s">
        <v>1339</v>
      </c>
      <c r="AD18" s="177">
        <v>11.125</v>
      </c>
      <c r="AF18" s="167" t="str">
        <v>USBL7 PREB Curncy</v>
      </c>
      <c r="AG18" s="175"/>
      <c r="AH18" s="176" t="s">
        <v>1501</v>
      </c>
      <c r="AI18" s="176" t="s">
        <v>1109</v>
      </c>
      <c r="AJ18" s="176" t="s">
        <v>1486</v>
      </c>
      <c r="AK18" s="177">
        <v>28.75</v>
      </c>
      <c r="AM18" s="167" t="str">
        <v>#Empty List</v>
      </c>
      <c r="AN18" s="175"/>
      <c r="AO18" s="176"/>
      <c r="AP18" s="176"/>
      <c r="AQ18" s="176"/>
      <c r="AR18" s="177"/>
    </row>
    <row r="19" spans="1:44">
      <c r="A19" s="204">
        <v>7</v>
      </c>
      <c r="B19" s="167" t="str">
        <f ca="1"/>
        <v>USSO6 CMPN Curncy</v>
      </c>
      <c r="C19" s="175"/>
      <c r="D19" s="176" t="s">
        <v>1766</v>
      </c>
      <c r="E19" s="176" t="s">
        <v>1121</v>
      </c>
      <c r="F19" s="403" t="s">
        <v>1133</v>
      </c>
      <c r="G19" s="177">
        <v>2.5339999999999998</v>
      </c>
      <c r="I19" s="167" t="str">
        <v>ED6  COMB Comdty</v>
      </c>
      <c r="J19" s="175"/>
      <c r="K19" s="176" t="s">
        <v>1216</v>
      </c>
      <c r="L19" s="176" t="s">
        <v>1206</v>
      </c>
      <c r="M19" s="176" t="s">
        <v>1217</v>
      </c>
      <c r="N19" s="219">
        <v>43726</v>
      </c>
      <c r="O19" s="219">
        <v>43817</v>
      </c>
      <c r="P19" s="177">
        <v>97.08</v>
      </c>
      <c r="R19" s="167" t="str">
        <v>USBC7 ICPL Curncy</v>
      </c>
      <c r="S19" s="175"/>
      <c r="T19" s="176" t="s">
        <v>1274</v>
      </c>
      <c r="U19" s="176" t="s">
        <v>1109</v>
      </c>
      <c r="V19" s="176" t="s">
        <v>1275</v>
      </c>
      <c r="W19" s="177">
        <v>13.25</v>
      </c>
      <c r="Y19" s="167" t="str">
        <v>USBA7 CMPN Curncy</v>
      </c>
      <c r="Z19" s="175"/>
      <c r="AA19" s="176" t="s">
        <v>1340</v>
      </c>
      <c r="AB19" s="176" t="s">
        <v>1109</v>
      </c>
      <c r="AC19" s="176" t="s">
        <v>1341</v>
      </c>
      <c r="AD19" s="177">
        <v>10.25</v>
      </c>
      <c r="AF19" s="167" t="str">
        <v>USBL10 PREB Curncy</v>
      </c>
      <c r="AG19" s="175"/>
      <c r="AH19" s="176" t="s">
        <v>1502</v>
      </c>
      <c r="AI19" s="176" t="s">
        <v>1109</v>
      </c>
      <c r="AJ19" s="176" t="s">
        <v>1487</v>
      </c>
      <c r="AK19" s="177">
        <v>29.625</v>
      </c>
      <c r="AM19" s="167" t="str">
        <v>#Empty List</v>
      </c>
      <c r="AN19" s="175"/>
      <c r="AO19" s="176"/>
      <c r="AP19" s="176"/>
      <c r="AQ19" s="176"/>
      <c r="AR19" s="177"/>
    </row>
    <row r="20" spans="1:44">
      <c r="A20" s="204">
        <v>8</v>
      </c>
      <c r="B20" s="167" t="str">
        <f ca="1"/>
        <v>USSO7 CMPN Curncy</v>
      </c>
      <c r="C20" s="175"/>
      <c r="D20" s="176" t="s">
        <v>1756</v>
      </c>
      <c r="E20" s="176" t="s">
        <v>1121</v>
      </c>
      <c r="F20" s="403" t="s">
        <v>1134</v>
      </c>
      <c r="G20" s="177">
        <v>2.5419999999999998</v>
      </c>
      <c r="I20" s="167" t="str">
        <v>ED7  COMB Comdty</v>
      </c>
      <c r="J20" s="175"/>
      <c r="K20" s="176" t="s">
        <v>1218</v>
      </c>
      <c r="L20" s="176" t="s">
        <v>1206</v>
      </c>
      <c r="M20" s="176" t="s">
        <v>1219</v>
      </c>
      <c r="N20" s="219">
        <v>43817</v>
      </c>
      <c r="O20" s="219">
        <v>43908</v>
      </c>
      <c r="P20" s="177">
        <v>97.025000000000006</v>
      </c>
      <c r="R20" s="167" t="str">
        <v>USBC8 ICPL Curncy</v>
      </c>
      <c r="S20" s="175"/>
      <c r="T20" s="176" t="s">
        <v>1276</v>
      </c>
      <c r="U20" s="176" t="s">
        <v>1109</v>
      </c>
      <c r="V20" s="176" t="s">
        <v>1277</v>
      </c>
      <c r="W20" s="177">
        <v>13.5</v>
      </c>
      <c r="Y20" s="167" t="str">
        <v>USBA8 CMPN Curncy</v>
      </c>
      <c r="Z20" s="175"/>
      <c r="AA20" s="176" t="s">
        <v>1342</v>
      </c>
      <c r="AB20" s="176" t="s">
        <v>1109</v>
      </c>
      <c r="AC20" s="176" t="s">
        <v>1343</v>
      </c>
      <c r="AD20" s="177">
        <v>9.625</v>
      </c>
      <c r="AF20" s="167" t="str">
        <v>USBL12 PREB Curncy</v>
      </c>
      <c r="AG20" s="175"/>
      <c r="AH20" s="176" t="s">
        <v>1503</v>
      </c>
      <c r="AI20" s="176" t="s">
        <v>1109</v>
      </c>
      <c r="AJ20" s="176" t="s">
        <v>1488</v>
      </c>
      <c r="AK20" s="177">
        <v>29.25</v>
      </c>
      <c r="AM20" s="167" t="str">
        <v>#Empty List</v>
      </c>
      <c r="AN20" s="175"/>
      <c r="AO20" s="176"/>
      <c r="AP20" s="176"/>
      <c r="AQ20" s="176"/>
      <c r="AR20" s="177"/>
    </row>
    <row r="21" spans="1:44">
      <c r="A21" s="204">
        <v>9</v>
      </c>
      <c r="B21" s="167" t="str">
        <f ca="1"/>
        <v>USSO10 CMPN Curncy</v>
      </c>
      <c r="C21" s="175"/>
      <c r="D21" s="176" t="s">
        <v>1757</v>
      </c>
      <c r="E21" s="176" t="s">
        <v>1121</v>
      </c>
      <c r="F21" s="403" t="s">
        <v>1122</v>
      </c>
      <c r="G21" s="177">
        <v>2.5569999999999999</v>
      </c>
      <c r="I21" s="167" t="str">
        <v>ED8  COMB Comdty</v>
      </c>
      <c r="J21" s="175"/>
      <c r="K21" s="176" t="s">
        <v>1220</v>
      </c>
      <c r="L21" s="176" t="s">
        <v>1206</v>
      </c>
      <c r="M21" s="176" t="s">
        <v>1221</v>
      </c>
      <c r="N21" s="219">
        <v>43908</v>
      </c>
      <c r="O21" s="219">
        <v>43999</v>
      </c>
      <c r="P21" s="177">
        <v>97.004999999999995</v>
      </c>
      <c r="R21" s="167" t="str">
        <v>USBC9 ICPL Curncy</v>
      </c>
      <c r="S21" s="175"/>
      <c r="T21" s="176" t="s">
        <v>1278</v>
      </c>
      <c r="U21" s="176" t="s">
        <v>1109</v>
      </c>
      <c r="V21" s="176" t="s">
        <v>1279</v>
      </c>
      <c r="W21" s="177">
        <v>13.875</v>
      </c>
      <c r="Y21" s="167" t="str">
        <v>USBA9 CMPN Curncy</v>
      </c>
      <c r="Z21" s="175"/>
      <c r="AA21" s="176" t="s">
        <v>1344</v>
      </c>
      <c r="AB21" s="176" t="s">
        <v>1109</v>
      </c>
      <c r="AC21" s="176" t="s">
        <v>1345</v>
      </c>
      <c r="AD21" s="177">
        <v>9</v>
      </c>
      <c r="AF21" s="167" t="str">
        <v>USBL15 PREB Curncy</v>
      </c>
      <c r="AG21" s="175"/>
      <c r="AH21" s="176" t="s">
        <v>1504</v>
      </c>
      <c r="AI21" s="176" t="s">
        <v>1109</v>
      </c>
      <c r="AJ21" s="176" t="s">
        <v>1489</v>
      </c>
      <c r="AK21" s="177">
        <v>29.5</v>
      </c>
      <c r="AM21" s="167" t="str">
        <v>#Empty List</v>
      </c>
      <c r="AN21" s="175"/>
      <c r="AO21" s="176"/>
      <c r="AP21" s="176"/>
      <c r="AQ21" s="176"/>
      <c r="AR21" s="177"/>
    </row>
    <row r="22" spans="1:44">
      <c r="A22" s="204">
        <v>10</v>
      </c>
      <c r="B22" s="167" t="str">
        <f ca="1"/>
        <v>USSO12 CMPN Curncy</v>
      </c>
      <c r="C22" s="175"/>
      <c r="D22" s="176" t="s">
        <v>1758</v>
      </c>
      <c r="E22" s="176" t="s">
        <v>1121</v>
      </c>
      <c r="F22" s="403" t="s">
        <v>1123</v>
      </c>
      <c r="G22" s="177">
        <v>2.57</v>
      </c>
      <c r="I22" s="167" t="str">
        <v>ED9 COMB Comdty</v>
      </c>
      <c r="J22" s="175"/>
      <c r="K22" s="176" t="s">
        <v>1222</v>
      </c>
      <c r="L22" s="176" t="s">
        <v>1206</v>
      </c>
      <c r="M22" s="176" t="s">
        <v>1223</v>
      </c>
      <c r="N22" s="219">
        <v>43999</v>
      </c>
      <c r="O22" s="219">
        <v>44090</v>
      </c>
      <c r="P22" s="177">
        <v>96.990000000000009</v>
      </c>
      <c r="R22" s="167" t="str">
        <v>USBC10 ICPL Curncy</v>
      </c>
      <c r="S22" s="175"/>
      <c r="T22" s="176" t="s">
        <v>1280</v>
      </c>
      <c r="U22" s="176" t="s">
        <v>1109</v>
      </c>
      <c r="V22" s="176" t="s">
        <v>1281</v>
      </c>
      <c r="W22" s="177">
        <v>14.25</v>
      </c>
      <c r="Y22" s="167" t="str">
        <v>USBA10 CMPN Curncy</v>
      </c>
      <c r="Z22" s="175"/>
      <c r="AA22" s="176" t="s">
        <v>1346</v>
      </c>
      <c r="AB22" s="176" t="s">
        <v>1109</v>
      </c>
      <c r="AC22" s="176" t="s">
        <v>1347</v>
      </c>
      <c r="AD22" s="177">
        <v>8.8000000000000007</v>
      </c>
      <c r="AF22" s="167" t="str">
        <v>USBL20 PREB Curncy</v>
      </c>
      <c r="AG22" s="175"/>
      <c r="AH22" s="176" t="s">
        <v>1505</v>
      </c>
      <c r="AI22" s="176" t="s">
        <v>1109</v>
      </c>
      <c r="AJ22" s="176" t="s">
        <v>1490</v>
      </c>
      <c r="AK22" s="177">
        <v>29</v>
      </c>
      <c r="AM22" s="167" t="str">
        <v>#Empty List</v>
      </c>
      <c r="AN22" s="175"/>
      <c r="AO22" s="176"/>
      <c r="AP22" s="176"/>
      <c r="AQ22" s="176"/>
      <c r="AR22" s="177"/>
    </row>
    <row r="23" spans="1:44">
      <c r="A23" s="204">
        <v>11</v>
      </c>
      <c r="B23" s="167" t="str">
        <f ca="1"/>
        <v>USSO15 CMPN Curncy</v>
      </c>
      <c r="C23" s="175"/>
      <c r="D23" s="176" t="s">
        <v>1759</v>
      </c>
      <c r="E23" s="176" t="s">
        <v>1121</v>
      </c>
      <c r="F23" s="403" t="s">
        <v>1124</v>
      </c>
      <c r="G23" s="177">
        <v>2.573</v>
      </c>
      <c r="I23" s="167" t="str">
        <v>ED10  COMB Comdty</v>
      </c>
      <c r="J23" s="175"/>
      <c r="K23" s="176" t="s">
        <v>1224</v>
      </c>
      <c r="L23" s="176" t="s">
        <v>1206</v>
      </c>
      <c r="M23" s="176" t="s">
        <v>1225</v>
      </c>
      <c r="N23" s="219">
        <v>44090</v>
      </c>
      <c r="O23" s="219">
        <v>44181</v>
      </c>
      <c r="P23" s="177">
        <v>96.975000000000009</v>
      </c>
      <c r="R23" s="167" t="str">
        <v>USBC12 ICPL Curncy</v>
      </c>
      <c r="S23" s="175"/>
      <c r="T23" s="176" t="s">
        <v>1252</v>
      </c>
      <c r="U23" s="176" t="s">
        <v>1109</v>
      </c>
      <c r="V23" s="176" t="s">
        <v>1253</v>
      </c>
      <c r="W23" s="177">
        <v>14.875</v>
      </c>
      <c r="Y23" s="167" t="str">
        <v>USBA12 CMPN Curncy</v>
      </c>
      <c r="Z23" s="175"/>
      <c r="AA23" s="176" t="s">
        <v>1318</v>
      </c>
      <c r="AB23" s="176" t="s">
        <v>1109</v>
      </c>
      <c r="AC23" s="176" t="s">
        <v>1319</v>
      </c>
      <c r="AD23" s="177">
        <v>8</v>
      </c>
      <c r="AF23" s="167" t="str">
        <v>USBL25 PREB Curncy</v>
      </c>
      <c r="AG23" s="175"/>
      <c r="AH23" s="176" t="s">
        <v>1494</v>
      </c>
      <c r="AI23" s="176" t="s">
        <v>1109</v>
      </c>
      <c r="AJ23" s="176" t="s">
        <v>1380</v>
      </c>
      <c r="AK23" s="177">
        <v>29.625</v>
      </c>
      <c r="AM23" s="167" t="str">
        <v>#Empty List</v>
      </c>
      <c r="AN23" s="175"/>
      <c r="AO23" s="176"/>
      <c r="AP23" s="176"/>
      <c r="AQ23" s="176"/>
      <c r="AR23" s="177"/>
    </row>
    <row r="24" spans="1:44">
      <c r="A24" s="204">
        <v>12</v>
      </c>
      <c r="B24" s="167" t="str">
        <f ca="1"/>
        <v>USSO20 CMPN Curncy</v>
      </c>
      <c r="C24" s="175"/>
      <c r="D24" s="176" t="s">
        <v>1760</v>
      </c>
      <c r="E24" s="176" t="s">
        <v>1121</v>
      </c>
      <c r="F24" s="403" t="s">
        <v>1125</v>
      </c>
      <c r="G24" s="177">
        <v>2.5670000000000002</v>
      </c>
      <c r="I24" s="167" t="str">
        <v>ED11  COMB Comdty</v>
      </c>
      <c r="J24" s="175"/>
      <c r="K24" s="176" t="s">
        <v>1226</v>
      </c>
      <c r="L24" s="176" t="s">
        <v>1206</v>
      </c>
      <c r="M24" s="176" t="s">
        <v>1227</v>
      </c>
      <c r="N24" s="219">
        <v>44181</v>
      </c>
      <c r="O24" s="219">
        <v>44272</v>
      </c>
      <c r="P24" s="177">
        <v>96.95</v>
      </c>
      <c r="R24" s="167" t="str">
        <v>USBC15 ICPL Curncy</v>
      </c>
      <c r="S24" s="175"/>
      <c r="T24" s="176" t="s">
        <v>1254</v>
      </c>
      <c r="U24" s="176" t="s">
        <v>1109</v>
      </c>
      <c r="V24" s="176" t="s">
        <v>1255</v>
      </c>
      <c r="W24" s="177">
        <v>15.25</v>
      </c>
      <c r="Y24" s="167" t="str">
        <v>USBA15 CMPN Curncy</v>
      </c>
      <c r="Z24" s="175"/>
      <c r="AA24" s="176" t="s">
        <v>1320</v>
      </c>
      <c r="AB24" s="176" t="s">
        <v>1109</v>
      </c>
      <c r="AC24" s="176" t="s">
        <v>1321</v>
      </c>
      <c r="AD24" s="177">
        <v>7.875</v>
      </c>
      <c r="AF24" s="167" t="str">
        <v>USBL30 PREB Curncy</v>
      </c>
      <c r="AG24" s="175"/>
      <c r="AH24" s="176" t="s">
        <v>1495</v>
      </c>
      <c r="AI24" s="176" t="s">
        <v>1109</v>
      </c>
      <c r="AJ24" s="176" t="s">
        <v>1381</v>
      </c>
      <c r="AK24" s="177">
        <v>30</v>
      </c>
      <c r="AM24" s="167" t="str">
        <v>#Empty List</v>
      </c>
      <c r="AN24" s="175"/>
      <c r="AO24" s="176"/>
      <c r="AP24" s="176"/>
      <c r="AQ24" s="176"/>
      <c r="AR24" s="177"/>
    </row>
    <row r="25" spans="1:44">
      <c r="A25" s="204">
        <v>13</v>
      </c>
      <c r="B25" s="167" t="str">
        <f ca="1"/>
        <v>USSO25 CMPN Curncy</v>
      </c>
      <c r="C25" s="175"/>
      <c r="D25" s="176" t="s">
        <v>1761</v>
      </c>
      <c r="E25" s="176" t="s">
        <v>1121</v>
      </c>
      <c r="F25" s="176" t="s">
        <v>1126</v>
      </c>
      <c r="G25" s="177">
        <v>2.5609999999999999</v>
      </c>
      <c r="I25" s="167" t="str">
        <v>ED12  COMB Comdty</v>
      </c>
      <c r="J25" s="175"/>
      <c r="K25" s="176" t="s">
        <v>1491</v>
      </c>
      <c r="L25" s="176" t="s">
        <v>1206</v>
      </c>
      <c r="M25" s="176" t="s">
        <v>1492</v>
      </c>
      <c r="N25" s="219">
        <v>44272</v>
      </c>
      <c r="O25" s="219">
        <v>44363</v>
      </c>
      <c r="P25" s="177">
        <v>96.95</v>
      </c>
      <c r="R25" s="167" t="str">
        <v>USBC20 ICPL Curncy</v>
      </c>
      <c r="S25" s="175"/>
      <c r="T25" s="176" t="s">
        <v>1256</v>
      </c>
      <c r="U25" s="176" t="s">
        <v>1109</v>
      </c>
      <c r="V25" s="176" t="s">
        <v>1257</v>
      </c>
      <c r="W25" s="177">
        <v>15.125</v>
      </c>
      <c r="Y25" s="167" t="str">
        <v>USBA20 CMPN Curncy</v>
      </c>
      <c r="Z25" s="175"/>
      <c r="AA25" s="176" t="s">
        <v>1322</v>
      </c>
      <c r="AB25" s="176" t="s">
        <v>1109</v>
      </c>
      <c r="AC25" s="176" t="s">
        <v>1323</v>
      </c>
      <c r="AD25" s="177">
        <v>8.75</v>
      </c>
      <c r="AF25" s="167" t="str">
        <v/>
      </c>
      <c r="AG25" s="175"/>
      <c r="AH25" s="176"/>
      <c r="AI25" s="176"/>
      <c r="AJ25" s="176"/>
      <c r="AK25" s="177"/>
      <c r="AM25" s="167" t="str">
        <v>#Empty List</v>
      </c>
      <c r="AN25" s="175"/>
      <c r="AO25" s="176"/>
      <c r="AP25" s="176"/>
      <c r="AQ25" s="176"/>
      <c r="AR25" s="177"/>
    </row>
    <row r="26" spans="1:44">
      <c r="A26" s="204">
        <v>14</v>
      </c>
      <c r="B26" s="167" t="str">
        <f ca="1"/>
        <v>USSO30 CMPN Curncy</v>
      </c>
      <c r="C26" s="175"/>
      <c r="D26" s="176" t="s">
        <v>1762</v>
      </c>
      <c r="E26" s="176" t="s">
        <v>1121</v>
      </c>
      <c r="F26" s="176" t="s">
        <v>1127</v>
      </c>
      <c r="G26" s="177">
        <v>2.5310000000000001</v>
      </c>
      <c r="I26" s="167" t="str">
        <v>USSWAP5 BGN Curncy</v>
      </c>
      <c r="J26" s="175"/>
      <c r="K26" s="176" t="s">
        <v>1956</v>
      </c>
      <c r="L26" s="176" t="s">
        <v>472</v>
      </c>
      <c r="M26" s="176" t="s">
        <v>1139</v>
      </c>
      <c r="N26" s="219" t="s">
        <v>2364</v>
      </c>
      <c r="O26" s="219" t="s">
        <v>2364</v>
      </c>
      <c r="P26" s="177">
        <v>2.9106000000000001</v>
      </c>
      <c r="R26" s="167" t="str">
        <v>USBC25 ICPL Curncy</v>
      </c>
      <c r="S26" s="175"/>
      <c r="T26" s="176" t="s">
        <v>1258</v>
      </c>
      <c r="U26" s="176" t="s">
        <v>1109</v>
      </c>
      <c r="V26" s="176" t="s">
        <v>1259</v>
      </c>
      <c r="W26" s="177">
        <v>14.5</v>
      </c>
      <c r="Y26" s="167" t="str">
        <v>USBA25 CMPN Curncy</v>
      </c>
      <c r="Z26" s="175"/>
      <c r="AA26" s="176" t="s">
        <v>1324</v>
      </c>
      <c r="AB26" s="176" t="s">
        <v>1109</v>
      </c>
      <c r="AC26" s="176" t="s">
        <v>1325</v>
      </c>
      <c r="AD26" s="177">
        <v>9.75</v>
      </c>
      <c r="AF26" s="167" t="str">
        <v/>
      </c>
      <c r="AG26" s="175"/>
      <c r="AH26" s="176"/>
      <c r="AI26" s="176"/>
      <c r="AJ26" s="176"/>
      <c r="AK26" s="177"/>
      <c r="AM26" s="167" t="str">
        <v>#Empty List</v>
      </c>
      <c r="AN26" s="175"/>
      <c r="AO26" s="176"/>
      <c r="AP26" s="176"/>
      <c r="AQ26" s="176"/>
      <c r="AR26" s="177"/>
    </row>
    <row r="27" spans="1:44">
      <c r="A27" s="204">
        <v>15</v>
      </c>
      <c r="B27" s="167" t="str">
        <f ca="1"/>
        <v>USBG2 BGN Curncy</v>
      </c>
      <c r="C27" s="175"/>
      <c r="D27" s="176" t="s">
        <v>1959</v>
      </c>
      <c r="E27" s="176" t="s">
        <v>1109</v>
      </c>
      <c r="F27" s="176" t="s">
        <v>1128</v>
      </c>
      <c r="G27" s="177">
        <v>38.125</v>
      </c>
      <c r="I27" s="167" t="str">
        <v>USSWAP7 BGN Curncy</v>
      </c>
      <c r="J27" s="175"/>
      <c r="K27" s="176" t="s">
        <v>1958</v>
      </c>
      <c r="L27" s="176" t="s">
        <v>472</v>
      </c>
      <c r="M27" s="176" t="s">
        <v>1141</v>
      </c>
      <c r="N27" s="219" t="s">
        <v>2364</v>
      </c>
      <c r="O27" s="219" t="s">
        <v>2364</v>
      </c>
      <c r="P27" s="177">
        <v>2.9407000000000001</v>
      </c>
      <c r="R27" s="167" t="str">
        <v>USBC30 ICPL Curncy</v>
      </c>
      <c r="S27" s="175"/>
      <c r="T27" s="176" t="s">
        <v>1260</v>
      </c>
      <c r="U27" s="176" t="s">
        <v>1109</v>
      </c>
      <c r="V27" s="176" t="s">
        <v>1261</v>
      </c>
      <c r="W27" s="177">
        <v>13.875</v>
      </c>
      <c r="Y27" s="167" t="str">
        <v>USBA30 CMPN Curncy</v>
      </c>
      <c r="Z27" s="175"/>
      <c r="AA27" s="176" t="s">
        <v>1326</v>
      </c>
      <c r="AB27" s="176" t="s">
        <v>1109</v>
      </c>
      <c r="AC27" s="176" t="s">
        <v>1327</v>
      </c>
      <c r="AD27" s="177">
        <v>10.75</v>
      </c>
      <c r="AF27" s="167" t="str">
        <v/>
      </c>
      <c r="AG27" s="175"/>
      <c r="AH27" s="176"/>
      <c r="AI27" s="176"/>
      <c r="AJ27" s="176"/>
      <c r="AK27" s="177"/>
      <c r="AM27" s="167" t="str">
        <v>#Empty List</v>
      </c>
      <c r="AN27" s="175"/>
      <c r="AO27" s="176"/>
      <c r="AP27" s="176"/>
      <c r="AQ27" s="176"/>
      <c r="AR27" s="177"/>
    </row>
    <row r="28" spans="1:44">
      <c r="A28" s="204">
        <v>16</v>
      </c>
      <c r="B28" s="167" t="str">
        <f ca="1"/>
        <v>USBG3 BGN Curncy</v>
      </c>
      <c r="C28" s="175"/>
      <c r="D28" s="176" t="s">
        <v>1960</v>
      </c>
      <c r="E28" s="176" t="s">
        <v>1109</v>
      </c>
      <c r="F28" s="176" t="s">
        <v>1110</v>
      </c>
      <c r="G28" s="177">
        <v>37</v>
      </c>
      <c r="I28" s="167" t="str">
        <v>USSWAP10 BGN Curncy</v>
      </c>
      <c r="J28" s="175"/>
      <c r="K28" s="176" t="s">
        <v>1943</v>
      </c>
      <c r="L28" s="176" t="s">
        <v>472</v>
      </c>
      <c r="M28" s="176" t="s">
        <v>1142</v>
      </c>
      <c r="N28" s="219" t="s">
        <v>2364</v>
      </c>
      <c r="O28" s="219" t="s">
        <v>2364</v>
      </c>
      <c r="P28" s="177">
        <v>2.9773999999999998</v>
      </c>
      <c r="R28" s="167" t="str">
        <v/>
      </c>
      <c r="S28" s="175"/>
      <c r="T28" s="176"/>
      <c r="U28" s="176"/>
      <c r="V28" s="176"/>
      <c r="W28" s="177"/>
      <c r="Y28" s="167" t="str">
        <v/>
      </c>
      <c r="Z28" s="175"/>
      <c r="AA28" s="176"/>
      <c r="AB28" s="176"/>
      <c r="AC28" s="176"/>
      <c r="AD28" s="177"/>
      <c r="AF28" s="167" t="str">
        <v/>
      </c>
      <c r="AG28" s="175"/>
      <c r="AH28" s="176"/>
      <c r="AI28" s="176"/>
      <c r="AJ28" s="176"/>
      <c r="AK28" s="177"/>
      <c r="AM28" s="167" t="str">
        <v>#Empty List</v>
      </c>
      <c r="AN28" s="175"/>
      <c r="AO28" s="176"/>
      <c r="AP28" s="176"/>
      <c r="AQ28" s="176"/>
      <c r="AR28" s="177"/>
    </row>
    <row r="29" spans="1:44">
      <c r="A29" s="204">
        <v>17</v>
      </c>
      <c r="B29" s="167" t="str">
        <f ca="1"/>
        <v>USBG4 BGN Curncy</v>
      </c>
      <c r="C29" s="175"/>
      <c r="D29" s="176" t="s">
        <v>1961</v>
      </c>
      <c r="E29" s="176" t="s">
        <v>1109</v>
      </c>
      <c r="F29" s="176" t="s">
        <v>1111</v>
      </c>
      <c r="G29" s="177">
        <v>36.625</v>
      </c>
      <c r="I29" s="167" t="str">
        <v>USSWAP11 BGN Curncy</v>
      </c>
      <c r="J29" s="175"/>
      <c r="K29" s="176" t="s">
        <v>1967</v>
      </c>
      <c r="L29" s="176" t="s">
        <v>472</v>
      </c>
      <c r="M29" s="176" t="s">
        <v>1202</v>
      </c>
      <c r="N29" s="219" t="s">
        <v>2364</v>
      </c>
      <c r="O29" s="219" t="s">
        <v>2364</v>
      </c>
      <c r="P29" s="177">
        <v>2.99</v>
      </c>
      <c r="R29" s="167" t="str">
        <v/>
      </c>
      <c r="S29" s="175"/>
      <c r="T29" s="176"/>
      <c r="U29" s="176"/>
      <c r="V29" s="176"/>
      <c r="W29" s="177"/>
      <c r="Y29" s="167" t="str">
        <v/>
      </c>
      <c r="Z29" s="175"/>
      <c r="AA29" s="176"/>
      <c r="AB29" s="176"/>
      <c r="AC29" s="176"/>
      <c r="AD29" s="177"/>
      <c r="AF29" s="167" t="str">
        <v/>
      </c>
      <c r="AG29" s="175"/>
      <c r="AH29" s="176"/>
      <c r="AI29" s="176"/>
      <c r="AJ29" s="176"/>
      <c r="AK29" s="177"/>
      <c r="AM29" s="167" t="str">
        <v>#Empty List</v>
      </c>
      <c r="AN29" s="175"/>
      <c r="AO29" s="176"/>
      <c r="AP29" s="176"/>
      <c r="AQ29" s="176"/>
      <c r="AR29" s="177"/>
    </row>
    <row r="30" spans="1:44">
      <c r="A30" s="204">
        <v>18</v>
      </c>
      <c r="B30" s="190" t="str">
        <f ca="1"/>
        <v>USBG5 BGN Curncy</v>
      </c>
      <c r="C30" s="175"/>
      <c r="D30" s="176" t="s">
        <v>1962</v>
      </c>
      <c r="E30" s="176" t="s">
        <v>1109</v>
      </c>
      <c r="F30" s="176" t="s">
        <v>1112</v>
      </c>
      <c r="G30" s="177">
        <v>36.75</v>
      </c>
      <c r="I30" s="167" t="str">
        <v>USSWAP12 BGN Curncy</v>
      </c>
      <c r="J30" s="175"/>
      <c r="K30" s="176" t="s">
        <v>1944</v>
      </c>
      <c r="L30" s="176" t="s">
        <v>472</v>
      </c>
      <c r="M30" s="176" t="s">
        <v>1102</v>
      </c>
      <c r="N30" s="220" t="s">
        <v>2364</v>
      </c>
      <c r="O30" s="220" t="s">
        <v>2364</v>
      </c>
      <c r="P30" s="177">
        <v>3.0005000000000002</v>
      </c>
      <c r="R30" s="167" t="str">
        <v/>
      </c>
      <c r="S30" s="175"/>
      <c r="T30" s="176"/>
      <c r="U30" s="176"/>
      <c r="V30" s="176"/>
      <c r="W30" s="177"/>
      <c r="Y30" s="167" t="str">
        <v/>
      </c>
      <c r="Z30" s="175"/>
      <c r="AA30" s="176"/>
      <c r="AB30" s="176"/>
      <c r="AC30" s="176"/>
      <c r="AD30" s="177"/>
      <c r="AF30" s="167" t="str">
        <v/>
      </c>
      <c r="AG30" s="175"/>
      <c r="AH30" s="176"/>
      <c r="AI30" s="176"/>
      <c r="AJ30" s="176"/>
      <c r="AK30" s="177"/>
      <c r="AM30" s="167" t="str">
        <v>#Empty List</v>
      </c>
      <c r="AN30" s="175"/>
      <c r="AO30" s="176"/>
      <c r="AP30" s="176"/>
      <c r="AQ30" s="176"/>
      <c r="AR30" s="177"/>
    </row>
    <row r="31" spans="1:44">
      <c r="A31" s="204">
        <v>19</v>
      </c>
      <c r="B31" s="190" t="str">
        <f ca="1"/>
        <v>USBG6 BGN Curncy</v>
      </c>
      <c r="C31" s="175"/>
      <c r="D31" s="176" t="s">
        <v>1963</v>
      </c>
      <c r="E31" s="176" t="s">
        <v>1109</v>
      </c>
      <c r="F31" s="176" t="s">
        <v>1113</v>
      </c>
      <c r="G31" s="177">
        <v>37</v>
      </c>
      <c r="I31" s="167" t="str">
        <v>USSWAP15 BGN Curncy</v>
      </c>
      <c r="J31" s="175"/>
      <c r="K31" s="176" t="s">
        <v>1945</v>
      </c>
      <c r="L31" s="176" t="s">
        <v>472</v>
      </c>
      <c r="M31" s="176" t="s">
        <v>1103</v>
      </c>
      <c r="N31" s="220" t="s">
        <v>2364</v>
      </c>
      <c r="O31" s="220" t="s">
        <v>2364</v>
      </c>
      <c r="P31" s="177">
        <v>3.0205000000000002</v>
      </c>
      <c r="R31" s="167" t="str">
        <v/>
      </c>
      <c r="S31" s="175"/>
      <c r="T31" s="176"/>
      <c r="U31" s="176"/>
      <c r="V31" s="176"/>
      <c r="W31" s="177"/>
      <c r="Y31" s="167" t="str">
        <v/>
      </c>
      <c r="Z31" s="175"/>
      <c r="AA31" s="176"/>
      <c r="AB31" s="176"/>
      <c r="AC31" s="176"/>
      <c r="AD31" s="177"/>
      <c r="AF31" s="167" t="str">
        <v/>
      </c>
      <c r="AG31" s="175"/>
      <c r="AH31" s="176"/>
      <c r="AI31" s="176"/>
      <c r="AJ31" s="176"/>
      <c r="AK31" s="177"/>
      <c r="AM31" s="167" t="str">
        <v>#Empty List</v>
      </c>
      <c r="AN31" s="175"/>
      <c r="AO31" s="176"/>
      <c r="AP31" s="176"/>
      <c r="AQ31" s="176"/>
      <c r="AR31" s="177"/>
    </row>
    <row r="32" spans="1:44">
      <c r="A32" s="204">
        <v>20</v>
      </c>
      <c r="B32" s="190" t="str">
        <f ca="1"/>
        <v>USBG7 BGN Curncy</v>
      </c>
      <c r="C32" s="175"/>
      <c r="D32" s="176" t="s">
        <v>1964</v>
      </c>
      <c r="E32" s="176" t="s">
        <v>1109</v>
      </c>
      <c r="F32" s="176" t="s">
        <v>1114</v>
      </c>
      <c r="G32" s="177">
        <v>37.75</v>
      </c>
      <c r="I32" s="167" t="str">
        <v>USSWAP20 BGN Curncy</v>
      </c>
      <c r="J32" s="175"/>
      <c r="K32" s="176" t="s">
        <v>1946</v>
      </c>
      <c r="L32" s="176" t="s">
        <v>472</v>
      </c>
      <c r="M32" s="176" t="s">
        <v>1104</v>
      </c>
      <c r="N32" s="220" t="s">
        <v>2364</v>
      </c>
      <c r="O32" s="220" t="s">
        <v>2364</v>
      </c>
      <c r="P32" s="177">
        <v>3.0320999999999998</v>
      </c>
      <c r="R32" s="167" t="str">
        <v/>
      </c>
      <c r="S32" s="175"/>
      <c r="T32" s="176"/>
      <c r="U32" s="176"/>
      <c r="V32" s="176"/>
      <c r="W32" s="177"/>
      <c r="Y32" s="167" t="str">
        <v/>
      </c>
      <c r="Z32" s="175"/>
      <c r="AA32" s="176"/>
      <c r="AB32" s="176"/>
      <c r="AC32" s="176"/>
      <c r="AD32" s="177"/>
      <c r="AF32" s="167" t="str">
        <v/>
      </c>
      <c r="AG32" s="175"/>
      <c r="AH32" s="176"/>
      <c r="AI32" s="176"/>
      <c r="AJ32" s="176"/>
      <c r="AK32" s="177"/>
      <c r="AM32" s="167" t="str">
        <v>#Empty List</v>
      </c>
      <c r="AN32" s="175"/>
      <c r="AO32" s="176"/>
      <c r="AP32" s="176"/>
      <c r="AQ32" s="176"/>
      <c r="AR32" s="177"/>
    </row>
    <row r="33" spans="1:44">
      <c r="A33" s="204">
        <v>21</v>
      </c>
      <c r="B33" s="190" t="str">
        <f ca="1"/>
        <v>USBG10 BGN Curncy</v>
      </c>
      <c r="C33" s="175"/>
      <c r="D33" s="176" t="s">
        <v>1965</v>
      </c>
      <c r="E33" s="176" t="s">
        <v>1109</v>
      </c>
      <c r="F33" s="176" t="s">
        <v>1115</v>
      </c>
      <c r="G33" s="177">
        <v>39.630000000000003</v>
      </c>
      <c r="I33" s="167" t="str">
        <v>USSWAP25 BGN Curncy</v>
      </c>
      <c r="J33" s="175"/>
      <c r="K33" s="176" t="s">
        <v>1947</v>
      </c>
      <c r="L33" s="176" t="s">
        <v>472</v>
      </c>
      <c r="M33" s="176" t="s">
        <v>1105</v>
      </c>
      <c r="N33" s="220" t="s">
        <v>2364</v>
      </c>
      <c r="O33" s="220" t="s">
        <v>2364</v>
      </c>
      <c r="P33" s="177">
        <v>3.0198999999999998</v>
      </c>
      <c r="R33" s="167" t="str">
        <v/>
      </c>
      <c r="S33" s="175"/>
      <c r="T33" s="176"/>
      <c r="U33" s="176"/>
      <c r="V33" s="176"/>
      <c r="W33" s="177"/>
      <c r="Y33" s="167" t="str">
        <v/>
      </c>
      <c r="Z33" s="175"/>
      <c r="AA33" s="176"/>
      <c r="AB33" s="176"/>
      <c r="AC33" s="176"/>
      <c r="AD33" s="177"/>
      <c r="AF33" s="167" t="str">
        <v/>
      </c>
      <c r="AG33" s="175"/>
      <c r="AH33" s="176"/>
      <c r="AI33" s="176"/>
      <c r="AJ33" s="176"/>
      <c r="AK33" s="177"/>
      <c r="AM33" s="167" t="str">
        <v>#Empty List</v>
      </c>
      <c r="AN33" s="175"/>
      <c r="AO33" s="176"/>
      <c r="AP33" s="176"/>
      <c r="AQ33" s="176"/>
      <c r="AR33" s="177"/>
    </row>
    <row r="34" spans="1:44">
      <c r="A34" s="204">
        <v>22</v>
      </c>
      <c r="B34" s="190" t="str">
        <f ca="1"/>
        <v>USBG12 BGN Curncy</v>
      </c>
      <c r="C34" s="175"/>
      <c r="D34" s="176" t="s">
        <v>1966</v>
      </c>
      <c r="E34" s="176" t="s">
        <v>1109</v>
      </c>
      <c r="F34" s="176" t="s">
        <v>1116</v>
      </c>
      <c r="G34" s="177">
        <v>40.875</v>
      </c>
      <c r="I34" s="167" t="str">
        <v>USSWAP30 BGN Curncy</v>
      </c>
      <c r="J34" s="175"/>
      <c r="K34" s="176" t="s">
        <v>1948</v>
      </c>
      <c r="L34" s="176" t="s">
        <v>472</v>
      </c>
      <c r="M34" s="176" t="s">
        <v>1106</v>
      </c>
      <c r="N34" s="220" t="s">
        <v>2364</v>
      </c>
      <c r="O34" s="220" t="s">
        <v>2364</v>
      </c>
      <c r="P34" s="177">
        <v>2.9990000000000001</v>
      </c>
      <c r="R34" s="167" t="str">
        <v/>
      </c>
      <c r="S34" s="175"/>
      <c r="T34" s="176"/>
      <c r="U34" s="176"/>
      <c r="V34" s="176"/>
      <c r="W34" s="177"/>
      <c r="Y34" s="167" t="str">
        <v/>
      </c>
      <c r="Z34" s="175"/>
      <c r="AA34" s="176"/>
      <c r="AB34" s="176"/>
      <c r="AC34" s="176"/>
      <c r="AD34" s="177"/>
      <c r="AF34" s="167" t="str">
        <v/>
      </c>
      <c r="AG34" s="175"/>
      <c r="AH34" s="176"/>
      <c r="AI34" s="176"/>
      <c r="AJ34" s="176"/>
      <c r="AK34" s="177"/>
      <c r="AM34" s="167" t="str">
        <v>#Empty List</v>
      </c>
      <c r="AN34" s="175"/>
      <c r="AO34" s="176"/>
      <c r="AP34" s="176"/>
      <c r="AQ34" s="176"/>
      <c r="AR34" s="177"/>
    </row>
    <row r="35" spans="1:44">
      <c r="A35" s="204">
        <v>23</v>
      </c>
      <c r="B35" s="190" t="str">
        <f ca="1"/>
        <v>USBG15 BGN Curncy</v>
      </c>
      <c r="C35" s="175"/>
      <c r="D35" s="176" t="s">
        <v>1949</v>
      </c>
      <c r="E35" s="176" t="s">
        <v>1109</v>
      </c>
      <c r="F35" s="176" t="s">
        <v>1117</v>
      </c>
      <c r="G35" s="177">
        <v>42.4375</v>
      </c>
      <c r="I35" s="167" t="str">
        <v>USSWAP40 BGN Curncy</v>
      </c>
      <c r="J35" s="175"/>
      <c r="K35" s="176" t="s">
        <v>1201</v>
      </c>
      <c r="L35" s="176" t="s">
        <v>472</v>
      </c>
      <c r="M35" s="176" t="s">
        <v>1107</v>
      </c>
      <c r="N35" s="220" t="s">
        <v>2364</v>
      </c>
      <c r="O35" s="220" t="s">
        <v>2364</v>
      </c>
      <c r="P35" s="177">
        <v>2.9590000000000001</v>
      </c>
      <c r="R35" s="167" t="str">
        <v/>
      </c>
      <c r="S35" s="175"/>
      <c r="T35" s="176"/>
      <c r="U35" s="176"/>
      <c r="V35" s="176"/>
      <c r="W35" s="177"/>
      <c r="Y35" s="167" t="str">
        <v/>
      </c>
      <c r="Z35" s="175"/>
      <c r="AA35" s="176"/>
      <c r="AB35" s="176"/>
      <c r="AC35" s="176"/>
      <c r="AD35" s="177"/>
      <c r="AF35" s="167" t="str">
        <v/>
      </c>
      <c r="AG35" s="175"/>
      <c r="AH35" s="176"/>
      <c r="AI35" s="176"/>
      <c r="AJ35" s="176"/>
      <c r="AK35" s="177"/>
      <c r="AM35" s="167" t="str">
        <v>#Empty List</v>
      </c>
      <c r="AN35" s="175"/>
      <c r="AO35" s="176"/>
      <c r="AP35" s="176"/>
      <c r="AQ35" s="176"/>
      <c r="AR35" s="177"/>
    </row>
    <row r="36" spans="1:44">
      <c r="A36" s="204">
        <v>24</v>
      </c>
      <c r="B36" s="190" t="str">
        <f ca="1"/>
        <v>USBG20 BGN Curncy</v>
      </c>
      <c r="C36" s="175"/>
      <c r="D36" s="176" t="s">
        <v>1950</v>
      </c>
      <c r="E36" s="176" t="s">
        <v>1109</v>
      </c>
      <c r="F36" s="176" t="s">
        <v>1118</v>
      </c>
      <c r="G36" s="177">
        <v>44.25</v>
      </c>
      <c r="I36" s="167" t="str">
        <v/>
      </c>
      <c r="J36" s="175"/>
      <c r="K36" s="176"/>
      <c r="L36" s="176"/>
      <c r="M36" s="176"/>
      <c r="N36" s="220"/>
      <c r="O36" s="220"/>
      <c r="P36" s="177"/>
      <c r="R36" s="167" t="str">
        <v/>
      </c>
      <c r="S36" s="175"/>
      <c r="T36" s="176"/>
      <c r="U36" s="176"/>
      <c r="V36" s="176"/>
      <c r="W36" s="177"/>
      <c r="Y36" s="167" t="str">
        <v/>
      </c>
      <c r="Z36" s="175"/>
      <c r="AA36" s="176"/>
      <c r="AB36" s="176"/>
      <c r="AC36" s="176"/>
      <c r="AD36" s="177"/>
      <c r="AF36" s="167" t="str">
        <v/>
      </c>
      <c r="AG36" s="175"/>
      <c r="AH36" s="176"/>
      <c r="AI36" s="176"/>
      <c r="AJ36" s="176"/>
      <c r="AK36" s="177"/>
      <c r="AM36" s="167" t="str">
        <v>#Empty List</v>
      </c>
      <c r="AN36" s="175"/>
      <c r="AO36" s="176"/>
      <c r="AP36" s="176"/>
      <c r="AQ36" s="176"/>
      <c r="AR36" s="177"/>
    </row>
    <row r="37" spans="1:44">
      <c r="A37" s="204">
        <v>25</v>
      </c>
      <c r="B37" s="190" t="str">
        <f ca="1"/>
        <v>USBG25 BGN Curncy</v>
      </c>
      <c r="C37" s="175"/>
      <c r="D37" s="176" t="s">
        <v>1951</v>
      </c>
      <c r="E37" s="176" t="s">
        <v>1109</v>
      </c>
      <c r="F37" s="176" t="s">
        <v>1119</v>
      </c>
      <c r="G37" s="177">
        <v>45.125</v>
      </c>
      <c r="I37" s="167" t="str">
        <v/>
      </c>
      <c r="J37" s="175"/>
      <c r="K37" s="176"/>
      <c r="L37" s="176"/>
      <c r="M37" s="176"/>
      <c r="N37" s="220"/>
      <c r="O37" s="220"/>
      <c r="P37" s="177"/>
      <c r="R37" s="167" t="str">
        <v/>
      </c>
      <c r="S37" s="175"/>
      <c r="T37" s="176"/>
      <c r="U37" s="176"/>
      <c r="V37" s="176"/>
      <c r="W37" s="177"/>
      <c r="Y37" s="167" t="str">
        <v/>
      </c>
      <c r="Z37" s="175"/>
      <c r="AA37" s="176"/>
      <c r="AB37" s="176"/>
      <c r="AC37" s="176"/>
      <c r="AD37" s="177"/>
      <c r="AF37" s="167" t="str">
        <v/>
      </c>
      <c r="AG37" s="175"/>
      <c r="AH37" s="176"/>
      <c r="AI37" s="176"/>
      <c r="AJ37" s="176"/>
      <c r="AK37" s="177"/>
      <c r="AM37" s="167" t="str">
        <v>#Empty List</v>
      </c>
      <c r="AN37" s="175"/>
      <c r="AO37" s="176"/>
      <c r="AP37" s="176"/>
      <c r="AQ37" s="176"/>
      <c r="AR37" s="177"/>
    </row>
    <row r="38" spans="1:44">
      <c r="A38" s="204">
        <v>26</v>
      </c>
      <c r="B38" s="190" t="str">
        <f ca="1"/>
        <v>USBG30 BGN Curncy</v>
      </c>
      <c r="C38" s="175"/>
      <c r="D38" s="176" t="s">
        <v>1952</v>
      </c>
      <c r="E38" s="176" t="s">
        <v>1109</v>
      </c>
      <c r="F38" s="176" t="s">
        <v>1135</v>
      </c>
      <c r="G38" s="177">
        <v>45.5</v>
      </c>
      <c r="I38" s="167" t="str">
        <v/>
      </c>
      <c r="J38" s="175"/>
      <c r="K38" s="176"/>
      <c r="L38" s="176"/>
      <c r="M38" s="176"/>
      <c r="N38" s="220"/>
      <c r="O38" s="220"/>
      <c r="P38" s="177"/>
      <c r="R38" s="167" t="str">
        <v/>
      </c>
      <c r="S38" s="175"/>
      <c r="T38" s="176"/>
      <c r="U38" s="176"/>
      <c r="V38" s="176"/>
      <c r="W38" s="177"/>
      <c r="Y38" s="167" t="str">
        <v/>
      </c>
      <c r="Z38" s="175"/>
      <c r="AA38" s="176"/>
      <c r="AB38" s="176"/>
      <c r="AC38" s="176"/>
      <c r="AD38" s="177"/>
      <c r="AF38" s="167" t="str">
        <v/>
      </c>
      <c r="AG38" s="175"/>
      <c r="AH38" s="176"/>
      <c r="AI38" s="176"/>
      <c r="AJ38" s="176"/>
      <c r="AK38" s="177"/>
      <c r="AM38" s="167" t="str">
        <v>#Empty List</v>
      </c>
      <c r="AN38" s="175"/>
      <c r="AO38" s="176"/>
      <c r="AP38" s="176"/>
      <c r="AQ38" s="176"/>
      <c r="AR38" s="177"/>
    </row>
    <row r="39" spans="1:44">
      <c r="A39" s="204">
        <v>27</v>
      </c>
      <c r="B39" s="190" t="str">
        <f ca="1"/>
        <v>USSWAP2 BGN Curncy</v>
      </c>
      <c r="C39" s="175"/>
      <c r="D39" s="176" t="s">
        <v>1953</v>
      </c>
      <c r="E39" s="176" t="s">
        <v>472</v>
      </c>
      <c r="F39" s="176" t="s">
        <v>1136</v>
      </c>
      <c r="G39" s="177">
        <v>2.7494000000000001</v>
      </c>
      <c r="I39" s="167" t="str">
        <v/>
      </c>
      <c r="J39" s="175"/>
      <c r="K39" s="176"/>
      <c r="L39" s="176"/>
      <c r="M39" s="176"/>
      <c r="N39" s="220"/>
      <c r="O39" s="220"/>
      <c r="P39" s="177"/>
      <c r="R39" s="167" t="str">
        <v/>
      </c>
      <c r="S39" s="175"/>
      <c r="T39" s="176"/>
      <c r="U39" s="176"/>
      <c r="V39" s="176"/>
      <c r="W39" s="177"/>
      <c r="Y39" s="167" t="str">
        <v/>
      </c>
      <c r="Z39" s="175"/>
      <c r="AA39" s="176"/>
      <c r="AB39" s="176"/>
      <c r="AC39" s="176"/>
      <c r="AD39" s="177"/>
      <c r="AF39" s="167" t="str">
        <v/>
      </c>
      <c r="AG39" s="175"/>
      <c r="AH39" s="176"/>
      <c r="AI39" s="176"/>
      <c r="AJ39" s="176"/>
      <c r="AK39" s="177"/>
      <c r="AM39" s="167" t="str">
        <v>#Empty List</v>
      </c>
      <c r="AN39" s="175"/>
      <c r="AO39" s="176"/>
      <c r="AP39" s="176"/>
      <c r="AQ39" s="176"/>
      <c r="AR39" s="177"/>
    </row>
    <row r="40" spans="1:44">
      <c r="A40" s="204">
        <v>28</v>
      </c>
      <c r="B40" s="190" t="str">
        <f ca="1"/>
        <v>USSWAP3 BGN Curncy</v>
      </c>
      <c r="C40" s="175"/>
      <c r="D40" s="176" t="s">
        <v>1954</v>
      </c>
      <c r="E40" s="176" t="s">
        <v>472</v>
      </c>
      <c r="F40" s="176" t="s">
        <v>1137</v>
      </c>
      <c r="G40" s="177">
        <v>2.8414999999999999</v>
      </c>
      <c r="I40" s="167" t="str">
        <v/>
      </c>
      <c r="J40" s="175"/>
      <c r="K40" s="176"/>
      <c r="L40" s="176"/>
      <c r="M40" s="176"/>
      <c r="N40" s="220"/>
      <c r="O40" s="220"/>
      <c r="P40" s="177"/>
      <c r="R40" s="167" t="str">
        <v/>
      </c>
      <c r="S40" s="175"/>
      <c r="T40" s="176"/>
      <c r="U40" s="176"/>
      <c r="V40" s="176"/>
      <c r="W40" s="177"/>
      <c r="Y40" s="167" t="str">
        <v/>
      </c>
      <c r="Z40" s="175"/>
      <c r="AA40" s="176"/>
      <c r="AB40" s="176"/>
      <c r="AC40" s="176"/>
      <c r="AD40" s="177"/>
      <c r="AF40" s="167" t="str">
        <v/>
      </c>
      <c r="AG40" s="175"/>
      <c r="AH40" s="176"/>
      <c r="AI40" s="176"/>
      <c r="AJ40" s="176"/>
      <c r="AK40" s="177"/>
      <c r="AM40" s="167" t="str">
        <v>#Empty List</v>
      </c>
      <c r="AN40" s="175"/>
      <c r="AO40" s="176"/>
      <c r="AP40" s="176"/>
      <c r="AQ40" s="176"/>
      <c r="AR40" s="177"/>
    </row>
    <row r="41" spans="1:44">
      <c r="A41" s="204">
        <v>29</v>
      </c>
      <c r="B41" s="190" t="str">
        <f ca="1"/>
        <v>USSWAP4 BGN Curncy</v>
      </c>
      <c r="C41" s="175"/>
      <c r="D41" s="176" t="s">
        <v>1955</v>
      </c>
      <c r="E41" s="176" t="s">
        <v>472</v>
      </c>
      <c r="F41" s="176" t="s">
        <v>1138</v>
      </c>
      <c r="G41" s="177">
        <v>2.8862000000000001</v>
      </c>
      <c r="I41" s="167" t="str">
        <v/>
      </c>
      <c r="J41" s="175"/>
      <c r="K41" s="176"/>
      <c r="L41" s="176"/>
      <c r="M41" s="176"/>
      <c r="N41" s="220"/>
      <c r="O41" s="220"/>
      <c r="P41" s="177"/>
      <c r="R41" s="167" t="str">
        <v/>
      </c>
      <c r="S41" s="175"/>
      <c r="T41" s="176"/>
      <c r="U41" s="176"/>
      <c r="V41" s="176"/>
      <c r="W41" s="177"/>
      <c r="Y41" s="167" t="str">
        <v/>
      </c>
      <c r="Z41" s="175"/>
      <c r="AA41" s="176"/>
      <c r="AB41" s="176"/>
      <c r="AC41" s="176"/>
      <c r="AD41" s="177"/>
      <c r="AF41" s="167" t="str">
        <v/>
      </c>
      <c r="AG41" s="175"/>
      <c r="AH41" s="176"/>
      <c r="AI41" s="176"/>
      <c r="AJ41" s="176"/>
      <c r="AK41" s="177"/>
      <c r="AM41" s="167" t="str">
        <v>#Empty List</v>
      </c>
      <c r="AN41" s="175"/>
      <c r="AO41" s="176"/>
      <c r="AP41" s="176"/>
      <c r="AQ41" s="176"/>
      <c r="AR41" s="177"/>
    </row>
    <row r="42" spans="1:44">
      <c r="A42" s="204">
        <v>30</v>
      </c>
      <c r="B42" s="190" t="str">
        <f ca="1"/>
        <v>USSWAP5 BGN Curncy</v>
      </c>
      <c r="C42" s="175"/>
      <c r="D42" s="176" t="s">
        <v>1956</v>
      </c>
      <c r="E42" s="176" t="s">
        <v>472</v>
      </c>
      <c r="F42" s="176" t="s">
        <v>1139</v>
      </c>
      <c r="G42" s="177">
        <v>2.9106000000000001</v>
      </c>
      <c r="I42" s="167" t="str">
        <v/>
      </c>
      <c r="J42" s="175"/>
      <c r="K42" s="176"/>
      <c r="L42" s="176"/>
      <c r="M42" s="176"/>
      <c r="N42" s="220"/>
      <c r="O42" s="220"/>
      <c r="P42" s="177"/>
      <c r="R42" s="167" t="str">
        <v/>
      </c>
      <c r="S42" s="175"/>
      <c r="T42" s="176"/>
      <c r="U42" s="176"/>
      <c r="V42" s="176"/>
      <c r="W42" s="177"/>
      <c r="Y42" s="167" t="str">
        <v/>
      </c>
      <c r="Z42" s="175"/>
      <c r="AA42" s="176"/>
      <c r="AB42" s="176"/>
      <c r="AC42" s="176"/>
      <c r="AD42" s="177"/>
      <c r="AF42" s="167" t="str">
        <v/>
      </c>
      <c r="AG42" s="175"/>
      <c r="AH42" s="176"/>
      <c r="AI42" s="176"/>
      <c r="AJ42" s="176"/>
      <c r="AK42" s="177"/>
      <c r="AM42" s="167" t="str">
        <v>#Empty List</v>
      </c>
      <c r="AN42" s="175"/>
      <c r="AO42" s="176"/>
      <c r="AP42" s="176"/>
      <c r="AQ42" s="176"/>
      <c r="AR42" s="177"/>
    </row>
    <row r="43" spans="1:44">
      <c r="A43" s="204">
        <v>31</v>
      </c>
      <c r="B43" s="190" t="str">
        <f ca="1"/>
        <v>USSWAP6 BGN Curncy</v>
      </c>
      <c r="C43" s="175"/>
      <c r="D43" s="176" t="s">
        <v>1957</v>
      </c>
      <c r="E43" s="176" t="s">
        <v>472</v>
      </c>
      <c r="F43" s="176" t="s">
        <v>1140</v>
      </c>
      <c r="G43" s="177">
        <v>2.9270999999999998</v>
      </c>
      <c r="I43" s="167" t="str">
        <v/>
      </c>
      <c r="J43" s="175"/>
      <c r="K43" s="176"/>
      <c r="L43" s="176"/>
      <c r="M43" s="176"/>
      <c r="N43" s="220"/>
      <c r="O43" s="220"/>
      <c r="P43" s="177"/>
      <c r="R43" s="167" t="str">
        <v/>
      </c>
      <c r="S43" s="175"/>
      <c r="T43" s="176"/>
      <c r="U43" s="176"/>
      <c r="V43" s="176"/>
      <c r="W43" s="177"/>
      <c r="Y43" s="167" t="str">
        <v/>
      </c>
      <c r="Z43" s="175"/>
      <c r="AA43" s="176"/>
      <c r="AB43" s="176"/>
      <c r="AC43" s="176"/>
      <c r="AD43" s="177"/>
      <c r="AF43" s="167" t="str">
        <v/>
      </c>
      <c r="AG43" s="175"/>
      <c r="AH43" s="176"/>
      <c r="AI43" s="176"/>
      <c r="AJ43" s="176"/>
      <c r="AK43" s="177"/>
      <c r="AM43" s="167" t="str">
        <v>#Empty List</v>
      </c>
      <c r="AN43" s="175"/>
      <c r="AO43" s="176"/>
      <c r="AP43" s="176"/>
      <c r="AQ43" s="176"/>
      <c r="AR43" s="177"/>
    </row>
    <row r="44" spans="1:44">
      <c r="A44" s="204">
        <v>32</v>
      </c>
      <c r="B44" s="190" t="str">
        <f ca="1"/>
        <v>USSWAP7 BGN Curncy</v>
      </c>
      <c r="C44" s="175"/>
      <c r="D44" s="176" t="s">
        <v>1958</v>
      </c>
      <c r="E44" s="176" t="s">
        <v>472</v>
      </c>
      <c r="F44" s="176" t="s">
        <v>1141</v>
      </c>
      <c r="G44" s="177">
        <v>2.9405999999999999</v>
      </c>
      <c r="I44" s="167" t="str">
        <v/>
      </c>
      <c r="J44" s="175"/>
      <c r="K44" s="176"/>
      <c r="L44" s="176"/>
      <c r="M44" s="176"/>
      <c r="N44" s="220"/>
      <c r="O44" s="220"/>
      <c r="P44" s="177"/>
      <c r="R44" s="167" t="str">
        <v/>
      </c>
      <c r="S44" s="175"/>
      <c r="T44" s="176"/>
      <c r="U44" s="176"/>
      <c r="V44" s="176"/>
      <c r="W44" s="177"/>
      <c r="Y44" s="167" t="str">
        <v/>
      </c>
      <c r="Z44" s="175"/>
      <c r="AA44" s="176"/>
      <c r="AB44" s="176"/>
      <c r="AC44" s="176"/>
      <c r="AD44" s="177"/>
      <c r="AF44" s="167" t="str">
        <v/>
      </c>
      <c r="AG44" s="175"/>
      <c r="AH44" s="176"/>
      <c r="AI44" s="176"/>
      <c r="AJ44" s="176"/>
      <c r="AK44" s="177"/>
      <c r="AM44" s="167" t="str">
        <v>#Empty List</v>
      </c>
      <c r="AN44" s="175"/>
      <c r="AO44" s="176"/>
      <c r="AP44" s="176"/>
      <c r="AQ44" s="176"/>
      <c r="AR44" s="177"/>
    </row>
    <row r="45" spans="1:44">
      <c r="A45" s="204">
        <v>33</v>
      </c>
      <c r="B45" s="190" t="str">
        <f ca="1"/>
        <v>USSWAP10 BGN Curncy</v>
      </c>
      <c r="C45" s="175"/>
      <c r="D45" s="176" t="s">
        <v>1943</v>
      </c>
      <c r="E45" s="176" t="s">
        <v>472</v>
      </c>
      <c r="F45" s="176" t="s">
        <v>1142</v>
      </c>
      <c r="G45" s="177">
        <v>2.9773999999999998</v>
      </c>
      <c r="I45" s="167" t="str">
        <v/>
      </c>
      <c r="J45" s="175"/>
      <c r="K45" s="176"/>
      <c r="L45" s="176"/>
      <c r="M45" s="176"/>
      <c r="N45" s="220"/>
      <c r="O45" s="220"/>
      <c r="P45" s="177"/>
      <c r="R45" s="167" t="str">
        <v/>
      </c>
      <c r="S45" s="175"/>
      <c r="T45" s="176"/>
      <c r="U45" s="176"/>
      <c r="V45" s="176"/>
      <c r="W45" s="177"/>
      <c r="Y45" s="167" t="str">
        <v/>
      </c>
      <c r="Z45" s="175"/>
      <c r="AA45" s="176"/>
      <c r="AB45" s="176"/>
      <c r="AC45" s="176"/>
      <c r="AD45" s="177"/>
      <c r="AF45" s="167" t="str">
        <v/>
      </c>
      <c r="AG45" s="175"/>
      <c r="AH45" s="176"/>
      <c r="AI45" s="176"/>
      <c r="AJ45" s="176"/>
      <c r="AK45" s="177"/>
      <c r="AM45" s="167" t="str">
        <v>#Empty List</v>
      </c>
      <c r="AN45" s="175"/>
      <c r="AO45" s="176"/>
      <c r="AP45" s="176"/>
      <c r="AQ45" s="176"/>
      <c r="AR45" s="177"/>
    </row>
    <row r="46" spans="1:44">
      <c r="A46" s="204">
        <v>34</v>
      </c>
      <c r="B46" s="190" t="str">
        <f ca="1"/>
        <v>USSWAP12 BGN Curncy</v>
      </c>
      <c r="C46" s="175"/>
      <c r="D46" s="176" t="s">
        <v>1944</v>
      </c>
      <c r="E46" s="176" t="s">
        <v>472</v>
      </c>
      <c r="F46" s="176" t="s">
        <v>1102</v>
      </c>
      <c r="G46" s="177">
        <v>3.0005000000000002</v>
      </c>
      <c r="I46" s="167" t="str">
        <v/>
      </c>
      <c r="J46" s="175"/>
      <c r="K46" s="176"/>
      <c r="L46" s="176"/>
      <c r="M46" s="176"/>
      <c r="N46" s="220"/>
      <c r="O46" s="220"/>
      <c r="P46" s="177"/>
      <c r="R46" s="167" t="str">
        <v/>
      </c>
      <c r="S46" s="175"/>
      <c r="T46" s="176"/>
      <c r="U46" s="176"/>
      <c r="V46" s="176"/>
      <c r="W46" s="177"/>
      <c r="Y46" s="167" t="str">
        <v/>
      </c>
      <c r="Z46" s="175"/>
      <c r="AA46" s="176"/>
      <c r="AB46" s="176"/>
      <c r="AC46" s="176"/>
      <c r="AD46" s="177"/>
      <c r="AF46" s="167" t="str">
        <v/>
      </c>
      <c r="AG46" s="175"/>
      <c r="AH46" s="176"/>
      <c r="AI46" s="176"/>
      <c r="AJ46" s="176"/>
      <c r="AK46" s="177"/>
      <c r="AM46" s="167" t="str">
        <v>#Empty List</v>
      </c>
      <c r="AN46" s="175"/>
      <c r="AO46" s="176"/>
      <c r="AP46" s="176"/>
      <c r="AQ46" s="176"/>
      <c r="AR46" s="177"/>
    </row>
    <row r="47" spans="1:44">
      <c r="A47" s="204">
        <v>35</v>
      </c>
      <c r="B47" s="190" t="str">
        <f ca="1"/>
        <v>USSWAP15 BGN Curncy</v>
      </c>
      <c r="C47" s="175"/>
      <c r="D47" s="176" t="s">
        <v>1945</v>
      </c>
      <c r="E47" s="176" t="s">
        <v>472</v>
      </c>
      <c r="F47" s="176" t="s">
        <v>1103</v>
      </c>
      <c r="G47" s="177">
        <v>3.0205000000000002</v>
      </c>
      <c r="I47" s="167" t="str">
        <v/>
      </c>
      <c r="J47" s="175"/>
      <c r="K47" s="176"/>
      <c r="L47" s="176"/>
      <c r="M47" s="176"/>
      <c r="N47" s="220"/>
      <c r="O47" s="220"/>
      <c r="P47" s="177"/>
      <c r="R47" s="167" t="str">
        <v/>
      </c>
      <c r="S47" s="175"/>
      <c r="T47" s="176"/>
      <c r="U47" s="176"/>
      <c r="V47" s="176"/>
      <c r="W47" s="177"/>
      <c r="Y47" s="167" t="str">
        <v/>
      </c>
      <c r="Z47" s="175"/>
      <c r="AA47" s="176"/>
      <c r="AB47" s="176"/>
      <c r="AC47" s="176"/>
      <c r="AD47" s="177"/>
      <c r="AF47" s="167" t="str">
        <v/>
      </c>
      <c r="AG47" s="175"/>
      <c r="AH47" s="176"/>
      <c r="AI47" s="176"/>
      <c r="AJ47" s="176"/>
      <c r="AK47" s="177"/>
      <c r="AM47" s="167" t="str">
        <v>#Empty List</v>
      </c>
      <c r="AN47" s="175"/>
      <c r="AO47" s="176"/>
      <c r="AP47" s="176"/>
      <c r="AQ47" s="176"/>
      <c r="AR47" s="177"/>
    </row>
    <row r="48" spans="1:44">
      <c r="A48" s="204">
        <v>36</v>
      </c>
      <c r="B48" s="190" t="str">
        <f ca="1"/>
        <v>USSWAP20 BGN Curncy</v>
      </c>
      <c r="C48" s="175"/>
      <c r="D48" s="176" t="s">
        <v>1946</v>
      </c>
      <c r="E48" s="176" t="s">
        <v>472</v>
      </c>
      <c r="F48" s="176" t="s">
        <v>1104</v>
      </c>
      <c r="G48" s="177">
        <v>3.032</v>
      </c>
      <c r="I48" s="167" t="str">
        <v/>
      </c>
      <c r="J48" s="175"/>
      <c r="K48" s="176"/>
      <c r="L48" s="176"/>
      <c r="M48" s="176"/>
      <c r="N48" s="220"/>
      <c r="O48" s="220"/>
      <c r="P48" s="177"/>
      <c r="R48" s="167" t="str">
        <v/>
      </c>
      <c r="S48" s="175"/>
      <c r="T48" s="176"/>
      <c r="U48" s="176"/>
      <c r="V48" s="176"/>
      <c r="W48" s="177"/>
      <c r="Y48" s="167" t="str">
        <v/>
      </c>
      <c r="Z48" s="175"/>
      <c r="AA48" s="176"/>
      <c r="AB48" s="176"/>
      <c r="AC48" s="176"/>
      <c r="AD48" s="177"/>
      <c r="AF48" s="167" t="str">
        <v/>
      </c>
      <c r="AG48" s="175"/>
      <c r="AH48" s="176"/>
      <c r="AI48" s="176"/>
      <c r="AJ48" s="176"/>
      <c r="AK48" s="177"/>
      <c r="AM48" s="167" t="str">
        <v>#Empty List</v>
      </c>
      <c r="AN48" s="175"/>
      <c r="AO48" s="176"/>
      <c r="AP48" s="176"/>
      <c r="AQ48" s="176"/>
      <c r="AR48" s="177"/>
    </row>
    <row r="49" spans="1:44">
      <c r="A49" s="204">
        <v>37</v>
      </c>
      <c r="B49" s="190" t="str">
        <f ca="1"/>
        <v>USSWAP25 BGN Curncy</v>
      </c>
      <c r="C49" s="175"/>
      <c r="D49" s="176" t="s">
        <v>1947</v>
      </c>
      <c r="E49" s="176" t="s">
        <v>472</v>
      </c>
      <c r="F49" s="176" t="s">
        <v>1105</v>
      </c>
      <c r="G49" s="177">
        <v>3.0198999999999998</v>
      </c>
      <c r="I49" s="167" t="str">
        <v/>
      </c>
      <c r="J49" s="175"/>
      <c r="K49" s="176"/>
      <c r="L49" s="176"/>
      <c r="M49" s="176"/>
      <c r="N49" s="220"/>
      <c r="O49" s="220"/>
      <c r="P49" s="177"/>
      <c r="R49" s="167" t="str">
        <v/>
      </c>
      <c r="S49" s="175"/>
      <c r="T49" s="176"/>
      <c r="U49" s="176"/>
      <c r="V49" s="176"/>
      <c r="W49" s="177"/>
      <c r="Y49" s="167" t="str">
        <v/>
      </c>
      <c r="Z49" s="175"/>
      <c r="AA49" s="176"/>
      <c r="AB49" s="176"/>
      <c r="AC49" s="176"/>
      <c r="AD49" s="177"/>
      <c r="AF49" s="167" t="str">
        <v/>
      </c>
      <c r="AG49" s="175"/>
      <c r="AH49" s="176"/>
      <c r="AI49" s="176"/>
      <c r="AJ49" s="176"/>
      <c r="AK49" s="177"/>
      <c r="AM49" s="167" t="str">
        <v>#Empty List</v>
      </c>
      <c r="AN49" s="175"/>
      <c r="AO49" s="176"/>
      <c r="AP49" s="176"/>
      <c r="AQ49" s="176"/>
      <c r="AR49" s="177"/>
    </row>
    <row r="50" spans="1:44">
      <c r="A50" s="204">
        <v>38</v>
      </c>
      <c r="B50" s="190" t="str">
        <f ca="1"/>
        <v>USSWAP30 BGN Curncy</v>
      </c>
      <c r="C50" s="175"/>
      <c r="D50" s="176" t="s">
        <v>1948</v>
      </c>
      <c r="E50" s="176" t="s">
        <v>472</v>
      </c>
      <c r="F50" s="176" t="s">
        <v>1106</v>
      </c>
      <c r="G50" s="177">
        <v>2.9990000000000001</v>
      </c>
      <c r="I50" s="167" t="str">
        <v/>
      </c>
      <c r="J50" s="175"/>
      <c r="K50" s="176"/>
      <c r="L50" s="176"/>
      <c r="M50" s="176"/>
      <c r="N50" s="220"/>
      <c r="O50" s="220"/>
      <c r="P50" s="177"/>
      <c r="R50" s="167" t="str">
        <v/>
      </c>
      <c r="S50" s="175"/>
      <c r="T50" s="176"/>
      <c r="U50" s="176"/>
      <c r="V50" s="176"/>
      <c r="W50" s="177"/>
      <c r="Y50" s="167" t="str">
        <v/>
      </c>
      <c r="Z50" s="175"/>
      <c r="AA50" s="176"/>
      <c r="AB50" s="176"/>
      <c r="AC50" s="176"/>
      <c r="AD50" s="177"/>
      <c r="AF50" s="167" t="str">
        <v/>
      </c>
      <c r="AG50" s="175"/>
      <c r="AH50" s="176"/>
      <c r="AI50" s="176"/>
      <c r="AJ50" s="176"/>
      <c r="AK50" s="177"/>
      <c r="AM50" s="167" t="str">
        <v>#Empty List</v>
      </c>
      <c r="AN50" s="175"/>
      <c r="AO50" s="176"/>
      <c r="AP50" s="176"/>
      <c r="AQ50" s="176"/>
      <c r="AR50" s="177"/>
    </row>
    <row r="51" spans="1:44">
      <c r="A51" s="204">
        <v>39</v>
      </c>
      <c r="B51" s="190" t="str">
        <f ca="1"/>
        <v/>
      </c>
      <c r="C51" s="175"/>
      <c r="D51" s="176"/>
      <c r="E51" s="176"/>
      <c r="F51" s="176"/>
      <c r="G51" s="177"/>
      <c r="I51" s="167" t="str">
        <v/>
      </c>
      <c r="J51" s="175"/>
      <c r="K51" s="176"/>
      <c r="L51" s="176"/>
      <c r="M51" s="176"/>
      <c r="N51" s="220"/>
      <c r="O51" s="220"/>
      <c r="P51" s="177"/>
      <c r="R51" s="167" t="str">
        <v/>
      </c>
      <c r="S51" s="175"/>
      <c r="T51" s="176"/>
      <c r="U51" s="176"/>
      <c r="V51" s="176"/>
      <c r="W51" s="177"/>
      <c r="Y51" s="167" t="str">
        <v/>
      </c>
      <c r="Z51" s="175"/>
      <c r="AA51" s="176"/>
      <c r="AB51" s="176"/>
      <c r="AC51" s="176"/>
      <c r="AD51" s="177"/>
      <c r="AF51" s="167" t="str">
        <v/>
      </c>
      <c r="AG51" s="175"/>
      <c r="AH51" s="176"/>
      <c r="AI51" s="176"/>
      <c r="AJ51" s="176"/>
      <c r="AK51" s="177"/>
      <c r="AM51" s="167" t="str">
        <v>#Empty List</v>
      </c>
      <c r="AN51" s="175"/>
      <c r="AO51" s="176"/>
      <c r="AP51" s="176"/>
      <c r="AQ51" s="176"/>
      <c r="AR51" s="177"/>
    </row>
    <row r="52" spans="1:44">
      <c r="A52" s="204">
        <v>40</v>
      </c>
      <c r="B52" s="190" t="str">
        <f ca="1"/>
        <v/>
      </c>
      <c r="C52" s="175"/>
      <c r="D52" s="176"/>
      <c r="E52" s="176"/>
      <c r="F52" s="176"/>
      <c r="G52" s="177"/>
      <c r="I52" s="167" t="str">
        <v/>
      </c>
      <c r="J52" s="175"/>
      <c r="K52" s="176"/>
      <c r="L52" s="176"/>
      <c r="M52" s="176"/>
      <c r="N52" s="220"/>
      <c r="O52" s="220"/>
      <c r="P52" s="177"/>
      <c r="R52" s="167" t="str">
        <v/>
      </c>
      <c r="S52" s="175"/>
      <c r="T52" s="176"/>
      <c r="U52" s="176"/>
      <c r="V52" s="176"/>
      <c r="W52" s="177"/>
      <c r="Y52" s="167" t="str">
        <v/>
      </c>
      <c r="Z52" s="175"/>
      <c r="AA52" s="176"/>
      <c r="AB52" s="176"/>
      <c r="AC52" s="176"/>
      <c r="AD52" s="177"/>
      <c r="AF52" s="167" t="str">
        <v/>
      </c>
      <c r="AG52" s="175"/>
      <c r="AH52" s="176"/>
      <c r="AI52" s="176"/>
      <c r="AJ52" s="176"/>
      <c r="AK52" s="177"/>
      <c r="AM52" s="167" t="str">
        <v>#Empty List</v>
      </c>
      <c r="AN52" s="175"/>
      <c r="AO52" s="176"/>
      <c r="AP52" s="176"/>
      <c r="AQ52" s="176"/>
      <c r="AR52" s="177"/>
    </row>
    <row r="53" spans="1:44">
      <c r="A53" s="204">
        <v>41</v>
      </c>
      <c r="B53" s="190" t="str">
        <f ca="1"/>
        <v/>
      </c>
      <c r="C53" s="175"/>
      <c r="D53" s="176"/>
      <c r="E53" s="176"/>
      <c r="F53" s="176"/>
      <c r="G53" s="177"/>
      <c r="I53" s="167" t="str">
        <v/>
      </c>
      <c r="J53" s="175"/>
      <c r="K53" s="176"/>
      <c r="L53" s="176"/>
      <c r="M53" s="176"/>
      <c r="N53" s="220"/>
      <c r="O53" s="220"/>
      <c r="P53" s="177"/>
      <c r="R53" s="167" t="str">
        <v/>
      </c>
      <c r="S53" s="175"/>
      <c r="T53" s="176"/>
      <c r="U53" s="176"/>
      <c r="V53" s="176"/>
      <c r="W53" s="177"/>
      <c r="Y53" s="167" t="str">
        <v/>
      </c>
      <c r="Z53" s="175"/>
      <c r="AA53" s="176"/>
      <c r="AB53" s="176"/>
      <c r="AC53" s="176"/>
      <c r="AD53" s="177"/>
      <c r="AF53" s="167" t="str">
        <v/>
      </c>
      <c r="AG53" s="175"/>
      <c r="AH53" s="176"/>
      <c r="AI53" s="176"/>
      <c r="AJ53" s="176"/>
      <c r="AK53" s="177"/>
      <c r="AM53" s="167" t="str">
        <v>#Empty List</v>
      </c>
      <c r="AN53" s="175"/>
      <c r="AO53" s="176"/>
      <c r="AP53" s="176"/>
      <c r="AQ53" s="176"/>
      <c r="AR53" s="177"/>
    </row>
    <row r="54" spans="1:44">
      <c r="A54" s="204">
        <v>42</v>
      </c>
      <c r="B54" s="190" t="str">
        <f ca="1"/>
        <v/>
      </c>
      <c r="C54" s="175"/>
      <c r="D54" s="176"/>
      <c r="E54" s="176"/>
      <c r="F54" s="176"/>
      <c r="G54" s="177"/>
      <c r="I54" s="167" t="str">
        <v/>
      </c>
      <c r="J54" s="175"/>
      <c r="K54" s="176"/>
      <c r="L54" s="176"/>
      <c r="M54" s="176"/>
      <c r="N54" s="220"/>
      <c r="O54" s="220"/>
      <c r="P54" s="177"/>
      <c r="R54" s="167" t="str">
        <v/>
      </c>
      <c r="S54" s="175"/>
      <c r="T54" s="176"/>
      <c r="U54" s="176"/>
      <c r="V54" s="176"/>
      <c r="W54" s="177"/>
      <c r="Y54" s="167" t="str">
        <v/>
      </c>
      <c r="Z54" s="175"/>
      <c r="AA54" s="176"/>
      <c r="AB54" s="176"/>
      <c r="AC54" s="176"/>
      <c r="AD54" s="177"/>
      <c r="AF54" s="167" t="str">
        <v/>
      </c>
      <c r="AG54" s="175"/>
      <c r="AH54" s="176"/>
      <c r="AI54" s="176"/>
      <c r="AJ54" s="176"/>
      <c r="AK54" s="177"/>
      <c r="AM54" s="167" t="str">
        <v>#Empty List</v>
      </c>
      <c r="AN54" s="175"/>
      <c r="AO54" s="176"/>
      <c r="AP54" s="176"/>
      <c r="AQ54" s="176"/>
      <c r="AR54" s="177"/>
    </row>
    <row r="55" spans="1:44">
      <c r="A55" s="204">
        <v>43</v>
      </c>
      <c r="B55" s="190" t="str">
        <f ca="1"/>
        <v/>
      </c>
      <c r="C55" s="175"/>
      <c r="D55" s="176"/>
      <c r="E55" s="176"/>
      <c r="F55" s="176"/>
      <c r="G55" s="177"/>
      <c r="I55" s="167" t="str">
        <v/>
      </c>
      <c r="J55" s="175"/>
      <c r="K55" s="176"/>
      <c r="L55" s="176"/>
      <c r="M55" s="176"/>
      <c r="N55" s="220"/>
      <c r="O55" s="220"/>
      <c r="P55" s="177"/>
      <c r="R55" s="167" t="str">
        <v/>
      </c>
      <c r="S55" s="175"/>
      <c r="T55" s="176"/>
      <c r="U55" s="176"/>
      <c r="V55" s="176"/>
      <c r="W55" s="177"/>
      <c r="Y55" s="167" t="str">
        <v/>
      </c>
      <c r="Z55" s="175"/>
      <c r="AA55" s="176"/>
      <c r="AB55" s="176"/>
      <c r="AC55" s="176"/>
      <c r="AD55" s="177"/>
      <c r="AF55" s="167" t="str">
        <v/>
      </c>
      <c r="AG55" s="175"/>
      <c r="AH55" s="176"/>
      <c r="AI55" s="176"/>
      <c r="AJ55" s="176"/>
      <c r="AK55" s="177"/>
      <c r="AM55" s="167" t="str">
        <v>#Empty List</v>
      </c>
      <c r="AN55" s="175"/>
      <c r="AO55" s="176"/>
      <c r="AP55" s="176"/>
      <c r="AQ55" s="176"/>
      <c r="AR55" s="177"/>
    </row>
    <row r="56" spans="1:44">
      <c r="A56" s="204">
        <v>44</v>
      </c>
      <c r="B56" s="190" t="str">
        <f ca="1"/>
        <v/>
      </c>
      <c r="C56" s="175"/>
      <c r="D56" s="176"/>
      <c r="E56" s="176"/>
      <c r="F56" s="176"/>
      <c r="G56" s="177"/>
      <c r="I56" s="167" t="str">
        <v/>
      </c>
      <c r="J56" s="175"/>
      <c r="K56" s="176"/>
      <c r="L56" s="176"/>
      <c r="M56" s="176"/>
      <c r="N56" s="220"/>
      <c r="O56" s="220"/>
      <c r="P56" s="177"/>
      <c r="R56" s="167" t="str">
        <v/>
      </c>
      <c r="S56" s="175"/>
      <c r="T56" s="176"/>
      <c r="U56" s="176"/>
      <c r="V56" s="176"/>
      <c r="W56" s="177"/>
      <c r="Y56" s="167" t="str">
        <v/>
      </c>
      <c r="Z56" s="175"/>
      <c r="AA56" s="176"/>
      <c r="AB56" s="176"/>
      <c r="AC56" s="176"/>
      <c r="AD56" s="177"/>
      <c r="AF56" s="167" t="str">
        <v/>
      </c>
      <c r="AG56" s="175"/>
      <c r="AH56" s="176"/>
      <c r="AI56" s="176"/>
      <c r="AJ56" s="176"/>
      <c r="AK56" s="177"/>
      <c r="AM56" s="167" t="str">
        <v>#Empty List</v>
      </c>
      <c r="AN56" s="175"/>
      <c r="AO56" s="176"/>
      <c r="AP56" s="176"/>
      <c r="AQ56" s="176"/>
      <c r="AR56" s="177"/>
    </row>
    <row r="57" spans="1:44">
      <c r="A57" s="204">
        <v>45</v>
      </c>
      <c r="B57" s="190" t="str">
        <f ca="1"/>
        <v/>
      </c>
      <c r="C57" s="175"/>
      <c r="D57" s="176"/>
      <c r="E57" s="176"/>
      <c r="F57" s="176"/>
      <c r="G57" s="177"/>
      <c r="I57" s="167" t="str">
        <v/>
      </c>
      <c r="J57" s="175"/>
      <c r="K57" s="176"/>
      <c r="L57" s="176"/>
      <c r="M57" s="176"/>
      <c r="N57" s="220"/>
      <c r="O57" s="220"/>
      <c r="P57" s="177"/>
      <c r="R57" s="167" t="str">
        <v/>
      </c>
      <c r="S57" s="175"/>
      <c r="T57" s="176"/>
      <c r="U57" s="176"/>
      <c r="V57" s="176"/>
      <c r="W57" s="177"/>
      <c r="Y57" s="167" t="str">
        <v/>
      </c>
      <c r="Z57" s="175"/>
      <c r="AA57" s="176"/>
      <c r="AB57" s="176"/>
      <c r="AC57" s="176"/>
      <c r="AD57" s="177"/>
      <c r="AF57" s="167" t="str">
        <v/>
      </c>
      <c r="AG57" s="175"/>
      <c r="AH57" s="176"/>
      <c r="AI57" s="176"/>
      <c r="AJ57" s="176"/>
      <c r="AK57" s="177"/>
      <c r="AM57" s="167" t="str">
        <v>#Empty List</v>
      </c>
      <c r="AN57" s="175"/>
      <c r="AO57" s="176"/>
      <c r="AP57" s="176"/>
      <c r="AQ57" s="176"/>
      <c r="AR57" s="177"/>
    </row>
    <row r="58" spans="1:44">
      <c r="A58" s="204">
        <v>46</v>
      </c>
      <c r="B58" s="190" t="str">
        <f ca="1"/>
        <v/>
      </c>
      <c r="C58" s="175"/>
      <c r="D58" s="176"/>
      <c r="E58" s="176"/>
      <c r="F58" s="176"/>
      <c r="G58" s="177"/>
      <c r="I58" s="167" t="str">
        <v/>
      </c>
      <c r="J58" s="175"/>
      <c r="K58" s="176"/>
      <c r="L58" s="176"/>
      <c r="M58" s="176"/>
      <c r="N58" s="220"/>
      <c r="O58" s="220"/>
      <c r="P58" s="177"/>
      <c r="R58" s="167" t="str">
        <v/>
      </c>
      <c r="S58" s="175"/>
      <c r="T58" s="176"/>
      <c r="U58" s="176"/>
      <c r="V58" s="176"/>
      <c r="W58" s="177"/>
      <c r="Y58" s="167" t="str">
        <v/>
      </c>
      <c r="Z58" s="175"/>
      <c r="AA58" s="176"/>
      <c r="AB58" s="176"/>
      <c r="AC58" s="176"/>
      <c r="AD58" s="177"/>
      <c r="AF58" s="167" t="str">
        <v/>
      </c>
      <c r="AG58" s="175"/>
      <c r="AH58" s="176"/>
      <c r="AI58" s="176"/>
      <c r="AJ58" s="176"/>
      <c r="AK58" s="177"/>
      <c r="AM58" s="167" t="str">
        <v>#Empty List</v>
      </c>
      <c r="AN58" s="175"/>
      <c r="AO58" s="176"/>
      <c r="AP58" s="176"/>
      <c r="AQ58" s="176"/>
      <c r="AR58" s="177"/>
    </row>
    <row r="59" spans="1:44">
      <c r="A59" s="204">
        <v>47</v>
      </c>
      <c r="B59" s="190" t="str">
        <f ca="1"/>
        <v/>
      </c>
      <c r="C59" s="175"/>
      <c r="D59" s="176"/>
      <c r="E59" s="176"/>
      <c r="F59" s="176"/>
      <c r="G59" s="177"/>
      <c r="I59" s="167" t="str">
        <v/>
      </c>
      <c r="J59" s="175"/>
      <c r="K59" s="176"/>
      <c r="L59" s="176"/>
      <c r="M59" s="176"/>
      <c r="N59" s="220"/>
      <c r="O59" s="220"/>
      <c r="P59" s="177"/>
      <c r="R59" s="167" t="str">
        <v/>
      </c>
      <c r="S59" s="175"/>
      <c r="T59" s="176"/>
      <c r="U59" s="176"/>
      <c r="V59" s="176"/>
      <c r="W59" s="177"/>
      <c r="Y59" s="167" t="str">
        <v/>
      </c>
      <c r="Z59" s="175"/>
      <c r="AA59" s="176"/>
      <c r="AB59" s="176"/>
      <c r="AC59" s="176"/>
      <c r="AD59" s="177"/>
      <c r="AF59" s="167" t="str">
        <v/>
      </c>
      <c r="AG59" s="175"/>
      <c r="AH59" s="176"/>
      <c r="AI59" s="176"/>
      <c r="AJ59" s="176"/>
      <c r="AK59" s="177"/>
      <c r="AM59" s="167" t="str">
        <v>#Empty List</v>
      </c>
      <c r="AN59" s="175"/>
      <c r="AO59" s="176"/>
      <c r="AP59" s="176"/>
      <c r="AQ59" s="176"/>
      <c r="AR59" s="177"/>
    </row>
    <row r="60" spans="1:44">
      <c r="A60" s="204">
        <v>48</v>
      </c>
      <c r="B60" s="190" t="str">
        <f ca="1"/>
        <v/>
      </c>
      <c r="C60" s="175"/>
      <c r="D60" s="176"/>
      <c r="E60" s="176"/>
      <c r="F60" s="176"/>
      <c r="G60" s="177"/>
      <c r="I60" s="167" t="str">
        <v/>
      </c>
      <c r="J60" s="175"/>
      <c r="K60" s="176"/>
      <c r="L60" s="176"/>
      <c r="M60" s="176"/>
      <c r="N60" s="220"/>
      <c r="O60" s="220"/>
      <c r="P60" s="177"/>
      <c r="R60" s="167" t="str">
        <v/>
      </c>
      <c r="S60" s="175"/>
      <c r="T60" s="176"/>
      <c r="U60" s="176"/>
      <c r="V60" s="176"/>
      <c r="W60" s="177"/>
      <c r="Y60" s="167" t="str">
        <v/>
      </c>
      <c r="Z60" s="175"/>
      <c r="AA60" s="176"/>
      <c r="AB60" s="176"/>
      <c r="AC60" s="176"/>
      <c r="AD60" s="177"/>
      <c r="AF60" s="167" t="str">
        <v/>
      </c>
      <c r="AG60" s="175"/>
      <c r="AH60" s="176"/>
      <c r="AI60" s="176"/>
      <c r="AJ60" s="176"/>
      <c r="AK60" s="177"/>
      <c r="AM60" s="167" t="str">
        <v>#Empty List</v>
      </c>
      <c r="AN60" s="175"/>
      <c r="AO60" s="176"/>
      <c r="AP60" s="176"/>
      <c r="AQ60" s="176"/>
      <c r="AR60" s="177"/>
    </row>
    <row r="61" spans="1:44">
      <c r="A61" s="204">
        <v>49</v>
      </c>
      <c r="B61" s="190" t="str">
        <f ca="1"/>
        <v/>
      </c>
      <c r="C61" s="175"/>
      <c r="D61" s="176"/>
      <c r="E61" s="176"/>
      <c r="F61" s="176"/>
      <c r="G61" s="177"/>
      <c r="I61" s="167" t="str">
        <v/>
      </c>
      <c r="J61" s="175"/>
      <c r="K61" s="176"/>
      <c r="L61" s="176"/>
      <c r="M61" s="176"/>
      <c r="N61" s="220"/>
      <c r="O61" s="220"/>
      <c r="P61" s="177"/>
      <c r="R61" s="167" t="str">
        <v/>
      </c>
      <c r="S61" s="175"/>
      <c r="T61" s="176"/>
      <c r="U61" s="176"/>
      <c r="V61" s="176"/>
      <c r="W61" s="177"/>
      <c r="Y61" s="167" t="str">
        <v/>
      </c>
      <c r="Z61" s="175"/>
      <c r="AA61" s="176"/>
      <c r="AB61" s="176"/>
      <c r="AC61" s="176"/>
      <c r="AD61" s="177"/>
      <c r="AF61" s="167" t="str">
        <v/>
      </c>
      <c r="AG61" s="175"/>
      <c r="AH61" s="176"/>
      <c r="AI61" s="176"/>
      <c r="AJ61" s="176"/>
      <c r="AK61" s="177"/>
      <c r="AM61" s="167" t="str">
        <v>#Empty List</v>
      </c>
      <c r="AN61" s="175"/>
      <c r="AO61" s="176"/>
      <c r="AP61" s="176"/>
      <c r="AQ61" s="176"/>
      <c r="AR61" s="177"/>
    </row>
    <row r="62" spans="1:44">
      <c r="A62" s="204">
        <v>50</v>
      </c>
      <c r="B62" s="190" t="str">
        <f ca="1"/>
        <v/>
      </c>
      <c r="C62" s="175"/>
      <c r="D62" s="176"/>
      <c r="E62" s="176"/>
      <c r="F62" s="176"/>
      <c r="G62" s="177"/>
      <c r="I62" s="167" t="str">
        <v/>
      </c>
      <c r="J62" s="175"/>
      <c r="K62" s="176"/>
      <c r="L62" s="176"/>
      <c r="M62" s="176"/>
      <c r="N62" s="220"/>
      <c r="O62" s="220"/>
      <c r="P62" s="177"/>
      <c r="R62" s="167" t="str">
        <v/>
      </c>
      <c r="S62" s="175"/>
      <c r="T62" s="176"/>
      <c r="U62" s="176"/>
      <c r="V62" s="176"/>
      <c r="W62" s="177"/>
      <c r="Y62" s="167" t="str">
        <v/>
      </c>
      <c r="Z62" s="175"/>
      <c r="AA62" s="176"/>
      <c r="AB62" s="176"/>
      <c r="AC62" s="176"/>
      <c r="AD62" s="177"/>
      <c r="AF62" s="167" t="str">
        <v/>
      </c>
      <c r="AG62" s="175"/>
      <c r="AH62" s="176"/>
      <c r="AI62" s="176"/>
      <c r="AJ62" s="176"/>
      <c r="AK62" s="177"/>
      <c r="AM62" s="167" t="str">
        <v>#Empty List</v>
      </c>
      <c r="AN62" s="175"/>
      <c r="AO62" s="176"/>
      <c r="AP62" s="176"/>
      <c r="AQ62" s="176"/>
      <c r="AR62" s="177"/>
    </row>
    <row r="63" spans="1:44">
      <c r="A63" s="204">
        <v>51</v>
      </c>
      <c r="B63" s="190" t="str">
        <f ca="1"/>
        <v/>
      </c>
      <c r="C63" s="175"/>
      <c r="D63" s="176"/>
      <c r="E63" s="176"/>
      <c r="F63" s="176"/>
      <c r="G63" s="177"/>
      <c r="I63" s="167" t="str">
        <v/>
      </c>
      <c r="J63" s="175"/>
      <c r="K63" s="176"/>
      <c r="L63" s="176"/>
      <c r="M63" s="176"/>
      <c r="N63" s="220"/>
      <c r="O63" s="220"/>
      <c r="P63" s="177"/>
      <c r="R63" s="167" t="str">
        <v/>
      </c>
      <c r="S63" s="175"/>
      <c r="T63" s="176"/>
      <c r="U63" s="176"/>
      <c r="V63" s="176"/>
      <c r="W63" s="177"/>
      <c r="Y63" s="167" t="str">
        <v/>
      </c>
      <c r="Z63" s="175"/>
      <c r="AA63" s="176"/>
      <c r="AB63" s="176"/>
      <c r="AC63" s="176"/>
      <c r="AD63" s="177"/>
      <c r="AF63" s="167" t="str">
        <v/>
      </c>
      <c r="AG63" s="175"/>
      <c r="AH63" s="176"/>
      <c r="AI63" s="176"/>
      <c r="AJ63" s="176"/>
      <c r="AK63" s="177"/>
      <c r="AM63" s="167" t="str">
        <v>#Empty List</v>
      </c>
      <c r="AN63" s="175"/>
      <c r="AO63" s="176"/>
      <c r="AP63" s="176"/>
      <c r="AQ63" s="176"/>
      <c r="AR63" s="177"/>
    </row>
    <row r="64" spans="1:44">
      <c r="A64" s="204">
        <v>52</v>
      </c>
      <c r="B64" s="190" t="str">
        <f ca="1"/>
        <v/>
      </c>
      <c r="C64" s="175"/>
      <c r="D64" s="176"/>
      <c r="E64" s="176"/>
      <c r="F64" s="176"/>
      <c r="G64" s="177"/>
      <c r="I64" s="167" t="str">
        <v/>
      </c>
      <c r="J64" s="175"/>
      <c r="K64" s="176"/>
      <c r="L64" s="176"/>
      <c r="M64" s="176"/>
      <c r="N64" s="220"/>
      <c r="O64" s="220"/>
      <c r="P64" s="177"/>
      <c r="R64" s="167" t="str">
        <v/>
      </c>
      <c r="S64" s="175"/>
      <c r="T64" s="176"/>
      <c r="U64" s="176"/>
      <c r="V64" s="176"/>
      <c r="W64" s="177"/>
      <c r="Y64" s="167" t="str">
        <v/>
      </c>
      <c r="Z64" s="175"/>
      <c r="AA64" s="176"/>
      <c r="AB64" s="176"/>
      <c r="AC64" s="176"/>
      <c r="AD64" s="177"/>
      <c r="AF64" s="167" t="str">
        <v/>
      </c>
      <c r="AG64" s="175"/>
      <c r="AH64" s="176"/>
      <c r="AI64" s="176"/>
      <c r="AJ64" s="176"/>
      <c r="AK64" s="177"/>
      <c r="AM64" s="167" t="str">
        <v>#Empty List</v>
      </c>
      <c r="AN64" s="175"/>
      <c r="AO64" s="176"/>
      <c r="AP64" s="176"/>
      <c r="AQ64" s="176"/>
      <c r="AR64" s="177"/>
    </row>
    <row r="65" spans="1:44">
      <c r="A65" s="204">
        <v>53</v>
      </c>
      <c r="B65" s="190" t="str">
        <f ca="1"/>
        <v/>
      </c>
      <c r="C65" s="175"/>
      <c r="D65" s="176"/>
      <c r="E65" s="176"/>
      <c r="F65" s="176"/>
      <c r="G65" s="177"/>
      <c r="I65" s="167" t="str">
        <v/>
      </c>
      <c r="J65" s="175"/>
      <c r="K65" s="176"/>
      <c r="L65" s="176"/>
      <c r="M65" s="176"/>
      <c r="N65" s="220"/>
      <c r="O65" s="220"/>
      <c r="P65" s="177"/>
      <c r="R65" s="167" t="str">
        <v/>
      </c>
      <c r="S65" s="175"/>
      <c r="T65" s="176"/>
      <c r="U65" s="176"/>
      <c r="V65" s="176"/>
      <c r="W65" s="177"/>
      <c r="Y65" s="167" t="str">
        <v/>
      </c>
      <c r="Z65" s="175"/>
      <c r="AA65" s="176"/>
      <c r="AB65" s="176"/>
      <c r="AC65" s="176"/>
      <c r="AD65" s="177"/>
      <c r="AF65" s="167" t="str">
        <v/>
      </c>
      <c r="AG65" s="175"/>
      <c r="AH65" s="176"/>
      <c r="AI65" s="176"/>
      <c r="AJ65" s="176"/>
      <c r="AK65" s="177"/>
      <c r="AM65" s="167" t="str">
        <v>#Empty List</v>
      </c>
      <c r="AN65" s="175"/>
      <c r="AO65" s="176"/>
      <c r="AP65" s="176"/>
      <c r="AQ65" s="176"/>
      <c r="AR65" s="177"/>
    </row>
    <row r="66" spans="1:44">
      <c r="A66" s="204">
        <v>54</v>
      </c>
      <c r="B66" s="190" t="str">
        <f ca="1"/>
        <v/>
      </c>
      <c r="C66" s="175"/>
      <c r="D66" s="176"/>
      <c r="E66" s="176"/>
      <c r="F66" s="176"/>
      <c r="G66" s="177"/>
      <c r="I66" s="167" t="str">
        <v/>
      </c>
      <c r="J66" s="175"/>
      <c r="K66" s="176"/>
      <c r="L66" s="176"/>
      <c r="M66" s="176"/>
      <c r="N66" s="220"/>
      <c r="O66" s="220"/>
      <c r="P66" s="177"/>
      <c r="R66" s="167" t="str">
        <v/>
      </c>
      <c r="S66" s="175"/>
      <c r="T66" s="176"/>
      <c r="U66" s="176"/>
      <c r="V66" s="176"/>
      <c r="W66" s="177"/>
      <c r="Y66" s="167" t="str">
        <v/>
      </c>
      <c r="Z66" s="175"/>
      <c r="AA66" s="176"/>
      <c r="AB66" s="176"/>
      <c r="AC66" s="176"/>
      <c r="AD66" s="177"/>
      <c r="AF66" s="167" t="str">
        <v/>
      </c>
      <c r="AG66" s="175"/>
      <c r="AH66" s="176"/>
      <c r="AI66" s="176"/>
      <c r="AJ66" s="176"/>
      <c r="AK66" s="177"/>
      <c r="AM66" s="167" t="str">
        <v>#Empty List</v>
      </c>
      <c r="AN66" s="175"/>
      <c r="AO66" s="176"/>
      <c r="AP66" s="176"/>
      <c r="AQ66" s="176"/>
      <c r="AR66" s="177"/>
    </row>
    <row r="67" spans="1:44">
      <c r="A67" s="204">
        <v>55</v>
      </c>
      <c r="B67" s="190" t="str">
        <f ca="1"/>
        <v/>
      </c>
      <c r="C67" s="175"/>
      <c r="D67" s="176"/>
      <c r="E67" s="176"/>
      <c r="F67" s="176"/>
      <c r="G67" s="177"/>
      <c r="I67" s="167" t="str">
        <v/>
      </c>
      <c r="J67" s="175"/>
      <c r="K67" s="176"/>
      <c r="L67" s="176"/>
      <c r="M67" s="176"/>
      <c r="N67" s="220"/>
      <c r="O67" s="220"/>
      <c r="P67" s="177"/>
      <c r="R67" s="167" t="str">
        <v/>
      </c>
      <c r="S67" s="175"/>
      <c r="T67" s="176"/>
      <c r="U67" s="176"/>
      <c r="V67" s="176"/>
      <c r="W67" s="177"/>
      <c r="Y67" s="167" t="str">
        <v/>
      </c>
      <c r="Z67" s="175"/>
      <c r="AA67" s="176"/>
      <c r="AB67" s="176"/>
      <c r="AC67" s="176"/>
      <c r="AD67" s="177"/>
      <c r="AF67" s="167" t="str">
        <v/>
      </c>
      <c r="AG67" s="175"/>
      <c r="AH67" s="176"/>
      <c r="AI67" s="176"/>
      <c r="AJ67" s="176"/>
      <c r="AK67" s="177"/>
      <c r="AM67" s="167" t="str">
        <v>#Empty List</v>
      </c>
      <c r="AN67" s="175"/>
      <c r="AO67" s="176"/>
      <c r="AP67" s="176"/>
      <c r="AQ67" s="176"/>
      <c r="AR67" s="177"/>
    </row>
    <row r="68" spans="1:44">
      <c r="A68" s="204">
        <v>56</v>
      </c>
      <c r="B68" s="190" t="str">
        <f ca="1"/>
        <v/>
      </c>
      <c r="C68" s="175"/>
      <c r="D68" s="176"/>
      <c r="E68" s="176"/>
      <c r="F68" s="176"/>
      <c r="G68" s="177"/>
      <c r="I68" s="167" t="str">
        <v/>
      </c>
      <c r="J68" s="175"/>
      <c r="K68" s="176"/>
      <c r="L68" s="176"/>
      <c r="M68" s="176"/>
      <c r="N68" s="220"/>
      <c r="O68" s="220"/>
      <c r="P68" s="177"/>
      <c r="R68" s="167" t="str">
        <v/>
      </c>
      <c r="S68" s="175"/>
      <c r="T68" s="176"/>
      <c r="U68" s="176"/>
      <c r="V68" s="176"/>
      <c r="W68" s="177"/>
      <c r="Y68" s="167" t="str">
        <v/>
      </c>
      <c r="Z68" s="175"/>
      <c r="AA68" s="176"/>
      <c r="AB68" s="176"/>
      <c r="AC68" s="176"/>
      <c r="AD68" s="177"/>
      <c r="AF68" s="167" t="str">
        <v/>
      </c>
      <c r="AG68" s="175"/>
      <c r="AH68" s="176"/>
      <c r="AI68" s="176"/>
      <c r="AJ68" s="176"/>
      <c r="AK68" s="177"/>
      <c r="AM68" s="167" t="str">
        <v>#Empty List</v>
      </c>
      <c r="AN68" s="175"/>
      <c r="AO68" s="176"/>
      <c r="AP68" s="176"/>
      <c r="AQ68" s="176"/>
      <c r="AR68" s="177"/>
    </row>
    <row r="69" spans="1:44">
      <c r="A69" s="204">
        <v>57</v>
      </c>
      <c r="B69" s="190" t="str">
        <f ca="1"/>
        <v/>
      </c>
      <c r="C69" s="175"/>
      <c r="D69" s="176"/>
      <c r="E69" s="176"/>
      <c r="F69" s="176"/>
      <c r="G69" s="177"/>
      <c r="I69" s="167" t="str">
        <v/>
      </c>
      <c r="J69" s="175"/>
      <c r="K69" s="176"/>
      <c r="L69" s="176"/>
      <c r="M69" s="176"/>
      <c r="N69" s="220"/>
      <c r="O69" s="220"/>
      <c r="P69" s="177"/>
      <c r="R69" s="167" t="str">
        <v/>
      </c>
      <c r="S69" s="175"/>
      <c r="T69" s="176"/>
      <c r="U69" s="176"/>
      <c r="V69" s="176"/>
      <c r="W69" s="177"/>
      <c r="Y69" s="167" t="str">
        <v/>
      </c>
      <c r="Z69" s="175"/>
      <c r="AA69" s="176"/>
      <c r="AB69" s="176"/>
      <c r="AC69" s="176"/>
      <c r="AD69" s="177"/>
      <c r="AF69" s="167" t="str">
        <v/>
      </c>
      <c r="AG69" s="175"/>
      <c r="AH69" s="176"/>
      <c r="AI69" s="176"/>
      <c r="AJ69" s="176"/>
      <c r="AK69" s="177"/>
      <c r="AM69" s="167" t="str">
        <v>#Empty List</v>
      </c>
      <c r="AN69" s="175"/>
      <c r="AO69" s="176"/>
      <c r="AP69" s="176"/>
      <c r="AQ69" s="176"/>
      <c r="AR69" s="177"/>
    </row>
    <row r="70" spans="1:44">
      <c r="A70" s="204">
        <v>58</v>
      </c>
      <c r="B70" s="190" t="str">
        <f ca="1"/>
        <v/>
      </c>
      <c r="C70" s="175"/>
      <c r="D70" s="176"/>
      <c r="E70" s="176"/>
      <c r="F70" s="176"/>
      <c r="G70" s="177"/>
      <c r="I70" s="167" t="str">
        <v/>
      </c>
      <c r="J70" s="175"/>
      <c r="K70" s="176"/>
      <c r="L70" s="176"/>
      <c r="M70" s="176"/>
      <c r="N70" s="220"/>
      <c r="O70" s="220"/>
      <c r="P70" s="177"/>
      <c r="R70" s="167" t="str">
        <v/>
      </c>
      <c r="S70" s="175"/>
      <c r="T70" s="176"/>
      <c r="U70" s="176"/>
      <c r="V70" s="176"/>
      <c r="W70" s="177"/>
      <c r="Y70" s="167" t="str">
        <v/>
      </c>
      <c r="Z70" s="175"/>
      <c r="AA70" s="176"/>
      <c r="AB70" s="176"/>
      <c r="AC70" s="176"/>
      <c r="AD70" s="177"/>
      <c r="AF70" s="167" t="str">
        <v/>
      </c>
      <c r="AG70" s="175"/>
      <c r="AH70" s="176"/>
      <c r="AI70" s="176"/>
      <c r="AJ70" s="176"/>
      <c r="AK70" s="177"/>
      <c r="AM70" s="167" t="str">
        <v>#Empty List</v>
      </c>
      <c r="AN70" s="175"/>
      <c r="AO70" s="176"/>
      <c r="AP70" s="176"/>
      <c r="AQ70" s="176"/>
      <c r="AR70" s="177"/>
    </row>
    <row r="71" spans="1:44">
      <c r="A71" s="204">
        <v>59</v>
      </c>
      <c r="B71" s="190" t="str">
        <f ca="1"/>
        <v/>
      </c>
      <c r="C71" s="175"/>
      <c r="D71" s="176"/>
      <c r="E71" s="176"/>
      <c r="F71" s="176"/>
      <c r="G71" s="177"/>
      <c r="I71" s="167" t="str">
        <v/>
      </c>
      <c r="J71" s="175"/>
      <c r="K71" s="176"/>
      <c r="L71" s="176"/>
      <c r="M71" s="176"/>
      <c r="N71" s="220"/>
      <c r="O71" s="220"/>
      <c r="P71" s="177"/>
      <c r="R71" s="167" t="str">
        <v/>
      </c>
      <c r="S71" s="175"/>
      <c r="T71" s="176"/>
      <c r="U71" s="176"/>
      <c r="V71" s="176"/>
      <c r="W71" s="177"/>
      <c r="Y71" s="167" t="str">
        <v/>
      </c>
      <c r="Z71" s="175"/>
      <c r="AA71" s="176"/>
      <c r="AB71" s="176"/>
      <c r="AC71" s="176"/>
      <c r="AD71" s="177"/>
      <c r="AF71" s="167" t="str">
        <v/>
      </c>
      <c r="AG71" s="175"/>
      <c r="AH71" s="176"/>
      <c r="AI71" s="176"/>
      <c r="AJ71" s="176"/>
      <c r="AK71" s="177"/>
      <c r="AM71" s="167" t="str">
        <v>#Empty List</v>
      </c>
      <c r="AN71" s="175"/>
      <c r="AO71" s="176"/>
      <c r="AP71" s="176"/>
      <c r="AQ71" s="176"/>
      <c r="AR71" s="177"/>
    </row>
    <row r="72" spans="1:44">
      <c r="A72" s="204">
        <v>60</v>
      </c>
      <c r="B72" s="190" t="str">
        <f ca="1"/>
        <v/>
      </c>
      <c r="C72" s="175"/>
      <c r="D72" s="176"/>
      <c r="E72" s="176"/>
      <c r="F72" s="176"/>
      <c r="G72" s="177"/>
      <c r="I72" s="167" t="str">
        <v/>
      </c>
      <c r="J72" s="175"/>
      <c r="K72" s="176"/>
      <c r="L72" s="176"/>
      <c r="M72" s="176"/>
      <c r="N72" s="220"/>
      <c r="O72" s="220"/>
      <c r="P72" s="177"/>
      <c r="R72" s="167" t="str">
        <v/>
      </c>
      <c r="S72" s="175"/>
      <c r="T72" s="176"/>
      <c r="U72" s="176"/>
      <c r="V72" s="176"/>
      <c r="W72" s="177"/>
      <c r="Y72" s="167" t="str">
        <v/>
      </c>
      <c r="Z72" s="175"/>
      <c r="AA72" s="176"/>
      <c r="AB72" s="176"/>
      <c r="AC72" s="176"/>
      <c r="AD72" s="177"/>
      <c r="AF72" s="167" t="str">
        <v/>
      </c>
      <c r="AG72" s="175"/>
      <c r="AH72" s="176"/>
      <c r="AI72" s="176"/>
      <c r="AJ72" s="176"/>
      <c r="AK72" s="177"/>
      <c r="AM72" s="167" t="str">
        <v>#Empty List</v>
      </c>
      <c r="AN72" s="175"/>
      <c r="AO72" s="176"/>
      <c r="AP72" s="176"/>
      <c r="AQ72" s="176"/>
      <c r="AR72" s="177"/>
    </row>
    <row r="73" spans="1:44">
      <c r="A73" s="204">
        <v>61</v>
      </c>
      <c r="B73" s="190" t="str">
        <f ca="1"/>
        <v/>
      </c>
      <c r="C73" s="175"/>
      <c r="D73" s="176"/>
      <c r="E73" s="176"/>
      <c r="F73" s="176"/>
      <c r="G73" s="177"/>
      <c r="I73" s="167" t="str">
        <v/>
      </c>
      <c r="J73" s="175"/>
      <c r="K73" s="176"/>
      <c r="L73" s="176"/>
      <c r="M73" s="176"/>
      <c r="N73" s="220"/>
      <c r="O73" s="220"/>
      <c r="P73" s="177"/>
      <c r="R73" s="167" t="str">
        <v/>
      </c>
      <c r="S73" s="175"/>
      <c r="T73" s="176"/>
      <c r="U73" s="176"/>
      <c r="V73" s="176"/>
      <c r="W73" s="177"/>
      <c r="Y73" s="167" t="str">
        <v/>
      </c>
      <c r="Z73" s="175"/>
      <c r="AA73" s="176"/>
      <c r="AB73" s="176"/>
      <c r="AC73" s="176"/>
      <c r="AD73" s="177"/>
      <c r="AF73" s="167" t="str">
        <v/>
      </c>
      <c r="AG73" s="175"/>
      <c r="AH73" s="176"/>
      <c r="AI73" s="176"/>
      <c r="AJ73" s="176"/>
      <c r="AK73" s="177"/>
      <c r="AM73" s="167" t="str">
        <v>#Empty List</v>
      </c>
      <c r="AN73" s="175"/>
      <c r="AO73" s="176"/>
      <c r="AP73" s="176"/>
      <c r="AQ73" s="176"/>
      <c r="AR73" s="177"/>
    </row>
    <row r="74" spans="1:44">
      <c r="A74" s="204">
        <v>62</v>
      </c>
      <c r="B74" s="190" t="str">
        <f ca="1"/>
        <v/>
      </c>
      <c r="C74" s="175"/>
      <c r="D74" s="176"/>
      <c r="E74" s="176"/>
      <c r="F74" s="176"/>
      <c r="G74" s="177"/>
      <c r="I74" s="167" t="str">
        <v/>
      </c>
      <c r="J74" s="175"/>
      <c r="K74" s="176"/>
      <c r="L74" s="176"/>
      <c r="M74" s="176"/>
      <c r="N74" s="220"/>
      <c r="O74" s="220"/>
      <c r="P74" s="177"/>
      <c r="R74" s="167" t="str">
        <v/>
      </c>
      <c r="S74" s="175"/>
      <c r="T74" s="176"/>
      <c r="U74" s="176"/>
      <c r="V74" s="176"/>
      <c r="W74" s="177"/>
      <c r="Y74" s="167" t="str">
        <v/>
      </c>
      <c r="Z74" s="175"/>
      <c r="AA74" s="176"/>
      <c r="AB74" s="176"/>
      <c r="AC74" s="176"/>
      <c r="AD74" s="177"/>
      <c r="AF74" s="167" t="str">
        <v/>
      </c>
      <c r="AG74" s="175"/>
      <c r="AH74" s="176"/>
      <c r="AI74" s="176"/>
      <c r="AJ74" s="176"/>
      <c r="AK74" s="177"/>
      <c r="AM74" s="167" t="str">
        <v>#Empty List</v>
      </c>
      <c r="AN74" s="175"/>
      <c r="AO74" s="176"/>
      <c r="AP74" s="176"/>
      <c r="AQ74" s="176"/>
      <c r="AR74" s="177"/>
    </row>
    <row r="75" spans="1:44">
      <c r="A75" s="204">
        <v>63</v>
      </c>
      <c r="B75" s="190" t="str">
        <f ca="1"/>
        <v/>
      </c>
      <c r="C75" s="175"/>
      <c r="D75" s="176"/>
      <c r="E75" s="176"/>
      <c r="F75" s="176"/>
      <c r="G75" s="177"/>
      <c r="I75" s="167" t="str">
        <v/>
      </c>
      <c r="J75" s="175"/>
      <c r="K75" s="176"/>
      <c r="L75" s="176"/>
      <c r="M75" s="176"/>
      <c r="N75" s="220"/>
      <c r="O75" s="220"/>
      <c r="P75" s="177"/>
      <c r="R75" s="167" t="str">
        <v/>
      </c>
      <c r="S75" s="175"/>
      <c r="T75" s="176"/>
      <c r="U75" s="176"/>
      <c r="V75" s="176"/>
      <c r="W75" s="177"/>
      <c r="Y75" s="167" t="str">
        <v/>
      </c>
      <c r="Z75" s="175"/>
      <c r="AA75" s="176"/>
      <c r="AB75" s="176"/>
      <c r="AC75" s="176"/>
      <c r="AD75" s="177"/>
      <c r="AF75" s="167" t="str">
        <v/>
      </c>
      <c r="AG75" s="175"/>
      <c r="AH75" s="176"/>
      <c r="AI75" s="176"/>
      <c r="AJ75" s="176"/>
      <c r="AK75" s="177"/>
      <c r="AM75" s="167" t="str">
        <v>#Empty List</v>
      </c>
      <c r="AN75" s="175"/>
      <c r="AO75" s="176"/>
      <c r="AP75" s="176"/>
      <c r="AQ75" s="176"/>
      <c r="AR75" s="177"/>
    </row>
    <row r="76" spans="1:44">
      <c r="A76" s="204">
        <v>64</v>
      </c>
      <c r="B76" s="190" t="str">
        <f ca="1"/>
        <v/>
      </c>
      <c r="C76" s="175"/>
      <c r="D76" s="176"/>
      <c r="E76" s="176"/>
      <c r="F76" s="176"/>
      <c r="G76" s="177"/>
      <c r="I76" s="167" t="str">
        <v/>
      </c>
      <c r="J76" s="175"/>
      <c r="K76" s="176"/>
      <c r="L76" s="176"/>
      <c r="M76" s="176"/>
      <c r="N76" s="220"/>
      <c r="O76" s="220"/>
      <c r="P76" s="177"/>
      <c r="R76" s="167" t="str">
        <v/>
      </c>
      <c r="S76" s="175"/>
      <c r="T76" s="176"/>
      <c r="U76" s="176"/>
      <c r="V76" s="176"/>
      <c r="W76" s="177"/>
      <c r="Y76" s="167" t="str">
        <v/>
      </c>
      <c r="Z76" s="175"/>
      <c r="AA76" s="176"/>
      <c r="AB76" s="176"/>
      <c r="AC76" s="176"/>
      <c r="AD76" s="177"/>
      <c r="AF76" s="167" t="str">
        <v/>
      </c>
      <c r="AG76" s="175"/>
      <c r="AH76" s="176"/>
      <c r="AI76" s="176"/>
      <c r="AJ76" s="176"/>
      <c r="AK76" s="177"/>
      <c r="AM76" s="167" t="str">
        <v>#Empty List</v>
      </c>
      <c r="AN76" s="175"/>
      <c r="AO76" s="176"/>
      <c r="AP76" s="176"/>
      <c r="AQ76" s="176"/>
      <c r="AR76" s="177"/>
    </row>
    <row r="77" spans="1:44">
      <c r="A77" s="204">
        <v>65</v>
      </c>
      <c r="B77" s="190" t="str">
        <f ca="1"/>
        <v/>
      </c>
      <c r="C77" s="175"/>
      <c r="D77" s="176"/>
      <c r="E77" s="176"/>
      <c r="F77" s="176"/>
      <c r="G77" s="177"/>
      <c r="I77" s="167" t="str">
        <v/>
      </c>
      <c r="J77" s="175"/>
      <c r="K77" s="176"/>
      <c r="L77" s="176"/>
      <c r="M77" s="176"/>
      <c r="N77" s="220"/>
      <c r="O77" s="220"/>
      <c r="P77" s="177"/>
      <c r="R77" s="167" t="str">
        <v/>
      </c>
      <c r="S77" s="175"/>
      <c r="T77" s="176"/>
      <c r="U77" s="176"/>
      <c r="V77" s="176"/>
      <c r="W77" s="177"/>
      <c r="Y77" s="167" t="str">
        <v/>
      </c>
      <c r="Z77" s="175"/>
      <c r="AA77" s="176"/>
      <c r="AB77" s="176"/>
      <c r="AC77" s="176"/>
      <c r="AD77" s="177"/>
      <c r="AF77" s="167" t="str">
        <v/>
      </c>
      <c r="AG77" s="175"/>
      <c r="AH77" s="176"/>
      <c r="AI77" s="176"/>
      <c r="AJ77" s="176"/>
      <c r="AK77" s="177"/>
      <c r="AM77" s="167" t="str">
        <v>#Empty List</v>
      </c>
      <c r="AN77" s="175"/>
      <c r="AO77" s="176"/>
      <c r="AP77" s="176"/>
      <c r="AQ77" s="176"/>
      <c r="AR77" s="177"/>
    </row>
    <row r="78" spans="1:44">
      <c r="A78" s="204">
        <v>66</v>
      </c>
      <c r="B78" s="190" t="str">
        <f ca="1"/>
        <v/>
      </c>
      <c r="C78" s="175"/>
      <c r="D78" s="176"/>
      <c r="E78" s="176"/>
      <c r="F78" s="176"/>
      <c r="G78" s="177"/>
      <c r="I78" s="167" t="str">
        <v/>
      </c>
      <c r="J78" s="175"/>
      <c r="K78" s="176"/>
      <c r="L78" s="176"/>
      <c r="M78" s="176"/>
      <c r="N78" s="220"/>
      <c r="O78" s="220"/>
      <c r="P78" s="177"/>
      <c r="R78" s="167" t="str">
        <v/>
      </c>
      <c r="S78" s="175"/>
      <c r="T78" s="176"/>
      <c r="U78" s="176"/>
      <c r="V78" s="176"/>
      <c r="W78" s="177"/>
      <c r="Y78" s="167" t="str">
        <v/>
      </c>
      <c r="Z78" s="175"/>
      <c r="AA78" s="176"/>
      <c r="AB78" s="176"/>
      <c r="AC78" s="176"/>
      <c r="AD78" s="177"/>
      <c r="AF78" s="167" t="str">
        <v/>
      </c>
      <c r="AG78" s="175"/>
      <c r="AH78" s="176"/>
      <c r="AI78" s="176"/>
      <c r="AJ78" s="176"/>
      <c r="AK78" s="177"/>
      <c r="AM78" s="167" t="str">
        <v>#Empty List</v>
      </c>
      <c r="AN78" s="175"/>
      <c r="AO78" s="176"/>
      <c r="AP78" s="176"/>
      <c r="AQ78" s="176"/>
      <c r="AR78" s="177"/>
    </row>
    <row r="79" spans="1:44">
      <c r="A79" s="204">
        <v>67</v>
      </c>
      <c r="B79" s="190" t="str">
        <f ca="1"/>
        <v/>
      </c>
      <c r="C79" s="175"/>
      <c r="D79" s="176"/>
      <c r="E79" s="176"/>
      <c r="F79" s="176"/>
      <c r="G79" s="177"/>
      <c r="I79" s="167" t="str">
        <v/>
      </c>
      <c r="J79" s="175"/>
      <c r="K79" s="176"/>
      <c r="L79" s="176"/>
      <c r="M79" s="176"/>
      <c r="N79" s="220"/>
      <c r="O79" s="220"/>
      <c r="P79" s="177"/>
      <c r="R79" s="167" t="str">
        <v/>
      </c>
      <c r="S79" s="175"/>
      <c r="T79" s="176"/>
      <c r="U79" s="176"/>
      <c r="V79" s="176"/>
      <c r="W79" s="177"/>
      <c r="Y79" s="167" t="str">
        <v/>
      </c>
      <c r="Z79" s="175"/>
      <c r="AA79" s="176"/>
      <c r="AB79" s="176"/>
      <c r="AC79" s="176"/>
      <c r="AD79" s="177"/>
      <c r="AF79" s="167" t="str">
        <v/>
      </c>
      <c r="AG79" s="175"/>
      <c r="AH79" s="176"/>
      <c r="AI79" s="176"/>
      <c r="AJ79" s="176"/>
      <c r="AK79" s="177"/>
      <c r="AM79" s="167" t="str">
        <v>#Empty List</v>
      </c>
      <c r="AN79" s="175"/>
      <c r="AO79" s="176"/>
      <c r="AP79" s="176"/>
      <c r="AQ79" s="176"/>
      <c r="AR79" s="177"/>
    </row>
    <row r="80" spans="1:44">
      <c r="A80" s="204">
        <v>68</v>
      </c>
      <c r="B80" s="190" t="str">
        <f ca="1"/>
        <v/>
      </c>
      <c r="C80" s="175"/>
      <c r="D80" s="176"/>
      <c r="E80" s="176"/>
      <c r="F80" s="176"/>
      <c r="G80" s="177"/>
      <c r="I80" s="167" t="str">
        <v/>
      </c>
      <c r="J80" s="175"/>
      <c r="K80" s="176"/>
      <c r="L80" s="176"/>
      <c r="M80" s="176"/>
      <c r="N80" s="220"/>
      <c r="O80" s="220"/>
      <c r="P80" s="177"/>
      <c r="R80" s="167" t="str">
        <v/>
      </c>
      <c r="S80" s="175"/>
      <c r="T80" s="176"/>
      <c r="U80" s="176"/>
      <c r="V80" s="176"/>
      <c r="W80" s="177"/>
      <c r="Y80" s="167" t="str">
        <v/>
      </c>
      <c r="Z80" s="175"/>
      <c r="AA80" s="176"/>
      <c r="AB80" s="176"/>
      <c r="AC80" s="176"/>
      <c r="AD80" s="177"/>
      <c r="AF80" s="167" t="str">
        <v/>
      </c>
      <c r="AG80" s="175"/>
      <c r="AH80" s="176"/>
      <c r="AI80" s="176"/>
      <c r="AJ80" s="176"/>
      <c r="AK80" s="177"/>
      <c r="AM80" s="167" t="str">
        <v>#Empty List</v>
      </c>
      <c r="AN80" s="175"/>
      <c r="AO80" s="176"/>
      <c r="AP80" s="176"/>
      <c r="AQ80" s="176"/>
      <c r="AR80" s="177"/>
    </row>
    <row r="81" spans="1:44">
      <c r="A81" s="204">
        <v>69</v>
      </c>
      <c r="B81" s="190" t="str">
        <f ca="1"/>
        <v/>
      </c>
      <c r="C81" s="175"/>
      <c r="D81" s="176"/>
      <c r="E81" s="176"/>
      <c r="F81" s="176"/>
      <c r="G81" s="177"/>
      <c r="I81" s="167" t="str">
        <v/>
      </c>
      <c r="J81" s="175"/>
      <c r="K81" s="176"/>
      <c r="L81" s="176"/>
      <c r="M81" s="176"/>
      <c r="N81" s="220"/>
      <c r="O81" s="220"/>
      <c r="P81" s="177"/>
      <c r="R81" s="167" t="str">
        <v/>
      </c>
      <c r="S81" s="175"/>
      <c r="T81" s="176"/>
      <c r="U81" s="176"/>
      <c r="V81" s="176"/>
      <c r="W81" s="177"/>
      <c r="Y81" s="167" t="str">
        <v/>
      </c>
      <c r="Z81" s="175"/>
      <c r="AA81" s="176"/>
      <c r="AB81" s="176"/>
      <c r="AC81" s="176"/>
      <c r="AD81" s="177"/>
      <c r="AF81" s="167" t="str">
        <v/>
      </c>
      <c r="AG81" s="175"/>
      <c r="AH81" s="176"/>
      <c r="AI81" s="176"/>
      <c r="AJ81" s="176"/>
      <c r="AK81" s="177"/>
      <c r="AM81" s="167" t="str">
        <v>#Empty List</v>
      </c>
      <c r="AN81" s="175"/>
      <c r="AO81" s="176"/>
      <c r="AP81" s="176"/>
      <c r="AQ81" s="176"/>
      <c r="AR81" s="177"/>
    </row>
    <row r="82" spans="1:44">
      <c r="A82" s="204">
        <v>70</v>
      </c>
      <c r="B82" s="190" t="str">
        <f ca="1"/>
        <v/>
      </c>
      <c r="C82" s="175"/>
      <c r="D82" s="176"/>
      <c r="E82" s="176"/>
      <c r="F82" s="176"/>
      <c r="G82" s="177"/>
      <c r="I82" s="167" t="str">
        <v/>
      </c>
      <c r="J82" s="175"/>
      <c r="K82" s="176"/>
      <c r="L82" s="176"/>
      <c r="M82" s="176"/>
      <c r="N82" s="220"/>
      <c r="O82" s="220"/>
      <c r="P82" s="177"/>
      <c r="R82" s="167" t="str">
        <v/>
      </c>
      <c r="S82" s="175"/>
      <c r="T82" s="176"/>
      <c r="U82" s="176"/>
      <c r="V82" s="176"/>
      <c r="W82" s="177"/>
      <c r="Y82" s="167" t="str">
        <v/>
      </c>
      <c r="Z82" s="175"/>
      <c r="AA82" s="176"/>
      <c r="AB82" s="176"/>
      <c r="AC82" s="176"/>
      <c r="AD82" s="177"/>
      <c r="AF82" s="167" t="str">
        <v/>
      </c>
      <c r="AG82" s="175"/>
      <c r="AH82" s="176"/>
      <c r="AI82" s="176"/>
      <c r="AJ82" s="176"/>
      <c r="AK82" s="177"/>
      <c r="AM82" s="167" t="str">
        <v>#Empty List</v>
      </c>
      <c r="AN82" s="175"/>
      <c r="AO82" s="176"/>
      <c r="AP82" s="176"/>
      <c r="AQ82" s="176"/>
      <c r="AR82" s="177"/>
    </row>
    <row r="83" spans="1:44">
      <c r="A83" s="204">
        <v>71</v>
      </c>
      <c r="B83" s="190" t="str">
        <f ca="1"/>
        <v/>
      </c>
      <c r="C83" s="175"/>
      <c r="D83" s="176"/>
      <c r="E83" s="176"/>
      <c r="F83" s="176"/>
      <c r="G83" s="177"/>
      <c r="I83" s="167" t="str">
        <v/>
      </c>
      <c r="J83" s="175"/>
      <c r="K83" s="176"/>
      <c r="L83" s="176"/>
      <c r="M83" s="176"/>
      <c r="N83" s="220"/>
      <c r="O83" s="220"/>
      <c r="P83" s="177"/>
      <c r="R83" s="167" t="str">
        <v/>
      </c>
      <c r="S83" s="175"/>
      <c r="T83" s="176"/>
      <c r="U83" s="176"/>
      <c r="V83" s="176"/>
      <c r="W83" s="177"/>
      <c r="Y83" s="167" t="str">
        <v/>
      </c>
      <c r="Z83" s="175"/>
      <c r="AA83" s="176"/>
      <c r="AB83" s="176"/>
      <c r="AC83" s="176"/>
      <c r="AD83" s="177"/>
      <c r="AF83" s="167" t="str">
        <v/>
      </c>
      <c r="AG83" s="175"/>
      <c r="AH83" s="176"/>
      <c r="AI83" s="176"/>
      <c r="AJ83" s="176"/>
      <c r="AK83" s="177"/>
      <c r="AM83" s="167" t="str">
        <v>#Empty List</v>
      </c>
      <c r="AN83" s="175"/>
      <c r="AO83" s="176"/>
      <c r="AP83" s="176"/>
      <c r="AQ83" s="176"/>
      <c r="AR83" s="177"/>
    </row>
    <row r="84" spans="1:44">
      <c r="A84" s="204">
        <v>72</v>
      </c>
      <c r="B84" s="190" t="str">
        <f ca="1"/>
        <v/>
      </c>
      <c r="C84" s="175"/>
      <c r="D84" s="176"/>
      <c r="E84" s="176"/>
      <c r="F84" s="176"/>
      <c r="G84" s="177"/>
      <c r="I84" s="167" t="str">
        <v/>
      </c>
      <c r="J84" s="175"/>
      <c r="K84" s="176"/>
      <c r="L84" s="176"/>
      <c r="M84" s="176"/>
      <c r="N84" s="220"/>
      <c r="O84" s="220"/>
      <c r="P84" s="177"/>
      <c r="R84" s="167" t="str">
        <v/>
      </c>
      <c r="S84" s="175"/>
      <c r="T84" s="176"/>
      <c r="U84" s="176"/>
      <c r="V84" s="176"/>
      <c r="W84" s="177"/>
      <c r="Y84" s="167" t="str">
        <v/>
      </c>
      <c r="Z84" s="175"/>
      <c r="AA84" s="176"/>
      <c r="AB84" s="176"/>
      <c r="AC84" s="176"/>
      <c r="AD84" s="177"/>
      <c r="AF84" s="167" t="str">
        <v/>
      </c>
      <c r="AG84" s="175"/>
      <c r="AH84" s="176"/>
      <c r="AI84" s="176"/>
      <c r="AJ84" s="176"/>
      <c r="AK84" s="177"/>
      <c r="AM84" s="167" t="str">
        <v>#Empty List</v>
      </c>
      <c r="AN84" s="175"/>
      <c r="AO84" s="176"/>
      <c r="AP84" s="176"/>
      <c r="AQ84" s="176"/>
      <c r="AR84" s="177"/>
    </row>
    <row r="85" spans="1:44">
      <c r="A85" s="204">
        <v>73</v>
      </c>
      <c r="B85" s="190" t="str">
        <f ca="1"/>
        <v/>
      </c>
      <c r="C85" s="175"/>
      <c r="D85" s="176"/>
      <c r="E85" s="176"/>
      <c r="F85" s="176"/>
      <c r="G85" s="177"/>
      <c r="I85" s="167" t="str">
        <v/>
      </c>
      <c r="J85" s="175"/>
      <c r="K85" s="176"/>
      <c r="L85" s="176"/>
      <c r="M85" s="176"/>
      <c r="N85" s="220"/>
      <c r="O85" s="220"/>
      <c r="P85" s="177"/>
      <c r="R85" s="167" t="str">
        <v/>
      </c>
      <c r="S85" s="175"/>
      <c r="T85" s="176"/>
      <c r="U85" s="176"/>
      <c r="V85" s="176"/>
      <c r="W85" s="177"/>
      <c r="Y85" s="167" t="str">
        <v/>
      </c>
      <c r="Z85" s="175"/>
      <c r="AA85" s="176"/>
      <c r="AB85" s="176"/>
      <c r="AC85" s="176"/>
      <c r="AD85" s="177"/>
      <c r="AF85" s="167" t="str">
        <v/>
      </c>
      <c r="AG85" s="175"/>
      <c r="AH85" s="176"/>
      <c r="AI85" s="176"/>
      <c r="AJ85" s="176"/>
      <c r="AK85" s="177"/>
      <c r="AM85" s="167" t="str">
        <v>#Empty List</v>
      </c>
      <c r="AN85" s="175"/>
      <c r="AO85" s="176"/>
      <c r="AP85" s="176"/>
      <c r="AQ85" s="176"/>
      <c r="AR85" s="177"/>
    </row>
    <row r="86" spans="1:44">
      <c r="A86" s="204">
        <v>74</v>
      </c>
      <c r="B86" s="190" t="str">
        <f ca="1"/>
        <v/>
      </c>
      <c r="C86" s="175"/>
      <c r="D86" s="176"/>
      <c r="E86" s="176"/>
      <c r="F86" s="176"/>
      <c r="G86" s="177"/>
      <c r="I86" s="167" t="str">
        <v/>
      </c>
      <c r="J86" s="175"/>
      <c r="K86" s="176"/>
      <c r="L86" s="176"/>
      <c r="M86" s="176"/>
      <c r="N86" s="220"/>
      <c r="O86" s="220"/>
      <c r="P86" s="177"/>
      <c r="R86" s="167" t="str">
        <v/>
      </c>
      <c r="S86" s="175"/>
      <c r="T86" s="176"/>
      <c r="U86" s="176"/>
      <c r="V86" s="176"/>
      <c r="W86" s="177"/>
      <c r="Y86" s="167" t="str">
        <v/>
      </c>
      <c r="Z86" s="175"/>
      <c r="AA86" s="176"/>
      <c r="AB86" s="176"/>
      <c r="AC86" s="176"/>
      <c r="AD86" s="177"/>
      <c r="AF86" s="167" t="str">
        <v/>
      </c>
      <c r="AG86" s="175"/>
      <c r="AH86" s="176"/>
      <c r="AI86" s="176"/>
      <c r="AJ86" s="176"/>
      <c r="AK86" s="177"/>
      <c r="AM86" s="167" t="str">
        <v>#Empty List</v>
      </c>
      <c r="AN86" s="175"/>
      <c r="AO86" s="176"/>
      <c r="AP86" s="176"/>
      <c r="AQ86" s="176"/>
      <c r="AR86" s="177"/>
    </row>
    <row r="87" spans="1:44">
      <c r="A87" s="204">
        <v>75</v>
      </c>
      <c r="B87" s="190" t="str">
        <f ca="1"/>
        <v/>
      </c>
      <c r="C87" s="175"/>
      <c r="D87" s="176"/>
      <c r="E87" s="176"/>
      <c r="F87" s="176"/>
      <c r="G87" s="177"/>
      <c r="I87" s="167" t="str">
        <v/>
      </c>
      <c r="J87" s="175"/>
      <c r="K87" s="176"/>
      <c r="L87" s="176"/>
      <c r="M87" s="176"/>
      <c r="N87" s="220"/>
      <c r="O87" s="220"/>
      <c r="P87" s="177"/>
      <c r="R87" s="167" t="str">
        <v/>
      </c>
      <c r="S87" s="175"/>
      <c r="T87" s="176"/>
      <c r="U87" s="176"/>
      <c r="V87" s="176"/>
      <c r="W87" s="177"/>
      <c r="Y87" s="167" t="str">
        <v/>
      </c>
      <c r="Z87" s="175"/>
      <c r="AA87" s="176"/>
      <c r="AB87" s="176"/>
      <c r="AC87" s="176"/>
      <c r="AD87" s="177"/>
      <c r="AF87" s="167" t="str">
        <v/>
      </c>
      <c r="AG87" s="175"/>
      <c r="AH87" s="176"/>
      <c r="AI87" s="176"/>
      <c r="AJ87" s="176"/>
      <c r="AK87" s="177"/>
      <c r="AM87" s="167" t="str">
        <v>#Empty List</v>
      </c>
      <c r="AN87" s="175"/>
      <c r="AO87" s="176"/>
      <c r="AP87" s="176"/>
      <c r="AQ87" s="176"/>
      <c r="AR87" s="177"/>
    </row>
    <row r="88" spans="1:44">
      <c r="A88" s="204">
        <v>76</v>
      </c>
      <c r="B88" s="190" t="str">
        <f ca="1"/>
        <v/>
      </c>
      <c r="C88" s="175"/>
      <c r="D88" s="176"/>
      <c r="E88" s="176"/>
      <c r="F88" s="176"/>
      <c r="G88" s="177"/>
      <c r="I88" s="167" t="str">
        <v/>
      </c>
      <c r="J88" s="175"/>
      <c r="K88" s="176"/>
      <c r="L88" s="176"/>
      <c r="M88" s="176"/>
      <c r="N88" s="220"/>
      <c r="O88" s="220"/>
      <c r="P88" s="177"/>
      <c r="R88" s="167" t="str">
        <v/>
      </c>
      <c r="S88" s="175"/>
      <c r="T88" s="176"/>
      <c r="U88" s="176"/>
      <c r="V88" s="176"/>
      <c r="W88" s="177"/>
      <c r="Y88" s="167" t="str">
        <v/>
      </c>
      <c r="Z88" s="175"/>
      <c r="AA88" s="176"/>
      <c r="AB88" s="176"/>
      <c r="AC88" s="176"/>
      <c r="AD88" s="177"/>
      <c r="AF88" s="167" t="str">
        <v/>
      </c>
      <c r="AG88" s="175"/>
      <c r="AH88" s="176"/>
      <c r="AI88" s="176"/>
      <c r="AJ88" s="176"/>
      <c r="AK88" s="177"/>
      <c r="AM88" s="167" t="str">
        <v>#Empty List</v>
      </c>
      <c r="AN88" s="175"/>
      <c r="AO88" s="176"/>
      <c r="AP88" s="176"/>
      <c r="AQ88" s="176"/>
      <c r="AR88" s="177"/>
    </row>
    <row r="89" spans="1:44">
      <c r="A89" s="204">
        <v>77</v>
      </c>
      <c r="B89" s="190" t="str">
        <f ca="1"/>
        <v/>
      </c>
      <c r="C89" s="175"/>
      <c r="D89" s="176"/>
      <c r="E89" s="176"/>
      <c r="F89" s="176"/>
      <c r="G89" s="177"/>
      <c r="I89" s="167" t="str">
        <v/>
      </c>
      <c r="J89" s="175"/>
      <c r="K89" s="176"/>
      <c r="L89" s="176"/>
      <c r="M89" s="176"/>
      <c r="N89" s="220"/>
      <c r="O89" s="220"/>
      <c r="P89" s="177"/>
      <c r="R89" s="167" t="str">
        <v/>
      </c>
      <c r="S89" s="175"/>
      <c r="T89" s="176"/>
      <c r="U89" s="176"/>
      <c r="V89" s="176"/>
      <c r="W89" s="177"/>
      <c r="Y89" s="167" t="str">
        <v/>
      </c>
      <c r="Z89" s="175"/>
      <c r="AA89" s="176"/>
      <c r="AB89" s="176"/>
      <c r="AC89" s="176"/>
      <c r="AD89" s="177"/>
      <c r="AF89" s="167" t="str">
        <v/>
      </c>
      <c r="AG89" s="175"/>
      <c r="AH89" s="176"/>
      <c r="AI89" s="176"/>
      <c r="AJ89" s="176"/>
      <c r="AK89" s="177"/>
      <c r="AM89" s="167" t="str">
        <v>#Empty List</v>
      </c>
      <c r="AN89" s="175"/>
      <c r="AO89" s="176"/>
      <c r="AP89" s="176"/>
      <c r="AQ89" s="176"/>
      <c r="AR89" s="177"/>
    </row>
    <row r="90" spans="1:44">
      <c r="A90" s="204">
        <v>78</v>
      </c>
      <c r="B90" s="190" t="str">
        <f ca="1"/>
        <v/>
      </c>
      <c r="C90" s="175"/>
      <c r="D90" s="176"/>
      <c r="E90" s="176"/>
      <c r="F90" s="176"/>
      <c r="G90" s="177"/>
      <c r="I90" s="167" t="str">
        <v/>
      </c>
      <c r="J90" s="175"/>
      <c r="K90" s="176"/>
      <c r="L90" s="176"/>
      <c r="M90" s="176"/>
      <c r="N90" s="220"/>
      <c r="O90" s="220"/>
      <c r="P90" s="177"/>
      <c r="R90" s="167" t="str">
        <v/>
      </c>
      <c r="S90" s="175"/>
      <c r="T90" s="176"/>
      <c r="U90" s="176"/>
      <c r="V90" s="176"/>
      <c r="W90" s="177"/>
      <c r="Y90" s="167" t="str">
        <v/>
      </c>
      <c r="Z90" s="175"/>
      <c r="AA90" s="176"/>
      <c r="AB90" s="176"/>
      <c r="AC90" s="176"/>
      <c r="AD90" s="177"/>
      <c r="AF90" s="167" t="str">
        <v/>
      </c>
      <c r="AG90" s="175"/>
      <c r="AH90" s="176"/>
      <c r="AI90" s="176"/>
      <c r="AJ90" s="176"/>
      <c r="AK90" s="177"/>
      <c r="AM90" s="167" t="str">
        <v>#Empty List</v>
      </c>
      <c r="AN90" s="175"/>
      <c r="AO90" s="176"/>
      <c r="AP90" s="176"/>
      <c r="AQ90" s="176"/>
      <c r="AR90" s="177"/>
    </row>
    <row r="91" spans="1:44">
      <c r="A91" s="204">
        <v>79</v>
      </c>
      <c r="B91" s="190" t="str">
        <f ca="1"/>
        <v/>
      </c>
      <c r="C91" s="175"/>
      <c r="D91" s="176"/>
      <c r="E91" s="176"/>
      <c r="F91" s="176"/>
      <c r="G91" s="177"/>
      <c r="I91" s="167" t="str">
        <v/>
      </c>
      <c r="J91" s="175"/>
      <c r="K91" s="176"/>
      <c r="L91" s="176"/>
      <c r="M91" s="176"/>
      <c r="N91" s="220"/>
      <c r="O91" s="220"/>
      <c r="P91" s="177"/>
      <c r="R91" s="167" t="str">
        <v/>
      </c>
      <c r="S91" s="175"/>
      <c r="T91" s="176"/>
      <c r="U91" s="176"/>
      <c r="V91" s="176"/>
      <c r="W91" s="177"/>
      <c r="Y91" s="167" t="str">
        <v/>
      </c>
      <c r="Z91" s="175"/>
      <c r="AA91" s="176"/>
      <c r="AB91" s="176"/>
      <c r="AC91" s="176"/>
      <c r="AD91" s="177"/>
      <c r="AF91" s="167" t="str">
        <v/>
      </c>
      <c r="AG91" s="175"/>
      <c r="AH91" s="176"/>
      <c r="AI91" s="176"/>
      <c r="AJ91" s="176"/>
      <c r="AK91" s="177"/>
      <c r="AM91" s="167" t="str">
        <v>#Empty List</v>
      </c>
      <c r="AN91" s="175"/>
      <c r="AO91" s="176"/>
      <c r="AP91" s="176"/>
      <c r="AQ91" s="176"/>
      <c r="AR91" s="177"/>
    </row>
    <row r="92" spans="1:44">
      <c r="A92" s="204">
        <v>80</v>
      </c>
      <c r="B92" s="190" t="str">
        <f ca="1"/>
        <v/>
      </c>
      <c r="C92" s="175"/>
      <c r="D92" s="176"/>
      <c r="E92" s="176"/>
      <c r="F92" s="176"/>
      <c r="G92" s="177"/>
      <c r="I92" s="167" t="str">
        <v/>
      </c>
      <c r="J92" s="175"/>
      <c r="K92" s="176"/>
      <c r="L92" s="176"/>
      <c r="M92" s="176"/>
      <c r="N92" s="220"/>
      <c r="O92" s="220"/>
      <c r="P92" s="177"/>
      <c r="R92" s="167" t="str">
        <v/>
      </c>
      <c r="S92" s="175"/>
      <c r="T92" s="176"/>
      <c r="U92" s="176"/>
      <c r="V92" s="176"/>
      <c r="W92" s="177"/>
      <c r="Y92" s="167" t="str">
        <v/>
      </c>
      <c r="Z92" s="175"/>
      <c r="AA92" s="176"/>
      <c r="AB92" s="176"/>
      <c r="AC92" s="176"/>
      <c r="AD92" s="177"/>
      <c r="AF92" s="167" t="str">
        <v/>
      </c>
      <c r="AG92" s="175"/>
      <c r="AH92" s="176"/>
      <c r="AI92" s="176"/>
      <c r="AJ92" s="176"/>
      <c r="AK92" s="177"/>
      <c r="AM92" s="167" t="str">
        <v>#Empty List</v>
      </c>
      <c r="AN92" s="175"/>
      <c r="AO92" s="176"/>
      <c r="AP92" s="176"/>
      <c r="AQ92" s="176"/>
      <c r="AR92" s="177"/>
    </row>
    <row r="93" spans="1:44">
      <c r="A93" s="204">
        <v>81</v>
      </c>
      <c r="B93" s="190" t="str">
        <f ca="1"/>
        <v/>
      </c>
      <c r="C93" s="175"/>
      <c r="D93" s="176"/>
      <c r="E93" s="176"/>
      <c r="F93" s="176"/>
      <c r="G93" s="177"/>
      <c r="I93" s="167" t="str">
        <v/>
      </c>
      <c r="J93" s="175"/>
      <c r="K93" s="176"/>
      <c r="L93" s="176"/>
      <c r="M93" s="176"/>
      <c r="N93" s="220"/>
      <c r="O93" s="220"/>
      <c r="P93" s="177"/>
      <c r="R93" s="167" t="str">
        <v/>
      </c>
      <c r="S93" s="175"/>
      <c r="T93" s="176"/>
      <c r="U93" s="176"/>
      <c r="V93" s="176"/>
      <c r="W93" s="177"/>
      <c r="Y93" s="167" t="str">
        <v/>
      </c>
      <c r="Z93" s="175"/>
      <c r="AA93" s="176"/>
      <c r="AB93" s="176"/>
      <c r="AC93" s="176"/>
      <c r="AD93" s="177"/>
      <c r="AF93" s="167" t="str">
        <v/>
      </c>
      <c r="AG93" s="175"/>
      <c r="AH93" s="176"/>
      <c r="AI93" s="176"/>
      <c r="AJ93" s="176"/>
      <c r="AK93" s="177"/>
      <c r="AM93" s="167" t="str">
        <v>#Empty List</v>
      </c>
      <c r="AN93" s="175"/>
      <c r="AO93" s="176"/>
      <c r="AP93" s="176"/>
      <c r="AQ93" s="176"/>
      <c r="AR93" s="177"/>
    </row>
    <row r="94" spans="1:44">
      <c r="A94" s="204">
        <v>82</v>
      </c>
      <c r="B94" s="190" t="str">
        <f ca="1"/>
        <v/>
      </c>
      <c r="C94" s="175"/>
      <c r="D94" s="176"/>
      <c r="E94" s="176"/>
      <c r="F94" s="176"/>
      <c r="G94" s="177"/>
      <c r="I94" s="167" t="str">
        <v/>
      </c>
      <c r="J94" s="175"/>
      <c r="K94" s="176"/>
      <c r="L94" s="176"/>
      <c r="M94" s="176"/>
      <c r="N94" s="220"/>
      <c r="O94" s="220"/>
      <c r="P94" s="177"/>
      <c r="R94" s="167" t="str">
        <v/>
      </c>
      <c r="S94" s="175"/>
      <c r="T94" s="176"/>
      <c r="U94" s="176"/>
      <c r="V94" s="176"/>
      <c r="W94" s="177"/>
      <c r="Y94" s="167" t="str">
        <v/>
      </c>
      <c r="Z94" s="175"/>
      <c r="AA94" s="176"/>
      <c r="AB94" s="176"/>
      <c r="AC94" s="176"/>
      <c r="AD94" s="177"/>
      <c r="AF94" s="167" t="str">
        <v/>
      </c>
      <c r="AG94" s="175"/>
      <c r="AH94" s="176"/>
      <c r="AI94" s="176"/>
      <c r="AJ94" s="176"/>
      <c r="AK94" s="177"/>
      <c r="AM94" s="167" t="str">
        <v>#Empty List</v>
      </c>
      <c r="AN94" s="175"/>
      <c r="AO94" s="176"/>
      <c r="AP94" s="176"/>
      <c r="AQ94" s="176"/>
      <c r="AR94" s="177"/>
    </row>
    <row r="95" spans="1:44">
      <c r="A95" s="204">
        <v>83</v>
      </c>
      <c r="B95" s="190" t="str">
        <f ca="1"/>
        <v/>
      </c>
      <c r="C95" s="175"/>
      <c r="D95" s="176"/>
      <c r="E95" s="176"/>
      <c r="F95" s="176"/>
      <c r="G95" s="177"/>
      <c r="I95" s="167" t="str">
        <v/>
      </c>
      <c r="J95" s="175"/>
      <c r="K95" s="176"/>
      <c r="L95" s="176"/>
      <c r="M95" s="176"/>
      <c r="N95" s="220"/>
      <c r="O95" s="220"/>
      <c r="P95" s="177"/>
      <c r="R95" s="167" t="str">
        <v/>
      </c>
      <c r="S95" s="175"/>
      <c r="T95" s="176"/>
      <c r="U95" s="176"/>
      <c r="V95" s="176"/>
      <c r="W95" s="177"/>
      <c r="Y95" s="167" t="str">
        <v/>
      </c>
      <c r="Z95" s="175"/>
      <c r="AA95" s="176"/>
      <c r="AB95" s="176"/>
      <c r="AC95" s="176"/>
      <c r="AD95" s="177"/>
      <c r="AF95" s="167" t="str">
        <v/>
      </c>
      <c r="AG95" s="175"/>
      <c r="AH95" s="176"/>
      <c r="AI95" s="176"/>
      <c r="AJ95" s="176"/>
      <c r="AK95" s="177"/>
      <c r="AM95" s="167" t="str">
        <v>#Empty List</v>
      </c>
      <c r="AN95" s="175"/>
      <c r="AO95" s="176"/>
      <c r="AP95" s="176"/>
      <c r="AQ95" s="176"/>
      <c r="AR95" s="177"/>
    </row>
    <row r="96" spans="1:44">
      <c r="A96" s="204">
        <v>84</v>
      </c>
      <c r="B96" s="190" t="str">
        <f ca="1"/>
        <v/>
      </c>
      <c r="C96" s="175"/>
      <c r="D96" s="176"/>
      <c r="E96" s="176"/>
      <c r="F96" s="176"/>
      <c r="G96" s="177"/>
      <c r="I96" s="167" t="str">
        <v/>
      </c>
      <c r="J96" s="175"/>
      <c r="K96" s="176"/>
      <c r="L96" s="176"/>
      <c r="M96" s="176"/>
      <c r="N96" s="220"/>
      <c r="O96" s="220"/>
      <c r="P96" s="177"/>
      <c r="R96" s="167" t="str">
        <v/>
      </c>
      <c r="S96" s="175"/>
      <c r="T96" s="176"/>
      <c r="U96" s="176"/>
      <c r="V96" s="176"/>
      <c r="W96" s="177"/>
      <c r="Y96" s="167" t="str">
        <v/>
      </c>
      <c r="Z96" s="175"/>
      <c r="AA96" s="176"/>
      <c r="AB96" s="176"/>
      <c r="AC96" s="176"/>
      <c r="AD96" s="177"/>
      <c r="AF96" s="167" t="str">
        <v/>
      </c>
      <c r="AG96" s="175"/>
      <c r="AH96" s="176"/>
      <c r="AI96" s="176"/>
      <c r="AJ96" s="176"/>
      <c r="AK96" s="177"/>
      <c r="AM96" s="167" t="str">
        <v>#Empty List</v>
      </c>
      <c r="AN96" s="175"/>
      <c r="AO96" s="176"/>
      <c r="AP96" s="176"/>
      <c r="AQ96" s="176"/>
      <c r="AR96" s="177"/>
    </row>
    <row r="97" spans="1:44">
      <c r="A97" s="204">
        <v>85</v>
      </c>
      <c r="B97" s="190" t="str">
        <f ca="1"/>
        <v/>
      </c>
      <c r="C97" s="175"/>
      <c r="D97" s="176"/>
      <c r="E97" s="176"/>
      <c r="F97" s="176"/>
      <c r="G97" s="177"/>
      <c r="I97" s="167" t="str">
        <v/>
      </c>
      <c r="J97" s="175"/>
      <c r="K97" s="176"/>
      <c r="L97" s="176"/>
      <c r="M97" s="176"/>
      <c r="N97" s="220"/>
      <c r="O97" s="220"/>
      <c r="P97" s="177"/>
      <c r="R97" s="167" t="str">
        <v/>
      </c>
      <c r="S97" s="175"/>
      <c r="T97" s="176"/>
      <c r="U97" s="176"/>
      <c r="V97" s="176"/>
      <c r="W97" s="177"/>
      <c r="Y97" s="167" t="str">
        <v/>
      </c>
      <c r="Z97" s="175"/>
      <c r="AA97" s="176"/>
      <c r="AB97" s="176"/>
      <c r="AC97" s="176"/>
      <c r="AD97" s="177"/>
      <c r="AF97" s="167" t="str">
        <v/>
      </c>
      <c r="AG97" s="175"/>
      <c r="AH97" s="176"/>
      <c r="AI97" s="176"/>
      <c r="AJ97" s="176"/>
      <c r="AK97" s="177"/>
      <c r="AM97" s="167" t="str">
        <v>#Empty List</v>
      </c>
      <c r="AN97" s="175"/>
      <c r="AO97" s="176"/>
      <c r="AP97" s="176"/>
      <c r="AQ97" s="176"/>
      <c r="AR97" s="177"/>
    </row>
    <row r="98" spans="1:44">
      <c r="A98" s="204">
        <v>86</v>
      </c>
      <c r="B98" s="190" t="str">
        <f ca="1"/>
        <v/>
      </c>
      <c r="C98" s="175"/>
      <c r="D98" s="176"/>
      <c r="E98" s="176"/>
      <c r="F98" s="176"/>
      <c r="G98" s="177"/>
      <c r="I98" s="167" t="str">
        <v/>
      </c>
      <c r="J98" s="175"/>
      <c r="K98" s="176"/>
      <c r="L98" s="176"/>
      <c r="M98" s="176"/>
      <c r="N98" s="220"/>
      <c r="O98" s="220"/>
      <c r="P98" s="177"/>
      <c r="R98" s="167" t="str">
        <v/>
      </c>
      <c r="S98" s="175"/>
      <c r="T98" s="176"/>
      <c r="U98" s="176"/>
      <c r="V98" s="176"/>
      <c r="W98" s="177"/>
      <c r="Y98" s="167" t="str">
        <v/>
      </c>
      <c r="Z98" s="175"/>
      <c r="AA98" s="176"/>
      <c r="AB98" s="176"/>
      <c r="AC98" s="176"/>
      <c r="AD98" s="177"/>
      <c r="AF98" s="167" t="str">
        <v/>
      </c>
      <c r="AG98" s="175"/>
      <c r="AH98" s="176"/>
      <c r="AI98" s="176"/>
      <c r="AJ98" s="176"/>
      <c r="AK98" s="177"/>
      <c r="AM98" s="167" t="str">
        <v>#Empty List</v>
      </c>
      <c r="AN98" s="175"/>
      <c r="AO98" s="176"/>
      <c r="AP98" s="176"/>
      <c r="AQ98" s="176"/>
      <c r="AR98" s="177"/>
    </row>
    <row r="99" spans="1:44">
      <c r="A99" s="204">
        <v>87</v>
      </c>
      <c r="B99" s="190" t="str">
        <f ca="1"/>
        <v/>
      </c>
      <c r="C99" s="175"/>
      <c r="D99" s="176"/>
      <c r="E99" s="176"/>
      <c r="F99" s="176"/>
      <c r="G99" s="177"/>
      <c r="I99" s="167" t="str">
        <v/>
      </c>
      <c r="J99" s="175"/>
      <c r="K99" s="176"/>
      <c r="L99" s="176"/>
      <c r="M99" s="176"/>
      <c r="N99" s="220"/>
      <c r="O99" s="220"/>
      <c r="P99" s="177"/>
      <c r="R99" s="167" t="str">
        <v/>
      </c>
      <c r="S99" s="175"/>
      <c r="T99" s="176"/>
      <c r="U99" s="176"/>
      <c r="V99" s="176"/>
      <c r="W99" s="177"/>
      <c r="Y99" s="167" t="str">
        <v/>
      </c>
      <c r="Z99" s="175"/>
      <c r="AA99" s="176"/>
      <c r="AB99" s="176"/>
      <c r="AC99" s="176"/>
      <c r="AD99" s="177"/>
      <c r="AF99" s="167" t="str">
        <v/>
      </c>
      <c r="AG99" s="175"/>
      <c r="AH99" s="176"/>
      <c r="AI99" s="176"/>
      <c r="AJ99" s="176"/>
      <c r="AK99" s="177"/>
      <c r="AM99" s="167" t="str">
        <v>#Empty List</v>
      </c>
      <c r="AN99" s="175"/>
      <c r="AO99" s="176"/>
      <c r="AP99" s="176"/>
      <c r="AQ99" s="176"/>
      <c r="AR99" s="177"/>
    </row>
    <row r="100" spans="1:44">
      <c r="A100" s="204">
        <v>88</v>
      </c>
      <c r="B100" s="190" t="str">
        <f ca="1"/>
        <v/>
      </c>
      <c r="C100" s="175"/>
      <c r="D100" s="176"/>
      <c r="E100" s="176"/>
      <c r="F100" s="176"/>
      <c r="G100" s="177"/>
      <c r="I100" s="167" t="str">
        <v/>
      </c>
      <c r="J100" s="175"/>
      <c r="K100" s="176"/>
      <c r="L100" s="176"/>
      <c r="M100" s="176"/>
      <c r="N100" s="220"/>
      <c r="O100" s="220"/>
      <c r="P100" s="177"/>
      <c r="R100" s="167" t="str">
        <v/>
      </c>
      <c r="S100" s="175"/>
      <c r="T100" s="176"/>
      <c r="U100" s="176"/>
      <c r="V100" s="176"/>
      <c r="W100" s="177"/>
      <c r="Y100" s="167" t="str">
        <v/>
      </c>
      <c r="Z100" s="175"/>
      <c r="AA100" s="176"/>
      <c r="AB100" s="176"/>
      <c r="AC100" s="176"/>
      <c r="AD100" s="177"/>
      <c r="AF100" s="167" t="str">
        <v/>
      </c>
      <c r="AG100" s="175"/>
      <c r="AH100" s="176"/>
      <c r="AI100" s="176"/>
      <c r="AJ100" s="176"/>
      <c r="AK100" s="177"/>
      <c r="AM100" s="167" t="str">
        <v>#Empty List</v>
      </c>
      <c r="AN100" s="175"/>
      <c r="AO100" s="176"/>
      <c r="AP100" s="176"/>
      <c r="AQ100" s="176"/>
      <c r="AR100" s="177"/>
    </row>
    <row r="101" spans="1:44">
      <c r="A101" s="204">
        <v>89</v>
      </c>
      <c r="B101" s="190" t="str">
        <f ca="1"/>
        <v/>
      </c>
      <c r="C101" s="175"/>
      <c r="D101" s="176"/>
      <c r="E101" s="176"/>
      <c r="F101" s="176"/>
      <c r="G101" s="177"/>
      <c r="I101" s="167" t="str">
        <v/>
      </c>
      <c r="J101" s="175"/>
      <c r="K101" s="176"/>
      <c r="L101" s="176"/>
      <c r="M101" s="176"/>
      <c r="N101" s="220"/>
      <c r="O101" s="220"/>
      <c r="P101" s="177"/>
      <c r="R101" s="167" t="str">
        <v/>
      </c>
      <c r="S101" s="175"/>
      <c r="T101" s="176"/>
      <c r="U101" s="176"/>
      <c r="V101" s="176"/>
      <c r="W101" s="177"/>
      <c r="Y101" s="167" t="str">
        <v/>
      </c>
      <c r="Z101" s="175"/>
      <c r="AA101" s="176"/>
      <c r="AB101" s="176"/>
      <c r="AC101" s="176"/>
      <c r="AD101" s="177"/>
      <c r="AF101" s="167" t="str">
        <v/>
      </c>
      <c r="AG101" s="175"/>
      <c r="AH101" s="176"/>
      <c r="AI101" s="176"/>
      <c r="AJ101" s="176"/>
      <c r="AK101" s="177"/>
      <c r="AM101" s="167" t="str">
        <v>#Empty List</v>
      </c>
      <c r="AN101" s="175"/>
      <c r="AO101" s="176"/>
      <c r="AP101" s="176"/>
      <c r="AQ101" s="176"/>
      <c r="AR101" s="177"/>
    </row>
    <row r="102" spans="1:44">
      <c r="A102" s="204">
        <v>90</v>
      </c>
      <c r="B102" s="190" t="str">
        <f ca="1"/>
        <v/>
      </c>
      <c r="C102" s="175"/>
      <c r="D102" s="176"/>
      <c r="E102" s="176"/>
      <c r="F102" s="176"/>
      <c r="G102" s="177"/>
      <c r="I102" s="167" t="str">
        <v/>
      </c>
      <c r="J102" s="175"/>
      <c r="K102" s="176"/>
      <c r="L102" s="176"/>
      <c r="M102" s="176"/>
      <c r="N102" s="220"/>
      <c r="O102" s="220"/>
      <c r="P102" s="177"/>
      <c r="R102" s="167" t="str">
        <v/>
      </c>
      <c r="S102" s="175"/>
      <c r="T102" s="176"/>
      <c r="U102" s="176"/>
      <c r="V102" s="176"/>
      <c r="W102" s="177"/>
      <c r="Y102" s="167" t="str">
        <v/>
      </c>
      <c r="Z102" s="175"/>
      <c r="AA102" s="176"/>
      <c r="AB102" s="176"/>
      <c r="AC102" s="176"/>
      <c r="AD102" s="177"/>
      <c r="AF102" s="167" t="str">
        <v/>
      </c>
      <c r="AG102" s="175"/>
      <c r="AH102" s="176"/>
      <c r="AI102" s="176"/>
      <c r="AJ102" s="176"/>
      <c r="AK102" s="177"/>
      <c r="AM102" s="167" t="str">
        <v>#Empty List</v>
      </c>
      <c r="AN102" s="175"/>
      <c r="AO102" s="176"/>
      <c r="AP102" s="176"/>
      <c r="AQ102" s="176"/>
      <c r="AR102" s="177"/>
    </row>
    <row r="103" spans="1:44">
      <c r="A103" s="204">
        <v>91</v>
      </c>
      <c r="B103" s="190" t="str">
        <f ca="1"/>
        <v/>
      </c>
      <c r="C103" s="175"/>
      <c r="D103" s="176"/>
      <c r="E103" s="176"/>
      <c r="F103" s="176"/>
      <c r="G103" s="177"/>
      <c r="I103" s="167" t="str">
        <v/>
      </c>
      <c r="J103" s="175"/>
      <c r="K103" s="176"/>
      <c r="L103" s="176"/>
      <c r="M103" s="176"/>
      <c r="N103" s="220"/>
      <c r="O103" s="220"/>
      <c r="P103" s="177"/>
      <c r="R103" s="167" t="str">
        <v/>
      </c>
      <c r="S103" s="175"/>
      <c r="T103" s="176"/>
      <c r="U103" s="176"/>
      <c r="V103" s="176"/>
      <c r="W103" s="177"/>
      <c r="Y103" s="167" t="str">
        <v/>
      </c>
      <c r="Z103" s="175"/>
      <c r="AA103" s="176"/>
      <c r="AB103" s="176"/>
      <c r="AC103" s="176"/>
      <c r="AD103" s="177"/>
      <c r="AF103" s="167" t="str">
        <v/>
      </c>
      <c r="AG103" s="175"/>
      <c r="AH103" s="176"/>
      <c r="AI103" s="176"/>
      <c r="AJ103" s="176"/>
      <c r="AK103" s="177"/>
      <c r="AM103" s="167" t="str">
        <v>#Empty List</v>
      </c>
      <c r="AN103" s="175"/>
      <c r="AO103" s="176"/>
      <c r="AP103" s="176"/>
      <c r="AQ103" s="176"/>
      <c r="AR103" s="177"/>
    </row>
    <row r="104" spans="1:44">
      <c r="A104" s="204">
        <v>92</v>
      </c>
      <c r="B104" s="190" t="str">
        <f ca="1"/>
        <v/>
      </c>
      <c r="C104" s="175"/>
      <c r="D104" s="176"/>
      <c r="E104" s="176"/>
      <c r="F104" s="176"/>
      <c r="G104" s="177"/>
      <c r="I104" s="167" t="str">
        <v/>
      </c>
      <c r="J104" s="175"/>
      <c r="K104" s="176"/>
      <c r="L104" s="176"/>
      <c r="M104" s="176"/>
      <c r="N104" s="220"/>
      <c r="O104" s="220"/>
      <c r="P104" s="177"/>
      <c r="R104" s="167" t="str">
        <v/>
      </c>
      <c r="S104" s="175"/>
      <c r="T104" s="176"/>
      <c r="U104" s="176"/>
      <c r="V104" s="176"/>
      <c r="W104" s="177"/>
      <c r="Y104" s="167" t="str">
        <v/>
      </c>
      <c r="Z104" s="175"/>
      <c r="AA104" s="176"/>
      <c r="AB104" s="176"/>
      <c r="AC104" s="176"/>
      <c r="AD104" s="177"/>
      <c r="AF104" s="167" t="str">
        <v/>
      </c>
      <c r="AG104" s="175"/>
      <c r="AH104" s="176"/>
      <c r="AI104" s="176"/>
      <c r="AJ104" s="176"/>
      <c r="AK104" s="177"/>
      <c r="AM104" s="167" t="str">
        <v>#Empty List</v>
      </c>
      <c r="AN104" s="175"/>
      <c r="AO104" s="176"/>
      <c r="AP104" s="176"/>
      <c r="AQ104" s="176"/>
      <c r="AR104" s="177"/>
    </row>
    <row r="105" spans="1:44">
      <c r="A105" s="204">
        <v>93</v>
      </c>
      <c r="B105" s="190" t="str">
        <f ca="1"/>
        <v/>
      </c>
      <c r="C105" s="175"/>
      <c r="D105" s="176"/>
      <c r="E105" s="176"/>
      <c r="F105" s="176"/>
      <c r="G105" s="177"/>
      <c r="I105" s="167" t="str">
        <v/>
      </c>
      <c r="J105" s="175"/>
      <c r="K105" s="176"/>
      <c r="L105" s="176"/>
      <c r="M105" s="176"/>
      <c r="N105" s="220"/>
      <c r="O105" s="220"/>
      <c r="P105" s="177"/>
      <c r="R105" s="167" t="str">
        <v/>
      </c>
      <c r="S105" s="175"/>
      <c r="T105" s="176"/>
      <c r="U105" s="176"/>
      <c r="V105" s="176"/>
      <c r="W105" s="177"/>
      <c r="Y105" s="167" t="str">
        <v/>
      </c>
      <c r="Z105" s="175"/>
      <c r="AA105" s="176"/>
      <c r="AB105" s="176"/>
      <c r="AC105" s="176"/>
      <c r="AD105" s="177"/>
      <c r="AF105" s="167" t="str">
        <v/>
      </c>
      <c r="AG105" s="175"/>
      <c r="AH105" s="176"/>
      <c r="AI105" s="176"/>
      <c r="AJ105" s="176"/>
      <c r="AK105" s="177"/>
      <c r="AM105" s="167" t="str">
        <v>#Empty List</v>
      </c>
      <c r="AN105" s="175"/>
      <c r="AO105" s="176"/>
      <c r="AP105" s="176"/>
      <c r="AQ105" s="176"/>
      <c r="AR105" s="177"/>
    </row>
    <row r="106" spans="1:44">
      <c r="A106" s="204">
        <v>94</v>
      </c>
      <c r="B106" s="190" t="str">
        <f ca="1"/>
        <v/>
      </c>
      <c r="C106" s="175"/>
      <c r="D106" s="176"/>
      <c r="E106" s="176"/>
      <c r="F106" s="176"/>
      <c r="G106" s="177"/>
      <c r="I106" s="167" t="str">
        <v/>
      </c>
      <c r="J106" s="175"/>
      <c r="K106" s="176"/>
      <c r="L106" s="176"/>
      <c r="M106" s="176"/>
      <c r="N106" s="220"/>
      <c r="O106" s="220"/>
      <c r="P106" s="177"/>
      <c r="R106" s="167" t="str">
        <v/>
      </c>
      <c r="S106" s="175"/>
      <c r="T106" s="176"/>
      <c r="U106" s="176"/>
      <c r="V106" s="176"/>
      <c r="W106" s="177"/>
      <c r="Y106" s="167" t="str">
        <v/>
      </c>
      <c r="Z106" s="175"/>
      <c r="AA106" s="176"/>
      <c r="AB106" s="176"/>
      <c r="AC106" s="176"/>
      <c r="AD106" s="177"/>
      <c r="AF106" s="167" t="str">
        <v/>
      </c>
      <c r="AG106" s="175"/>
      <c r="AH106" s="176"/>
      <c r="AI106" s="176"/>
      <c r="AJ106" s="176"/>
      <c r="AK106" s="177"/>
      <c r="AM106" s="167" t="str">
        <v>#Empty List</v>
      </c>
      <c r="AN106" s="175"/>
      <c r="AO106" s="176"/>
      <c r="AP106" s="176"/>
      <c r="AQ106" s="176"/>
      <c r="AR106" s="177"/>
    </row>
    <row r="107" spans="1:44">
      <c r="A107" s="204">
        <v>95</v>
      </c>
      <c r="B107" s="190" t="str">
        <f ca="1"/>
        <v/>
      </c>
      <c r="C107" s="175"/>
      <c r="D107" s="176"/>
      <c r="E107" s="176"/>
      <c r="F107" s="176"/>
      <c r="G107" s="177"/>
      <c r="I107" s="167" t="str">
        <v/>
      </c>
      <c r="J107" s="175"/>
      <c r="K107" s="176"/>
      <c r="L107" s="176"/>
      <c r="M107" s="176"/>
      <c r="N107" s="220"/>
      <c r="O107" s="220"/>
      <c r="P107" s="177"/>
      <c r="R107" s="167" t="str">
        <v/>
      </c>
      <c r="S107" s="175"/>
      <c r="T107" s="176"/>
      <c r="U107" s="176"/>
      <c r="V107" s="176"/>
      <c r="W107" s="177"/>
      <c r="Y107" s="167" t="str">
        <v/>
      </c>
      <c r="Z107" s="175"/>
      <c r="AA107" s="176"/>
      <c r="AB107" s="176"/>
      <c r="AC107" s="176"/>
      <c r="AD107" s="177"/>
      <c r="AF107" s="167" t="str">
        <v/>
      </c>
      <c r="AG107" s="175"/>
      <c r="AH107" s="176"/>
      <c r="AI107" s="176"/>
      <c r="AJ107" s="176"/>
      <c r="AK107" s="177"/>
      <c r="AM107" s="167" t="str">
        <v>#Empty List</v>
      </c>
      <c r="AN107" s="175"/>
      <c r="AO107" s="176"/>
      <c r="AP107" s="176"/>
      <c r="AQ107" s="176"/>
      <c r="AR107" s="177"/>
    </row>
    <row r="108" spans="1:44">
      <c r="A108" s="204">
        <v>96</v>
      </c>
      <c r="B108" s="190" t="str">
        <f ca="1"/>
        <v/>
      </c>
      <c r="C108" s="175"/>
      <c r="D108" s="176"/>
      <c r="E108" s="176"/>
      <c r="F108" s="176"/>
      <c r="G108" s="177"/>
      <c r="I108" s="167" t="str">
        <v/>
      </c>
      <c r="J108" s="175"/>
      <c r="K108" s="176"/>
      <c r="L108" s="176"/>
      <c r="M108" s="176"/>
      <c r="N108" s="220"/>
      <c r="O108" s="220"/>
      <c r="P108" s="177"/>
      <c r="R108" s="167" t="str">
        <v/>
      </c>
      <c r="S108" s="175"/>
      <c r="T108" s="176"/>
      <c r="U108" s="176"/>
      <c r="V108" s="176"/>
      <c r="W108" s="177"/>
      <c r="Y108" s="167" t="str">
        <v/>
      </c>
      <c r="Z108" s="175"/>
      <c r="AA108" s="176"/>
      <c r="AB108" s="176"/>
      <c r="AC108" s="176"/>
      <c r="AD108" s="177"/>
      <c r="AF108" s="167" t="str">
        <v/>
      </c>
      <c r="AG108" s="175"/>
      <c r="AH108" s="176"/>
      <c r="AI108" s="176"/>
      <c r="AJ108" s="176"/>
      <c r="AK108" s="177"/>
      <c r="AM108" s="167" t="str">
        <v>#Empty List</v>
      </c>
      <c r="AN108" s="175"/>
      <c r="AO108" s="176"/>
      <c r="AP108" s="176"/>
      <c r="AQ108" s="176"/>
      <c r="AR108" s="177"/>
    </row>
    <row r="109" spans="1:44">
      <c r="A109" s="204">
        <v>97</v>
      </c>
      <c r="B109" s="190" t="str">
        <f ca="1"/>
        <v/>
      </c>
      <c r="C109" s="175"/>
      <c r="D109" s="176"/>
      <c r="E109" s="176"/>
      <c r="F109" s="176"/>
      <c r="G109" s="177"/>
      <c r="I109" s="167" t="str">
        <v/>
      </c>
      <c r="J109" s="175"/>
      <c r="K109" s="176"/>
      <c r="L109" s="176"/>
      <c r="M109" s="176"/>
      <c r="N109" s="220"/>
      <c r="O109" s="220"/>
      <c r="P109" s="177"/>
      <c r="R109" s="167" t="str">
        <v/>
      </c>
      <c r="S109" s="175"/>
      <c r="T109" s="176"/>
      <c r="U109" s="176"/>
      <c r="V109" s="176"/>
      <c r="W109" s="177"/>
      <c r="Y109" s="167" t="str">
        <v/>
      </c>
      <c r="Z109" s="175"/>
      <c r="AA109" s="176"/>
      <c r="AB109" s="176"/>
      <c r="AC109" s="176"/>
      <c r="AD109" s="177"/>
      <c r="AF109" s="167" t="str">
        <v/>
      </c>
      <c r="AG109" s="175"/>
      <c r="AH109" s="176"/>
      <c r="AI109" s="176"/>
      <c r="AJ109" s="176"/>
      <c r="AK109" s="177"/>
      <c r="AM109" s="167" t="str">
        <v>#Empty List</v>
      </c>
      <c r="AN109" s="175"/>
      <c r="AO109" s="176"/>
      <c r="AP109" s="176"/>
      <c r="AQ109" s="176"/>
      <c r="AR109" s="177"/>
    </row>
    <row r="110" spans="1:44">
      <c r="A110" s="204">
        <v>98</v>
      </c>
      <c r="B110" s="190" t="str">
        <f ca="1"/>
        <v/>
      </c>
      <c r="C110" s="175"/>
      <c r="D110" s="176"/>
      <c r="E110" s="176"/>
      <c r="F110" s="176"/>
      <c r="G110" s="177"/>
      <c r="I110" s="167" t="str">
        <v/>
      </c>
      <c r="J110" s="175"/>
      <c r="K110" s="176"/>
      <c r="L110" s="176"/>
      <c r="M110" s="176"/>
      <c r="N110" s="220"/>
      <c r="O110" s="220"/>
      <c r="P110" s="177"/>
      <c r="R110" s="167" t="str">
        <v/>
      </c>
      <c r="S110" s="175"/>
      <c r="T110" s="176"/>
      <c r="U110" s="176"/>
      <c r="V110" s="176"/>
      <c r="W110" s="177"/>
      <c r="Y110" s="167" t="str">
        <v/>
      </c>
      <c r="Z110" s="175"/>
      <c r="AA110" s="176"/>
      <c r="AB110" s="176"/>
      <c r="AC110" s="176"/>
      <c r="AD110" s="177"/>
      <c r="AF110" s="167" t="str">
        <v/>
      </c>
      <c r="AG110" s="175"/>
      <c r="AH110" s="176"/>
      <c r="AI110" s="176"/>
      <c r="AJ110" s="176"/>
      <c r="AK110" s="177"/>
      <c r="AM110" s="167" t="str">
        <v>#Empty List</v>
      </c>
      <c r="AN110" s="175"/>
      <c r="AO110" s="176"/>
      <c r="AP110" s="176"/>
      <c r="AQ110" s="176"/>
      <c r="AR110" s="177"/>
    </row>
    <row r="111" spans="1:44">
      <c r="A111" s="204">
        <v>99</v>
      </c>
      <c r="B111" s="190" t="str">
        <f ca="1"/>
        <v/>
      </c>
      <c r="C111" s="175"/>
      <c r="D111" s="176"/>
      <c r="E111" s="176"/>
      <c r="F111" s="176"/>
      <c r="G111" s="177"/>
      <c r="I111" s="167" t="str">
        <v/>
      </c>
      <c r="J111" s="175"/>
      <c r="K111" s="176"/>
      <c r="L111" s="176"/>
      <c r="M111" s="176"/>
      <c r="N111" s="220"/>
      <c r="O111" s="220"/>
      <c r="P111" s="177"/>
      <c r="R111" s="167" t="str">
        <v/>
      </c>
      <c r="S111" s="175"/>
      <c r="T111" s="176"/>
      <c r="U111" s="176"/>
      <c r="V111" s="176"/>
      <c r="W111" s="177"/>
      <c r="Y111" s="167" t="str">
        <v/>
      </c>
      <c r="Z111" s="175"/>
      <c r="AA111" s="176"/>
      <c r="AB111" s="176"/>
      <c r="AC111" s="176"/>
      <c r="AD111" s="177"/>
      <c r="AF111" s="167" t="str">
        <v/>
      </c>
      <c r="AG111" s="175"/>
      <c r="AH111" s="176"/>
      <c r="AI111" s="176"/>
      <c r="AJ111" s="176"/>
      <c r="AK111" s="177"/>
      <c r="AM111" s="167" t="str">
        <v>#Empty List</v>
      </c>
      <c r="AN111" s="175"/>
      <c r="AO111" s="176"/>
      <c r="AP111" s="176"/>
      <c r="AQ111" s="176"/>
      <c r="AR111" s="177"/>
    </row>
    <row r="112" spans="1:44">
      <c r="A112" s="204">
        <v>100</v>
      </c>
      <c r="B112" s="191" t="str">
        <f ca="1"/>
        <v/>
      </c>
      <c r="C112" s="182"/>
      <c r="D112" s="183"/>
      <c r="E112" s="183"/>
      <c r="F112" s="183"/>
      <c r="G112" s="184"/>
      <c r="I112" s="168" t="str">
        <v/>
      </c>
      <c r="J112" s="182"/>
      <c r="K112" s="183"/>
      <c r="L112" s="183"/>
      <c r="M112" s="183"/>
      <c r="N112" s="221"/>
      <c r="O112" s="221"/>
      <c r="P112" s="184"/>
      <c r="R112" s="168" t="str">
        <v/>
      </c>
      <c r="S112" s="182"/>
      <c r="T112" s="183"/>
      <c r="U112" s="183"/>
      <c r="V112" s="183"/>
      <c r="W112" s="184"/>
      <c r="Y112" s="168" t="str">
        <v/>
      </c>
      <c r="Z112" s="182"/>
      <c r="AA112" s="183"/>
      <c r="AB112" s="183"/>
      <c r="AC112" s="183"/>
      <c r="AD112" s="184"/>
      <c r="AF112" s="168" t="str">
        <v/>
      </c>
      <c r="AG112" s="182"/>
      <c r="AH112" s="183"/>
      <c r="AI112" s="183"/>
      <c r="AJ112" s="183"/>
      <c r="AK112" s="184"/>
      <c r="AM112" s="168" t="str">
        <v>#Empty List</v>
      </c>
      <c r="AN112" s="182"/>
      <c r="AO112" s="183"/>
      <c r="AP112" s="183"/>
      <c r="AQ112" s="183"/>
      <c r="AR112" s="184"/>
    </row>
    <row r="113" spans="1:44">
      <c r="B113" s="151" t="s">
        <v>12</v>
      </c>
      <c r="C113" s="151" t="s">
        <v>12</v>
      </c>
      <c r="D113" s="151" t="s">
        <v>12</v>
      </c>
      <c r="E113" s="151" t="s">
        <v>12</v>
      </c>
      <c r="F113" s="151" t="s">
        <v>12</v>
      </c>
      <c r="G113" s="151" t="s">
        <v>12</v>
      </c>
      <c r="I113" s="151" t="s">
        <v>12</v>
      </c>
      <c r="J113" s="151" t="s">
        <v>12</v>
      </c>
      <c r="N113" s="222"/>
      <c r="O113" s="222"/>
      <c r="P113" s="178"/>
      <c r="R113" s="151" t="s">
        <v>12</v>
      </c>
      <c r="S113" s="151" t="s">
        <v>12</v>
      </c>
      <c r="T113" s="151" t="s">
        <v>12</v>
      </c>
      <c r="U113" s="151" t="s">
        <v>12</v>
      </c>
      <c r="V113" s="151" t="s">
        <v>12</v>
      </c>
      <c r="W113" s="151" t="s">
        <v>12</v>
      </c>
      <c r="Y113" s="151" t="s">
        <v>12</v>
      </c>
      <c r="Z113" s="151" t="s">
        <v>12</v>
      </c>
      <c r="AA113" s="151" t="s">
        <v>12</v>
      </c>
      <c r="AB113" s="151" t="s">
        <v>12</v>
      </c>
      <c r="AC113" s="151" t="s">
        <v>12</v>
      </c>
      <c r="AD113" s="151" t="s">
        <v>12</v>
      </c>
      <c r="AF113" s="151" t="s">
        <v>12</v>
      </c>
      <c r="AG113" s="151" t="s">
        <v>12</v>
      </c>
      <c r="AH113" s="151" t="s">
        <v>12</v>
      </c>
      <c r="AI113" s="151" t="s">
        <v>12</v>
      </c>
      <c r="AJ113" s="151" t="s">
        <v>12</v>
      </c>
      <c r="AK113" s="151" t="s">
        <v>12</v>
      </c>
      <c r="AM113" s="151" t="s">
        <v>12</v>
      </c>
      <c r="AN113" s="151" t="s">
        <v>12</v>
      </c>
      <c r="AO113" s="151" t="s">
        <v>12</v>
      </c>
      <c r="AP113" s="151" t="s">
        <v>12</v>
      </c>
      <c r="AQ113" s="151" t="s">
        <v>12</v>
      </c>
      <c r="AR113" s="151" t="s">
        <v>12</v>
      </c>
    </row>
    <row r="114" spans="1:44">
      <c r="I114" s="154"/>
      <c r="K114" s="154"/>
      <c r="N114" s="222"/>
      <c r="O114" s="222"/>
      <c r="P114" s="178"/>
      <c r="R114" s="154"/>
      <c r="T114" s="154"/>
      <c r="Y114" s="154"/>
      <c r="AA114" s="154"/>
      <c r="AF114" s="154"/>
      <c r="AH114" s="154"/>
      <c r="AM114" s="154"/>
      <c r="AO114" s="154"/>
    </row>
    <row r="115" spans="1:44">
      <c r="N115" s="222"/>
      <c r="O115" s="222"/>
      <c r="P115" s="178"/>
    </row>
    <row r="116" spans="1:44">
      <c r="D116" s="159" t="s">
        <v>363</v>
      </c>
      <c r="K116" s="159" t="s">
        <v>363</v>
      </c>
      <c r="N116" s="222"/>
      <c r="O116" s="222"/>
      <c r="P116" s="178"/>
      <c r="T116" s="159" t="s">
        <v>363</v>
      </c>
      <c r="AA116" s="159" t="s">
        <v>363</v>
      </c>
      <c r="AH116" s="159" t="s">
        <v>363</v>
      </c>
      <c r="AO116" s="159" t="s">
        <v>363</v>
      </c>
    </row>
    <row r="117" spans="1:44">
      <c r="B117" s="154" t="s">
        <v>490</v>
      </c>
      <c r="D117" s="161" t="s">
        <v>2625</v>
      </c>
      <c r="I117" s="154" t="s">
        <v>491</v>
      </c>
      <c r="K117" s="161" t="s">
        <v>2626</v>
      </c>
      <c r="N117" s="222"/>
      <c r="O117" s="222"/>
      <c r="P117" s="178"/>
      <c r="R117" s="154" t="s">
        <v>492</v>
      </c>
      <c r="T117" s="161" t="s">
        <v>2627</v>
      </c>
      <c r="Y117" s="154" t="s">
        <v>493</v>
      </c>
      <c r="AA117" s="161" t="s">
        <v>2628</v>
      </c>
      <c r="AF117" s="154" t="s">
        <v>494</v>
      </c>
      <c r="AH117" s="161" t="s">
        <v>2629</v>
      </c>
      <c r="AM117" s="154" t="s">
        <v>495</v>
      </c>
      <c r="AO117" s="161" t="s">
        <v>2630</v>
      </c>
    </row>
    <row r="118" spans="1:44">
      <c r="N118" s="222"/>
      <c r="O118" s="222"/>
      <c r="P118" s="178"/>
    </row>
    <row r="119" spans="1:44">
      <c r="B119" s="162" t="s">
        <v>380</v>
      </c>
      <c r="C119" s="162" t="s">
        <v>381</v>
      </c>
      <c r="D119" s="162" t="s">
        <v>382</v>
      </c>
      <c r="E119" s="162" t="s">
        <v>383</v>
      </c>
      <c r="F119" s="162" t="s">
        <v>384</v>
      </c>
      <c r="G119" s="162" t="s">
        <v>385</v>
      </c>
      <c r="I119" s="162" t="s">
        <v>380</v>
      </c>
      <c r="J119" s="162" t="s">
        <v>381</v>
      </c>
      <c r="K119" s="162" t="s">
        <v>382</v>
      </c>
      <c r="L119" s="162" t="s">
        <v>383</v>
      </c>
      <c r="M119" s="162" t="s">
        <v>384</v>
      </c>
      <c r="N119" s="217" t="s">
        <v>928</v>
      </c>
      <c r="O119" s="217" t="s">
        <v>929</v>
      </c>
      <c r="P119" s="216" t="s">
        <v>385</v>
      </c>
      <c r="R119" s="162" t="s">
        <v>380</v>
      </c>
      <c r="S119" s="162" t="s">
        <v>381</v>
      </c>
      <c r="T119" s="162" t="s">
        <v>382</v>
      </c>
      <c r="U119" s="162" t="s">
        <v>383</v>
      </c>
      <c r="V119" s="162" t="s">
        <v>384</v>
      </c>
      <c r="W119" s="162" t="s">
        <v>385</v>
      </c>
      <c r="Y119" s="162" t="s">
        <v>380</v>
      </c>
      <c r="Z119" s="162" t="s">
        <v>381</v>
      </c>
      <c r="AA119" s="162" t="s">
        <v>382</v>
      </c>
      <c r="AB119" s="162" t="s">
        <v>383</v>
      </c>
      <c r="AC119" s="162" t="s">
        <v>384</v>
      </c>
      <c r="AD119" s="162" t="s">
        <v>385</v>
      </c>
      <c r="AF119" s="162" t="s">
        <v>380</v>
      </c>
      <c r="AG119" s="162" t="s">
        <v>381</v>
      </c>
      <c r="AH119" s="162" t="s">
        <v>382</v>
      </c>
      <c r="AI119" s="162" t="s">
        <v>383</v>
      </c>
      <c r="AJ119" s="162" t="s">
        <v>384</v>
      </c>
      <c r="AK119" s="162" t="s">
        <v>385</v>
      </c>
      <c r="AM119" s="162" t="s">
        <v>380</v>
      </c>
      <c r="AN119" s="162" t="s">
        <v>381</v>
      </c>
      <c r="AO119" s="162" t="s">
        <v>382</v>
      </c>
      <c r="AP119" s="162" t="s">
        <v>383</v>
      </c>
      <c r="AQ119" s="162" t="s">
        <v>384</v>
      </c>
      <c r="AR119" s="162" t="s">
        <v>385</v>
      </c>
    </row>
    <row r="120" spans="1:44">
      <c r="A120" s="204">
        <v>1</v>
      </c>
      <c r="B120" s="166" t="str">
        <f t="array" ref="B120:B219">getTickers(Instruments!C120:H219,100)</f>
        <v>EONIA ICPL Index</v>
      </c>
      <c r="C120" s="169" t="s">
        <v>1469</v>
      </c>
      <c r="D120" s="170" t="s">
        <v>1196</v>
      </c>
      <c r="E120" s="170" t="s">
        <v>388</v>
      </c>
      <c r="F120" s="170" t="s">
        <v>1506</v>
      </c>
      <c r="G120" s="171">
        <v>-0.35499999999999998</v>
      </c>
      <c r="I120" s="166" t="str">
        <f t="array" ref="I120:I219">getTickers(Instruments!K120:P219,100)</f>
        <v>EUR006M ICPL Index</v>
      </c>
      <c r="J120" s="169" t="s">
        <v>1469</v>
      </c>
      <c r="K120" s="170" t="s">
        <v>1232</v>
      </c>
      <c r="L120" s="170" t="s">
        <v>388</v>
      </c>
      <c r="M120" s="170" t="s">
        <v>1233</v>
      </c>
      <c r="N120" s="218" t="s">
        <v>2364</v>
      </c>
      <c r="O120" s="218" t="s">
        <v>2364</v>
      </c>
      <c r="P120" s="171">
        <v>-0.26900000000000002</v>
      </c>
      <c r="R120" s="166" t="str">
        <f t="array" ref="R120:R219">getTickers(Instruments!S120:X219,100)</f>
        <v>EUBSV1 CMPN Curncy</v>
      </c>
      <c r="S120" s="169" t="s">
        <v>1469</v>
      </c>
      <c r="T120" s="170" t="s">
        <v>1298</v>
      </c>
      <c r="U120" s="170" t="s">
        <v>1109</v>
      </c>
      <c r="V120" s="170" t="s">
        <v>1299</v>
      </c>
      <c r="W120" s="171">
        <v>5.9</v>
      </c>
      <c r="Y120" s="166" t="str">
        <f t="array" ref="Y120:Y219">getTickers(Instruments!AA120:AF219,100)</f>
        <v>EUBSA1 TRPU Curncy</v>
      </c>
      <c r="Z120" s="169" t="s">
        <v>1469</v>
      </c>
      <c r="AA120" s="170" t="s">
        <v>1360</v>
      </c>
      <c r="AB120" s="170" t="s">
        <v>1109</v>
      </c>
      <c r="AC120" s="170" t="s">
        <v>1361</v>
      </c>
      <c r="AD120" s="171">
        <v>4.3499999999999996</v>
      </c>
      <c r="AF120" s="166" t="str">
        <f t="array" ref="AF120:AF219">getTickers(Instruments!AI120:AN219,100)</f>
        <v>EUBSS1 ICPL Curncy</v>
      </c>
      <c r="AG120" s="169" t="s">
        <v>1469</v>
      </c>
      <c r="AH120" s="170" t="s">
        <v>1394</v>
      </c>
      <c r="AI120" s="170" t="s">
        <v>1109</v>
      </c>
      <c r="AJ120" s="170" t="s">
        <v>1395</v>
      </c>
      <c r="AK120" s="171">
        <v>6.5</v>
      </c>
      <c r="AM120" s="166" t="str">
        <f t="array" ref="AM120:AM219">getTickers(Instruments!AQ120:AV219,100)</f>
        <v>EUBS1 ICPL Curncy</v>
      </c>
      <c r="AN120" s="169" t="s">
        <v>1469</v>
      </c>
      <c r="AO120" s="170" t="s">
        <v>1422</v>
      </c>
      <c r="AP120" s="170" t="s">
        <v>1109</v>
      </c>
      <c r="AQ120" s="170" t="s">
        <v>2419</v>
      </c>
      <c r="AR120" s="171">
        <v>-24.125</v>
      </c>
    </row>
    <row r="121" spans="1:44">
      <c r="A121" s="204">
        <v>2</v>
      </c>
      <c r="B121" s="167" t="str">
        <v>EUSF1A ICPL Curncy</v>
      </c>
      <c r="C121" s="175" t="s">
        <v>1470</v>
      </c>
      <c r="D121" s="176" t="s">
        <v>1197</v>
      </c>
      <c r="E121" s="176" t="s">
        <v>1165</v>
      </c>
      <c r="F121" s="176" t="s">
        <v>1198</v>
      </c>
      <c r="G121" s="177">
        <v>-0.36199999999999999</v>
      </c>
      <c r="I121" s="167" t="str">
        <v>EUFR0BH ICPL Curncy</v>
      </c>
      <c r="J121" s="175" t="s">
        <v>1470</v>
      </c>
      <c r="K121" s="176" t="s">
        <v>1234</v>
      </c>
      <c r="L121" s="176" t="s">
        <v>508</v>
      </c>
      <c r="M121" s="176" t="s">
        <v>1235</v>
      </c>
      <c r="N121" s="220" t="s">
        <v>2364</v>
      </c>
      <c r="O121" s="220" t="s">
        <v>2364</v>
      </c>
      <c r="P121" s="177">
        <v>-0.26300000000000001</v>
      </c>
      <c r="R121" s="167" t="str">
        <v>EUBSV2 CMPN Curncy</v>
      </c>
      <c r="S121" s="175" t="s">
        <v>1470</v>
      </c>
      <c r="T121" s="176" t="s">
        <v>1300</v>
      </c>
      <c r="U121" s="176" t="s">
        <v>1109</v>
      </c>
      <c r="V121" s="176" t="s">
        <v>1301</v>
      </c>
      <c r="W121" s="177">
        <v>6.2750000000000004</v>
      </c>
      <c r="Y121" s="167" t="str">
        <v>EUBSA2 TRPU Curncy</v>
      </c>
      <c r="Z121" s="175" t="s">
        <v>1470</v>
      </c>
      <c r="AA121" s="176" t="s">
        <v>1362</v>
      </c>
      <c r="AB121" s="176" t="s">
        <v>1109</v>
      </c>
      <c r="AC121" s="176" t="s">
        <v>1363</v>
      </c>
      <c r="AD121" s="177">
        <v>4.9000000000000004</v>
      </c>
      <c r="AF121" s="167" t="str">
        <v>EUBSS2 ICPL Curncy</v>
      </c>
      <c r="AG121" s="175" t="s">
        <v>1470</v>
      </c>
      <c r="AH121" s="176" t="s">
        <v>1396</v>
      </c>
      <c r="AI121" s="176" t="s">
        <v>1109</v>
      </c>
      <c r="AJ121" s="176" t="s">
        <v>1397</v>
      </c>
      <c r="AK121" s="177">
        <v>5.9</v>
      </c>
      <c r="AM121" s="167" t="str">
        <v>EUBS2 ICPL Curncy</v>
      </c>
      <c r="AN121" s="175" t="s">
        <v>1470</v>
      </c>
      <c r="AO121" s="176" t="s">
        <v>1423</v>
      </c>
      <c r="AP121" s="176" t="s">
        <v>1109</v>
      </c>
      <c r="AQ121" s="176" t="s">
        <v>2420</v>
      </c>
      <c r="AR121" s="177">
        <v>-24.25</v>
      </c>
    </row>
    <row r="122" spans="1:44">
      <c r="A122" s="204">
        <v>3</v>
      </c>
      <c r="B122" s="167" t="str">
        <v>EUSF2A ICPL Curncy</v>
      </c>
      <c r="C122" s="175" t="s">
        <v>385</v>
      </c>
      <c r="D122" s="176" t="s">
        <v>1199</v>
      </c>
      <c r="E122" s="176" t="s">
        <v>1165</v>
      </c>
      <c r="F122" s="176" t="s">
        <v>1200</v>
      </c>
      <c r="G122" s="177">
        <v>-0.36099999999999999</v>
      </c>
      <c r="I122" s="167" t="str">
        <v>EUFR0CI ICPL Curncy</v>
      </c>
      <c r="J122" s="175" t="s">
        <v>930</v>
      </c>
      <c r="K122" s="176" t="s">
        <v>1236</v>
      </c>
      <c r="L122" s="176" t="s">
        <v>508</v>
      </c>
      <c r="M122" s="176" t="s">
        <v>1237</v>
      </c>
      <c r="N122" s="220" t="s">
        <v>2364</v>
      </c>
      <c r="O122" s="220" t="s">
        <v>2364</v>
      </c>
      <c r="P122" s="177">
        <v>-0.25900000000000001</v>
      </c>
      <c r="R122" s="167" t="str">
        <v>EUBSV3 CMPN Curncy</v>
      </c>
      <c r="S122" s="175" t="s">
        <v>385</v>
      </c>
      <c r="T122" s="176" t="s">
        <v>1302</v>
      </c>
      <c r="U122" s="176" t="s">
        <v>1109</v>
      </c>
      <c r="V122" s="176" t="s">
        <v>1303</v>
      </c>
      <c r="W122" s="177">
        <v>6.8250000000000002</v>
      </c>
      <c r="Y122" s="167" t="str">
        <v>EUBSA3 TRPU Curncy</v>
      </c>
      <c r="Z122" s="175" t="s">
        <v>385</v>
      </c>
      <c r="AA122" s="176" t="s">
        <v>1364</v>
      </c>
      <c r="AB122" s="176" t="s">
        <v>1109</v>
      </c>
      <c r="AC122" s="176" t="s">
        <v>1365</v>
      </c>
      <c r="AD122" s="177">
        <v>5.45</v>
      </c>
      <c r="AF122" s="167" t="str">
        <v>EUBSS3 ICPL Curncy</v>
      </c>
      <c r="AG122" s="175" t="s">
        <v>385</v>
      </c>
      <c r="AH122" s="176" t="s">
        <v>1398</v>
      </c>
      <c r="AI122" s="176" t="s">
        <v>1109</v>
      </c>
      <c r="AJ122" s="176" t="s">
        <v>1399</v>
      </c>
      <c r="AK122" s="177">
        <v>6</v>
      </c>
      <c r="AM122" s="167" t="str">
        <v>EUBS3 ICPL Curncy</v>
      </c>
      <c r="AN122" s="175" t="s">
        <v>385</v>
      </c>
      <c r="AO122" s="176" t="s">
        <v>1424</v>
      </c>
      <c r="AP122" s="176" t="s">
        <v>1109</v>
      </c>
      <c r="AQ122" s="176" t="s">
        <v>2421</v>
      </c>
      <c r="AR122" s="177">
        <v>-24.25</v>
      </c>
    </row>
    <row r="123" spans="1:44">
      <c r="A123" s="204">
        <v>4</v>
      </c>
      <c r="B123" s="167" t="str">
        <v>EUSF3A ICPL Curncy</v>
      </c>
      <c r="C123" s="175"/>
      <c r="D123" s="176" t="s">
        <v>2181</v>
      </c>
      <c r="E123" s="176" t="s">
        <v>1165</v>
      </c>
      <c r="F123" s="176" t="s">
        <v>2182</v>
      </c>
      <c r="G123" s="177">
        <v>-0.35899999999999999</v>
      </c>
      <c r="I123" s="167" t="str">
        <v>EUFR0DJ ICPL Curncy</v>
      </c>
      <c r="J123" s="175" t="s">
        <v>931</v>
      </c>
      <c r="K123" s="176" t="s">
        <v>1238</v>
      </c>
      <c r="L123" s="176" t="s">
        <v>508</v>
      </c>
      <c r="M123" s="176" t="s">
        <v>1239</v>
      </c>
      <c r="N123" s="220" t="s">
        <v>2364</v>
      </c>
      <c r="O123" s="220" t="s">
        <v>2364</v>
      </c>
      <c r="P123" s="177">
        <v>-0.255</v>
      </c>
      <c r="R123" s="167" t="str">
        <v>EUBSV4 CMPN Curncy</v>
      </c>
      <c r="S123" s="175"/>
      <c r="T123" s="176" t="s">
        <v>1304</v>
      </c>
      <c r="U123" s="176" t="s">
        <v>1109</v>
      </c>
      <c r="V123" s="176" t="s">
        <v>1305</v>
      </c>
      <c r="W123" s="177">
        <v>7.375</v>
      </c>
      <c r="Y123" s="167" t="str">
        <v>EUBSA4 TRPU Curncy</v>
      </c>
      <c r="Z123" s="175"/>
      <c r="AA123" s="176" t="s">
        <v>1366</v>
      </c>
      <c r="AB123" s="176" t="s">
        <v>1109</v>
      </c>
      <c r="AC123" s="176" t="s">
        <v>1367</v>
      </c>
      <c r="AD123" s="177">
        <v>5.9</v>
      </c>
      <c r="AF123" s="167" t="str">
        <v>EUBSS4 ICPL Curncy</v>
      </c>
      <c r="AG123" s="175"/>
      <c r="AH123" s="176" t="s">
        <v>1400</v>
      </c>
      <c r="AI123" s="176" t="s">
        <v>1109</v>
      </c>
      <c r="AJ123" s="176" t="s">
        <v>1401</v>
      </c>
      <c r="AK123" s="177">
        <v>6.3</v>
      </c>
      <c r="AM123" s="167" t="str">
        <v>EUBS4 ICPL Curncy</v>
      </c>
      <c r="AN123" s="175"/>
      <c r="AO123" s="176" t="s">
        <v>1425</v>
      </c>
      <c r="AP123" s="176" t="s">
        <v>1109</v>
      </c>
      <c r="AQ123" s="176" t="s">
        <v>2422</v>
      </c>
      <c r="AR123" s="177">
        <v>-24.5</v>
      </c>
    </row>
    <row r="124" spans="1:44">
      <c r="A124" s="204">
        <v>5</v>
      </c>
      <c r="B124" s="167" t="str">
        <v>EUSF4A ICPL Curncy</v>
      </c>
      <c r="C124" s="175"/>
      <c r="D124" s="176" t="s">
        <v>2183</v>
      </c>
      <c r="E124" s="176" t="s">
        <v>1165</v>
      </c>
      <c r="F124" s="176" t="s">
        <v>2184</v>
      </c>
      <c r="G124" s="177">
        <v>-0.35799999999999998</v>
      </c>
      <c r="I124" s="167" t="str">
        <v>EUFR0EK ICPL Curncy</v>
      </c>
      <c r="J124" s="175" t="s">
        <v>385</v>
      </c>
      <c r="K124" s="176" t="s">
        <v>1240</v>
      </c>
      <c r="L124" s="176" t="s">
        <v>508</v>
      </c>
      <c r="M124" s="176" t="s">
        <v>1241</v>
      </c>
      <c r="N124" s="220" t="s">
        <v>2364</v>
      </c>
      <c r="O124" s="220" t="s">
        <v>2364</v>
      </c>
      <c r="P124" s="177">
        <v>-0.248</v>
      </c>
      <c r="R124" s="167" t="str">
        <v>EUBSV5 CMPN Curncy</v>
      </c>
      <c r="S124" s="175"/>
      <c r="T124" s="176" t="s">
        <v>1306</v>
      </c>
      <c r="U124" s="176" t="s">
        <v>1109</v>
      </c>
      <c r="V124" s="176" t="s">
        <v>1307</v>
      </c>
      <c r="W124" s="177">
        <v>7.7750000000000004</v>
      </c>
      <c r="Y124" s="167" t="str">
        <v>EUBSA5 TRPU Curncy</v>
      </c>
      <c r="Z124" s="175"/>
      <c r="AA124" s="176" t="s">
        <v>1368</v>
      </c>
      <c r="AB124" s="176" t="s">
        <v>1109</v>
      </c>
      <c r="AC124" s="176" t="s">
        <v>1369</v>
      </c>
      <c r="AD124" s="177">
        <v>6.5</v>
      </c>
      <c r="AF124" s="167" t="str">
        <v>EUBSS5 ICPL Curncy</v>
      </c>
      <c r="AG124" s="175"/>
      <c r="AH124" s="176" t="s">
        <v>1402</v>
      </c>
      <c r="AI124" s="176" t="s">
        <v>1109</v>
      </c>
      <c r="AJ124" s="176" t="s">
        <v>1403</v>
      </c>
      <c r="AK124" s="177">
        <v>6.6</v>
      </c>
      <c r="AM124" s="167" t="str">
        <v>EUBS5 ICPL Curncy</v>
      </c>
      <c r="AN124" s="175"/>
      <c r="AO124" s="176" t="s">
        <v>1426</v>
      </c>
      <c r="AP124" s="176" t="s">
        <v>1109</v>
      </c>
      <c r="AQ124" s="176" t="s">
        <v>2423</v>
      </c>
      <c r="AR124" s="177">
        <v>-25</v>
      </c>
    </row>
    <row r="125" spans="1:44">
      <c r="A125" s="204">
        <v>6</v>
      </c>
      <c r="B125" s="167" t="str">
        <v>EUSWE1 ICPL Curncy</v>
      </c>
      <c r="C125" s="175"/>
      <c r="D125" s="176" t="s">
        <v>1480</v>
      </c>
      <c r="E125" s="176" t="s">
        <v>1121</v>
      </c>
      <c r="F125" s="176" t="s">
        <v>2365</v>
      </c>
      <c r="G125" s="177">
        <v>-0.35299999999999998</v>
      </c>
      <c r="I125" s="167" t="str">
        <v>EUFR0F1 ICPL Curncy</v>
      </c>
      <c r="J125" s="175"/>
      <c r="K125" s="176" t="s">
        <v>1242</v>
      </c>
      <c r="L125" s="176" t="s">
        <v>508</v>
      </c>
      <c r="M125" s="176" t="s">
        <v>1243</v>
      </c>
      <c r="N125" s="220" t="s">
        <v>2364</v>
      </c>
      <c r="O125" s="220" t="s">
        <v>2364</v>
      </c>
      <c r="P125" s="177">
        <v>-0.23899999999999999</v>
      </c>
      <c r="R125" s="167" t="str">
        <v>EUBSV6 CMPN Curncy</v>
      </c>
      <c r="S125" s="175"/>
      <c r="T125" s="176" t="s">
        <v>1308</v>
      </c>
      <c r="U125" s="176" t="s">
        <v>1109</v>
      </c>
      <c r="V125" s="176" t="s">
        <v>1309</v>
      </c>
      <c r="W125" s="177">
        <v>8.0749999999999993</v>
      </c>
      <c r="Y125" s="167" t="str">
        <v>EUBSA6 TRPU Curncy</v>
      </c>
      <c r="Z125" s="175"/>
      <c r="AA125" s="176" t="s">
        <v>1370</v>
      </c>
      <c r="AB125" s="176" t="s">
        <v>1109</v>
      </c>
      <c r="AC125" s="176" t="s">
        <v>1371</v>
      </c>
      <c r="AD125" s="177">
        <v>6.6</v>
      </c>
      <c r="AF125" s="167" t="str">
        <v>EUBSS6 ICPL Curncy</v>
      </c>
      <c r="AG125" s="175"/>
      <c r="AH125" s="176" t="s">
        <v>1404</v>
      </c>
      <c r="AI125" s="176" t="s">
        <v>1109</v>
      </c>
      <c r="AJ125" s="176" t="s">
        <v>1405</v>
      </c>
      <c r="AK125" s="177">
        <v>6.8</v>
      </c>
      <c r="AM125" s="167" t="str">
        <v>EUBS6 ICPL Curncy</v>
      </c>
      <c r="AN125" s="175"/>
      <c r="AO125" s="176" t="s">
        <v>1427</v>
      </c>
      <c r="AP125" s="176" t="s">
        <v>1109</v>
      </c>
      <c r="AQ125" s="176" t="s">
        <v>2424</v>
      </c>
      <c r="AR125" s="177">
        <v>-25.625</v>
      </c>
    </row>
    <row r="126" spans="1:44">
      <c r="A126" s="204">
        <v>7</v>
      </c>
      <c r="B126" s="167" t="str">
        <v>EUSWE1F ICPL Curncy</v>
      </c>
      <c r="C126" s="175"/>
      <c r="D126" s="176" t="s">
        <v>1475</v>
      </c>
      <c r="E126" s="176" t="s">
        <v>1121</v>
      </c>
      <c r="F126" s="176" t="s">
        <v>2366</v>
      </c>
      <c r="G126" s="177">
        <v>-0.318</v>
      </c>
      <c r="I126" s="167" t="str">
        <v>EUFR0G1A ICPL Curncy</v>
      </c>
      <c r="J126" s="175"/>
      <c r="K126" s="176" t="s">
        <v>1244</v>
      </c>
      <c r="L126" s="176" t="s">
        <v>508</v>
      </c>
      <c r="M126" s="176" t="s">
        <v>1245</v>
      </c>
      <c r="N126" s="220" t="s">
        <v>2364</v>
      </c>
      <c r="O126" s="220" t="s">
        <v>2364</v>
      </c>
      <c r="P126" s="177">
        <v>-0.23</v>
      </c>
      <c r="R126" s="167" t="str">
        <v>EUBSV7 CMPN Curncy</v>
      </c>
      <c r="S126" s="175"/>
      <c r="T126" s="176" t="s">
        <v>1310</v>
      </c>
      <c r="U126" s="176" t="s">
        <v>1109</v>
      </c>
      <c r="V126" s="176" t="s">
        <v>1311</v>
      </c>
      <c r="W126" s="177">
        <v>8.2750000000000004</v>
      </c>
      <c r="Y126" s="167" t="str">
        <v>EUBSA7 TRPU Curncy</v>
      </c>
      <c r="Z126" s="175"/>
      <c r="AA126" s="176" t="s">
        <v>1372</v>
      </c>
      <c r="AB126" s="176" t="s">
        <v>1109</v>
      </c>
      <c r="AC126" s="176" t="s">
        <v>1373</v>
      </c>
      <c r="AD126" s="177">
        <v>6.55</v>
      </c>
      <c r="AF126" s="167" t="str">
        <v>EUBSS7 ICPL Curncy</v>
      </c>
      <c r="AG126" s="175"/>
      <c r="AH126" s="176" t="s">
        <v>1406</v>
      </c>
      <c r="AI126" s="176" t="s">
        <v>1109</v>
      </c>
      <c r="AJ126" s="176" t="s">
        <v>1407</v>
      </c>
      <c r="AK126" s="177">
        <v>6.9</v>
      </c>
      <c r="AM126" s="167" t="str">
        <v>EUBS7 ICPL Curncy</v>
      </c>
      <c r="AN126" s="175"/>
      <c r="AO126" s="176" t="s">
        <v>1428</v>
      </c>
      <c r="AP126" s="176" t="s">
        <v>1109</v>
      </c>
      <c r="AQ126" s="176" t="s">
        <v>2425</v>
      </c>
      <c r="AR126" s="177">
        <v>-26</v>
      </c>
    </row>
    <row r="127" spans="1:44">
      <c r="A127" s="204">
        <v>8</v>
      </c>
      <c r="B127" s="167" t="str">
        <v>EUSWE2 ICPL Curncy</v>
      </c>
      <c r="C127" s="175"/>
      <c r="D127" s="176" t="s">
        <v>1163</v>
      </c>
      <c r="E127" s="176" t="s">
        <v>1121</v>
      </c>
      <c r="F127" s="176" t="s">
        <v>2367</v>
      </c>
      <c r="G127" s="177">
        <v>-0.25900000000000001</v>
      </c>
      <c r="I127" s="167" t="str">
        <v>EUFR0H1B ICPL Curncy</v>
      </c>
      <c r="J127" s="175"/>
      <c r="K127" s="176" t="s">
        <v>1246</v>
      </c>
      <c r="L127" s="176" t="s">
        <v>508</v>
      </c>
      <c r="M127" s="176" t="s">
        <v>1247</v>
      </c>
      <c r="N127" s="220" t="s">
        <v>2364</v>
      </c>
      <c r="O127" s="220" t="s">
        <v>2364</v>
      </c>
      <c r="P127" s="177">
        <v>-0.217</v>
      </c>
      <c r="R127" s="167" t="str">
        <v>EUBSV8 CMPN Curncy</v>
      </c>
      <c r="S127" s="175"/>
      <c r="T127" s="176" t="s">
        <v>1312</v>
      </c>
      <c r="U127" s="176" t="s">
        <v>1109</v>
      </c>
      <c r="V127" s="176" t="s">
        <v>1313</v>
      </c>
      <c r="W127" s="177">
        <v>8.375</v>
      </c>
      <c r="Y127" s="167" t="str">
        <v>EUBSA8 TRPU Curncy</v>
      </c>
      <c r="Z127" s="175"/>
      <c r="AA127" s="176" t="s">
        <v>1374</v>
      </c>
      <c r="AB127" s="176" t="s">
        <v>1109</v>
      </c>
      <c r="AC127" s="176" t="s">
        <v>1375</v>
      </c>
      <c r="AD127" s="177">
        <v>6.5</v>
      </c>
      <c r="AF127" s="167" t="str">
        <v>EUBSS8 ICPL Curncy</v>
      </c>
      <c r="AG127" s="175"/>
      <c r="AH127" s="176" t="s">
        <v>1408</v>
      </c>
      <c r="AI127" s="176" t="s">
        <v>1109</v>
      </c>
      <c r="AJ127" s="176" t="s">
        <v>1409</v>
      </c>
      <c r="AK127" s="177">
        <v>6.9</v>
      </c>
      <c r="AM127" s="167" t="str">
        <v>EUBS8 ICPL Curncy</v>
      </c>
      <c r="AN127" s="175"/>
      <c r="AO127" s="176" t="s">
        <v>1429</v>
      </c>
      <c r="AP127" s="176" t="s">
        <v>1109</v>
      </c>
      <c r="AQ127" s="176" t="s">
        <v>2426</v>
      </c>
      <c r="AR127" s="177">
        <v>-26.125</v>
      </c>
    </row>
    <row r="128" spans="1:44">
      <c r="A128" s="204">
        <v>9</v>
      </c>
      <c r="B128" s="167" t="str">
        <v>EUSWE3 ICPL Curncy</v>
      </c>
      <c r="C128" s="175"/>
      <c r="D128" s="176" t="s">
        <v>1164</v>
      </c>
      <c r="E128" s="176" t="s">
        <v>1121</v>
      </c>
      <c r="F128" s="176" t="s">
        <v>2368</v>
      </c>
      <c r="G128" s="177">
        <v>-0.105</v>
      </c>
      <c r="I128" s="167" t="str">
        <v>EUFR0I1C ICPL Curncy</v>
      </c>
      <c r="J128" s="175"/>
      <c r="K128" s="176" t="s">
        <v>1248</v>
      </c>
      <c r="L128" s="176" t="s">
        <v>508</v>
      </c>
      <c r="M128" s="176" t="s">
        <v>1249</v>
      </c>
      <c r="N128" s="220" t="s">
        <v>2364</v>
      </c>
      <c r="O128" s="220" t="s">
        <v>2364</v>
      </c>
      <c r="P128" s="177">
        <v>-0.19600000000000001</v>
      </c>
      <c r="R128" s="167" t="str">
        <v>EUBSV9 CMPN Curncy</v>
      </c>
      <c r="S128" s="175"/>
      <c r="T128" s="176" t="s">
        <v>1314</v>
      </c>
      <c r="U128" s="176" t="s">
        <v>1109</v>
      </c>
      <c r="V128" s="176" t="s">
        <v>1315</v>
      </c>
      <c r="W128" s="177">
        <v>8.4250000000000007</v>
      </c>
      <c r="Y128" s="167" t="str">
        <v>EUBSA9 TRPU Curncy</v>
      </c>
      <c r="Z128" s="175"/>
      <c r="AA128" s="176" t="s">
        <v>1376</v>
      </c>
      <c r="AB128" s="176" t="s">
        <v>1109</v>
      </c>
      <c r="AC128" s="176" t="s">
        <v>1377</v>
      </c>
      <c r="AD128" s="177">
        <v>6.45</v>
      </c>
      <c r="AF128" s="167" t="str">
        <v>EUBSS9 ICPL Curncy</v>
      </c>
      <c r="AG128" s="175"/>
      <c r="AH128" s="176" t="s">
        <v>1410</v>
      </c>
      <c r="AI128" s="176" t="s">
        <v>1109</v>
      </c>
      <c r="AJ128" s="176" t="s">
        <v>1411</v>
      </c>
      <c r="AK128" s="177">
        <v>7</v>
      </c>
      <c r="AM128" s="167" t="str">
        <v>EUBS9 ICPL Curncy</v>
      </c>
      <c r="AN128" s="175"/>
      <c r="AO128" s="176" t="s">
        <v>1430</v>
      </c>
      <c r="AP128" s="176" t="s">
        <v>1109</v>
      </c>
      <c r="AQ128" s="176" t="s">
        <v>2427</v>
      </c>
      <c r="AR128" s="177">
        <v>-26</v>
      </c>
    </row>
    <row r="129" spans="1:44">
      <c r="A129" s="204">
        <v>10</v>
      </c>
      <c r="B129" s="167" t="str">
        <v>EUSWE4 ICPL Curncy</v>
      </c>
      <c r="C129" s="175"/>
      <c r="D129" s="176" t="s">
        <v>1166</v>
      </c>
      <c r="E129" s="176" t="s">
        <v>1121</v>
      </c>
      <c r="F129" s="176" t="s">
        <v>2369</v>
      </c>
      <c r="G129" s="177">
        <v>6.3E-2</v>
      </c>
      <c r="I129" s="167" t="str">
        <v>EUFR0J1D ICPL Curncy</v>
      </c>
      <c r="J129" s="175"/>
      <c r="K129" s="176" t="s">
        <v>1250</v>
      </c>
      <c r="L129" s="176" t="s">
        <v>508</v>
      </c>
      <c r="M129" s="176" t="s">
        <v>1251</v>
      </c>
      <c r="N129" s="220" t="s">
        <v>2364</v>
      </c>
      <c r="O129" s="220" t="s">
        <v>2364</v>
      </c>
      <c r="P129" s="177">
        <v>-0.17799999999999999</v>
      </c>
      <c r="R129" s="167" t="str">
        <v>EUBSV10 CMPN Curncy</v>
      </c>
      <c r="S129" s="175"/>
      <c r="T129" s="176" t="s">
        <v>1316</v>
      </c>
      <c r="U129" s="176" t="s">
        <v>1109</v>
      </c>
      <c r="V129" s="176" t="s">
        <v>1317</v>
      </c>
      <c r="W129" s="177">
        <v>8.4749999999999996</v>
      </c>
      <c r="Y129" s="167" t="str">
        <v>EUBSA10 TRPU Curncy</v>
      </c>
      <c r="Z129" s="175"/>
      <c r="AA129" s="176" t="s">
        <v>1378</v>
      </c>
      <c r="AB129" s="176" t="s">
        <v>1109</v>
      </c>
      <c r="AC129" s="176" t="s">
        <v>1379</v>
      </c>
      <c r="AD129" s="177">
        <v>6.4</v>
      </c>
      <c r="AF129" s="167" t="str">
        <v>EUBSS10 ICPL Curncy</v>
      </c>
      <c r="AG129" s="175"/>
      <c r="AH129" s="176" t="s">
        <v>1412</v>
      </c>
      <c r="AI129" s="176" t="s">
        <v>1109</v>
      </c>
      <c r="AJ129" s="176" t="s">
        <v>1413</v>
      </c>
      <c r="AK129" s="177">
        <v>7</v>
      </c>
      <c r="AM129" s="167" t="str">
        <v>EUBS10 ICPL Curncy</v>
      </c>
      <c r="AN129" s="175"/>
      <c r="AO129" s="176" t="s">
        <v>1431</v>
      </c>
      <c r="AP129" s="176" t="s">
        <v>1109</v>
      </c>
      <c r="AQ129" s="176" t="s">
        <v>2428</v>
      </c>
      <c r="AR129" s="177">
        <v>-25.75</v>
      </c>
    </row>
    <row r="130" spans="1:44">
      <c r="A130" s="204">
        <v>11</v>
      </c>
      <c r="B130" s="167" t="str">
        <v>EUSWE5 ICPL Curncy</v>
      </c>
      <c r="C130" s="175"/>
      <c r="D130" s="176" t="s">
        <v>1167</v>
      </c>
      <c r="E130" s="176" t="s">
        <v>1121</v>
      </c>
      <c r="F130" s="176" t="s">
        <v>2370</v>
      </c>
      <c r="G130" s="177">
        <v>0.216</v>
      </c>
      <c r="I130" s="167" t="str">
        <v>EUFR0K1E ICPL Curncy</v>
      </c>
      <c r="J130" s="175"/>
      <c r="K130" s="176" t="s">
        <v>1228</v>
      </c>
      <c r="L130" s="176" t="s">
        <v>508</v>
      </c>
      <c r="M130" s="176" t="s">
        <v>1229</v>
      </c>
      <c r="N130" s="220" t="s">
        <v>2364</v>
      </c>
      <c r="O130" s="220" t="s">
        <v>2364</v>
      </c>
      <c r="P130" s="177">
        <v>-0.154</v>
      </c>
      <c r="R130" s="167" t="str">
        <v>EUBSV11 CMPN Curncy</v>
      </c>
      <c r="S130" s="175"/>
      <c r="T130" s="176" t="s">
        <v>1282</v>
      </c>
      <c r="U130" s="176" t="s">
        <v>1109</v>
      </c>
      <c r="V130" s="176" t="s">
        <v>1283</v>
      </c>
      <c r="W130" s="177">
        <v>8.4250000000000007</v>
      </c>
      <c r="Y130" s="167" t="str">
        <v>EUBSA11 TRPU Curncy</v>
      </c>
      <c r="Z130" s="175"/>
      <c r="AA130" s="176" t="s">
        <v>1348</v>
      </c>
      <c r="AB130" s="176" t="s">
        <v>1109</v>
      </c>
      <c r="AC130" s="176" t="s">
        <v>1349</v>
      </c>
      <c r="AD130" s="177" t="s">
        <v>1108</v>
      </c>
      <c r="AF130" s="167" t="str">
        <v>EUBSS11 ICPL Curncy</v>
      </c>
      <c r="AG130" s="175"/>
      <c r="AH130" s="176" t="s">
        <v>1382</v>
      </c>
      <c r="AI130" s="176" t="s">
        <v>1109</v>
      </c>
      <c r="AJ130" s="176" t="s">
        <v>1383</v>
      </c>
      <c r="AK130" s="177">
        <v>6.9</v>
      </c>
      <c r="AM130" s="167" t="str">
        <v>EUBS11 ICPL Curncy</v>
      </c>
      <c r="AN130" s="175"/>
      <c r="AO130" s="176" t="s">
        <v>1414</v>
      </c>
      <c r="AP130" s="176" t="s">
        <v>1109</v>
      </c>
      <c r="AQ130" s="176" t="s">
        <v>2429</v>
      </c>
      <c r="AR130" s="177" t="s">
        <v>1108</v>
      </c>
    </row>
    <row r="131" spans="1:44">
      <c r="A131" s="204">
        <v>12</v>
      </c>
      <c r="B131" s="167" t="str">
        <v>EUSWE6 ICPL Curncy</v>
      </c>
      <c r="C131" s="175"/>
      <c r="D131" s="176" t="s">
        <v>1168</v>
      </c>
      <c r="E131" s="176" t="s">
        <v>1121</v>
      </c>
      <c r="F131" s="176" t="s">
        <v>2371</v>
      </c>
      <c r="G131" s="177">
        <v>0.35299999999999998</v>
      </c>
      <c r="I131" s="167" t="str">
        <v>EUFR011F ICPL Curncy</v>
      </c>
      <c r="J131" s="175"/>
      <c r="K131" s="176" t="s">
        <v>1230</v>
      </c>
      <c r="L131" s="176" t="s">
        <v>508</v>
      </c>
      <c r="M131" s="176" t="s">
        <v>1231</v>
      </c>
      <c r="N131" s="220" t="s">
        <v>2364</v>
      </c>
      <c r="O131" s="220" t="s">
        <v>2364</v>
      </c>
      <c r="P131" s="177">
        <v>-0.124</v>
      </c>
      <c r="R131" s="167" t="str">
        <v>EUBSV12 CMPN Curncy</v>
      </c>
      <c r="S131" s="175"/>
      <c r="T131" s="176" t="s">
        <v>1284</v>
      </c>
      <c r="U131" s="176" t="s">
        <v>1109</v>
      </c>
      <c r="V131" s="176" t="s">
        <v>1285</v>
      </c>
      <c r="W131" s="177">
        <v>8.2750000000000004</v>
      </c>
      <c r="Y131" s="167" t="str">
        <v>EUBSA12 TRPU Curncy</v>
      </c>
      <c r="Z131" s="175"/>
      <c r="AA131" s="176" t="s">
        <v>1350</v>
      </c>
      <c r="AB131" s="176" t="s">
        <v>1109</v>
      </c>
      <c r="AC131" s="176" t="s">
        <v>1351</v>
      </c>
      <c r="AD131" s="177" t="s">
        <v>1108</v>
      </c>
      <c r="AF131" s="167" t="str">
        <v>EUBSS12 ICPL Curncy</v>
      </c>
      <c r="AG131" s="175"/>
      <c r="AH131" s="176" t="s">
        <v>1384</v>
      </c>
      <c r="AI131" s="176" t="s">
        <v>1109</v>
      </c>
      <c r="AJ131" s="176" t="s">
        <v>1385</v>
      </c>
      <c r="AK131" s="177">
        <v>6.8</v>
      </c>
      <c r="AM131" s="167" t="str">
        <v>EUBS12 ICPL Curncy</v>
      </c>
      <c r="AN131" s="175"/>
      <c r="AO131" s="176" t="s">
        <v>1415</v>
      </c>
      <c r="AP131" s="176" t="s">
        <v>1109</v>
      </c>
      <c r="AQ131" s="176" t="s">
        <v>2430</v>
      </c>
      <c r="AR131" s="177">
        <v>-24.375</v>
      </c>
    </row>
    <row r="132" spans="1:44">
      <c r="A132" s="204">
        <v>13</v>
      </c>
      <c r="B132" s="167" t="str">
        <v>EUSWE7 ICPL Curncy</v>
      </c>
      <c r="C132" s="175"/>
      <c r="D132" s="176" t="s">
        <v>1169</v>
      </c>
      <c r="E132" s="176" t="s">
        <v>1121</v>
      </c>
      <c r="F132" s="176" t="s">
        <v>2372</v>
      </c>
      <c r="G132" s="177">
        <v>0.47899999999999998</v>
      </c>
      <c r="I132" s="167" t="str">
        <v>EUSA2 MHIS Curncy</v>
      </c>
      <c r="J132" s="175"/>
      <c r="K132" s="176" t="s">
        <v>2147</v>
      </c>
      <c r="L132" s="176" t="s">
        <v>472</v>
      </c>
      <c r="M132" s="176" t="s">
        <v>2389</v>
      </c>
      <c r="N132" s="220" t="s">
        <v>2364</v>
      </c>
      <c r="O132" s="220" t="s">
        <v>2364</v>
      </c>
      <c r="P132" s="177">
        <v>-0.1431</v>
      </c>
      <c r="R132" s="167" t="str">
        <v>EUBSV13 CMPN Curncy</v>
      </c>
      <c r="S132" s="175"/>
      <c r="T132" s="176" t="s">
        <v>1286</v>
      </c>
      <c r="U132" s="176" t="s">
        <v>1109</v>
      </c>
      <c r="V132" s="176" t="s">
        <v>1287</v>
      </c>
      <c r="W132" s="177" t="s">
        <v>1108</v>
      </c>
      <c r="Y132" s="167" t="str">
        <v>EUBSA15 TRPU Curncy</v>
      </c>
      <c r="Z132" s="175"/>
      <c r="AA132" s="176" t="s">
        <v>1352</v>
      </c>
      <c r="AB132" s="176" t="s">
        <v>1109</v>
      </c>
      <c r="AC132" s="176" t="s">
        <v>1353</v>
      </c>
      <c r="AD132" s="177">
        <v>6.65</v>
      </c>
      <c r="AF132" s="167" t="str">
        <v>EUBSS15 ICPL Curncy</v>
      </c>
      <c r="AG132" s="175"/>
      <c r="AH132" s="176" t="s">
        <v>1386</v>
      </c>
      <c r="AI132" s="176" t="s">
        <v>1109</v>
      </c>
      <c r="AJ132" s="176" t="s">
        <v>1387</v>
      </c>
      <c r="AK132" s="177">
        <v>6.5</v>
      </c>
      <c r="AM132" s="167" t="str">
        <v>EUBS13 ICPL Curncy</v>
      </c>
      <c r="AN132" s="175"/>
      <c r="AO132" s="176" t="s">
        <v>1416</v>
      </c>
      <c r="AP132" s="176" t="s">
        <v>1109</v>
      </c>
      <c r="AQ132" s="176" t="s">
        <v>2431</v>
      </c>
      <c r="AR132" s="177" t="s">
        <v>1108</v>
      </c>
    </row>
    <row r="133" spans="1:44">
      <c r="A133" s="204">
        <v>14</v>
      </c>
      <c r="B133" s="167" t="str">
        <v>EUSWE8 ICPL Curncy</v>
      </c>
      <c r="C133" s="175"/>
      <c r="D133" s="176" t="s">
        <v>1170</v>
      </c>
      <c r="E133" s="176" t="s">
        <v>1121</v>
      </c>
      <c r="F133" s="176" t="s">
        <v>2373</v>
      </c>
      <c r="G133" s="177">
        <v>0.59099999999999997</v>
      </c>
      <c r="I133" s="167" t="str">
        <v>EUSA3 MHIS Curncy</v>
      </c>
      <c r="J133" s="175"/>
      <c r="K133" s="176" t="s">
        <v>2148</v>
      </c>
      <c r="L133" s="176" t="s">
        <v>472</v>
      </c>
      <c r="M133" s="176" t="s">
        <v>2390</v>
      </c>
      <c r="N133" s="220" t="s">
        <v>2364</v>
      </c>
      <c r="O133" s="220" t="s">
        <v>2364</v>
      </c>
      <c r="P133" s="177">
        <v>3.4799999999999998E-2</v>
      </c>
      <c r="R133" s="167" t="str">
        <v>EUBSV14 CMPN Curncy</v>
      </c>
      <c r="S133" s="175"/>
      <c r="T133" s="176" t="s">
        <v>1288</v>
      </c>
      <c r="U133" s="176" t="s">
        <v>1109</v>
      </c>
      <c r="V133" s="176" t="s">
        <v>1289</v>
      </c>
      <c r="W133" s="177" t="s">
        <v>1108</v>
      </c>
      <c r="Y133" s="167" t="str">
        <v>EUBSA20 TRPU Curncy</v>
      </c>
      <c r="Z133" s="175"/>
      <c r="AA133" s="176" t="s">
        <v>1354</v>
      </c>
      <c r="AB133" s="176" t="s">
        <v>1109</v>
      </c>
      <c r="AC133" s="176" t="s">
        <v>1355</v>
      </c>
      <c r="AD133" s="177">
        <v>6.4</v>
      </c>
      <c r="AF133" s="167" t="str">
        <v>EUBSS20 ICPL Curncy</v>
      </c>
      <c r="AG133" s="175"/>
      <c r="AH133" s="176" t="s">
        <v>1388</v>
      </c>
      <c r="AI133" s="176" t="s">
        <v>1109</v>
      </c>
      <c r="AJ133" s="176" t="s">
        <v>1389</v>
      </c>
      <c r="AK133" s="177">
        <v>6</v>
      </c>
      <c r="AM133" s="167" t="str">
        <v>EUBS14 ICPL Curncy</v>
      </c>
      <c r="AN133" s="175"/>
      <c r="AO133" s="176" t="s">
        <v>1417</v>
      </c>
      <c r="AP133" s="176" t="s">
        <v>1109</v>
      </c>
      <c r="AQ133" s="176" t="s">
        <v>2432</v>
      </c>
      <c r="AR133" s="177" t="s">
        <v>1108</v>
      </c>
    </row>
    <row r="134" spans="1:44">
      <c r="A134" s="204">
        <v>15</v>
      </c>
      <c r="B134" s="167" t="str">
        <v>EUSWE9 ICPL Curncy</v>
      </c>
      <c r="C134" s="175"/>
      <c r="D134" s="176" t="s">
        <v>1171</v>
      </c>
      <c r="E134" s="176" t="s">
        <v>1121</v>
      </c>
      <c r="F134" s="176" t="s">
        <v>2374</v>
      </c>
      <c r="G134" s="177">
        <v>0.69399999999999995</v>
      </c>
      <c r="I134" s="167" t="str">
        <v>EUSA4 MHIS Curncy</v>
      </c>
      <c r="J134" s="175"/>
      <c r="K134" s="176" t="s">
        <v>2149</v>
      </c>
      <c r="L134" s="176" t="s">
        <v>472</v>
      </c>
      <c r="M134" s="176" t="s">
        <v>2391</v>
      </c>
      <c r="N134" s="220" t="s">
        <v>2364</v>
      </c>
      <c r="O134" s="220" t="s">
        <v>2364</v>
      </c>
      <c r="P134" s="177">
        <v>0.221</v>
      </c>
      <c r="R134" s="167" t="str">
        <v>EUBSV15 CMPN Curncy</v>
      </c>
      <c r="S134" s="175"/>
      <c r="T134" s="176" t="s">
        <v>1290</v>
      </c>
      <c r="U134" s="176" t="s">
        <v>1109</v>
      </c>
      <c r="V134" s="176" t="s">
        <v>1291</v>
      </c>
      <c r="W134" s="177">
        <v>7.7249999999999996</v>
      </c>
      <c r="Y134" s="167" t="str">
        <v>EUBSA25 TRPU Curncy</v>
      </c>
      <c r="Z134" s="175"/>
      <c r="AA134" s="176" t="s">
        <v>1356</v>
      </c>
      <c r="AB134" s="176" t="s">
        <v>1109</v>
      </c>
      <c r="AC134" s="176" t="s">
        <v>1357</v>
      </c>
      <c r="AD134" s="177">
        <v>5.9</v>
      </c>
      <c r="AF134" s="167" t="str">
        <v>EUBSS25 ICPL Curncy</v>
      </c>
      <c r="AG134" s="175"/>
      <c r="AH134" s="176" t="s">
        <v>1390</v>
      </c>
      <c r="AI134" s="176" t="s">
        <v>1109</v>
      </c>
      <c r="AJ134" s="176" t="s">
        <v>1391</v>
      </c>
      <c r="AK134" s="177">
        <v>5.2</v>
      </c>
      <c r="AM134" s="167" t="str">
        <v>EUBS15 ICPL Curncy</v>
      </c>
      <c r="AN134" s="175"/>
      <c r="AO134" s="176" t="s">
        <v>1418</v>
      </c>
      <c r="AP134" s="176" t="s">
        <v>1109</v>
      </c>
      <c r="AQ134" s="176" t="s">
        <v>2433</v>
      </c>
      <c r="AR134" s="177">
        <v>-21.125</v>
      </c>
    </row>
    <row r="135" spans="1:44">
      <c r="A135" s="204">
        <v>16</v>
      </c>
      <c r="B135" s="167" t="str">
        <v>EUSWE10 ICPL Curncy</v>
      </c>
      <c r="C135" s="175"/>
      <c r="D135" s="176" t="s">
        <v>1172</v>
      </c>
      <c r="E135" s="176" t="s">
        <v>1121</v>
      </c>
      <c r="F135" s="176" t="s">
        <v>2375</v>
      </c>
      <c r="G135" s="177">
        <v>0.78900000000000003</v>
      </c>
      <c r="I135" s="167" t="str">
        <v>EUSA5 MHIS Curncy</v>
      </c>
      <c r="J135" s="175"/>
      <c r="K135" s="176" t="s">
        <v>2150</v>
      </c>
      <c r="L135" s="176" t="s">
        <v>472</v>
      </c>
      <c r="M135" s="176" t="s">
        <v>2392</v>
      </c>
      <c r="N135" s="220" t="s">
        <v>2364</v>
      </c>
      <c r="O135" s="220" t="s">
        <v>2364</v>
      </c>
      <c r="P135" s="177">
        <v>0.38800000000000001</v>
      </c>
      <c r="R135" s="167" t="str">
        <v>EUBSV20 CMPN Curncy</v>
      </c>
      <c r="S135" s="175"/>
      <c r="T135" s="176" t="s">
        <v>1292</v>
      </c>
      <c r="U135" s="176" t="s">
        <v>1109</v>
      </c>
      <c r="V135" s="176" t="s">
        <v>1293</v>
      </c>
      <c r="W135" s="177">
        <v>6.5750000000000002</v>
      </c>
      <c r="Y135" s="167" t="str">
        <v>EUBSA30 TRPU Curncy</v>
      </c>
      <c r="Z135" s="175"/>
      <c r="AA135" s="176" t="s">
        <v>1358</v>
      </c>
      <c r="AB135" s="176" t="s">
        <v>1109</v>
      </c>
      <c r="AC135" s="176" t="s">
        <v>1359</v>
      </c>
      <c r="AD135" s="177">
        <v>5.45</v>
      </c>
      <c r="AF135" s="167" t="str">
        <v>EUBSS30 ICPL Curncy</v>
      </c>
      <c r="AG135" s="175"/>
      <c r="AH135" s="176" t="s">
        <v>1392</v>
      </c>
      <c r="AI135" s="176" t="s">
        <v>1109</v>
      </c>
      <c r="AJ135" s="176" t="s">
        <v>1393</v>
      </c>
      <c r="AK135" s="177">
        <v>4.5999999999999996</v>
      </c>
      <c r="AM135" s="167" t="str">
        <v>EUBS20 ICPL Curncy</v>
      </c>
      <c r="AN135" s="175"/>
      <c r="AO135" s="176" t="s">
        <v>1419</v>
      </c>
      <c r="AP135" s="176" t="s">
        <v>1109</v>
      </c>
      <c r="AQ135" s="176" t="s">
        <v>2434</v>
      </c>
      <c r="AR135" s="177">
        <v>-14.75</v>
      </c>
    </row>
    <row r="136" spans="1:44">
      <c r="A136" s="204">
        <v>17</v>
      </c>
      <c r="B136" s="167" t="str">
        <v>EUSWE11 ICPL Curncy</v>
      </c>
      <c r="C136" s="175"/>
      <c r="D136" s="176" t="s">
        <v>1173</v>
      </c>
      <c r="E136" s="176" t="s">
        <v>1121</v>
      </c>
      <c r="F136" s="176" t="s">
        <v>2376</v>
      </c>
      <c r="G136" s="177">
        <v>0.874</v>
      </c>
      <c r="I136" s="167" t="str">
        <v>EUSA6 MHIS Curncy</v>
      </c>
      <c r="J136" s="175"/>
      <c r="K136" s="176" t="s">
        <v>2151</v>
      </c>
      <c r="L136" s="176" t="s">
        <v>472</v>
      </c>
      <c r="M136" s="176" t="s">
        <v>2393</v>
      </c>
      <c r="N136" s="220" t="s">
        <v>2364</v>
      </c>
      <c r="O136" s="220" t="s">
        <v>2364</v>
      </c>
      <c r="P136" s="177">
        <v>0.53739999999999999</v>
      </c>
      <c r="R136" s="167" t="str">
        <v>EUBSV25 CMPN Curncy</v>
      </c>
      <c r="S136" s="175"/>
      <c r="T136" s="176" t="s">
        <v>1294</v>
      </c>
      <c r="U136" s="176" t="s">
        <v>1109</v>
      </c>
      <c r="V136" s="176" t="s">
        <v>1295</v>
      </c>
      <c r="W136" s="177">
        <v>5.5250000000000004</v>
      </c>
      <c r="Y136" s="167" t="str">
        <v/>
      </c>
      <c r="Z136" s="175"/>
      <c r="AA136" s="176"/>
      <c r="AB136" s="176"/>
      <c r="AC136" s="176"/>
      <c r="AD136" s="177"/>
      <c r="AF136" s="167" t="str">
        <v/>
      </c>
      <c r="AG136" s="175"/>
      <c r="AH136" s="176"/>
      <c r="AI136" s="176"/>
      <c r="AJ136" s="176"/>
      <c r="AK136" s="177"/>
      <c r="AM136" s="167" t="str">
        <v>EUBS25 ICPL Curncy</v>
      </c>
      <c r="AN136" s="175"/>
      <c r="AO136" s="176" t="s">
        <v>1420</v>
      </c>
      <c r="AP136" s="176" t="s">
        <v>1109</v>
      </c>
      <c r="AQ136" s="176" t="s">
        <v>2435</v>
      </c>
      <c r="AR136" s="177">
        <v>-10</v>
      </c>
    </row>
    <row r="137" spans="1:44">
      <c r="A137" s="204">
        <v>18</v>
      </c>
      <c r="B137" s="190" t="str">
        <v>EUSWE12 ICPL Curncy</v>
      </c>
      <c r="C137" s="175"/>
      <c r="D137" s="176" t="s">
        <v>1174</v>
      </c>
      <c r="E137" s="176" t="s">
        <v>1121</v>
      </c>
      <c r="F137" s="176" t="s">
        <v>2377</v>
      </c>
      <c r="G137" s="177">
        <v>0.94899999999999995</v>
      </c>
      <c r="I137" s="167" t="str">
        <v>EUSA7 MHIS Curncy</v>
      </c>
      <c r="J137" s="175"/>
      <c r="K137" s="176" t="s">
        <v>2152</v>
      </c>
      <c r="L137" s="176" t="s">
        <v>472</v>
      </c>
      <c r="M137" s="176" t="s">
        <v>2394</v>
      </c>
      <c r="N137" s="220" t="s">
        <v>2364</v>
      </c>
      <c r="O137" s="220" t="s">
        <v>2364</v>
      </c>
      <c r="P137" s="177">
        <v>0.67110000000000003</v>
      </c>
      <c r="R137" s="167" t="str">
        <v>EUBSV30 CMPN Curncy</v>
      </c>
      <c r="S137" s="175"/>
      <c r="T137" s="176" t="s">
        <v>1296</v>
      </c>
      <c r="U137" s="176" t="s">
        <v>1109</v>
      </c>
      <c r="V137" s="176" t="s">
        <v>1297</v>
      </c>
      <c r="W137" s="177">
        <v>4.875</v>
      </c>
      <c r="Y137" s="167" t="str">
        <v/>
      </c>
      <c r="Z137" s="175"/>
      <c r="AA137" s="176"/>
      <c r="AB137" s="176"/>
      <c r="AC137" s="176"/>
      <c r="AD137" s="177"/>
      <c r="AF137" s="167" t="str">
        <v/>
      </c>
      <c r="AG137" s="175"/>
      <c r="AH137" s="176"/>
      <c r="AI137" s="176"/>
      <c r="AJ137" s="176"/>
      <c r="AK137" s="177"/>
      <c r="AM137" s="167" t="str">
        <v>EUBS30 ICPL Curncy</v>
      </c>
      <c r="AN137" s="175"/>
      <c r="AO137" s="176" t="s">
        <v>1421</v>
      </c>
      <c r="AP137" s="176" t="s">
        <v>1109</v>
      </c>
      <c r="AQ137" s="176" t="s">
        <v>2436</v>
      </c>
      <c r="AR137" s="177">
        <v>-6.875</v>
      </c>
    </row>
    <row r="138" spans="1:44">
      <c r="A138" s="204">
        <v>19</v>
      </c>
      <c r="B138" s="190" t="str">
        <v>EUSWE15 ICPL Curncy</v>
      </c>
      <c r="C138" s="175"/>
      <c r="D138" s="176" t="s">
        <v>1175</v>
      </c>
      <c r="E138" s="176" t="s">
        <v>1121</v>
      </c>
      <c r="F138" s="176" t="s">
        <v>2378</v>
      </c>
      <c r="G138" s="177">
        <v>1.125</v>
      </c>
      <c r="I138" s="167" t="str">
        <v>EUSA8 MHIS Curncy</v>
      </c>
      <c r="J138" s="175"/>
      <c r="K138" s="176" t="s">
        <v>2153</v>
      </c>
      <c r="L138" s="176" t="s">
        <v>472</v>
      </c>
      <c r="M138" s="176" t="s">
        <v>2395</v>
      </c>
      <c r="N138" s="220" t="s">
        <v>2364</v>
      </c>
      <c r="O138" s="220" t="s">
        <v>2364</v>
      </c>
      <c r="P138" s="177">
        <v>0.79069999999999996</v>
      </c>
      <c r="R138" s="167" t="str">
        <v/>
      </c>
      <c r="S138" s="175"/>
      <c r="T138" s="176"/>
      <c r="U138" s="176"/>
      <c r="V138" s="176"/>
      <c r="W138" s="177"/>
      <c r="Y138" s="167" t="str">
        <v/>
      </c>
      <c r="Z138" s="175"/>
      <c r="AA138" s="176"/>
      <c r="AB138" s="176"/>
      <c r="AC138" s="176"/>
      <c r="AD138" s="177"/>
      <c r="AF138" s="167" t="str">
        <v/>
      </c>
      <c r="AG138" s="175"/>
      <c r="AH138" s="176"/>
      <c r="AI138" s="176"/>
      <c r="AJ138" s="176"/>
      <c r="AK138" s="177"/>
      <c r="AM138" s="167" t="str">
        <v/>
      </c>
      <c r="AN138" s="175"/>
      <c r="AO138" s="176"/>
      <c r="AP138" s="176"/>
      <c r="AQ138" s="176"/>
      <c r="AR138" s="177"/>
    </row>
    <row r="139" spans="1:44">
      <c r="A139" s="204">
        <v>20</v>
      </c>
      <c r="B139" s="190" t="str">
        <v>EUSWE20 ICPL Curncy</v>
      </c>
      <c r="C139" s="175"/>
      <c r="D139" s="176" t="s">
        <v>1149</v>
      </c>
      <c r="E139" s="176" t="s">
        <v>1121</v>
      </c>
      <c r="F139" s="176" t="s">
        <v>2379</v>
      </c>
      <c r="G139" s="177">
        <v>1.2869999999999999</v>
      </c>
      <c r="I139" s="167" t="str">
        <v>EUSA9 MHIS Curncy</v>
      </c>
      <c r="J139" s="175"/>
      <c r="K139" s="176" t="s">
        <v>2154</v>
      </c>
      <c r="L139" s="176" t="s">
        <v>472</v>
      </c>
      <c r="M139" s="176" t="s">
        <v>2396</v>
      </c>
      <c r="N139" s="220" t="s">
        <v>2364</v>
      </c>
      <c r="O139" s="220" t="s">
        <v>2364</v>
      </c>
      <c r="P139" s="177">
        <v>0.89780000000000004</v>
      </c>
      <c r="R139" s="167" t="str">
        <v/>
      </c>
      <c r="S139" s="175"/>
      <c r="T139" s="176"/>
      <c r="U139" s="176"/>
      <c r="V139" s="176"/>
      <c r="W139" s="177"/>
      <c r="Y139" s="167" t="str">
        <v/>
      </c>
      <c r="Z139" s="175"/>
      <c r="AA139" s="176"/>
      <c r="AB139" s="176"/>
      <c r="AC139" s="176"/>
      <c r="AD139" s="177"/>
      <c r="AF139" s="167" t="str">
        <v/>
      </c>
      <c r="AG139" s="175"/>
      <c r="AH139" s="176"/>
      <c r="AI139" s="176"/>
      <c r="AJ139" s="176"/>
      <c r="AK139" s="177"/>
      <c r="AM139" s="167" t="str">
        <v/>
      </c>
      <c r="AN139" s="175"/>
      <c r="AO139" s="176"/>
      <c r="AP139" s="176"/>
      <c r="AQ139" s="176"/>
      <c r="AR139" s="177"/>
    </row>
    <row r="140" spans="1:44">
      <c r="A140" s="204">
        <v>21</v>
      </c>
      <c r="B140" s="190" t="str">
        <v>EUSWE25 ICPL Curncy</v>
      </c>
      <c r="C140" s="175"/>
      <c r="D140" s="176" t="s">
        <v>1150</v>
      </c>
      <c r="E140" s="176" t="s">
        <v>1121</v>
      </c>
      <c r="F140" s="176" t="s">
        <v>2405</v>
      </c>
      <c r="G140" s="177">
        <v>1.3420000000000001</v>
      </c>
      <c r="I140" s="167" t="str">
        <v>EUSA10 MHIS Curncy</v>
      </c>
      <c r="J140" s="175"/>
      <c r="K140" s="176" t="s">
        <v>2155</v>
      </c>
      <c r="L140" s="176" t="s">
        <v>472</v>
      </c>
      <c r="M140" s="176" t="s">
        <v>2410</v>
      </c>
      <c r="N140" s="220" t="s">
        <v>2364</v>
      </c>
      <c r="O140" s="220" t="s">
        <v>2364</v>
      </c>
      <c r="P140" s="177">
        <v>0.99390000000000001</v>
      </c>
      <c r="R140" s="167" t="str">
        <v/>
      </c>
      <c r="S140" s="175"/>
      <c r="T140" s="176"/>
      <c r="U140" s="176"/>
      <c r="V140" s="176"/>
      <c r="W140" s="177"/>
      <c r="Y140" s="167" t="str">
        <v/>
      </c>
      <c r="Z140" s="175"/>
      <c r="AA140" s="176"/>
      <c r="AB140" s="176"/>
      <c r="AC140" s="176"/>
      <c r="AD140" s="177"/>
      <c r="AF140" s="167" t="str">
        <v/>
      </c>
      <c r="AG140" s="175"/>
      <c r="AH140" s="176"/>
      <c r="AI140" s="176"/>
      <c r="AJ140" s="176"/>
      <c r="AK140" s="177"/>
      <c r="AM140" s="167" t="str">
        <v/>
      </c>
      <c r="AN140" s="175"/>
      <c r="AO140" s="176"/>
      <c r="AP140" s="176"/>
      <c r="AQ140" s="176"/>
      <c r="AR140" s="177"/>
    </row>
    <row r="141" spans="1:44">
      <c r="A141" s="204">
        <v>22</v>
      </c>
      <c r="B141" s="190" t="str">
        <v>EUSWE30 ICPL Curncy</v>
      </c>
      <c r="C141" s="175"/>
      <c r="D141" s="176" t="s">
        <v>1151</v>
      </c>
      <c r="E141" s="176" t="s">
        <v>1121</v>
      </c>
      <c r="F141" s="176" t="s">
        <v>2406</v>
      </c>
      <c r="G141" s="177">
        <v>1.3580000000000001</v>
      </c>
      <c r="I141" s="167" t="str">
        <v>EUSA11 MHIS Curncy</v>
      </c>
      <c r="J141" s="175"/>
      <c r="K141" s="176" t="s">
        <v>2156</v>
      </c>
      <c r="L141" s="176" t="s">
        <v>472</v>
      </c>
      <c r="M141" s="176" t="s">
        <v>2411</v>
      </c>
      <c r="N141" s="220" t="s">
        <v>2364</v>
      </c>
      <c r="O141" s="220" t="s">
        <v>2364</v>
      </c>
      <c r="P141" s="177">
        <v>1.0794999999999999</v>
      </c>
      <c r="R141" s="167" t="str">
        <v/>
      </c>
      <c r="S141" s="175"/>
      <c r="T141" s="176"/>
      <c r="U141" s="176"/>
      <c r="V141" s="176"/>
      <c r="W141" s="177"/>
      <c r="Y141" s="167" t="str">
        <v/>
      </c>
      <c r="Z141" s="175"/>
      <c r="AA141" s="176"/>
      <c r="AB141" s="176"/>
      <c r="AC141" s="176"/>
      <c r="AD141" s="177"/>
      <c r="AF141" s="167" t="str">
        <v/>
      </c>
      <c r="AG141" s="175"/>
      <c r="AH141" s="176"/>
      <c r="AI141" s="176"/>
      <c r="AJ141" s="176"/>
      <c r="AK141" s="177"/>
      <c r="AM141" s="167" t="str">
        <v/>
      </c>
      <c r="AN141" s="175"/>
      <c r="AO141" s="176"/>
      <c r="AP141" s="176"/>
      <c r="AQ141" s="176"/>
      <c r="AR141" s="177"/>
    </row>
    <row r="142" spans="1:44">
      <c r="A142" s="204">
        <v>23</v>
      </c>
      <c r="B142" s="190" t="str">
        <v>EUSWE35 ICPL Curncy</v>
      </c>
      <c r="C142" s="175"/>
      <c r="D142" s="176" t="s">
        <v>1152</v>
      </c>
      <c r="E142" s="176" t="s">
        <v>1121</v>
      </c>
      <c r="F142" s="176" t="s">
        <v>2407</v>
      </c>
      <c r="G142" s="177" t="s">
        <v>1108</v>
      </c>
      <c r="I142" s="167" t="str">
        <v>EUSA12 MHIS Curncy</v>
      </c>
      <c r="J142" s="175"/>
      <c r="K142" s="176" t="s">
        <v>2157</v>
      </c>
      <c r="L142" s="176" t="s">
        <v>472</v>
      </c>
      <c r="M142" s="176" t="s">
        <v>2412</v>
      </c>
      <c r="N142" s="220" t="s">
        <v>2364</v>
      </c>
      <c r="O142" s="220" t="s">
        <v>2364</v>
      </c>
      <c r="P142" s="177">
        <v>1.1548</v>
      </c>
      <c r="R142" s="167" t="str">
        <v/>
      </c>
      <c r="S142" s="175"/>
      <c r="T142" s="176"/>
      <c r="U142" s="176"/>
      <c r="V142" s="176"/>
      <c r="W142" s="177"/>
      <c r="Y142" s="167" t="str">
        <v/>
      </c>
      <c r="Z142" s="175"/>
      <c r="AA142" s="176"/>
      <c r="AB142" s="176"/>
      <c r="AC142" s="176"/>
      <c r="AD142" s="177"/>
      <c r="AF142" s="167" t="str">
        <v/>
      </c>
      <c r="AG142" s="175"/>
      <c r="AH142" s="176"/>
      <c r="AI142" s="176"/>
      <c r="AJ142" s="176"/>
      <c r="AK142" s="177"/>
      <c r="AM142" s="167" t="str">
        <v/>
      </c>
      <c r="AN142" s="175"/>
      <c r="AO142" s="176"/>
      <c r="AP142" s="176"/>
      <c r="AQ142" s="176"/>
      <c r="AR142" s="177"/>
    </row>
    <row r="143" spans="1:44">
      <c r="A143" s="204">
        <v>24</v>
      </c>
      <c r="B143" s="190" t="str">
        <v>EUSWE40 ICPL Curncy</v>
      </c>
      <c r="C143" s="175"/>
      <c r="D143" s="176" t="s">
        <v>1153</v>
      </c>
      <c r="E143" s="176" t="s">
        <v>1121</v>
      </c>
      <c r="F143" s="176" t="s">
        <v>2408</v>
      </c>
      <c r="G143" s="177">
        <v>1.359</v>
      </c>
      <c r="I143" s="167" t="str">
        <v>EUSA15 MHIS Curncy</v>
      </c>
      <c r="J143" s="175"/>
      <c r="K143" s="176" t="s">
        <v>2158</v>
      </c>
      <c r="L143" s="176" t="s">
        <v>472</v>
      </c>
      <c r="M143" s="176" t="s">
        <v>2413</v>
      </c>
      <c r="N143" s="220" t="s">
        <v>2364</v>
      </c>
      <c r="O143" s="220" t="s">
        <v>2364</v>
      </c>
      <c r="P143" s="177">
        <v>1.3279000000000001</v>
      </c>
      <c r="R143" s="167" t="str">
        <v/>
      </c>
      <c r="S143" s="175"/>
      <c r="T143" s="176"/>
      <c r="U143" s="176"/>
      <c r="V143" s="176"/>
      <c r="W143" s="177"/>
      <c r="Y143" s="167" t="str">
        <v/>
      </c>
      <c r="Z143" s="175"/>
      <c r="AA143" s="176"/>
      <c r="AB143" s="176"/>
      <c r="AC143" s="176"/>
      <c r="AD143" s="177"/>
      <c r="AF143" s="167" t="str">
        <v/>
      </c>
      <c r="AG143" s="175"/>
      <c r="AH143" s="176"/>
      <c r="AI143" s="176"/>
      <c r="AJ143" s="176"/>
      <c r="AK143" s="177"/>
      <c r="AM143" s="167" t="str">
        <v/>
      </c>
      <c r="AN143" s="175"/>
      <c r="AO143" s="176"/>
      <c r="AP143" s="176"/>
      <c r="AQ143" s="176"/>
      <c r="AR143" s="177"/>
    </row>
    <row r="144" spans="1:44">
      <c r="A144" s="204">
        <v>25</v>
      </c>
      <c r="B144" s="190" t="str">
        <v>EUSWE50 ICPL Curncy</v>
      </c>
      <c r="C144" s="175"/>
      <c r="D144" s="176" t="s">
        <v>1154</v>
      </c>
      <c r="E144" s="176" t="s">
        <v>1121</v>
      </c>
      <c r="F144" s="176" t="s">
        <v>2409</v>
      </c>
      <c r="G144" s="177">
        <v>1.331</v>
      </c>
      <c r="I144" s="167" t="str">
        <v>EUSA20 MHIS Curncy</v>
      </c>
      <c r="J144" s="175"/>
      <c r="K144" s="176" t="s">
        <v>2159</v>
      </c>
      <c r="L144" s="176" t="s">
        <v>472</v>
      </c>
      <c r="M144" s="176" t="s">
        <v>2414</v>
      </c>
      <c r="N144" s="220" t="s">
        <v>2364</v>
      </c>
      <c r="O144" s="220" t="s">
        <v>2364</v>
      </c>
      <c r="P144" s="177">
        <v>1.4762</v>
      </c>
      <c r="R144" s="167" t="str">
        <v/>
      </c>
      <c r="S144" s="175"/>
      <c r="T144" s="176"/>
      <c r="U144" s="176"/>
      <c r="V144" s="176"/>
      <c r="W144" s="177"/>
      <c r="Y144" s="167" t="str">
        <v/>
      </c>
      <c r="Z144" s="175"/>
      <c r="AA144" s="176"/>
      <c r="AB144" s="176"/>
      <c r="AC144" s="176"/>
      <c r="AD144" s="177"/>
      <c r="AF144" s="167" t="str">
        <v/>
      </c>
      <c r="AG144" s="175"/>
      <c r="AH144" s="176"/>
      <c r="AI144" s="176"/>
      <c r="AJ144" s="176"/>
      <c r="AK144" s="177"/>
      <c r="AM144" s="167" t="str">
        <v/>
      </c>
      <c r="AN144" s="175"/>
      <c r="AO144" s="176"/>
      <c r="AP144" s="176"/>
      <c r="AQ144" s="176"/>
      <c r="AR144" s="177"/>
    </row>
    <row r="145" spans="1:44">
      <c r="A145" s="204">
        <v>26</v>
      </c>
      <c r="B145" s="190" t="str">
        <v>EOBSVC2 ICPL Curncy</v>
      </c>
      <c r="C145" s="175"/>
      <c r="D145" s="176" t="s">
        <v>1155</v>
      </c>
      <c r="E145" s="176" t="s">
        <v>1109</v>
      </c>
      <c r="F145" s="176" t="s">
        <v>1156</v>
      </c>
      <c r="G145" s="177">
        <v>5.7</v>
      </c>
      <c r="I145" s="167" t="str">
        <v>EUSA25 MHIS Curncy</v>
      </c>
      <c r="J145" s="175"/>
      <c r="K145" s="176" t="s">
        <v>2160</v>
      </c>
      <c r="L145" s="176" t="s">
        <v>472</v>
      </c>
      <c r="M145" s="176" t="s">
        <v>2415</v>
      </c>
      <c r="N145" s="220" t="s">
        <v>2364</v>
      </c>
      <c r="O145" s="220" t="s">
        <v>2364</v>
      </c>
      <c r="P145" s="177">
        <v>1.5182</v>
      </c>
      <c r="R145" s="167" t="str">
        <v/>
      </c>
      <c r="S145" s="175"/>
      <c r="T145" s="176"/>
      <c r="U145" s="176"/>
      <c r="V145" s="176"/>
      <c r="W145" s="177"/>
      <c r="Y145" s="167" t="str">
        <v/>
      </c>
      <c r="Z145" s="175"/>
      <c r="AA145" s="176"/>
      <c r="AB145" s="176"/>
      <c r="AC145" s="176"/>
      <c r="AD145" s="177"/>
      <c r="AF145" s="167" t="str">
        <v/>
      </c>
      <c r="AG145" s="175"/>
      <c r="AH145" s="176"/>
      <c r="AI145" s="176"/>
      <c r="AJ145" s="176"/>
      <c r="AK145" s="177"/>
      <c r="AM145" s="167" t="str">
        <v/>
      </c>
      <c r="AN145" s="175"/>
      <c r="AO145" s="176"/>
      <c r="AP145" s="176"/>
      <c r="AQ145" s="176"/>
      <c r="AR145" s="177"/>
    </row>
    <row r="146" spans="1:44">
      <c r="A146" s="204">
        <v>27</v>
      </c>
      <c r="B146" s="190" t="str">
        <v>EOBSVC3 ICPL Curncy</v>
      </c>
      <c r="C146" s="175"/>
      <c r="D146" s="176" t="s">
        <v>1157</v>
      </c>
      <c r="E146" s="176" t="s">
        <v>1109</v>
      </c>
      <c r="F146" s="176" t="s">
        <v>1158</v>
      </c>
      <c r="G146" s="177">
        <v>7.1</v>
      </c>
      <c r="I146" s="167" t="str">
        <v>EUSA30 MHIS Curncy</v>
      </c>
      <c r="J146" s="175"/>
      <c r="K146" s="176" t="s">
        <v>2161</v>
      </c>
      <c r="L146" s="176" t="s">
        <v>472</v>
      </c>
      <c r="M146" s="176" t="s">
        <v>2416</v>
      </c>
      <c r="N146" s="220" t="s">
        <v>2364</v>
      </c>
      <c r="O146" s="220" t="s">
        <v>2364</v>
      </c>
      <c r="P146" s="177">
        <v>1.5242</v>
      </c>
      <c r="R146" s="167" t="str">
        <v/>
      </c>
      <c r="S146" s="175"/>
      <c r="T146" s="176"/>
      <c r="U146" s="176"/>
      <c r="V146" s="176"/>
      <c r="W146" s="177"/>
      <c r="Y146" s="167" t="str">
        <v/>
      </c>
      <c r="Z146" s="175"/>
      <c r="AA146" s="176"/>
      <c r="AB146" s="176"/>
      <c r="AC146" s="176"/>
      <c r="AD146" s="177"/>
      <c r="AF146" s="167" t="str">
        <v/>
      </c>
      <c r="AG146" s="175"/>
      <c r="AH146" s="176"/>
      <c r="AI146" s="176"/>
      <c r="AJ146" s="176"/>
      <c r="AK146" s="177"/>
      <c r="AM146" s="167" t="str">
        <v/>
      </c>
      <c r="AN146" s="175"/>
      <c r="AO146" s="176"/>
      <c r="AP146" s="176"/>
      <c r="AQ146" s="176"/>
      <c r="AR146" s="177"/>
    </row>
    <row r="147" spans="1:44">
      <c r="A147" s="204">
        <v>28</v>
      </c>
      <c r="B147" s="190" t="str">
        <v>EOBSVC4 ICPL Curncy</v>
      </c>
      <c r="C147" s="175"/>
      <c r="D147" s="176" t="s">
        <v>1159</v>
      </c>
      <c r="E147" s="176" t="s">
        <v>1109</v>
      </c>
      <c r="F147" s="176" t="s">
        <v>1160</v>
      </c>
      <c r="G147" s="177">
        <v>8</v>
      </c>
      <c r="I147" s="167" t="str">
        <v>EUSA40 MHIS Curncy</v>
      </c>
      <c r="J147" s="175"/>
      <c r="K147" s="176" t="s">
        <v>2162</v>
      </c>
      <c r="L147" s="176" t="s">
        <v>472</v>
      </c>
      <c r="M147" s="176" t="s">
        <v>2417</v>
      </c>
      <c r="N147" s="220" t="s">
        <v>2364</v>
      </c>
      <c r="O147" s="220" t="s">
        <v>2364</v>
      </c>
      <c r="P147" s="177">
        <v>1.5092000000000001</v>
      </c>
      <c r="R147" s="167" t="str">
        <v/>
      </c>
      <c r="S147" s="175"/>
      <c r="T147" s="176"/>
      <c r="U147" s="176"/>
      <c r="V147" s="176"/>
      <c r="W147" s="177"/>
      <c r="Y147" s="167" t="str">
        <v/>
      </c>
      <c r="Z147" s="175"/>
      <c r="AA147" s="176"/>
      <c r="AB147" s="176"/>
      <c r="AC147" s="176"/>
      <c r="AD147" s="177"/>
      <c r="AF147" s="167" t="str">
        <v/>
      </c>
      <c r="AG147" s="175"/>
      <c r="AH147" s="176"/>
      <c r="AI147" s="176"/>
      <c r="AJ147" s="176"/>
      <c r="AK147" s="177"/>
      <c r="AM147" s="167" t="str">
        <v/>
      </c>
      <c r="AN147" s="175"/>
      <c r="AO147" s="176"/>
      <c r="AP147" s="176"/>
      <c r="AQ147" s="176"/>
      <c r="AR147" s="177"/>
    </row>
    <row r="148" spans="1:44">
      <c r="A148" s="204">
        <v>29</v>
      </c>
      <c r="B148" s="190" t="str">
        <v>EOBSVC5 ICPL Curncy</v>
      </c>
      <c r="C148" s="175"/>
      <c r="D148" s="176" t="s">
        <v>1161</v>
      </c>
      <c r="E148" s="176" t="s">
        <v>1109</v>
      </c>
      <c r="F148" s="176" t="s">
        <v>1162</v>
      </c>
      <c r="G148" s="177">
        <v>8.8000000000000007</v>
      </c>
      <c r="I148" s="167" t="str">
        <v>EUSA50 MHIS Curncy</v>
      </c>
      <c r="J148" s="175"/>
      <c r="K148" s="176" t="s">
        <v>2163</v>
      </c>
      <c r="L148" s="176" t="s">
        <v>472</v>
      </c>
      <c r="M148" s="176" t="s">
        <v>2418</v>
      </c>
      <c r="N148" s="220" t="s">
        <v>2364</v>
      </c>
      <c r="O148" s="220" t="s">
        <v>2364</v>
      </c>
      <c r="P148" s="177">
        <v>1.4681999999999999</v>
      </c>
      <c r="R148" s="167" t="str">
        <v/>
      </c>
      <c r="S148" s="175"/>
      <c r="T148" s="176"/>
      <c r="U148" s="176"/>
      <c r="V148" s="176"/>
      <c r="W148" s="177"/>
      <c r="Y148" s="167" t="str">
        <v/>
      </c>
      <c r="Z148" s="175"/>
      <c r="AA148" s="176"/>
      <c r="AB148" s="176"/>
      <c r="AC148" s="176"/>
      <c r="AD148" s="177"/>
      <c r="AF148" s="167" t="str">
        <v/>
      </c>
      <c r="AG148" s="175"/>
      <c r="AH148" s="176"/>
      <c r="AI148" s="176"/>
      <c r="AJ148" s="176"/>
      <c r="AK148" s="177"/>
      <c r="AM148" s="167" t="str">
        <v/>
      </c>
      <c r="AN148" s="175"/>
      <c r="AO148" s="176"/>
      <c r="AP148" s="176"/>
      <c r="AQ148" s="176"/>
      <c r="AR148" s="177"/>
    </row>
    <row r="149" spans="1:44">
      <c r="A149" s="204">
        <v>30</v>
      </c>
      <c r="B149" s="190" t="str">
        <v>EOBSVC6 ICPL Curncy</v>
      </c>
      <c r="C149" s="175"/>
      <c r="D149" s="176" t="s">
        <v>1176</v>
      </c>
      <c r="E149" s="176" t="s">
        <v>1109</v>
      </c>
      <c r="F149" s="176" t="s">
        <v>1177</v>
      </c>
      <c r="G149" s="177">
        <v>9.5</v>
      </c>
      <c r="I149" s="167" t="str">
        <v/>
      </c>
      <c r="J149" s="175"/>
      <c r="K149" s="176"/>
      <c r="L149" s="176"/>
      <c r="M149" s="176"/>
      <c r="N149" s="220"/>
      <c r="O149" s="220"/>
      <c r="P149" s="177"/>
      <c r="R149" s="167" t="str">
        <v/>
      </c>
      <c r="S149" s="175"/>
      <c r="T149" s="176"/>
      <c r="U149" s="176"/>
      <c r="V149" s="176"/>
      <c r="W149" s="177"/>
      <c r="Y149" s="167" t="str">
        <v/>
      </c>
      <c r="Z149" s="175"/>
      <c r="AA149" s="176"/>
      <c r="AB149" s="176"/>
      <c r="AC149" s="176"/>
      <c r="AD149" s="177"/>
      <c r="AF149" s="167" t="str">
        <v/>
      </c>
      <c r="AG149" s="175"/>
      <c r="AH149" s="176"/>
      <c r="AI149" s="176"/>
      <c r="AJ149" s="176"/>
      <c r="AK149" s="177"/>
      <c r="AM149" s="167" t="str">
        <v/>
      </c>
      <c r="AN149" s="175"/>
      <c r="AO149" s="176"/>
      <c r="AP149" s="176"/>
      <c r="AQ149" s="176"/>
      <c r="AR149" s="177"/>
    </row>
    <row r="150" spans="1:44">
      <c r="A150" s="204">
        <v>31</v>
      </c>
      <c r="B150" s="190" t="str">
        <v>EOBSVC7 ICPL Curncy</v>
      </c>
      <c r="C150" s="175"/>
      <c r="D150" s="176" t="s">
        <v>1178</v>
      </c>
      <c r="E150" s="176" t="s">
        <v>1109</v>
      </c>
      <c r="F150" s="176" t="s">
        <v>1179</v>
      </c>
      <c r="G150" s="177">
        <v>9.9</v>
      </c>
      <c r="I150" s="167" t="str">
        <v/>
      </c>
      <c r="J150" s="175"/>
      <c r="K150" s="176"/>
      <c r="L150" s="176"/>
      <c r="M150" s="176"/>
      <c r="N150" s="220"/>
      <c r="O150" s="220"/>
      <c r="P150" s="177"/>
      <c r="R150" s="167" t="str">
        <v/>
      </c>
      <c r="S150" s="175"/>
      <c r="T150" s="176"/>
      <c r="U150" s="176"/>
      <c r="V150" s="176"/>
      <c r="W150" s="177"/>
      <c r="Y150" s="167" t="str">
        <v/>
      </c>
      <c r="Z150" s="175"/>
      <c r="AA150" s="176"/>
      <c r="AB150" s="176"/>
      <c r="AC150" s="176"/>
      <c r="AD150" s="177"/>
      <c r="AF150" s="167" t="str">
        <v/>
      </c>
      <c r="AG150" s="175"/>
      <c r="AH150" s="176"/>
      <c r="AI150" s="176"/>
      <c r="AJ150" s="176"/>
      <c r="AK150" s="177"/>
      <c r="AM150" s="167" t="str">
        <v/>
      </c>
      <c r="AN150" s="175"/>
      <c r="AO150" s="176"/>
      <c r="AP150" s="176"/>
      <c r="AQ150" s="176"/>
      <c r="AR150" s="177"/>
    </row>
    <row r="151" spans="1:44">
      <c r="A151" s="204">
        <v>32</v>
      </c>
      <c r="B151" s="190" t="str">
        <v>EOBSVC8 ICPL Curncy</v>
      </c>
      <c r="C151" s="175"/>
      <c r="D151" s="176" t="s">
        <v>1180</v>
      </c>
      <c r="E151" s="176" t="s">
        <v>1109</v>
      </c>
      <c r="F151" s="176" t="s">
        <v>1181</v>
      </c>
      <c r="G151" s="177">
        <v>10.1</v>
      </c>
      <c r="I151" s="167" t="str">
        <v/>
      </c>
      <c r="J151" s="175"/>
      <c r="K151" s="176"/>
      <c r="L151" s="176"/>
      <c r="M151" s="176"/>
      <c r="N151" s="220"/>
      <c r="O151" s="220"/>
      <c r="P151" s="177"/>
      <c r="R151" s="167" t="str">
        <v/>
      </c>
      <c r="S151" s="175"/>
      <c r="T151" s="176"/>
      <c r="U151" s="176"/>
      <c r="V151" s="176"/>
      <c r="W151" s="177"/>
      <c r="Y151" s="167" t="str">
        <v/>
      </c>
      <c r="Z151" s="175"/>
      <c r="AA151" s="176"/>
      <c r="AB151" s="176"/>
      <c r="AC151" s="176"/>
      <c r="AD151" s="177"/>
      <c r="AF151" s="167" t="str">
        <v/>
      </c>
      <c r="AG151" s="175"/>
      <c r="AH151" s="176"/>
      <c r="AI151" s="176"/>
      <c r="AJ151" s="176"/>
      <c r="AK151" s="177"/>
      <c r="AM151" s="167" t="str">
        <v/>
      </c>
      <c r="AN151" s="175"/>
      <c r="AO151" s="176"/>
      <c r="AP151" s="176"/>
      <c r="AQ151" s="176"/>
      <c r="AR151" s="177"/>
    </row>
    <row r="152" spans="1:44">
      <c r="A152" s="204">
        <v>33</v>
      </c>
      <c r="B152" s="190" t="str">
        <v>EOBSVC9 ICPL Curncy</v>
      </c>
      <c r="C152" s="175"/>
      <c r="D152" s="176" t="s">
        <v>1182</v>
      </c>
      <c r="E152" s="176" t="s">
        <v>1109</v>
      </c>
      <c r="F152" s="176" t="s">
        <v>1183</v>
      </c>
      <c r="G152" s="177">
        <v>10.3</v>
      </c>
      <c r="I152" s="167" t="str">
        <v/>
      </c>
      <c r="J152" s="175"/>
      <c r="K152" s="176"/>
      <c r="L152" s="176"/>
      <c r="M152" s="176"/>
      <c r="N152" s="220"/>
      <c r="O152" s="220"/>
      <c r="P152" s="177"/>
      <c r="R152" s="167" t="str">
        <v/>
      </c>
      <c r="S152" s="175"/>
      <c r="T152" s="176"/>
      <c r="U152" s="176"/>
      <c r="V152" s="176"/>
      <c r="W152" s="177"/>
      <c r="Y152" s="167" t="str">
        <v/>
      </c>
      <c r="Z152" s="175"/>
      <c r="AA152" s="176"/>
      <c r="AB152" s="176"/>
      <c r="AC152" s="176"/>
      <c r="AD152" s="177"/>
      <c r="AF152" s="167" t="str">
        <v/>
      </c>
      <c r="AG152" s="175"/>
      <c r="AH152" s="176"/>
      <c r="AI152" s="176"/>
      <c r="AJ152" s="176"/>
      <c r="AK152" s="177"/>
      <c r="AM152" s="167" t="str">
        <v/>
      </c>
      <c r="AN152" s="175"/>
      <c r="AO152" s="176"/>
      <c r="AP152" s="176"/>
      <c r="AQ152" s="176"/>
      <c r="AR152" s="177"/>
    </row>
    <row r="153" spans="1:44">
      <c r="A153" s="204">
        <v>34</v>
      </c>
      <c r="B153" s="190" t="str">
        <v>EOBSVC10 ICPL Curncy</v>
      </c>
      <c r="C153" s="175"/>
      <c r="D153" s="176" t="s">
        <v>1184</v>
      </c>
      <c r="E153" s="176" t="s">
        <v>1109</v>
      </c>
      <c r="F153" s="176" t="s">
        <v>1185</v>
      </c>
      <c r="G153" s="177">
        <v>10.3</v>
      </c>
      <c r="I153" s="167" t="str">
        <v/>
      </c>
      <c r="J153" s="175"/>
      <c r="K153" s="176"/>
      <c r="L153" s="176"/>
      <c r="M153" s="176"/>
      <c r="N153" s="220"/>
      <c r="O153" s="220"/>
      <c r="P153" s="177"/>
      <c r="R153" s="167" t="str">
        <v/>
      </c>
      <c r="S153" s="175"/>
      <c r="T153" s="176"/>
      <c r="U153" s="176"/>
      <c r="V153" s="176"/>
      <c r="W153" s="177"/>
      <c r="Y153" s="167" t="str">
        <v/>
      </c>
      <c r="Z153" s="175"/>
      <c r="AA153" s="176"/>
      <c r="AB153" s="176"/>
      <c r="AC153" s="176"/>
      <c r="AD153" s="177"/>
      <c r="AF153" s="167" t="str">
        <v/>
      </c>
      <c r="AG153" s="175"/>
      <c r="AH153" s="176"/>
      <c r="AI153" s="176"/>
      <c r="AJ153" s="176"/>
      <c r="AK153" s="177"/>
      <c r="AM153" s="167" t="str">
        <v/>
      </c>
      <c r="AN153" s="175"/>
      <c r="AO153" s="176"/>
      <c r="AP153" s="176"/>
      <c r="AQ153" s="176"/>
      <c r="AR153" s="177"/>
    </row>
    <row r="154" spans="1:44">
      <c r="A154" s="204">
        <v>35</v>
      </c>
      <c r="B154" s="190" t="str">
        <v>EOBSVC11 ICPL Curncy</v>
      </c>
      <c r="C154" s="175"/>
      <c r="D154" s="176" t="s">
        <v>1186</v>
      </c>
      <c r="E154" s="176" t="s">
        <v>1109</v>
      </c>
      <c r="F154" s="176" t="s">
        <v>1187</v>
      </c>
      <c r="G154" s="177">
        <v>10.3</v>
      </c>
      <c r="I154" s="167" t="str">
        <v/>
      </c>
      <c r="J154" s="175"/>
      <c r="K154" s="176"/>
      <c r="L154" s="176"/>
      <c r="M154" s="176"/>
      <c r="N154" s="220"/>
      <c r="O154" s="220"/>
      <c r="P154" s="177"/>
      <c r="R154" s="167" t="str">
        <v/>
      </c>
      <c r="S154" s="175"/>
      <c r="T154" s="176"/>
      <c r="U154" s="176"/>
      <c r="V154" s="176"/>
      <c r="W154" s="177"/>
      <c r="Y154" s="167" t="str">
        <v/>
      </c>
      <c r="Z154" s="175"/>
      <c r="AA154" s="176"/>
      <c r="AB154" s="176"/>
      <c r="AC154" s="176"/>
      <c r="AD154" s="177"/>
      <c r="AF154" s="167" t="str">
        <v/>
      </c>
      <c r="AG154" s="175"/>
      <c r="AH154" s="176"/>
      <c r="AI154" s="176"/>
      <c r="AJ154" s="176"/>
      <c r="AK154" s="177"/>
      <c r="AM154" s="167" t="str">
        <v/>
      </c>
      <c r="AN154" s="175"/>
      <c r="AO154" s="176"/>
      <c r="AP154" s="176"/>
      <c r="AQ154" s="176"/>
      <c r="AR154" s="177"/>
    </row>
    <row r="155" spans="1:44">
      <c r="A155" s="204">
        <v>36</v>
      </c>
      <c r="B155" s="190" t="str">
        <v>EOBSVC12 ICPL Curncy</v>
      </c>
      <c r="C155" s="175"/>
      <c r="D155" s="176" t="s">
        <v>1188</v>
      </c>
      <c r="E155" s="176" t="s">
        <v>1109</v>
      </c>
      <c r="F155" s="176" t="s">
        <v>1189</v>
      </c>
      <c r="G155" s="177">
        <v>10.3</v>
      </c>
      <c r="I155" s="167" t="str">
        <v/>
      </c>
      <c r="J155" s="175"/>
      <c r="K155" s="176"/>
      <c r="L155" s="176"/>
      <c r="M155" s="176"/>
      <c r="N155" s="220"/>
      <c r="O155" s="220"/>
      <c r="P155" s="177"/>
      <c r="R155" s="167" t="str">
        <v/>
      </c>
      <c r="S155" s="175"/>
      <c r="T155" s="176"/>
      <c r="U155" s="176"/>
      <c r="V155" s="176"/>
      <c r="W155" s="177"/>
      <c r="Y155" s="167" t="str">
        <v/>
      </c>
      <c r="Z155" s="175"/>
      <c r="AA155" s="176"/>
      <c r="AB155" s="176"/>
      <c r="AC155" s="176"/>
      <c r="AD155" s="177"/>
      <c r="AF155" s="167" t="str">
        <v/>
      </c>
      <c r="AG155" s="175"/>
      <c r="AH155" s="176"/>
      <c r="AI155" s="176"/>
      <c r="AJ155" s="176"/>
      <c r="AK155" s="177"/>
      <c r="AM155" s="167" t="str">
        <v/>
      </c>
      <c r="AN155" s="175"/>
      <c r="AO155" s="176"/>
      <c r="AP155" s="176"/>
      <c r="AQ155" s="176"/>
      <c r="AR155" s="177"/>
    </row>
    <row r="156" spans="1:44">
      <c r="A156" s="204">
        <v>37</v>
      </c>
      <c r="B156" s="190" t="str">
        <v>EOBSVC15 ICPL Curncy</v>
      </c>
      <c r="C156" s="175"/>
      <c r="D156" s="176" t="s">
        <v>1190</v>
      </c>
      <c r="E156" s="176" t="s">
        <v>1109</v>
      </c>
      <c r="F156" s="176" t="s">
        <v>1191</v>
      </c>
      <c r="G156" s="177">
        <v>10.3</v>
      </c>
      <c r="I156" s="167" t="str">
        <v/>
      </c>
      <c r="J156" s="175"/>
      <c r="K156" s="176"/>
      <c r="L156" s="176"/>
      <c r="M156" s="176"/>
      <c r="N156" s="220"/>
      <c r="O156" s="220"/>
      <c r="P156" s="177"/>
      <c r="R156" s="167" t="str">
        <v/>
      </c>
      <c r="S156" s="175"/>
      <c r="T156" s="176"/>
      <c r="U156" s="176"/>
      <c r="V156" s="176"/>
      <c r="W156" s="177"/>
      <c r="Y156" s="167" t="str">
        <v/>
      </c>
      <c r="Z156" s="175"/>
      <c r="AA156" s="176"/>
      <c r="AB156" s="176"/>
      <c r="AC156" s="176"/>
      <c r="AD156" s="177"/>
      <c r="AF156" s="167" t="str">
        <v/>
      </c>
      <c r="AG156" s="175"/>
      <c r="AH156" s="176"/>
      <c r="AI156" s="176"/>
      <c r="AJ156" s="176"/>
      <c r="AK156" s="177"/>
      <c r="AM156" s="167" t="str">
        <v/>
      </c>
      <c r="AN156" s="175"/>
      <c r="AO156" s="176"/>
      <c r="AP156" s="176"/>
      <c r="AQ156" s="176"/>
      <c r="AR156" s="177"/>
    </row>
    <row r="157" spans="1:44">
      <c r="A157" s="204">
        <v>38</v>
      </c>
      <c r="B157" s="190" t="str">
        <v>EOBSVC20 ICPL Curncy</v>
      </c>
      <c r="C157" s="175"/>
      <c r="D157" s="176" t="s">
        <v>1192</v>
      </c>
      <c r="E157" s="176" t="s">
        <v>1109</v>
      </c>
      <c r="F157" s="176" t="s">
        <v>1193</v>
      </c>
      <c r="G157" s="177">
        <v>10</v>
      </c>
      <c r="I157" s="167" t="str">
        <v/>
      </c>
      <c r="J157" s="175"/>
      <c r="K157" s="176"/>
      <c r="L157" s="176"/>
      <c r="M157" s="176"/>
      <c r="N157" s="220"/>
      <c r="O157" s="220"/>
      <c r="P157" s="177"/>
      <c r="R157" s="167" t="str">
        <v/>
      </c>
      <c r="S157" s="175"/>
      <c r="T157" s="176"/>
      <c r="U157" s="176"/>
      <c r="V157" s="176"/>
      <c r="W157" s="177"/>
      <c r="Y157" s="167" t="str">
        <v/>
      </c>
      <c r="Z157" s="175"/>
      <c r="AA157" s="176"/>
      <c r="AB157" s="176"/>
      <c r="AC157" s="176"/>
      <c r="AD157" s="177"/>
      <c r="AF157" s="167" t="str">
        <v/>
      </c>
      <c r="AG157" s="175"/>
      <c r="AH157" s="176"/>
      <c r="AI157" s="176"/>
      <c r="AJ157" s="176"/>
      <c r="AK157" s="177"/>
      <c r="AM157" s="167" t="str">
        <v/>
      </c>
      <c r="AN157" s="175"/>
      <c r="AO157" s="176"/>
      <c r="AP157" s="176"/>
      <c r="AQ157" s="176"/>
      <c r="AR157" s="177"/>
    </row>
    <row r="158" spans="1:44">
      <c r="A158" s="204">
        <v>39</v>
      </c>
      <c r="B158" s="190" t="str">
        <v>EOBSVC25 ICPL Curncy</v>
      </c>
      <c r="C158" s="175"/>
      <c r="D158" s="176" t="s">
        <v>1194</v>
      </c>
      <c r="E158" s="176" t="s">
        <v>1109</v>
      </c>
      <c r="F158" s="176" t="s">
        <v>1195</v>
      </c>
      <c r="G158" s="177">
        <v>9.6</v>
      </c>
      <c r="I158" s="167" t="str">
        <v/>
      </c>
      <c r="J158" s="175"/>
      <c r="K158" s="176"/>
      <c r="L158" s="176"/>
      <c r="M158" s="176"/>
      <c r="N158" s="220"/>
      <c r="O158" s="220"/>
      <c r="P158" s="177"/>
      <c r="R158" s="167" t="str">
        <v/>
      </c>
      <c r="S158" s="175"/>
      <c r="T158" s="176"/>
      <c r="U158" s="176"/>
      <c r="V158" s="176"/>
      <c r="W158" s="177"/>
      <c r="Y158" s="167" t="str">
        <v/>
      </c>
      <c r="Z158" s="175"/>
      <c r="AA158" s="176"/>
      <c r="AB158" s="176"/>
      <c r="AC158" s="176"/>
      <c r="AD158" s="177"/>
      <c r="AF158" s="167" t="str">
        <v/>
      </c>
      <c r="AG158" s="175"/>
      <c r="AH158" s="176"/>
      <c r="AI158" s="176"/>
      <c r="AJ158" s="176"/>
      <c r="AK158" s="177"/>
      <c r="AM158" s="167" t="str">
        <v/>
      </c>
      <c r="AN158" s="175"/>
      <c r="AO158" s="176"/>
      <c r="AP158" s="176"/>
      <c r="AQ158" s="176"/>
      <c r="AR158" s="177"/>
    </row>
    <row r="159" spans="1:44">
      <c r="A159" s="204">
        <v>40</v>
      </c>
      <c r="B159" s="190" t="str">
        <v>EOBSVC30 ICPL Curncy</v>
      </c>
      <c r="C159" s="175"/>
      <c r="D159" s="176" t="s">
        <v>1143</v>
      </c>
      <c r="E159" s="176" t="s">
        <v>1109</v>
      </c>
      <c r="F159" s="176" t="s">
        <v>1144</v>
      </c>
      <c r="G159" s="177">
        <v>9.3000000000000007</v>
      </c>
      <c r="I159" s="167" t="str">
        <v/>
      </c>
      <c r="J159" s="175"/>
      <c r="K159" s="176"/>
      <c r="L159" s="176"/>
      <c r="M159" s="176"/>
      <c r="N159" s="220"/>
      <c r="O159" s="220"/>
      <c r="P159" s="177"/>
      <c r="R159" s="167" t="str">
        <v/>
      </c>
      <c r="S159" s="175"/>
      <c r="T159" s="176"/>
      <c r="U159" s="176"/>
      <c r="V159" s="176"/>
      <c r="W159" s="177"/>
      <c r="Y159" s="167" t="str">
        <v/>
      </c>
      <c r="Z159" s="175"/>
      <c r="AA159" s="176"/>
      <c r="AB159" s="176"/>
      <c r="AC159" s="176"/>
      <c r="AD159" s="177"/>
      <c r="AF159" s="167" t="str">
        <v/>
      </c>
      <c r="AG159" s="175"/>
      <c r="AH159" s="176"/>
      <c r="AI159" s="176"/>
      <c r="AJ159" s="176"/>
      <c r="AK159" s="177"/>
      <c r="AM159" s="167" t="str">
        <v/>
      </c>
      <c r="AN159" s="175"/>
      <c r="AO159" s="176"/>
      <c r="AP159" s="176"/>
      <c r="AQ159" s="176"/>
      <c r="AR159" s="177"/>
    </row>
    <row r="160" spans="1:44">
      <c r="A160" s="204">
        <v>41</v>
      </c>
      <c r="B160" s="190" t="str">
        <v>EOBSVC40 ICPL Curncy</v>
      </c>
      <c r="C160" s="175"/>
      <c r="D160" s="176" t="s">
        <v>1145</v>
      </c>
      <c r="E160" s="176" t="s">
        <v>1109</v>
      </c>
      <c r="F160" s="176" t="s">
        <v>1146</v>
      </c>
      <c r="G160" s="177">
        <v>8.6</v>
      </c>
      <c r="I160" s="167" t="str">
        <v/>
      </c>
      <c r="J160" s="175"/>
      <c r="K160" s="176"/>
      <c r="L160" s="176"/>
      <c r="M160" s="176"/>
      <c r="N160" s="220"/>
      <c r="O160" s="220"/>
      <c r="P160" s="177"/>
      <c r="R160" s="167" t="str">
        <v/>
      </c>
      <c r="S160" s="175"/>
      <c r="T160" s="176"/>
      <c r="U160" s="176"/>
      <c r="V160" s="176"/>
      <c r="W160" s="177"/>
      <c r="Y160" s="167" t="str">
        <v/>
      </c>
      <c r="Z160" s="175"/>
      <c r="AA160" s="176"/>
      <c r="AB160" s="176"/>
      <c r="AC160" s="176"/>
      <c r="AD160" s="177"/>
      <c r="AF160" s="167" t="str">
        <v/>
      </c>
      <c r="AG160" s="175"/>
      <c r="AH160" s="176"/>
      <c r="AI160" s="176"/>
      <c r="AJ160" s="176"/>
      <c r="AK160" s="177"/>
      <c r="AM160" s="167" t="str">
        <v/>
      </c>
      <c r="AN160" s="175"/>
      <c r="AO160" s="176"/>
      <c r="AP160" s="176"/>
      <c r="AQ160" s="176"/>
      <c r="AR160" s="177"/>
    </row>
    <row r="161" spans="1:44">
      <c r="A161" s="204">
        <v>42</v>
      </c>
      <c r="B161" s="190" t="str">
        <v>EOBSVC50 ICPL Curncy</v>
      </c>
      <c r="C161" s="175"/>
      <c r="D161" s="176" t="s">
        <v>1147</v>
      </c>
      <c r="E161" s="176" t="s">
        <v>1109</v>
      </c>
      <c r="F161" s="176" t="s">
        <v>1148</v>
      </c>
      <c r="G161" s="177">
        <v>7.9</v>
      </c>
      <c r="I161" s="167" t="str">
        <v/>
      </c>
      <c r="J161" s="175"/>
      <c r="K161" s="176"/>
      <c r="L161" s="176"/>
      <c r="M161" s="176"/>
      <c r="N161" s="220"/>
      <c r="O161" s="220"/>
      <c r="P161" s="177"/>
      <c r="R161" s="167" t="str">
        <v/>
      </c>
      <c r="S161" s="175"/>
      <c r="T161" s="176"/>
      <c r="U161" s="176"/>
      <c r="V161" s="176"/>
      <c r="W161" s="177"/>
      <c r="Y161" s="167" t="str">
        <v/>
      </c>
      <c r="Z161" s="175"/>
      <c r="AA161" s="176"/>
      <c r="AB161" s="176"/>
      <c r="AC161" s="176"/>
      <c r="AD161" s="177"/>
      <c r="AF161" s="167" t="str">
        <v/>
      </c>
      <c r="AG161" s="175"/>
      <c r="AH161" s="176"/>
      <c r="AI161" s="176"/>
      <c r="AJ161" s="176"/>
      <c r="AK161" s="177"/>
      <c r="AM161" s="167" t="str">
        <v/>
      </c>
      <c r="AN161" s="175"/>
      <c r="AO161" s="176"/>
      <c r="AP161" s="176"/>
      <c r="AQ161" s="176"/>
      <c r="AR161" s="177"/>
    </row>
    <row r="162" spans="1:44">
      <c r="A162" s="204">
        <v>43</v>
      </c>
      <c r="B162" s="190" t="str">
        <v>EUSW2V3 MHIS Curncy</v>
      </c>
      <c r="C162" s="175"/>
      <c r="D162" s="176" t="s">
        <v>2172</v>
      </c>
      <c r="E162" s="176" t="s">
        <v>472</v>
      </c>
      <c r="F162" s="176" t="s">
        <v>2397</v>
      </c>
      <c r="G162" s="177">
        <v>-0.20660000000000001</v>
      </c>
      <c r="I162" s="167" t="str">
        <v/>
      </c>
      <c r="J162" s="175"/>
      <c r="K162" s="176"/>
      <c r="L162" s="176"/>
      <c r="M162" s="176"/>
      <c r="N162" s="220"/>
      <c r="O162" s="220"/>
      <c r="P162" s="177"/>
      <c r="R162" s="167" t="str">
        <v/>
      </c>
      <c r="S162" s="175"/>
      <c r="T162" s="176"/>
      <c r="U162" s="176"/>
      <c r="V162" s="176"/>
      <c r="W162" s="177"/>
      <c r="Y162" s="167" t="str">
        <v/>
      </c>
      <c r="Z162" s="175"/>
      <c r="AA162" s="176"/>
      <c r="AB162" s="176"/>
      <c r="AC162" s="176"/>
      <c r="AD162" s="177"/>
      <c r="AF162" s="167" t="str">
        <v/>
      </c>
      <c r="AG162" s="175"/>
      <c r="AH162" s="176"/>
      <c r="AI162" s="176"/>
      <c r="AJ162" s="176"/>
      <c r="AK162" s="177"/>
      <c r="AM162" s="167" t="str">
        <v/>
      </c>
      <c r="AN162" s="175"/>
      <c r="AO162" s="176"/>
      <c r="AP162" s="176"/>
      <c r="AQ162" s="176"/>
      <c r="AR162" s="177"/>
    </row>
    <row r="163" spans="1:44">
      <c r="A163" s="204">
        <v>44</v>
      </c>
      <c r="B163" s="190" t="str">
        <v>EUSW3V3 MHIS Curncy</v>
      </c>
      <c r="C163" s="175"/>
      <c r="D163" s="176" t="s">
        <v>2173</v>
      </c>
      <c r="E163" s="176" t="s">
        <v>472</v>
      </c>
      <c r="F163" s="176" t="s">
        <v>2398</v>
      </c>
      <c r="G163" s="177">
        <v>-3.4200000000000001E-2</v>
      </c>
      <c r="I163" s="167" t="str">
        <v/>
      </c>
      <c r="J163" s="175"/>
      <c r="K163" s="176"/>
      <c r="L163" s="176"/>
      <c r="M163" s="176"/>
      <c r="N163" s="220"/>
      <c r="O163" s="220"/>
      <c r="P163" s="177"/>
      <c r="R163" s="167" t="str">
        <v/>
      </c>
      <c r="S163" s="175"/>
      <c r="T163" s="176"/>
      <c r="U163" s="176"/>
      <c r="V163" s="176"/>
      <c r="W163" s="177"/>
      <c r="Y163" s="167" t="str">
        <v/>
      </c>
      <c r="Z163" s="175"/>
      <c r="AA163" s="176"/>
      <c r="AB163" s="176"/>
      <c r="AC163" s="176"/>
      <c r="AD163" s="177"/>
      <c r="AF163" s="167" t="str">
        <v/>
      </c>
      <c r="AG163" s="175"/>
      <c r="AH163" s="176"/>
      <c r="AI163" s="176"/>
      <c r="AJ163" s="176"/>
      <c r="AK163" s="177"/>
      <c r="AM163" s="167" t="str">
        <v/>
      </c>
      <c r="AN163" s="175"/>
      <c r="AO163" s="176"/>
      <c r="AP163" s="176"/>
      <c r="AQ163" s="176"/>
      <c r="AR163" s="177"/>
    </row>
    <row r="164" spans="1:44">
      <c r="A164" s="204">
        <v>45</v>
      </c>
      <c r="B164" s="190" t="str">
        <v>EUSW4V3 MHIS Curncy</v>
      </c>
      <c r="C164" s="175"/>
      <c r="D164" s="176" t="s">
        <v>2174</v>
      </c>
      <c r="E164" s="176" t="s">
        <v>472</v>
      </c>
      <c r="F164" s="176" t="s">
        <v>2399</v>
      </c>
      <c r="G164" s="177">
        <v>0.14649999999999999</v>
      </c>
      <c r="I164" s="167" t="str">
        <v/>
      </c>
      <c r="J164" s="175"/>
      <c r="K164" s="176"/>
      <c r="L164" s="176"/>
      <c r="M164" s="176"/>
      <c r="N164" s="220"/>
      <c r="O164" s="220"/>
      <c r="P164" s="177"/>
      <c r="R164" s="167" t="str">
        <v/>
      </c>
      <c r="S164" s="175"/>
      <c r="T164" s="176"/>
      <c r="U164" s="176"/>
      <c r="V164" s="176"/>
      <c r="W164" s="177"/>
      <c r="Y164" s="167" t="str">
        <v/>
      </c>
      <c r="Z164" s="175"/>
      <c r="AA164" s="176"/>
      <c r="AB164" s="176"/>
      <c r="AC164" s="176"/>
      <c r="AD164" s="177"/>
      <c r="AF164" s="167" t="str">
        <v/>
      </c>
      <c r="AG164" s="175"/>
      <c r="AH164" s="176"/>
      <c r="AI164" s="176"/>
      <c r="AJ164" s="176"/>
      <c r="AK164" s="177"/>
      <c r="AM164" s="167" t="str">
        <v/>
      </c>
      <c r="AN164" s="175"/>
      <c r="AO164" s="176"/>
      <c r="AP164" s="176"/>
      <c r="AQ164" s="176"/>
      <c r="AR164" s="177"/>
    </row>
    <row r="165" spans="1:44">
      <c r="A165" s="204">
        <v>46</v>
      </c>
      <c r="B165" s="190" t="str">
        <v>EUSW5V3 MHIS Curncy</v>
      </c>
      <c r="C165" s="175"/>
      <c r="D165" s="176" t="s">
        <v>2175</v>
      </c>
      <c r="E165" s="176" t="s">
        <v>472</v>
      </c>
      <c r="F165" s="176" t="s">
        <v>2400</v>
      </c>
      <c r="G165" s="177">
        <v>0.309</v>
      </c>
      <c r="I165" s="167" t="str">
        <v/>
      </c>
      <c r="J165" s="175"/>
      <c r="K165" s="176"/>
      <c r="L165" s="176"/>
      <c r="M165" s="176"/>
      <c r="N165" s="220"/>
      <c r="O165" s="220"/>
      <c r="P165" s="177"/>
      <c r="R165" s="167" t="str">
        <v/>
      </c>
      <c r="S165" s="175"/>
      <c r="T165" s="176"/>
      <c r="U165" s="176"/>
      <c r="V165" s="176"/>
      <c r="W165" s="177"/>
      <c r="Y165" s="167" t="str">
        <v/>
      </c>
      <c r="Z165" s="175"/>
      <c r="AA165" s="176"/>
      <c r="AB165" s="176"/>
      <c r="AC165" s="176"/>
      <c r="AD165" s="177"/>
      <c r="AF165" s="167" t="str">
        <v/>
      </c>
      <c r="AG165" s="175"/>
      <c r="AH165" s="176"/>
      <c r="AI165" s="176"/>
      <c r="AJ165" s="176"/>
      <c r="AK165" s="177"/>
      <c r="AM165" s="167" t="str">
        <v/>
      </c>
      <c r="AN165" s="175"/>
      <c r="AO165" s="176"/>
      <c r="AP165" s="176"/>
      <c r="AQ165" s="176"/>
      <c r="AR165" s="177"/>
    </row>
    <row r="166" spans="1:44">
      <c r="A166" s="204">
        <v>47</v>
      </c>
      <c r="B166" s="190" t="str">
        <v>EUSW6V3 MHIS Curncy</v>
      </c>
      <c r="C166" s="175"/>
      <c r="D166" s="176" t="s">
        <v>2176</v>
      </c>
      <c r="E166" s="176" t="s">
        <v>472</v>
      </c>
      <c r="F166" s="176" t="s">
        <v>2401</v>
      </c>
      <c r="G166" s="177">
        <v>0.45540000000000003</v>
      </c>
      <c r="I166" s="167" t="str">
        <v/>
      </c>
      <c r="J166" s="175"/>
      <c r="K166" s="176"/>
      <c r="L166" s="176"/>
      <c r="M166" s="176"/>
      <c r="N166" s="220"/>
      <c r="O166" s="220"/>
      <c r="P166" s="177"/>
      <c r="R166" s="167" t="str">
        <v/>
      </c>
      <c r="S166" s="175"/>
      <c r="T166" s="176"/>
      <c r="U166" s="176"/>
      <c r="V166" s="176"/>
      <c r="W166" s="177"/>
      <c r="Y166" s="167" t="str">
        <v/>
      </c>
      <c r="Z166" s="175"/>
      <c r="AA166" s="176"/>
      <c r="AB166" s="176"/>
      <c r="AC166" s="176"/>
      <c r="AD166" s="177"/>
      <c r="AF166" s="167" t="str">
        <v/>
      </c>
      <c r="AG166" s="175"/>
      <c r="AH166" s="176"/>
      <c r="AI166" s="176"/>
      <c r="AJ166" s="176"/>
      <c r="AK166" s="177"/>
      <c r="AM166" s="167" t="str">
        <v/>
      </c>
      <c r="AN166" s="175"/>
      <c r="AO166" s="176"/>
      <c r="AP166" s="176"/>
      <c r="AQ166" s="176"/>
      <c r="AR166" s="177"/>
    </row>
    <row r="167" spans="1:44">
      <c r="A167" s="204">
        <v>48</v>
      </c>
      <c r="B167" s="190" t="str">
        <v>EUSW7V3 MHIS Curncy</v>
      </c>
      <c r="C167" s="175"/>
      <c r="D167" s="176" t="s">
        <v>2177</v>
      </c>
      <c r="E167" s="176" t="s">
        <v>472</v>
      </c>
      <c r="F167" s="176" t="s">
        <v>2402</v>
      </c>
      <c r="G167" s="177">
        <v>0.58709999999999996</v>
      </c>
      <c r="I167" s="167" t="str">
        <v/>
      </c>
      <c r="J167" s="175"/>
      <c r="K167" s="176"/>
      <c r="L167" s="176"/>
      <c r="M167" s="176"/>
      <c r="N167" s="220"/>
      <c r="O167" s="220"/>
      <c r="P167" s="177"/>
      <c r="R167" s="167" t="str">
        <v/>
      </c>
      <c r="S167" s="175"/>
      <c r="T167" s="176"/>
      <c r="U167" s="176"/>
      <c r="V167" s="176"/>
      <c r="W167" s="177"/>
      <c r="Y167" s="167" t="str">
        <v/>
      </c>
      <c r="Z167" s="175"/>
      <c r="AA167" s="176"/>
      <c r="AB167" s="176"/>
      <c r="AC167" s="176"/>
      <c r="AD167" s="177"/>
      <c r="AF167" s="167" t="str">
        <v/>
      </c>
      <c r="AG167" s="175"/>
      <c r="AH167" s="176"/>
      <c r="AI167" s="176"/>
      <c r="AJ167" s="176"/>
      <c r="AK167" s="177"/>
      <c r="AM167" s="167" t="str">
        <v/>
      </c>
      <c r="AN167" s="175"/>
      <c r="AO167" s="176"/>
      <c r="AP167" s="176"/>
      <c r="AQ167" s="176"/>
      <c r="AR167" s="177"/>
    </row>
    <row r="168" spans="1:44">
      <c r="A168" s="204">
        <v>49</v>
      </c>
      <c r="B168" s="190" t="str">
        <v>EUSW8V3 MHIS Curncy</v>
      </c>
      <c r="C168" s="175"/>
      <c r="D168" s="176" t="s">
        <v>2178</v>
      </c>
      <c r="E168" s="176" t="s">
        <v>472</v>
      </c>
      <c r="F168" s="176" t="s">
        <v>2403</v>
      </c>
      <c r="G168" s="177">
        <v>0.70520000000000005</v>
      </c>
      <c r="I168" s="167" t="str">
        <v/>
      </c>
      <c r="J168" s="175"/>
      <c r="K168" s="176"/>
      <c r="L168" s="176"/>
      <c r="M168" s="176"/>
      <c r="N168" s="220"/>
      <c r="O168" s="220"/>
      <c r="P168" s="177"/>
      <c r="R168" s="167" t="str">
        <v/>
      </c>
      <c r="S168" s="175"/>
      <c r="T168" s="176"/>
      <c r="U168" s="176"/>
      <c r="V168" s="176"/>
      <c r="W168" s="177"/>
      <c r="Y168" s="167" t="str">
        <v/>
      </c>
      <c r="Z168" s="175"/>
      <c r="AA168" s="176"/>
      <c r="AB168" s="176"/>
      <c r="AC168" s="176"/>
      <c r="AD168" s="177"/>
      <c r="AF168" s="167" t="str">
        <v/>
      </c>
      <c r="AG168" s="175"/>
      <c r="AH168" s="176"/>
      <c r="AI168" s="176"/>
      <c r="AJ168" s="176"/>
      <c r="AK168" s="177"/>
      <c r="AM168" s="167" t="str">
        <v/>
      </c>
      <c r="AN168" s="175"/>
      <c r="AO168" s="176"/>
      <c r="AP168" s="176"/>
      <c r="AQ168" s="176"/>
      <c r="AR168" s="177"/>
    </row>
    <row r="169" spans="1:44">
      <c r="A169" s="204">
        <v>50</v>
      </c>
      <c r="B169" s="190" t="str">
        <v>EUSW9V3 MHIS Curncy</v>
      </c>
      <c r="C169" s="175"/>
      <c r="D169" s="176" t="s">
        <v>2179</v>
      </c>
      <c r="E169" s="176" t="s">
        <v>472</v>
      </c>
      <c r="F169" s="176" t="s">
        <v>2404</v>
      </c>
      <c r="G169" s="177">
        <v>0.81179999999999997</v>
      </c>
      <c r="I169" s="167" t="str">
        <v/>
      </c>
      <c r="J169" s="175"/>
      <c r="K169" s="176"/>
      <c r="L169" s="176"/>
      <c r="M169" s="176"/>
      <c r="N169" s="220"/>
      <c r="O169" s="220"/>
      <c r="P169" s="177"/>
      <c r="R169" s="167" t="str">
        <v/>
      </c>
      <c r="S169" s="175"/>
      <c r="T169" s="176"/>
      <c r="U169" s="176"/>
      <c r="V169" s="176"/>
      <c r="W169" s="177"/>
      <c r="Y169" s="167" t="str">
        <v/>
      </c>
      <c r="Z169" s="175"/>
      <c r="AA169" s="176"/>
      <c r="AB169" s="176"/>
      <c r="AC169" s="176"/>
      <c r="AD169" s="177"/>
      <c r="AF169" s="167" t="str">
        <v/>
      </c>
      <c r="AG169" s="175"/>
      <c r="AH169" s="176"/>
      <c r="AI169" s="176"/>
      <c r="AJ169" s="176"/>
      <c r="AK169" s="177"/>
      <c r="AM169" s="167" t="str">
        <v/>
      </c>
      <c r="AN169" s="175"/>
      <c r="AO169" s="176"/>
      <c r="AP169" s="176"/>
      <c r="AQ169" s="176"/>
      <c r="AR169" s="177"/>
    </row>
    <row r="170" spans="1:44">
      <c r="A170" s="204">
        <v>51</v>
      </c>
      <c r="B170" s="190" t="str">
        <v>EUSW10V3 MHIS Curncy</v>
      </c>
      <c r="C170" s="175"/>
      <c r="D170" s="176" t="s">
        <v>2180</v>
      </c>
      <c r="E170" s="176" t="s">
        <v>472</v>
      </c>
      <c r="F170" s="176" t="s">
        <v>2380</v>
      </c>
      <c r="G170" s="177">
        <v>0.90790000000000004</v>
      </c>
      <c r="I170" s="167" t="str">
        <v/>
      </c>
      <c r="J170" s="175"/>
      <c r="K170" s="176"/>
      <c r="L170" s="176"/>
      <c r="M170" s="176"/>
      <c r="N170" s="220"/>
      <c r="O170" s="220"/>
      <c r="P170" s="177"/>
      <c r="R170" s="167" t="str">
        <v/>
      </c>
      <c r="S170" s="175"/>
      <c r="T170" s="176"/>
      <c r="U170" s="176"/>
      <c r="V170" s="176"/>
      <c r="W170" s="177"/>
      <c r="Y170" s="167" t="str">
        <v/>
      </c>
      <c r="Z170" s="175"/>
      <c r="AA170" s="176"/>
      <c r="AB170" s="176"/>
      <c r="AC170" s="176"/>
      <c r="AD170" s="177"/>
      <c r="AF170" s="167" t="str">
        <v/>
      </c>
      <c r="AG170" s="175"/>
      <c r="AH170" s="176"/>
      <c r="AI170" s="176"/>
      <c r="AJ170" s="176"/>
      <c r="AK170" s="177"/>
      <c r="AM170" s="167" t="str">
        <v/>
      </c>
      <c r="AN170" s="175"/>
      <c r="AO170" s="176"/>
      <c r="AP170" s="176"/>
      <c r="AQ170" s="176"/>
      <c r="AR170" s="177"/>
    </row>
    <row r="171" spans="1:44">
      <c r="A171" s="204">
        <v>52</v>
      </c>
      <c r="B171" s="190" t="str">
        <v>EUSW11V3 MHIS Curncy</v>
      </c>
      <c r="C171" s="175"/>
      <c r="D171" s="176" t="s">
        <v>2164</v>
      </c>
      <c r="E171" s="176" t="s">
        <v>472</v>
      </c>
      <c r="F171" s="176" t="s">
        <v>2381</v>
      </c>
      <c r="G171" s="177">
        <v>0.99399999999999999</v>
      </c>
      <c r="I171" s="167" t="str">
        <v/>
      </c>
      <c r="J171" s="175"/>
      <c r="K171" s="176"/>
      <c r="L171" s="176"/>
      <c r="M171" s="176"/>
      <c r="N171" s="220"/>
      <c r="O171" s="220"/>
      <c r="P171" s="177"/>
      <c r="R171" s="167" t="str">
        <v/>
      </c>
      <c r="S171" s="175"/>
      <c r="T171" s="176"/>
      <c r="U171" s="176"/>
      <c r="V171" s="176"/>
      <c r="W171" s="177"/>
      <c r="Y171" s="167" t="str">
        <v/>
      </c>
      <c r="Z171" s="175"/>
      <c r="AA171" s="176"/>
      <c r="AB171" s="176"/>
      <c r="AC171" s="176"/>
      <c r="AD171" s="177"/>
      <c r="AF171" s="167" t="str">
        <v/>
      </c>
      <c r="AG171" s="175"/>
      <c r="AH171" s="176"/>
      <c r="AI171" s="176"/>
      <c r="AJ171" s="176"/>
      <c r="AK171" s="177"/>
      <c r="AM171" s="167" t="str">
        <v/>
      </c>
      <c r="AN171" s="175"/>
      <c r="AO171" s="176"/>
      <c r="AP171" s="176"/>
      <c r="AQ171" s="176"/>
      <c r="AR171" s="177"/>
    </row>
    <row r="172" spans="1:44">
      <c r="A172" s="204">
        <v>53</v>
      </c>
      <c r="B172" s="190" t="str">
        <v>EUSW12V3 MHIS Curncy</v>
      </c>
      <c r="C172" s="175"/>
      <c r="D172" s="176" t="s">
        <v>2165</v>
      </c>
      <c r="E172" s="176" t="s">
        <v>472</v>
      </c>
      <c r="F172" s="176" t="s">
        <v>2382</v>
      </c>
      <c r="G172" s="177">
        <v>1.0703</v>
      </c>
      <c r="I172" s="167" t="str">
        <v/>
      </c>
      <c r="J172" s="175"/>
      <c r="K172" s="176"/>
      <c r="L172" s="176"/>
      <c r="M172" s="176"/>
      <c r="N172" s="220"/>
      <c r="O172" s="220"/>
      <c r="P172" s="177"/>
      <c r="R172" s="167" t="str">
        <v/>
      </c>
      <c r="S172" s="175"/>
      <c r="T172" s="176"/>
      <c r="U172" s="176"/>
      <c r="V172" s="176"/>
      <c r="W172" s="177"/>
      <c r="Y172" s="167" t="str">
        <v/>
      </c>
      <c r="Z172" s="175"/>
      <c r="AA172" s="176"/>
      <c r="AB172" s="176"/>
      <c r="AC172" s="176"/>
      <c r="AD172" s="177"/>
      <c r="AF172" s="167" t="str">
        <v/>
      </c>
      <c r="AG172" s="175"/>
      <c r="AH172" s="176"/>
      <c r="AI172" s="176"/>
      <c r="AJ172" s="176"/>
      <c r="AK172" s="177"/>
      <c r="AM172" s="167" t="str">
        <v/>
      </c>
      <c r="AN172" s="175"/>
      <c r="AO172" s="176"/>
      <c r="AP172" s="176"/>
      <c r="AQ172" s="176"/>
      <c r="AR172" s="177"/>
    </row>
    <row r="173" spans="1:44">
      <c r="A173" s="204">
        <v>54</v>
      </c>
      <c r="B173" s="190" t="str">
        <v>EUSW15V3 MHIS Curncy</v>
      </c>
      <c r="C173" s="175"/>
      <c r="D173" s="176" t="s">
        <v>2166</v>
      </c>
      <c r="E173" s="176" t="s">
        <v>472</v>
      </c>
      <c r="F173" s="176" t="s">
        <v>2383</v>
      </c>
      <c r="G173" s="177">
        <v>1.2484</v>
      </c>
      <c r="I173" s="167" t="str">
        <v/>
      </c>
      <c r="J173" s="175"/>
      <c r="K173" s="176"/>
      <c r="L173" s="176"/>
      <c r="M173" s="176"/>
      <c r="N173" s="220"/>
      <c r="O173" s="220"/>
      <c r="P173" s="177"/>
      <c r="R173" s="167" t="str">
        <v/>
      </c>
      <c r="S173" s="175"/>
      <c r="T173" s="176"/>
      <c r="U173" s="176"/>
      <c r="V173" s="176"/>
      <c r="W173" s="177"/>
      <c r="Y173" s="167" t="str">
        <v/>
      </c>
      <c r="Z173" s="175"/>
      <c r="AA173" s="176"/>
      <c r="AB173" s="176"/>
      <c r="AC173" s="176"/>
      <c r="AD173" s="177"/>
      <c r="AF173" s="167" t="str">
        <v/>
      </c>
      <c r="AG173" s="175"/>
      <c r="AH173" s="176"/>
      <c r="AI173" s="176"/>
      <c r="AJ173" s="176"/>
      <c r="AK173" s="177"/>
      <c r="AM173" s="167" t="str">
        <v/>
      </c>
      <c r="AN173" s="175"/>
      <c r="AO173" s="176"/>
      <c r="AP173" s="176"/>
      <c r="AQ173" s="176"/>
      <c r="AR173" s="177"/>
    </row>
    <row r="174" spans="1:44">
      <c r="A174" s="204">
        <v>55</v>
      </c>
      <c r="B174" s="190" t="str">
        <v>EUSW20V3 MHIS Curncy</v>
      </c>
      <c r="C174" s="175"/>
      <c r="D174" s="176" t="s">
        <v>2167</v>
      </c>
      <c r="E174" s="176" t="s">
        <v>472</v>
      </c>
      <c r="F174" s="176" t="s">
        <v>2384</v>
      </c>
      <c r="G174" s="177">
        <v>1.4097</v>
      </c>
      <c r="I174" s="167" t="str">
        <v/>
      </c>
      <c r="J174" s="175"/>
      <c r="K174" s="176"/>
      <c r="L174" s="176"/>
      <c r="M174" s="176"/>
      <c r="N174" s="220"/>
      <c r="O174" s="220"/>
      <c r="P174" s="177"/>
      <c r="R174" s="167" t="str">
        <v/>
      </c>
      <c r="S174" s="175"/>
      <c r="T174" s="176"/>
      <c r="U174" s="176"/>
      <c r="V174" s="176"/>
      <c r="W174" s="177"/>
      <c r="Y174" s="167" t="str">
        <v/>
      </c>
      <c r="Z174" s="175"/>
      <c r="AA174" s="176"/>
      <c r="AB174" s="176"/>
      <c r="AC174" s="176"/>
      <c r="AD174" s="177"/>
      <c r="AF174" s="167" t="str">
        <v/>
      </c>
      <c r="AG174" s="175"/>
      <c r="AH174" s="176"/>
      <c r="AI174" s="176"/>
      <c r="AJ174" s="176"/>
      <c r="AK174" s="177"/>
      <c r="AM174" s="167" t="str">
        <v/>
      </c>
      <c r="AN174" s="175"/>
      <c r="AO174" s="176"/>
      <c r="AP174" s="176"/>
      <c r="AQ174" s="176"/>
      <c r="AR174" s="177"/>
    </row>
    <row r="175" spans="1:44">
      <c r="A175" s="204">
        <v>56</v>
      </c>
      <c r="B175" s="190" t="str">
        <v>EUSW25V3 MHIS Curncy</v>
      </c>
      <c r="C175" s="175"/>
      <c r="D175" s="176" t="s">
        <v>2168</v>
      </c>
      <c r="E175" s="176" t="s">
        <v>472</v>
      </c>
      <c r="F175" s="176" t="s">
        <v>2385</v>
      </c>
      <c r="G175" s="177">
        <v>1.4612000000000001</v>
      </c>
      <c r="I175" s="167" t="str">
        <v/>
      </c>
      <c r="J175" s="175"/>
      <c r="K175" s="176"/>
      <c r="L175" s="176"/>
      <c r="M175" s="176"/>
      <c r="N175" s="220"/>
      <c r="O175" s="220"/>
      <c r="P175" s="177"/>
      <c r="R175" s="167" t="str">
        <v/>
      </c>
      <c r="S175" s="175"/>
      <c r="T175" s="176"/>
      <c r="U175" s="176"/>
      <c r="V175" s="176"/>
      <c r="W175" s="177"/>
      <c r="Y175" s="167" t="str">
        <v/>
      </c>
      <c r="Z175" s="175"/>
      <c r="AA175" s="176"/>
      <c r="AB175" s="176"/>
      <c r="AC175" s="176"/>
      <c r="AD175" s="177"/>
      <c r="AF175" s="167" t="str">
        <v/>
      </c>
      <c r="AG175" s="175"/>
      <c r="AH175" s="176"/>
      <c r="AI175" s="176"/>
      <c r="AJ175" s="176"/>
      <c r="AK175" s="177"/>
      <c r="AM175" s="167" t="str">
        <v/>
      </c>
      <c r="AN175" s="175"/>
      <c r="AO175" s="176"/>
      <c r="AP175" s="176"/>
      <c r="AQ175" s="176"/>
      <c r="AR175" s="177"/>
    </row>
    <row r="176" spans="1:44">
      <c r="A176" s="204">
        <v>57</v>
      </c>
      <c r="B176" s="190" t="str">
        <v>EUSW30V3 MHIS Curncy</v>
      </c>
      <c r="C176" s="175"/>
      <c r="D176" s="176" t="s">
        <v>2169</v>
      </c>
      <c r="E176" s="176" t="s">
        <v>472</v>
      </c>
      <c r="F176" s="176" t="s">
        <v>2386</v>
      </c>
      <c r="G176" s="177">
        <v>1.4742</v>
      </c>
      <c r="I176" s="167" t="str">
        <v/>
      </c>
      <c r="J176" s="175"/>
      <c r="K176" s="176"/>
      <c r="L176" s="176"/>
      <c r="M176" s="176"/>
      <c r="N176" s="220"/>
      <c r="O176" s="220"/>
      <c r="P176" s="177"/>
      <c r="R176" s="167" t="str">
        <v/>
      </c>
      <c r="S176" s="175"/>
      <c r="T176" s="176"/>
      <c r="U176" s="176"/>
      <c r="V176" s="176"/>
      <c r="W176" s="177"/>
      <c r="Y176" s="167" t="str">
        <v/>
      </c>
      <c r="Z176" s="175"/>
      <c r="AA176" s="176"/>
      <c r="AB176" s="176"/>
      <c r="AC176" s="176"/>
      <c r="AD176" s="177"/>
      <c r="AF176" s="167" t="str">
        <v/>
      </c>
      <c r="AG176" s="175"/>
      <c r="AH176" s="176"/>
      <c r="AI176" s="176"/>
      <c r="AJ176" s="176"/>
      <c r="AK176" s="177"/>
      <c r="AM176" s="167" t="str">
        <v/>
      </c>
      <c r="AN176" s="175"/>
      <c r="AO176" s="176"/>
      <c r="AP176" s="176"/>
      <c r="AQ176" s="176"/>
      <c r="AR176" s="177"/>
    </row>
    <row r="177" spans="1:44">
      <c r="A177" s="204">
        <v>58</v>
      </c>
      <c r="B177" s="190" t="str">
        <v>EUSW40V3 MHIS Curncy</v>
      </c>
      <c r="C177" s="175"/>
      <c r="D177" s="176" t="s">
        <v>2170</v>
      </c>
      <c r="E177" s="176" t="s">
        <v>472</v>
      </c>
      <c r="F177" s="176" t="s">
        <v>2387</v>
      </c>
      <c r="G177" s="177">
        <v>1.4681999999999999</v>
      </c>
      <c r="I177" s="167" t="str">
        <v/>
      </c>
      <c r="J177" s="175"/>
      <c r="K177" s="176"/>
      <c r="L177" s="176"/>
      <c r="M177" s="176"/>
      <c r="N177" s="220"/>
      <c r="O177" s="220"/>
      <c r="P177" s="177"/>
      <c r="R177" s="167" t="str">
        <v/>
      </c>
      <c r="S177" s="175"/>
      <c r="T177" s="176"/>
      <c r="U177" s="176"/>
      <c r="V177" s="176"/>
      <c r="W177" s="177"/>
      <c r="Y177" s="167" t="str">
        <v/>
      </c>
      <c r="Z177" s="175"/>
      <c r="AA177" s="176"/>
      <c r="AB177" s="176"/>
      <c r="AC177" s="176"/>
      <c r="AD177" s="177"/>
      <c r="AF177" s="167" t="str">
        <v/>
      </c>
      <c r="AG177" s="175"/>
      <c r="AH177" s="176"/>
      <c r="AI177" s="176"/>
      <c r="AJ177" s="176"/>
      <c r="AK177" s="177"/>
      <c r="AM177" s="167" t="str">
        <v/>
      </c>
      <c r="AN177" s="175"/>
      <c r="AO177" s="176"/>
      <c r="AP177" s="176"/>
      <c r="AQ177" s="176"/>
      <c r="AR177" s="177"/>
    </row>
    <row r="178" spans="1:44">
      <c r="A178" s="204">
        <v>59</v>
      </c>
      <c r="B178" s="190" t="str">
        <v>EUSW50V3 MHIS Curncy</v>
      </c>
      <c r="C178" s="175"/>
      <c r="D178" s="176" t="s">
        <v>2171</v>
      </c>
      <c r="E178" s="176" t="s">
        <v>472</v>
      </c>
      <c r="F178" s="176" t="s">
        <v>2388</v>
      </c>
      <c r="G178" s="177">
        <v>1.4332</v>
      </c>
      <c r="I178" s="167" t="str">
        <v/>
      </c>
      <c r="J178" s="175"/>
      <c r="K178" s="176"/>
      <c r="L178" s="176"/>
      <c r="M178" s="176"/>
      <c r="N178" s="220"/>
      <c r="O178" s="220"/>
      <c r="P178" s="177"/>
      <c r="R178" s="167" t="str">
        <v/>
      </c>
      <c r="S178" s="175"/>
      <c r="T178" s="176"/>
      <c r="U178" s="176"/>
      <c r="V178" s="176"/>
      <c r="W178" s="177"/>
      <c r="Y178" s="167" t="str">
        <v/>
      </c>
      <c r="Z178" s="175"/>
      <c r="AA178" s="176"/>
      <c r="AB178" s="176"/>
      <c r="AC178" s="176"/>
      <c r="AD178" s="177"/>
      <c r="AF178" s="167" t="str">
        <v/>
      </c>
      <c r="AG178" s="175"/>
      <c r="AH178" s="176"/>
      <c r="AI178" s="176"/>
      <c r="AJ178" s="176"/>
      <c r="AK178" s="177"/>
      <c r="AM178" s="167" t="str">
        <v/>
      </c>
      <c r="AN178" s="175"/>
      <c r="AO178" s="176"/>
      <c r="AP178" s="176"/>
      <c r="AQ178" s="176"/>
      <c r="AR178" s="177"/>
    </row>
    <row r="179" spans="1:44">
      <c r="A179" s="204">
        <v>60</v>
      </c>
      <c r="B179" s="190" t="str">
        <v/>
      </c>
      <c r="C179" s="175"/>
      <c r="D179" s="176"/>
      <c r="E179" s="176"/>
      <c r="F179" s="176"/>
      <c r="G179" s="177"/>
      <c r="I179" s="167" t="str">
        <v/>
      </c>
      <c r="J179" s="175"/>
      <c r="K179" s="176"/>
      <c r="L179" s="176"/>
      <c r="M179" s="176"/>
      <c r="N179" s="220"/>
      <c r="O179" s="220"/>
      <c r="P179" s="177"/>
      <c r="R179" s="167" t="str">
        <v/>
      </c>
      <c r="S179" s="175"/>
      <c r="T179" s="176"/>
      <c r="U179" s="176"/>
      <c r="V179" s="176"/>
      <c r="W179" s="177"/>
      <c r="Y179" s="167" t="str">
        <v/>
      </c>
      <c r="Z179" s="175"/>
      <c r="AA179" s="176"/>
      <c r="AB179" s="176"/>
      <c r="AC179" s="176"/>
      <c r="AD179" s="177"/>
      <c r="AF179" s="167" t="str">
        <v/>
      </c>
      <c r="AG179" s="175"/>
      <c r="AH179" s="176"/>
      <c r="AI179" s="176"/>
      <c r="AJ179" s="176"/>
      <c r="AK179" s="177"/>
      <c r="AM179" s="167" t="str">
        <v/>
      </c>
      <c r="AN179" s="175"/>
      <c r="AO179" s="176"/>
      <c r="AP179" s="176"/>
      <c r="AQ179" s="176"/>
      <c r="AR179" s="177"/>
    </row>
    <row r="180" spans="1:44">
      <c r="A180" s="204">
        <v>61</v>
      </c>
      <c r="B180" s="190" t="str">
        <v/>
      </c>
      <c r="C180" s="175"/>
      <c r="D180" s="176"/>
      <c r="E180" s="176"/>
      <c r="F180" s="176"/>
      <c r="G180" s="177"/>
      <c r="I180" s="167" t="str">
        <v/>
      </c>
      <c r="J180" s="175"/>
      <c r="K180" s="176"/>
      <c r="L180" s="176"/>
      <c r="M180" s="176"/>
      <c r="N180" s="220"/>
      <c r="O180" s="220"/>
      <c r="P180" s="177"/>
      <c r="R180" s="167" t="str">
        <v/>
      </c>
      <c r="S180" s="175"/>
      <c r="T180" s="176"/>
      <c r="U180" s="176"/>
      <c r="V180" s="176"/>
      <c r="W180" s="177"/>
      <c r="Y180" s="167" t="str">
        <v/>
      </c>
      <c r="Z180" s="175"/>
      <c r="AA180" s="176"/>
      <c r="AB180" s="176"/>
      <c r="AC180" s="176"/>
      <c r="AD180" s="177"/>
      <c r="AF180" s="167" t="str">
        <v/>
      </c>
      <c r="AG180" s="175"/>
      <c r="AH180" s="176"/>
      <c r="AI180" s="176"/>
      <c r="AJ180" s="176"/>
      <c r="AK180" s="177"/>
      <c r="AM180" s="167" t="str">
        <v/>
      </c>
      <c r="AN180" s="175"/>
      <c r="AO180" s="176"/>
      <c r="AP180" s="176"/>
      <c r="AQ180" s="176"/>
      <c r="AR180" s="177"/>
    </row>
    <row r="181" spans="1:44">
      <c r="A181" s="204">
        <v>62</v>
      </c>
      <c r="B181" s="190" t="str">
        <v/>
      </c>
      <c r="C181" s="175"/>
      <c r="D181" s="176"/>
      <c r="E181" s="176"/>
      <c r="F181" s="176"/>
      <c r="G181" s="177"/>
      <c r="I181" s="167" t="str">
        <v/>
      </c>
      <c r="J181" s="175"/>
      <c r="K181" s="176"/>
      <c r="L181" s="176"/>
      <c r="M181" s="176"/>
      <c r="N181" s="220"/>
      <c r="O181" s="220"/>
      <c r="P181" s="177"/>
      <c r="R181" s="167" t="str">
        <v/>
      </c>
      <c r="S181" s="175"/>
      <c r="T181" s="176"/>
      <c r="U181" s="176"/>
      <c r="V181" s="176"/>
      <c r="W181" s="177"/>
      <c r="Y181" s="167" t="str">
        <v/>
      </c>
      <c r="Z181" s="175"/>
      <c r="AA181" s="176"/>
      <c r="AB181" s="176"/>
      <c r="AC181" s="176"/>
      <c r="AD181" s="177"/>
      <c r="AF181" s="167" t="str">
        <v/>
      </c>
      <c r="AG181" s="175"/>
      <c r="AH181" s="176"/>
      <c r="AI181" s="176"/>
      <c r="AJ181" s="176"/>
      <c r="AK181" s="177"/>
      <c r="AM181" s="167" t="str">
        <v/>
      </c>
      <c r="AN181" s="175"/>
      <c r="AO181" s="176"/>
      <c r="AP181" s="176"/>
      <c r="AQ181" s="176"/>
      <c r="AR181" s="177"/>
    </row>
    <row r="182" spans="1:44">
      <c r="A182" s="204">
        <v>63</v>
      </c>
      <c r="B182" s="190" t="str">
        <v/>
      </c>
      <c r="C182" s="175"/>
      <c r="D182" s="176"/>
      <c r="E182" s="176"/>
      <c r="F182" s="176"/>
      <c r="G182" s="177"/>
      <c r="I182" s="167" t="str">
        <v/>
      </c>
      <c r="J182" s="175"/>
      <c r="K182" s="176"/>
      <c r="L182" s="176"/>
      <c r="M182" s="176"/>
      <c r="N182" s="220"/>
      <c r="O182" s="220"/>
      <c r="P182" s="177"/>
      <c r="R182" s="167" t="str">
        <v/>
      </c>
      <c r="S182" s="175"/>
      <c r="T182" s="176"/>
      <c r="U182" s="176"/>
      <c r="V182" s="176"/>
      <c r="W182" s="177"/>
      <c r="Y182" s="167" t="str">
        <v/>
      </c>
      <c r="Z182" s="175"/>
      <c r="AA182" s="176"/>
      <c r="AB182" s="176"/>
      <c r="AC182" s="176"/>
      <c r="AD182" s="177"/>
      <c r="AF182" s="167" t="str">
        <v/>
      </c>
      <c r="AG182" s="175"/>
      <c r="AH182" s="176"/>
      <c r="AI182" s="176"/>
      <c r="AJ182" s="176"/>
      <c r="AK182" s="177"/>
      <c r="AM182" s="167" t="str">
        <v/>
      </c>
      <c r="AN182" s="175"/>
      <c r="AO182" s="176"/>
      <c r="AP182" s="176"/>
      <c r="AQ182" s="176"/>
      <c r="AR182" s="177"/>
    </row>
    <row r="183" spans="1:44">
      <c r="A183" s="204">
        <v>64</v>
      </c>
      <c r="B183" s="190" t="str">
        <v/>
      </c>
      <c r="C183" s="175"/>
      <c r="D183" s="176"/>
      <c r="E183" s="176"/>
      <c r="F183" s="176"/>
      <c r="G183" s="177"/>
      <c r="I183" s="167" t="str">
        <v/>
      </c>
      <c r="J183" s="175"/>
      <c r="K183" s="176"/>
      <c r="L183" s="176"/>
      <c r="M183" s="176"/>
      <c r="N183" s="220"/>
      <c r="O183" s="220"/>
      <c r="P183" s="177"/>
      <c r="R183" s="167" t="str">
        <v/>
      </c>
      <c r="S183" s="175"/>
      <c r="T183" s="176"/>
      <c r="U183" s="176"/>
      <c r="V183" s="176"/>
      <c r="W183" s="177"/>
      <c r="Y183" s="167" t="str">
        <v/>
      </c>
      <c r="Z183" s="175"/>
      <c r="AA183" s="176"/>
      <c r="AB183" s="176"/>
      <c r="AC183" s="176"/>
      <c r="AD183" s="177"/>
      <c r="AF183" s="167" t="str">
        <v/>
      </c>
      <c r="AG183" s="175"/>
      <c r="AH183" s="176"/>
      <c r="AI183" s="176"/>
      <c r="AJ183" s="176"/>
      <c r="AK183" s="177"/>
      <c r="AM183" s="167" t="str">
        <v/>
      </c>
      <c r="AN183" s="175"/>
      <c r="AO183" s="176"/>
      <c r="AP183" s="176"/>
      <c r="AQ183" s="176"/>
      <c r="AR183" s="177"/>
    </row>
    <row r="184" spans="1:44">
      <c r="A184" s="204">
        <v>65</v>
      </c>
      <c r="B184" s="190" t="str">
        <v/>
      </c>
      <c r="C184" s="175"/>
      <c r="D184" s="176"/>
      <c r="E184" s="176"/>
      <c r="F184" s="176"/>
      <c r="G184" s="177"/>
      <c r="I184" s="167" t="str">
        <v/>
      </c>
      <c r="J184" s="175"/>
      <c r="K184" s="176"/>
      <c r="L184" s="176"/>
      <c r="M184" s="176"/>
      <c r="N184" s="220"/>
      <c r="O184" s="220"/>
      <c r="P184" s="177"/>
      <c r="R184" s="167" t="str">
        <v/>
      </c>
      <c r="S184" s="175"/>
      <c r="T184" s="176"/>
      <c r="U184" s="176"/>
      <c r="V184" s="176"/>
      <c r="W184" s="177"/>
      <c r="Y184" s="167" t="str">
        <v/>
      </c>
      <c r="Z184" s="175"/>
      <c r="AA184" s="176"/>
      <c r="AB184" s="176"/>
      <c r="AC184" s="176"/>
      <c r="AD184" s="177"/>
      <c r="AF184" s="167" t="str">
        <v/>
      </c>
      <c r="AG184" s="175"/>
      <c r="AH184" s="176"/>
      <c r="AI184" s="176"/>
      <c r="AJ184" s="176"/>
      <c r="AK184" s="177"/>
      <c r="AM184" s="167" t="str">
        <v/>
      </c>
      <c r="AN184" s="175"/>
      <c r="AO184" s="176"/>
      <c r="AP184" s="176"/>
      <c r="AQ184" s="176"/>
      <c r="AR184" s="177"/>
    </row>
    <row r="185" spans="1:44">
      <c r="A185" s="204">
        <v>66</v>
      </c>
      <c r="B185" s="190" t="str">
        <v/>
      </c>
      <c r="C185" s="175"/>
      <c r="D185" s="176"/>
      <c r="E185" s="176"/>
      <c r="F185" s="176"/>
      <c r="G185" s="177"/>
      <c r="I185" s="167" t="str">
        <v/>
      </c>
      <c r="J185" s="175"/>
      <c r="K185" s="176"/>
      <c r="L185" s="176"/>
      <c r="M185" s="176"/>
      <c r="N185" s="220"/>
      <c r="O185" s="220"/>
      <c r="P185" s="177"/>
      <c r="R185" s="167" t="str">
        <v/>
      </c>
      <c r="S185" s="175"/>
      <c r="T185" s="176"/>
      <c r="U185" s="176"/>
      <c r="V185" s="176"/>
      <c r="W185" s="177"/>
      <c r="Y185" s="167" t="str">
        <v/>
      </c>
      <c r="Z185" s="175"/>
      <c r="AA185" s="176"/>
      <c r="AB185" s="176"/>
      <c r="AC185" s="176"/>
      <c r="AD185" s="177"/>
      <c r="AF185" s="167" t="str">
        <v/>
      </c>
      <c r="AG185" s="175"/>
      <c r="AH185" s="176"/>
      <c r="AI185" s="176"/>
      <c r="AJ185" s="176"/>
      <c r="AK185" s="177"/>
      <c r="AM185" s="167" t="str">
        <v/>
      </c>
      <c r="AN185" s="175"/>
      <c r="AO185" s="176"/>
      <c r="AP185" s="176"/>
      <c r="AQ185" s="176"/>
      <c r="AR185" s="177"/>
    </row>
    <row r="186" spans="1:44">
      <c r="A186" s="204">
        <v>67</v>
      </c>
      <c r="B186" s="190" t="str">
        <v/>
      </c>
      <c r="C186" s="175"/>
      <c r="D186" s="176"/>
      <c r="E186" s="176"/>
      <c r="F186" s="176"/>
      <c r="G186" s="177"/>
      <c r="I186" s="167" t="str">
        <v/>
      </c>
      <c r="J186" s="175"/>
      <c r="K186" s="176"/>
      <c r="L186" s="176"/>
      <c r="M186" s="176"/>
      <c r="N186" s="220"/>
      <c r="O186" s="220"/>
      <c r="P186" s="177"/>
      <c r="R186" s="167" t="str">
        <v/>
      </c>
      <c r="S186" s="175"/>
      <c r="T186" s="176"/>
      <c r="U186" s="176"/>
      <c r="V186" s="176"/>
      <c r="W186" s="177"/>
      <c r="Y186" s="167" t="str">
        <v/>
      </c>
      <c r="Z186" s="175"/>
      <c r="AA186" s="176"/>
      <c r="AB186" s="176"/>
      <c r="AC186" s="176"/>
      <c r="AD186" s="177"/>
      <c r="AF186" s="167" t="str">
        <v/>
      </c>
      <c r="AG186" s="175"/>
      <c r="AH186" s="176"/>
      <c r="AI186" s="176"/>
      <c r="AJ186" s="176"/>
      <c r="AK186" s="177"/>
      <c r="AM186" s="167" t="str">
        <v/>
      </c>
      <c r="AN186" s="175"/>
      <c r="AO186" s="176"/>
      <c r="AP186" s="176"/>
      <c r="AQ186" s="176"/>
      <c r="AR186" s="177"/>
    </row>
    <row r="187" spans="1:44">
      <c r="A187" s="204">
        <v>68</v>
      </c>
      <c r="B187" s="190" t="str">
        <v/>
      </c>
      <c r="C187" s="175"/>
      <c r="D187" s="176"/>
      <c r="E187" s="176"/>
      <c r="F187" s="176"/>
      <c r="G187" s="177"/>
      <c r="I187" s="167" t="str">
        <v/>
      </c>
      <c r="J187" s="175"/>
      <c r="K187" s="176"/>
      <c r="L187" s="176"/>
      <c r="M187" s="176"/>
      <c r="N187" s="220"/>
      <c r="O187" s="220"/>
      <c r="P187" s="177"/>
      <c r="R187" s="167" t="str">
        <v/>
      </c>
      <c r="S187" s="175"/>
      <c r="T187" s="176"/>
      <c r="U187" s="176"/>
      <c r="V187" s="176"/>
      <c r="W187" s="177"/>
      <c r="Y187" s="167" t="str">
        <v/>
      </c>
      <c r="Z187" s="175"/>
      <c r="AA187" s="176"/>
      <c r="AB187" s="176"/>
      <c r="AC187" s="176"/>
      <c r="AD187" s="177"/>
      <c r="AF187" s="167" t="str">
        <v/>
      </c>
      <c r="AG187" s="175"/>
      <c r="AH187" s="176"/>
      <c r="AI187" s="176"/>
      <c r="AJ187" s="176"/>
      <c r="AK187" s="177"/>
      <c r="AM187" s="167" t="str">
        <v/>
      </c>
      <c r="AN187" s="175"/>
      <c r="AO187" s="176"/>
      <c r="AP187" s="176"/>
      <c r="AQ187" s="176"/>
      <c r="AR187" s="177"/>
    </row>
    <row r="188" spans="1:44">
      <c r="A188" s="204">
        <v>69</v>
      </c>
      <c r="B188" s="190" t="str">
        <v/>
      </c>
      <c r="C188" s="175"/>
      <c r="D188" s="176"/>
      <c r="E188" s="176"/>
      <c r="F188" s="176"/>
      <c r="G188" s="177"/>
      <c r="I188" s="167" t="str">
        <v/>
      </c>
      <c r="J188" s="175"/>
      <c r="K188" s="176"/>
      <c r="L188" s="176"/>
      <c r="M188" s="176"/>
      <c r="N188" s="220"/>
      <c r="O188" s="220"/>
      <c r="P188" s="177"/>
      <c r="R188" s="167" t="str">
        <v/>
      </c>
      <c r="S188" s="175"/>
      <c r="T188" s="176"/>
      <c r="U188" s="176"/>
      <c r="V188" s="176"/>
      <c r="W188" s="177"/>
      <c r="Y188" s="167" t="str">
        <v/>
      </c>
      <c r="Z188" s="175"/>
      <c r="AA188" s="176"/>
      <c r="AB188" s="176"/>
      <c r="AC188" s="176"/>
      <c r="AD188" s="177"/>
      <c r="AF188" s="167" t="str">
        <v/>
      </c>
      <c r="AG188" s="175"/>
      <c r="AH188" s="176"/>
      <c r="AI188" s="176"/>
      <c r="AJ188" s="176"/>
      <c r="AK188" s="177"/>
      <c r="AM188" s="167" t="str">
        <v/>
      </c>
      <c r="AN188" s="175"/>
      <c r="AO188" s="176"/>
      <c r="AP188" s="176"/>
      <c r="AQ188" s="176"/>
      <c r="AR188" s="177"/>
    </row>
    <row r="189" spans="1:44">
      <c r="A189" s="204">
        <v>70</v>
      </c>
      <c r="B189" s="190" t="str">
        <v/>
      </c>
      <c r="C189" s="175"/>
      <c r="D189" s="176"/>
      <c r="E189" s="176"/>
      <c r="F189" s="176"/>
      <c r="G189" s="177"/>
      <c r="I189" s="167" t="str">
        <v/>
      </c>
      <c r="J189" s="175"/>
      <c r="K189" s="176"/>
      <c r="L189" s="176"/>
      <c r="M189" s="176"/>
      <c r="N189" s="220"/>
      <c r="O189" s="220"/>
      <c r="P189" s="177"/>
      <c r="R189" s="167" t="str">
        <v/>
      </c>
      <c r="S189" s="175"/>
      <c r="T189" s="176"/>
      <c r="U189" s="176"/>
      <c r="V189" s="176"/>
      <c r="W189" s="177"/>
      <c r="Y189" s="167" t="str">
        <v/>
      </c>
      <c r="Z189" s="175"/>
      <c r="AA189" s="176"/>
      <c r="AB189" s="176"/>
      <c r="AC189" s="176"/>
      <c r="AD189" s="177"/>
      <c r="AF189" s="167" t="str">
        <v/>
      </c>
      <c r="AG189" s="175"/>
      <c r="AH189" s="176"/>
      <c r="AI189" s="176"/>
      <c r="AJ189" s="176"/>
      <c r="AK189" s="177"/>
      <c r="AM189" s="167" t="str">
        <v/>
      </c>
      <c r="AN189" s="175"/>
      <c r="AO189" s="176"/>
      <c r="AP189" s="176"/>
      <c r="AQ189" s="176"/>
      <c r="AR189" s="177"/>
    </row>
    <row r="190" spans="1:44">
      <c r="A190" s="204">
        <v>71</v>
      </c>
      <c r="B190" s="190" t="str">
        <v/>
      </c>
      <c r="C190" s="175"/>
      <c r="D190" s="176"/>
      <c r="E190" s="176"/>
      <c r="F190" s="176"/>
      <c r="G190" s="177"/>
      <c r="I190" s="167" t="str">
        <v/>
      </c>
      <c r="J190" s="175"/>
      <c r="K190" s="176"/>
      <c r="L190" s="176"/>
      <c r="M190" s="176"/>
      <c r="N190" s="220"/>
      <c r="O190" s="220"/>
      <c r="P190" s="177"/>
      <c r="R190" s="167" t="str">
        <v/>
      </c>
      <c r="S190" s="175"/>
      <c r="T190" s="176"/>
      <c r="U190" s="176"/>
      <c r="V190" s="176"/>
      <c r="W190" s="177"/>
      <c r="Y190" s="167" t="str">
        <v/>
      </c>
      <c r="Z190" s="175"/>
      <c r="AA190" s="176"/>
      <c r="AB190" s="176"/>
      <c r="AC190" s="176"/>
      <c r="AD190" s="177"/>
      <c r="AF190" s="167" t="str">
        <v/>
      </c>
      <c r="AG190" s="175"/>
      <c r="AH190" s="176"/>
      <c r="AI190" s="176"/>
      <c r="AJ190" s="176"/>
      <c r="AK190" s="177"/>
      <c r="AM190" s="167" t="str">
        <v/>
      </c>
      <c r="AN190" s="175"/>
      <c r="AO190" s="176"/>
      <c r="AP190" s="176"/>
      <c r="AQ190" s="176"/>
      <c r="AR190" s="177"/>
    </row>
    <row r="191" spans="1:44">
      <c r="A191" s="204">
        <v>72</v>
      </c>
      <c r="B191" s="190" t="str">
        <v/>
      </c>
      <c r="C191" s="175"/>
      <c r="D191" s="176"/>
      <c r="E191" s="176"/>
      <c r="F191" s="176"/>
      <c r="G191" s="177"/>
      <c r="I191" s="167" t="str">
        <v/>
      </c>
      <c r="J191" s="175"/>
      <c r="K191" s="176"/>
      <c r="L191" s="176"/>
      <c r="M191" s="176"/>
      <c r="N191" s="220"/>
      <c r="O191" s="220"/>
      <c r="P191" s="177"/>
      <c r="R191" s="167" t="str">
        <v/>
      </c>
      <c r="S191" s="175"/>
      <c r="T191" s="176"/>
      <c r="U191" s="176"/>
      <c r="V191" s="176"/>
      <c r="W191" s="177"/>
      <c r="Y191" s="167" t="str">
        <v/>
      </c>
      <c r="Z191" s="175"/>
      <c r="AA191" s="176"/>
      <c r="AB191" s="176"/>
      <c r="AC191" s="176"/>
      <c r="AD191" s="177"/>
      <c r="AF191" s="167" t="str">
        <v/>
      </c>
      <c r="AG191" s="175"/>
      <c r="AH191" s="176"/>
      <c r="AI191" s="176"/>
      <c r="AJ191" s="176"/>
      <c r="AK191" s="177"/>
      <c r="AM191" s="167" t="str">
        <v/>
      </c>
      <c r="AN191" s="175"/>
      <c r="AO191" s="176"/>
      <c r="AP191" s="176"/>
      <c r="AQ191" s="176"/>
      <c r="AR191" s="177"/>
    </row>
    <row r="192" spans="1:44">
      <c r="A192" s="204">
        <v>73</v>
      </c>
      <c r="B192" s="190" t="str">
        <v/>
      </c>
      <c r="C192" s="175"/>
      <c r="D192" s="176"/>
      <c r="E192" s="176"/>
      <c r="F192" s="176"/>
      <c r="G192" s="177"/>
      <c r="I192" s="167" t="str">
        <v/>
      </c>
      <c r="J192" s="175"/>
      <c r="K192" s="176"/>
      <c r="L192" s="176"/>
      <c r="M192" s="176"/>
      <c r="N192" s="220"/>
      <c r="O192" s="220"/>
      <c r="P192" s="177"/>
      <c r="R192" s="167" t="str">
        <v/>
      </c>
      <c r="S192" s="175"/>
      <c r="T192" s="176"/>
      <c r="U192" s="176"/>
      <c r="V192" s="176"/>
      <c r="W192" s="177"/>
      <c r="Y192" s="167" t="str">
        <v/>
      </c>
      <c r="Z192" s="175"/>
      <c r="AA192" s="176"/>
      <c r="AB192" s="176"/>
      <c r="AC192" s="176"/>
      <c r="AD192" s="177"/>
      <c r="AF192" s="167" t="str">
        <v/>
      </c>
      <c r="AG192" s="175"/>
      <c r="AH192" s="176"/>
      <c r="AI192" s="176"/>
      <c r="AJ192" s="176"/>
      <c r="AK192" s="177"/>
      <c r="AM192" s="167" t="str">
        <v/>
      </c>
      <c r="AN192" s="175"/>
      <c r="AO192" s="176"/>
      <c r="AP192" s="176"/>
      <c r="AQ192" s="176"/>
      <c r="AR192" s="177"/>
    </row>
    <row r="193" spans="1:44">
      <c r="A193" s="204">
        <v>74</v>
      </c>
      <c r="B193" s="190" t="str">
        <v/>
      </c>
      <c r="C193" s="175"/>
      <c r="D193" s="176"/>
      <c r="E193" s="176"/>
      <c r="F193" s="176"/>
      <c r="G193" s="177"/>
      <c r="I193" s="167" t="str">
        <v/>
      </c>
      <c r="J193" s="175"/>
      <c r="K193" s="176"/>
      <c r="L193" s="176"/>
      <c r="M193" s="176"/>
      <c r="N193" s="220"/>
      <c r="O193" s="220"/>
      <c r="P193" s="177"/>
      <c r="R193" s="167" t="str">
        <v/>
      </c>
      <c r="S193" s="175"/>
      <c r="T193" s="176"/>
      <c r="U193" s="176"/>
      <c r="V193" s="176"/>
      <c r="W193" s="177"/>
      <c r="Y193" s="167" t="str">
        <v/>
      </c>
      <c r="Z193" s="175"/>
      <c r="AA193" s="176"/>
      <c r="AB193" s="176"/>
      <c r="AC193" s="176"/>
      <c r="AD193" s="177"/>
      <c r="AF193" s="167" t="str">
        <v/>
      </c>
      <c r="AG193" s="175"/>
      <c r="AH193" s="176"/>
      <c r="AI193" s="176"/>
      <c r="AJ193" s="176"/>
      <c r="AK193" s="177"/>
      <c r="AM193" s="167" t="str">
        <v/>
      </c>
      <c r="AN193" s="175"/>
      <c r="AO193" s="176"/>
      <c r="AP193" s="176"/>
      <c r="AQ193" s="176"/>
      <c r="AR193" s="177"/>
    </row>
    <row r="194" spans="1:44">
      <c r="A194" s="204">
        <v>75</v>
      </c>
      <c r="B194" s="190" t="str">
        <v/>
      </c>
      <c r="C194" s="175"/>
      <c r="D194" s="176"/>
      <c r="E194" s="176"/>
      <c r="F194" s="176"/>
      <c r="G194" s="177"/>
      <c r="I194" s="167" t="str">
        <v/>
      </c>
      <c r="J194" s="175"/>
      <c r="K194" s="176"/>
      <c r="L194" s="176"/>
      <c r="M194" s="176"/>
      <c r="N194" s="220"/>
      <c r="O194" s="220"/>
      <c r="P194" s="177"/>
      <c r="R194" s="167" t="str">
        <v/>
      </c>
      <c r="S194" s="175"/>
      <c r="T194" s="176"/>
      <c r="U194" s="176"/>
      <c r="V194" s="176"/>
      <c r="W194" s="177"/>
      <c r="Y194" s="167" t="str">
        <v/>
      </c>
      <c r="Z194" s="175"/>
      <c r="AA194" s="176"/>
      <c r="AB194" s="176"/>
      <c r="AC194" s="176"/>
      <c r="AD194" s="177"/>
      <c r="AF194" s="167" t="str">
        <v/>
      </c>
      <c r="AG194" s="175"/>
      <c r="AH194" s="176"/>
      <c r="AI194" s="176"/>
      <c r="AJ194" s="176"/>
      <c r="AK194" s="177"/>
      <c r="AM194" s="167" t="str">
        <v/>
      </c>
      <c r="AN194" s="175"/>
      <c r="AO194" s="176"/>
      <c r="AP194" s="176"/>
      <c r="AQ194" s="176"/>
      <c r="AR194" s="177"/>
    </row>
    <row r="195" spans="1:44">
      <c r="A195" s="204">
        <v>76</v>
      </c>
      <c r="B195" s="190" t="str">
        <v/>
      </c>
      <c r="C195" s="175"/>
      <c r="D195" s="176"/>
      <c r="E195" s="176"/>
      <c r="F195" s="176"/>
      <c r="G195" s="177"/>
      <c r="I195" s="167" t="str">
        <v/>
      </c>
      <c r="J195" s="175"/>
      <c r="K195" s="176"/>
      <c r="L195" s="176"/>
      <c r="M195" s="176"/>
      <c r="N195" s="220"/>
      <c r="O195" s="220"/>
      <c r="P195" s="177"/>
      <c r="R195" s="167" t="str">
        <v/>
      </c>
      <c r="S195" s="175"/>
      <c r="T195" s="176"/>
      <c r="U195" s="176"/>
      <c r="V195" s="176"/>
      <c r="W195" s="177"/>
      <c r="Y195" s="167" t="str">
        <v/>
      </c>
      <c r="Z195" s="175"/>
      <c r="AA195" s="176"/>
      <c r="AB195" s="176"/>
      <c r="AC195" s="176"/>
      <c r="AD195" s="177"/>
      <c r="AF195" s="167" t="str">
        <v/>
      </c>
      <c r="AG195" s="175"/>
      <c r="AH195" s="176"/>
      <c r="AI195" s="176"/>
      <c r="AJ195" s="176"/>
      <c r="AK195" s="177"/>
      <c r="AM195" s="167" t="str">
        <v/>
      </c>
      <c r="AN195" s="175"/>
      <c r="AO195" s="176"/>
      <c r="AP195" s="176"/>
      <c r="AQ195" s="176"/>
      <c r="AR195" s="177"/>
    </row>
    <row r="196" spans="1:44">
      <c r="A196" s="204">
        <v>77</v>
      </c>
      <c r="B196" s="190" t="str">
        <v/>
      </c>
      <c r="C196" s="175"/>
      <c r="D196" s="176"/>
      <c r="E196" s="176"/>
      <c r="F196" s="176"/>
      <c r="G196" s="177"/>
      <c r="I196" s="167" t="str">
        <v/>
      </c>
      <c r="J196" s="175"/>
      <c r="K196" s="176"/>
      <c r="L196" s="176"/>
      <c r="M196" s="176"/>
      <c r="N196" s="220"/>
      <c r="O196" s="220"/>
      <c r="P196" s="177"/>
      <c r="R196" s="167" t="str">
        <v/>
      </c>
      <c r="S196" s="175"/>
      <c r="T196" s="176"/>
      <c r="U196" s="176"/>
      <c r="V196" s="176"/>
      <c r="W196" s="177"/>
      <c r="Y196" s="167" t="str">
        <v/>
      </c>
      <c r="Z196" s="175"/>
      <c r="AA196" s="176"/>
      <c r="AB196" s="176"/>
      <c r="AC196" s="176"/>
      <c r="AD196" s="177"/>
      <c r="AF196" s="167" t="str">
        <v/>
      </c>
      <c r="AG196" s="175"/>
      <c r="AH196" s="176"/>
      <c r="AI196" s="176"/>
      <c r="AJ196" s="176"/>
      <c r="AK196" s="177"/>
      <c r="AM196" s="167" t="str">
        <v/>
      </c>
      <c r="AN196" s="175"/>
      <c r="AO196" s="176"/>
      <c r="AP196" s="176"/>
      <c r="AQ196" s="176"/>
      <c r="AR196" s="177"/>
    </row>
    <row r="197" spans="1:44">
      <c r="A197" s="204">
        <v>78</v>
      </c>
      <c r="B197" s="190" t="str">
        <v/>
      </c>
      <c r="C197" s="175"/>
      <c r="D197" s="176"/>
      <c r="E197" s="176"/>
      <c r="F197" s="176"/>
      <c r="G197" s="177"/>
      <c r="I197" s="167" t="str">
        <v/>
      </c>
      <c r="J197" s="175"/>
      <c r="K197" s="176"/>
      <c r="L197" s="176"/>
      <c r="M197" s="176"/>
      <c r="N197" s="220"/>
      <c r="O197" s="220"/>
      <c r="P197" s="177"/>
      <c r="R197" s="167" t="str">
        <v/>
      </c>
      <c r="S197" s="175"/>
      <c r="T197" s="176"/>
      <c r="U197" s="176"/>
      <c r="V197" s="176"/>
      <c r="W197" s="177"/>
      <c r="Y197" s="167" t="str">
        <v/>
      </c>
      <c r="Z197" s="175"/>
      <c r="AA197" s="176"/>
      <c r="AB197" s="176"/>
      <c r="AC197" s="176"/>
      <c r="AD197" s="177"/>
      <c r="AF197" s="167" t="str">
        <v/>
      </c>
      <c r="AG197" s="175"/>
      <c r="AH197" s="176"/>
      <c r="AI197" s="176"/>
      <c r="AJ197" s="176"/>
      <c r="AK197" s="177"/>
      <c r="AM197" s="167" t="str">
        <v/>
      </c>
      <c r="AN197" s="175"/>
      <c r="AO197" s="176"/>
      <c r="AP197" s="176"/>
      <c r="AQ197" s="176"/>
      <c r="AR197" s="177"/>
    </row>
    <row r="198" spans="1:44">
      <c r="A198" s="204">
        <v>79</v>
      </c>
      <c r="B198" s="190" t="str">
        <v/>
      </c>
      <c r="C198" s="175"/>
      <c r="D198" s="176"/>
      <c r="E198" s="176"/>
      <c r="F198" s="176"/>
      <c r="G198" s="177"/>
      <c r="I198" s="167" t="str">
        <v/>
      </c>
      <c r="J198" s="175"/>
      <c r="K198" s="176"/>
      <c r="L198" s="176"/>
      <c r="M198" s="176"/>
      <c r="N198" s="220"/>
      <c r="O198" s="220"/>
      <c r="P198" s="177"/>
      <c r="R198" s="167" t="str">
        <v/>
      </c>
      <c r="S198" s="175"/>
      <c r="T198" s="176"/>
      <c r="U198" s="176"/>
      <c r="V198" s="176"/>
      <c r="W198" s="177"/>
      <c r="Y198" s="167" t="str">
        <v/>
      </c>
      <c r="Z198" s="175"/>
      <c r="AA198" s="176"/>
      <c r="AB198" s="176"/>
      <c r="AC198" s="176"/>
      <c r="AD198" s="177"/>
      <c r="AF198" s="167" t="str">
        <v/>
      </c>
      <c r="AG198" s="175"/>
      <c r="AH198" s="176"/>
      <c r="AI198" s="176"/>
      <c r="AJ198" s="176"/>
      <c r="AK198" s="177"/>
      <c r="AM198" s="167" t="str">
        <v/>
      </c>
      <c r="AN198" s="175"/>
      <c r="AO198" s="176"/>
      <c r="AP198" s="176"/>
      <c r="AQ198" s="176"/>
      <c r="AR198" s="177"/>
    </row>
    <row r="199" spans="1:44">
      <c r="A199" s="204">
        <v>80</v>
      </c>
      <c r="B199" s="190" t="str">
        <v/>
      </c>
      <c r="C199" s="175"/>
      <c r="D199" s="176"/>
      <c r="E199" s="176"/>
      <c r="F199" s="176"/>
      <c r="G199" s="177"/>
      <c r="I199" s="167" t="str">
        <v/>
      </c>
      <c r="J199" s="175"/>
      <c r="K199" s="176"/>
      <c r="L199" s="176"/>
      <c r="M199" s="176"/>
      <c r="N199" s="220"/>
      <c r="O199" s="220"/>
      <c r="P199" s="177"/>
      <c r="R199" s="167" t="str">
        <v/>
      </c>
      <c r="S199" s="175"/>
      <c r="T199" s="176"/>
      <c r="U199" s="176"/>
      <c r="V199" s="176"/>
      <c r="W199" s="177"/>
      <c r="Y199" s="167" t="str">
        <v/>
      </c>
      <c r="Z199" s="175"/>
      <c r="AA199" s="176"/>
      <c r="AB199" s="176"/>
      <c r="AC199" s="176"/>
      <c r="AD199" s="177"/>
      <c r="AF199" s="167" t="str">
        <v/>
      </c>
      <c r="AG199" s="175"/>
      <c r="AH199" s="176"/>
      <c r="AI199" s="176"/>
      <c r="AJ199" s="176"/>
      <c r="AK199" s="177"/>
      <c r="AM199" s="167" t="str">
        <v/>
      </c>
      <c r="AN199" s="175"/>
      <c r="AO199" s="176"/>
      <c r="AP199" s="176"/>
      <c r="AQ199" s="176"/>
      <c r="AR199" s="177"/>
    </row>
    <row r="200" spans="1:44">
      <c r="A200" s="204">
        <v>81</v>
      </c>
      <c r="B200" s="190" t="str">
        <v/>
      </c>
      <c r="C200" s="175"/>
      <c r="D200" s="176"/>
      <c r="E200" s="176"/>
      <c r="F200" s="176"/>
      <c r="G200" s="177"/>
      <c r="I200" s="167" t="str">
        <v/>
      </c>
      <c r="J200" s="175"/>
      <c r="K200" s="176"/>
      <c r="L200" s="176"/>
      <c r="M200" s="176"/>
      <c r="N200" s="220"/>
      <c r="O200" s="220"/>
      <c r="P200" s="177"/>
      <c r="R200" s="167" t="str">
        <v/>
      </c>
      <c r="S200" s="175"/>
      <c r="T200" s="176"/>
      <c r="U200" s="176"/>
      <c r="V200" s="176"/>
      <c r="W200" s="177"/>
      <c r="Y200" s="167" t="str">
        <v/>
      </c>
      <c r="Z200" s="175"/>
      <c r="AA200" s="176"/>
      <c r="AB200" s="176"/>
      <c r="AC200" s="176"/>
      <c r="AD200" s="177"/>
      <c r="AF200" s="167" t="str">
        <v/>
      </c>
      <c r="AG200" s="175"/>
      <c r="AH200" s="176"/>
      <c r="AI200" s="176"/>
      <c r="AJ200" s="176"/>
      <c r="AK200" s="177"/>
      <c r="AM200" s="167" t="str">
        <v/>
      </c>
      <c r="AN200" s="175"/>
      <c r="AO200" s="176"/>
      <c r="AP200" s="176"/>
      <c r="AQ200" s="176"/>
      <c r="AR200" s="177"/>
    </row>
    <row r="201" spans="1:44">
      <c r="A201" s="204">
        <v>82</v>
      </c>
      <c r="B201" s="190" t="str">
        <v/>
      </c>
      <c r="C201" s="175"/>
      <c r="D201" s="176"/>
      <c r="E201" s="176"/>
      <c r="F201" s="176"/>
      <c r="G201" s="177"/>
      <c r="I201" s="167" t="str">
        <v/>
      </c>
      <c r="J201" s="175"/>
      <c r="K201" s="176"/>
      <c r="L201" s="176"/>
      <c r="M201" s="176"/>
      <c r="N201" s="220"/>
      <c r="O201" s="220"/>
      <c r="P201" s="177"/>
      <c r="R201" s="167" t="str">
        <v/>
      </c>
      <c r="S201" s="175"/>
      <c r="T201" s="176"/>
      <c r="U201" s="176"/>
      <c r="V201" s="176"/>
      <c r="W201" s="177"/>
      <c r="Y201" s="167" t="str">
        <v/>
      </c>
      <c r="Z201" s="175"/>
      <c r="AA201" s="176"/>
      <c r="AB201" s="176"/>
      <c r="AC201" s="176"/>
      <c r="AD201" s="177"/>
      <c r="AF201" s="167" t="str">
        <v/>
      </c>
      <c r="AG201" s="175"/>
      <c r="AH201" s="176"/>
      <c r="AI201" s="176"/>
      <c r="AJ201" s="176"/>
      <c r="AK201" s="177"/>
      <c r="AM201" s="167" t="str">
        <v/>
      </c>
      <c r="AN201" s="175"/>
      <c r="AO201" s="176"/>
      <c r="AP201" s="176"/>
      <c r="AQ201" s="176"/>
      <c r="AR201" s="177"/>
    </row>
    <row r="202" spans="1:44">
      <c r="A202" s="204">
        <v>83</v>
      </c>
      <c r="B202" s="190" t="str">
        <v/>
      </c>
      <c r="C202" s="175"/>
      <c r="D202" s="176"/>
      <c r="E202" s="176"/>
      <c r="F202" s="176"/>
      <c r="G202" s="177"/>
      <c r="I202" s="167" t="str">
        <v/>
      </c>
      <c r="J202" s="175"/>
      <c r="K202" s="176"/>
      <c r="L202" s="176"/>
      <c r="M202" s="176"/>
      <c r="N202" s="220"/>
      <c r="O202" s="220"/>
      <c r="P202" s="177"/>
      <c r="R202" s="167" t="str">
        <v/>
      </c>
      <c r="S202" s="175"/>
      <c r="T202" s="176"/>
      <c r="U202" s="176"/>
      <c r="V202" s="176"/>
      <c r="W202" s="177"/>
      <c r="Y202" s="167" t="str">
        <v/>
      </c>
      <c r="Z202" s="175"/>
      <c r="AA202" s="176"/>
      <c r="AB202" s="176"/>
      <c r="AC202" s="176"/>
      <c r="AD202" s="177"/>
      <c r="AF202" s="167" t="str">
        <v/>
      </c>
      <c r="AG202" s="175"/>
      <c r="AH202" s="176"/>
      <c r="AI202" s="176"/>
      <c r="AJ202" s="176"/>
      <c r="AK202" s="177"/>
      <c r="AM202" s="167" t="str">
        <v/>
      </c>
      <c r="AN202" s="175"/>
      <c r="AO202" s="176"/>
      <c r="AP202" s="176"/>
      <c r="AQ202" s="176"/>
      <c r="AR202" s="177"/>
    </row>
    <row r="203" spans="1:44">
      <c r="A203" s="204">
        <v>84</v>
      </c>
      <c r="B203" s="190" t="str">
        <v/>
      </c>
      <c r="C203" s="175"/>
      <c r="D203" s="176"/>
      <c r="E203" s="176"/>
      <c r="F203" s="176"/>
      <c r="G203" s="177"/>
      <c r="I203" s="167" t="str">
        <v/>
      </c>
      <c r="J203" s="175"/>
      <c r="K203" s="176"/>
      <c r="L203" s="176"/>
      <c r="M203" s="176"/>
      <c r="N203" s="220"/>
      <c r="O203" s="220"/>
      <c r="P203" s="177"/>
      <c r="R203" s="167" t="str">
        <v/>
      </c>
      <c r="S203" s="175"/>
      <c r="T203" s="176"/>
      <c r="U203" s="176"/>
      <c r="V203" s="176"/>
      <c r="W203" s="177"/>
      <c r="Y203" s="167" t="str">
        <v/>
      </c>
      <c r="Z203" s="175"/>
      <c r="AA203" s="176"/>
      <c r="AB203" s="176"/>
      <c r="AC203" s="176"/>
      <c r="AD203" s="177"/>
      <c r="AF203" s="167" t="str">
        <v/>
      </c>
      <c r="AG203" s="175"/>
      <c r="AH203" s="176"/>
      <c r="AI203" s="176"/>
      <c r="AJ203" s="176"/>
      <c r="AK203" s="177"/>
      <c r="AM203" s="167" t="str">
        <v/>
      </c>
      <c r="AN203" s="175"/>
      <c r="AO203" s="176"/>
      <c r="AP203" s="176"/>
      <c r="AQ203" s="176"/>
      <c r="AR203" s="177"/>
    </row>
    <row r="204" spans="1:44">
      <c r="A204" s="204">
        <v>85</v>
      </c>
      <c r="B204" s="190" t="str">
        <v/>
      </c>
      <c r="C204" s="175"/>
      <c r="D204" s="176"/>
      <c r="E204" s="176"/>
      <c r="F204" s="176"/>
      <c r="G204" s="177"/>
      <c r="I204" s="167" t="str">
        <v/>
      </c>
      <c r="J204" s="175"/>
      <c r="K204" s="176"/>
      <c r="L204" s="176"/>
      <c r="M204" s="176"/>
      <c r="N204" s="220"/>
      <c r="O204" s="220"/>
      <c r="P204" s="177"/>
      <c r="R204" s="167" t="str">
        <v/>
      </c>
      <c r="S204" s="175"/>
      <c r="T204" s="176"/>
      <c r="U204" s="176"/>
      <c r="V204" s="176"/>
      <c r="W204" s="177"/>
      <c r="Y204" s="167" t="str">
        <v/>
      </c>
      <c r="Z204" s="175"/>
      <c r="AA204" s="176"/>
      <c r="AB204" s="176"/>
      <c r="AC204" s="176"/>
      <c r="AD204" s="177"/>
      <c r="AF204" s="167" t="str">
        <v/>
      </c>
      <c r="AG204" s="175"/>
      <c r="AH204" s="176"/>
      <c r="AI204" s="176"/>
      <c r="AJ204" s="176"/>
      <c r="AK204" s="177"/>
      <c r="AM204" s="167" t="str">
        <v/>
      </c>
      <c r="AN204" s="175"/>
      <c r="AO204" s="176"/>
      <c r="AP204" s="176"/>
      <c r="AQ204" s="176"/>
      <c r="AR204" s="177"/>
    </row>
    <row r="205" spans="1:44">
      <c r="A205" s="204">
        <v>86</v>
      </c>
      <c r="B205" s="190" t="str">
        <v/>
      </c>
      <c r="C205" s="175"/>
      <c r="D205" s="176"/>
      <c r="E205" s="176"/>
      <c r="F205" s="176"/>
      <c r="G205" s="177"/>
      <c r="I205" s="167" t="str">
        <v/>
      </c>
      <c r="J205" s="175"/>
      <c r="K205" s="176"/>
      <c r="L205" s="176"/>
      <c r="M205" s="176"/>
      <c r="N205" s="220"/>
      <c r="O205" s="220"/>
      <c r="P205" s="177"/>
      <c r="R205" s="167" t="str">
        <v/>
      </c>
      <c r="S205" s="175"/>
      <c r="T205" s="176"/>
      <c r="U205" s="176"/>
      <c r="V205" s="176"/>
      <c r="W205" s="177"/>
      <c r="Y205" s="167" t="str">
        <v/>
      </c>
      <c r="Z205" s="175"/>
      <c r="AA205" s="176"/>
      <c r="AB205" s="176"/>
      <c r="AC205" s="176"/>
      <c r="AD205" s="177"/>
      <c r="AF205" s="167" t="str">
        <v/>
      </c>
      <c r="AG205" s="175"/>
      <c r="AH205" s="176"/>
      <c r="AI205" s="176"/>
      <c r="AJ205" s="176"/>
      <c r="AK205" s="177"/>
      <c r="AM205" s="167" t="str">
        <v/>
      </c>
      <c r="AN205" s="175"/>
      <c r="AO205" s="176"/>
      <c r="AP205" s="176"/>
      <c r="AQ205" s="176"/>
      <c r="AR205" s="177"/>
    </row>
    <row r="206" spans="1:44">
      <c r="A206" s="204">
        <v>87</v>
      </c>
      <c r="B206" s="190" t="str">
        <v/>
      </c>
      <c r="C206" s="175"/>
      <c r="D206" s="176"/>
      <c r="E206" s="176"/>
      <c r="F206" s="176"/>
      <c r="G206" s="177"/>
      <c r="I206" s="167" t="str">
        <v/>
      </c>
      <c r="J206" s="175"/>
      <c r="K206" s="176"/>
      <c r="L206" s="176"/>
      <c r="M206" s="176"/>
      <c r="N206" s="220"/>
      <c r="O206" s="220"/>
      <c r="P206" s="177"/>
      <c r="R206" s="167" t="str">
        <v/>
      </c>
      <c r="S206" s="175"/>
      <c r="T206" s="176"/>
      <c r="U206" s="176"/>
      <c r="V206" s="176"/>
      <c r="W206" s="177"/>
      <c r="Y206" s="167" t="str">
        <v/>
      </c>
      <c r="Z206" s="175"/>
      <c r="AA206" s="176"/>
      <c r="AB206" s="176"/>
      <c r="AC206" s="176"/>
      <c r="AD206" s="177"/>
      <c r="AF206" s="167" t="str">
        <v/>
      </c>
      <c r="AG206" s="175"/>
      <c r="AH206" s="176"/>
      <c r="AI206" s="176"/>
      <c r="AJ206" s="176"/>
      <c r="AK206" s="177"/>
      <c r="AM206" s="167" t="str">
        <v/>
      </c>
      <c r="AN206" s="175"/>
      <c r="AO206" s="176"/>
      <c r="AP206" s="176"/>
      <c r="AQ206" s="176"/>
      <c r="AR206" s="177"/>
    </row>
    <row r="207" spans="1:44">
      <c r="A207" s="204">
        <v>88</v>
      </c>
      <c r="B207" s="190" t="str">
        <v/>
      </c>
      <c r="C207" s="175"/>
      <c r="D207" s="176"/>
      <c r="E207" s="176"/>
      <c r="F207" s="176"/>
      <c r="G207" s="177"/>
      <c r="I207" s="167" t="str">
        <v/>
      </c>
      <c r="J207" s="175"/>
      <c r="K207" s="176"/>
      <c r="L207" s="176"/>
      <c r="M207" s="176"/>
      <c r="N207" s="220"/>
      <c r="O207" s="220"/>
      <c r="P207" s="177"/>
      <c r="R207" s="167" t="str">
        <v/>
      </c>
      <c r="S207" s="175"/>
      <c r="T207" s="176"/>
      <c r="U207" s="176"/>
      <c r="V207" s="176"/>
      <c r="W207" s="177"/>
      <c r="Y207" s="167" t="str">
        <v/>
      </c>
      <c r="Z207" s="175"/>
      <c r="AA207" s="176"/>
      <c r="AB207" s="176"/>
      <c r="AC207" s="176"/>
      <c r="AD207" s="177"/>
      <c r="AF207" s="167" t="str">
        <v/>
      </c>
      <c r="AG207" s="175"/>
      <c r="AH207" s="176"/>
      <c r="AI207" s="176"/>
      <c r="AJ207" s="176"/>
      <c r="AK207" s="177"/>
      <c r="AM207" s="167" t="str">
        <v/>
      </c>
      <c r="AN207" s="175"/>
      <c r="AO207" s="176"/>
      <c r="AP207" s="176"/>
      <c r="AQ207" s="176"/>
      <c r="AR207" s="177"/>
    </row>
    <row r="208" spans="1:44">
      <c r="A208" s="204">
        <v>89</v>
      </c>
      <c r="B208" s="190" t="str">
        <v/>
      </c>
      <c r="C208" s="175"/>
      <c r="D208" s="176"/>
      <c r="E208" s="176"/>
      <c r="F208" s="176"/>
      <c r="G208" s="177"/>
      <c r="I208" s="167" t="str">
        <v/>
      </c>
      <c r="J208" s="175"/>
      <c r="K208" s="176"/>
      <c r="L208" s="176"/>
      <c r="M208" s="176"/>
      <c r="N208" s="220"/>
      <c r="O208" s="220"/>
      <c r="P208" s="177"/>
      <c r="R208" s="167" t="str">
        <v/>
      </c>
      <c r="S208" s="175"/>
      <c r="T208" s="176"/>
      <c r="U208" s="176"/>
      <c r="V208" s="176"/>
      <c r="W208" s="177"/>
      <c r="Y208" s="167" t="str">
        <v/>
      </c>
      <c r="Z208" s="175"/>
      <c r="AA208" s="176"/>
      <c r="AB208" s="176"/>
      <c r="AC208" s="176"/>
      <c r="AD208" s="177"/>
      <c r="AF208" s="167" t="str">
        <v/>
      </c>
      <c r="AG208" s="175"/>
      <c r="AH208" s="176"/>
      <c r="AI208" s="176"/>
      <c r="AJ208" s="176"/>
      <c r="AK208" s="177"/>
      <c r="AM208" s="167" t="str">
        <v/>
      </c>
      <c r="AN208" s="175"/>
      <c r="AO208" s="176"/>
      <c r="AP208" s="176"/>
      <c r="AQ208" s="176"/>
      <c r="AR208" s="177"/>
    </row>
    <row r="209" spans="1:44">
      <c r="A209" s="204">
        <v>90</v>
      </c>
      <c r="B209" s="190" t="str">
        <v/>
      </c>
      <c r="C209" s="175"/>
      <c r="D209" s="176"/>
      <c r="E209" s="176"/>
      <c r="F209" s="176"/>
      <c r="G209" s="177"/>
      <c r="I209" s="167" t="str">
        <v/>
      </c>
      <c r="J209" s="175"/>
      <c r="K209" s="176"/>
      <c r="L209" s="176"/>
      <c r="M209" s="176"/>
      <c r="N209" s="220"/>
      <c r="O209" s="220"/>
      <c r="P209" s="177"/>
      <c r="R209" s="167" t="str">
        <v/>
      </c>
      <c r="S209" s="175"/>
      <c r="T209" s="176"/>
      <c r="U209" s="176"/>
      <c r="V209" s="176"/>
      <c r="W209" s="177"/>
      <c r="Y209" s="167" t="str">
        <v/>
      </c>
      <c r="Z209" s="175"/>
      <c r="AA209" s="176"/>
      <c r="AB209" s="176"/>
      <c r="AC209" s="176"/>
      <c r="AD209" s="177"/>
      <c r="AF209" s="167" t="str">
        <v/>
      </c>
      <c r="AG209" s="175"/>
      <c r="AH209" s="176"/>
      <c r="AI209" s="176"/>
      <c r="AJ209" s="176"/>
      <c r="AK209" s="177"/>
      <c r="AM209" s="167" t="str">
        <v/>
      </c>
      <c r="AN209" s="175"/>
      <c r="AO209" s="176"/>
      <c r="AP209" s="176"/>
      <c r="AQ209" s="176"/>
      <c r="AR209" s="177"/>
    </row>
    <row r="210" spans="1:44">
      <c r="A210" s="204">
        <v>91</v>
      </c>
      <c r="B210" s="190" t="str">
        <v/>
      </c>
      <c r="C210" s="175"/>
      <c r="D210" s="176"/>
      <c r="E210" s="176"/>
      <c r="F210" s="176"/>
      <c r="G210" s="177"/>
      <c r="I210" s="167" t="str">
        <v/>
      </c>
      <c r="J210" s="175"/>
      <c r="K210" s="176"/>
      <c r="L210" s="176"/>
      <c r="M210" s="176"/>
      <c r="N210" s="220"/>
      <c r="O210" s="220"/>
      <c r="P210" s="177"/>
      <c r="R210" s="167" t="str">
        <v/>
      </c>
      <c r="S210" s="175"/>
      <c r="T210" s="176"/>
      <c r="U210" s="176"/>
      <c r="V210" s="176"/>
      <c r="W210" s="177"/>
      <c r="Y210" s="167" t="str">
        <v/>
      </c>
      <c r="Z210" s="175"/>
      <c r="AA210" s="176"/>
      <c r="AB210" s="176"/>
      <c r="AC210" s="176"/>
      <c r="AD210" s="177"/>
      <c r="AF210" s="167" t="str">
        <v/>
      </c>
      <c r="AG210" s="175"/>
      <c r="AH210" s="176"/>
      <c r="AI210" s="176"/>
      <c r="AJ210" s="176"/>
      <c r="AK210" s="177"/>
      <c r="AM210" s="167" t="str">
        <v/>
      </c>
      <c r="AN210" s="175"/>
      <c r="AO210" s="176"/>
      <c r="AP210" s="176"/>
      <c r="AQ210" s="176"/>
      <c r="AR210" s="177"/>
    </row>
    <row r="211" spans="1:44">
      <c r="A211" s="204">
        <v>92</v>
      </c>
      <c r="B211" s="190" t="str">
        <v/>
      </c>
      <c r="C211" s="175"/>
      <c r="D211" s="176"/>
      <c r="E211" s="176"/>
      <c r="F211" s="176"/>
      <c r="G211" s="177"/>
      <c r="I211" s="167" t="str">
        <v/>
      </c>
      <c r="J211" s="175"/>
      <c r="K211" s="176"/>
      <c r="L211" s="176"/>
      <c r="M211" s="176"/>
      <c r="N211" s="220"/>
      <c r="O211" s="220"/>
      <c r="P211" s="177"/>
      <c r="R211" s="167" t="str">
        <v/>
      </c>
      <c r="S211" s="175"/>
      <c r="T211" s="176"/>
      <c r="U211" s="176"/>
      <c r="V211" s="176"/>
      <c r="W211" s="177"/>
      <c r="Y211" s="167" t="str">
        <v/>
      </c>
      <c r="Z211" s="175"/>
      <c r="AA211" s="176"/>
      <c r="AB211" s="176"/>
      <c r="AC211" s="176"/>
      <c r="AD211" s="177"/>
      <c r="AF211" s="167" t="str">
        <v/>
      </c>
      <c r="AG211" s="175"/>
      <c r="AH211" s="176"/>
      <c r="AI211" s="176"/>
      <c r="AJ211" s="176"/>
      <c r="AK211" s="177"/>
      <c r="AM211" s="167" t="str">
        <v/>
      </c>
      <c r="AN211" s="175"/>
      <c r="AO211" s="176"/>
      <c r="AP211" s="176"/>
      <c r="AQ211" s="176"/>
      <c r="AR211" s="177"/>
    </row>
    <row r="212" spans="1:44">
      <c r="A212" s="204">
        <v>93</v>
      </c>
      <c r="B212" s="190" t="str">
        <v/>
      </c>
      <c r="C212" s="175"/>
      <c r="D212" s="176"/>
      <c r="E212" s="176"/>
      <c r="F212" s="176"/>
      <c r="G212" s="177"/>
      <c r="I212" s="167" t="str">
        <v/>
      </c>
      <c r="J212" s="175"/>
      <c r="K212" s="176"/>
      <c r="L212" s="176"/>
      <c r="M212" s="176"/>
      <c r="N212" s="220"/>
      <c r="O212" s="220"/>
      <c r="P212" s="177"/>
      <c r="R212" s="167" t="str">
        <v/>
      </c>
      <c r="S212" s="175"/>
      <c r="T212" s="176"/>
      <c r="U212" s="176"/>
      <c r="V212" s="176"/>
      <c r="W212" s="177"/>
      <c r="Y212" s="167" t="str">
        <v/>
      </c>
      <c r="Z212" s="175"/>
      <c r="AA212" s="176"/>
      <c r="AB212" s="176"/>
      <c r="AC212" s="176"/>
      <c r="AD212" s="177"/>
      <c r="AF212" s="167" t="str">
        <v/>
      </c>
      <c r="AG212" s="175"/>
      <c r="AH212" s="176"/>
      <c r="AI212" s="176"/>
      <c r="AJ212" s="176"/>
      <c r="AK212" s="177"/>
      <c r="AM212" s="167" t="str">
        <v/>
      </c>
      <c r="AN212" s="175"/>
      <c r="AO212" s="176"/>
      <c r="AP212" s="176"/>
      <c r="AQ212" s="176"/>
      <c r="AR212" s="177"/>
    </row>
    <row r="213" spans="1:44">
      <c r="A213" s="204">
        <v>94</v>
      </c>
      <c r="B213" s="190" t="str">
        <v/>
      </c>
      <c r="C213" s="175"/>
      <c r="D213" s="176"/>
      <c r="E213" s="176"/>
      <c r="F213" s="176"/>
      <c r="G213" s="177"/>
      <c r="I213" s="167" t="str">
        <v/>
      </c>
      <c r="J213" s="175"/>
      <c r="K213" s="176"/>
      <c r="L213" s="176"/>
      <c r="M213" s="176"/>
      <c r="N213" s="220"/>
      <c r="O213" s="220"/>
      <c r="P213" s="177"/>
      <c r="R213" s="167" t="str">
        <v/>
      </c>
      <c r="S213" s="175"/>
      <c r="T213" s="176"/>
      <c r="U213" s="176"/>
      <c r="V213" s="176"/>
      <c r="W213" s="177"/>
      <c r="Y213" s="167" t="str">
        <v/>
      </c>
      <c r="Z213" s="175"/>
      <c r="AA213" s="176"/>
      <c r="AB213" s="176"/>
      <c r="AC213" s="176"/>
      <c r="AD213" s="177"/>
      <c r="AF213" s="167" t="str">
        <v/>
      </c>
      <c r="AG213" s="175"/>
      <c r="AH213" s="176"/>
      <c r="AI213" s="176"/>
      <c r="AJ213" s="176"/>
      <c r="AK213" s="177"/>
      <c r="AM213" s="167" t="str">
        <v/>
      </c>
      <c r="AN213" s="175"/>
      <c r="AO213" s="176"/>
      <c r="AP213" s="176"/>
      <c r="AQ213" s="176"/>
      <c r="AR213" s="177"/>
    </row>
    <row r="214" spans="1:44">
      <c r="A214" s="204">
        <v>95</v>
      </c>
      <c r="B214" s="190" t="str">
        <v/>
      </c>
      <c r="C214" s="175"/>
      <c r="D214" s="176"/>
      <c r="E214" s="176"/>
      <c r="F214" s="176"/>
      <c r="G214" s="177"/>
      <c r="I214" s="167" t="str">
        <v/>
      </c>
      <c r="J214" s="175"/>
      <c r="K214" s="176"/>
      <c r="L214" s="176"/>
      <c r="M214" s="176"/>
      <c r="N214" s="220"/>
      <c r="O214" s="220"/>
      <c r="P214" s="177"/>
      <c r="R214" s="167" t="str">
        <v/>
      </c>
      <c r="S214" s="175"/>
      <c r="T214" s="176"/>
      <c r="U214" s="176"/>
      <c r="V214" s="176"/>
      <c r="W214" s="177"/>
      <c r="Y214" s="167" t="str">
        <v/>
      </c>
      <c r="Z214" s="175"/>
      <c r="AA214" s="176"/>
      <c r="AB214" s="176"/>
      <c r="AC214" s="176"/>
      <c r="AD214" s="177"/>
      <c r="AF214" s="167" t="str">
        <v/>
      </c>
      <c r="AG214" s="175"/>
      <c r="AH214" s="176"/>
      <c r="AI214" s="176"/>
      <c r="AJ214" s="176"/>
      <c r="AK214" s="177"/>
      <c r="AM214" s="167" t="str">
        <v/>
      </c>
      <c r="AN214" s="175"/>
      <c r="AO214" s="176"/>
      <c r="AP214" s="176"/>
      <c r="AQ214" s="176"/>
      <c r="AR214" s="177"/>
    </row>
    <row r="215" spans="1:44">
      <c r="A215" s="204">
        <v>96</v>
      </c>
      <c r="B215" s="190" t="str">
        <v/>
      </c>
      <c r="C215" s="175"/>
      <c r="D215" s="176"/>
      <c r="E215" s="176"/>
      <c r="F215" s="176"/>
      <c r="G215" s="177"/>
      <c r="I215" s="167" t="str">
        <v/>
      </c>
      <c r="J215" s="175"/>
      <c r="K215" s="176"/>
      <c r="L215" s="176"/>
      <c r="M215" s="176"/>
      <c r="N215" s="220"/>
      <c r="O215" s="220"/>
      <c r="P215" s="177"/>
      <c r="R215" s="167" t="str">
        <v/>
      </c>
      <c r="S215" s="175"/>
      <c r="T215" s="176"/>
      <c r="U215" s="176"/>
      <c r="V215" s="176"/>
      <c r="W215" s="177"/>
      <c r="Y215" s="167" t="str">
        <v/>
      </c>
      <c r="Z215" s="175"/>
      <c r="AA215" s="176"/>
      <c r="AB215" s="176"/>
      <c r="AC215" s="176"/>
      <c r="AD215" s="177"/>
      <c r="AF215" s="167" t="str">
        <v/>
      </c>
      <c r="AG215" s="175"/>
      <c r="AH215" s="176"/>
      <c r="AI215" s="176"/>
      <c r="AJ215" s="176"/>
      <c r="AK215" s="177"/>
      <c r="AM215" s="167" t="str">
        <v/>
      </c>
      <c r="AN215" s="175"/>
      <c r="AO215" s="176"/>
      <c r="AP215" s="176"/>
      <c r="AQ215" s="176"/>
      <c r="AR215" s="177"/>
    </row>
    <row r="216" spans="1:44">
      <c r="A216" s="204">
        <v>97</v>
      </c>
      <c r="B216" s="190" t="str">
        <v/>
      </c>
      <c r="C216" s="175"/>
      <c r="D216" s="176"/>
      <c r="E216" s="176"/>
      <c r="F216" s="176"/>
      <c r="G216" s="177"/>
      <c r="I216" s="167" t="str">
        <v/>
      </c>
      <c r="J216" s="175"/>
      <c r="K216" s="176"/>
      <c r="L216" s="176"/>
      <c r="M216" s="176"/>
      <c r="N216" s="220"/>
      <c r="O216" s="220"/>
      <c r="P216" s="177"/>
      <c r="R216" s="167" t="str">
        <v/>
      </c>
      <c r="S216" s="175"/>
      <c r="T216" s="176"/>
      <c r="U216" s="176"/>
      <c r="V216" s="176"/>
      <c r="W216" s="177"/>
      <c r="Y216" s="167" t="str">
        <v/>
      </c>
      <c r="Z216" s="175"/>
      <c r="AA216" s="176"/>
      <c r="AB216" s="176"/>
      <c r="AC216" s="176"/>
      <c r="AD216" s="177"/>
      <c r="AF216" s="167" t="str">
        <v/>
      </c>
      <c r="AG216" s="175"/>
      <c r="AH216" s="176"/>
      <c r="AI216" s="176"/>
      <c r="AJ216" s="176"/>
      <c r="AK216" s="177"/>
      <c r="AM216" s="167" t="str">
        <v/>
      </c>
      <c r="AN216" s="175"/>
      <c r="AO216" s="176"/>
      <c r="AP216" s="176"/>
      <c r="AQ216" s="176"/>
      <c r="AR216" s="177"/>
    </row>
    <row r="217" spans="1:44">
      <c r="A217" s="204">
        <v>98</v>
      </c>
      <c r="B217" s="190" t="str">
        <v/>
      </c>
      <c r="C217" s="175"/>
      <c r="D217" s="176"/>
      <c r="E217" s="176"/>
      <c r="F217" s="176"/>
      <c r="G217" s="177"/>
      <c r="I217" s="167" t="str">
        <v/>
      </c>
      <c r="J217" s="175"/>
      <c r="K217" s="176"/>
      <c r="L217" s="176"/>
      <c r="M217" s="176"/>
      <c r="N217" s="220"/>
      <c r="O217" s="220"/>
      <c r="P217" s="177"/>
      <c r="R217" s="167" t="str">
        <v/>
      </c>
      <c r="S217" s="175"/>
      <c r="T217" s="176"/>
      <c r="U217" s="176"/>
      <c r="V217" s="176"/>
      <c r="W217" s="177"/>
      <c r="Y217" s="167" t="str">
        <v/>
      </c>
      <c r="Z217" s="175"/>
      <c r="AA217" s="176"/>
      <c r="AB217" s="176"/>
      <c r="AC217" s="176"/>
      <c r="AD217" s="177"/>
      <c r="AF217" s="167" t="str">
        <v/>
      </c>
      <c r="AG217" s="175"/>
      <c r="AH217" s="176"/>
      <c r="AI217" s="176"/>
      <c r="AJ217" s="176"/>
      <c r="AK217" s="177"/>
      <c r="AM217" s="167" t="str">
        <v/>
      </c>
      <c r="AN217" s="175"/>
      <c r="AO217" s="176"/>
      <c r="AP217" s="176"/>
      <c r="AQ217" s="176"/>
      <c r="AR217" s="177"/>
    </row>
    <row r="218" spans="1:44">
      <c r="A218" s="204">
        <v>99</v>
      </c>
      <c r="B218" s="190" t="str">
        <v/>
      </c>
      <c r="C218" s="175"/>
      <c r="D218" s="176"/>
      <c r="E218" s="176"/>
      <c r="F218" s="176"/>
      <c r="G218" s="177"/>
      <c r="I218" s="167" t="str">
        <v/>
      </c>
      <c r="J218" s="175"/>
      <c r="K218" s="176"/>
      <c r="L218" s="176"/>
      <c r="M218" s="176"/>
      <c r="N218" s="220"/>
      <c r="O218" s="220"/>
      <c r="P218" s="177"/>
      <c r="R218" s="167" t="str">
        <v/>
      </c>
      <c r="S218" s="175"/>
      <c r="T218" s="176"/>
      <c r="U218" s="176"/>
      <c r="V218" s="176"/>
      <c r="W218" s="177"/>
      <c r="Y218" s="167" t="str">
        <v/>
      </c>
      <c r="Z218" s="175"/>
      <c r="AA218" s="176"/>
      <c r="AB218" s="176"/>
      <c r="AC218" s="176"/>
      <c r="AD218" s="177"/>
      <c r="AF218" s="167" t="str">
        <v/>
      </c>
      <c r="AG218" s="175"/>
      <c r="AH218" s="176"/>
      <c r="AI218" s="176"/>
      <c r="AJ218" s="176"/>
      <c r="AK218" s="177"/>
      <c r="AM218" s="167" t="str">
        <v/>
      </c>
      <c r="AN218" s="175"/>
      <c r="AO218" s="176"/>
      <c r="AP218" s="176"/>
      <c r="AQ218" s="176"/>
      <c r="AR218" s="177"/>
    </row>
    <row r="219" spans="1:44">
      <c r="A219" s="204">
        <v>100</v>
      </c>
      <c r="B219" s="191" t="str">
        <v/>
      </c>
      <c r="C219" s="182"/>
      <c r="D219" s="183"/>
      <c r="E219" s="183"/>
      <c r="F219" s="183"/>
      <c r="G219" s="184"/>
      <c r="I219" s="168" t="str">
        <v/>
      </c>
      <c r="J219" s="182"/>
      <c r="K219" s="183"/>
      <c r="L219" s="183"/>
      <c r="M219" s="183"/>
      <c r="N219" s="221"/>
      <c r="O219" s="221"/>
      <c r="P219" s="184"/>
      <c r="R219" s="168" t="str">
        <v/>
      </c>
      <c r="S219" s="182"/>
      <c r="T219" s="183"/>
      <c r="U219" s="183"/>
      <c r="V219" s="183"/>
      <c r="W219" s="184"/>
      <c r="Y219" s="168" t="str">
        <v/>
      </c>
      <c r="Z219" s="182"/>
      <c r="AA219" s="183"/>
      <c r="AB219" s="183"/>
      <c r="AC219" s="183"/>
      <c r="AD219" s="184"/>
      <c r="AF219" s="168" t="str">
        <v/>
      </c>
      <c r="AG219" s="182"/>
      <c r="AH219" s="183"/>
      <c r="AI219" s="183"/>
      <c r="AJ219" s="183"/>
      <c r="AK219" s="184"/>
      <c r="AM219" s="168" t="str">
        <v/>
      </c>
      <c r="AN219" s="182"/>
      <c r="AO219" s="183"/>
      <c r="AP219" s="183"/>
      <c r="AQ219" s="183"/>
      <c r="AR219" s="184"/>
    </row>
    <row r="220" spans="1:44">
      <c r="B220" s="151" t="s">
        <v>12</v>
      </c>
      <c r="C220" s="151" t="s">
        <v>12</v>
      </c>
      <c r="D220" s="151" t="s">
        <v>12</v>
      </c>
      <c r="E220" s="151" t="s">
        <v>12</v>
      </c>
      <c r="F220" s="151" t="s">
        <v>12</v>
      </c>
      <c r="G220" s="151" t="s">
        <v>12</v>
      </c>
      <c r="I220" s="151" t="s">
        <v>12</v>
      </c>
      <c r="J220" s="151" t="s">
        <v>12</v>
      </c>
      <c r="K220" s="151" t="s">
        <v>12</v>
      </c>
      <c r="L220" s="151" t="s">
        <v>12</v>
      </c>
      <c r="M220" s="151" t="s">
        <v>12</v>
      </c>
      <c r="N220" s="222" t="s">
        <v>12</v>
      </c>
      <c r="O220" s="222" t="s">
        <v>12</v>
      </c>
      <c r="P220" s="178" t="s">
        <v>12</v>
      </c>
      <c r="R220" s="151" t="s">
        <v>12</v>
      </c>
      <c r="S220" s="151" t="s">
        <v>12</v>
      </c>
      <c r="T220" s="151" t="s">
        <v>12</v>
      </c>
      <c r="U220" s="151" t="s">
        <v>12</v>
      </c>
      <c r="V220" s="151" t="s">
        <v>12</v>
      </c>
      <c r="W220" s="151" t="s">
        <v>12</v>
      </c>
      <c r="Y220" s="151" t="s">
        <v>12</v>
      </c>
      <c r="Z220" s="151" t="s">
        <v>12</v>
      </c>
      <c r="AA220" s="151" t="s">
        <v>12</v>
      </c>
      <c r="AB220" s="151" t="s">
        <v>12</v>
      </c>
      <c r="AC220" s="151" t="s">
        <v>12</v>
      </c>
      <c r="AD220" s="151" t="s">
        <v>12</v>
      </c>
      <c r="AF220" s="151" t="s">
        <v>12</v>
      </c>
      <c r="AG220" s="151" t="s">
        <v>12</v>
      </c>
      <c r="AH220" s="151" t="s">
        <v>12</v>
      </c>
      <c r="AI220" s="151" t="s">
        <v>12</v>
      </c>
      <c r="AJ220" s="151" t="s">
        <v>12</v>
      </c>
      <c r="AK220" s="151" t="s">
        <v>12</v>
      </c>
      <c r="AM220" s="151" t="s">
        <v>12</v>
      </c>
      <c r="AN220" s="151" t="s">
        <v>12</v>
      </c>
      <c r="AO220" s="151" t="s">
        <v>12</v>
      </c>
      <c r="AP220" s="151" t="s">
        <v>12</v>
      </c>
      <c r="AQ220" s="151" t="s">
        <v>12</v>
      </c>
      <c r="AR220" s="151" t="s">
        <v>12</v>
      </c>
    </row>
    <row r="221" spans="1:44">
      <c r="I221" s="154"/>
      <c r="K221" s="154"/>
      <c r="N221" s="222"/>
      <c r="O221" s="222"/>
      <c r="P221" s="178"/>
      <c r="R221" s="154"/>
      <c r="T221" s="154"/>
      <c r="Y221" s="154"/>
      <c r="AA221" s="154"/>
      <c r="AF221" s="154"/>
      <c r="AH221" s="154"/>
      <c r="AM221" s="154"/>
      <c r="AO221" s="154"/>
    </row>
    <row r="222" spans="1:44">
      <c r="N222" s="222"/>
      <c r="O222" s="222"/>
      <c r="P222" s="178"/>
    </row>
    <row r="223" spans="1:44">
      <c r="D223" s="159" t="s">
        <v>363</v>
      </c>
      <c r="K223" s="159" t="s">
        <v>363</v>
      </c>
      <c r="N223" s="222"/>
      <c r="O223" s="222"/>
      <c r="P223" s="178"/>
      <c r="T223" s="159" t="s">
        <v>363</v>
      </c>
      <c r="AA223" s="159" t="s">
        <v>363</v>
      </c>
      <c r="AH223" s="159" t="s">
        <v>363</v>
      </c>
      <c r="AO223" s="159" t="s">
        <v>363</v>
      </c>
    </row>
    <row r="224" spans="1:44">
      <c r="B224" s="154" t="s">
        <v>636</v>
      </c>
      <c r="D224" s="161" t="s">
        <v>2636</v>
      </c>
      <c r="I224" s="154" t="s">
        <v>637</v>
      </c>
      <c r="K224" s="161" t="s">
        <v>2637</v>
      </c>
      <c r="N224" s="222"/>
      <c r="O224" s="222"/>
      <c r="P224" s="178"/>
      <c r="R224" s="154" t="s">
        <v>638</v>
      </c>
      <c r="T224" s="161" t="s">
        <v>2638</v>
      </c>
      <c r="Y224" s="154" t="s">
        <v>639</v>
      </c>
      <c r="AA224" s="161" t="s">
        <v>2639</v>
      </c>
      <c r="AF224" s="154" t="s">
        <v>640</v>
      </c>
      <c r="AH224" s="161" t="s">
        <v>2640</v>
      </c>
      <c r="AM224" s="154" t="s">
        <v>641</v>
      </c>
      <c r="AO224" s="161" t="s">
        <v>2641</v>
      </c>
    </row>
    <row r="225" spans="1:44">
      <c r="N225" s="222"/>
      <c r="O225" s="222"/>
      <c r="P225" s="178"/>
    </row>
    <row r="226" spans="1:44">
      <c r="B226" s="162" t="s">
        <v>380</v>
      </c>
      <c r="C226" s="162" t="s">
        <v>381</v>
      </c>
      <c r="D226" s="162" t="s">
        <v>382</v>
      </c>
      <c r="E226" s="162" t="s">
        <v>383</v>
      </c>
      <c r="F226" s="162" t="s">
        <v>384</v>
      </c>
      <c r="G226" s="162" t="s">
        <v>385</v>
      </c>
      <c r="I226" s="162" t="s">
        <v>380</v>
      </c>
      <c r="J226" s="162" t="s">
        <v>381</v>
      </c>
      <c r="K226" s="162" t="s">
        <v>382</v>
      </c>
      <c r="L226" s="162" t="s">
        <v>383</v>
      </c>
      <c r="M226" s="162" t="s">
        <v>384</v>
      </c>
      <c r="N226" s="217" t="s">
        <v>928</v>
      </c>
      <c r="O226" s="217" t="s">
        <v>929</v>
      </c>
      <c r="P226" s="216" t="s">
        <v>385</v>
      </c>
      <c r="R226" s="162" t="s">
        <v>380</v>
      </c>
      <c r="S226" s="162" t="s">
        <v>381</v>
      </c>
      <c r="T226" s="162" t="s">
        <v>382</v>
      </c>
      <c r="U226" s="162" t="s">
        <v>383</v>
      </c>
      <c r="V226" s="162" t="s">
        <v>384</v>
      </c>
      <c r="W226" s="162" t="s">
        <v>385</v>
      </c>
      <c r="Y226" s="162" t="s">
        <v>380</v>
      </c>
      <c r="Z226" s="162" t="s">
        <v>381</v>
      </c>
      <c r="AA226" s="162" t="s">
        <v>382</v>
      </c>
      <c r="AB226" s="162" t="s">
        <v>383</v>
      </c>
      <c r="AC226" s="162" t="s">
        <v>384</v>
      </c>
      <c r="AD226" s="162" t="s">
        <v>385</v>
      </c>
      <c r="AF226" s="162" t="s">
        <v>380</v>
      </c>
      <c r="AG226" s="162" t="s">
        <v>381</v>
      </c>
      <c r="AH226" s="162" t="s">
        <v>382</v>
      </c>
      <c r="AI226" s="162" t="s">
        <v>383</v>
      </c>
      <c r="AJ226" s="162" t="s">
        <v>384</v>
      </c>
      <c r="AK226" s="162" t="s">
        <v>385</v>
      </c>
      <c r="AM226" s="162" t="s">
        <v>380</v>
      </c>
      <c r="AN226" s="162" t="s">
        <v>381</v>
      </c>
      <c r="AO226" s="162" t="s">
        <v>382</v>
      </c>
      <c r="AP226" s="162" t="s">
        <v>383</v>
      </c>
      <c r="AQ226" s="162" t="s">
        <v>384</v>
      </c>
      <c r="AR226" s="162" t="s">
        <v>385</v>
      </c>
    </row>
    <row r="227" spans="1:44">
      <c r="A227" s="204">
        <v>1</v>
      </c>
      <c r="B227" s="166" t="str">
        <f t="array" ref="B227:B326">getTickers(Instruments!C227:H326,100)</f>
        <v>SONIO/N BGN Index</v>
      </c>
      <c r="C227" s="169" t="s">
        <v>1469</v>
      </c>
      <c r="D227" s="170" t="s">
        <v>1977</v>
      </c>
      <c r="E227" s="170" t="s">
        <v>388</v>
      </c>
      <c r="F227" s="170" t="s">
        <v>2516</v>
      </c>
      <c r="G227" s="171">
        <v>0.45479999999999998</v>
      </c>
      <c r="I227" s="166" t="str">
        <f t="array" ref="I227:I326">getTickers(Instruments!K227:P326,100)</f>
        <v>BP0006M ICPL Index</v>
      </c>
      <c r="J227" s="169" t="s">
        <v>1469</v>
      </c>
      <c r="K227" s="170" t="s">
        <v>1512</v>
      </c>
      <c r="L227" s="170" t="s">
        <v>388</v>
      </c>
      <c r="M227" s="170" t="s">
        <v>1513</v>
      </c>
      <c r="N227" s="218" t="s">
        <v>2364</v>
      </c>
      <c r="O227" s="218" t="s">
        <v>2364</v>
      </c>
      <c r="P227" s="171">
        <v>0.80937999999999999</v>
      </c>
      <c r="R227" s="166" t="str">
        <f t="array" ref="R227:R326">getTickers(Instruments!S227:X326,100)</f>
        <v>BPSFVC1 ICPL Curncy</v>
      </c>
      <c r="S227" s="169" t="s">
        <v>1469</v>
      </c>
      <c r="T227" s="170" t="s">
        <v>1547</v>
      </c>
      <c r="U227" s="170" t="s">
        <v>1109</v>
      </c>
      <c r="V227" s="170" t="s">
        <v>1548</v>
      </c>
      <c r="W227" s="171">
        <v>5.6</v>
      </c>
      <c r="Y227" s="166" t="str">
        <f t="array" ref="Y227:Y326">getTickers(Instruments!AA227:AF326,100)</f>
        <v>BPSFVA1 ICPL Curncy</v>
      </c>
      <c r="Z227" s="169" t="s">
        <v>1469</v>
      </c>
      <c r="AA227" s="170" t="s">
        <v>1623</v>
      </c>
      <c r="AB227" s="170" t="s">
        <v>1109</v>
      </c>
      <c r="AC227" s="170" t="s">
        <v>1624</v>
      </c>
      <c r="AD227" s="171">
        <v>16.2</v>
      </c>
      <c r="AF227" s="166" t="str">
        <f t="array" ref="AF227:AF326">getTickers(Instruments!AI227:AN326,100)</f>
        <v>BPSIVF1 ICPL Curncy</v>
      </c>
      <c r="AG227" s="169" t="s">
        <v>1469</v>
      </c>
      <c r="AH227" s="170" t="s">
        <v>1663</v>
      </c>
      <c r="AI227" s="170" t="s">
        <v>1109</v>
      </c>
      <c r="AJ227" s="170" t="s">
        <v>1664</v>
      </c>
      <c r="AK227" s="171">
        <v>7.2</v>
      </c>
      <c r="AM227" s="166" t="str">
        <f t="array" ref="AM227:AM326">getTickers(Instruments!AQ227:AV326,100)</f>
        <v>BPBS1 ICPL Curncy</v>
      </c>
      <c r="AN227" s="169" t="s">
        <v>1469</v>
      </c>
      <c r="AO227" s="170" t="s">
        <v>1643</v>
      </c>
      <c r="AP227" s="170" t="s">
        <v>1109</v>
      </c>
      <c r="AQ227" s="170" t="s">
        <v>1644</v>
      </c>
      <c r="AR227" s="171">
        <v>-12.75</v>
      </c>
    </row>
    <row r="228" spans="1:44">
      <c r="A228" s="204">
        <v>2</v>
      </c>
      <c r="B228" s="167" t="str">
        <v>BPSWSA BGN Curncy</v>
      </c>
      <c r="C228" s="175" t="s">
        <v>1470</v>
      </c>
      <c r="D228" s="176" t="s">
        <v>1978</v>
      </c>
      <c r="E228" s="176" t="s">
        <v>1121</v>
      </c>
      <c r="F228" s="176" t="s">
        <v>2453</v>
      </c>
      <c r="G228" s="177">
        <v>0.48499999999999999</v>
      </c>
      <c r="I228" s="167" t="str">
        <v>BPFR0AG ICPL Curncy</v>
      </c>
      <c r="J228" s="175" t="s">
        <v>1470</v>
      </c>
      <c r="K228" s="176" t="s">
        <v>1514</v>
      </c>
      <c r="L228" s="176" t="s">
        <v>508</v>
      </c>
      <c r="M228" s="176" t="s">
        <v>1515</v>
      </c>
      <c r="N228" s="220" t="s">
        <v>2364</v>
      </c>
      <c r="O228" s="220" t="s">
        <v>2364</v>
      </c>
      <c r="P228" s="177">
        <v>0.83899999999999997</v>
      </c>
      <c r="R228" s="167" t="str">
        <v>BPSFVC2 ICPL Curncy</v>
      </c>
      <c r="S228" s="175" t="s">
        <v>1470</v>
      </c>
      <c r="T228" s="176" t="s">
        <v>1549</v>
      </c>
      <c r="U228" s="176" t="s">
        <v>1109</v>
      </c>
      <c r="V228" s="176" t="s">
        <v>1550</v>
      </c>
      <c r="W228" s="177">
        <v>5.6</v>
      </c>
      <c r="Y228" s="167" t="str">
        <v>BPSFVA2 ICPL Curncy</v>
      </c>
      <c r="Z228" s="175" t="s">
        <v>1470</v>
      </c>
      <c r="AA228" s="176" t="s">
        <v>1625</v>
      </c>
      <c r="AB228" s="176" t="s">
        <v>1109</v>
      </c>
      <c r="AC228" s="176" t="s">
        <v>1626</v>
      </c>
      <c r="AD228" s="177">
        <v>15.6</v>
      </c>
      <c r="AF228" s="167" t="str">
        <v>BPSIVF2 ICPL Curncy</v>
      </c>
      <c r="AG228" s="175" t="s">
        <v>1470</v>
      </c>
      <c r="AH228" s="176" t="s">
        <v>1665</v>
      </c>
      <c r="AI228" s="176" t="s">
        <v>1109</v>
      </c>
      <c r="AJ228" s="176" t="s">
        <v>1666</v>
      </c>
      <c r="AK228" s="177">
        <v>12</v>
      </c>
      <c r="AM228" s="167" t="str">
        <v>BPBS2 ICPL Curncy</v>
      </c>
      <c r="AN228" s="175" t="s">
        <v>1470</v>
      </c>
      <c r="AO228" s="176" t="s">
        <v>1645</v>
      </c>
      <c r="AP228" s="176" t="s">
        <v>1109</v>
      </c>
      <c r="AQ228" s="176" t="s">
        <v>1646</v>
      </c>
      <c r="AR228" s="177">
        <v>-9.5</v>
      </c>
    </row>
    <row r="229" spans="1:44">
      <c r="A229" s="204">
        <v>3</v>
      </c>
      <c r="B229" s="167" t="str">
        <v>BPSWSC BGN Curncy</v>
      </c>
      <c r="C229" s="175" t="s">
        <v>385</v>
      </c>
      <c r="D229" s="176" t="s">
        <v>1979</v>
      </c>
      <c r="E229" s="176" t="s">
        <v>1121</v>
      </c>
      <c r="F229" s="176" t="s">
        <v>2454</v>
      </c>
      <c r="G229" s="177">
        <v>0.5081</v>
      </c>
      <c r="I229" s="167" t="str">
        <v>BPFR0BH ICPL Curncy</v>
      </c>
      <c r="J229" s="175" t="s">
        <v>930</v>
      </c>
      <c r="K229" s="176" t="s">
        <v>1516</v>
      </c>
      <c r="L229" s="176" t="s">
        <v>508</v>
      </c>
      <c r="M229" s="176" t="s">
        <v>1517</v>
      </c>
      <c r="N229" s="220" t="s">
        <v>2364</v>
      </c>
      <c r="O229" s="220" t="s">
        <v>2364</v>
      </c>
      <c r="P229" s="177">
        <v>0.86199999999999999</v>
      </c>
      <c r="R229" s="167" t="str">
        <v>BPSFVC3 ICPL Curncy</v>
      </c>
      <c r="S229" s="175" t="s">
        <v>385</v>
      </c>
      <c r="T229" s="176" t="s">
        <v>1551</v>
      </c>
      <c r="U229" s="176" t="s">
        <v>1109</v>
      </c>
      <c r="V229" s="176" t="s">
        <v>1552</v>
      </c>
      <c r="W229" s="177">
        <v>6.3</v>
      </c>
      <c r="Y229" s="167" t="str">
        <v>BPSFVA3 ICPL Curncy</v>
      </c>
      <c r="Z229" s="175" t="s">
        <v>385</v>
      </c>
      <c r="AA229" s="176" t="s">
        <v>1627</v>
      </c>
      <c r="AB229" s="176" t="s">
        <v>1109</v>
      </c>
      <c r="AC229" s="176" t="s">
        <v>1628</v>
      </c>
      <c r="AD229" s="177">
        <v>16.2</v>
      </c>
      <c r="AF229" s="167" t="str">
        <v>BPSIVF3 ICPL Curncy</v>
      </c>
      <c r="AG229" s="175" t="s">
        <v>385</v>
      </c>
      <c r="AH229" s="176" t="s">
        <v>1667</v>
      </c>
      <c r="AI229" s="176" t="s">
        <v>1109</v>
      </c>
      <c r="AJ229" s="176" t="s">
        <v>1668</v>
      </c>
      <c r="AK229" s="177">
        <v>13.1</v>
      </c>
      <c r="AM229" s="167" t="str">
        <v>BPBS3 ICPL Curncy</v>
      </c>
      <c r="AN229" s="175" t="s">
        <v>385</v>
      </c>
      <c r="AO229" s="176" t="s">
        <v>1647</v>
      </c>
      <c r="AP229" s="176" t="s">
        <v>1109</v>
      </c>
      <c r="AQ229" s="176" t="s">
        <v>1648</v>
      </c>
      <c r="AR229" s="177">
        <v>-6.5</v>
      </c>
    </row>
    <row r="230" spans="1:44">
      <c r="A230" s="204">
        <v>4</v>
      </c>
      <c r="B230" s="167" t="str">
        <v>BPSWSF BGN Curncy</v>
      </c>
      <c r="C230" s="175"/>
      <c r="D230" s="176" t="s">
        <v>1980</v>
      </c>
      <c r="E230" s="176" t="s">
        <v>1121</v>
      </c>
      <c r="F230" s="176" t="s">
        <v>2455</v>
      </c>
      <c r="G230" s="177">
        <v>0.56399999999999995</v>
      </c>
      <c r="I230" s="167" t="str">
        <v>BPFR0CI ICPL Curncy</v>
      </c>
      <c r="J230" s="175" t="s">
        <v>931</v>
      </c>
      <c r="K230" s="176" t="s">
        <v>1518</v>
      </c>
      <c r="L230" s="176" t="s">
        <v>508</v>
      </c>
      <c r="M230" s="176" t="s">
        <v>1519</v>
      </c>
      <c r="N230" s="220" t="s">
        <v>2364</v>
      </c>
      <c r="O230" s="220" t="s">
        <v>2364</v>
      </c>
      <c r="P230" s="177">
        <v>0.89700000000000002</v>
      </c>
      <c r="R230" s="167" t="str">
        <v>BPSFVC4 ICPL Curncy</v>
      </c>
      <c r="S230" s="175"/>
      <c r="T230" s="176" t="s">
        <v>1553</v>
      </c>
      <c r="U230" s="176" t="s">
        <v>1109</v>
      </c>
      <c r="V230" s="176" t="s">
        <v>1554</v>
      </c>
      <c r="W230" s="177">
        <v>7</v>
      </c>
      <c r="Y230" s="167" t="str">
        <v>BPSFVA4 ICPL Curncy</v>
      </c>
      <c r="Z230" s="175"/>
      <c r="AA230" s="176" t="s">
        <v>1629</v>
      </c>
      <c r="AB230" s="176" t="s">
        <v>1109</v>
      </c>
      <c r="AC230" s="176" t="s">
        <v>1630</v>
      </c>
      <c r="AD230" s="177">
        <v>16.8</v>
      </c>
      <c r="AF230" s="167" t="str">
        <v>BPSIVF4 ICPL Curncy</v>
      </c>
      <c r="AG230" s="175"/>
      <c r="AH230" s="176" t="s">
        <v>1669</v>
      </c>
      <c r="AI230" s="176" t="s">
        <v>1109</v>
      </c>
      <c r="AJ230" s="176" t="s">
        <v>1670</v>
      </c>
      <c r="AK230" s="177">
        <v>13.1</v>
      </c>
      <c r="AM230" s="167" t="str">
        <v>BPBS4 ICPL Curncy</v>
      </c>
      <c r="AN230" s="175"/>
      <c r="AO230" s="176" t="s">
        <v>1649</v>
      </c>
      <c r="AP230" s="176" t="s">
        <v>1109</v>
      </c>
      <c r="AQ230" s="176" t="s">
        <v>1650</v>
      </c>
      <c r="AR230" s="177">
        <v>-3.75</v>
      </c>
    </row>
    <row r="231" spans="1:44">
      <c r="A231" s="204">
        <v>5</v>
      </c>
      <c r="B231" s="167" t="str">
        <v>BPSWS1 BGN Curncy</v>
      </c>
      <c r="C231" s="175"/>
      <c r="D231" s="176" t="s">
        <v>1981</v>
      </c>
      <c r="E231" s="176" t="s">
        <v>1121</v>
      </c>
      <c r="F231" s="176" t="s">
        <v>2456</v>
      </c>
      <c r="G231" s="177">
        <v>0.65300000000000002</v>
      </c>
      <c r="I231" s="167" t="str">
        <v>BPFR0DJ ICPL Curncy</v>
      </c>
      <c r="J231" s="175" t="s">
        <v>385</v>
      </c>
      <c r="K231" s="176" t="s">
        <v>1520</v>
      </c>
      <c r="L231" s="176" t="s">
        <v>508</v>
      </c>
      <c r="M231" s="176" t="s">
        <v>1521</v>
      </c>
      <c r="N231" s="220" t="s">
        <v>2364</v>
      </c>
      <c r="O231" s="220" t="s">
        <v>2364</v>
      </c>
      <c r="P231" s="177">
        <v>0.93300000000000005</v>
      </c>
      <c r="R231" s="167" t="str">
        <v>BPSFVC5 ICPL Curncy</v>
      </c>
      <c r="S231" s="175"/>
      <c r="T231" s="176" t="s">
        <v>1555</v>
      </c>
      <c r="U231" s="176" t="s">
        <v>1109</v>
      </c>
      <c r="V231" s="176" t="s">
        <v>1556</v>
      </c>
      <c r="W231" s="177">
        <v>7.7</v>
      </c>
      <c r="Y231" s="167" t="str">
        <v>BPSFVA5 ICPL Curncy</v>
      </c>
      <c r="Z231" s="175"/>
      <c r="AA231" s="176" t="s">
        <v>1631</v>
      </c>
      <c r="AB231" s="176" t="s">
        <v>1109</v>
      </c>
      <c r="AC231" s="176" t="s">
        <v>1632</v>
      </c>
      <c r="AD231" s="177">
        <v>17.5</v>
      </c>
      <c r="AF231" s="167" t="str">
        <v>BPSIVF5 ICPL Curncy</v>
      </c>
      <c r="AG231" s="175"/>
      <c r="AH231" s="176" t="s">
        <v>1671</v>
      </c>
      <c r="AI231" s="176" t="s">
        <v>1109</v>
      </c>
      <c r="AJ231" s="176" t="s">
        <v>1672</v>
      </c>
      <c r="AK231" s="177">
        <v>13.1</v>
      </c>
      <c r="AM231" s="167" t="str">
        <v>BPBS5 ICPL Curncy</v>
      </c>
      <c r="AN231" s="175"/>
      <c r="AO231" s="176" t="s">
        <v>1651</v>
      </c>
      <c r="AP231" s="176" t="s">
        <v>1109</v>
      </c>
      <c r="AQ231" s="176" t="s">
        <v>1652</v>
      </c>
      <c r="AR231" s="177">
        <v>-1.75</v>
      </c>
    </row>
    <row r="232" spans="1:44">
      <c r="A232" s="204">
        <v>6</v>
      </c>
      <c r="B232" s="167" t="str">
        <v>BPSWS3 BGN Curncy</v>
      </c>
      <c r="C232" s="175"/>
      <c r="D232" s="176" t="s">
        <v>1982</v>
      </c>
      <c r="E232" s="176" t="s">
        <v>1121</v>
      </c>
      <c r="F232" s="176" t="s">
        <v>2457</v>
      </c>
      <c r="G232" s="177">
        <v>0.91600000000000004</v>
      </c>
      <c r="I232" s="167" t="str">
        <v>BPFR0EK ICPL Curncy</v>
      </c>
      <c r="J232" s="175"/>
      <c r="K232" s="176" t="s">
        <v>1522</v>
      </c>
      <c r="L232" s="176" t="s">
        <v>508</v>
      </c>
      <c r="M232" s="176" t="s">
        <v>1523</v>
      </c>
      <c r="N232" s="220" t="s">
        <v>2364</v>
      </c>
      <c r="O232" s="220" t="s">
        <v>2364</v>
      </c>
      <c r="P232" s="177">
        <v>0.96399999999999997</v>
      </c>
      <c r="R232" s="167" t="str">
        <v>BPSFVC6 ICPL Curncy</v>
      </c>
      <c r="S232" s="175"/>
      <c r="T232" s="176" t="s">
        <v>1557</v>
      </c>
      <c r="U232" s="176" t="s">
        <v>1109</v>
      </c>
      <c r="V232" s="176" t="s">
        <v>1558</v>
      </c>
      <c r="W232" s="177">
        <v>8.1999999999999993</v>
      </c>
      <c r="Y232" s="167" t="str">
        <v>BPSFVA6 ICPL Curncy</v>
      </c>
      <c r="Z232" s="175"/>
      <c r="AA232" s="176" t="s">
        <v>1633</v>
      </c>
      <c r="AB232" s="176" t="s">
        <v>1109</v>
      </c>
      <c r="AC232" s="176" t="s">
        <v>1634</v>
      </c>
      <c r="AD232" s="177">
        <v>18</v>
      </c>
      <c r="AF232" s="167" t="str">
        <v>BPSIVF6 ICPL Curncy</v>
      </c>
      <c r="AG232" s="175"/>
      <c r="AH232" s="176" t="s">
        <v>1673</v>
      </c>
      <c r="AI232" s="176" t="s">
        <v>1109</v>
      </c>
      <c r="AJ232" s="176" t="s">
        <v>1674</v>
      </c>
      <c r="AK232" s="177">
        <v>12.9</v>
      </c>
      <c r="AM232" s="167" t="str">
        <v>BPBS6 ICPL Curncy</v>
      </c>
      <c r="AN232" s="175"/>
      <c r="AO232" s="176" t="s">
        <v>1653</v>
      </c>
      <c r="AP232" s="176" t="s">
        <v>1109</v>
      </c>
      <c r="AQ232" s="176" t="s">
        <v>1654</v>
      </c>
      <c r="AR232" s="177">
        <v>0.25</v>
      </c>
    </row>
    <row r="233" spans="1:44">
      <c r="A233" s="204">
        <v>7</v>
      </c>
      <c r="B233" s="167" t="str">
        <v>BPSWS4 BGN Curncy</v>
      </c>
      <c r="C233" s="175"/>
      <c r="D233" s="176" t="s">
        <v>1983</v>
      </c>
      <c r="E233" s="176" t="s">
        <v>1121</v>
      </c>
      <c r="F233" s="176" t="s">
        <v>2458</v>
      </c>
      <c r="G233" s="177">
        <v>0.99250000000000005</v>
      </c>
      <c r="I233" s="167" t="str">
        <v>BPFR0F1 ICPL Curncy</v>
      </c>
      <c r="J233" s="175"/>
      <c r="K233" s="176" t="s">
        <v>1524</v>
      </c>
      <c r="L233" s="176" t="s">
        <v>508</v>
      </c>
      <c r="M233" s="176" t="s">
        <v>1525</v>
      </c>
      <c r="N233" s="220" t="s">
        <v>2364</v>
      </c>
      <c r="O233" s="220" t="s">
        <v>2364</v>
      </c>
      <c r="P233" s="177">
        <v>0.99</v>
      </c>
      <c r="R233" s="167" t="str">
        <v>BPSFVC7 ICPL Curncy</v>
      </c>
      <c r="S233" s="175"/>
      <c r="T233" s="176" t="s">
        <v>1559</v>
      </c>
      <c r="U233" s="176" t="s">
        <v>1109</v>
      </c>
      <c r="V233" s="176" t="s">
        <v>1560</v>
      </c>
      <c r="W233" s="177">
        <v>8.3000000000000007</v>
      </c>
      <c r="Y233" s="167" t="str">
        <v>BPSFVA7 ICPL Curncy</v>
      </c>
      <c r="Z233" s="175"/>
      <c r="AA233" s="176" t="s">
        <v>1635</v>
      </c>
      <c r="AB233" s="176" t="s">
        <v>1109</v>
      </c>
      <c r="AC233" s="176" t="s">
        <v>1636</v>
      </c>
      <c r="AD233" s="177">
        <v>18.100000000000001</v>
      </c>
      <c r="AF233" s="167" t="str">
        <v>BPSIVF7 ICPL Curncy</v>
      </c>
      <c r="AG233" s="175"/>
      <c r="AH233" s="176" t="s">
        <v>1675</v>
      </c>
      <c r="AI233" s="176" t="s">
        <v>1109</v>
      </c>
      <c r="AJ233" s="176" t="s">
        <v>1676</v>
      </c>
      <c r="AK233" s="177">
        <v>12.6</v>
      </c>
      <c r="AM233" s="167" t="str">
        <v>BPBS7 ICPL Curncy</v>
      </c>
      <c r="AN233" s="175"/>
      <c r="AO233" s="176" t="s">
        <v>1655</v>
      </c>
      <c r="AP233" s="176" t="s">
        <v>1109</v>
      </c>
      <c r="AQ233" s="176" t="s">
        <v>1656</v>
      </c>
      <c r="AR233" s="177">
        <v>2</v>
      </c>
    </row>
    <row r="234" spans="1:44">
      <c r="A234" s="204">
        <v>8</v>
      </c>
      <c r="B234" s="167" t="str">
        <v>BPSWS5 BGN Curncy</v>
      </c>
      <c r="C234" s="175"/>
      <c r="D234" s="176" t="s">
        <v>1984</v>
      </c>
      <c r="E234" s="176" t="s">
        <v>1121</v>
      </c>
      <c r="F234" s="176" t="s">
        <v>2459</v>
      </c>
      <c r="G234" s="177">
        <v>1.0505</v>
      </c>
      <c r="I234" s="167" t="str">
        <v>BPFR0I1C ICPL Curncy</v>
      </c>
      <c r="J234" s="175"/>
      <c r="K234" s="176" t="s">
        <v>1526</v>
      </c>
      <c r="L234" s="176" t="s">
        <v>508</v>
      </c>
      <c r="M234" s="176" t="s">
        <v>1527</v>
      </c>
      <c r="N234" s="220" t="s">
        <v>2364</v>
      </c>
      <c r="O234" s="220" t="s">
        <v>2364</v>
      </c>
      <c r="P234" s="177">
        <v>1.0680000000000001</v>
      </c>
      <c r="R234" s="167" t="str">
        <v>BPSFVC8 ICPL Curncy</v>
      </c>
      <c r="S234" s="175"/>
      <c r="T234" s="176" t="s">
        <v>1561</v>
      </c>
      <c r="U234" s="176" t="s">
        <v>1109</v>
      </c>
      <c r="V234" s="176" t="s">
        <v>1562</v>
      </c>
      <c r="W234" s="177">
        <v>8.1999999999999993</v>
      </c>
      <c r="Y234" s="167" t="str">
        <v>BPSFVA8 ICPL Curncy</v>
      </c>
      <c r="Z234" s="175"/>
      <c r="AA234" s="176" t="s">
        <v>1637</v>
      </c>
      <c r="AB234" s="176" t="s">
        <v>1109</v>
      </c>
      <c r="AC234" s="176" t="s">
        <v>1638</v>
      </c>
      <c r="AD234" s="177">
        <v>17.899999999999999</v>
      </c>
      <c r="AF234" s="167" t="str">
        <v>BPSIVF8 ICPL Curncy</v>
      </c>
      <c r="AG234" s="175"/>
      <c r="AH234" s="176" t="s">
        <v>1677</v>
      </c>
      <c r="AI234" s="176" t="s">
        <v>1109</v>
      </c>
      <c r="AJ234" s="176" t="s">
        <v>1678</v>
      </c>
      <c r="AK234" s="177">
        <v>12.3</v>
      </c>
      <c r="AM234" s="167" t="str">
        <v>BPBS8 ICPL Curncy</v>
      </c>
      <c r="AN234" s="175"/>
      <c r="AO234" s="176" t="s">
        <v>1657</v>
      </c>
      <c r="AP234" s="176" t="s">
        <v>1109</v>
      </c>
      <c r="AQ234" s="176" t="s">
        <v>1658</v>
      </c>
      <c r="AR234" s="177">
        <v>3.75</v>
      </c>
    </row>
    <row r="235" spans="1:44">
      <c r="A235" s="204">
        <v>9</v>
      </c>
      <c r="B235" s="167" t="str">
        <v>BPSWS6 BGN Curncy</v>
      </c>
      <c r="C235" s="175"/>
      <c r="D235" s="176" t="s">
        <v>1985</v>
      </c>
      <c r="E235" s="176" t="s">
        <v>1121</v>
      </c>
      <c r="F235" s="176" t="s">
        <v>2460</v>
      </c>
      <c r="G235" s="177">
        <v>1.095</v>
      </c>
      <c r="I235" s="167" t="str">
        <v>BPFR011F ICPL Curncy</v>
      </c>
      <c r="J235" s="175"/>
      <c r="K235" s="176" t="s">
        <v>1528</v>
      </c>
      <c r="L235" s="176" t="s">
        <v>508</v>
      </c>
      <c r="M235" s="176" t="s">
        <v>1529</v>
      </c>
      <c r="N235" s="220" t="s">
        <v>2364</v>
      </c>
      <c r="O235" s="220" t="s">
        <v>2364</v>
      </c>
      <c r="P235" s="177">
        <v>1.1459999999999999</v>
      </c>
      <c r="R235" s="167" t="str">
        <v>BPSFVC9 ICPL Curncy</v>
      </c>
      <c r="S235" s="175"/>
      <c r="T235" s="176" t="s">
        <v>1563</v>
      </c>
      <c r="U235" s="176" t="s">
        <v>1109</v>
      </c>
      <c r="V235" s="176" t="s">
        <v>1564</v>
      </c>
      <c r="W235" s="177">
        <v>8</v>
      </c>
      <c r="Y235" s="167" t="str">
        <v>BPSFVA9 ICPL Curncy</v>
      </c>
      <c r="Z235" s="175"/>
      <c r="AA235" s="176" t="s">
        <v>1639</v>
      </c>
      <c r="AB235" s="176" t="s">
        <v>1109</v>
      </c>
      <c r="AC235" s="176" t="s">
        <v>1640</v>
      </c>
      <c r="AD235" s="177">
        <v>17.5</v>
      </c>
      <c r="AF235" s="167" t="str">
        <v>BPSIVF9 ICPL Curncy</v>
      </c>
      <c r="AG235" s="175"/>
      <c r="AH235" s="176" t="s">
        <v>1679</v>
      </c>
      <c r="AI235" s="176" t="s">
        <v>1109</v>
      </c>
      <c r="AJ235" s="176" t="s">
        <v>1680</v>
      </c>
      <c r="AK235" s="177">
        <v>12</v>
      </c>
      <c r="AM235" s="167" t="str">
        <v>BPBS9 ICPL Curncy</v>
      </c>
      <c r="AN235" s="175"/>
      <c r="AO235" s="176" t="s">
        <v>1659</v>
      </c>
      <c r="AP235" s="176" t="s">
        <v>1109</v>
      </c>
      <c r="AQ235" s="176" t="s">
        <v>1660</v>
      </c>
      <c r="AR235" s="177">
        <v>4.75</v>
      </c>
    </row>
    <row r="236" spans="1:44">
      <c r="A236" s="204">
        <v>10</v>
      </c>
      <c r="B236" s="167" t="str">
        <v>BPSWS7 BGN Curncy</v>
      </c>
      <c r="C236" s="175"/>
      <c r="D236" s="176" t="s">
        <v>1986</v>
      </c>
      <c r="E236" s="176" t="s">
        <v>1121</v>
      </c>
      <c r="F236" s="176" t="s">
        <v>2461</v>
      </c>
      <c r="G236" s="177">
        <v>1.1325000000000001</v>
      </c>
      <c r="I236" s="167" t="str">
        <v>BPSW2 ICPL Curncy</v>
      </c>
      <c r="J236" s="175"/>
      <c r="K236" s="176" t="s">
        <v>1530</v>
      </c>
      <c r="L236" s="176" t="s">
        <v>472</v>
      </c>
      <c r="M236" s="176" t="s">
        <v>2437</v>
      </c>
      <c r="N236" s="220" t="s">
        <v>2364</v>
      </c>
      <c r="O236" s="220" t="s">
        <v>2364</v>
      </c>
      <c r="P236" s="177">
        <v>1.0589999999999999</v>
      </c>
      <c r="R236" s="167" t="str">
        <v>BPSFVC10 ICPL Curncy</v>
      </c>
      <c r="S236" s="175"/>
      <c r="T236" s="176" t="s">
        <v>1565</v>
      </c>
      <c r="U236" s="176" t="s">
        <v>1109</v>
      </c>
      <c r="V236" s="176" t="s">
        <v>1566</v>
      </c>
      <c r="W236" s="177">
        <v>7.8</v>
      </c>
      <c r="Y236" s="167" t="str">
        <v>BPSFVA10 ICPL Curncy</v>
      </c>
      <c r="Z236" s="175"/>
      <c r="AA236" s="176" t="s">
        <v>1641</v>
      </c>
      <c r="AB236" s="176" t="s">
        <v>1109</v>
      </c>
      <c r="AC236" s="176" t="s">
        <v>1642</v>
      </c>
      <c r="AD236" s="177">
        <v>17.100000000000001</v>
      </c>
      <c r="AF236" s="167" t="str">
        <v>BPSIVF10 ICPL Curncy</v>
      </c>
      <c r="AG236" s="175"/>
      <c r="AH236" s="176" t="s">
        <v>1681</v>
      </c>
      <c r="AI236" s="176" t="s">
        <v>1109</v>
      </c>
      <c r="AJ236" s="176" t="s">
        <v>1682</v>
      </c>
      <c r="AK236" s="177">
        <v>11.9</v>
      </c>
      <c r="AM236" s="167" t="str">
        <v>BPBS10 ICPL Curncy</v>
      </c>
      <c r="AN236" s="175"/>
      <c r="AO236" s="176" t="s">
        <v>1661</v>
      </c>
      <c r="AP236" s="176" t="s">
        <v>1109</v>
      </c>
      <c r="AQ236" s="176" t="s">
        <v>1662</v>
      </c>
      <c r="AR236" s="177">
        <v>5.5</v>
      </c>
    </row>
    <row r="237" spans="1:44">
      <c r="A237" s="204">
        <v>11</v>
      </c>
      <c r="B237" s="167" t="str">
        <v>BPSWS8 BGN Curncy</v>
      </c>
      <c r="C237" s="175"/>
      <c r="D237" s="176" t="s">
        <v>1987</v>
      </c>
      <c r="E237" s="176" t="s">
        <v>1121</v>
      </c>
      <c r="F237" s="176" t="s">
        <v>2438</v>
      </c>
      <c r="G237" s="177">
        <v>1.1664000000000001</v>
      </c>
      <c r="I237" s="167" t="str">
        <v>BPSW3 ICPL Curncy</v>
      </c>
      <c r="J237" s="175"/>
      <c r="K237" s="176" t="s">
        <v>1567</v>
      </c>
      <c r="L237" s="176" t="s">
        <v>472</v>
      </c>
      <c r="M237" s="176" t="s">
        <v>2462</v>
      </c>
      <c r="N237" s="220" t="s">
        <v>2364</v>
      </c>
      <c r="O237" s="220" t="s">
        <v>2364</v>
      </c>
      <c r="P237" s="177">
        <v>1.1839999999999999</v>
      </c>
      <c r="R237" s="167" t="str">
        <v>BPSFVC11 ICPL Curncy</v>
      </c>
      <c r="S237" s="175"/>
      <c r="T237" s="176" t="s">
        <v>1531</v>
      </c>
      <c r="U237" s="176" t="s">
        <v>1109</v>
      </c>
      <c r="V237" s="176" t="s">
        <v>1532</v>
      </c>
      <c r="W237" s="177" t="s">
        <v>1108</v>
      </c>
      <c r="Y237" s="167" t="str">
        <v>BPSFVA12 ICPL Curncy</v>
      </c>
      <c r="Z237" s="175"/>
      <c r="AA237" s="176" t="s">
        <v>1577</v>
      </c>
      <c r="AB237" s="176" t="s">
        <v>1109</v>
      </c>
      <c r="AC237" s="176" t="s">
        <v>1578</v>
      </c>
      <c r="AD237" s="177">
        <v>16.3</v>
      </c>
      <c r="AF237" s="167" t="str">
        <v>BPSIVF12 ICPL Curncy</v>
      </c>
      <c r="AG237" s="175"/>
      <c r="AH237" s="176" t="s">
        <v>1591</v>
      </c>
      <c r="AI237" s="176" t="s">
        <v>1109</v>
      </c>
      <c r="AJ237" s="176" t="s">
        <v>1592</v>
      </c>
      <c r="AK237" s="177">
        <v>11</v>
      </c>
      <c r="AM237" s="167" t="str">
        <v>BPBS11 ICPL Curncy</v>
      </c>
      <c r="AN237" s="175"/>
      <c r="AO237" s="176" t="s">
        <v>1605</v>
      </c>
      <c r="AP237" s="176" t="s">
        <v>1109</v>
      </c>
      <c r="AQ237" s="176" t="s">
        <v>1606</v>
      </c>
      <c r="AR237" s="177" t="s">
        <v>1108</v>
      </c>
    </row>
    <row r="238" spans="1:44">
      <c r="A238" s="204">
        <v>12</v>
      </c>
      <c r="B238" s="167" t="str">
        <v>BPSWS9 BGN Curncy</v>
      </c>
      <c r="C238" s="175"/>
      <c r="D238" s="176" t="s">
        <v>1968</v>
      </c>
      <c r="E238" s="176" t="s">
        <v>1121</v>
      </c>
      <c r="F238" s="176" t="s">
        <v>2439</v>
      </c>
      <c r="G238" s="177">
        <v>1.1996</v>
      </c>
      <c r="I238" s="167" t="str">
        <v>BPSW4 ICPL Curncy</v>
      </c>
      <c r="J238" s="175"/>
      <c r="K238" s="176" t="s">
        <v>1568</v>
      </c>
      <c r="L238" s="176" t="s">
        <v>472</v>
      </c>
      <c r="M238" s="176" t="s">
        <v>2463</v>
      </c>
      <c r="N238" s="220" t="s">
        <v>2364</v>
      </c>
      <c r="O238" s="220" t="s">
        <v>2364</v>
      </c>
      <c r="P238" s="177">
        <v>1.2769999999999999</v>
      </c>
      <c r="R238" s="167" t="str">
        <v>BPSFVC12 ICPL Curncy</v>
      </c>
      <c r="S238" s="175"/>
      <c r="T238" s="176" t="s">
        <v>1533</v>
      </c>
      <c r="U238" s="176" t="s">
        <v>1109</v>
      </c>
      <c r="V238" s="176" t="s">
        <v>1534</v>
      </c>
      <c r="W238" s="177">
        <v>7.5</v>
      </c>
      <c r="Y238" s="167" t="str">
        <v>BPSFVA15 ICPL Curncy</v>
      </c>
      <c r="Z238" s="175"/>
      <c r="AA238" s="176" t="s">
        <v>1579</v>
      </c>
      <c r="AB238" s="176" t="s">
        <v>1109</v>
      </c>
      <c r="AC238" s="176" t="s">
        <v>1580</v>
      </c>
      <c r="AD238" s="177">
        <v>15.6</v>
      </c>
      <c r="AF238" s="167" t="str">
        <v>BPSIVF15 ICPL Curncy</v>
      </c>
      <c r="AG238" s="175"/>
      <c r="AH238" s="176" t="s">
        <v>1593</v>
      </c>
      <c r="AI238" s="176" t="s">
        <v>1109</v>
      </c>
      <c r="AJ238" s="176" t="s">
        <v>1594</v>
      </c>
      <c r="AK238" s="177">
        <v>9.8000000000000007</v>
      </c>
      <c r="AM238" s="167" t="str">
        <v>BPBS12 ICPL Curncy</v>
      </c>
      <c r="AN238" s="175"/>
      <c r="AO238" s="176" t="s">
        <v>1607</v>
      </c>
      <c r="AP238" s="176" t="s">
        <v>1109</v>
      </c>
      <c r="AQ238" s="176" t="s">
        <v>1608</v>
      </c>
      <c r="AR238" s="177">
        <v>6.5</v>
      </c>
    </row>
    <row r="239" spans="1:44">
      <c r="A239" s="204">
        <v>13</v>
      </c>
      <c r="B239" s="167" t="str">
        <v>BPSWS10 BGN Curncy</v>
      </c>
      <c r="C239" s="175"/>
      <c r="D239" s="176" t="s">
        <v>1969</v>
      </c>
      <c r="E239" s="176" t="s">
        <v>1121</v>
      </c>
      <c r="F239" s="176" t="s">
        <v>2440</v>
      </c>
      <c r="G239" s="177">
        <v>1.2303999999999999</v>
      </c>
      <c r="I239" s="167" t="str">
        <v>BPSW5 ICPL Curncy</v>
      </c>
      <c r="J239" s="175"/>
      <c r="K239" s="176" t="s">
        <v>1569</v>
      </c>
      <c r="L239" s="176" t="s">
        <v>472</v>
      </c>
      <c r="M239" s="176" t="s">
        <v>2464</v>
      </c>
      <c r="N239" s="220" t="s">
        <v>2364</v>
      </c>
      <c r="O239" s="220" t="s">
        <v>2364</v>
      </c>
      <c r="P239" s="177">
        <v>1.35</v>
      </c>
      <c r="R239" s="167" t="str">
        <v>BPSFVC15 ICPL Curncy</v>
      </c>
      <c r="S239" s="175"/>
      <c r="T239" s="176" t="s">
        <v>1535</v>
      </c>
      <c r="U239" s="176" t="s">
        <v>1109</v>
      </c>
      <c r="V239" s="176" t="s">
        <v>1536</v>
      </c>
      <c r="W239" s="177">
        <v>7.2</v>
      </c>
      <c r="Y239" s="167" t="str">
        <v>BPSFVA20 ICPL Curncy</v>
      </c>
      <c r="Z239" s="175"/>
      <c r="AA239" s="176" t="s">
        <v>1581</v>
      </c>
      <c r="AB239" s="176" t="s">
        <v>1109</v>
      </c>
      <c r="AC239" s="176" t="s">
        <v>1582</v>
      </c>
      <c r="AD239" s="177">
        <v>14.7</v>
      </c>
      <c r="AF239" s="167" t="str">
        <v>BPSIVF20 ICPL Curncy</v>
      </c>
      <c r="AG239" s="175"/>
      <c r="AH239" s="176" t="s">
        <v>1595</v>
      </c>
      <c r="AI239" s="176" t="s">
        <v>1109</v>
      </c>
      <c r="AJ239" s="176" t="s">
        <v>1596</v>
      </c>
      <c r="AK239" s="177">
        <v>8.5</v>
      </c>
      <c r="AM239" s="167" t="str">
        <v>BPBS13 ICPL Curncy</v>
      </c>
      <c r="AN239" s="175"/>
      <c r="AO239" s="176" t="s">
        <v>1609</v>
      </c>
      <c r="AP239" s="176" t="s">
        <v>1109</v>
      </c>
      <c r="AQ239" s="176" t="s">
        <v>1610</v>
      </c>
      <c r="AR239" s="177" t="s">
        <v>1108</v>
      </c>
    </row>
    <row r="240" spans="1:44">
      <c r="A240" s="204">
        <v>14</v>
      </c>
      <c r="B240" s="167" t="str">
        <v>BPSWS12 BGN Curncy</v>
      </c>
      <c r="C240" s="175"/>
      <c r="D240" s="176" t="s">
        <v>1970</v>
      </c>
      <c r="E240" s="176" t="s">
        <v>1121</v>
      </c>
      <c r="F240" s="176" t="s">
        <v>2441</v>
      </c>
      <c r="G240" s="177">
        <v>1.2725</v>
      </c>
      <c r="I240" s="167" t="str">
        <v>BPSW6 ICPL Curncy</v>
      </c>
      <c r="J240" s="175"/>
      <c r="K240" s="176" t="s">
        <v>1570</v>
      </c>
      <c r="L240" s="176" t="s">
        <v>472</v>
      </c>
      <c r="M240" s="176" t="s">
        <v>2465</v>
      </c>
      <c r="N240" s="220" t="s">
        <v>2364</v>
      </c>
      <c r="O240" s="220" t="s">
        <v>2364</v>
      </c>
      <c r="P240" s="177">
        <v>1.405</v>
      </c>
      <c r="R240" s="167" t="str">
        <v>BPSFVC20 ICPL Curncy</v>
      </c>
      <c r="S240" s="175"/>
      <c r="T240" s="176" t="s">
        <v>1537</v>
      </c>
      <c r="U240" s="176" t="s">
        <v>1109</v>
      </c>
      <c r="V240" s="176" t="s">
        <v>1538</v>
      </c>
      <c r="W240" s="177">
        <v>6.8</v>
      </c>
      <c r="Y240" s="167" t="str">
        <v>BPSFVA25 ICPL Curncy</v>
      </c>
      <c r="Z240" s="175"/>
      <c r="AA240" s="176" t="s">
        <v>1583</v>
      </c>
      <c r="AB240" s="176" t="s">
        <v>1109</v>
      </c>
      <c r="AC240" s="176" t="s">
        <v>1584</v>
      </c>
      <c r="AD240" s="177">
        <v>14.1</v>
      </c>
      <c r="AF240" s="167" t="str">
        <v>BPSIVF25 ICPL Curncy</v>
      </c>
      <c r="AG240" s="175"/>
      <c r="AH240" s="176" t="s">
        <v>1597</v>
      </c>
      <c r="AI240" s="176" t="s">
        <v>1109</v>
      </c>
      <c r="AJ240" s="176" t="s">
        <v>1598</v>
      </c>
      <c r="AK240" s="177">
        <v>7.4</v>
      </c>
      <c r="AM240" s="167" t="str">
        <v>BPBS14 ICPL Curncy</v>
      </c>
      <c r="AN240" s="175"/>
      <c r="AO240" s="176" t="s">
        <v>1611</v>
      </c>
      <c r="AP240" s="176" t="s">
        <v>1109</v>
      </c>
      <c r="AQ240" s="176" t="s">
        <v>1612</v>
      </c>
      <c r="AR240" s="177" t="s">
        <v>1108</v>
      </c>
    </row>
    <row r="241" spans="1:44">
      <c r="A241" s="204">
        <v>15</v>
      </c>
      <c r="B241" s="167" t="str">
        <v>BPSWS15 BGN Curncy</v>
      </c>
      <c r="C241" s="175"/>
      <c r="D241" s="176" t="s">
        <v>1971</v>
      </c>
      <c r="E241" s="176" t="s">
        <v>1121</v>
      </c>
      <c r="F241" s="176" t="s">
        <v>2442</v>
      </c>
      <c r="G241" s="177">
        <v>1.3149999999999999</v>
      </c>
      <c r="I241" s="167" t="str">
        <v>BPSW7 ICPL Curncy</v>
      </c>
      <c r="J241" s="175"/>
      <c r="K241" s="176" t="s">
        <v>1571</v>
      </c>
      <c r="L241" s="176" t="s">
        <v>472</v>
      </c>
      <c r="M241" s="176" t="s">
        <v>2466</v>
      </c>
      <c r="N241" s="220" t="s">
        <v>2364</v>
      </c>
      <c r="O241" s="220" t="s">
        <v>2364</v>
      </c>
      <c r="P241" s="177">
        <v>1.4510000000000001</v>
      </c>
      <c r="R241" s="167" t="str">
        <v>BPSFVC25 ICPL Curncy</v>
      </c>
      <c r="S241" s="175"/>
      <c r="T241" s="176" t="s">
        <v>1539</v>
      </c>
      <c r="U241" s="176" t="s">
        <v>1109</v>
      </c>
      <c r="V241" s="176" t="s">
        <v>1540</v>
      </c>
      <c r="W241" s="177">
        <v>6.5</v>
      </c>
      <c r="Y241" s="167" t="str">
        <v>BPSFVA30 ICPL Curncy</v>
      </c>
      <c r="Z241" s="175"/>
      <c r="AA241" s="176" t="s">
        <v>1585</v>
      </c>
      <c r="AB241" s="176" t="s">
        <v>1109</v>
      </c>
      <c r="AC241" s="176" t="s">
        <v>1586</v>
      </c>
      <c r="AD241" s="177">
        <v>13.6</v>
      </c>
      <c r="AF241" s="167" t="str">
        <v>BPSIVF30 ICPL Curncy</v>
      </c>
      <c r="AG241" s="175"/>
      <c r="AH241" s="176" t="s">
        <v>1599</v>
      </c>
      <c r="AI241" s="176" t="s">
        <v>1109</v>
      </c>
      <c r="AJ241" s="176" t="s">
        <v>1600</v>
      </c>
      <c r="AK241" s="177">
        <v>6.7</v>
      </c>
      <c r="AM241" s="167" t="str">
        <v>BPBS15 ICPL Curncy</v>
      </c>
      <c r="AN241" s="175"/>
      <c r="AO241" s="176" t="s">
        <v>1613</v>
      </c>
      <c r="AP241" s="176" t="s">
        <v>1109</v>
      </c>
      <c r="AQ241" s="176" t="s">
        <v>1614</v>
      </c>
      <c r="AR241" s="177">
        <v>6.5</v>
      </c>
    </row>
    <row r="242" spans="1:44">
      <c r="A242" s="204">
        <v>16</v>
      </c>
      <c r="B242" s="167" t="str">
        <v>BPSWS20 BGN Curncy</v>
      </c>
      <c r="C242" s="175"/>
      <c r="D242" s="176" t="s">
        <v>1972</v>
      </c>
      <c r="E242" s="176" t="s">
        <v>1121</v>
      </c>
      <c r="F242" s="176" t="s">
        <v>2443</v>
      </c>
      <c r="G242" s="177">
        <v>1.329</v>
      </c>
      <c r="I242" s="167" t="str">
        <v>BPSW8 ICPL Curncy</v>
      </c>
      <c r="J242" s="175"/>
      <c r="K242" s="176" t="s">
        <v>1572</v>
      </c>
      <c r="L242" s="176" t="s">
        <v>472</v>
      </c>
      <c r="M242" s="176" t="s">
        <v>2467</v>
      </c>
      <c r="N242" s="220" t="s">
        <v>2364</v>
      </c>
      <c r="O242" s="220" t="s">
        <v>2364</v>
      </c>
      <c r="P242" s="177">
        <v>1.492</v>
      </c>
      <c r="R242" s="167" t="str">
        <v>BPSFVC30 ICPL Curncy</v>
      </c>
      <c r="S242" s="175"/>
      <c r="T242" s="176" t="s">
        <v>1541</v>
      </c>
      <c r="U242" s="176" t="s">
        <v>1109</v>
      </c>
      <c r="V242" s="176" t="s">
        <v>1542</v>
      </c>
      <c r="W242" s="177">
        <v>6.2</v>
      </c>
      <c r="Y242" s="167" t="str">
        <v>BPSFVA40 ICPL Curncy</v>
      </c>
      <c r="Z242" s="175"/>
      <c r="AA242" s="176" t="s">
        <v>1587</v>
      </c>
      <c r="AB242" s="176" t="s">
        <v>1109</v>
      </c>
      <c r="AC242" s="176" t="s">
        <v>1588</v>
      </c>
      <c r="AD242" s="177">
        <v>12.9</v>
      </c>
      <c r="AF242" s="167" t="str">
        <v>BPSIVF40 ICPL Curncy</v>
      </c>
      <c r="AG242" s="175"/>
      <c r="AH242" s="176" t="s">
        <v>1601</v>
      </c>
      <c r="AI242" s="176" t="s">
        <v>1109</v>
      </c>
      <c r="AJ242" s="176" t="s">
        <v>1602</v>
      </c>
      <c r="AK242" s="177">
        <v>5.7</v>
      </c>
      <c r="AM242" s="167" t="str">
        <v>BPBS20 ICPL Curncy</v>
      </c>
      <c r="AN242" s="175"/>
      <c r="AO242" s="176" t="s">
        <v>1615</v>
      </c>
      <c r="AP242" s="176" t="s">
        <v>1109</v>
      </c>
      <c r="AQ242" s="176" t="s">
        <v>1616</v>
      </c>
      <c r="AR242" s="177">
        <v>6</v>
      </c>
    </row>
    <row r="243" spans="1:44">
      <c r="A243" s="204">
        <v>17</v>
      </c>
      <c r="B243" s="167" t="str">
        <v>BPSWS25 BGN Curncy</v>
      </c>
      <c r="C243" s="175"/>
      <c r="D243" s="176" t="s">
        <v>1973</v>
      </c>
      <c r="E243" s="176" t="s">
        <v>1121</v>
      </c>
      <c r="F243" s="176" t="s">
        <v>2444</v>
      </c>
      <c r="G243" s="177">
        <v>1.3156000000000001</v>
      </c>
      <c r="I243" s="167" t="str">
        <v>BPSW9 ICPL Curncy</v>
      </c>
      <c r="J243" s="175"/>
      <c r="K243" s="176" t="s">
        <v>1573</v>
      </c>
      <c r="L243" s="176" t="s">
        <v>472</v>
      </c>
      <c r="M243" s="176" t="s">
        <v>2468</v>
      </c>
      <c r="N243" s="220" t="s">
        <v>2364</v>
      </c>
      <c r="O243" s="220" t="s">
        <v>2364</v>
      </c>
      <c r="P243" s="177">
        <v>1.5289999999999999</v>
      </c>
      <c r="R243" s="167" t="str">
        <v>BPSFVC40 ICPL Curncy</v>
      </c>
      <c r="S243" s="175"/>
      <c r="T243" s="176" t="s">
        <v>1543</v>
      </c>
      <c r="U243" s="176" t="s">
        <v>1109</v>
      </c>
      <c r="V243" s="176" t="s">
        <v>1544</v>
      </c>
      <c r="W243" s="177">
        <v>5.9</v>
      </c>
      <c r="Y243" s="167" t="str">
        <v>BPSFVA50 ICPL Curncy</v>
      </c>
      <c r="Z243" s="175"/>
      <c r="AA243" s="176" t="s">
        <v>1589</v>
      </c>
      <c r="AB243" s="176" t="s">
        <v>1109</v>
      </c>
      <c r="AC243" s="176" t="s">
        <v>1590</v>
      </c>
      <c r="AD243" s="177">
        <v>12.1</v>
      </c>
      <c r="AF243" s="167" t="str">
        <v>BPSIVF50 ICPL Curncy</v>
      </c>
      <c r="AG243" s="175"/>
      <c r="AH243" s="176" t="s">
        <v>1603</v>
      </c>
      <c r="AI243" s="176" t="s">
        <v>1109</v>
      </c>
      <c r="AJ243" s="176" t="s">
        <v>1604</v>
      </c>
      <c r="AK243" s="177">
        <v>4.9000000000000004</v>
      </c>
      <c r="AM243" s="167" t="str">
        <v>BPBS25 ICPL Curncy</v>
      </c>
      <c r="AN243" s="175"/>
      <c r="AO243" s="176" t="s">
        <v>1617</v>
      </c>
      <c r="AP243" s="176" t="s">
        <v>1109</v>
      </c>
      <c r="AQ243" s="176" t="s">
        <v>1618</v>
      </c>
      <c r="AR243" s="177">
        <v>6.75</v>
      </c>
    </row>
    <row r="244" spans="1:44">
      <c r="A244" s="204">
        <v>18</v>
      </c>
      <c r="B244" s="190" t="str">
        <v>BPSWS30 BGN Curncy</v>
      </c>
      <c r="C244" s="175"/>
      <c r="D244" s="176" t="s">
        <v>1974</v>
      </c>
      <c r="E244" s="176" t="s">
        <v>1121</v>
      </c>
      <c r="F244" s="176" t="s">
        <v>2445</v>
      </c>
      <c r="G244" s="177">
        <v>1.2929999999999999</v>
      </c>
      <c r="I244" s="167" t="str">
        <v>BPSW10 ICPL Curncy</v>
      </c>
      <c r="J244" s="175"/>
      <c r="K244" s="176" t="s">
        <v>1574</v>
      </c>
      <c r="L244" s="176" t="s">
        <v>472</v>
      </c>
      <c r="M244" s="176" t="s">
        <v>2469</v>
      </c>
      <c r="N244" s="220" t="s">
        <v>2364</v>
      </c>
      <c r="O244" s="220" t="s">
        <v>2364</v>
      </c>
      <c r="P244" s="177">
        <v>1.5609999999999999</v>
      </c>
      <c r="R244" s="167" t="str">
        <v>BPSFVC50 ICPL Curncy</v>
      </c>
      <c r="S244" s="175"/>
      <c r="T244" s="176" t="s">
        <v>1545</v>
      </c>
      <c r="U244" s="176" t="s">
        <v>1109</v>
      </c>
      <c r="V244" s="176" t="s">
        <v>1546</v>
      </c>
      <c r="W244" s="177">
        <v>5.6</v>
      </c>
      <c r="Y244" s="167" t="str">
        <v/>
      </c>
      <c r="Z244" s="175"/>
      <c r="AA244" s="176"/>
      <c r="AB244" s="176"/>
      <c r="AC244" s="176"/>
      <c r="AD244" s="177"/>
      <c r="AF244" s="167" t="str">
        <v/>
      </c>
      <c r="AG244" s="175"/>
      <c r="AH244" s="176"/>
      <c r="AI244" s="176"/>
      <c r="AJ244" s="176"/>
      <c r="AK244" s="177"/>
      <c r="AM244" s="167" t="str">
        <v>BPBS30 ICPL Curncy</v>
      </c>
      <c r="AN244" s="175"/>
      <c r="AO244" s="176" t="s">
        <v>1619</v>
      </c>
      <c r="AP244" s="176" t="s">
        <v>1109</v>
      </c>
      <c r="AQ244" s="176" t="s">
        <v>1620</v>
      </c>
      <c r="AR244" s="177">
        <v>10.5</v>
      </c>
    </row>
    <row r="245" spans="1:44">
      <c r="A245" s="204">
        <v>19</v>
      </c>
      <c r="B245" s="190" t="str">
        <v>BPSWS40 BGN Curncy</v>
      </c>
      <c r="C245" s="175"/>
      <c r="D245" s="176" t="s">
        <v>1975</v>
      </c>
      <c r="E245" s="176" t="s">
        <v>1121</v>
      </c>
      <c r="F245" s="176" t="s">
        <v>2446</v>
      </c>
      <c r="G245" s="177">
        <v>1.2250000000000001</v>
      </c>
      <c r="I245" s="167" t="str">
        <v>BPSW12 ICPL Curncy</v>
      </c>
      <c r="J245" s="175"/>
      <c r="K245" s="176" t="s">
        <v>1575</v>
      </c>
      <c r="L245" s="176" t="s">
        <v>472</v>
      </c>
      <c r="M245" s="176" t="s">
        <v>2470</v>
      </c>
      <c r="N245" s="220" t="s">
        <v>2364</v>
      </c>
      <c r="O245" s="220" t="s">
        <v>2364</v>
      </c>
      <c r="P245" s="177">
        <v>1.613</v>
      </c>
      <c r="R245" s="167" t="str">
        <v/>
      </c>
      <c r="S245" s="175"/>
      <c r="T245" s="176"/>
      <c r="U245" s="176"/>
      <c r="V245" s="176"/>
      <c r="W245" s="177"/>
      <c r="Y245" s="167" t="str">
        <v/>
      </c>
      <c r="Z245" s="175"/>
      <c r="AA245" s="176"/>
      <c r="AB245" s="176"/>
      <c r="AC245" s="176"/>
      <c r="AD245" s="177"/>
      <c r="AF245" s="167" t="str">
        <v/>
      </c>
      <c r="AG245" s="175"/>
      <c r="AH245" s="176"/>
      <c r="AI245" s="176"/>
      <c r="AJ245" s="176"/>
      <c r="AK245" s="177"/>
      <c r="AM245" s="167" t="str">
        <v/>
      </c>
      <c r="AN245" s="175"/>
      <c r="AO245" s="176"/>
      <c r="AP245" s="176"/>
      <c r="AQ245" s="176"/>
      <c r="AR245" s="177"/>
    </row>
    <row r="246" spans="1:44">
      <c r="A246" s="204">
        <v>20</v>
      </c>
      <c r="B246" s="190" t="str">
        <v>BPSWS50 BGN Curncy</v>
      </c>
      <c r="C246" s="175"/>
      <c r="D246" s="176" t="s">
        <v>1976</v>
      </c>
      <c r="E246" s="176" t="s">
        <v>1121</v>
      </c>
      <c r="F246" s="176" t="s">
        <v>2447</v>
      </c>
      <c r="G246" s="177">
        <v>1.173</v>
      </c>
      <c r="I246" s="167" t="str">
        <v>BPSW15 ICPL Curncy</v>
      </c>
      <c r="J246" s="175"/>
      <c r="K246" s="176" t="s">
        <v>1576</v>
      </c>
      <c r="L246" s="176" t="s">
        <v>472</v>
      </c>
      <c r="M246" s="176" t="s">
        <v>2471</v>
      </c>
      <c r="N246" s="220" t="s">
        <v>2364</v>
      </c>
      <c r="O246" s="220" t="s">
        <v>2364</v>
      </c>
      <c r="P246" s="177">
        <v>1.655</v>
      </c>
      <c r="R246" s="167" t="str">
        <v/>
      </c>
      <c r="S246" s="175"/>
      <c r="T246" s="176"/>
      <c r="U246" s="176"/>
      <c r="V246" s="176"/>
      <c r="W246" s="177"/>
      <c r="Y246" s="167" t="str">
        <v/>
      </c>
      <c r="Z246" s="175"/>
      <c r="AA246" s="176"/>
      <c r="AB246" s="176"/>
      <c r="AC246" s="176"/>
      <c r="AD246" s="177"/>
      <c r="AF246" s="167" t="str">
        <v/>
      </c>
      <c r="AG246" s="175"/>
      <c r="AH246" s="176"/>
      <c r="AI246" s="176"/>
      <c r="AJ246" s="176"/>
      <c r="AK246" s="177"/>
      <c r="AM246" s="167" t="str">
        <v/>
      </c>
      <c r="AN246" s="175"/>
      <c r="AO246" s="176"/>
      <c r="AP246" s="176"/>
      <c r="AQ246" s="176"/>
      <c r="AR246" s="177"/>
    </row>
    <row r="247" spans="1:44">
      <c r="A247" s="204">
        <v>21</v>
      </c>
      <c r="B247" s="190" t="str">
        <v/>
      </c>
      <c r="C247" s="175"/>
      <c r="D247" s="176"/>
      <c r="E247" s="176"/>
      <c r="F247" s="176"/>
      <c r="G247" s="177"/>
      <c r="I247" s="167" t="str">
        <v>BPSW20 ICPL Curncy</v>
      </c>
      <c r="J247" s="175"/>
      <c r="K247" s="176" t="s">
        <v>1507</v>
      </c>
      <c r="L247" s="176" t="s">
        <v>472</v>
      </c>
      <c r="M247" s="176" t="s">
        <v>2448</v>
      </c>
      <c r="N247" s="220" t="s">
        <v>2364</v>
      </c>
      <c r="O247" s="220" t="s">
        <v>2364</v>
      </c>
      <c r="P247" s="177">
        <v>1.68</v>
      </c>
      <c r="R247" s="167" t="str">
        <v/>
      </c>
      <c r="S247" s="175"/>
      <c r="T247" s="176"/>
      <c r="U247" s="176"/>
      <c r="V247" s="176"/>
      <c r="W247" s="177"/>
      <c r="Y247" s="167" t="str">
        <v/>
      </c>
      <c r="Z247" s="175"/>
      <c r="AA247" s="176"/>
      <c r="AB247" s="176"/>
      <c r="AC247" s="176"/>
      <c r="AD247" s="177"/>
      <c r="AF247" s="167" t="str">
        <v/>
      </c>
      <c r="AG247" s="175"/>
      <c r="AH247" s="176"/>
      <c r="AI247" s="176"/>
      <c r="AJ247" s="176"/>
      <c r="AK247" s="177"/>
      <c r="AM247" s="167" t="str">
        <v/>
      </c>
      <c r="AN247" s="175"/>
      <c r="AO247" s="176"/>
      <c r="AP247" s="176"/>
      <c r="AQ247" s="176"/>
      <c r="AR247" s="177"/>
    </row>
    <row r="248" spans="1:44">
      <c r="A248" s="204">
        <v>22</v>
      </c>
      <c r="B248" s="190" t="str">
        <v/>
      </c>
      <c r="C248" s="175"/>
      <c r="D248" s="176"/>
      <c r="E248" s="176"/>
      <c r="F248" s="176"/>
      <c r="G248" s="177"/>
      <c r="I248" s="167" t="str">
        <v>BPSW25 ICPL Curncy</v>
      </c>
      <c r="J248" s="175"/>
      <c r="K248" s="176" t="s">
        <v>1508</v>
      </c>
      <c r="L248" s="176" t="s">
        <v>472</v>
      </c>
      <c r="M248" s="176" t="s">
        <v>2449</v>
      </c>
      <c r="N248" s="220" t="s">
        <v>2364</v>
      </c>
      <c r="O248" s="220" t="s">
        <v>2364</v>
      </c>
      <c r="P248" s="177">
        <v>1.669</v>
      </c>
      <c r="R248" s="167" t="str">
        <v/>
      </c>
      <c r="S248" s="175"/>
      <c r="T248" s="176"/>
      <c r="U248" s="176"/>
      <c r="V248" s="176"/>
      <c r="W248" s="177"/>
      <c r="Y248" s="167" t="str">
        <v/>
      </c>
      <c r="Z248" s="175"/>
      <c r="AA248" s="176"/>
      <c r="AB248" s="176"/>
      <c r="AC248" s="176"/>
      <c r="AD248" s="177"/>
      <c r="AF248" s="167" t="str">
        <v/>
      </c>
      <c r="AG248" s="175"/>
      <c r="AH248" s="176"/>
      <c r="AI248" s="176"/>
      <c r="AJ248" s="176"/>
      <c r="AK248" s="177"/>
      <c r="AM248" s="167" t="str">
        <v/>
      </c>
      <c r="AN248" s="175"/>
      <c r="AO248" s="176"/>
      <c r="AP248" s="176"/>
      <c r="AQ248" s="176"/>
      <c r="AR248" s="177"/>
    </row>
    <row r="249" spans="1:44">
      <c r="A249" s="204">
        <v>23</v>
      </c>
      <c r="B249" s="190" t="str">
        <v/>
      </c>
      <c r="C249" s="175"/>
      <c r="D249" s="176"/>
      <c r="E249" s="176"/>
      <c r="F249" s="176"/>
      <c r="G249" s="177"/>
      <c r="I249" s="167" t="str">
        <v>BPSW30 ICPL Curncy</v>
      </c>
      <c r="J249" s="175"/>
      <c r="K249" s="176" t="s">
        <v>1509</v>
      </c>
      <c r="L249" s="176" t="s">
        <v>472</v>
      </c>
      <c r="M249" s="176" t="s">
        <v>2450</v>
      </c>
      <c r="N249" s="220" t="s">
        <v>2364</v>
      </c>
      <c r="O249" s="220" t="s">
        <v>2364</v>
      </c>
      <c r="P249" s="177">
        <v>1.65</v>
      </c>
      <c r="R249" s="167" t="str">
        <v/>
      </c>
      <c r="S249" s="175"/>
      <c r="T249" s="176"/>
      <c r="U249" s="176"/>
      <c r="V249" s="176"/>
      <c r="W249" s="177"/>
      <c r="Y249" s="167" t="str">
        <v/>
      </c>
      <c r="Z249" s="175"/>
      <c r="AA249" s="176"/>
      <c r="AB249" s="176"/>
      <c r="AC249" s="176"/>
      <c r="AD249" s="177"/>
      <c r="AF249" s="167" t="str">
        <v/>
      </c>
      <c r="AG249" s="175"/>
      <c r="AH249" s="176"/>
      <c r="AI249" s="176"/>
      <c r="AJ249" s="176"/>
      <c r="AK249" s="177"/>
      <c r="AM249" s="167" t="str">
        <v/>
      </c>
      <c r="AN249" s="175"/>
      <c r="AO249" s="176"/>
      <c r="AP249" s="176"/>
      <c r="AQ249" s="176"/>
      <c r="AR249" s="177"/>
    </row>
    <row r="250" spans="1:44">
      <c r="A250" s="204">
        <v>24</v>
      </c>
      <c r="B250" s="190" t="str">
        <v/>
      </c>
      <c r="C250" s="175"/>
      <c r="D250" s="176"/>
      <c r="E250" s="176"/>
      <c r="F250" s="176"/>
      <c r="G250" s="177"/>
      <c r="I250" s="167" t="str">
        <v>BPSW40 ICPL Curncy</v>
      </c>
      <c r="J250" s="175"/>
      <c r="K250" s="176" t="s">
        <v>1510</v>
      </c>
      <c r="L250" s="176" t="s">
        <v>472</v>
      </c>
      <c r="M250" s="176" t="s">
        <v>2451</v>
      </c>
      <c r="N250" s="220" t="s">
        <v>2364</v>
      </c>
      <c r="O250" s="220" t="s">
        <v>2364</v>
      </c>
      <c r="P250" s="177">
        <v>1.581</v>
      </c>
      <c r="R250" s="167" t="str">
        <v/>
      </c>
      <c r="S250" s="175"/>
      <c r="T250" s="176"/>
      <c r="U250" s="176"/>
      <c r="V250" s="176"/>
      <c r="W250" s="177"/>
      <c r="Y250" s="167" t="str">
        <v/>
      </c>
      <c r="Z250" s="175"/>
      <c r="AA250" s="176"/>
      <c r="AB250" s="176"/>
      <c r="AC250" s="176"/>
      <c r="AD250" s="177"/>
      <c r="AF250" s="167" t="str">
        <v/>
      </c>
      <c r="AG250" s="175"/>
      <c r="AH250" s="176"/>
      <c r="AI250" s="176"/>
      <c r="AJ250" s="176"/>
      <c r="AK250" s="177"/>
      <c r="AM250" s="167" t="str">
        <v/>
      </c>
      <c r="AN250" s="175"/>
      <c r="AO250" s="176"/>
      <c r="AP250" s="176"/>
      <c r="AQ250" s="176"/>
      <c r="AR250" s="177"/>
    </row>
    <row r="251" spans="1:44">
      <c r="A251" s="204">
        <v>25</v>
      </c>
      <c r="B251" s="190" t="str">
        <v/>
      </c>
      <c r="C251" s="175"/>
      <c r="D251" s="176"/>
      <c r="E251" s="176"/>
      <c r="F251" s="176"/>
      <c r="G251" s="177"/>
      <c r="I251" s="167" t="str">
        <v>BPSW50 ICPL Curncy</v>
      </c>
      <c r="J251" s="175"/>
      <c r="K251" s="176" t="s">
        <v>1511</v>
      </c>
      <c r="L251" s="176" t="s">
        <v>472</v>
      </c>
      <c r="M251" s="176" t="s">
        <v>2452</v>
      </c>
      <c r="N251" s="220" t="s">
        <v>2364</v>
      </c>
      <c r="O251" s="220" t="s">
        <v>2364</v>
      </c>
      <c r="P251" s="177">
        <v>1.5229999999999999</v>
      </c>
      <c r="R251" s="167" t="str">
        <v/>
      </c>
      <c r="S251" s="175"/>
      <c r="T251" s="176"/>
      <c r="U251" s="176"/>
      <c r="V251" s="176"/>
      <c r="W251" s="177"/>
      <c r="Y251" s="167" t="str">
        <v/>
      </c>
      <c r="Z251" s="175"/>
      <c r="AA251" s="176"/>
      <c r="AB251" s="176"/>
      <c r="AC251" s="176"/>
      <c r="AD251" s="177"/>
      <c r="AF251" s="167" t="str">
        <v/>
      </c>
      <c r="AG251" s="175"/>
      <c r="AH251" s="176"/>
      <c r="AI251" s="176"/>
      <c r="AJ251" s="176"/>
      <c r="AK251" s="177"/>
      <c r="AM251" s="167" t="str">
        <v/>
      </c>
      <c r="AN251" s="175"/>
      <c r="AO251" s="176"/>
      <c r="AP251" s="176"/>
      <c r="AQ251" s="176"/>
      <c r="AR251" s="177"/>
    </row>
    <row r="252" spans="1:44">
      <c r="A252" s="204">
        <v>26</v>
      </c>
      <c r="B252" s="190" t="str">
        <v/>
      </c>
      <c r="C252" s="175"/>
      <c r="D252" s="176"/>
      <c r="E252" s="176"/>
      <c r="F252" s="176"/>
      <c r="G252" s="177"/>
      <c r="I252" s="167" t="str">
        <v/>
      </c>
      <c r="J252" s="175"/>
      <c r="K252" s="176"/>
      <c r="L252" s="176"/>
      <c r="M252" s="176"/>
      <c r="N252" s="220"/>
      <c r="O252" s="220"/>
      <c r="P252" s="177"/>
      <c r="R252" s="167" t="str">
        <v/>
      </c>
      <c r="S252" s="175"/>
      <c r="T252" s="176"/>
      <c r="U252" s="176"/>
      <c r="V252" s="176"/>
      <c r="W252" s="177"/>
      <c r="Y252" s="167" t="str">
        <v/>
      </c>
      <c r="Z252" s="175"/>
      <c r="AA252" s="176"/>
      <c r="AB252" s="176"/>
      <c r="AC252" s="176"/>
      <c r="AD252" s="177"/>
      <c r="AF252" s="167" t="str">
        <v/>
      </c>
      <c r="AG252" s="175"/>
      <c r="AH252" s="176"/>
      <c r="AI252" s="176"/>
      <c r="AJ252" s="176"/>
      <c r="AK252" s="177"/>
      <c r="AM252" s="167" t="str">
        <v/>
      </c>
      <c r="AN252" s="175"/>
      <c r="AO252" s="176"/>
      <c r="AP252" s="176"/>
      <c r="AQ252" s="176"/>
      <c r="AR252" s="177"/>
    </row>
    <row r="253" spans="1:44">
      <c r="A253" s="204">
        <v>27</v>
      </c>
      <c r="B253" s="190" t="str">
        <v/>
      </c>
      <c r="C253" s="175"/>
      <c r="D253" s="176"/>
      <c r="E253" s="176"/>
      <c r="F253" s="176"/>
      <c r="G253" s="177"/>
      <c r="I253" s="167" t="str">
        <v/>
      </c>
      <c r="J253" s="175"/>
      <c r="K253" s="176"/>
      <c r="L253" s="176"/>
      <c r="M253" s="176"/>
      <c r="N253" s="220"/>
      <c r="O253" s="220"/>
      <c r="P253" s="177"/>
      <c r="R253" s="167" t="str">
        <v/>
      </c>
      <c r="S253" s="175"/>
      <c r="T253" s="176"/>
      <c r="U253" s="176"/>
      <c r="V253" s="176"/>
      <c r="W253" s="177"/>
      <c r="Y253" s="167" t="str">
        <v/>
      </c>
      <c r="Z253" s="175"/>
      <c r="AA253" s="176"/>
      <c r="AB253" s="176"/>
      <c r="AC253" s="176"/>
      <c r="AD253" s="177"/>
      <c r="AF253" s="167" t="str">
        <v/>
      </c>
      <c r="AG253" s="175"/>
      <c r="AH253" s="176"/>
      <c r="AI253" s="176"/>
      <c r="AJ253" s="176"/>
      <c r="AK253" s="177"/>
      <c r="AM253" s="167" t="str">
        <v/>
      </c>
      <c r="AN253" s="175"/>
      <c r="AO253" s="176"/>
      <c r="AP253" s="176"/>
      <c r="AQ253" s="176"/>
      <c r="AR253" s="177"/>
    </row>
    <row r="254" spans="1:44">
      <c r="A254" s="204">
        <v>28</v>
      </c>
      <c r="B254" s="190" t="str">
        <v/>
      </c>
      <c r="C254" s="175"/>
      <c r="D254" s="176"/>
      <c r="E254" s="176"/>
      <c r="F254" s="176"/>
      <c r="G254" s="177"/>
      <c r="I254" s="167" t="str">
        <v/>
      </c>
      <c r="J254" s="175"/>
      <c r="K254" s="176"/>
      <c r="L254" s="176"/>
      <c r="M254" s="176"/>
      <c r="N254" s="220"/>
      <c r="O254" s="220"/>
      <c r="P254" s="177"/>
      <c r="R254" s="167" t="str">
        <v/>
      </c>
      <c r="S254" s="175"/>
      <c r="T254" s="176"/>
      <c r="U254" s="176"/>
      <c r="V254" s="176"/>
      <c r="W254" s="177"/>
      <c r="Y254" s="167" t="str">
        <v/>
      </c>
      <c r="Z254" s="175"/>
      <c r="AA254" s="176"/>
      <c r="AB254" s="176"/>
      <c r="AC254" s="176"/>
      <c r="AD254" s="177"/>
      <c r="AF254" s="167" t="str">
        <v/>
      </c>
      <c r="AG254" s="175"/>
      <c r="AH254" s="176"/>
      <c r="AI254" s="176"/>
      <c r="AJ254" s="176"/>
      <c r="AK254" s="177"/>
      <c r="AM254" s="167" t="str">
        <v/>
      </c>
      <c r="AN254" s="175"/>
      <c r="AO254" s="176"/>
      <c r="AP254" s="176"/>
      <c r="AQ254" s="176"/>
      <c r="AR254" s="177"/>
    </row>
    <row r="255" spans="1:44">
      <c r="A255" s="204">
        <v>29</v>
      </c>
      <c r="B255" s="190" t="str">
        <v/>
      </c>
      <c r="C255" s="175"/>
      <c r="D255" s="176"/>
      <c r="E255" s="176"/>
      <c r="F255" s="176"/>
      <c r="G255" s="177"/>
      <c r="I255" s="167" t="str">
        <v/>
      </c>
      <c r="J255" s="175"/>
      <c r="K255" s="176"/>
      <c r="L255" s="176"/>
      <c r="M255" s="176"/>
      <c r="N255" s="220"/>
      <c r="O255" s="220"/>
      <c r="P255" s="177"/>
      <c r="R255" s="167" t="str">
        <v/>
      </c>
      <c r="S255" s="175"/>
      <c r="T255" s="176"/>
      <c r="U255" s="176"/>
      <c r="V255" s="176"/>
      <c r="W255" s="177"/>
      <c r="Y255" s="167" t="str">
        <v/>
      </c>
      <c r="Z255" s="175"/>
      <c r="AA255" s="176"/>
      <c r="AB255" s="176"/>
      <c r="AC255" s="176"/>
      <c r="AD255" s="177"/>
      <c r="AF255" s="167" t="str">
        <v/>
      </c>
      <c r="AG255" s="175"/>
      <c r="AH255" s="176"/>
      <c r="AI255" s="176"/>
      <c r="AJ255" s="176"/>
      <c r="AK255" s="177"/>
      <c r="AM255" s="167" t="str">
        <v/>
      </c>
      <c r="AN255" s="175"/>
      <c r="AO255" s="176"/>
      <c r="AP255" s="176"/>
      <c r="AQ255" s="176"/>
      <c r="AR255" s="177"/>
    </row>
    <row r="256" spans="1:44">
      <c r="A256" s="204">
        <v>30</v>
      </c>
      <c r="B256" s="190" t="str">
        <v/>
      </c>
      <c r="C256" s="175"/>
      <c r="D256" s="176"/>
      <c r="E256" s="176"/>
      <c r="F256" s="176"/>
      <c r="G256" s="177"/>
      <c r="I256" s="167" t="str">
        <v/>
      </c>
      <c r="J256" s="175"/>
      <c r="K256" s="176"/>
      <c r="L256" s="176"/>
      <c r="M256" s="176"/>
      <c r="N256" s="220"/>
      <c r="O256" s="220"/>
      <c r="P256" s="177"/>
      <c r="R256" s="167" t="str">
        <v/>
      </c>
      <c r="S256" s="175"/>
      <c r="T256" s="176"/>
      <c r="U256" s="176"/>
      <c r="V256" s="176"/>
      <c r="W256" s="177"/>
      <c r="Y256" s="167" t="str">
        <v/>
      </c>
      <c r="Z256" s="175"/>
      <c r="AA256" s="176"/>
      <c r="AB256" s="176"/>
      <c r="AC256" s="176"/>
      <c r="AD256" s="177"/>
      <c r="AF256" s="167" t="str">
        <v/>
      </c>
      <c r="AG256" s="175"/>
      <c r="AH256" s="176"/>
      <c r="AI256" s="176"/>
      <c r="AJ256" s="176"/>
      <c r="AK256" s="177"/>
      <c r="AM256" s="167" t="str">
        <v/>
      </c>
      <c r="AN256" s="175"/>
      <c r="AO256" s="176"/>
      <c r="AP256" s="176"/>
      <c r="AQ256" s="176"/>
      <c r="AR256" s="177"/>
    </row>
    <row r="257" spans="1:44">
      <c r="A257" s="204">
        <v>31</v>
      </c>
      <c r="B257" s="190" t="str">
        <v/>
      </c>
      <c r="C257" s="175"/>
      <c r="D257" s="176"/>
      <c r="E257" s="176"/>
      <c r="F257" s="176"/>
      <c r="G257" s="177"/>
      <c r="I257" s="167" t="str">
        <v/>
      </c>
      <c r="J257" s="175"/>
      <c r="K257" s="176"/>
      <c r="L257" s="176"/>
      <c r="M257" s="176"/>
      <c r="N257" s="220"/>
      <c r="O257" s="220"/>
      <c r="P257" s="177"/>
      <c r="R257" s="167" t="str">
        <v/>
      </c>
      <c r="S257" s="175"/>
      <c r="T257" s="176"/>
      <c r="U257" s="176"/>
      <c r="V257" s="176"/>
      <c r="W257" s="177"/>
      <c r="Y257" s="167" t="str">
        <v/>
      </c>
      <c r="Z257" s="175"/>
      <c r="AA257" s="176"/>
      <c r="AB257" s="176"/>
      <c r="AC257" s="176"/>
      <c r="AD257" s="177"/>
      <c r="AF257" s="167" t="str">
        <v/>
      </c>
      <c r="AG257" s="175"/>
      <c r="AH257" s="176"/>
      <c r="AI257" s="176"/>
      <c r="AJ257" s="176"/>
      <c r="AK257" s="177"/>
      <c r="AM257" s="167" t="str">
        <v/>
      </c>
      <c r="AN257" s="175"/>
      <c r="AO257" s="176"/>
      <c r="AP257" s="176"/>
      <c r="AQ257" s="176"/>
      <c r="AR257" s="177"/>
    </row>
    <row r="258" spans="1:44">
      <c r="A258" s="204">
        <v>32</v>
      </c>
      <c r="B258" s="190" t="str">
        <v/>
      </c>
      <c r="C258" s="175"/>
      <c r="D258" s="176"/>
      <c r="E258" s="176"/>
      <c r="F258" s="176"/>
      <c r="G258" s="177"/>
      <c r="I258" s="167" t="str">
        <v/>
      </c>
      <c r="J258" s="175"/>
      <c r="K258" s="176"/>
      <c r="L258" s="176"/>
      <c r="M258" s="176"/>
      <c r="N258" s="220"/>
      <c r="O258" s="220"/>
      <c r="P258" s="177"/>
      <c r="R258" s="167" t="str">
        <v/>
      </c>
      <c r="S258" s="175"/>
      <c r="T258" s="176"/>
      <c r="U258" s="176"/>
      <c r="V258" s="176"/>
      <c r="W258" s="177"/>
      <c r="Y258" s="167" t="str">
        <v/>
      </c>
      <c r="Z258" s="175"/>
      <c r="AA258" s="176"/>
      <c r="AB258" s="176"/>
      <c r="AC258" s="176"/>
      <c r="AD258" s="177"/>
      <c r="AF258" s="167" t="str">
        <v/>
      </c>
      <c r="AG258" s="175"/>
      <c r="AH258" s="176"/>
      <c r="AI258" s="176"/>
      <c r="AJ258" s="176"/>
      <c r="AK258" s="177"/>
      <c r="AM258" s="167" t="str">
        <v/>
      </c>
      <c r="AN258" s="175"/>
      <c r="AO258" s="176"/>
      <c r="AP258" s="176"/>
      <c r="AQ258" s="176"/>
      <c r="AR258" s="177"/>
    </row>
    <row r="259" spans="1:44">
      <c r="A259" s="204">
        <v>33</v>
      </c>
      <c r="B259" s="190" t="str">
        <v/>
      </c>
      <c r="C259" s="175"/>
      <c r="D259" s="176"/>
      <c r="E259" s="176"/>
      <c r="F259" s="176"/>
      <c r="G259" s="177"/>
      <c r="I259" s="167" t="str">
        <v/>
      </c>
      <c r="J259" s="175"/>
      <c r="K259" s="176"/>
      <c r="L259" s="176"/>
      <c r="M259" s="176"/>
      <c r="N259" s="220"/>
      <c r="O259" s="220"/>
      <c r="P259" s="177"/>
      <c r="R259" s="167" t="str">
        <v/>
      </c>
      <c r="S259" s="175"/>
      <c r="T259" s="176"/>
      <c r="U259" s="176"/>
      <c r="V259" s="176"/>
      <c r="W259" s="177"/>
      <c r="Y259" s="167" t="str">
        <v/>
      </c>
      <c r="Z259" s="175"/>
      <c r="AA259" s="176"/>
      <c r="AB259" s="176"/>
      <c r="AC259" s="176"/>
      <c r="AD259" s="177"/>
      <c r="AF259" s="167" t="str">
        <v/>
      </c>
      <c r="AG259" s="175"/>
      <c r="AH259" s="176"/>
      <c r="AI259" s="176"/>
      <c r="AJ259" s="176"/>
      <c r="AK259" s="177"/>
      <c r="AM259" s="167" t="str">
        <v/>
      </c>
      <c r="AN259" s="175"/>
      <c r="AO259" s="176"/>
      <c r="AP259" s="176"/>
      <c r="AQ259" s="176"/>
      <c r="AR259" s="177"/>
    </row>
    <row r="260" spans="1:44">
      <c r="A260" s="204">
        <v>34</v>
      </c>
      <c r="B260" s="190" t="str">
        <v/>
      </c>
      <c r="C260" s="175"/>
      <c r="D260" s="176"/>
      <c r="E260" s="176"/>
      <c r="F260" s="176"/>
      <c r="G260" s="177"/>
      <c r="I260" s="167" t="str">
        <v/>
      </c>
      <c r="J260" s="175"/>
      <c r="K260" s="176"/>
      <c r="L260" s="176"/>
      <c r="M260" s="176"/>
      <c r="N260" s="220"/>
      <c r="O260" s="220"/>
      <c r="P260" s="177"/>
      <c r="R260" s="167" t="str">
        <v/>
      </c>
      <c r="S260" s="175"/>
      <c r="T260" s="176"/>
      <c r="U260" s="176"/>
      <c r="V260" s="176"/>
      <c r="W260" s="177"/>
      <c r="Y260" s="167" t="str">
        <v/>
      </c>
      <c r="Z260" s="175"/>
      <c r="AA260" s="176"/>
      <c r="AB260" s="176"/>
      <c r="AC260" s="176"/>
      <c r="AD260" s="177"/>
      <c r="AF260" s="167" t="str">
        <v/>
      </c>
      <c r="AG260" s="175"/>
      <c r="AH260" s="176"/>
      <c r="AI260" s="176"/>
      <c r="AJ260" s="176"/>
      <c r="AK260" s="177"/>
      <c r="AM260" s="167" t="str">
        <v/>
      </c>
      <c r="AN260" s="175"/>
      <c r="AO260" s="176"/>
      <c r="AP260" s="176"/>
      <c r="AQ260" s="176"/>
      <c r="AR260" s="177"/>
    </row>
    <row r="261" spans="1:44">
      <c r="A261" s="204">
        <v>35</v>
      </c>
      <c r="B261" s="190" t="str">
        <v/>
      </c>
      <c r="C261" s="175"/>
      <c r="D261" s="176"/>
      <c r="E261" s="176"/>
      <c r="F261" s="176"/>
      <c r="G261" s="177"/>
      <c r="I261" s="167" t="str">
        <v/>
      </c>
      <c r="J261" s="175"/>
      <c r="K261" s="176"/>
      <c r="L261" s="176"/>
      <c r="M261" s="176"/>
      <c r="N261" s="220"/>
      <c r="O261" s="220"/>
      <c r="P261" s="177"/>
      <c r="R261" s="167" t="str">
        <v/>
      </c>
      <c r="S261" s="175"/>
      <c r="T261" s="176"/>
      <c r="U261" s="176"/>
      <c r="V261" s="176"/>
      <c r="W261" s="177"/>
      <c r="Y261" s="167" t="str">
        <v/>
      </c>
      <c r="Z261" s="175"/>
      <c r="AA261" s="176"/>
      <c r="AB261" s="176"/>
      <c r="AC261" s="176"/>
      <c r="AD261" s="177"/>
      <c r="AF261" s="167" t="str">
        <v/>
      </c>
      <c r="AG261" s="175"/>
      <c r="AH261" s="176"/>
      <c r="AI261" s="176"/>
      <c r="AJ261" s="176"/>
      <c r="AK261" s="177"/>
      <c r="AM261" s="167" t="str">
        <v/>
      </c>
      <c r="AN261" s="175"/>
      <c r="AO261" s="176"/>
      <c r="AP261" s="176"/>
      <c r="AQ261" s="176"/>
      <c r="AR261" s="177"/>
    </row>
    <row r="262" spans="1:44">
      <c r="A262" s="204">
        <v>36</v>
      </c>
      <c r="B262" s="190" t="str">
        <v/>
      </c>
      <c r="C262" s="175"/>
      <c r="D262" s="176"/>
      <c r="E262" s="176"/>
      <c r="F262" s="176"/>
      <c r="G262" s="177"/>
      <c r="I262" s="167" t="str">
        <v/>
      </c>
      <c r="J262" s="175"/>
      <c r="K262" s="176"/>
      <c r="L262" s="176"/>
      <c r="M262" s="176"/>
      <c r="N262" s="220"/>
      <c r="O262" s="220"/>
      <c r="P262" s="177"/>
      <c r="R262" s="167" t="str">
        <v/>
      </c>
      <c r="S262" s="175"/>
      <c r="T262" s="176"/>
      <c r="U262" s="176"/>
      <c r="V262" s="176"/>
      <c r="W262" s="177"/>
      <c r="Y262" s="167" t="str">
        <v/>
      </c>
      <c r="Z262" s="175"/>
      <c r="AA262" s="176"/>
      <c r="AB262" s="176"/>
      <c r="AC262" s="176"/>
      <c r="AD262" s="177"/>
      <c r="AF262" s="167" t="str">
        <v/>
      </c>
      <c r="AG262" s="175"/>
      <c r="AH262" s="176"/>
      <c r="AI262" s="176"/>
      <c r="AJ262" s="176"/>
      <c r="AK262" s="177"/>
      <c r="AM262" s="167" t="str">
        <v/>
      </c>
      <c r="AN262" s="175"/>
      <c r="AO262" s="176"/>
      <c r="AP262" s="176"/>
      <c r="AQ262" s="176"/>
      <c r="AR262" s="177"/>
    </row>
    <row r="263" spans="1:44">
      <c r="A263" s="204">
        <v>37</v>
      </c>
      <c r="B263" s="190" t="str">
        <v/>
      </c>
      <c r="C263" s="175"/>
      <c r="D263" s="176"/>
      <c r="E263" s="176"/>
      <c r="F263" s="176"/>
      <c r="G263" s="177"/>
      <c r="I263" s="167" t="str">
        <v/>
      </c>
      <c r="J263" s="175"/>
      <c r="K263" s="176"/>
      <c r="L263" s="176"/>
      <c r="M263" s="176"/>
      <c r="N263" s="220"/>
      <c r="O263" s="220"/>
      <c r="P263" s="177"/>
      <c r="R263" s="167" t="str">
        <v/>
      </c>
      <c r="S263" s="175"/>
      <c r="T263" s="176"/>
      <c r="U263" s="176"/>
      <c r="V263" s="176"/>
      <c r="W263" s="177"/>
      <c r="Y263" s="167" t="str">
        <v/>
      </c>
      <c r="Z263" s="175"/>
      <c r="AA263" s="176"/>
      <c r="AB263" s="176"/>
      <c r="AC263" s="176"/>
      <c r="AD263" s="177"/>
      <c r="AF263" s="167" t="str">
        <v/>
      </c>
      <c r="AG263" s="175"/>
      <c r="AH263" s="176"/>
      <c r="AI263" s="176"/>
      <c r="AJ263" s="176"/>
      <c r="AK263" s="177"/>
      <c r="AM263" s="167" t="str">
        <v/>
      </c>
      <c r="AN263" s="175"/>
      <c r="AO263" s="176"/>
      <c r="AP263" s="176"/>
      <c r="AQ263" s="176"/>
      <c r="AR263" s="177"/>
    </row>
    <row r="264" spans="1:44">
      <c r="A264" s="204">
        <v>38</v>
      </c>
      <c r="B264" s="190" t="str">
        <v/>
      </c>
      <c r="C264" s="175"/>
      <c r="D264" s="176"/>
      <c r="E264" s="176"/>
      <c r="F264" s="176"/>
      <c r="G264" s="177"/>
      <c r="I264" s="167" t="str">
        <v/>
      </c>
      <c r="J264" s="175"/>
      <c r="K264" s="176"/>
      <c r="L264" s="176"/>
      <c r="M264" s="176"/>
      <c r="N264" s="220"/>
      <c r="O264" s="220"/>
      <c r="P264" s="177"/>
      <c r="R264" s="167" t="str">
        <v/>
      </c>
      <c r="S264" s="175"/>
      <c r="T264" s="176"/>
      <c r="U264" s="176"/>
      <c r="V264" s="176"/>
      <c r="W264" s="177"/>
      <c r="Y264" s="167" t="str">
        <v/>
      </c>
      <c r="Z264" s="175"/>
      <c r="AA264" s="176"/>
      <c r="AB264" s="176"/>
      <c r="AC264" s="176"/>
      <c r="AD264" s="177"/>
      <c r="AF264" s="167" t="str">
        <v/>
      </c>
      <c r="AG264" s="175"/>
      <c r="AH264" s="176"/>
      <c r="AI264" s="176"/>
      <c r="AJ264" s="176"/>
      <c r="AK264" s="177"/>
      <c r="AM264" s="167" t="str">
        <v/>
      </c>
      <c r="AN264" s="175"/>
      <c r="AO264" s="176"/>
      <c r="AP264" s="176"/>
      <c r="AQ264" s="176"/>
      <c r="AR264" s="177"/>
    </row>
    <row r="265" spans="1:44">
      <c r="A265" s="204">
        <v>39</v>
      </c>
      <c r="B265" s="190" t="str">
        <v/>
      </c>
      <c r="C265" s="175"/>
      <c r="D265" s="176"/>
      <c r="E265" s="176"/>
      <c r="F265" s="176"/>
      <c r="G265" s="177"/>
      <c r="I265" s="167" t="str">
        <v/>
      </c>
      <c r="J265" s="175"/>
      <c r="K265" s="176"/>
      <c r="L265" s="176"/>
      <c r="M265" s="176"/>
      <c r="N265" s="220"/>
      <c r="O265" s="220"/>
      <c r="P265" s="177"/>
      <c r="R265" s="167" t="str">
        <v/>
      </c>
      <c r="S265" s="175"/>
      <c r="T265" s="176"/>
      <c r="U265" s="176"/>
      <c r="V265" s="176"/>
      <c r="W265" s="177"/>
      <c r="Y265" s="167" t="str">
        <v/>
      </c>
      <c r="Z265" s="175"/>
      <c r="AA265" s="176"/>
      <c r="AB265" s="176"/>
      <c r="AC265" s="176"/>
      <c r="AD265" s="177"/>
      <c r="AF265" s="167" t="str">
        <v/>
      </c>
      <c r="AG265" s="175"/>
      <c r="AH265" s="176"/>
      <c r="AI265" s="176"/>
      <c r="AJ265" s="176"/>
      <c r="AK265" s="177"/>
      <c r="AM265" s="167" t="str">
        <v/>
      </c>
      <c r="AN265" s="175"/>
      <c r="AO265" s="176"/>
      <c r="AP265" s="176"/>
      <c r="AQ265" s="176"/>
      <c r="AR265" s="177"/>
    </row>
    <row r="266" spans="1:44">
      <c r="A266" s="204">
        <v>40</v>
      </c>
      <c r="B266" s="190" t="str">
        <v/>
      </c>
      <c r="C266" s="175"/>
      <c r="D266" s="176"/>
      <c r="E266" s="176"/>
      <c r="F266" s="176"/>
      <c r="G266" s="177"/>
      <c r="I266" s="167" t="str">
        <v/>
      </c>
      <c r="J266" s="175"/>
      <c r="K266" s="176"/>
      <c r="L266" s="176"/>
      <c r="M266" s="176"/>
      <c r="N266" s="220"/>
      <c r="O266" s="220"/>
      <c r="P266" s="177"/>
      <c r="R266" s="167" t="str">
        <v/>
      </c>
      <c r="S266" s="175"/>
      <c r="T266" s="176"/>
      <c r="U266" s="176"/>
      <c r="V266" s="176"/>
      <c r="W266" s="177"/>
      <c r="Y266" s="167" t="str">
        <v/>
      </c>
      <c r="Z266" s="175"/>
      <c r="AA266" s="176"/>
      <c r="AB266" s="176"/>
      <c r="AC266" s="176"/>
      <c r="AD266" s="177"/>
      <c r="AF266" s="167" t="str">
        <v/>
      </c>
      <c r="AG266" s="175"/>
      <c r="AH266" s="176"/>
      <c r="AI266" s="176"/>
      <c r="AJ266" s="176"/>
      <c r="AK266" s="177"/>
      <c r="AM266" s="167" t="str">
        <v/>
      </c>
      <c r="AN266" s="175"/>
      <c r="AO266" s="176"/>
      <c r="AP266" s="176"/>
      <c r="AQ266" s="176"/>
      <c r="AR266" s="177"/>
    </row>
    <row r="267" spans="1:44">
      <c r="A267" s="204">
        <v>41</v>
      </c>
      <c r="B267" s="190" t="str">
        <v/>
      </c>
      <c r="C267" s="175"/>
      <c r="D267" s="176"/>
      <c r="E267" s="176"/>
      <c r="F267" s="176"/>
      <c r="G267" s="177"/>
      <c r="I267" s="167" t="str">
        <v/>
      </c>
      <c r="J267" s="175"/>
      <c r="K267" s="176"/>
      <c r="L267" s="176"/>
      <c r="M267" s="176"/>
      <c r="N267" s="220"/>
      <c r="O267" s="220"/>
      <c r="P267" s="177"/>
      <c r="R267" s="167" t="str">
        <v/>
      </c>
      <c r="S267" s="175"/>
      <c r="T267" s="176"/>
      <c r="U267" s="176"/>
      <c r="V267" s="176"/>
      <c r="W267" s="177"/>
      <c r="Y267" s="167" t="str">
        <v/>
      </c>
      <c r="Z267" s="175"/>
      <c r="AA267" s="176"/>
      <c r="AB267" s="176"/>
      <c r="AC267" s="176"/>
      <c r="AD267" s="177"/>
      <c r="AF267" s="167" t="str">
        <v/>
      </c>
      <c r="AG267" s="175"/>
      <c r="AH267" s="176"/>
      <c r="AI267" s="176"/>
      <c r="AJ267" s="176"/>
      <c r="AK267" s="177"/>
      <c r="AM267" s="167" t="str">
        <v/>
      </c>
      <c r="AN267" s="175"/>
      <c r="AO267" s="176"/>
      <c r="AP267" s="176"/>
      <c r="AQ267" s="176"/>
      <c r="AR267" s="177"/>
    </row>
    <row r="268" spans="1:44">
      <c r="A268" s="204">
        <v>42</v>
      </c>
      <c r="B268" s="190" t="str">
        <v/>
      </c>
      <c r="C268" s="175"/>
      <c r="D268" s="176"/>
      <c r="E268" s="176"/>
      <c r="F268" s="176"/>
      <c r="G268" s="177"/>
      <c r="I268" s="167" t="str">
        <v/>
      </c>
      <c r="J268" s="175"/>
      <c r="K268" s="176"/>
      <c r="L268" s="176"/>
      <c r="M268" s="176"/>
      <c r="N268" s="220"/>
      <c r="O268" s="220"/>
      <c r="P268" s="177"/>
      <c r="R268" s="167" t="str">
        <v/>
      </c>
      <c r="S268" s="175"/>
      <c r="T268" s="176"/>
      <c r="U268" s="176"/>
      <c r="V268" s="176"/>
      <c r="W268" s="177"/>
      <c r="Y268" s="167" t="str">
        <v/>
      </c>
      <c r="Z268" s="175"/>
      <c r="AA268" s="176"/>
      <c r="AB268" s="176"/>
      <c r="AC268" s="176"/>
      <c r="AD268" s="177"/>
      <c r="AF268" s="167" t="str">
        <v/>
      </c>
      <c r="AG268" s="175"/>
      <c r="AH268" s="176"/>
      <c r="AI268" s="176"/>
      <c r="AJ268" s="176"/>
      <c r="AK268" s="177"/>
      <c r="AM268" s="167" t="str">
        <v/>
      </c>
      <c r="AN268" s="175"/>
      <c r="AO268" s="176"/>
      <c r="AP268" s="176"/>
      <c r="AQ268" s="176"/>
      <c r="AR268" s="177"/>
    </row>
    <row r="269" spans="1:44">
      <c r="A269" s="204">
        <v>43</v>
      </c>
      <c r="B269" s="190" t="str">
        <v/>
      </c>
      <c r="C269" s="175"/>
      <c r="D269" s="176"/>
      <c r="E269" s="176"/>
      <c r="F269" s="176"/>
      <c r="G269" s="177"/>
      <c r="I269" s="167" t="str">
        <v/>
      </c>
      <c r="J269" s="175"/>
      <c r="K269" s="176"/>
      <c r="L269" s="176"/>
      <c r="M269" s="176"/>
      <c r="N269" s="220"/>
      <c r="O269" s="220"/>
      <c r="P269" s="177"/>
      <c r="R269" s="167" t="str">
        <v/>
      </c>
      <c r="S269" s="175"/>
      <c r="T269" s="176"/>
      <c r="U269" s="176"/>
      <c r="V269" s="176"/>
      <c r="W269" s="177"/>
      <c r="Y269" s="167" t="str">
        <v/>
      </c>
      <c r="Z269" s="175"/>
      <c r="AA269" s="176"/>
      <c r="AB269" s="176"/>
      <c r="AC269" s="176"/>
      <c r="AD269" s="177"/>
      <c r="AF269" s="167" t="str">
        <v/>
      </c>
      <c r="AG269" s="175"/>
      <c r="AH269" s="176"/>
      <c r="AI269" s="176"/>
      <c r="AJ269" s="176"/>
      <c r="AK269" s="177"/>
      <c r="AM269" s="167" t="str">
        <v/>
      </c>
      <c r="AN269" s="175"/>
      <c r="AO269" s="176"/>
      <c r="AP269" s="176"/>
      <c r="AQ269" s="176"/>
      <c r="AR269" s="177"/>
    </row>
    <row r="270" spans="1:44">
      <c r="A270" s="204">
        <v>44</v>
      </c>
      <c r="B270" s="190" t="str">
        <v/>
      </c>
      <c r="C270" s="175"/>
      <c r="D270" s="176"/>
      <c r="E270" s="176"/>
      <c r="F270" s="176"/>
      <c r="G270" s="177"/>
      <c r="I270" s="167" t="str">
        <v/>
      </c>
      <c r="J270" s="175"/>
      <c r="K270" s="176"/>
      <c r="L270" s="176"/>
      <c r="M270" s="176"/>
      <c r="N270" s="220"/>
      <c r="O270" s="220"/>
      <c r="P270" s="177"/>
      <c r="R270" s="167" t="str">
        <v/>
      </c>
      <c r="S270" s="175"/>
      <c r="T270" s="176"/>
      <c r="U270" s="176"/>
      <c r="V270" s="176"/>
      <c r="W270" s="177"/>
      <c r="Y270" s="167" t="str">
        <v/>
      </c>
      <c r="Z270" s="175"/>
      <c r="AA270" s="176"/>
      <c r="AB270" s="176"/>
      <c r="AC270" s="176"/>
      <c r="AD270" s="177"/>
      <c r="AF270" s="167" t="str">
        <v/>
      </c>
      <c r="AG270" s="175"/>
      <c r="AH270" s="176"/>
      <c r="AI270" s="176"/>
      <c r="AJ270" s="176"/>
      <c r="AK270" s="177"/>
      <c r="AM270" s="167" t="str">
        <v/>
      </c>
      <c r="AN270" s="175"/>
      <c r="AO270" s="176"/>
      <c r="AP270" s="176"/>
      <c r="AQ270" s="176"/>
      <c r="AR270" s="177"/>
    </row>
    <row r="271" spans="1:44">
      <c r="A271" s="204">
        <v>45</v>
      </c>
      <c r="B271" s="190" t="str">
        <v/>
      </c>
      <c r="C271" s="175"/>
      <c r="D271" s="176"/>
      <c r="E271" s="176"/>
      <c r="F271" s="176"/>
      <c r="G271" s="177"/>
      <c r="I271" s="167" t="str">
        <v/>
      </c>
      <c r="J271" s="175"/>
      <c r="K271" s="176"/>
      <c r="L271" s="176"/>
      <c r="M271" s="176"/>
      <c r="N271" s="220"/>
      <c r="O271" s="220"/>
      <c r="P271" s="177"/>
      <c r="R271" s="167" t="str">
        <v/>
      </c>
      <c r="S271" s="175"/>
      <c r="T271" s="176"/>
      <c r="U271" s="176"/>
      <c r="V271" s="176"/>
      <c r="W271" s="177"/>
      <c r="Y271" s="167" t="str">
        <v/>
      </c>
      <c r="Z271" s="175"/>
      <c r="AA271" s="176"/>
      <c r="AB271" s="176"/>
      <c r="AC271" s="176"/>
      <c r="AD271" s="177"/>
      <c r="AF271" s="167" t="str">
        <v/>
      </c>
      <c r="AG271" s="175"/>
      <c r="AH271" s="176"/>
      <c r="AI271" s="176"/>
      <c r="AJ271" s="176"/>
      <c r="AK271" s="177"/>
      <c r="AM271" s="167" t="str">
        <v/>
      </c>
      <c r="AN271" s="175"/>
      <c r="AO271" s="176"/>
      <c r="AP271" s="176"/>
      <c r="AQ271" s="176"/>
      <c r="AR271" s="177"/>
    </row>
    <row r="272" spans="1:44">
      <c r="A272" s="204">
        <v>46</v>
      </c>
      <c r="B272" s="190" t="str">
        <v/>
      </c>
      <c r="C272" s="175"/>
      <c r="D272" s="176"/>
      <c r="E272" s="176"/>
      <c r="F272" s="176"/>
      <c r="G272" s="177"/>
      <c r="I272" s="167" t="str">
        <v/>
      </c>
      <c r="J272" s="175"/>
      <c r="K272" s="176"/>
      <c r="L272" s="176"/>
      <c r="M272" s="176"/>
      <c r="N272" s="220"/>
      <c r="O272" s="220"/>
      <c r="P272" s="177"/>
      <c r="R272" s="167" t="str">
        <v/>
      </c>
      <c r="S272" s="175"/>
      <c r="T272" s="176"/>
      <c r="U272" s="176"/>
      <c r="V272" s="176"/>
      <c r="W272" s="177"/>
      <c r="Y272" s="167" t="str">
        <v/>
      </c>
      <c r="Z272" s="175"/>
      <c r="AA272" s="176"/>
      <c r="AB272" s="176"/>
      <c r="AC272" s="176"/>
      <c r="AD272" s="177"/>
      <c r="AF272" s="167" t="str">
        <v/>
      </c>
      <c r="AG272" s="175"/>
      <c r="AH272" s="176"/>
      <c r="AI272" s="176"/>
      <c r="AJ272" s="176"/>
      <c r="AK272" s="177"/>
      <c r="AM272" s="167" t="str">
        <v/>
      </c>
      <c r="AN272" s="175"/>
      <c r="AO272" s="176"/>
      <c r="AP272" s="176"/>
      <c r="AQ272" s="176"/>
      <c r="AR272" s="177"/>
    </row>
    <row r="273" spans="1:44">
      <c r="A273" s="204">
        <v>47</v>
      </c>
      <c r="B273" s="190" t="str">
        <v/>
      </c>
      <c r="C273" s="175"/>
      <c r="D273" s="176"/>
      <c r="E273" s="176"/>
      <c r="F273" s="176"/>
      <c r="G273" s="177"/>
      <c r="I273" s="167" t="str">
        <v/>
      </c>
      <c r="J273" s="175"/>
      <c r="K273" s="176"/>
      <c r="L273" s="176"/>
      <c r="M273" s="176"/>
      <c r="N273" s="220"/>
      <c r="O273" s="220"/>
      <c r="P273" s="177"/>
      <c r="R273" s="167" t="str">
        <v/>
      </c>
      <c r="S273" s="175"/>
      <c r="T273" s="176"/>
      <c r="U273" s="176"/>
      <c r="V273" s="176"/>
      <c r="W273" s="177"/>
      <c r="Y273" s="167" t="str">
        <v/>
      </c>
      <c r="Z273" s="175"/>
      <c r="AA273" s="176"/>
      <c r="AB273" s="176"/>
      <c r="AC273" s="176"/>
      <c r="AD273" s="177"/>
      <c r="AF273" s="167" t="str">
        <v/>
      </c>
      <c r="AG273" s="175"/>
      <c r="AH273" s="176"/>
      <c r="AI273" s="176"/>
      <c r="AJ273" s="176"/>
      <c r="AK273" s="177"/>
      <c r="AM273" s="167" t="str">
        <v/>
      </c>
      <c r="AN273" s="175"/>
      <c r="AO273" s="176"/>
      <c r="AP273" s="176"/>
      <c r="AQ273" s="176"/>
      <c r="AR273" s="177"/>
    </row>
    <row r="274" spans="1:44">
      <c r="A274" s="204">
        <v>48</v>
      </c>
      <c r="B274" s="190" t="str">
        <v/>
      </c>
      <c r="C274" s="175"/>
      <c r="D274" s="176"/>
      <c r="E274" s="176"/>
      <c r="F274" s="176"/>
      <c r="G274" s="177"/>
      <c r="I274" s="167" t="str">
        <v/>
      </c>
      <c r="J274" s="175"/>
      <c r="K274" s="176"/>
      <c r="L274" s="176"/>
      <c r="M274" s="176"/>
      <c r="N274" s="220"/>
      <c r="O274" s="220"/>
      <c r="P274" s="177"/>
      <c r="R274" s="167" t="str">
        <v/>
      </c>
      <c r="S274" s="175"/>
      <c r="T274" s="176"/>
      <c r="U274" s="176"/>
      <c r="V274" s="176"/>
      <c r="W274" s="177"/>
      <c r="Y274" s="167" t="str">
        <v/>
      </c>
      <c r="Z274" s="175"/>
      <c r="AA274" s="176"/>
      <c r="AB274" s="176"/>
      <c r="AC274" s="176"/>
      <c r="AD274" s="177"/>
      <c r="AF274" s="167" t="str">
        <v/>
      </c>
      <c r="AG274" s="175"/>
      <c r="AH274" s="176"/>
      <c r="AI274" s="176"/>
      <c r="AJ274" s="176"/>
      <c r="AK274" s="177"/>
      <c r="AM274" s="167" t="str">
        <v/>
      </c>
      <c r="AN274" s="175"/>
      <c r="AO274" s="176"/>
      <c r="AP274" s="176"/>
      <c r="AQ274" s="176"/>
      <c r="AR274" s="177"/>
    </row>
    <row r="275" spans="1:44">
      <c r="A275" s="204">
        <v>49</v>
      </c>
      <c r="B275" s="190" t="str">
        <v/>
      </c>
      <c r="C275" s="175"/>
      <c r="D275" s="176"/>
      <c r="E275" s="176"/>
      <c r="F275" s="176"/>
      <c r="G275" s="177"/>
      <c r="I275" s="167" t="str">
        <v/>
      </c>
      <c r="J275" s="175"/>
      <c r="K275" s="176"/>
      <c r="L275" s="176"/>
      <c r="M275" s="176"/>
      <c r="N275" s="220"/>
      <c r="O275" s="220"/>
      <c r="P275" s="177"/>
      <c r="R275" s="167" t="str">
        <v/>
      </c>
      <c r="S275" s="175"/>
      <c r="T275" s="176"/>
      <c r="U275" s="176"/>
      <c r="V275" s="176"/>
      <c r="W275" s="177"/>
      <c r="Y275" s="167" t="str">
        <v/>
      </c>
      <c r="Z275" s="175"/>
      <c r="AA275" s="176"/>
      <c r="AB275" s="176"/>
      <c r="AC275" s="176"/>
      <c r="AD275" s="177"/>
      <c r="AF275" s="167" t="str">
        <v/>
      </c>
      <c r="AG275" s="175"/>
      <c r="AH275" s="176"/>
      <c r="AI275" s="176"/>
      <c r="AJ275" s="176"/>
      <c r="AK275" s="177"/>
      <c r="AM275" s="167" t="str">
        <v/>
      </c>
      <c r="AN275" s="175"/>
      <c r="AO275" s="176"/>
      <c r="AP275" s="176"/>
      <c r="AQ275" s="176"/>
      <c r="AR275" s="177"/>
    </row>
    <row r="276" spans="1:44">
      <c r="A276" s="204">
        <v>50</v>
      </c>
      <c r="B276" s="190" t="str">
        <v/>
      </c>
      <c r="C276" s="175"/>
      <c r="D276" s="176"/>
      <c r="E276" s="176"/>
      <c r="F276" s="176"/>
      <c r="G276" s="177"/>
      <c r="I276" s="167" t="str">
        <v/>
      </c>
      <c r="J276" s="175"/>
      <c r="K276" s="176"/>
      <c r="L276" s="176"/>
      <c r="M276" s="176"/>
      <c r="N276" s="220"/>
      <c r="O276" s="220"/>
      <c r="P276" s="177"/>
      <c r="R276" s="167" t="str">
        <v/>
      </c>
      <c r="S276" s="175"/>
      <c r="T276" s="176"/>
      <c r="U276" s="176"/>
      <c r="V276" s="176"/>
      <c r="W276" s="177"/>
      <c r="Y276" s="167" t="str">
        <v/>
      </c>
      <c r="Z276" s="175"/>
      <c r="AA276" s="176"/>
      <c r="AB276" s="176"/>
      <c r="AC276" s="176"/>
      <c r="AD276" s="177"/>
      <c r="AF276" s="167" t="str">
        <v/>
      </c>
      <c r="AG276" s="175"/>
      <c r="AH276" s="176"/>
      <c r="AI276" s="176"/>
      <c r="AJ276" s="176"/>
      <c r="AK276" s="177"/>
      <c r="AM276" s="167" t="str">
        <v/>
      </c>
      <c r="AN276" s="175"/>
      <c r="AO276" s="176"/>
      <c r="AP276" s="176"/>
      <c r="AQ276" s="176"/>
      <c r="AR276" s="177"/>
    </row>
    <row r="277" spans="1:44">
      <c r="A277" s="204">
        <v>51</v>
      </c>
      <c r="B277" s="190" t="str">
        <v/>
      </c>
      <c r="C277" s="175"/>
      <c r="D277" s="176"/>
      <c r="E277" s="176"/>
      <c r="F277" s="176"/>
      <c r="G277" s="177"/>
      <c r="I277" s="167" t="str">
        <v/>
      </c>
      <c r="J277" s="175"/>
      <c r="K277" s="176"/>
      <c r="L277" s="176"/>
      <c r="M277" s="176"/>
      <c r="N277" s="220"/>
      <c r="O277" s="220"/>
      <c r="P277" s="177"/>
      <c r="R277" s="167" t="str">
        <v/>
      </c>
      <c r="S277" s="175"/>
      <c r="T277" s="176"/>
      <c r="U277" s="176"/>
      <c r="V277" s="176"/>
      <c r="W277" s="177"/>
      <c r="Y277" s="167" t="str">
        <v/>
      </c>
      <c r="Z277" s="175"/>
      <c r="AA277" s="176"/>
      <c r="AB277" s="176"/>
      <c r="AC277" s="176"/>
      <c r="AD277" s="177"/>
      <c r="AF277" s="167" t="str">
        <v/>
      </c>
      <c r="AG277" s="175"/>
      <c r="AH277" s="176"/>
      <c r="AI277" s="176"/>
      <c r="AJ277" s="176"/>
      <c r="AK277" s="177"/>
      <c r="AM277" s="167" t="str">
        <v/>
      </c>
      <c r="AN277" s="175"/>
      <c r="AO277" s="176"/>
      <c r="AP277" s="176"/>
      <c r="AQ277" s="176"/>
      <c r="AR277" s="177"/>
    </row>
    <row r="278" spans="1:44">
      <c r="A278" s="204">
        <v>52</v>
      </c>
      <c r="B278" s="190" t="str">
        <v/>
      </c>
      <c r="C278" s="175"/>
      <c r="D278" s="176"/>
      <c r="E278" s="176"/>
      <c r="F278" s="176"/>
      <c r="G278" s="177"/>
      <c r="I278" s="167" t="str">
        <v/>
      </c>
      <c r="J278" s="175"/>
      <c r="K278" s="176"/>
      <c r="L278" s="176"/>
      <c r="M278" s="176"/>
      <c r="N278" s="220"/>
      <c r="O278" s="220"/>
      <c r="P278" s="177"/>
      <c r="R278" s="167" t="str">
        <v/>
      </c>
      <c r="S278" s="175"/>
      <c r="T278" s="176"/>
      <c r="U278" s="176"/>
      <c r="V278" s="176"/>
      <c r="W278" s="177"/>
      <c r="Y278" s="167" t="str">
        <v/>
      </c>
      <c r="Z278" s="175"/>
      <c r="AA278" s="176"/>
      <c r="AB278" s="176"/>
      <c r="AC278" s="176"/>
      <c r="AD278" s="177"/>
      <c r="AF278" s="167" t="str">
        <v/>
      </c>
      <c r="AG278" s="175"/>
      <c r="AH278" s="176"/>
      <c r="AI278" s="176"/>
      <c r="AJ278" s="176"/>
      <c r="AK278" s="177"/>
      <c r="AM278" s="167" t="str">
        <v/>
      </c>
      <c r="AN278" s="175"/>
      <c r="AO278" s="176"/>
      <c r="AP278" s="176"/>
      <c r="AQ278" s="176"/>
      <c r="AR278" s="177"/>
    </row>
    <row r="279" spans="1:44">
      <c r="A279" s="204">
        <v>53</v>
      </c>
      <c r="B279" s="190" t="str">
        <v/>
      </c>
      <c r="C279" s="175"/>
      <c r="D279" s="176"/>
      <c r="E279" s="176"/>
      <c r="F279" s="176"/>
      <c r="G279" s="177"/>
      <c r="I279" s="167" t="str">
        <v/>
      </c>
      <c r="J279" s="175"/>
      <c r="K279" s="176"/>
      <c r="L279" s="176"/>
      <c r="M279" s="176"/>
      <c r="N279" s="220"/>
      <c r="O279" s="220"/>
      <c r="P279" s="177"/>
      <c r="R279" s="167" t="str">
        <v/>
      </c>
      <c r="S279" s="175"/>
      <c r="T279" s="176"/>
      <c r="U279" s="176"/>
      <c r="V279" s="176"/>
      <c r="W279" s="177"/>
      <c r="Y279" s="167" t="str">
        <v/>
      </c>
      <c r="Z279" s="175"/>
      <c r="AA279" s="176"/>
      <c r="AB279" s="176"/>
      <c r="AC279" s="176"/>
      <c r="AD279" s="177"/>
      <c r="AF279" s="167" t="str">
        <v/>
      </c>
      <c r="AG279" s="175"/>
      <c r="AH279" s="176"/>
      <c r="AI279" s="176"/>
      <c r="AJ279" s="176"/>
      <c r="AK279" s="177"/>
      <c r="AM279" s="167" t="str">
        <v/>
      </c>
      <c r="AN279" s="175"/>
      <c r="AO279" s="176"/>
      <c r="AP279" s="176"/>
      <c r="AQ279" s="176"/>
      <c r="AR279" s="177"/>
    </row>
    <row r="280" spans="1:44">
      <c r="A280" s="204">
        <v>54</v>
      </c>
      <c r="B280" s="190" t="str">
        <v/>
      </c>
      <c r="C280" s="175"/>
      <c r="D280" s="176"/>
      <c r="E280" s="176"/>
      <c r="F280" s="176"/>
      <c r="G280" s="177"/>
      <c r="I280" s="167" t="str">
        <v/>
      </c>
      <c r="J280" s="175"/>
      <c r="K280" s="176"/>
      <c r="L280" s="176"/>
      <c r="M280" s="176"/>
      <c r="N280" s="220"/>
      <c r="O280" s="220"/>
      <c r="P280" s="177"/>
      <c r="R280" s="167" t="str">
        <v/>
      </c>
      <c r="S280" s="175"/>
      <c r="T280" s="176"/>
      <c r="U280" s="176"/>
      <c r="V280" s="176"/>
      <c r="W280" s="177"/>
      <c r="Y280" s="167" t="str">
        <v/>
      </c>
      <c r="Z280" s="175"/>
      <c r="AA280" s="176"/>
      <c r="AB280" s="176"/>
      <c r="AC280" s="176"/>
      <c r="AD280" s="177"/>
      <c r="AF280" s="167" t="str">
        <v/>
      </c>
      <c r="AG280" s="175"/>
      <c r="AH280" s="176"/>
      <c r="AI280" s="176"/>
      <c r="AJ280" s="176"/>
      <c r="AK280" s="177"/>
      <c r="AM280" s="167" t="str">
        <v/>
      </c>
      <c r="AN280" s="175"/>
      <c r="AO280" s="176"/>
      <c r="AP280" s="176"/>
      <c r="AQ280" s="176"/>
      <c r="AR280" s="177"/>
    </row>
    <row r="281" spans="1:44">
      <c r="A281" s="204">
        <v>55</v>
      </c>
      <c r="B281" s="190" t="str">
        <v/>
      </c>
      <c r="C281" s="175"/>
      <c r="D281" s="176"/>
      <c r="E281" s="176"/>
      <c r="F281" s="176"/>
      <c r="G281" s="177"/>
      <c r="I281" s="167" t="str">
        <v/>
      </c>
      <c r="J281" s="175"/>
      <c r="K281" s="176"/>
      <c r="L281" s="176"/>
      <c r="M281" s="176"/>
      <c r="N281" s="220"/>
      <c r="O281" s="220"/>
      <c r="P281" s="177"/>
      <c r="R281" s="167" t="str">
        <v/>
      </c>
      <c r="S281" s="175"/>
      <c r="T281" s="176"/>
      <c r="U281" s="176"/>
      <c r="V281" s="176"/>
      <c r="W281" s="177"/>
      <c r="Y281" s="167" t="str">
        <v/>
      </c>
      <c r="Z281" s="175"/>
      <c r="AA281" s="176"/>
      <c r="AB281" s="176"/>
      <c r="AC281" s="176"/>
      <c r="AD281" s="177"/>
      <c r="AF281" s="167" t="str">
        <v/>
      </c>
      <c r="AG281" s="175"/>
      <c r="AH281" s="176"/>
      <c r="AI281" s="176"/>
      <c r="AJ281" s="176"/>
      <c r="AK281" s="177"/>
      <c r="AM281" s="167" t="str">
        <v/>
      </c>
      <c r="AN281" s="175"/>
      <c r="AO281" s="176"/>
      <c r="AP281" s="176"/>
      <c r="AQ281" s="176"/>
      <c r="AR281" s="177"/>
    </row>
    <row r="282" spans="1:44">
      <c r="A282" s="204">
        <v>56</v>
      </c>
      <c r="B282" s="190" t="str">
        <v/>
      </c>
      <c r="C282" s="175"/>
      <c r="D282" s="176"/>
      <c r="E282" s="176"/>
      <c r="F282" s="176"/>
      <c r="G282" s="177"/>
      <c r="I282" s="167" t="str">
        <v/>
      </c>
      <c r="J282" s="175"/>
      <c r="K282" s="176"/>
      <c r="L282" s="176"/>
      <c r="M282" s="176"/>
      <c r="N282" s="220"/>
      <c r="O282" s="220"/>
      <c r="P282" s="177"/>
      <c r="R282" s="167" t="str">
        <v/>
      </c>
      <c r="S282" s="175"/>
      <c r="T282" s="176"/>
      <c r="U282" s="176"/>
      <c r="V282" s="176"/>
      <c r="W282" s="177"/>
      <c r="Y282" s="167" t="str">
        <v/>
      </c>
      <c r="Z282" s="175"/>
      <c r="AA282" s="176"/>
      <c r="AB282" s="176"/>
      <c r="AC282" s="176"/>
      <c r="AD282" s="177"/>
      <c r="AF282" s="167" t="str">
        <v/>
      </c>
      <c r="AG282" s="175"/>
      <c r="AH282" s="176"/>
      <c r="AI282" s="176"/>
      <c r="AJ282" s="176"/>
      <c r="AK282" s="177"/>
      <c r="AM282" s="167" t="str">
        <v/>
      </c>
      <c r="AN282" s="175"/>
      <c r="AO282" s="176"/>
      <c r="AP282" s="176"/>
      <c r="AQ282" s="176"/>
      <c r="AR282" s="177"/>
    </row>
    <row r="283" spans="1:44">
      <c r="A283" s="204">
        <v>57</v>
      </c>
      <c r="B283" s="190" t="str">
        <v/>
      </c>
      <c r="C283" s="175"/>
      <c r="D283" s="176"/>
      <c r="E283" s="176"/>
      <c r="F283" s="176"/>
      <c r="G283" s="177"/>
      <c r="I283" s="167" t="str">
        <v/>
      </c>
      <c r="J283" s="175"/>
      <c r="K283" s="176"/>
      <c r="L283" s="176"/>
      <c r="M283" s="176"/>
      <c r="N283" s="220"/>
      <c r="O283" s="220"/>
      <c r="P283" s="177"/>
      <c r="R283" s="167" t="str">
        <v/>
      </c>
      <c r="S283" s="175"/>
      <c r="T283" s="176"/>
      <c r="U283" s="176"/>
      <c r="V283" s="176"/>
      <c r="W283" s="177"/>
      <c r="Y283" s="167" t="str">
        <v/>
      </c>
      <c r="Z283" s="175"/>
      <c r="AA283" s="176"/>
      <c r="AB283" s="176"/>
      <c r="AC283" s="176"/>
      <c r="AD283" s="177"/>
      <c r="AF283" s="167" t="str">
        <v/>
      </c>
      <c r="AG283" s="175"/>
      <c r="AH283" s="176"/>
      <c r="AI283" s="176"/>
      <c r="AJ283" s="176"/>
      <c r="AK283" s="177"/>
      <c r="AM283" s="167" t="str">
        <v/>
      </c>
      <c r="AN283" s="175"/>
      <c r="AO283" s="176"/>
      <c r="AP283" s="176"/>
      <c r="AQ283" s="176"/>
      <c r="AR283" s="177"/>
    </row>
    <row r="284" spans="1:44">
      <c r="A284" s="204">
        <v>58</v>
      </c>
      <c r="B284" s="190" t="str">
        <v/>
      </c>
      <c r="C284" s="175"/>
      <c r="D284" s="176"/>
      <c r="E284" s="176"/>
      <c r="F284" s="176"/>
      <c r="G284" s="177"/>
      <c r="I284" s="167" t="str">
        <v/>
      </c>
      <c r="J284" s="175"/>
      <c r="K284" s="176"/>
      <c r="L284" s="176"/>
      <c r="M284" s="176"/>
      <c r="N284" s="220"/>
      <c r="O284" s="220"/>
      <c r="P284" s="177"/>
      <c r="R284" s="167" t="str">
        <v/>
      </c>
      <c r="S284" s="175"/>
      <c r="T284" s="176"/>
      <c r="U284" s="176"/>
      <c r="V284" s="176"/>
      <c r="W284" s="177"/>
      <c r="Y284" s="167" t="str">
        <v/>
      </c>
      <c r="Z284" s="175"/>
      <c r="AA284" s="176"/>
      <c r="AB284" s="176"/>
      <c r="AC284" s="176"/>
      <c r="AD284" s="177"/>
      <c r="AF284" s="167" t="str">
        <v/>
      </c>
      <c r="AG284" s="175"/>
      <c r="AH284" s="176"/>
      <c r="AI284" s="176"/>
      <c r="AJ284" s="176"/>
      <c r="AK284" s="177"/>
      <c r="AM284" s="167" t="str">
        <v/>
      </c>
      <c r="AN284" s="175"/>
      <c r="AO284" s="176"/>
      <c r="AP284" s="176"/>
      <c r="AQ284" s="176"/>
      <c r="AR284" s="177"/>
    </row>
    <row r="285" spans="1:44">
      <c r="A285" s="204">
        <v>59</v>
      </c>
      <c r="B285" s="190" t="str">
        <v/>
      </c>
      <c r="C285" s="175"/>
      <c r="D285" s="176"/>
      <c r="E285" s="176"/>
      <c r="F285" s="176"/>
      <c r="G285" s="177"/>
      <c r="I285" s="167" t="str">
        <v/>
      </c>
      <c r="J285" s="175"/>
      <c r="K285" s="176"/>
      <c r="L285" s="176"/>
      <c r="M285" s="176"/>
      <c r="N285" s="220"/>
      <c r="O285" s="220"/>
      <c r="P285" s="177"/>
      <c r="R285" s="167" t="str">
        <v/>
      </c>
      <c r="S285" s="175"/>
      <c r="T285" s="176"/>
      <c r="U285" s="176"/>
      <c r="V285" s="176"/>
      <c r="W285" s="177"/>
      <c r="Y285" s="167" t="str">
        <v/>
      </c>
      <c r="Z285" s="175"/>
      <c r="AA285" s="176"/>
      <c r="AB285" s="176"/>
      <c r="AC285" s="176"/>
      <c r="AD285" s="177"/>
      <c r="AF285" s="167" t="str">
        <v/>
      </c>
      <c r="AG285" s="175"/>
      <c r="AH285" s="176"/>
      <c r="AI285" s="176"/>
      <c r="AJ285" s="176"/>
      <c r="AK285" s="177"/>
      <c r="AM285" s="167" t="str">
        <v/>
      </c>
      <c r="AN285" s="175"/>
      <c r="AO285" s="176"/>
      <c r="AP285" s="176"/>
      <c r="AQ285" s="176"/>
      <c r="AR285" s="177"/>
    </row>
    <row r="286" spans="1:44">
      <c r="A286" s="204">
        <v>60</v>
      </c>
      <c r="B286" s="190" t="str">
        <v/>
      </c>
      <c r="C286" s="175"/>
      <c r="D286" s="176"/>
      <c r="E286" s="176"/>
      <c r="F286" s="176"/>
      <c r="G286" s="177"/>
      <c r="I286" s="167" t="str">
        <v/>
      </c>
      <c r="J286" s="175"/>
      <c r="K286" s="176"/>
      <c r="L286" s="176"/>
      <c r="M286" s="176"/>
      <c r="N286" s="220"/>
      <c r="O286" s="220"/>
      <c r="P286" s="177"/>
      <c r="R286" s="167" t="str">
        <v/>
      </c>
      <c r="S286" s="175"/>
      <c r="T286" s="176"/>
      <c r="U286" s="176"/>
      <c r="V286" s="176"/>
      <c r="W286" s="177"/>
      <c r="Y286" s="167" t="str">
        <v/>
      </c>
      <c r="Z286" s="175"/>
      <c r="AA286" s="176"/>
      <c r="AB286" s="176"/>
      <c r="AC286" s="176"/>
      <c r="AD286" s="177"/>
      <c r="AF286" s="167" t="str">
        <v/>
      </c>
      <c r="AG286" s="175"/>
      <c r="AH286" s="176"/>
      <c r="AI286" s="176"/>
      <c r="AJ286" s="176"/>
      <c r="AK286" s="177"/>
      <c r="AM286" s="167" t="str">
        <v/>
      </c>
      <c r="AN286" s="175"/>
      <c r="AO286" s="176"/>
      <c r="AP286" s="176"/>
      <c r="AQ286" s="176"/>
      <c r="AR286" s="177"/>
    </row>
    <row r="287" spans="1:44">
      <c r="A287" s="204">
        <v>61</v>
      </c>
      <c r="B287" s="190" t="str">
        <v/>
      </c>
      <c r="C287" s="175"/>
      <c r="D287" s="176"/>
      <c r="E287" s="176"/>
      <c r="F287" s="176"/>
      <c r="G287" s="177"/>
      <c r="I287" s="167" t="str">
        <v/>
      </c>
      <c r="J287" s="175"/>
      <c r="K287" s="176"/>
      <c r="L287" s="176"/>
      <c r="M287" s="176"/>
      <c r="N287" s="220"/>
      <c r="O287" s="220"/>
      <c r="P287" s="177"/>
      <c r="R287" s="167" t="str">
        <v/>
      </c>
      <c r="S287" s="175"/>
      <c r="T287" s="176"/>
      <c r="U287" s="176"/>
      <c r="V287" s="176"/>
      <c r="W287" s="177"/>
      <c r="Y287" s="167" t="str">
        <v/>
      </c>
      <c r="Z287" s="175"/>
      <c r="AA287" s="176"/>
      <c r="AB287" s="176"/>
      <c r="AC287" s="176"/>
      <c r="AD287" s="177"/>
      <c r="AF287" s="167" t="str">
        <v/>
      </c>
      <c r="AG287" s="175"/>
      <c r="AH287" s="176"/>
      <c r="AI287" s="176"/>
      <c r="AJ287" s="176"/>
      <c r="AK287" s="177"/>
      <c r="AM287" s="167" t="str">
        <v/>
      </c>
      <c r="AN287" s="175"/>
      <c r="AO287" s="176"/>
      <c r="AP287" s="176"/>
      <c r="AQ287" s="176"/>
      <c r="AR287" s="177"/>
    </row>
    <row r="288" spans="1:44">
      <c r="A288" s="204">
        <v>62</v>
      </c>
      <c r="B288" s="190" t="str">
        <v/>
      </c>
      <c r="C288" s="175"/>
      <c r="D288" s="176"/>
      <c r="E288" s="176"/>
      <c r="F288" s="176"/>
      <c r="G288" s="177"/>
      <c r="I288" s="167" t="str">
        <v/>
      </c>
      <c r="J288" s="175"/>
      <c r="K288" s="176"/>
      <c r="L288" s="176"/>
      <c r="M288" s="176"/>
      <c r="N288" s="220"/>
      <c r="O288" s="220"/>
      <c r="P288" s="177"/>
      <c r="R288" s="167" t="str">
        <v/>
      </c>
      <c r="S288" s="175"/>
      <c r="T288" s="176"/>
      <c r="U288" s="176"/>
      <c r="V288" s="176"/>
      <c r="W288" s="177"/>
      <c r="Y288" s="167" t="str">
        <v/>
      </c>
      <c r="Z288" s="175"/>
      <c r="AA288" s="176"/>
      <c r="AB288" s="176"/>
      <c r="AC288" s="176"/>
      <c r="AD288" s="177"/>
      <c r="AF288" s="167" t="str">
        <v/>
      </c>
      <c r="AG288" s="175"/>
      <c r="AH288" s="176"/>
      <c r="AI288" s="176"/>
      <c r="AJ288" s="176"/>
      <c r="AK288" s="177"/>
      <c r="AM288" s="167" t="str">
        <v/>
      </c>
      <c r="AN288" s="175"/>
      <c r="AO288" s="176"/>
      <c r="AP288" s="176"/>
      <c r="AQ288" s="176"/>
      <c r="AR288" s="177"/>
    </row>
    <row r="289" spans="1:44">
      <c r="A289" s="204">
        <v>63</v>
      </c>
      <c r="B289" s="190" t="str">
        <v/>
      </c>
      <c r="C289" s="175"/>
      <c r="D289" s="176"/>
      <c r="E289" s="176"/>
      <c r="F289" s="176"/>
      <c r="G289" s="177"/>
      <c r="I289" s="167" t="str">
        <v/>
      </c>
      <c r="J289" s="175"/>
      <c r="K289" s="176"/>
      <c r="L289" s="176"/>
      <c r="M289" s="176"/>
      <c r="N289" s="220"/>
      <c r="O289" s="220"/>
      <c r="P289" s="177"/>
      <c r="R289" s="167" t="str">
        <v/>
      </c>
      <c r="S289" s="175"/>
      <c r="T289" s="176"/>
      <c r="U289" s="176"/>
      <c r="V289" s="176"/>
      <c r="W289" s="177"/>
      <c r="Y289" s="167" t="str">
        <v/>
      </c>
      <c r="Z289" s="175"/>
      <c r="AA289" s="176"/>
      <c r="AB289" s="176"/>
      <c r="AC289" s="176"/>
      <c r="AD289" s="177"/>
      <c r="AF289" s="167" t="str">
        <v/>
      </c>
      <c r="AG289" s="175"/>
      <c r="AH289" s="176"/>
      <c r="AI289" s="176"/>
      <c r="AJ289" s="176"/>
      <c r="AK289" s="177"/>
      <c r="AM289" s="167" t="str">
        <v/>
      </c>
      <c r="AN289" s="175"/>
      <c r="AO289" s="176"/>
      <c r="AP289" s="176"/>
      <c r="AQ289" s="176"/>
      <c r="AR289" s="177"/>
    </row>
    <row r="290" spans="1:44">
      <c r="A290" s="204">
        <v>64</v>
      </c>
      <c r="B290" s="190" t="str">
        <v/>
      </c>
      <c r="C290" s="175"/>
      <c r="D290" s="176"/>
      <c r="E290" s="176"/>
      <c r="F290" s="176"/>
      <c r="G290" s="177"/>
      <c r="I290" s="167" t="str">
        <v/>
      </c>
      <c r="J290" s="175"/>
      <c r="K290" s="176"/>
      <c r="L290" s="176"/>
      <c r="M290" s="176"/>
      <c r="N290" s="220"/>
      <c r="O290" s="220"/>
      <c r="P290" s="177"/>
      <c r="R290" s="167" t="str">
        <v/>
      </c>
      <c r="S290" s="175"/>
      <c r="T290" s="176"/>
      <c r="U290" s="176"/>
      <c r="V290" s="176"/>
      <c r="W290" s="177"/>
      <c r="Y290" s="167" t="str">
        <v/>
      </c>
      <c r="Z290" s="175"/>
      <c r="AA290" s="176"/>
      <c r="AB290" s="176"/>
      <c r="AC290" s="176"/>
      <c r="AD290" s="177"/>
      <c r="AF290" s="167" t="str">
        <v/>
      </c>
      <c r="AG290" s="175"/>
      <c r="AH290" s="176"/>
      <c r="AI290" s="176"/>
      <c r="AJ290" s="176"/>
      <c r="AK290" s="177"/>
      <c r="AM290" s="167" t="str">
        <v/>
      </c>
      <c r="AN290" s="175"/>
      <c r="AO290" s="176"/>
      <c r="AP290" s="176"/>
      <c r="AQ290" s="176"/>
      <c r="AR290" s="177"/>
    </row>
    <row r="291" spans="1:44">
      <c r="A291" s="204">
        <v>65</v>
      </c>
      <c r="B291" s="190" t="str">
        <v/>
      </c>
      <c r="C291" s="175"/>
      <c r="D291" s="176"/>
      <c r="E291" s="176"/>
      <c r="F291" s="176"/>
      <c r="G291" s="177"/>
      <c r="I291" s="167" t="str">
        <v/>
      </c>
      <c r="J291" s="175"/>
      <c r="K291" s="176"/>
      <c r="L291" s="176"/>
      <c r="M291" s="176"/>
      <c r="N291" s="220"/>
      <c r="O291" s="220"/>
      <c r="P291" s="177"/>
      <c r="R291" s="167" t="str">
        <v/>
      </c>
      <c r="S291" s="175"/>
      <c r="T291" s="176"/>
      <c r="U291" s="176"/>
      <c r="V291" s="176"/>
      <c r="W291" s="177"/>
      <c r="Y291" s="167" t="str">
        <v/>
      </c>
      <c r="Z291" s="175"/>
      <c r="AA291" s="176"/>
      <c r="AB291" s="176"/>
      <c r="AC291" s="176"/>
      <c r="AD291" s="177"/>
      <c r="AF291" s="167" t="str">
        <v/>
      </c>
      <c r="AG291" s="175"/>
      <c r="AH291" s="176"/>
      <c r="AI291" s="176"/>
      <c r="AJ291" s="176"/>
      <c r="AK291" s="177"/>
      <c r="AM291" s="167" t="str">
        <v/>
      </c>
      <c r="AN291" s="175"/>
      <c r="AO291" s="176"/>
      <c r="AP291" s="176"/>
      <c r="AQ291" s="176"/>
      <c r="AR291" s="177"/>
    </row>
    <row r="292" spans="1:44">
      <c r="A292" s="204">
        <v>66</v>
      </c>
      <c r="B292" s="190" t="str">
        <v/>
      </c>
      <c r="C292" s="175"/>
      <c r="D292" s="176"/>
      <c r="E292" s="176"/>
      <c r="F292" s="176"/>
      <c r="G292" s="177"/>
      <c r="I292" s="167" t="str">
        <v/>
      </c>
      <c r="J292" s="175"/>
      <c r="K292" s="176"/>
      <c r="L292" s="176"/>
      <c r="M292" s="176"/>
      <c r="N292" s="220"/>
      <c r="O292" s="220"/>
      <c r="P292" s="177"/>
      <c r="R292" s="167" t="str">
        <v/>
      </c>
      <c r="S292" s="175"/>
      <c r="T292" s="176"/>
      <c r="U292" s="176"/>
      <c r="V292" s="176"/>
      <c r="W292" s="177"/>
      <c r="Y292" s="167" t="str">
        <v/>
      </c>
      <c r="Z292" s="175"/>
      <c r="AA292" s="176"/>
      <c r="AB292" s="176"/>
      <c r="AC292" s="176"/>
      <c r="AD292" s="177"/>
      <c r="AF292" s="167" t="str">
        <v/>
      </c>
      <c r="AG292" s="175"/>
      <c r="AH292" s="176"/>
      <c r="AI292" s="176"/>
      <c r="AJ292" s="176"/>
      <c r="AK292" s="177"/>
      <c r="AM292" s="167" t="str">
        <v/>
      </c>
      <c r="AN292" s="175"/>
      <c r="AO292" s="176"/>
      <c r="AP292" s="176"/>
      <c r="AQ292" s="176"/>
      <c r="AR292" s="177"/>
    </row>
    <row r="293" spans="1:44">
      <c r="A293" s="204">
        <v>67</v>
      </c>
      <c r="B293" s="190" t="str">
        <v/>
      </c>
      <c r="C293" s="175"/>
      <c r="D293" s="176"/>
      <c r="E293" s="176"/>
      <c r="F293" s="176"/>
      <c r="G293" s="177"/>
      <c r="I293" s="167" t="str">
        <v/>
      </c>
      <c r="J293" s="175"/>
      <c r="K293" s="176"/>
      <c r="L293" s="176"/>
      <c r="M293" s="176"/>
      <c r="N293" s="220"/>
      <c r="O293" s="220"/>
      <c r="P293" s="177"/>
      <c r="R293" s="167" t="str">
        <v/>
      </c>
      <c r="S293" s="175"/>
      <c r="T293" s="176"/>
      <c r="U293" s="176"/>
      <c r="V293" s="176"/>
      <c r="W293" s="177"/>
      <c r="Y293" s="167" t="str">
        <v/>
      </c>
      <c r="Z293" s="175"/>
      <c r="AA293" s="176"/>
      <c r="AB293" s="176"/>
      <c r="AC293" s="176"/>
      <c r="AD293" s="177"/>
      <c r="AF293" s="167" t="str">
        <v/>
      </c>
      <c r="AG293" s="175"/>
      <c r="AH293" s="176"/>
      <c r="AI293" s="176"/>
      <c r="AJ293" s="176"/>
      <c r="AK293" s="177"/>
      <c r="AM293" s="167" t="str">
        <v/>
      </c>
      <c r="AN293" s="175"/>
      <c r="AO293" s="176"/>
      <c r="AP293" s="176"/>
      <c r="AQ293" s="176"/>
      <c r="AR293" s="177"/>
    </row>
    <row r="294" spans="1:44">
      <c r="A294" s="204">
        <v>68</v>
      </c>
      <c r="B294" s="190" t="str">
        <v/>
      </c>
      <c r="C294" s="175"/>
      <c r="D294" s="176"/>
      <c r="E294" s="176"/>
      <c r="F294" s="176"/>
      <c r="G294" s="177"/>
      <c r="I294" s="167" t="str">
        <v/>
      </c>
      <c r="J294" s="175"/>
      <c r="K294" s="176"/>
      <c r="L294" s="176"/>
      <c r="M294" s="176"/>
      <c r="N294" s="220"/>
      <c r="O294" s="220"/>
      <c r="P294" s="177"/>
      <c r="R294" s="167" t="str">
        <v/>
      </c>
      <c r="S294" s="175"/>
      <c r="T294" s="176"/>
      <c r="U294" s="176"/>
      <c r="V294" s="176"/>
      <c r="W294" s="177"/>
      <c r="Y294" s="167" t="str">
        <v/>
      </c>
      <c r="Z294" s="175"/>
      <c r="AA294" s="176"/>
      <c r="AB294" s="176"/>
      <c r="AC294" s="176"/>
      <c r="AD294" s="177"/>
      <c r="AF294" s="167" t="str">
        <v/>
      </c>
      <c r="AG294" s="175"/>
      <c r="AH294" s="176"/>
      <c r="AI294" s="176"/>
      <c r="AJ294" s="176"/>
      <c r="AK294" s="177"/>
      <c r="AM294" s="167" t="str">
        <v/>
      </c>
      <c r="AN294" s="175"/>
      <c r="AO294" s="176"/>
      <c r="AP294" s="176"/>
      <c r="AQ294" s="176"/>
      <c r="AR294" s="177"/>
    </row>
    <row r="295" spans="1:44">
      <c r="A295" s="204">
        <v>69</v>
      </c>
      <c r="B295" s="190" t="str">
        <v/>
      </c>
      <c r="C295" s="175"/>
      <c r="D295" s="176"/>
      <c r="E295" s="176"/>
      <c r="F295" s="176"/>
      <c r="G295" s="177"/>
      <c r="I295" s="167" t="str">
        <v/>
      </c>
      <c r="J295" s="175"/>
      <c r="K295" s="176"/>
      <c r="L295" s="176"/>
      <c r="M295" s="176"/>
      <c r="N295" s="220"/>
      <c r="O295" s="220"/>
      <c r="P295" s="177"/>
      <c r="R295" s="167" t="str">
        <v/>
      </c>
      <c r="S295" s="175"/>
      <c r="T295" s="176"/>
      <c r="U295" s="176"/>
      <c r="V295" s="176"/>
      <c r="W295" s="177"/>
      <c r="Y295" s="167" t="str">
        <v/>
      </c>
      <c r="Z295" s="175"/>
      <c r="AA295" s="176"/>
      <c r="AB295" s="176"/>
      <c r="AC295" s="176"/>
      <c r="AD295" s="177"/>
      <c r="AF295" s="167" t="str">
        <v/>
      </c>
      <c r="AG295" s="175"/>
      <c r="AH295" s="176"/>
      <c r="AI295" s="176"/>
      <c r="AJ295" s="176"/>
      <c r="AK295" s="177"/>
      <c r="AM295" s="167" t="str">
        <v/>
      </c>
      <c r="AN295" s="175"/>
      <c r="AO295" s="176"/>
      <c r="AP295" s="176"/>
      <c r="AQ295" s="176"/>
      <c r="AR295" s="177"/>
    </row>
    <row r="296" spans="1:44">
      <c r="A296" s="204">
        <v>70</v>
      </c>
      <c r="B296" s="190" t="str">
        <v/>
      </c>
      <c r="C296" s="175"/>
      <c r="D296" s="176"/>
      <c r="E296" s="176"/>
      <c r="F296" s="176"/>
      <c r="G296" s="177"/>
      <c r="I296" s="167" t="str">
        <v/>
      </c>
      <c r="J296" s="175"/>
      <c r="K296" s="176"/>
      <c r="L296" s="176"/>
      <c r="M296" s="176"/>
      <c r="N296" s="220"/>
      <c r="O296" s="220"/>
      <c r="P296" s="177"/>
      <c r="R296" s="167" t="str">
        <v/>
      </c>
      <c r="S296" s="175"/>
      <c r="T296" s="176"/>
      <c r="U296" s="176"/>
      <c r="V296" s="176"/>
      <c r="W296" s="177"/>
      <c r="Y296" s="167" t="str">
        <v/>
      </c>
      <c r="Z296" s="175"/>
      <c r="AA296" s="176"/>
      <c r="AB296" s="176"/>
      <c r="AC296" s="176"/>
      <c r="AD296" s="177"/>
      <c r="AF296" s="167" t="str">
        <v/>
      </c>
      <c r="AG296" s="175"/>
      <c r="AH296" s="176"/>
      <c r="AI296" s="176"/>
      <c r="AJ296" s="176"/>
      <c r="AK296" s="177"/>
      <c r="AM296" s="167" t="str">
        <v/>
      </c>
      <c r="AN296" s="175"/>
      <c r="AO296" s="176"/>
      <c r="AP296" s="176"/>
      <c r="AQ296" s="176"/>
      <c r="AR296" s="177"/>
    </row>
    <row r="297" spans="1:44">
      <c r="A297" s="204">
        <v>71</v>
      </c>
      <c r="B297" s="190" t="str">
        <v/>
      </c>
      <c r="C297" s="175"/>
      <c r="D297" s="176"/>
      <c r="E297" s="176"/>
      <c r="F297" s="176"/>
      <c r="G297" s="177"/>
      <c r="I297" s="167" t="str">
        <v/>
      </c>
      <c r="J297" s="175"/>
      <c r="K297" s="176"/>
      <c r="L297" s="176"/>
      <c r="M297" s="176"/>
      <c r="N297" s="220"/>
      <c r="O297" s="220"/>
      <c r="P297" s="177"/>
      <c r="R297" s="167" t="str">
        <v/>
      </c>
      <c r="S297" s="175"/>
      <c r="T297" s="176"/>
      <c r="U297" s="176"/>
      <c r="V297" s="176"/>
      <c r="W297" s="177"/>
      <c r="Y297" s="167" t="str">
        <v/>
      </c>
      <c r="Z297" s="175"/>
      <c r="AA297" s="176"/>
      <c r="AB297" s="176"/>
      <c r="AC297" s="176"/>
      <c r="AD297" s="177"/>
      <c r="AF297" s="167" t="str">
        <v/>
      </c>
      <c r="AG297" s="175"/>
      <c r="AH297" s="176"/>
      <c r="AI297" s="176"/>
      <c r="AJ297" s="176"/>
      <c r="AK297" s="177"/>
      <c r="AM297" s="167" t="str">
        <v/>
      </c>
      <c r="AN297" s="175"/>
      <c r="AO297" s="176"/>
      <c r="AP297" s="176"/>
      <c r="AQ297" s="176"/>
      <c r="AR297" s="177"/>
    </row>
    <row r="298" spans="1:44">
      <c r="A298" s="204">
        <v>72</v>
      </c>
      <c r="B298" s="190" t="str">
        <v/>
      </c>
      <c r="C298" s="175"/>
      <c r="D298" s="176"/>
      <c r="E298" s="176"/>
      <c r="F298" s="176"/>
      <c r="G298" s="177"/>
      <c r="I298" s="167" t="str">
        <v/>
      </c>
      <c r="J298" s="175"/>
      <c r="K298" s="176"/>
      <c r="L298" s="176"/>
      <c r="M298" s="176"/>
      <c r="N298" s="220"/>
      <c r="O298" s="220"/>
      <c r="P298" s="177"/>
      <c r="R298" s="167" t="str">
        <v/>
      </c>
      <c r="S298" s="175"/>
      <c r="T298" s="176"/>
      <c r="U298" s="176"/>
      <c r="V298" s="176"/>
      <c r="W298" s="177"/>
      <c r="Y298" s="167" t="str">
        <v/>
      </c>
      <c r="Z298" s="175"/>
      <c r="AA298" s="176"/>
      <c r="AB298" s="176"/>
      <c r="AC298" s="176"/>
      <c r="AD298" s="177"/>
      <c r="AF298" s="167" t="str">
        <v/>
      </c>
      <c r="AG298" s="175"/>
      <c r="AH298" s="176"/>
      <c r="AI298" s="176"/>
      <c r="AJ298" s="176"/>
      <c r="AK298" s="177"/>
      <c r="AM298" s="167" t="str">
        <v/>
      </c>
      <c r="AN298" s="175"/>
      <c r="AO298" s="176"/>
      <c r="AP298" s="176"/>
      <c r="AQ298" s="176"/>
      <c r="AR298" s="177"/>
    </row>
    <row r="299" spans="1:44">
      <c r="A299" s="204">
        <v>73</v>
      </c>
      <c r="B299" s="190" t="str">
        <v/>
      </c>
      <c r="C299" s="175"/>
      <c r="D299" s="176"/>
      <c r="E299" s="176"/>
      <c r="F299" s="176"/>
      <c r="G299" s="177"/>
      <c r="I299" s="167" t="str">
        <v/>
      </c>
      <c r="J299" s="175"/>
      <c r="K299" s="176"/>
      <c r="L299" s="176"/>
      <c r="M299" s="176"/>
      <c r="N299" s="220"/>
      <c r="O299" s="220"/>
      <c r="P299" s="177"/>
      <c r="R299" s="167" t="str">
        <v/>
      </c>
      <c r="S299" s="175"/>
      <c r="T299" s="176"/>
      <c r="U299" s="176"/>
      <c r="V299" s="176"/>
      <c r="W299" s="177"/>
      <c r="Y299" s="167" t="str">
        <v/>
      </c>
      <c r="Z299" s="175"/>
      <c r="AA299" s="176"/>
      <c r="AB299" s="176"/>
      <c r="AC299" s="176"/>
      <c r="AD299" s="177"/>
      <c r="AF299" s="167" t="str">
        <v/>
      </c>
      <c r="AG299" s="175"/>
      <c r="AH299" s="176"/>
      <c r="AI299" s="176"/>
      <c r="AJ299" s="176"/>
      <c r="AK299" s="177"/>
      <c r="AM299" s="167" t="str">
        <v/>
      </c>
      <c r="AN299" s="175"/>
      <c r="AO299" s="176"/>
      <c r="AP299" s="176"/>
      <c r="AQ299" s="176"/>
      <c r="AR299" s="177"/>
    </row>
    <row r="300" spans="1:44">
      <c r="A300" s="204">
        <v>74</v>
      </c>
      <c r="B300" s="190" t="str">
        <v/>
      </c>
      <c r="C300" s="175"/>
      <c r="D300" s="176"/>
      <c r="E300" s="176"/>
      <c r="F300" s="176"/>
      <c r="G300" s="177"/>
      <c r="I300" s="167" t="str">
        <v/>
      </c>
      <c r="J300" s="175"/>
      <c r="K300" s="176"/>
      <c r="L300" s="176"/>
      <c r="M300" s="176"/>
      <c r="N300" s="220"/>
      <c r="O300" s="220"/>
      <c r="P300" s="177"/>
      <c r="R300" s="167" t="str">
        <v/>
      </c>
      <c r="S300" s="175"/>
      <c r="T300" s="176"/>
      <c r="U300" s="176"/>
      <c r="V300" s="176"/>
      <c r="W300" s="177"/>
      <c r="Y300" s="167" t="str">
        <v/>
      </c>
      <c r="Z300" s="175"/>
      <c r="AA300" s="176"/>
      <c r="AB300" s="176"/>
      <c r="AC300" s="176"/>
      <c r="AD300" s="177"/>
      <c r="AF300" s="167" t="str">
        <v/>
      </c>
      <c r="AG300" s="175"/>
      <c r="AH300" s="176"/>
      <c r="AI300" s="176"/>
      <c r="AJ300" s="176"/>
      <c r="AK300" s="177"/>
      <c r="AM300" s="167" t="str">
        <v/>
      </c>
      <c r="AN300" s="175"/>
      <c r="AO300" s="176"/>
      <c r="AP300" s="176"/>
      <c r="AQ300" s="176"/>
      <c r="AR300" s="177"/>
    </row>
    <row r="301" spans="1:44">
      <c r="A301" s="204">
        <v>75</v>
      </c>
      <c r="B301" s="190" t="str">
        <v/>
      </c>
      <c r="C301" s="175"/>
      <c r="D301" s="176"/>
      <c r="E301" s="176"/>
      <c r="F301" s="176"/>
      <c r="G301" s="177"/>
      <c r="I301" s="167" t="str">
        <v/>
      </c>
      <c r="J301" s="175"/>
      <c r="K301" s="176"/>
      <c r="L301" s="176"/>
      <c r="M301" s="176"/>
      <c r="N301" s="220"/>
      <c r="O301" s="220"/>
      <c r="P301" s="177"/>
      <c r="R301" s="167" t="str">
        <v/>
      </c>
      <c r="S301" s="175"/>
      <c r="T301" s="176"/>
      <c r="U301" s="176"/>
      <c r="V301" s="176"/>
      <c r="W301" s="177"/>
      <c r="Y301" s="167" t="str">
        <v/>
      </c>
      <c r="Z301" s="175"/>
      <c r="AA301" s="176"/>
      <c r="AB301" s="176"/>
      <c r="AC301" s="176"/>
      <c r="AD301" s="177"/>
      <c r="AF301" s="167" t="str">
        <v/>
      </c>
      <c r="AG301" s="175"/>
      <c r="AH301" s="176"/>
      <c r="AI301" s="176"/>
      <c r="AJ301" s="176"/>
      <c r="AK301" s="177"/>
      <c r="AM301" s="167" t="str">
        <v/>
      </c>
      <c r="AN301" s="175"/>
      <c r="AO301" s="176"/>
      <c r="AP301" s="176"/>
      <c r="AQ301" s="176"/>
      <c r="AR301" s="177"/>
    </row>
    <row r="302" spans="1:44">
      <c r="A302" s="204">
        <v>76</v>
      </c>
      <c r="B302" s="190" t="str">
        <v/>
      </c>
      <c r="C302" s="175"/>
      <c r="D302" s="176"/>
      <c r="E302" s="176"/>
      <c r="F302" s="176"/>
      <c r="G302" s="177"/>
      <c r="I302" s="167" t="str">
        <v/>
      </c>
      <c r="J302" s="175"/>
      <c r="K302" s="176"/>
      <c r="L302" s="176"/>
      <c r="M302" s="176"/>
      <c r="N302" s="220"/>
      <c r="O302" s="220"/>
      <c r="P302" s="177"/>
      <c r="R302" s="167" t="str">
        <v/>
      </c>
      <c r="S302" s="175"/>
      <c r="T302" s="176"/>
      <c r="U302" s="176"/>
      <c r="V302" s="176"/>
      <c r="W302" s="177"/>
      <c r="Y302" s="167" t="str">
        <v/>
      </c>
      <c r="Z302" s="175"/>
      <c r="AA302" s="176"/>
      <c r="AB302" s="176"/>
      <c r="AC302" s="176"/>
      <c r="AD302" s="177"/>
      <c r="AF302" s="167" t="str">
        <v/>
      </c>
      <c r="AG302" s="175"/>
      <c r="AH302" s="176"/>
      <c r="AI302" s="176"/>
      <c r="AJ302" s="176"/>
      <c r="AK302" s="177"/>
      <c r="AM302" s="167" t="str">
        <v/>
      </c>
      <c r="AN302" s="175"/>
      <c r="AO302" s="176"/>
      <c r="AP302" s="176"/>
      <c r="AQ302" s="176"/>
      <c r="AR302" s="177"/>
    </row>
    <row r="303" spans="1:44">
      <c r="A303" s="204">
        <v>77</v>
      </c>
      <c r="B303" s="190" t="str">
        <v/>
      </c>
      <c r="C303" s="175"/>
      <c r="D303" s="176"/>
      <c r="E303" s="176"/>
      <c r="F303" s="176"/>
      <c r="G303" s="177"/>
      <c r="I303" s="167" t="str">
        <v/>
      </c>
      <c r="J303" s="175"/>
      <c r="K303" s="176"/>
      <c r="L303" s="176"/>
      <c r="M303" s="176"/>
      <c r="N303" s="220"/>
      <c r="O303" s="220"/>
      <c r="P303" s="177"/>
      <c r="R303" s="167" t="str">
        <v/>
      </c>
      <c r="S303" s="175"/>
      <c r="T303" s="176"/>
      <c r="U303" s="176"/>
      <c r="V303" s="176"/>
      <c r="W303" s="177"/>
      <c r="Y303" s="167" t="str">
        <v/>
      </c>
      <c r="Z303" s="175"/>
      <c r="AA303" s="176"/>
      <c r="AB303" s="176"/>
      <c r="AC303" s="176"/>
      <c r="AD303" s="177"/>
      <c r="AF303" s="167" t="str">
        <v/>
      </c>
      <c r="AG303" s="175"/>
      <c r="AH303" s="176"/>
      <c r="AI303" s="176"/>
      <c r="AJ303" s="176"/>
      <c r="AK303" s="177"/>
      <c r="AM303" s="167" t="str">
        <v/>
      </c>
      <c r="AN303" s="175"/>
      <c r="AO303" s="176"/>
      <c r="AP303" s="176"/>
      <c r="AQ303" s="176"/>
      <c r="AR303" s="177"/>
    </row>
    <row r="304" spans="1:44">
      <c r="A304" s="204">
        <v>78</v>
      </c>
      <c r="B304" s="190" t="str">
        <v/>
      </c>
      <c r="C304" s="175"/>
      <c r="D304" s="176"/>
      <c r="E304" s="176"/>
      <c r="F304" s="176"/>
      <c r="G304" s="177"/>
      <c r="I304" s="167" t="str">
        <v/>
      </c>
      <c r="J304" s="175"/>
      <c r="K304" s="176"/>
      <c r="L304" s="176"/>
      <c r="M304" s="176"/>
      <c r="N304" s="220"/>
      <c r="O304" s="220"/>
      <c r="P304" s="177"/>
      <c r="R304" s="167" t="str">
        <v/>
      </c>
      <c r="S304" s="175"/>
      <c r="T304" s="176"/>
      <c r="U304" s="176"/>
      <c r="V304" s="176"/>
      <c r="W304" s="177"/>
      <c r="Y304" s="167" t="str">
        <v/>
      </c>
      <c r="Z304" s="175"/>
      <c r="AA304" s="176"/>
      <c r="AB304" s="176"/>
      <c r="AC304" s="176"/>
      <c r="AD304" s="177"/>
      <c r="AF304" s="167" t="str">
        <v/>
      </c>
      <c r="AG304" s="175"/>
      <c r="AH304" s="176"/>
      <c r="AI304" s="176"/>
      <c r="AJ304" s="176"/>
      <c r="AK304" s="177"/>
      <c r="AM304" s="167" t="str">
        <v/>
      </c>
      <c r="AN304" s="175"/>
      <c r="AO304" s="176"/>
      <c r="AP304" s="176"/>
      <c r="AQ304" s="176"/>
      <c r="AR304" s="177"/>
    </row>
    <row r="305" spans="1:44">
      <c r="A305" s="204">
        <v>79</v>
      </c>
      <c r="B305" s="190" t="str">
        <v/>
      </c>
      <c r="C305" s="175"/>
      <c r="D305" s="176"/>
      <c r="E305" s="176"/>
      <c r="F305" s="176"/>
      <c r="G305" s="177"/>
      <c r="I305" s="167" t="str">
        <v/>
      </c>
      <c r="J305" s="175"/>
      <c r="K305" s="176"/>
      <c r="L305" s="176"/>
      <c r="M305" s="176"/>
      <c r="N305" s="220"/>
      <c r="O305" s="220"/>
      <c r="P305" s="177"/>
      <c r="R305" s="167" t="str">
        <v/>
      </c>
      <c r="S305" s="175"/>
      <c r="T305" s="176"/>
      <c r="U305" s="176"/>
      <c r="V305" s="176"/>
      <c r="W305" s="177"/>
      <c r="Y305" s="167" t="str">
        <v/>
      </c>
      <c r="Z305" s="175"/>
      <c r="AA305" s="176"/>
      <c r="AB305" s="176"/>
      <c r="AC305" s="176"/>
      <c r="AD305" s="177"/>
      <c r="AF305" s="167" t="str">
        <v/>
      </c>
      <c r="AG305" s="175"/>
      <c r="AH305" s="176"/>
      <c r="AI305" s="176"/>
      <c r="AJ305" s="176"/>
      <c r="AK305" s="177"/>
      <c r="AM305" s="167" t="str">
        <v/>
      </c>
      <c r="AN305" s="175"/>
      <c r="AO305" s="176"/>
      <c r="AP305" s="176"/>
      <c r="AQ305" s="176"/>
      <c r="AR305" s="177"/>
    </row>
    <row r="306" spans="1:44">
      <c r="A306" s="204">
        <v>80</v>
      </c>
      <c r="B306" s="190" t="str">
        <v/>
      </c>
      <c r="C306" s="175"/>
      <c r="D306" s="176"/>
      <c r="E306" s="176"/>
      <c r="F306" s="176"/>
      <c r="G306" s="177"/>
      <c r="I306" s="167" t="str">
        <v/>
      </c>
      <c r="J306" s="175"/>
      <c r="K306" s="176"/>
      <c r="L306" s="176"/>
      <c r="M306" s="176"/>
      <c r="N306" s="220"/>
      <c r="O306" s="220"/>
      <c r="P306" s="177"/>
      <c r="R306" s="167" t="str">
        <v/>
      </c>
      <c r="S306" s="175"/>
      <c r="T306" s="176"/>
      <c r="U306" s="176"/>
      <c r="V306" s="176"/>
      <c r="W306" s="177"/>
      <c r="Y306" s="167" t="str">
        <v/>
      </c>
      <c r="Z306" s="175"/>
      <c r="AA306" s="176"/>
      <c r="AB306" s="176"/>
      <c r="AC306" s="176"/>
      <c r="AD306" s="177"/>
      <c r="AF306" s="167" t="str">
        <v/>
      </c>
      <c r="AG306" s="175"/>
      <c r="AH306" s="176"/>
      <c r="AI306" s="176"/>
      <c r="AJ306" s="176"/>
      <c r="AK306" s="177"/>
      <c r="AM306" s="167" t="str">
        <v/>
      </c>
      <c r="AN306" s="175"/>
      <c r="AO306" s="176"/>
      <c r="AP306" s="176"/>
      <c r="AQ306" s="176"/>
      <c r="AR306" s="177"/>
    </row>
    <row r="307" spans="1:44">
      <c r="A307" s="204">
        <v>81</v>
      </c>
      <c r="B307" s="190" t="str">
        <v/>
      </c>
      <c r="C307" s="175"/>
      <c r="D307" s="176"/>
      <c r="E307" s="176"/>
      <c r="F307" s="176"/>
      <c r="G307" s="177"/>
      <c r="I307" s="167" t="str">
        <v/>
      </c>
      <c r="J307" s="175"/>
      <c r="K307" s="176"/>
      <c r="L307" s="176"/>
      <c r="M307" s="176"/>
      <c r="N307" s="220"/>
      <c r="O307" s="220"/>
      <c r="P307" s="177"/>
      <c r="R307" s="167" t="str">
        <v/>
      </c>
      <c r="S307" s="175"/>
      <c r="T307" s="176"/>
      <c r="U307" s="176"/>
      <c r="V307" s="176"/>
      <c r="W307" s="177"/>
      <c r="Y307" s="167" t="str">
        <v/>
      </c>
      <c r="Z307" s="175"/>
      <c r="AA307" s="176"/>
      <c r="AB307" s="176"/>
      <c r="AC307" s="176"/>
      <c r="AD307" s="177"/>
      <c r="AF307" s="167" t="str">
        <v/>
      </c>
      <c r="AG307" s="175"/>
      <c r="AH307" s="176"/>
      <c r="AI307" s="176"/>
      <c r="AJ307" s="176"/>
      <c r="AK307" s="177"/>
      <c r="AM307" s="167" t="str">
        <v/>
      </c>
      <c r="AN307" s="175"/>
      <c r="AO307" s="176"/>
      <c r="AP307" s="176"/>
      <c r="AQ307" s="176"/>
      <c r="AR307" s="177"/>
    </row>
    <row r="308" spans="1:44">
      <c r="A308" s="204">
        <v>82</v>
      </c>
      <c r="B308" s="190" t="str">
        <v/>
      </c>
      <c r="C308" s="175"/>
      <c r="D308" s="176"/>
      <c r="E308" s="176"/>
      <c r="F308" s="176"/>
      <c r="G308" s="177"/>
      <c r="I308" s="167" t="str">
        <v/>
      </c>
      <c r="J308" s="175"/>
      <c r="K308" s="176"/>
      <c r="L308" s="176"/>
      <c r="M308" s="176"/>
      <c r="N308" s="220"/>
      <c r="O308" s="220"/>
      <c r="P308" s="177"/>
      <c r="R308" s="167" t="str">
        <v/>
      </c>
      <c r="S308" s="175"/>
      <c r="T308" s="176"/>
      <c r="U308" s="176"/>
      <c r="V308" s="176"/>
      <c r="W308" s="177"/>
      <c r="Y308" s="167" t="str">
        <v/>
      </c>
      <c r="Z308" s="175"/>
      <c r="AA308" s="176"/>
      <c r="AB308" s="176"/>
      <c r="AC308" s="176"/>
      <c r="AD308" s="177"/>
      <c r="AF308" s="167" t="str">
        <v/>
      </c>
      <c r="AG308" s="175"/>
      <c r="AH308" s="176"/>
      <c r="AI308" s="176"/>
      <c r="AJ308" s="176"/>
      <c r="AK308" s="177"/>
      <c r="AM308" s="167" t="str">
        <v/>
      </c>
      <c r="AN308" s="175"/>
      <c r="AO308" s="176"/>
      <c r="AP308" s="176"/>
      <c r="AQ308" s="176"/>
      <c r="AR308" s="177"/>
    </row>
    <row r="309" spans="1:44">
      <c r="A309" s="204">
        <v>83</v>
      </c>
      <c r="B309" s="190" t="str">
        <v/>
      </c>
      <c r="C309" s="175"/>
      <c r="D309" s="176"/>
      <c r="E309" s="176"/>
      <c r="F309" s="176"/>
      <c r="G309" s="177"/>
      <c r="I309" s="167" t="str">
        <v/>
      </c>
      <c r="J309" s="175"/>
      <c r="K309" s="176"/>
      <c r="L309" s="176"/>
      <c r="M309" s="176"/>
      <c r="N309" s="220"/>
      <c r="O309" s="220"/>
      <c r="P309" s="177"/>
      <c r="R309" s="167" t="str">
        <v/>
      </c>
      <c r="S309" s="175"/>
      <c r="T309" s="176"/>
      <c r="U309" s="176"/>
      <c r="V309" s="176"/>
      <c r="W309" s="177"/>
      <c r="Y309" s="167" t="str">
        <v/>
      </c>
      <c r="Z309" s="175"/>
      <c r="AA309" s="176"/>
      <c r="AB309" s="176"/>
      <c r="AC309" s="176"/>
      <c r="AD309" s="177"/>
      <c r="AF309" s="167" t="str">
        <v/>
      </c>
      <c r="AG309" s="175"/>
      <c r="AH309" s="176"/>
      <c r="AI309" s="176"/>
      <c r="AJ309" s="176"/>
      <c r="AK309" s="177"/>
      <c r="AM309" s="167" t="str">
        <v/>
      </c>
      <c r="AN309" s="175"/>
      <c r="AO309" s="176"/>
      <c r="AP309" s="176"/>
      <c r="AQ309" s="176"/>
      <c r="AR309" s="177"/>
    </row>
    <row r="310" spans="1:44">
      <c r="A310" s="204">
        <v>84</v>
      </c>
      <c r="B310" s="190" t="str">
        <v/>
      </c>
      <c r="C310" s="175"/>
      <c r="D310" s="176"/>
      <c r="E310" s="176"/>
      <c r="F310" s="176"/>
      <c r="G310" s="177"/>
      <c r="I310" s="167" t="str">
        <v/>
      </c>
      <c r="J310" s="175"/>
      <c r="K310" s="176"/>
      <c r="L310" s="176"/>
      <c r="M310" s="176"/>
      <c r="N310" s="220"/>
      <c r="O310" s="220"/>
      <c r="P310" s="177"/>
      <c r="R310" s="167" t="str">
        <v/>
      </c>
      <c r="S310" s="175"/>
      <c r="T310" s="176"/>
      <c r="U310" s="176"/>
      <c r="V310" s="176"/>
      <c r="W310" s="177"/>
      <c r="Y310" s="167" t="str">
        <v/>
      </c>
      <c r="Z310" s="175"/>
      <c r="AA310" s="176"/>
      <c r="AB310" s="176"/>
      <c r="AC310" s="176"/>
      <c r="AD310" s="177"/>
      <c r="AF310" s="167" t="str">
        <v/>
      </c>
      <c r="AG310" s="175"/>
      <c r="AH310" s="176"/>
      <c r="AI310" s="176"/>
      <c r="AJ310" s="176"/>
      <c r="AK310" s="177"/>
      <c r="AM310" s="167" t="str">
        <v/>
      </c>
      <c r="AN310" s="175"/>
      <c r="AO310" s="176"/>
      <c r="AP310" s="176"/>
      <c r="AQ310" s="176"/>
      <c r="AR310" s="177"/>
    </row>
    <row r="311" spans="1:44">
      <c r="A311" s="204">
        <v>85</v>
      </c>
      <c r="B311" s="190" t="str">
        <v/>
      </c>
      <c r="C311" s="175"/>
      <c r="D311" s="176"/>
      <c r="E311" s="176"/>
      <c r="F311" s="176"/>
      <c r="G311" s="177"/>
      <c r="I311" s="167" t="str">
        <v/>
      </c>
      <c r="J311" s="175"/>
      <c r="K311" s="176"/>
      <c r="L311" s="176"/>
      <c r="M311" s="176"/>
      <c r="N311" s="220"/>
      <c r="O311" s="220"/>
      <c r="P311" s="177"/>
      <c r="R311" s="167" t="str">
        <v/>
      </c>
      <c r="S311" s="175"/>
      <c r="T311" s="176"/>
      <c r="U311" s="176"/>
      <c r="V311" s="176"/>
      <c r="W311" s="177"/>
      <c r="Y311" s="167" t="str">
        <v/>
      </c>
      <c r="Z311" s="175"/>
      <c r="AA311" s="176"/>
      <c r="AB311" s="176"/>
      <c r="AC311" s="176"/>
      <c r="AD311" s="177"/>
      <c r="AF311" s="167" t="str">
        <v/>
      </c>
      <c r="AG311" s="175"/>
      <c r="AH311" s="176"/>
      <c r="AI311" s="176"/>
      <c r="AJ311" s="176"/>
      <c r="AK311" s="177"/>
      <c r="AM311" s="167" t="str">
        <v/>
      </c>
      <c r="AN311" s="175"/>
      <c r="AO311" s="176"/>
      <c r="AP311" s="176"/>
      <c r="AQ311" s="176"/>
      <c r="AR311" s="177"/>
    </row>
    <row r="312" spans="1:44">
      <c r="A312" s="204">
        <v>86</v>
      </c>
      <c r="B312" s="190" t="str">
        <v/>
      </c>
      <c r="C312" s="175"/>
      <c r="D312" s="176"/>
      <c r="E312" s="176"/>
      <c r="F312" s="176"/>
      <c r="G312" s="177"/>
      <c r="I312" s="167" t="str">
        <v/>
      </c>
      <c r="J312" s="175"/>
      <c r="K312" s="176"/>
      <c r="L312" s="176"/>
      <c r="M312" s="176"/>
      <c r="N312" s="220"/>
      <c r="O312" s="220"/>
      <c r="P312" s="177"/>
      <c r="R312" s="167" t="str">
        <v/>
      </c>
      <c r="S312" s="175"/>
      <c r="T312" s="176"/>
      <c r="U312" s="176"/>
      <c r="V312" s="176"/>
      <c r="W312" s="177"/>
      <c r="Y312" s="167" t="str">
        <v/>
      </c>
      <c r="Z312" s="175"/>
      <c r="AA312" s="176"/>
      <c r="AB312" s="176"/>
      <c r="AC312" s="176"/>
      <c r="AD312" s="177"/>
      <c r="AF312" s="167" t="str">
        <v/>
      </c>
      <c r="AG312" s="175"/>
      <c r="AH312" s="176"/>
      <c r="AI312" s="176"/>
      <c r="AJ312" s="176"/>
      <c r="AK312" s="177"/>
      <c r="AM312" s="167" t="str">
        <v/>
      </c>
      <c r="AN312" s="175"/>
      <c r="AO312" s="176"/>
      <c r="AP312" s="176"/>
      <c r="AQ312" s="176"/>
      <c r="AR312" s="177"/>
    </row>
    <row r="313" spans="1:44">
      <c r="A313" s="204">
        <v>87</v>
      </c>
      <c r="B313" s="190" t="str">
        <v/>
      </c>
      <c r="C313" s="175"/>
      <c r="D313" s="176"/>
      <c r="E313" s="176"/>
      <c r="F313" s="176"/>
      <c r="G313" s="177"/>
      <c r="I313" s="167" t="str">
        <v/>
      </c>
      <c r="J313" s="175"/>
      <c r="K313" s="176"/>
      <c r="L313" s="176"/>
      <c r="M313" s="176"/>
      <c r="N313" s="220"/>
      <c r="O313" s="220"/>
      <c r="P313" s="177"/>
      <c r="R313" s="167" t="str">
        <v/>
      </c>
      <c r="S313" s="175"/>
      <c r="T313" s="176"/>
      <c r="U313" s="176"/>
      <c r="V313" s="176"/>
      <c r="W313" s="177"/>
      <c r="Y313" s="167" t="str">
        <v/>
      </c>
      <c r="Z313" s="175"/>
      <c r="AA313" s="176"/>
      <c r="AB313" s="176"/>
      <c r="AC313" s="176"/>
      <c r="AD313" s="177"/>
      <c r="AF313" s="167" t="str">
        <v/>
      </c>
      <c r="AG313" s="175"/>
      <c r="AH313" s="176"/>
      <c r="AI313" s="176"/>
      <c r="AJ313" s="176"/>
      <c r="AK313" s="177"/>
      <c r="AM313" s="167" t="str">
        <v/>
      </c>
      <c r="AN313" s="175"/>
      <c r="AO313" s="176"/>
      <c r="AP313" s="176"/>
      <c r="AQ313" s="176"/>
      <c r="AR313" s="177"/>
    </row>
    <row r="314" spans="1:44">
      <c r="A314" s="204">
        <v>88</v>
      </c>
      <c r="B314" s="190" t="str">
        <v/>
      </c>
      <c r="C314" s="175"/>
      <c r="D314" s="176"/>
      <c r="E314" s="176"/>
      <c r="F314" s="176"/>
      <c r="G314" s="177"/>
      <c r="I314" s="167" t="str">
        <v/>
      </c>
      <c r="J314" s="175"/>
      <c r="K314" s="176"/>
      <c r="L314" s="176"/>
      <c r="M314" s="176"/>
      <c r="N314" s="220"/>
      <c r="O314" s="220"/>
      <c r="P314" s="177"/>
      <c r="R314" s="167" t="str">
        <v/>
      </c>
      <c r="S314" s="175"/>
      <c r="T314" s="176"/>
      <c r="U314" s="176"/>
      <c r="V314" s="176"/>
      <c r="W314" s="177"/>
      <c r="Y314" s="167" t="str">
        <v/>
      </c>
      <c r="Z314" s="175"/>
      <c r="AA314" s="176"/>
      <c r="AB314" s="176"/>
      <c r="AC314" s="176"/>
      <c r="AD314" s="177"/>
      <c r="AF314" s="167" t="str">
        <v/>
      </c>
      <c r="AG314" s="175"/>
      <c r="AH314" s="176"/>
      <c r="AI314" s="176"/>
      <c r="AJ314" s="176"/>
      <c r="AK314" s="177"/>
      <c r="AM314" s="167" t="str">
        <v/>
      </c>
      <c r="AN314" s="175"/>
      <c r="AO314" s="176"/>
      <c r="AP314" s="176"/>
      <c r="AQ314" s="176"/>
      <c r="AR314" s="177"/>
    </row>
    <row r="315" spans="1:44">
      <c r="A315" s="204">
        <v>89</v>
      </c>
      <c r="B315" s="190" t="str">
        <v/>
      </c>
      <c r="C315" s="175"/>
      <c r="D315" s="176"/>
      <c r="E315" s="176"/>
      <c r="F315" s="176"/>
      <c r="G315" s="177"/>
      <c r="I315" s="167" t="str">
        <v/>
      </c>
      <c r="J315" s="175"/>
      <c r="K315" s="176"/>
      <c r="L315" s="176"/>
      <c r="M315" s="176"/>
      <c r="N315" s="220"/>
      <c r="O315" s="220"/>
      <c r="P315" s="177"/>
      <c r="R315" s="167" t="str">
        <v/>
      </c>
      <c r="S315" s="175"/>
      <c r="T315" s="176"/>
      <c r="U315" s="176"/>
      <c r="V315" s="176"/>
      <c r="W315" s="177"/>
      <c r="Y315" s="167" t="str">
        <v/>
      </c>
      <c r="Z315" s="175"/>
      <c r="AA315" s="176"/>
      <c r="AB315" s="176"/>
      <c r="AC315" s="176"/>
      <c r="AD315" s="177"/>
      <c r="AF315" s="167" t="str">
        <v/>
      </c>
      <c r="AG315" s="175"/>
      <c r="AH315" s="176"/>
      <c r="AI315" s="176"/>
      <c r="AJ315" s="176"/>
      <c r="AK315" s="177"/>
      <c r="AM315" s="167" t="str">
        <v/>
      </c>
      <c r="AN315" s="175"/>
      <c r="AO315" s="176"/>
      <c r="AP315" s="176"/>
      <c r="AQ315" s="176"/>
      <c r="AR315" s="177"/>
    </row>
    <row r="316" spans="1:44">
      <c r="A316" s="204">
        <v>90</v>
      </c>
      <c r="B316" s="190" t="str">
        <v/>
      </c>
      <c r="C316" s="175"/>
      <c r="D316" s="176"/>
      <c r="E316" s="176"/>
      <c r="F316" s="176"/>
      <c r="G316" s="177"/>
      <c r="I316" s="167" t="str">
        <v/>
      </c>
      <c r="J316" s="175"/>
      <c r="K316" s="176"/>
      <c r="L316" s="176"/>
      <c r="M316" s="176"/>
      <c r="N316" s="220"/>
      <c r="O316" s="220"/>
      <c r="P316" s="177"/>
      <c r="R316" s="167" t="str">
        <v/>
      </c>
      <c r="S316" s="175"/>
      <c r="T316" s="176"/>
      <c r="U316" s="176"/>
      <c r="V316" s="176"/>
      <c r="W316" s="177"/>
      <c r="Y316" s="167" t="str">
        <v/>
      </c>
      <c r="Z316" s="175"/>
      <c r="AA316" s="176"/>
      <c r="AB316" s="176"/>
      <c r="AC316" s="176"/>
      <c r="AD316" s="177"/>
      <c r="AF316" s="167" t="str">
        <v/>
      </c>
      <c r="AG316" s="175"/>
      <c r="AH316" s="176"/>
      <c r="AI316" s="176"/>
      <c r="AJ316" s="176"/>
      <c r="AK316" s="177"/>
      <c r="AM316" s="167" t="str">
        <v/>
      </c>
      <c r="AN316" s="175"/>
      <c r="AO316" s="176"/>
      <c r="AP316" s="176"/>
      <c r="AQ316" s="176"/>
      <c r="AR316" s="177"/>
    </row>
    <row r="317" spans="1:44">
      <c r="A317" s="204">
        <v>91</v>
      </c>
      <c r="B317" s="190" t="str">
        <v/>
      </c>
      <c r="C317" s="175"/>
      <c r="D317" s="176"/>
      <c r="E317" s="176"/>
      <c r="F317" s="176"/>
      <c r="G317" s="177"/>
      <c r="I317" s="167" t="str">
        <v/>
      </c>
      <c r="J317" s="175"/>
      <c r="K317" s="176"/>
      <c r="L317" s="176"/>
      <c r="M317" s="176"/>
      <c r="N317" s="220"/>
      <c r="O317" s="220"/>
      <c r="P317" s="177"/>
      <c r="R317" s="167" t="str">
        <v/>
      </c>
      <c r="S317" s="175"/>
      <c r="T317" s="176"/>
      <c r="U317" s="176"/>
      <c r="V317" s="176"/>
      <c r="W317" s="177"/>
      <c r="Y317" s="167" t="str">
        <v/>
      </c>
      <c r="Z317" s="175"/>
      <c r="AA317" s="176"/>
      <c r="AB317" s="176"/>
      <c r="AC317" s="176"/>
      <c r="AD317" s="177"/>
      <c r="AF317" s="167" t="str">
        <v/>
      </c>
      <c r="AG317" s="175"/>
      <c r="AH317" s="176"/>
      <c r="AI317" s="176"/>
      <c r="AJ317" s="176"/>
      <c r="AK317" s="177"/>
      <c r="AM317" s="167" t="str">
        <v/>
      </c>
      <c r="AN317" s="175"/>
      <c r="AO317" s="176"/>
      <c r="AP317" s="176"/>
      <c r="AQ317" s="176"/>
      <c r="AR317" s="177"/>
    </row>
    <row r="318" spans="1:44">
      <c r="A318" s="204">
        <v>92</v>
      </c>
      <c r="B318" s="190" t="str">
        <v/>
      </c>
      <c r="C318" s="175"/>
      <c r="D318" s="176"/>
      <c r="E318" s="176"/>
      <c r="F318" s="176"/>
      <c r="G318" s="177"/>
      <c r="I318" s="167" t="str">
        <v/>
      </c>
      <c r="J318" s="175"/>
      <c r="K318" s="176"/>
      <c r="L318" s="176"/>
      <c r="M318" s="176"/>
      <c r="N318" s="220"/>
      <c r="O318" s="220"/>
      <c r="P318" s="177"/>
      <c r="R318" s="167" t="str">
        <v/>
      </c>
      <c r="S318" s="175"/>
      <c r="T318" s="176"/>
      <c r="U318" s="176"/>
      <c r="V318" s="176"/>
      <c r="W318" s="177"/>
      <c r="Y318" s="167" t="str">
        <v/>
      </c>
      <c r="Z318" s="175"/>
      <c r="AA318" s="176"/>
      <c r="AB318" s="176"/>
      <c r="AC318" s="176"/>
      <c r="AD318" s="177"/>
      <c r="AF318" s="167" t="str">
        <v/>
      </c>
      <c r="AG318" s="175"/>
      <c r="AH318" s="176"/>
      <c r="AI318" s="176"/>
      <c r="AJ318" s="176"/>
      <c r="AK318" s="177"/>
      <c r="AM318" s="167" t="str">
        <v/>
      </c>
      <c r="AN318" s="175"/>
      <c r="AO318" s="176"/>
      <c r="AP318" s="176"/>
      <c r="AQ318" s="176"/>
      <c r="AR318" s="177"/>
    </row>
    <row r="319" spans="1:44">
      <c r="A319" s="204">
        <v>93</v>
      </c>
      <c r="B319" s="190" t="str">
        <v/>
      </c>
      <c r="C319" s="175"/>
      <c r="D319" s="176"/>
      <c r="E319" s="176"/>
      <c r="F319" s="176"/>
      <c r="G319" s="177"/>
      <c r="I319" s="167" t="str">
        <v/>
      </c>
      <c r="J319" s="175"/>
      <c r="K319" s="176"/>
      <c r="L319" s="176"/>
      <c r="M319" s="176"/>
      <c r="N319" s="220"/>
      <c r="O319" s="220"/>
      <c r="P319" s="177"/>
      <c r="R319" s="167" t="str">
        <v/>
      </c>
      <c r="S319" s="175"/>
      <c r="T319" s="176"/>
      <c r="U319" s="176"/>
      <c r="V319" s="176"/>
      <c r="W319" s="177"/>
      <c r="Y319" s="167" t="str">
        <v/>
      </c>
      <c r="Z319" s="175"/>
      <c r="AA319" s="176"/>
      <c r="AB319" s="176"/>
      <c r="AC319" s="176"/>
      <c r="AD319" s="177"/>
      <c r="AF319" s="167" t="str">
        <v/>
      </c>
      <c r="AG319" s="175"/>
      <c r="AH319" s="176"/>
      <c r="AI319" s="176"/>
      <c r="AJ319" s="176"/>
      <c r="AK319" s="177"/>
      <c r="AM319" s="167" t="str">
        <v/>
      </c>
      <c r="AN319" s="175"/>
      <c r="AO319" s="176"/>
      <c r="AP319" s="176"/>
      <c r="AQ319" s="176"/>
      <c r="AR319" s="177"/>
    </row>
    <row r="320" spans="1:44">
      <c r="A320" s="204">
        <v>94</v>
      </c>
      <c r="B320" s="190" t="str">
        <v/>
      </c>
      <c r="C320" s="175"/>
      <c r="D320" s="176"/>
      <c r="E320" s="176"/>
      <c r="F320" s="176"/>
      <c r="G320" s="177"/>
      <c r="I320" s="167" t="str">
        <v/>
      </c>
      <c r="J320" s="175"/>
      <c r="K320" s="176"/>
      <c r="L320" s="176"/>
      <c r="M320" s="176"/>
      <c r="N320" s="220"/>
      <c r="O320" s="220"/>
      <c r="P320" s="177"/>
      <c r="R320" s="167" t="str">
        <v/>
      </c>
      <c r="S320" s="175"/>
      <c r="T320" s="176"/>
      <c r="U320" s="176"/>
      <c r="V320" s="176"/>
      <c r="W320" s="177"/>
      <c r="Y320" s="167" t="str">
        <v/>
      </c>
      <c r="Z320" s="175"/>
      <c r="AA320" s="176"/>
      <c r="AB320" s="176"/>
      <c r="AC320" s="176"/>
      <c r="AD320" s="177"/>
      <c r="AF320" s="167" t="str">
        <v/>
      </c>
      <c r="AG320" s="175"/>
      <c r="AH320" s="176"/>
      <c r="AI320" s="176"/>
      <c r="AJ320" s="176"/>
      <c r="AK320" s="177"/>
      <c r="AM320" s="167" t="str">
        <v/>
      </c>
      <c r="AN320" s="175"/>
      <c r="AO320" s="176"/>
      <c r="AP320" s="176"/>
      <c r="AQ320" s="176"/>
      <c r="AR320" s="177"/>
    </row>
    <row r="321" spans="1:44">
      <c r="A321" s="204">
        <v>95</v>
      </c>
      <c r="B321" s="190" t="str">
        <v/>
      </c>
      <c r="C321" s="175"/>
      <c r="D321" s="176"/>
      <c r="E321" s="176"/>
      <c r="F321" s="176"/>
      <c r="G321" s="177"/>
      <c r="I321" s="167" t="str">
        <v/>
      </c>
      <c r="J321" s="175"/>
      <c r="K321" s="176"/>
      <c r="L321" s="176"/>
      <c r="M321" s="176"/>
      <c r="N321" s="220"/>
      <c r="O321" s="220"/>
      <c r="P321" s="177"/>
      <c r="R321" s="167" t="str">
        <v/>
      </c>
      <c r="S321" s="175"/>
      <c r="T321" s="176"/>
      <c r="U321" s="176"/>
      <c r="V321" s="176"/>
      <c r="W321" s="177"/>
      <c r="Y321" s="167" t="str">
        <v/>
      </c>
      <c r="Z321" s="175"/>
      <c r="AA321" s="176"/>
      <c r="AB321" s="176"/>
      <c r="AC321" s="176"/>
      <c r="AD321" s="177"/>
      <c r="AF321" s="167" t="str">
        <v/>
      </c>
      <c r="AG321" s="175"/>
      <c r="AH321" s="176"/>
      <c r="AI321" s="176"/>
      <c r="AJ321" s="176"/>
      <c r="AK321" s="177"/>
      <c r="AM321" s="167" t="str">
        <v/>
      </c>
      <c r="AN321" s="175"/>
      <c r="AO321" s="176"/>
      <c r="AP321" s="176"/>
      <c r="AQ321" s="176"/>
      <c r="AR321" s="177"/>
    </row>
    <row r="322" spans="1:44">
      <c r="A322" s="204">
        <v>96</v>
      </c>
      <c r="B322" s="190" t="str">
        <v/>
      </c>
      <c r="C322" s="175"/>
      <c r="D322" s="176"/>
      <c r="E322" s="176"/>
      <c r="F322" s="176"/>
      <c r="G322" s="177"/>
      <c r="I322" s="167" t="str">
        <v/>
      </c>
      <c r="J322" s="175"/>
      <c r="K322" s="176"/>
      <c r="L322" s="176"/>
      <c r="M322" s="176"/>
      <c r="N322" s="220"/>
      <c r="O322" s="220"/>
      <c r="P322" s="177"/>
      <c r="R322" s="167" t="str">
        <v/>
      </c>
      <c r="S322" s="175"/>
      <c r="T322" s="176"/>
      <c r="U322" s="176"/>
      <c r="V322" s="176"/>
      <c r="W322" s="177"/>
      <c r="Y322" s="167" t="str">
        <v/>
      </c>
      <c r="Z322" s="175"/>
      <c r="AA322" s="176"/>
      <c r="AB322" s="176"/>
      <c r="AC322" s="176"/>
      <c r="AD322" s="177"/>
      <c r="AF322" s="167" t="str">
        <v/>
      </c>
      <c r="AG322" s="175"/>
      <c r="AH322" s="176"/>
      <c r="AI322" s="176"/>
      <c r="AJ322" s="176"/>
      <c r="AK322" s="177"/>
      <c r="AM322" s="167" t="str">
        <v/>
      </c>
      <c r="AN322" s="175"/>
      <c r="AO322" s="176"/>
      <c r="AP322" s="176"/>
      <c r="AQ322" s="176"/>
      <c r="AR322" s="177"/>
    </row>
    <row r="323" spans="1:44">
      <c r="A323" s="204">
        <v>97</v>
      </c>
      <c r="B323" s="190" t="str">
        <v/>
      </c>
      <c r="C323" s="175"/>
      <c r="D323" s="176"/>
      <c r="E323" s="176"/>
      <c r="F323" s="176"/>
      <c r="G323" s="177"/>
      <c r="I323" s="167" t="str">
        <v/>
      </c>
      <c r="J323" s="175"/>
      <c r="K323" s="176"/>
      <c r="L323" s="176"/>
      <c r="M323" s="176"/>
      <c r="N323" s="220"/>
      <c r="O323" s="220"/>
      <c r="P323" s="177"/>
      <c r="R323" s="167" t="str">
        <v/>
      </c>
      <c r="S323" s="175"/>
      <c r="T323" s="176"/>
      <c r="U323" s="176"/>
      <c r="V323" s="176"/>
      <c r="W323" s="177"/>
      <c r="Y323" s="167" t="str">
        <v/>
      </c>
      <c r="Z323" s="175"/>
      <c r="AA323" s="176"/>
      <c r="AB323" s="176"/>
      <c r="AC323" s="176"/>
      <c r="AD323" s="177"/>
      <c r="AF323" s="167" t="str">
        <v/>
      </c>
      <c r="AG323" s="175"/>
      <c r="AH323" s="176"/>
      <c r="AI323" s="176"/>
      <c r="AJ323" s="176"/>
      <c r="AK323" s="177"/>
      <c r="AM323" s="167" t="str">
        <v/>
      </c>
      <c r="AN323" s="175"/>
      <c r="AO323" s="176"/>
      <c r="AP323" s="176"/>
      <c r="AQ323" s="176"/>
      <c r="AR323" s="177"/>
    </row>
    <row r="324" spans="1:44">
      <c r="A324" s="204">
        <v>98</v>
      </c>
      <c r="B324" s="190" t="str">
        <v/>
      </c>
      <c r="C324" s="175"/>
      <c r="D324" s="176"/>
      <c r="E324" s="176"/>
      <c r="F324" s="176"/>
      <c r="G324" s="177"/>
      <c r="I324" s="167" t="str">
        <v/>
      </c>
      <c r="J324" s="175"/>
      <c r="K324" s="176"/>
      <c r="L324" s="176"/>
      <c r="M324" s="176"/>
      <c r="N324" s="220"/>
      <c r="O324" s="220"/>
      <c r="P324" s="177"/>
      <c r="R324" s="167" t="str">
        <v/>
      </c>
      <c r="S324" s="175"/>
      <c r="T324" s="176"/>
      <c r="U324" s="176"/>
      <c r="V324" s="176"/>
      <c r="W324" s="177"/>
      <c r="Y324" s="167" t="str">
        <v/>
      </c>
      <c r="Z324" s="175"/>
      <c r="AA324" s="176"/>
      <c r="AB324" s="176"/>
      <c r="AC324" s="176"/>
      <c r="AD324" s="177"/>
      <c r="AF324" s="167" t="str">
        <v/>
      </c>
      <c r="AG324" s="175"/>
      <c r="AH324" s="176"/>
      <c r="AI324" s="176"/>
      <c r="AJ324" s="176"/>
      <c r="AK324" s="177"/>
      <c r="AM324" s="167" t="str">
        <v/>
      </c>
      <c r="AN324" s="175"/>
      <c r="AO324" s="176"/>
      <c r="AP324" s="176"/>
      <c r="AQ324" s="176"/>
      <c r="AR324" s="177"/>
    </row>
    <row r="325" spans="1:44">
      <c r="A325" s="204">
        <v>99</v>
      </c>
      <c r="B325" s="190" t="str">
        <v/>
      </c>
      <c r="C325" s="175"/>
      <c r="D325" s="176"/>
      <c r="E325" s="176"/>
      <c r="F325" s="176"/>
      <c r="G325" s="177"/>
      <c r="I325" s="167" t="str">
        <v/>
      </c>
      <c r="J325" s="175"/>
      <c r="K325" s="176"/>
      <c r="L325" s="176"/>
      <c r="M325" s="176"/>
      <c r="N325" s="220"/>
      <c r="O325" s="220"/>
      <c r="P325" s="177"/>
      <c r="R325" s="167" t="str">
        <v/>
      </c>
      <c r="S325" s="175"/>
      <c r="T325" s="176"/>
      <c r="U325" s="176"/>
      <c r="V325" s="176"/>
      <c r="W325" s="177"/>
      <c r="Y325" s="167" t="str">
        <v/>
      </c>
      <c r="Z325" s="175"/>
      <c r="AA325" s="176"/>
      <c r="AB325" s="176"/>
      <c r="AC325" s="176"/>
      <c r="AD325" s="177"/>
      <c r="AF325" s="167" t="str">
        <v/>
      </c>
      <c r="AG325" s="175"/>
      <c r="AH325" s="176"/>
      <c r="AI325" s="176"/>
      <c r="AJ325" s="176"/>
      <c r="AK325" s="177"/>
      <c r="AM325" s="167" t="str">
        <v/>
      </c>
      <c r="AN325" s="175"/>
      <c r="AO325" s="176"/>
      <c r="AP325" s="176"/>
      <c r="AQ325" s="176"/>
      <c r="AR325" s="177"/>
    </row>
    <row r="326" spans="1:44">
      <c r="A326" s="204">
        <v>100</v>
      </c>
      <c r="B326" s="191" t="str">
        <v/>
      </c>
      <c r="C326" s="182"/>
      <c r="D326" s="183"/>
      <c r="E326" s="183"/>
      <c r="F326" s="183"/>
      <c r="G326" s="184"/>
      <c r="I326" s="168" t="str">
        <v/>
      </c>
      <c r="J326" s="182"/>
      <c r="K326" s="183"/>
      <c r="L326" s="183"/>
      <c r="M326" s="183"/>
      <c r="N326" s="221"/>
      <c r="O326" s="221"/>
      <c r="P326" s="184"/>
      <c r="R326" s="168" t="str">
        <v/>
      </c>
      <c r="S326" s="182"/>
      <c r="T326" s="183"/>
      <c r="U326" s="183"/>
      <c r="V326" s="183"/>
      <c r="W326" s="184"/>
      <c r="Y326" s="168" t="str">
        <v/>
      </c>
      <c r="Z326" s="182"/>
      <c r="AA326" s="183"/>
      <c r="AB326" s="183"/>
      <c r="AC326" s="183"/>
      <c r="AD326" s="184"/>
      <c r="AF326" s="168" t="str">
        <v/>
      </c>
      <c r="AG326" s="182"/>
      <c r="AH326" s="183"/>
      <c r="AI326" s="183"/>
      <c r="AJ326" s="183"/>
      <c r="AK326" s="184"/>
      <c r="AM326" s="168" t="str">
        <v/>
      </c>
      <c r="AN326" s="182"/>
      <c r="AO326" s="183"/>
      <c r="AP326" s="183"/>
      <c r="AQ326" s="183"/>
      <c r="AR326" s="184"/>
    </row>
    <row r="327" spans="1:44">
      <c r="A327" s="204"/>
      <c r="B327" s="151" t="s">
        <v>12</v>
      </c>
      <c r="C327" s="151" t="s">
        <v>12</v>
      </c>
      <c r="D327" s="151" t="s">
        <v>12</v>
      </c>
      <c r="E327" s="151" t="s">
        <v>12</v>
      </c>
      <c r="F327" s="151" t="s">
        <v>12</v>
      </c>
      <c r="G327" s="151" t="s">
        <v>12</v>
      </c>
      <c r="I327" s="151" t="s">
        <v>12</v>
      </c>
      <c r="J327" s="151" t="s">
        <v>12</v>
      </c>
      <c r="K327" s="151" t="s">
        <v>12</v>
      </c>
      <c r="L327" s="151" t="s">
        <v>12</v>
      </c>
      <c r="M327" s="151" t="s">
        <v>12</v>
      </c>
      <c r="N327" s="222" t="s">
        <v>12</v>
      </c>
      <c r="O327" s="222" t="s">
        <v>12</v>
      </c>
      <c r="P327" s="178" t="s">
        <v>12</v>
      </c>
      <c r="R327" s="151" t="s">
        <v>12</v>
      </c>
      <c r="S327" s="151" t="s">
        <v>12</v>
      </c>
      <c r="T327" s="151" t="s">
        <v>12</v>
      </c>
      <c r="U327" s="151" t="s">
        <v>12</v>
      </c>
      <c r="V327" s="151" t="s">
        <v>12</v>
      </c>
      <c r="W327" s="151" t="s">
        <v>12</v>
      </c>
      <c r="Y327" s="151" t="s">
        <v>12</v>
      </c>
      <c r="Z327" s="151" t="s">
        <v>12</v>
      </c>
      <c r="AA327" s="151" t="s">
        <v>12</v>
      </c>
      <c r="AB327" s="151" t="s">
        <v>12</v>
      </c>
      <c r="AC327" s="151" t="s">
        <v>12</v>
      </c>
      <c r="AD327" s="151" t="s">
        <v>12</v>
      </c>
      <c r="AF327" s="151" t="s">
        <v>12</v>
      </c>
      <c r="AG327" s="151" t="s">
        <v>12</v>
      </c>
      <c r="AH327" s="151" t="s">
        <v>12</v>
      </c>
      <c r="AI327" s="151" t="s">
        <v>12</v>
      </c>
      <c r="AJ327" s="151" t="s">
        <v>12</v>
      </c>
      <c r="AK327" s="151" t="s">
        <v>12</v>
      </c>
      <c r="AM327" s="151" t="s">
        <v>12</v>
      </c>
      <c r="AN327" s="151" t="s">
        <v>12</v>
      </c>
      <c r="AO327" s="151" t="s">
        <v>12</v>
      </c>
      <c r="AP327" s="151" t="s">
        <v>12</v>
      </c>
      <c r="AQ327" s="151" t="s">
        <v>12</v>
      </c>
      <c r="AR327" s="151" t="s">
        <v>12</v>
      </c>
    </row>
    <row r="328" spans="1:44">
      <c r="A328" s="204"/>
      <c r="I328" s="154"/>
      <c r="K328" s="154"/>
      <c r="N328" s="222"/>
      <c r="O328" s="222"/>
      <c r="P328" s="178"/>
      <c r="R328" s="154"/>
      <c r="T328" s="154"/>
      <c r="Y328" s="154"/>
      <c r="AA328" s="154"/>
      <c r="AF328" s="154"/>
      <c r="AH328" s="154"/>
      <c r="AM328" s="154"/>
      <c r="AO328" s="154"/>
    </row>
    <row r="329" spans="1:44">
      <c r="A329" s="204"/>
      <c r="N329" s="222"/>
      <c r="O329" s="222"/>
      <c r="P329" s="178"/>
    </row>
    <row r="330" spans="1:44">
      <c r="A330" s="204"/>
      <c r="D330" s="159" t="s">
        <v>363</v>
      </c>
      <c r="K330" s="159" t="s">
        <v>363</v>
      </c>
      <c r="N330" s="222"/>
      <c r="O330" s="222"/>
      <c r="P330" s="178"/>
      <c r="T330" s="159" t="s">
        <v>363</v>
      </c>
      <c r="AA330" s="159" t="s">
        <v>363</v>
      </c>
      <c r="AH330" s="159" t="s">
        <v>363</v>
      </c>
      <c r="AO330" s="159" t="s">
        <v>363</v>
      </c>
    </row>
    <row r="331" spans="1:44">
      <c r="A331" s="204"/>
      <c r="B331" s="154" t="s">
        <v>775</v>
      </c>
      <c r="D331" s="161" t="s">
        <v>2642</v>
      </c>
      <c r="I331" s="154" t="s">
        <v>776</v>
      </c>
      <c r="K331" s="161" t="s">
        <v>2643</v>
      </c>
      <c r="N331" s="222"/>
      <c r="O331" s="222"/>
      <c r="P331" s="178"/>
      <c r="R331" s="154" t="s">
        <v>777</v>
      </c>
      <c r="T331" s="161" t="s">
        <v>2644</v>
      </c>
      <c r="Y331" s="154" t="s">
        <v>778</v>
      </c>
      <c r="AA331" s="161" t="s">
        <v>2645</v>
      </c>
      <c r="AF331" s="154" t="s">
        <v>779</v>
      </c>
      <c r="AH331" s="161" t="s">
        <v>1990</v>
      </c>
      <c r="AM331" s="154" t="s">
        <v>780</v>
      </c>
      <c r="AO331" s="161" t="s">
        <v>2646</v>
      </c>
    </row>
    <row r="332" spans="1:44">
      <c r="A332" s="204"/>
      <c r="N332" s="222"/>
      <c r="O332" s="222"/>
      <c r="P332" s="178"/>
    </row>
    <row r="333" spans="1:44">
      <c r="A333" s="204"/>
      <c r="B333" s="162" t="s">
        <v>380</v>
      </c>
      <c r="C333" s="162" t="s">
        <v>381</v>
      </c>
      <c r="D333" s="162" t="s">
        <v>382</v>
      </c>
      <c r="E333" s="162" t="s">
        <v>383</v>
      </c>
      <c r="F333" s="162" t="s">
        <v>384</v>
      </c>
      <c r="G333" s="162" t="s">
        <v>385</v>
      </c>
      <c r="I333" s="162" t="s">
        <v>380</v>
      </c>
      <c r="J333" s="162" t="s">
        <v>381</v>
      </c>
      <c r="K333" s="162" t="s">
        <v>382</v>
      </c>
      <c r="L333" s="162" t="s">
        <v>383</v>
      </c>
      <c r="M333" s="162" t="s">
        <v>384</v>
      </c>
      <c r="N333" s="217" t="s">
        <v>928</v>
      </c>
      <c r="O333" s="217" t="s">
        <v>929</v>
      </c>
      <c r="P333" s="216" t="s">
        <v>385</v>
      </c>
      <c r="R333" s="162" t="s">
        <v>380</v>
      </c>
      <c r="S333" s="162" t="s">
        <v>381</v>
      </c>
      <c r="T333" s="162" t="s">
        <v>382</v>
      </c>
      <c r="U333" s="162" t="s">
        <v>383</v>
      </c>
      <c r="V333" s="162" t="s">
        <v>384</v>
      </c>
      <c r="W333" s="162" t="s">
        <v>385</v>
      </c>
      <c r="Y333" s="162" t="s">
        <v>380</v>
      </c>
      <c r="Z333" s="162" t="s">
        <v>381</v>
      </c>
      <c r="AA333" s="162" t="s">
        <v>382</v>
      </c>
      <c r="AB333" s="162" t="s">
        <v>383</v>
      </c>
      <c r="AC333" s="162" t="s">
        <v>384</v>
      </c>
      <c r="AD333" s="162" t="s">
        <v>385</v>
      </c>
      <c r="AF333" s="162" t="s">
        <v>380</v>
      </c>
      <c r="AG333" s="162" t="s">
        <v>381</v>
      </c>
      <c r="AH333" s="162" t="s">
        <v>382</v>
      </c>
      <c r="AI333" s="162" t="s">
        <v>383</v>
      </c>
      <c r="AJ333" s="162" t="s">
        <v>384</v>
      </c>
      <c r="AK333" s="162" t="s">
        <v>385</v>
      </c>
      <c r="AM333" s="162" t="s">
        <v>380</v>
      </c>
      <c r="AN333" s="162" t="s">
        <v>381</v>
      </c>
      <c r="AO333" s="162" t="s">
        <v>382</v>
      </c>
      <c r="AP333" s="162" t="s">
        <v>383</v>
      </c>
      <c r="AQ333" s="162" t="s">
        <v>384</v>
      </c>
      <c r="AR333" s="162" t="s">
        <v>385</v>
      </c>
    </row>
    <row r="334" spans="1:44">
      <c r="A334" s="204">
        <v>1</v>
      </c>
      <c r="B334" s="166" t="str">
        <f t="array" ref="B334:B433">getTickers(Instruments!C334:H433,100)</f>
        <v>MUTSCALM MTRT Index</v>
      </c>
      <c r="C334" s="169" t="s">
        <v>1469</v>
      </c>
      <c r="D334" s="170" t="s">
        <v>2287</v>
      </c>
      <c r="E334" s="170" t="s">
        <v>388</v>
      </c>
      <c r="F334" s="170" t="s">
        <v>1693</v>
      </c>
      <c r="G334" s="171">
        <v>-6.8000000000000005E-2</v>
      </c>
      <c r="I334" s="166" t="str">
        <f t="array" ref="I334:I433">getTickers(Instruments!K334:P433,100)</f>
        <v>JY0006M MTRT Index</v>
      </c>
      <c r="J334" s="169" t="s">
        <v>1469</v>
      </c>
      <c r="K334" s="170" t="s">
        <v>2297</v>
      </c>
      <c r="L334" s="170" t="s">
        <v>388</v>
      </c>
      <c r="M334" s="170" t="s">
        <v>1700</v>
      </c>
      <c r="N334" s="218" t="s">
        <v>2364</v>
      </c>
      <c r="O334" s="218" t="s">
        <v>2364</v>
      </c>
      <c r="P334" s="171">
        <v>2.2700000000000001E-2</v>
      </c>
      <c r="R334" s="166" t="str">
        <f t="array" ref="R334:R433">getTickers(Instruments!S334:X433,100)</f>
        <v>JYBC1 MTRT Curncy</v>
      </c>
      <c r="S334" s="169" t="s">
        <v>1469</v>
      </c>
      <c r="T334" s="170" t="s">
        <v>2320</v>
      </c>
      <c r="U334" s="170" t="s">
        <v>1109</v>
      </c>
      <c r="V334" s="170" t="s">
        <v>1708</v>
      </c>
      <c r="W334" s="171">
        <v>3.625</v>
      </c>
      <c r="Y334" s="166" t="str">
        <f t="array" ref="Y334:Y433">getTickers(Instruments!AA334:AF433,100)</f>
        <v>JYBB1 MTRT Curncy</v>
      </c>
      <c r="Z334" s="169" t="s">
        <v>1469</v>
      </c>
      <c r="AA334" s="170" t="s">
        <v>2330</v>
      </c>
      <c r="AB334" s="170" t="s">
        <v>1109</v>
      </c>
      <c r="AC334" s="170" t="s">
        <v>1718</v>
      </c>
      <c r="AD334" s="171">
        <v>5.375</v>
      </c>
      <c r="AF334" s="166" t="str">
        <f t="array" ref="AF334:AF433">getTickers(Instruments!AI334:AN433,100)</f>
        <v>#Empty List</v>
      </c>
      <c r="AG334" s="169" t="s">
        <v>1469</v>
      </c>
      <c r="AH334" s="170"/>
      <c r="AI334" s="170"/>
      <c r="AJ334" s="170"/>
      <c r="AK334" s="171"/>
      <c r="AM334" s="166" t="str">
        <f t="array" ref="AM334:AM433">getTickers(Instruments!AQ334:AV433,100)</f>
        <v>JYBS1 MTRT Curncy</v>
      </c>
      <c r="AN334" s="169" t="s">
        <v>1469</v>
      </c>
      <c r="AO334" s="170" t="s">
        <v>2348</v>
      </c>
      <c r="AP334" s="170" t="s">
        <v>1109</v>
      </c>
      <c r="AQ334" s="170" t="s">
        <v>1742</v>
      </c>
      <c r="AR334" s="171">
        <v>-35.25</v>
      </c>
    </row>
    <row r="335" spans="1:44">
      <c r="A335" s="204">
        <v>2</v>
      </c>
      <c r="B335" s="167" t="str">
        <v>JYSOA MTRT Curncy</v>
      </c>
      <c r="C335" s="175" t="s">
        <v>1470</v>
      </c>
      <c r="D335" s="176" t="s">
        <v>2288</v>
      </c>
      <c r="E335" s="176" t="s">
        <v>1121</v>
      </c>
      <c r="F335" s="176" t="s">
        <v>1941</v>
      </c>
      <c r="G335" s="177">
        <v>-5.5E-2</v>
      </c>
      <c r="I335" s="167" t="str">
        <v>JYFR2/8 MTRT Curncy</v>
      </c>
      <c r="J335" s="175" t="s">
        <v>1470</v>
      </c>
      <c r="K335" s="176" t="s">
        <v>2298</v>
      </c>
      <c r="L335" s="176" t="s">
        <v>508</v>
      </c>
      <c r="M335" s="176" t="s">
        <v>2253</v>
      </c>
      <c r="N335" s="220" t="s">
        <v>2364</v>
      </c>
      <c r="O335" s="220" t="s">
        <v>2364</v>
      </c>
      <c r="P335" s="177">
        <v>0.03</v>
      </c>
      <c r="R335" s="167" t="str">
        <v>JYBC2 MTRT Curncy</v>
      </c>
      <c r="S335" s="175" t="s">
        <v>1470</v>
      </c>
      <c r="T335" s="176" t="s">
        <v>2321</v>
      </c>
      <c r="U335" s="176" t="s">
        <v>1109</v>
      </c>
      <c r="V335" s="176" t="s">
        <v>1709</v>
      </c>
      <c r="W335" s="177">
        <v>3</v>
      </c>
      <c r="Y335" s="167" t="str">
        <v>JYBB2 MTRT Curncy</v>
      </c>
      <c r="Z335" s="175" t="s">
        <v>1470</v>
      </c>
      <c r="AA335" s="176" t="s">
        <v>2331</v>
      </c>
      <c r="AB335" s="176" t="s">
        <v>1109</v>
      </c>
      <c r="AC335" s="176" t="s">
        <v>1719</v>
      </c>
      <c r="AD335" s="177">
        <v>4.75</v>
      </c>
      <c r="AF335" s="167" t="str">
        <v>#Empty List</v>
      </c>
      <c r="AG335" s="175" t="s">
        <v>1470</v>
      </c>
      <c r="AH335" s="176"/>
      <c r="AI335" s="176"/>
      <c r="AJ335" s="176"/>
      <c r="AK335" s="177"/>
      <c r="AM335" s="167" t="str">
        <v>JYBS2 MTRT Curncy</v>
      </c>
      <c r="AN335" s="175" t="s">
        <v>1470</v>
      </c>
      <c r="AO335" s="176" t="s">
        <v>2349</v>
      </c>
      <c r="AP335" s="176" t="s">
        <v>1109</v>
      </c>
      <c r="AQ335" s="176" t="s">
        <v>1743</v>
      </c>
      <c r="AR335" s="177">
        <v>-40.875</v>
      </c>
    </row>
    <row r="336" spans="1:44">
      <c r="A336" s="204">
        <v>3</v>
      </c>
      <c r="B336" s="167" t="str">
        <v>JYSOC MTRT Curncy</v>
      </c>
      <c r="C336" s="175" t="s">
        <v>385</v>
      </c>
      <c r="D336" s="176" t="s">
        <v>2289</v>
      </c>
      <c r="E336" s="176" t="s">
        <v>1121</v>
      </c>
      <c r="F336" s="176" t="s">
        <v>1694</v>
      </c>
      <c r="G336" s="177">
        <v>-5.3749999999999999E-2</v>
      </c>
      <c r="I336" s="167" t="str">
        <v>JYFR3/9 MTRT Curncy</v>
      </c>
      <c r="J336" s="175" t="s">
        <v>930</v>
      </c>
      <c r="K336" s="176" t="s">
        <v>2299</v>
      </c>
      <c r="L336" s="176" t="s">
        <v>508</v>
      </c>
      <c r="M336" s="176" t="s">
        <v>2254</v>
      </c>
      <c r="N336" s="220" t="s">
        <v>2364</v>
      </c>
      <c r="O336" s="220" t="s">
        <v>2364</v>
      </c>
      <c r="P336" s="177">
        <v>3.2500000000000001E-2</v>
      </c>
      <c r="R336" s="167" t="str">
        <v>JYBC3 MTRT Curncy</v>
      </c>
      <c r="S336" s="175" t="s">
        <v>385</v>
      </c>
      <c r="T336" s="176" t="s">
        <v>2322</v>
      </c>
      <c r="U336" s="176" t="s">
        <v>1109</v>
      </c>
      <c r="V336" s="176" t="s">
        <v>1710</v>
      </c>
      <c r="W336" s="177">
        <v>3</v>
      </c>
      <c r="Y336" s="167" t="str">
        <v>JYBB3 MTRT Curncy</v>
      </c>
      <c r="Z336" s="175" t="s">
        <v>385</v>
      </c>
      <c r="AA336" s="176" t="s">
        <v>2332</v>
      </c>
      <c r="AB336" s="176" t="s">
        <v>1109</v>
      </c>
      <c r="AC336" s="176" t="s">
        <v>1720</v>
      </c>
      <c r="AD336" s="177">
        <v>4.625</v>
      </c>
      <c r="AF336" s="167" t="str">
        <v>#Empty List</v>
      </c>
      <c r="AG336" s="175" t="s">
        <v>385</v>
      </c>
      <c r="AH336" s="176"/>
      <c r="AI336" s="176"/>
      <c r="AJ336" s="176"/>
      <c r="AK336" s="177"/>
      <c r="AM336" s="167" t="str">
        <v>JYBS3 MTRT Curncy</v>
      </c>
      <c r="AN336" s="175" t="s">
        <v>385</v>
      </c>
      <c r="AO336" s="176" t="s">
        <v>2350</v>
      </c>
      <c r="AP336" s="176" t="s">
        <v>1109</v>
      </c>
      <c r="AQ336" s="176" t="s">
        <v>1744</v>
      </c>
      <c r="AR336" s="177">
        <v>-44.375</v>
      </c>
    </row>
    <row r="337" spans="1:44">
      <c r="A337" s="204">
        <v>4</v>
      </c>
      <c r="B337" s="167" t="str">
        <v>JYSOF MTRT Curncy</v>
      </c>
      <c r="C337" s="175"/>
      <c r="D337" s="176" t="s">
        <v>2290</v>
      </c>
      <c r="E337" s="176" t="s">
        <v>1121</v>
      </c>
      <c r="F337" s="176" t="s">
        <v>1695</v>
      </c>
      <c r="G337" s="177">
        <v>-4.7500000000000001E-2</v>
      </c>
      <c r="I337" s="167" t="str">
        <v>JYFR4/10 MTRT Curncy</v>
      </c>
      <c r="J337" s="175" t="s">
        <v>931</v>
      </c>
      <c r="K337" s="176" t="s">
        <v>2300</v>
      </c>
      <c r="L337" s="176" t="s">
        <v>508</v>
      </c>
      <c r="M337" s="176" t="s">
        <v>2255</v>
      </c>
      <c r="N337" s="220" t="s">
        <v>2364</v>
      </c>
      <c r="O337" s="220" t="s">
        <v>2364</v>
      </c>
      <c r="P337" s="177">
        <v>3.5000000000000003E-2</v>
      </c>
      <c r="R337" s="167" t="str">
        <v>JYBC4 MTRT Curncy</v>
      </c>
      <c r="S337" s="175"/>
      <c r="T337" s="176" t="s">
        <v>2323</v>
      </c>
      <c r="U337" s="176" t="s">
        <v>1109</v>
      </c>
      <c r="V337" s="176" t="s">
        <v>1711</v>
      </c>
      <c r="W337" s="177">
        <v>3.125</v>
      </c>
      <c r="Y337" s="167" t="str">
        <v>JYBB4 MTRT Curncy</v>
      </c>
      <c r="Z337" s="175"/>
      <c r="AA337" s="176" t="s">
        <v>2333</v>
      </c>
      <c r="AB337" s="176" t="s">
        <v>1109</v>
      </c>
      <c r="AC337" s="176" t="s">
        <v>1721</v>
      </c>
      <c r="AD337" s="177">
        <v>4.75</v>
      </c>
      <c r="AF337" s="167" t="str">
        <v>#Empty List</v>
      </c>
      <c r="AG337" s="175"/>
      <c r="AH337" s="176"/>
      <c r="AI337" s="176"/>
      <c r="AJ337" s="176"/>
      <c r="AK337" s="177"/>
      <c r="AM337" s="167" t="str">
        <v>JYBS4 MTRT Curncy</v>
      </c>
      <c r="AN337" s="175"/>
      <c r="AO337" s="176" t="s">
        <v>2351</v>
      </c>
      <c r="AP337" s="176" t="s">
        <v>1109</v>
      </c>
      <c r="AQ337" s="176" t="s">
        <v>1745</v>
      </c>
      <c r="AR337" s="177">
        <v>-47</v>
      </c>
    </row>
    <row r="338" spans="1:44">
      <c r="A338" s="204">
        <v>5</v>
      </c>
      <c r="B338" s="167" t="str">
        <v>JYSO1 MTRT Curncy</v>
      </c>
      <c r="C338" s="175"/>
      <c r="D338" s="176" t="s">
        <v>2291</v>
      </c>
      <c r="E338" s="176" t="s">
        <v>1121</v>
      </c>
      <c r="F338" s="176" t="s">
        <v>1696</v>
      </c>
      <c r="G338" s="177">
        <v>-3.5000000000000003E-2</v>
      </c>
      <c r="I338" s="167" t="str">
        <v>JYFR5/11 MTRT Curncy</v>
      </c>
      <c r="J338" s="175" t="s">
        <v>385</v>
      </c>
      <c r="K338" s="176" t="s">
        <v>2301</v>
      </c>
      <c r="L338" s="176" t="s">
        <v>508</v>
      </c>
      <c r="M338" s="176" t="s">
        <v>2256</v>
      </c>
      <c r="N338" s="220" t="s">
        <v>2364</v>
      </c>
      <c r="O338" s="220" t="s">
        <v>2364</v>
      </c>
      <c r="P338" s="177">
        <v>3.7499999999999999E-2</v>
      </c>
      <c r="R338" s="167" t="str">
        <v>JYBC5 MTRT Curncy</v>
      </c>
      <c r="S338" s="175"/>
      <c r="T338" s="176" t="s">
        <v>2324</v>
      </c>
      <c r="U338" s="176" t="s">
        <v>1109</v>
      </c>
      <c r="V338" s="176" t="s">
        <v>1712</v>
      </c>
      <c r="W338" s="177">
        <v>3.375</v>
      </c>
      <c r="Y338" s="167" t="str">
        <v>JYBB5 MTRT Curncy</v>
      </c>
      <c r="Z338" s="175"/>
      <c r="AA338" s="176" t="s">
        <v>2334</v>
      </c>
      <c r="AB338" s="176" t="s">
        <v>1109</v>
      </c>
      <c r="AC338" s="176" t="s">
        <v>1722</v>
      </c>
      <c r="AD338" s="177">
        <v>5</v>
      </c>
      <c r="AF338" s="167" t="str">
        <v>#Empty List</v>
      </c>
      <c r="AG338" s="175"/>
      <c r="AH338" s="176"/>
      <c r="AI338" s="176"/>
      <c r="AJ338" s="176"/>
      <c r="AK338" s="177"/>
      <c r="AM338" s="167" t="str">
        <v>JYBS5 MTRT Curncy</v>
      </c>
      <c r="AN338" s="175"/>
      <c r="AO338" s="176" t="s">
        <v>2352</v>
      </c>
      <c r="AP338" s="176" t="s">
        <v>1109</v>
      </c>
      <c r="AQ338" s="176" t="s">
        <v>1746</v>
      </c>
      <c r="AR338" s="177">
        <v>-48.875</v>
      </c>
    </row>
    <row r="339" spans="1:44">
      <c r="A339" s="204">
        <v>6</v>
      </c>
      <c r="B339" s="167" t="str">
        <v>JYSO2 MTRT Curncy</v>
      </c>
      <c r="C339" s="175"/>
      <c r="D339" s="176" t="s">
        <v>2292</v>
      </c>
      <c r="E339" s="176" t="s">
        <v>1121</v>
      </c>
      <c r="F339" s="176" t="s">
        <v>1697</v>
      </c>
      <c r="G339" s="177">
        <v>-1.6250000000000001E-2</v>
      </c>
      <c r="I339" s="167" t="str">
        <v>JYFR6/12 MTRT Curncy</v>
      </c>
      <c r="J339" s="175"/>
      <c r="K339" s="176" t="s">
        <v>2302</v>
      </c>
      <c r="L339" s="176" t="s">
        <v>508</v>
      </c>
      <c r="M339" s="176" t="s">
        <v>2257</v>
      </c>
      <c r="N339" s="220" t="s">
        <v>2364</v>
      </c>
      <c r="O339" s="220" t="s">
        <v>2364</v>
      </c>
      <c r="P339" s="177">
        <v>4.1250000000000002E-2</v>
      </c>
      <c r="R339" s="167" t="str">
        <v>JYBC6 MTRT Curncy</v>
      </c>
      <c r="S339" s="175"/>
      <c r="T339" s="176" t="s">
        <v>2325</v>
      </c>
      <c r="U339" s="176" t="s">
        <v>1109</v>
      </c>
      <c r="V339" s="176" t="s">
        <v>1713</v>
      </c>
      <c r="W339" s="177">
        <v>3.625</v>
      </c>
      <c r="Y339" s="167" t="str">
        <v>JYBB6 MTRT Curncy</v>
      </c>
      <c r="Z339" s="175"/>
      <c r="AA339" s="176" t="s">
        <v>2335</v>
      </c>
      <c r="AB339" s="176" t="s">
        <v>1109</v>
      </c>
      <c r="AC339" s="176" t="s">
        <v>1723</v>
      </c>
      <c r="AD339" s="177">
        <v>5.25</v>
      </c>
      <c r="AF339" s="167" t="str">
        <v>#Empty List</v>
      </c>
      <c r="AG339" s="175"/>
      <c r="AH339" s="176"/>
      <c r="AI339" s="176"/>
      <c r="AJ339" s="176"/>
      <c r="AK339" s="177"/>
      <c r="AM339" s="167" t="str">
        <v>JYBS6 MTRT Curncy</v>
      </c>
      <c r="AN339" s="175"/>
      <c r="AO339" s="176" t="s">
        <v>2353</v>
      </c>
      <c r="AP339" s="176" t="s">
        <v>1109</v>
      </c>
      <c r="AQ339" s="176" t="s">
        <v>1747</v>
      </c>
      <c r="AR339" s="177">
        <v>-50.25</v>
      </c>
    </row>
    <row r="340" spans="1:44">
      <c r="A340" s="204">
        <v>7</v>
      </c>
      <c r="B340" s="167" t="str">
        <v>JYSO3 MTRT Curncy</v>
      </c>
      <c r="C340" s="175"/>
      <c r="D340" s="176" t="s">
        <v>2293</v>
      </c>
      <c r="E340" s="176" t="s">
        <v>1121</v>
      </c>
      <c r="F340" s="176" t="s">
        <v>1698</v>
      </c>
      <c r="G340" s="177">
        <v>-3.7499999999999999E-3</v>
      </c>
      <c r="I340" s="167" t="str">
        <v>JYSWAP2 MTRT Curncy</v>
      </c>
      <c r="J340" s="175"/>
      <c r="K340" s="176" t="s">
        <v>2303</v>
      </c>
      <c r="L340" s="176" t="s">
        <v>472</v>
      </c>
      <c r="M340" s="176" t="s">
        <v>2474</v>
      </c>
      <c r="N340" s="220" t="s">
        <v>2364</v>
      </c>
      <c r="O340" s="220" t="s">
        <v>2364</v>
      </c>
      <c r="P340" s="177">
        <v>5.3749999999999999E-2</v>
      </c>
      <c r="R340" s="167" t="str">
        <v>JYBC7 MTRT Curncy</v>
      </c>
      <c r="S340" s="175"/>
      <c r="T340" s="176" t="s">
        <v>2326</v>
      </c>
      <c r="U340" s="176" t="s">
        <v>1109</v>
      </c>
      <c r="V340" s="176" t="s">
        <v>1714</v>
      </c>
      <c r="W340" s="177">
        <v>4</v>
      </c>
      <c r="Y340" s="167" t="str">
        <v>JYBB7 MTRT Curncy</v>
      </c>
      <c r="Z340" s="175"/>
      <c r="AA340" s="176" t="s">
        <v>2336</v>
      </c>
      <c r="AB340" s="176" t="s">
        <v>1109</v>
      </c>
      <c r="AC340" s="176" t="s">
        <v>1724</v>
      </c>
      <c r="AD340" s="177">
        <v>5.625</v>
      </c>
      <c r="AF340" s="167" t="str">
        <v>#Empty List</v>
      </c>
      <c r="AG340" s="175"/>
      <c r="AH340" s="176"/>
      <c r="AI340" s="176"/>
      <c r="AJ340" s="176"/>
      <c r="AK340" s="177"/>
      <c r="AM340" s="167" t="str">
        <v>JYBS7 MTRT Curncy</v>
      </c>
      <c r="AN340" s="175"/>
      <c r="AO340" s="176" t="s">
        <v>2354</v>
      </c>
      <c r="AP340" s="176" t="s">
        <v>1109</v>
      </c>
      <c r="AQ340" s="176" t="s">
        <v>1748</v>
      </c>
      <c r="AR340" s="177">
        <v>-51.125</v>
      </c>
    </row>
    <row r="341" spans="1:44">
      <c r="A341" s="204">
        <v>8</v>
      </c>
      <c r="B341" s="167" t="str">
        <v>JYSO4 MTRT Curncy</v>
      </c>
      <c r="C341" s="175"/>
      <c r="D341" s="176" t="s">
        <v>2294</v>
      </c>
      <c r="E341" s="176" t="s">
        <v>1121</v>
      </c>
      <c r="F341" s="176" t="s">
        <v>1699</v>
      </c>
      <c r="G341" s="177">
        <v>0.01</v>
      </c>
      <c r="I341" s="167" t="str">
        <v>JYSWAP3 MTRT Curncy</v>
      </c>
      <c r="J341" s="175"/>
      <c r="K341" s="176" t="s">
        <v>2304</v>
      </c>
      <c r="L341" s="176" t="s">
        <v>472</v>
      </c>
      <c r="M341" s="176" t="s">
        <v>2475</v>
      </c>
      <c r="N341" s="220" t="s">
        <v>2364</v>
      </c>
      <c r="O341" s="220" t="s">
        <v>2364</v>
      </c>
      <c r="P341" s="177">
        <v>7.0000000000000007E-2</v>
      </c>
      <c r="R341" s="167" t="str">
        <v>JYBC8 MTRT Curncy</v>
      </c>
      <c r="S341" s="175"/>
      <c r="T341" s="176" t="s">
        <v>2327</v>
      </c>
      <c r="U341" s="176" t="s">
        <v>1109</v>
      </c>
      <c r="V341" s="176" t="s">
        <v>1715</v>
      </c>
      <c r="W341" s="177">
        <v>4.5</v>
      </c>
      <c r="Y341" s="167" t="str">
        <v>JYBB8 MTRT Curncy</v>
      </c>
      <c r="Z341" s="175"/>
      <c r="AA341" s="176" t="s">
        <v>2337</v>
      </c>
      <c r="AB341" s="176" t="s">
        <v>1109</v>
      </c>
      <c r="AC341" s="176" t="s">
        <v>1725</v>
      </c>
      <c r="AD341" s="177">
        <v>6.125</v>
      </c>
      <c r="AF341" s="167" t="str">
        <v>#Empty List</v>
      </c>
      <c r="AG341" s="175"/>
      <c r="AH341" s="176"/>
      <c r="AI341" s="176"/>
      <c r="AJ341" s="176"/>
      <c r="AK341" s="177"/>
      <c r="AM341" s="167" t="str">
        <v>JYBS8 MTRT Curncy</v>
      </c>
      <c r="AN341" s="175"/>
      <c r="AO341" s="176" t="s">
        <v>2355</v>
      </c>
      <c r="AP341" s="176" t="s">
        <v>1109</v>
      </c>
      <c r="AQ341" s="176" t="s">
        <v>1749</v>
      </c>
      <c r="AR341" s="177">
        <v>-51.625</v>
      </c>
    </row>
    <row r="342" spans="1:44">
      <c r="A342" s="204">
        <v>9</v>
      </c>
      <c r="B342" s="167" t="str">
        <v>JYSO5 MTRT Curncy</v>
      </c>
      <c r="C342" s="175"/>
      <c r="D342" s="176" t="s">
        <v>2295</v>
      </c>
      <c r="E342" s="176" t="s">
        <v>1121</v>
      </c>
      <c r="F342" s="176" t="s">
        <v>1683</v>
      </c>
      <c r="G342" s="177">
        <v>2.75E-2</v>
      </c>
      <c r="I342" s="167" t="str">
        <v>JYSWAP4 MTRT Curncy</v>
      </c>
      <c r="J342" s="175"/>
      <c r="K342" s="176" t="s">
        <v>2305</v>
      </c>
      <c r="L342" s="176" t="s">
        <v>472</v>
      </c>
      <c r="M342" s="176" t="s">
        <v>2476</v>
      </c>
      <c r="N342" s="220" t="s">
        <v>2364</v>
      </c>
      <c r="O342" s="220" t="s">
        <v>2364</v>
      </c>
      <c r="P342" s="177">
        <v>8.8749999999999996E-2</v>
      </c>
      <c r="R342" s="167" t="str">
        <v>JYBC9 MTRT Curncy</v>
      </c>
      <c r="S342" s="175"/>
      <c r="T342" s="176" t="s">
        <v>2328</v>
      </c>
      <c r="U342" s="176" t="s">
        <v>1109</v>
      </c>
      <c r="V342" s="176" t="s">
        <v>1716</v>
      </c>
      <c r="W342" s="177">
        <v>5</v>
      </c>
      <c r="Y342" s="167" t="str">
        <v>JYBB9 MTRT Curncy</v>
      </c>
      <c r="Z342" s="175"/>
      <c r="AA342" s="176" t="s">
        <v>2338</v>
      </c>
      <c r="AB342" s="176" t="s">
        <v>1109</v>
      </c>
      <c r="AC342" s="176" t="s">
        <v>1726</v>
      </c>
      <c r="AD342" s="177">
        <v>6.625</v>
      </c>
      <c r="AF342" s="167" t="str">
        <v>#Empty List</v>
      </c>
      <c r="AG342" s="175"/>
      <c r="AH342" s="176"/>
      <c r="AI342" s="176"/>
      <c r="AJ342" s="176"/>
      <c r="AK342" s="177"/>
      <c r="AM342" s="167" t="str">
        <v>JYBS9 MTRT Curncy</v>
      </c>
      <c r="AN342" s="175"/>
      <c r="AO342" s="176" t="s">
        <v>2356</v>
      </c>
      <c r="AP342" s="176" t="s">
        <v>1109</v>
      </c>
      <c r="AQ342" s="176" t="s">
        <v>1750</v>
      </c>
      <c r="AR342" s="177">
        <v>-51.75</v>
      </c>
    </row>
    <row r="343" spans="1:44">
      <c r="A343" s="204">
        <v>10</v>
      </c>
      <c r="B343" s="167" t="str">
        <v>JYSO6 MTRT Curncy</v>
      </c>
      <c r="C343" s="175"/>
      <c r="D343" s="176" t="s">
        <v>2296</v>
      </c>
      <c r="E343" s="176" t="s">
        <v>1121</v>
      </c>
      <c r="F343" s="176" t="s">
        <v>1684</v>
      </c>
      <c r="G343" s="177">
        <v>4.8750000000000002E-2</v>
      </c>
      <c r="I343" s="167" t="str">
        <v>JYSWAP5 MTRT Curncy</v>
      </c>
      <c r="J343" s="175"/>
      <c r="K343" s="176" t="s">
        <v>2306</v>
      </c>
      <c r="L343" s="176" t="s">
        <v>472</v>
      </c>
      <c r="M343" s="176" t="s">
        <v>2477</v>
      </c>
      <c r="N343" s="220" t="s">
        <v>2364</v>
      </c>
      <c r="O343" s="220" t="s">
        <v>2364</v>
      </c>
      <c r="P343" s="177">
        <v>0.11125</v>
      </c>
      <c r="R343" s="167" t="str">
        <v>JYBC10 MTRT Curncy</v>
      </c>
      <c r="S343" s="175"/>
      <c r="T343" s="176" t="s">
        <v>2329</v>
      </c>
      <c r="U343" s="176" t="s">
        <v>1109</v>
      </c>
      <c r="V343" s="176" t="s">
        <v>1717</v>
      </c>
      <c r="W343" s="177">
        <v>5.5</v>
      </c>
      <c r="Y343" s="167" t="str">
        <v>JYBB10 MTRT Curncy</v>
      </c>
      <c r="Z343" s="175"/>
      <c r="AA343" s="176" t="s">
        <v>2339</v>
      </c>
      <c r="AB343" s="176" t="s">
        <v>1109</v>
      </c>
      <c r="AC343" s="176" t="s">
        <v>1727</v>
      </c>
      <c r="AD343" s="177">
        <v>7.125</v>
      </c>
      <c r="AF343" s="167" t="str">
        <v>#Empty List</v>
      </c>
      <c r="AG343" s="175"/>
      <c r="AH343" s="176"/>
      <c r="AI343" s="176"/>
      <c r="AJ343" s="176"/>
      <c r="AK343" s="177"/>
      <c r="AM343" s="167" t="str">
        <v>JYBS10 MTRT Curncy</v>
      </c>
      <c r="AN343" s="175"/>
      <c r="AO343" s="176" t="s">
        <v>2357</v>
      </c>
      <c r="AP343" s="176" t="s">
        <v>1109</v>
      </c>
      <c r="AQ343" s="176" t="s">
        <v>1751</v>
      </c>
      <c r="AR343" s="177">
        <v>-51.5</v>
      </c>
    </row>
    <row r="344" spans="1:44">
      <c r="A344" s="204">
        <v>11</v>
      </c>
      <c r="B344" s="167" t="str">
        <v>JYSO7 MTRT Curncy</v>
      </c>
      <c r="C344" s="175"/>
      <c r="D344" s="176" t="s">
        <v>2267</v>
      </c>
      <c r="E344" s="176" t="s">
        <v>1121</v>
      </c>
      <c r="F344" s="176" t="s">
        <v>1685</v>
      </c>
      <c r="G344" s="177">
        <v>7.2499999999999995E-2</v>
      </c>
      <c r="I344" s="167" t="str">
        <v>JYSWAP6 MTRT Curncy</v>
      </c>
      <c r="J344" s="175"/>
      <c r="K344" s="176" t="s">
        <v>2277</v>
      </c>
      <c r="L344" s="176" t="s">
        <v>472</v>
      </c>
      <c r="M344" s="176" t="s">
        <v>2478</v>
      </c>
      <c r="N344" s="220" t="s">
        <v>2364</v>
      </c>
      <c r="O344" s="220" t="s">
        <v>2364</v>
      </c>
      <c r="P344" s="177">
        <v>0.13750000000000001</v>
      </c>
      <c r="R344" s="167" t="str">
        <v>JYBC11 MTRT Curncy</v>
      </c>
      <c r="S344" s="175"/>
      <c r="T344" s="176" t="s">
        <v>2307</v>
      </c>
      <c r="U344" s="176" t="s">
        <v>1109</v>
      </c>
      <c r="V344" s="176" t="s">
        <v>1701</v>
      </c>
      <c r="W344" s="177">
        <v>6</v>
      </c>
      <c r="Y344" s="167" t="str">
        <v>JYBB12 MTRT Curncy</v>
      </c>
      <c r="Z344" s="175"/>
      <c r="AA344" s="176" t="s">
        <v>2314</v>
      </c>
      <c r="AB344" s="176" t="s">
        <v>1109</v>
      </c>
      <c r="AC344" s="176" t="s">
        <v>1728</v>
      </c>
      <c r="AD344" s="177">
        <v>8</v>
      </c>
      <c r="AF344" s="167" t="str">
        <v>#Empty List</v>
      </c>
      <c r="AG344" s="175"/>
      <c r="AH344" s="176"/>
      <c r="AI344" s="176"/>
      <c r="AJ344" s="176"/>
      <c r="AK344" s="177"/>
      <c r="AM344" s="167" t="str">
        <v>JYBS11 MTRT Curncy</v>
      </c>
      <c r="AN344" s="175"/>
      <c r="AO344" s="176" t="s">
        <v>2340</v>
      </c>
      <c r="AP344" s="176" t="s">
        <v>1109</v>
      </c>
      <c r="AQ344" s="176" t="s">
        <v>1734</v>
      </c>
      <c r="AR344" s="177">
        <v>-51.25</v>
      </c>
    </row>
    <row r="345" spans="1:44">
      <c r="A345" s="204">
        <v>12</v>
      </c>
      <c r="B345" s="167" t="str">
        <v>JYSO8 MTRT Curncy</v>
      </c>
      <c r="C345" s="175"/>
      <c r="D345" s="176" t="s">
        <v>2268</v>
      </c>
      <c r="E345" s="176" t="s">
        <v>1121</v>
      </c>
      <c r="F345" s="176" t="s">
        <v>1686</v>
      </c>
      <c r="G345" s="177">
        <v>9.6250000000000002E-2</v>
      </c>
      <c r="I345" s="167" t="str">
        <v>JYSWAP7 MTRT Curncy</v>
      </c>
      <c r="J345" s="175"/>
      <c r="K345" s="176" t="s">
        <v>2278</v>
      </c>
      <c r="L345" s="176" t="s">
        <v>472</v>
      </c>
      <c r="M345" s="176" t="s">
        <v>2479</v>
      </c>
      <c r="N345" s="220" t="s">
        <v>2364</v>
      </c>
      <c r="O345" s="220" t="s">
        <v>2364</v>
      </c>
      <c r="P345" s="177">
        <v>0.16750000000000001</v>
      </c>
      <c r="R345" s="167" t="str">
        <v>JYBC12 MTRT Curncy</v>
      </c>
      <c r="S345" s="175"/>
      <c r="T345" s="176" t="s">
        <v>2308</v>
      </c>
      <c r="U345" s="176" t="s">
        <v>1109</v>
      </c>
      <c r="V345" s="176" t="s">
        <v>1702</v>
      </c>
      <c r="W345" s="177">
        <v>6.375</v>
      </c>
      <c r="Y345" s="167" t="str">
        <v>JYBB15 MTRT Curncy</v>
      </c>
      <c r="Z345" s="175"/>
      <c r="AA345" s="176" t="s">
        <v>2315</v>
      </c>
      <c r="AB345" s="176" t="s">
        <v>1109</v>
      </c>
      <c r="AC345" s="176" t="s">
        <v>1729</v>
      </c>
      <c r="AD345" s="177">
        <v>8.75</v>
      </c>
      <c r="AF345" s="167" t="str">
        <v>#Empty List</v>
      </c>
      <c r="AG345" s="175"/>
      <c r="AH345" s="176"/>
      <c r="AI345" s="176"/>
      <c r="AJ345" s="176"/>
      <c r="AK345" s="177"/>
      <c r="AM345" s="167" t="str">
        <v>JYBS12 MTRT Curncy</v>
      </c>
      <c r="AN345" s="175"/>
      <c r="AO345" s="176" t="s">
        <v>2341</v>
      </c>
      <c r="AP345" s="176" t="s">
        <v>1109</v>
      </c>
      <c r="AQ345" s="176" t="s">
        <v>1735</v>
      </c>
      <c r="AR345" s="177">
        <v>-51</v>
      </c>
    </row>
    <row r="346" spans="1:44">
      <c r="A346" s="204">
        <v>13</v>
      </c>
      <c r="B346" s="167" t="str">
        <v>JYSO9 MTRT Curncy</v>
      </c>
      <c r="C346" s="175"/>
      <c r="D346" s="176" t="s">
        <v>2269</v>
      </c>
      <c r="E346" s="176" t="s">
        <v>1121</v>
      </c>
      <c r="F346" s="176" t="s">
        <v>1687</v>
      </c>
      <c r="G346" s="177">
        <v>0.1225</v>
      </c>
      <c r="I346" s="167" t="str">
        <v>JYSWAP8 MTRT Curncy</v>
      </c>
      <c r="J346" s="175"/>
      <c r="K346" s="176" t="s">
        <v>2279</v>
      </c>
      <c r="L346" s="176" t="s">
        <v>472</v>
      </c>
      <c r="M346" s="176" t="s">
        <v>2480</v>
      </c>
      <c r="N346" s="220" t="s">
        <v>2364</v>
      </c>
      <c r="O346" s="220" t="s">
        <v>2364</v>
      </c>
      <c r="P346" s="177">
        <v>0.19875000000000001</v>
      </c>
      <c r="R346" s="167" t="str">
        <v>JYBC15 MTRT Curncy</v>
      </c>
      <c r="S346" s="175"/>
      <c r="T346" s="176" t="s">
        <v>2309</v>
      </c>
      <c r="U346" s="176" t="s">
        <v>1109</v>
      </c>
      <c r="V346" s="176" t="s">
        <v>1703</v>
      </c>
      <c r="W346" s="177">
        <v>7.125</v>
      </c>
      <c r="Y346" s="167" t="str">
        <v>JYBB20 MTRT Curncy</v>
      </c>
      <c r="Z346" s="175"/>
      <c r="AA346" s="176" t="s">
        <v>2316</v>
      </c>
      <c r="AB346" s="176" t="s">
        <v>1109</v>
      </c>
      <c r="AC346" s="176" t="s">
        <v>1730</v>
      </c>
      <c r="AD346" s="177">
        <v>9.5</v>
      </c>
      <c r="AF346" s="167" t="str">
        <v>#Empty List</v>
      </c>
      <c r="AG346" s="175"/>
      <c r="AH346" s="176"/>
      <c r="AI346" s="176"/>
      <c r="AJ346" s="176"/>
      <c r="AK346" s="177"/>
      <c r="AM346" s="167" t="str">
        <v>JYBS13 MTRT Curncy</v>
      </c>
      <c r="AN346" s="175"/>
      <c r="AO346" s="176" t="s">
        <v>2342</v>
      </c>
      <c r="AP346" s="176" t="s">
        <v>1109</v>
      </c>
      <c r="AQ346" s="176" t="s">
        <v>1736</v>
      </c>
      <c r="AR346" s="177" t="s">
        <v>1108</v>
      </c>
    </row>
    <row r="347" spans="1:44">
      <c r="A347" s="204">
        <v>14</v>
      </c>
      <c r="B347" s="167" t="str">
        <v>JYSO10 MTRT Curncy</v>
      </c>
      <c r="C347" s="175"/>
      <c r="D347" s="176" t="s">
        <v>2270</v>
      </c>
      <c r="E347" s="176" t="s">
        <v>1121</v>
      </c>
      <c r="F347" s="176" t="s">
        <v>1688</v>
      </c>
      <c r="G347" s="177">
        <v>0.15125</v>
      </c>
      <c r="I347" s="167" t="str">
        <v>JYSWAP9 MTRT Curncy</v>
      </c>
      <c r="J347" s="175"/>
      <c r="K347" s="176" t="s">
        <v>2280</v>
      </c>
      <c r="L347" s="176" t="s">
        <v>472</v>
      </c>
      <c r="M347" s="176" t="s">
        <v>2481</v>
      </c>
      <c r="N347" s="220" t="s">
        <v>2364</v>
      </c>
      <c r="O347" s="220" t="s">
        <v>2364</v>
      </c>
      <c r="P347" s="177">
        <v>0.23125000000000001</v>
      </c>
      <c r="R347" s="167" t="str">
        <v>JYBC20 MTRT Curncy</v>
      </c>
      <c r="S347" s="175"/>
      <c r="T347" s="176" t="s">
        <v>2310</v>
      </c>
      <c r="U347" s="176" t="s">
        <v>1109</v>
      </c>
      <c r="V347" s="176" t="s">
        <v>1704</v>
      </c>
      <c r="W347" s="177">
        <v>7.875</v>
      </c>
      <c r="Y347" s="167" t="str">
        <v>JYBB25 MTRT Curncy</v>
      </c>
      <c r="Z347" s="175"/>
      <c r="AA347" s="176" t="s">
        <v>2317</v>
      </c>
      <c r="AB347" s="176" t="s">
        <v>1109</v>
      </c>
      <c r="AC347" s="176" t="s">
        <v>1731</v>
      </c>
      <c r="AD347" s="177">
        <v>9.875</v>
      </c>
      <c r="AF347" s="167" t="str">
        <v>#Empty List</v>
      </c>
      <c r="AG347" s="175"/>
      <c r="AH347" s="176"/>
      <c r="AI347" s="176"/>
      <c r="AJ347" s="176"/>
      <c r="AK347" s="177"/>
      <c r="AM347" s="167" t="str">
        <v>JYBS14 MTRT Curncy</v>
      </c>
      <c r="AN347" s="175"/>
      <c r="AO347" s="176" t="s">
        <v>2343</v>
      </c>
      <c r="AP347" s="176" t="s">
        <v>1109</v>
      </c>
      <c r="AQ347" s="176" t="s">
        <v>1737</v>
      </c>
      <c r="AR347" s="177" t="s">
        <v>1108</v>
      </c>
    </row>
    <row r="348" spans="1:44">
      <c r="A348" s="204">
        <v>15</v>
      </c>
      <c r="B348" s="167" t="str">
        <v>JYSO11 MTRT Curncy</v>
      </c>
      <c r="C348" s="175"/>
      <c r="D348" s="176" t="s">
        <v>2271</v>
      </c>
      <c r="E348" s="176" t="s">
        <v>1121</v>
      </c>
      <c r="F348" s="176" t="s">
        <v>1689</v>
      </c>
      <c r="G348" s="177">
        <v>0.18375</v>
      </c>
      <c r="I348" s="167" t="str">
        <v>JYSWAP10 MTRT Curncy</v>
      </c>
      <c r="J348" s="175"/>
      <c r="K348" s="176" t="s">
        <v>2281</v>
      </c>
      <c r="L348" s="176" t="s">
        <v>472</v>
      </c>
      <c r="M348" s="176" t="s">
        <v>2482</v>
      </c>
      <c r="N348" s="220" t="s">
        <v>2364</v>
      </c>
      <c r="O348" s="220" t="s">
        <v>2364</v>
      </c>
      <c r="P348" s="177">
        <v>0.26750000000000002</v>
      </c>
      <c r="R348" s="167" t="str">
        <v>JYBC25 MTRT Curncy</v>
      </c>
      <c r="S348" s="175"/>
      <c r="T348" s="176" t="s">
        <v>2311</v>
      </c>
      <c r="U348" s="176" t="s">
        <v>1109</v>
      </c>
      <c r="V348" s="176" t="s">
        <v>1705</v>
      </c>
      <c r="W348" s="177">
        <v>8.25</v>
      </c>
      <c r="Y348" s="167" t="str">
        <v>JYBB30 MTRT Curncy</v>
      </c>
      <c r="Z348" s="175"/>
      <c r="AA348" s="176" t="s">
        <v>2318</v>
      </c>
      <c r="AB348" s="176" t="s">
        <v>1109</v>
      </c>
      <c r="AC348" s="176" t="s">
        <v>1732</v>
      </c>
      <c r="AD348" s="177">
        <v>10</v>
      </c>
      <c r="AF348" s="167" t="str">
        <v>#Empty List</v>
      </c>
      <c r="AG348" s="175"/>
      <c r="AH348" s="176"/>
      <c r="AI348" s="176"/>
      <c r="AJ348" s="176"/>
      <c r="AK348" s="177"/>
      <c r="AM348" s="167" t="str">
        <v>JYBS15 MTRT Curncy</v>
      </c>
      <c r="AN348" s="175"/>
      <c r="AO348" s="176" t="s">
        <v>2344</v>
      </c>
      <c r="AP348" s="176" t="s">
        <v>1109</v>
      </c>
      <c r="AQ348" s="176" t="s">
        <v>1738</v>
      </c>
      <c r="AR348" s="177">
        <v>-50.625</v>
      </c>
    </row>
    <row r="349" spans="1:44">
      <c r="A349" s="204">
        <v>16</v>
      </c>
      <c r="B349" s="167" t="str">
        <v>JYSO12 MTRT Curncy</v>
      </c>
      <c r="C349" s="175"/>
      <c r="D349" s="176" t="s">
        <v>2272</v>
      </c>
      <c r="E349" s="176" t="s">
        <v>1121</v>
      </c>
      <c r="F349" s="176" t="s">
        <v>1690</v>
      </c>
      <c r="G349" s="177">
        <v>0.2175</v>
      </c>
      <c r="I349" s="167" t="str">
        <v>JYSWAP12 MTRT Curncy</v>
      </c>
      <c r="J349" s="175"/>
      <c r="K349" s="176" t="s">
        <v>2282</v>
      </c>
      <c r="L349" s="176" t="s">
        <v>472</v>
      </c>
      <c r="M349" s="176" t="s">
        <v>2483</v>
      </c>
      <c r="N349" s="220" t="s">
        <v>2364</v>
      </c>
      <c r="O349" s="220" t="s">
        <v>2364</v>
      </c>
      <c r="P349" s="177">
        <v>0.34499999999999997</v>
      </c>
      <c r="R349" s="167" t="str">
        <v>JYBC30 MTRT Curncy</v>
      </c>
      <c r="S349" s="175"/>
      <c r="T349" s="176" t="s">
        <v>2312</v>
      </c>
      <c r="U349" s="176" t="s">
        <v>1109</v>
      </c>
      <c r="V349" s="176" t="s">
        <v>1706</v>
      </c>
      <c r="W349" s="177">
        <v>8.5</v>
      </c>
      <c r="Y349" s="167" t="str">
        <v>JYBB40 MTRT Curncy</v>
      </c>
      <c r="Z349" s="175"/>
      <c r="AA349" s="176" t="s">
        <v>2319</v>
      </c>
      <c r="AB349" s="176" t="s">
        <v>1109</v>
      </c>
      <c r="AC349" s="176" t="s">
        <v>1733</v>
      </c>
      <c r="AD349" s="177">
        <v>10</v>
      </c>
      <c r="AF349" s="167" t="str">
        <v>#Empty List</v>
      </c>
      <c r="AG349" s="175"/>
      <c r="AH349" s="176"/>
      <c r="AI349" s="176"/>
      <c r="AJ349" s="176"/>
      <c r="AK349" s="177"/>
      <c r="AM349" s="167" t="str">
        <v>JYBS20 MTRT Curncy</v>
      </c>
      <c r="AN349" s="175"/>
      <c r="AO349" s="176" t="s">
        <v>2345</v>
      </c>
      <c r="AP349" s="176" t="s">
        <v>1109</v>
      </c>
      <c r="AQ349" s="176" t="s">
        <v>1739</v>
      </c>
      <c r="AR349" s="177">
        <v>-50.375</v>
      </c>
    </row>
    <row r="350" spans="1:44">
      <c r="A350" s="204">
        <v>17</v>
      </c>
      <c r="B350" s="167" t="str">
        <v>JYSO15 MTRT Curncy</v>
      </c>
      <c r="C350" s="175"/>
      <c r="D350" s="176" t="s">
        <v>2273</v>
      </c>
      <c r="E350" s="176" t="s">
        <v>1121</v>
      </c>
      <c r="F350" s="176" t="s">
        <v>1691</v>
      </c>
      <c r="G350" s="177">
        <v>0.32624999999999998</v>
      </c>
      <c r="I350" s="167" t="str">
        <v>JYSW15 MTRT Curncy</v>
      </c>
      <c r="J350" s="175"/>
      <c r="K350" s="176" t="s">
        <v>2283</v>
      </c>
      <c r="L350" s="176" t="s">
        <v>472</v>
      </c>
      <c r="M350" s="176" t="s">
        <v>2484</v>
      </c>
      <c r="N350" s="220" t="s">
        <v>2364</v>
      </c>
      <c r="O350" s="220" t="s">
        <v>2364</v>
      </c>
      <c r="P350" s="177">
        <v>0.46250000000000002</v>
      </c>
      <c r="R350" s="167" t="str">
        <v>JYBC40 MTRT Curncy</v>
      </c>
      <c r="S350" s="175"/>
      <c r="T350" s="176" t="s">
        <v>2313</v>
      </c>
      <c r="U350" s="176" t="s">
        <v>1109</v>
      </c>
      <c r="V350" s="176" t="s">
        <v>1707</v>
      </c>
      <c r="W350" s="177">
        <v>8.75</v>
      </c>
      <c r="Y350" s="167" t="str">
        <v/>
      </c>
      <c r="Z350" s="175"/>
      <c r="AA350" s="176"/>
      <c r="AB350" s="176"/>
      <c r="AC350" s="176"/>
      <c r="AD350" s="177"/>
      <c r="AF350" s="167" t="str">
        <v>#Empty List</v>
      </c>
      <c r="AG350" s="175"/>
      <c r="AH350" s="176"/>
      <c r="AI350" s="176"/>
      <c r="AJ350" s="176"/>
      <c r="AK350" s="177"/>
      <c r="AM350" s="167" t="str">
        <v>JYBS25 MTRT Curncy</v>
      </c>
      <c r="AN350" s="175"/>
      <c r="AO350" s="176" t="s">
        <v>2346</v>
      </c>
      <c r="AP350" s="176" t="s">
        <v>1109</v>
      </c>
      <c r="AQ350" s="176" t="s">
        <v>1740</v>
      </c>
      <c r="AR350" s="177">
        <v>-50.25</v>
      </c>
    </row>
    <row r="351" spans="1:44">
      <c r="A351" s="204">
        <v>18</v>
      </c>
      <c r="B351" s="190" t="str">
        <v>JYSO20 MTRT Curncy</v>
      </c>
      <c r="C351" s="175"/>
      <c r="D351" s="176" t="s">
        <v>2274</v>
      </c>
      <c r="E351" s="176" t="s">
        <v>1121</v>
      </c>
      <c r="F351" s="176" t="s">
        <v>1692</v>
      </c>
      <c r="G351" s="177">
        <v>0.48375000000000001</v>
      </c>
      <c r="I351" s="167" t="str">
        <v>JYSW20 MTRT Curncy</v>
      </c>
      <c r="J351" s="175"/>
      <c r="K351" s="176" t="s">
        <v>2284</v>
      </c>
      <c r="L351" s="176" t="s">
        <v>472</v>
      </c>
      <c r="M351" s="176" t="s">
        <v>2485</v>
      </c>
      <c r="N351" s="220" t="s">
        <v>2364</v>
      </c>
      <c r="O351" s="220" t="s">
        <v>2364</v>
      </c>
      <c r="P351" s="177">
        <v>0.63</v>
      </c>
      <c r="R351" s="167" t="str">
        <v/>
      </c>
      <c r="S351" s="175"/>
      <c r="T351" s="176"/>
      <c r="U351" s="176"/>
      <c r="V351" s="176"/>
      <c r="W351" s="177"/>
      <c r="Y351" s="167" t="str">
        <v/>
      </c>
      <c r="Z351" s="175"/>
      <c r="AA351" s="176"/>
      <c r="AB351" s="176"/>
      <c r="AC351" s="176"/>
      <c r="AD351" s="177"/>
      <c r="AF351" s="167" t="str">
        <v>#Empty List</v>
      </c>
      <c r="AG351" s="175"/>
      <c r="AH351" s="176"/>
      <c r="AI351" s="176"/>
      <c r="AJ351" s="176"/>
      <c r="AK351" s="177"/>
      <c r="AM351" s="167" t="str">
        <v>JYBS30 MTRT Curncy</v>
      </c>
      <c r="AN351" s="175"/>
      <c r="AO351" s="176" t="s">
        <v>2347</v>
      </c>
      <c r="AP351" s="176" t="s">
        <v>1109</v>
      </c>
      <c r="AQ351" s="176" t="s">
        <v>1741</v>
      </c>
      <c r="AR351" s="177">
        <v>-50</v>
      </c>
    </row>
    <row r="352" spans="1:44">
      <c r="A352" s="204">
        <v>19</v>
      </c>
      <c r="B352" s="190" t="str">
        <v>JYSO25 MTRT Curncy</v>
      </c>
      <c r="C352" s="175"/>
      <c r="D352" s="176" t="s">
        <v>2275</v>
      </c>
      <c r="E352" s="176" t="s">
        <v>1121</v>
      </c>
      <c r="F352" s="176" t="s">
        <v>1621</v>
      </c>
      <c r="G352" s="177">
        <v>0.58499999999999996</v>
      </c>
      <c r="I352" s="167" t="str">
        <v>JYSW25 MTRT Curncy</v>
      </c>
      <c r="J352" s="175"/>
      <c r="K352" s="176" t="s">
        <v>2285</v>
      </c>
      <c r="L352" s="176" t="s">
        <v>472</v>
      </c>
      <c r="M352" s="176" t="s">
        <v>2486</v>
      </c>
      <c r="N352" s="220" t="s">
        <v>2364</v>
      </c>
      <c r="O352" s="220" t="s">
        <v>2364</v>
      </c>
      <c r="P352" s="177">
        <v>0.73624999999999996</v>
      </c>
      <c r="R352" s="167" t="str">
        <v/>
      </c>
      <c r="S352" s="175"/>
      <c r="T352" s="176"/>
      <c r="U352" s="176"/>
      <c r="V352" s="176"/>
      <c r="W352" s="177"/>
      <c r="Y352" s="167" t="str">
        <v/>
      </c>
      <c r="Z352" s="175"/>
      <c r="AA352" s="176"/>
      <c r="AB352" s="176"/>
      <c r="AC352" s="176"/>
      <c r="AD352" s="177"/>
      <c r="AF352" s="167" t="str">
        <v>#Empty List</v>
      </c>
      <c r="AG352" s="175"/>
      <c r="AH352" s="176"/>
      <c r="AI352" s="176"/>
      <c r="AJ352" s="176"/>
      <c r="AK352" s="177"/>
      <c r="AM352" s="167" t="str">
        <v/>
      </c>
      <c r="AN352" s="175"/>
      <c r="AO352" s="176"/>
      <c r="AP352" s="176"/>
      <c r="AQ352" s="176"/>
      <c r="AR352" s="177"/>
    </row>
    <row r="353" spans="1:44">
      <c r="A353" s="204">
        <v>20</v>
      </c>
      <c r="B353" s="190" t="str">
        <v>JYSO30 MTRT Curncy</v>
      </c>
      <c r="C353" s="175"/>
      <c r="D353" s="176" t="s">
        <v>2276</v>
      </c>
      <c r="E353" s="176" t="s">
        <v>1121</v>
      </c>
      <c r="F353" s="176" t="s">
        <v>1622</v>
      </c>
      <c r="G353" s="177">
        <v>0.64875000000000005</v>
      </c>
      <c r="I353" s="167" t="str">
        <v>JYSW30 MTRT Curncy</v>
      </c>
      <c r="J353" s="175"/>
      <c r="K353" s="176" t="s">
        <v>2286</v>
      </c>
      <c r="L353" s="176" t="s">
        <v>472</v>
      </c>
      <c r="M353" s="176" t="s">
        <v>2487</v>
      </c>
      <c r="N353" s="220" t="s">
        <v>2364</v>
      </c>
      <c r="O353" s="220" t="s">
        <v>2364</v>
      </c>
      <c r="P353" s="177">
        <v>0.80374999999999996</v>
      </c>
      <c r="R353" s="167" t="str">
        <v/>
      </c>
      <c r="S353" s="175"/>
      <c r="T353" s="176"/>
      <c r="U353" s="176"/>
      <c r="V353" s="176"/>
      <c r="W353" s="177"/>
      <c r="Y353" s="167" t="str">
        <v/>
      </c>
      <c r="Z353" s="175"/>
      <c r="AA353" s="176"/>
      <c r="AB353" s="176"/>
      <c r="AC353" s="176"/>
      <c r="AD353" s="177"/>
      <c r="AF353" s="167" t="str">
        <v>#Empty List</v>
      </c>
      <c r="AG353" s="175"/>
      <c r="AH353" s="176"/>
      <c r="AI353" s="176"/>
      <c r="AJ353" s="176"/>
      <c r="AK353" s="177"/>
      <c r="AM353" s="167" t="str">
        <v/>
      </c>
      <c r="AN353" s="175"/>
      <c r="AO353" s="176"/>
      <c r="AP353" s="176"/>
      <c r="AQ353" s="176"/>
      <c r="AR353" s="177"/>
    </row>
    <row r="354" spans="1:44">
      <c r="A354" s="204">
        <v>21</v>
      </c>
      <c r="B354" s="190" t="str">
        <v/>
      </c>
      <c r="C354" s="175"/>
      <c r="D354" s="176"/>
      <c r="E354" s="176"/>
      <c r="F354" s="176"/>
      <c r="G354" s="177"/>
      <c r="I354" s="167" t="str">
        <v>JYSW35 MTRT Curncy</v>
      </c>
      <c r="J354" s="175"/>
      <c r="K354" s="176" t="s">
        <v>2265</v>
      </c>
      <c r="L354" s="176" t="s">
        <v>472</v>
      </c>
      <c r="M354" s="176" t="s">
        <v>2472</v>
      </c>
      <c r="N354" s="220" t="s">
        <v>2364</v>
      </c>
      <c r="O354" s="220" t="s">
        <v>2364</v>
      </c>
      <c r="P354" s="177">
        <v>0.85</v>
      </c>
      <c r="R354" s="167" t="str">
        <v/>
      </c>
      <c r="S354" s="175"/>
      <c r="T354" s="176"/>
      <c r="U354" s="176"/>
      <c r="V354" s="176"/>
      <c r="W354" s="177"/>
      <c r="Y354" s="167" t="str">
        <v/>
      </c>
      <c r="Z354" s="175"/>
      <c r="AA354" s="176"/>
      <c r="AB354" s="176"/>
      <c r="AC354" s="176"/>
      <c r="AD354" s="177"/>
      <c r="AF354" s="167" t="str">
        <v>#Empty List</v>
      </c>
      <c r="AG354" s="175"/>
      <c r="AH354" s="176"/>
      <c r="AI354" s="176"/>
      <c r="AJ354" s="176"/>
      <c r="AK354" s="177"/>
      <c r="AM354" s="167" t="str">
        <v/>
      </c>
      <c r="AN354" s="175"/>
      <c r="AO354" s="176"/>
      <c r="AP354" s="176"/>
      <c r="AQ354" s="176"/>
      <c r="AR354" s="177"/>
    </row>
    <row r="355" spans="1:44">
      <c r="A355" s="204">
        <v>22</v>
      </c>
      <c r="B355" s="190" t="str">
        <v/>
      </c>
      <c r="C355" s="175"/>
      <c r="D355" s="176"/>
      <c r="E355" s="176"/>
      <c r="F355" s="176"/>
      <c r="G355" s="177"/>
      <c r="I355" s="167" t="str">
        <v>JYSW40 MTRT Curncy</v>
      </c>
      <c r="J355" s="175"/>
      <c r="K355" s="176" t="s">
        <v>2266</v>
      </c>
      <c r="L355" s="176" t="s">
        <v>472</v>
      </c>
      <c r="M355" s="176" t="s">
        <v>2473</v>
      </c>
      <c r="N355" s="220" t="s">
        <v>2364</v>
      </c>
      <c r="O355" s="220" t="s">
        <v>2364</v>
      </c>
      <c r="P355" s="177">
        <v>0.88875000000000004</v>
      </c>
      <c r="R355" s="167" t="str">
        <v/>
      </c>
      <c r="S355" s="175"/>
      <c r="T355" s="176"/>
      <c r="U355" s="176"/>
      <c r="V355" s="176"/>
      <c r="W355" s="177"/>
      <c r="Y355" s="167" t="str">
        <v/>
      </c>
      <c r="Z355" s="175"/>
      <c r="AA355" s="176"/>
      <c r="AB355" s="176"/>
      <c r="AC355" s="176"/>
      <c r="AD355" s="177"/>
      <c r="AF355" s="167" t="str">
        <v>#Empty List</v>
      </c>
      <c r="AG355" s="175"/>
      <c r="AH355" s="176"/>
      <c r="AI355" s="176"/>
      <c r="AJ355" s="176"/>
      <c r="AK355" s="177"/>
      <c r="AM355" s="167" t="str">
        <v/>
      </c>
      <c r="AN355" s="175"/>
      <c r="AO355" s="176"/>
      <c r="AP355" s="176"/>
      <c r="AQ355" s="176"/>
      <c r="AR355" s="177"/>
    </row>
    <row r="356" spans="1:44">
      <c r="A356" s="204">
        <v>23</v>
      </c>
      <c r="B356" s="190" t="str">
        <v/>
      </c>
      <c r="C356" s="175"/>
      <c r="D356" s="176"/>
      <c r="E356" s="176"/>
      <c r="F356" s="176"/>
      <c r="G356" s="177"/>
      <c r="I356" s="167" t="str">
        <v/>
      </c>
      <c r="J356" s="175"/>
      <c r="K356" s="176"/>
      <c r="L356" s="176"/>
      <c r="M356" s="176"/>
      <c r="N356" s="220"/>
      <c r="O356" s="220"/>
      <c r="P356" s="177"/>
      <c r="R356" s="167" t="str">
        <v/>
      </c>
      <c r="S356" s="175"/>
      <c r="T356" s="176"/>
      <c r="U356" s="176"/>
      <c r="V356" s="176"/>
      <c r="W356" s="177"/>
      <c r="Y356" s="167" t="str">
        <v/>
      </c>
      <c r="Z356" s="175"/>
      <c r="AA356" s="176"/>
      <c r="AB356" s="176"/>
      <c r="AC356" s="176"/>
      <c r="AD356" s="177"/>
      <c r="AF356" s="167" t="str">
        <v>#Empty List</v>
      </c>
      <c r="AG356" s="175"/>
      <c r="AH356" s="176"/>
      <c r="AI356" s="176"/>
      <c r="AJ356" s="176"/>
      <c r="AK356" s="177"/>
      <c r="AM356" s="167" t="str">
        <v/>
      </c>
      <c r="AN356" s="175"/>
      <c r="AO356" s="176"/>
      <c r="AP356" s="176"/>
      <c r="AQ356" s="176"/>
      <c r="AR356" s="177"/>
    </row>
    <row r="357" spans="1:44">
      <c r="A357" s="204">
        <v>24</v>
      </c>
      <c r="B357" s="190" t="str">
        <v/>
      </c>
      <c r="C357" s="175"/>
      <c r="D357" s="176"/>
      <c r="E357" s="176"/>
      <c r="F357" s="176"/>
      <c r="G357" s="177"/>
      <c r="I357" s="167" t="str">
        <v/>
      </c>
      <c r="J357" s="175"/>
      <c r="K357" s="176"/>
      <c r="L357" s="176"/>
      <c r="M357" s="176"/>
      <c r="N357" s="220"/>
      <c r="O357" s="220"/>
      <c r="P357" s="177"/>
      <c r="R357" s="167" t="str">
        <v/>
      </c>
      <c r="S357" s="175"/>
      <c r="T357" s="176"/>
      <c r="U357" s="176"/>
      <c r="V357" s="176"/>
      <c r="W357" s="177"/>
      <c r="Y357" s="167" t="str">
        <v/>
      </c>
      <c r="Z357" s="175"/>
      <c r="AA357" s="176"/>
      <c r="AB357" s="176"/>
      <c r="AC357" s="176"/>
      <c r="AD357" s="177"/>
      <c r="AF357" s="167" t="str">
        <v>#Empty List</v>
      </c>
      <c r="AG357" s="175"/>
      <c r="AH357" s="176"/>
      <c r="AI357" s="176"/>
      <c r="AJ357" s="176"/>
      <c r="AK357" s="177"/>
      <c r="AM357" s="167" t="str">
        <v/>
      </c>
      <c r="AN357" s="175"/>
      <c r="AO357" s="176"/>
      <c r="AP357" s="176"/>
      <c r="AQ357" s="176"/>
      <c r="AR357" s="177"/>
    </row>
    <row r="358" spans="1:44">
      <c r="A358" s="204">
        <v>25</v>
      </c>
      <c r="B358" s="190" t="str">
        <v/>
      </c>
      <c r="C358" s="175"/>
      <c r="D358" s="176"/>
      <c r="E358" s="176"/>
      <c r="F358" s="176"/>
      <c r="G358" s="177"/>
      <c r="I358" s="167" t="str">
        <v/>
      </c>
      <c r="J358" s="175"/>
      <c r="K358" s="176"/>
      <c r="L358" s="176"/>
      <c r="M358" s="176"/>
      <c r="N358" s="220"/>
      <c r="O358" s="220"/>
      <c r="P358" s="177"/>
      <c r="R358" s="167" t="str">
        <v/>
      </c>
      <c r="S358" s="175"/>
      <c r="T358" s="176"/>
      <c r="U358" s="176"/>
      <c r="V358" s="176"/>
      <c r="W358" s="177"/>
      <c r="Y358" s="167" t="str">
        <v/>
      </c>
      <c r="Z358" s="175"/>
      <c r="AA358" s="176"/>
      <c r="AB358" s="176"/>
      <c r="AC358" s="176"/>
      <c r="AD358" s="177"/>
      <c r="AF358" s="167" t="str">
        <v>#Empty List</v>
      </c>
      <c r="AG358" s="175"/>
      <c r="AH358" s="176"/>
      <c r="AI358" s="176"/>
      <c r="AJ358" s="176"/>
      <c r="AK358" s="177"/>
      <c r="AM358" s="167" t="str">
        <v/>
      </c>
      <c r="AN358" s="175"/>
      <c r="AO358" s="176"/>
      <c r="AP358" s="176"/>
      <c r="AQ358" s="176"/>
      <c r="AR358" s="177"/>
    </row>
    <row r="359" spans="1:44">
      <c r="A359" s="204">
        <v>26</v>
      </c>
      <c r="B359" s="190" t="str">
        <v/>
      </c>
      <c r="C359" s="175"/>
      <c r="D359" s="176"/>
      <c r="E359" s="176"/>
      <c r="F359" s="176"/>
      <c r="G359" s="177"/>
      <c r="I359" s="167" t="str">
        <v/>
      </c>
      <c r="J359" s="175"/>
      <c r="K359" s="176"/>
      <c r="L359" s="176"/>
      <c r="M359" s="176"/>
      <c r="N359" s="220"/>
      <c r="O359" s="220"/>
      <c r="P359" s="177"/>
      <c r="R359" s="167" t="str">
        <v/>
      </c>
      <c r="S359" s="175"/>
      <c r="T359" s="176"/>
      <c r="U359" s="176"/>
      <c r="V359" s="176"/>
      <c r="W359" s="177"/>
      <c r="Y359" s="167" t="str">
        <v/>
      </c>
      <c r="Z359" s="175"/>
      <c r="AA359" s="176"/>
      <c r="AB359" s="176"/>
      <c r="AC359" s="176"/>
      <c r="AD359" s="177"/>
      <c r="AF359" s="167" t="str">
        <v>#Empty List</v>
      </c>
      <c r="AG359" s="175"/>
      <c r="AH359" s="176"/>
      <c r="AI359" s="176"/>
      <c r="AJ359" s="176"/>
      <c r="AK359" s="177"/>
      <c r="AM359" s="167" t="str">
        <v/>
      </c>
      <c r="AN359" s="175"/>
      <c r="AO359" s="176"/>
      <c r="AP359" s="176"/>
      <c r="AQ359" s="176"/>
      <c r="AR359" s="177"/>
    </row>
    <row r="360" spans="1:44">
      <c r="A360" s="204">
        <v>27</v>
      </c>
      <c r="B360" s="190" t="str">
        <v/>
      </c>
      <c r="C360" s="175"/>
      <c r="D360" s="176"/>
      <c r="E360" s="176"/>
      <c r="F360" s="176"/>
      <c r="G360" s="177"/>
      <c r="I360" s="167" t="str">
        <v/>
      </c>
      <c r="J360" s="175"/>
      <c r="K360" s="176"/>
      <c r="L360" s="176"/>
      <c r="M360" s="176"/>
      <c r="N360" s="220"/>
      <c r="O360" s="220"/>
      <c r="P360" s="177"/>
      <c r="R360" s="167" t="str">
        <v/>
      </c>
      <c r="S360" s="175"/>
      <c r="T360" s="176"/>
      <c r="U360" s="176"/>
      <c r="V360" s="176"/>
      <c r="W360" s="177"/>
      <c r="Y360" s="167" t="str">
        <v/>
      </c>
      <c r="Z360" s="175"/>
      <c r="AA360" s="176"/>
      <c r="AB360" s="176"/>
      <c r="AC360" s="176"/>
      <c r="AD360" s="177"/>
      <c r="AF360" s="167" t="str">
        <v>#Empty List</v>
      </c>
      <c r="AG360" s="175"/>
      <c r="AH360" s="176"/>
      <c r="AI360" s="176"/>
      <c r="AJ360" s="176"/>
      <c r="AK360" s="177"/>
      <c r="AM360" s="167" t="str">
        <v/>
      </c>
      <c r="AN360" s="175"/>
      <c r="AO360" s="176"/>
      <c r="AP360" s="176"/>
      <c r="AQ360" s="176"/>
      <c r="AR360" s="177"/>
    </row>
    <row r="361" spans="1:44">
      <c r="A361" s="204">
        <v>28</v>
      </c>
      <c r="B361" s="190" t="str">
        <v/>
      </c>
      <c r="C361" s="175"/>
      <c r="D361" s="176"/>
      <c r="E361" s="176"/>
      <c r="F361" s="176"/>
      <c r="G361" s="177"/>
      <c r="I361" s="167" t="str">
        <v/>
      </c>
      <c r="J361" s="175"/>
      <c r="K361" s="176"/>
      <c r="L361" s="176"/>
      <c r="M361" s="176"/>
      <c r="N361" s="220"/>
      <c r="O361" s="220"/>
      <c r="P361" s="177"/>
      <c r="R361" s="167" t="str">
        <v/>
      </c>
      <c r="S361" s="175"/>
      <c r="T361" s="176"/>
      <c r="U361" s="176"/>
      <c r="V361" s="176"/>
      <c r="W361" s="177"/>
      <c r="Y361" s="167" t="str">
        <v/>
      </c>
      <c r="Z361" s="175"/>
      <c r="AA361" s="176"/>
      <c r="AB361" s="176"/>
      <c r="AC361" s="176"/>
      <c r="AD361" s="177"/>
      <c r="AF361" s="167" t="str">
        <v>#Empty List</v>
      </c>
      <c r="AG361" s="175"/>
      <c r="AH361" s="176"/>
      <c r="AI361" s="176"/>
      <c r="AJ361" s="176"/>
      <c r="AK361" s="177"/>
      <c r="AM361" s="167" t="str">
        <v/>
      </c>
      <c r="AN361" s="175"/>
      <c r="AO361" s="176"/>
      <c r="AP361" s="176"/>
      <c r="AQ361" s="176"/>
      <c r="AR361" s="177"/>
    </row>
    <row r="362" spans="1:44">
      <c r="A362" s="204">
        <v>29</v>
      </c>
      <c r="B362" s="190" t="str">
        <v/>
      </c>
      <c r="C362" s="175"/>
      <c r="D362" s="176"/>
      <c r="E362" s="176"/>
      <c r="F362" s="176"/>
      <c r="G362" s="177"/>
      <c r="I362" s="167" t="str">
        <v/>
      </c>
      <c r="J362" s="175"/>
      <c r="K362" s="176"/>
      <c r="L362" s="176"/>
      <c r="M362" s="176"/>
      <c r="N362" s="220"/>
      <c r="O362" s="220"/>
      <c r="P362" s="177"/>
      <c r="R362" s="167" t="str">
        <v/>
      </c>
      <c r="S362" s="175"/>
      <c r="T362" s="176"/>
      <c r="U362" s="176"/>
      <c r="V362" s="176"/>
      <c r="W362" s="177"/>
      <c r="Y362" s="167" t="str">
        <v/>
      </c>
      <c r="Z362" s="175"/>
      <c r="AA362" s="176"/>
      <c r="AB362" s="176"/>
      <c r="AC362" s="176"/>
      <c r="AD362" s="177"/>
      <c r="AF362" s="167" t="str">
        <v>#Empty List</v>
      </c>
      <c r="AG362" s="175"/>
      <c r="AH362" s="176"/>
      <c r="AI362" s="176"/>
      <c r="AJ362" s="176"/>
      <c r="AK362" s="177"/>
      <c r="AM362" s="167" t="str">
        <v/>
      </c>
      <c r="AN362" s="175"/>
      <c r="AO362" s="176"/>
      <c r="AP362" s="176"/>
      <c r="AQ362" s="176"/>
      <c r="AR362" s="177"/>
    </row>
    <row r="363" spans="1:44">
      <c r="A363" s="204">
        <v>30</v>
      </c>
      <c r="B363" s="190" t="str">
        <v/>
      </c>
      <c r="C363" s="175"/>
      <c r="D363" s="176"/>
      <c r="E363" s="176"/>
      <c r="F363" s="176"/>
      <c r="G363" s="177"/>
      <c r="I363" s="167" t="str">
        <v/>
      </c>
      <c r="J363" s="175"/>
      <c r="K363" s="176"/>
      <c r="L363" s="176"/>
      <c r="M363" s="176"/>
      <c r="N363" s="220"/>
      <c r="O363" s="220"/>
      <c r="P363" s="177"/>
      <c r="R363" s="167" t="str">
        <v/>
      </c>
      <c r="S363" s="175"/>
      <c r="T363" s="176"/>
      <c r="U363" s="176"/>
      <c r="V363" s="176"/>
      <c r="W363" s="177"/>
      <c r="Y363" s="167" t="str">
        <v/>
      </c>
      <c r="Z363" s="175"/>
      <c r="AA363" s="176"/>
      <c r="AB363" s="176"/>
      <c r="AC363" s="176"/>
      <c r="AD363" s="177"/>
      <c r="AF363" s="167" t="str">
        <v>#Empty List</v>
      </c>
      <c r="AG363" s="175"/>
      <c r="AH363" s="176"/>
      <c r="AI363" s="176"/>
      <c r="AJ363" s="176"/>
      <c r="AK363" s="177"/>
      <c r="AM363" s="167" t="str">
        <v/>
      </c>
      <c r="AN363" s="175"/>
      <c r="AO363" s="176"/>
      <c r="AP363" s="176"/>
      <c r="AQ363" s="176"/>
      <c r="AR363" s="177"/>
    </row>
    <row r="364" spans="1:44">
      <c r="A364" s="204">
        <v>31</v>
      </c>
      <c r="B364" s="190" t="str">
        <v/>
      </c>
      <c r="C364" s="175"/>
      <c r="D364" s="176"/>
      <c r="E364" s="176"/>
      <c r="F364" s="176"/>
      <c r="G364" s="177"/>
      <c r="I364" s="167" t="str">
        <v/>
      </c>
      <c r="J364" s="175"/>
      <c r="K364" s="176"/>
      <c r="L364" s="176"/>
      <c r="M364" s="176"/>
      <c r="N364" s="220"/>
      <c r="O364" s="220"/>
      <c r="P364" s="177"/>
      <c r="R364" s="167" t="str">
        <v/>
      </c>
      <c r="S364" s="175"/>
      <c r="T364" s="176"/>
      <c r="U364" s="176"/>
      <c r="V364" s="176"/>
      <c r="W364" s="177"/>
      <c r="Y364" s="167" t="str">
        <v/>
      </c>
      <c r="Z364" s="175"/>
      <c r="AA364" s="176"/>
      <c r="AB364" s="176"/>
      <c r="AC364" s="176"/>
      <c r="AD364" s="177"/>
      <c r="AF364" s="167" t="str">
        <v>#Empty List</v>
      </c>
      <c r="AG364" s="175"/>
      <c r="AH364" s="176"/>
      <c r="AI364" s="176"/>
      <c r="AJ364" s="176"/>
      <c r="AK364" s="177"/>
      <c r="AM364" s="167" t="str">
        <v/>
      </c>
      <c r="AN364" s="175"/>
      <c r="AO364" s="176"/>
      <c r="AP364" s="176"/>
      <c r="AQ364" s="176"/>
      <c r="AR364" s="177"/>
    </row>
    <row r="365" spans="1:44">
      <c r="A365" s="204">
        <v>32</v>
      </c>
      <c r="B365" s="190" t="str">
        <v/>
      </c>
      <c r="C365" s="175"/>
      <c r="D365" s="176"/>
      <c r="E365" s="176"/>
      <c r="F365" s="176"/>
      <c r="G365" s="177"/>
      <c r="I365" s="167" t="str">
        <v/>
      </c>
      <c r="J365" s="175"/>
      <c r="K365" s="176"/>
      <c r="L365" s="176"/>
      <c r="M365" s="176"/>
      <c r="N365" s="220"/>
      <c r="O365" s="220"/>
      <c r="P365" s="177"/>
      <c r="R365" s="167" t="str">
        <v/>
      </c>
      <c r="S365" s="175"/>
      <c r="T365" s="176"/>
      <c r="U365" s="176"/>
      <c r="V365" s="176"/>
      <c r="W365" s="177"/>
      <c r="Y365" s="167" t="str">
        <v/>
      </c>
      <c r="Z365" s="175"/>
      <c r="AA365" s="176"/>
      <c r="AB365" s="176"/>
      <c r="AC365" s="176"/>
      <c r="AD365" s="177"/>
      <c r="AF365" s="167" t="str">
        <v>#Empty List</v>
      </c>
      <c r="AG365" s="175"/>
      <c r="AH365" s="176"/>
      <c r="AI365" s="176"/>
      <c r="AJ365" s="176"/>
      <c r="AK365" s="177"/>
      <c r="AM365" s="167" t="str">
        <v/>
      </c>
      <c r="AN365" s="175"/>
      <c r="AO365" s="176"/>
      <c r="AP365" s="176"/>
      <c r="AQ365" s="176"/>
      <c r="AR365" s="177"/>
    </row>
    <row r="366" spans="1:44">
      <c r="A366" s="204">
        <v>33</v>
      </c>
      <c r="B366" s="190" t="str">
        <v/>
      </c>
      <c r="C366" s="175"/>
      <c r="D366" s="176"/>
      <c r="E366" s="176"/>
      <c r="F366" s="176"/>
      <c r="G366" s="177"/>
      <c r="I366" s="167" t="str">
        <v/>
      </c>
      <c r="J366" s="175"/>
      <c r="K366" s="176"/>
      <c r="L366" s="176"/>
      <c r="M366" s="176"/>
      <c r="N366" s="220"/>
      <c r="O366" s="220"/>
      <c r="P366" s="177"/>
      <c r="R366" s="167" t="str">
        <v/>
      </c>
      <c r="S366" s="175"/>
      <c r="T366" s="176"/>
      <c r="U366" s="176"/>
      <c r="V366" s="176"/>
      <c r="W366" s="177"/>
      <c r="Y366" s="167" t="str">
        <v/>
      </c>
      <c r="Z366" s="175"/>
      <c r="AA366" s="176"/>
      <c r="AB366" s="176"/>
      <c r="AC366" s="176"/>
      <c r="AD366" s="177"/>
      <c r="AF366" s="167" t="str">
        <v>#Empty List</v>
      </c>
      <c r="AG366" s="175"/>
      <c r="AH366" s="176"/>
      <c r="AI366" s="176"/>
      <c r="AJ366" s="176"/>
      <c r="AK366" s="177"/>
      <c r="AM366" s="167" t="str">
        <v/>
      </c>
      <c r="AN366" s="175"/>
      <c r="AO366" s="176"/>
      <c r="AP366" s="176"/>
      <c r="AQ366" s="176"/>
      <c r="AR366" s="177"/>
    </row>
    <row r="367" spans="1:44">
      <c r="A367" s="204">
        <v>34</v>
      </c>
      <c r="B367" s="190" t="str">
        <v/>
      </c>
      <c r="C367" s="175"/>
      <c r="D367" s="176"/>
      <c r="E367" s="176"/>
      <c r="F367" s="176"/>
      <c r="G367" s="177"/>
      <c r="I367" s="167" t="str">
        <v/>
      </c>
      <c r="J367" s="175"/>
      <c r="K367" s="176"/>
      <c r="L367" s="176"/>
      <c r="M367" s="176"/>
      <c r="N367" s="220"/>
      <c r="O367" s="220"/>
      <c r="P367" s="177"/>
      <c r="R367" s="167" t="str">
        <v/>
      </c>
      <c r="S367" s="175"/>
      <c r="T367" s="176"/>
      <c r="U367" s="176"/>
      <c r="V367" s="176"/>
      <c r="W367" s="177"/>
      <c r="Y367" s="167" t="str">
        <v/>
      </c>
      <c r="Z367" s="175"/>
      <c r="AA367" s="176"/>
      <c r="AB367" s="176"/>
      <c r="AC367" s="176"/>
      <c r="AD367" s="177"/>
      <c r="AF367" s="167" t="str">
        <v>#Empty List</v>
      </c>
      <c r="AG367" s="175"/>
      <c r="AH367" s="176"/>
      <c r="AI367" s="176"/>
      <c r="AJ367" s="176"/>
      <c r="AK367" s="177"/>
      <c r="AM367" s="167" t="str">
        <v/>
      </c>
      <c r="AN367" s="175"/>
      <c r="AO367" s="176"/>
      <c r="AP367" s="176"/>
      <c r="AQ367" s="176"/>
      <c r="AR367" s="177"/>
    </row>
    <row r="368" spans="1:44">
      <c r="A368" s="204">
        <v>35</v>
      </c>
      <c r="B368" s="190" t="str">
        <v/>
      </c>
      <c r="C368" s="175"/>
      <c r="D368" s="176"/>
      <c r="E368" s="176"/>
      <c r="F368" s="176"/>
      <c r="G368" s="177"/>
      <c r="I368" s="167" t="str">
        <v/>
      </c>
      <c r="J368" s="175"/>
      <c r="K368" s="176"/>
      <c r="L368" s="176"/>
      <c r="M368" s="176"/>
      <c r="N368" s="220"/>
      <c r="O368" s="220"/>
      <c r="P368" s="177"/>
      <c r="R368" s="167" t="str">
        <v/>
      </c>
      <c r="S368" s="175"/>
      <c r="T368" s="176"/>
      <c r="U368" s="176"/>
      <c r="V368" s="176"/>
      <c r="W368" s="177"/>
      <c r="Y368" s="167" t="str">
        <v/>
      </c>
      <c r="Z368" s="175"/>
      <c r="AA368" s="176"/>
      <c r="AB368" s="176"/>
      <c r="AC368" s="176"/>
      <c r="AD368" s="177"/>
      <c r="AF368" s="167" t="str">
        <v>#Empty List</v>
      </c>
      <c r="AG368" s="175"/>
      <c r="AH368" s="176"/>
      <c r="AI368" s="176"/>
      <c r="AJ368" s="176"/>
      <c r="AK368" s="177"/>
      <c r="AM368" s="167" t="str">
        <v/>
      </c>
      <c r="AN368" s="175"/>
      <c r="AO368" s="176"/>
      <c r="AP368" s="176"/>
      <c r="AQ368" s="176"/>
      <c r="AR368" s="177"/>
    </row>
    <row r="369" spans="1:44">
      <c r="A369" s="204">
        <v>36</v>
      </c>
      <c r="B369" s="190" t="str">
        <v/>
      </c>
      <c r="C369" s="175"/>
      <c r="D369" s="176"/>
      <c r="E369" s="176"/>
      <c r="F369" s="176"/>
      <c r="G369" s="177"/>
      <c r="I369" s="167" t="str">
        <v/>
      </c>
      <c r="J369" s="175"/>
      <c r="K369" s="176"/>
      <c r="L369" s="176"/>
      <c r="M369" s="176"/>
      <c r="N369" s="220"/>
      <c r="O369" s="220"/>
      <c r="P369" s="177"/>
      <c r="R369" s="167" t="str">
        <v/>
      </c>
      <c r="S369" s="175"/>
      <c r="T369" s="176"/>
      <c r="U369" s="176"/>
      <c r="V369" s="176"/>
      <c r="W369" s="177"/>
      <c r="Y369" s="167" t="str">
        <v/>
      </c>
      <c r="Z369" s="175"/>
      <c r="AA369" s="176"/>
      <c r="AB369" s="176"/>
      <c r="AC369" s="176"/>
      <c r="AD369" s="177"/>
      <c r="AF369" s="167" t="str">
        <v>#Empty List</v>
      </c>
      <c r="AG369" s="175"/>
      <c r="AH369" s="176"/>
      <c r="AI369" s="176"/>
      <c r="AJ369" s="176"/>
      <c r="AK369" s="177"/>
      <c r="AM369" s="167" t="str">
        <v/>
      </c>
      <c r="AN369" s="175"/>
      <c r="AO369" s="176"/>
      <c r="AP369" s="176"/>
      <c r="AQ369" s="176"/>
      <c r="AR369" s="177"/>
    </row>
    <row r="370" spans="1:44">
      <c r="A370" s="204">
        <v>37</v>
      </c>
      <c r="B370" s="190" t="str">
        <v/>
      </c>
      <c r="C370" s="175"/>
      <c r="D370" s="176"/>
      <c r="E370" s="176"/>
      <c r="F370" s="176"/>
      <c r="G370" s="177"/>
      <c r="I370" s="167" t="str">
        <v/>
      </c>
      <c r="J370" s="175"/>
      <c r="K370" s="176"/>
      <c r="L370" s="176"/>
      <c r="M370" s="176"/>
      <c r="N370" s="220"/>
      <c r="O370" s="220"/>
      <c r="P370" s="177"/>
      <c r="R370" s="167" t="str">
        <v/>
      </c>
      <c r="S370" s="175"/>
      <c r="T370" s="176"/>
      <c r="U370" s="176"/>
      <c r="V370" s="176"/>
      <c r="W370" s="177"/>
      <c r="Y370" s="167" t="str">
        <v/>
      </c>
      <c r="Z370" s="175"/>
      <c r="AA370" s="176"/>
      <c r="AB370" s="176"/>
      <c r="AC370" s="176"/>
      <c r="AD370" s="177"/>
      <c r="AF370" s="167" t="str">
        <v>#Empty List</v>
      </c>
      <c r="AG370" s="175"/>
      <c r="AH370" s="176"/>
      <c r="AI370" s="176"/>
      <c r="AJ370" s="176"/>
      <c r="AK370" s="177"/>
      <c r="AM370" s="167" t="str">
        <v/>
      </c>
      <c r="AN370" s="175"/>
      <c r="AO370" s="176"/>
      <c r="AP370" s="176"/>
      <c r="AQ370" s="176"/>
      <c r="AR370" s="177"/>
    </row>
    <row r="371" spans="1:44">
      <c r="A371" s="204">
        <v>38</v>
      </c>
      <c r="B371" s="190" t="str">
        <v/>
      </c>
      <c r="C371" s="175"/>
      <c r="D371" s="176"/>
      <c r="E371" s="176"/>
      <c r="F371" s="176"/>
      <c r="G371" s="177"/>
      <c r="I371" s="167" t="str">
        <v/>
      </c>
      <c r="J371" s="175"/>
      <c r="K371" s="176"/>
      <c r="L371" s="176"/>
      <c r="M371" s="176"/>
      <c r="N371" s="220"/>
      <c r="O371" s="220"/>
      <c r="P371" s="177"/>
      <c r="R371" s="167" t="str">
        <v/>
      </c>
      <c r="S371" s="175"/>
      <c r="T371" s="176"/>
      <c r="U371" s="176"/>
      <c r="V371" s="176"/>
      <c r="W371" s="177"/>
      <c r="Y371" s="167" t="str">
        <v/>
      </c>
      <c r="Z371" s="175"/>
      <c r="AA371" s="176"/>
      <c r="AB371" s="176"/>
      <c r="AC371" s="176"/>
      <c r="AD371" s="177"/>
      <c r="AF371" s="167" t="str">
        <v>#Empty List</v>
      </c>
      <c r="AG371" s="175"/>
      <c r="AH371" s="176"/>
      <c r="AI371" s="176"/>
      <c r="AJ371" s="176"/>
      <c r="AK371" s="177"/>
      <c r="AM371" s="167" t="str">
        <v/>
      </c>
      <c r="AN371" s="175"/>
      <c r="AO371" s="176"/>
      <c r="AP371" s="176"/>
      <c r="AQ371" s="176"/>
      <c r="AR371" s="177"/>
    </row>
    <row r="372" spans="1:44">
      <c r="A372" s="204">
        <v>39</v>
      </c>
      <c r="B372" s="190" t="str">
        <v/>
      </c>
      <c r="C372" s="175"/>
      <c r="D372" s="176"/>
      <c r="E372" s="176"/>
      <c r="F372" s="176"/>
      <c r="G372" s="177"/>
      <c r="I372" s="167" t="str">
        <v/>
      </c>
      <c r="J372" s="175"/>
      <c r="K372" s="176"/>
      <c r="L372" s="176"/>
      <c r="M372" s="176"/>
      <c r="N372" s="220"/>
      <c r="O372" s="220"/>
      <c r="P372" s="177"/>
      <c r="R372" s="167" t="str">
        <v/>
      </c>
      <c r="S372" s="175"/>
      <c r="T372" s="176"/>
      <c r="U372" s="176"/>
      <c r="V372" s="176"/>
      <c r="W372" s="177"/>
      <c r="Y372" s="167" t="str">
        <v/>
      </c>
      <c r="Z372" s="175"/>
      <c r="AA372" s="176"/>
      <c r="AB372" s="176"/>
      <c r="AC372" s="176"/>
      <c r="AD372" s="177"/>
      <c r="AF372" s="167" t="str">
        <v>#Empty List</v>
      </c>
      <c r="AG372" s="175"/>
      <c r="AH372" s="176"/>
      <c r="AI372" s="176"/>
      <c r="AJ372" s="176"/>
      <c r="AK372" s="177"/>
      <c r="AM372" s="167" t="str">
        <v/>
      </c>
      <c r="AN372" s="175"/>
      <c r="AO372" s="176"/>
      <c r="AP372" s="176"/>
      <c r="AQ372" s="176"/>
      <c r="AR372" s="177"/>
    </row>
    <row r="373" spans="1:44">
      <c r="A373" s="204">
        <v>40</v>
      </c>
      <c r="B373" s="190" t="str">
        <v/>
      </c>
      <c r="C373" s="175"/>
      <c r="D373" s="176"/>
      <c r="E373" s="176"/>
      <c r="F373" s="176"/>
      <c r="G373" s="177"/>
      <c r="I373" s="167" t="str">
        <v/>
      </c>
      <c r="J373" s="175"/>
      <c r="K373" s="176"/>
      <c r="L373" s="176"/>
      <c r="M373" s="176"/>
      <c r="N373" s="220"/>
      <c r="O373" s="220"/>
      <c r="P373" s="177"/>
      <c r="R373" s="167" t="str">
        <v/>
      </c>
      <c r="S373" s="175"/>
      <c r="T373" s="176"/>
      <c r="U373" s="176"/>
      <c r="V373" s="176"/>
      <c r="W373" s="177"/>
      <c r="Y373" s="167" t="str">
        <v/>
      </c>
      <c r="Z373" s="175"/>
      <c r="AA373" s="176"/>
      <c r="AB373" s="176"/>
      <c r="AC373" s="176"/>
      <c r="AD373" s="177"/>
      <c r="AF373" s="167" t="str">
        <v>#Empty List</v>
      </c>
      <c r="AG373" s="175"/>
      <c r="AH373" s="176"/>
      <c r="AI373" s="176"/>
      <c r="AJ373" s="176"/>
      <c r="AK373" s="177"/>
      <c r="AM373" s="167" t="str">
        <v/>
      </c>
      <c r="AN373" s="175"/>
      <c r="AO373" s="176"/>
      <c r="AP373" s="176"/>
      <c r="AQ373" s="176"/>
      <c r="AR373" s="177"/>
    </row>
    <row r="374" spans="1:44">
      <c r="A374" s="204">
        <v>41</v>
      </c>
      <c r="B374" s="190" t="str">
        <v/>
      </c>
      <c r="C374" s="175"/>
      <c r="D374" s="176"/>
      <c r="E374" s="176"/>
      <c r="F374" s="176"/>
      <c r="G374" s="177"/>
      <c r="I374" s="167" t="str">
        <v/>
      </c>
      <c r="J374" s="175"/>
      <c r="K374" s="176"/>
      <c r="L374" s="176"/>
      <c r="M374" s="176"/>
      <c r="N374" s="220"/>
      <c r="O374" s="220"/>
      <c r="P374" s="177"/>
      <c r="R374" s="167" t="str">
        <v/>
      </c>
      <c r="S374" s="175"/>
      <c r="T374" s="176"/>
      <c r="U374" s="176"/>
      <c r="V374" s="176"/>
      <c r="W374" s="177"/>
      <c r="Y374" s="167" t="str">
        <v/>
      </c>
      <c r="Z374" s="175"/>
      <c r="AA374" s="176"/>
      <c r="AB374" s="176"/>
      <c r="AC374" s="176"/>
      <c r="AD374" s="177"/>
      <c r="AF374" s="167" t="str">
        <v>#Empty List</v>
      </c>
      <c r="AG374" s="175"/>
      <c r="AH374" s="176"/>
      <c r="AI374" s="176"/>
      <c r="AJ374" s="176"/>
      <c r="AK374" s="177"/>
      <c r="AM374" s="167" t="str">
        <v/>
      </c>
      <c r="AN374" s="175"/>
      <c r="AO374" s="176"/>
      <c r="AP374" s="176"/>
      <c r="AQ374" s="176"/>
      <c r="AR374" s="177"/>
    </row>
    <row r="375" spans="1:44">
      <c r="A375" s="204">
        <v>42</v>
      </c>
      <c r="B375" s="190" t="str">
        <v/>
      </c>
      <c r="C375" s="175"/>
      <c r="D375" s="176"/>
      <c r="E375" s="176"/>
      <c r="F375" s="176"/>
      <c r="G375" s="177"/>
      <c r="I375" s="167" t="str">
        <v/>
      </c>
      <c r="J375" s="175"/>
      <c r="K375" s="176"/>
      <c r="L375" s="176"/>
      <c r="M375" s="176"/>
      <c r="N375" s="220"/>
      <c r="O375" s="220"/>
      <c r="P375" s="177"/>
      <c r="R375" s="167" t="str">
        <v/>
      </c>
      <c r="S375" s="175"/>
      <c r="T375" s="176"/>
      <c r="U375" s="176"/>
      <c r="V375" s="176"/>
      <c r="W375" s="177"/>
      <c r="Y375" s="167" t="str">
        <v/>
      </c>
      <c r="Z375" s="175"/>
      <c r="AA375" s="176"/>
      <c r="AB375" s="176"/>
      <c r="AC375" s="176"/>
      <c r="AD375" s="177"/>
      <c r="AF375" s="167" t="str">
        <v>#Empty List</v>
      </c>
      <c r="AG375" s="175"/>
      <c r="AH375" s="176"/>
      <c r="AI375" s="176"/>
      <c r="AJ375" s="176"/>
      <c r="AK375" s="177"/>
      <c r="AM375" s="167" t="str">
        <v/>
      </c>
      <c r="AN375" s="175"/>
      <c r="AO375" s="176"/>
      <c r="AP375" s="176"/>
      <c r="AQ375" s="176"/>
      <c r="AR375" s="177"/>
    </row>
    <row r="376" spans="1:44">
      <c r="A376" s="204">
        <v>43</v>
      </c>
      <c r="B376" s="190" t="str">
        <v/>
      </c>
      <c r="C376" s="175"/>
      <c r="D376" s="176"/>
      <c r="E376" s="176"/>
      <c r="F376" s="176"/>
      <c r="G376" s="177"/>
      <c r="I376" s="167" t="str">
        <v/>
      </c>
      <c r="J376" s="175"/>
      <c r="K376" s="176"/>
      <c r="L376" s="176"/>
      <c r="M376" s="176"/>
      <c r="N376" s="220"/>
      <c r="O376" s="220"/>
      <c r="P376" s="177"/>
      <c r="R376" s="167" t="str">
        <v/>
      </c>
      <c r="S376" s="175"/>
      <c r="T376" s="176"/>
      <c r="U376" s="176"/>
      <c r="V376" s="176"/>
      <c r="W376" s="177"/>
      <c r="Y376" s="167" t="str">
        <v/>
      </c>
      <c r="Z376" s="175"/>
      <c r="AA376" s="176"/>
      <c r="AB376" s="176"/>
      <c r="AC376" s="176"/>
      <c r="AD376" s="177"/>
      <c r="AF376" s="167" t="str">
        <v>#Empty List</v>
      </c>
      <c r="AG376" s="175"/>
      <c r="AH376" s="176"/>
      <c r="AI376" s="176"/>
      <c r="AJ376" s="176"/>
      <c r="AK376" s="177"/>
      <c r="AM376" s="167" t="str">
        <v/>
      </c>
      <c r="AN376" s="175"/>
      <c r="AO376" s="176"/>
      <c r="AP376" s="176"/>
      <c r="AQ376" s="176"/>
      <c r="AR376" s="177"/>
    </row>
    <row r="377" spans="1:44">
      <c r="A377" s="204">
        <v>44</v>
      </c>
      <c r="B377" s="190" t="str">
        <v/>
      </c>
      <c r="C377" s="175"/>
      <c r="D377" s="176"/>
      <c r="E377" s="176"/>
      <c r="F377" s="176"/>
      <c r="G377" s="177"/>
      <c r="I377" s="167" t="str">
        <v/>
      </c>
      <c r="J377" s="175"/>
      <c r="K377" s="176"/>
      <c r="L377" s="176"/>
      <c r="M377" s="176"/>
      <c r="N377" s="220"/>
      <c r="O377" s="220"/>
      <c r="P377" s="177"/>
      <c r="R377" s="167" t="str">
        <v/>
      </c>
      <c r="S377" s="175"/>
      <c r="T377" s="176"/>
      <c r="U377" s="176"/>
      <c r="V377" s="176"/>
      <c r="W377" s="177"/>
      <c r="Y377" s="167" t="str">
        <v/>
      </c>
      <c r="Z377" s="175"/>
      <c r="AA377" s="176"/>
      <c r="AB377" s="176"/>
      <c r="AC377" s="176"/>
      <c r="AD377" s="177"/>
      <c r="AF377" s="167" t="str">
        <v>#Empty List</v>
      </c>
      <c r="AG377" s="175"/>
      <c r="AH377" s="176"/>
      <c r="AI377" s="176"/>
      <c r="AJ377" s="176"/>
      <c r="AK377" s="177"/>
      <c r="AM377" s="167" t="str">
        <v/>
      </c>
      <c r="AN377" s="175"/>
      <c r="AO377" s="176"/>
      <c r="AP377" s="176"/>
      <c r="AQ377" s="176"/>
      <c r="AR377" s="177"/>
    </row>
    <row r="378" spans="1:44">
      <c r="A378" s="204">
        <v>45</v>
      </c>
      <c r="B378" s="190" t="str">
        <v/>
      </c>
      <c r="C378" s="175"/>
      <c r="D378" s="176"/>
      <c r="E378" s="176"/>
      <c r="F378" s="176"/>
      <c r="G378" s="177"/>
      <c r="I378" s="167" t="str">
        <v/>
      </c>
      <c r="J378" s="175"/>
      <c r="K378" s="176"/>
      <c r="L378" s="176"/>
      <c r="M378" s="176"/>
      <c r="N378" s="220"/>
      <c r="O378" s="220"/>
      <c r="P378" s="177"/>
      <c r="R378" s="167" t="str">
        <v/>
      </c>
      <c r="S378" s="175"/>
      <c r="T378" s="176"/>
      <c r="U378" s="176"/>
      <c r="V378" s="176"/>
      <c r="W378" s="177"/>
      <c r="Y378" s="167" t="str">
        <v/>
      </c>
      <c r="Z378" s="175"/>
      <c r="AA378" s="176"/>
      <c r="AB378" s="176"/>
      <c r="AC378" s="176"/>
      <c r="AD378" s="177"/>
      <c r="AF378" s="167" t="str">
        <v>#Empty List</v>
      </c>
      <c r="AG378" s="175"/>
      <c r="AH378" s="176"/>
      <c r="AI378" s="176"/>
      <c r="AJ378" s="176"/>
      <c r="AK378" s="177"/>
      <c r="AM378" s="167" t="str">
        <v/>
      </c>
      <c r="AN378" s="175"/>
      <c r="AO378" s="176"/>
      <c r="AP378" s="176"/>
      <c r="AQ378" s="176"/>
      <c r="AR378" s="177"/>
    </row>
    <row r="379" spans="1:44">
      <c r="A379" s="204">
        <v>46</v>
      </c>
      <c r="B379" s="190" t="str">
        <v/>
      </c>
      <c r="C379" s="175"/>
      <c r="D379" s="176"/>
      <c r="E379" s="176"/>
      <c r="F379" s="176"/>
      <c r="G379" s="177"/>
      <c r="I379" s="167" t="str">
        <v/>
      </c>
      <c r="J379" s="175"/>
      <c r="K379" s="176"/>
      <c r="L379" s="176"/>
      <c r="M379" s="176"/>
      <c r="N379" s="220"/>
      <c r="O379" s="220"/>
      <c r="P379" s="177"/>
      <c r="R379" s="167" t="str">
        <v/>
      </c>
      <c r="S379" s="175"/>
      <c r="T379" s="176"/>
      <c r="U379" s="176"/>
      <c r="V379" s="176"/>
      <c r="W379" s="177"/>
      <c r="Y379" s="167" t="str">
        <v/>
      </c>
      <c r="Z379" s="175"/>
      <c r="AA379" s="176"/>
      <c r="AB379" s="176"/>
      <c r="AC379" s="176"/>
      <c r="AD379" s="177"/>
      <c r="AF379" s="167" t="str">
        <v>#Empty List</v>
      </c>
      <c r="AG379" s="175"/>
      <c r="AH379" s="176"/>
      <c r="AI379" s="176"/>
      <c r="AJ379" s="176"/>
      <c r="AK379" s="177"/>
      <c r="AM379" s="167" t="str">
        <v/>
      </c>
      <c r="AN379" s="175"/>
      <c r="AO379" s="176"/>
      <c r="AP379" s="176"/>
      <c r="AQ379" s="176"/>
      <c r="AR379" s="177"/>
    </row>
    <row r="380" spans="1:44">
      <c r="A380" s="204">
        <v>47</v>
      </c>
      <c r="B380" s="190" t="str">
        <v/>
      </c>
      <c r="C380" s="175"/>
      <c r="D380" s="176"/>
      <c r="E380" s="176"/>
      <c r="F380" s="176"/>
      <c r="G380" s="177"/>
      <c r="I380" s="167" t="str">
        <v/>
      </c>
      <c r="J380" s="175"/>
      <c r="K380" s="176"/>
      <c r="L380" s="176"/>
      <c r="M380" s="176"/>
      <c r="N380" s="220"/>
      <c r="O380" s="220"/>
      <c r="P380" s="177"/>
      <c r="R380" s="167" t="str">
        <v/>
      </c>
      <c r="S380" s="175"/>
      <c r="T380" s="176"/>
      <c r="U380" s="176"/>
      <c r="V380" s="176"/>
      <c r="W380" s="177"/>
      <c r="Y380" s="167" t="str">
        <v/>
      </c>
      <c r="Z380" s="175"/>
      <c r="AA380" s="176"/>
      <c r="AB380" s="176"/>
      <c r="AC380" s="176"/>
      <c r="AD380" s="177"/>
      <c r="AF380" s="167" t="str">
        <v>#Empty List</v>
      </c>
      <c r="AG380" s="175"/>
      <c r="AH380" s="176"/>
      <c r="AI380" s="176"/>
      <c r="AJ380" s="176"/>
      <c r="AK380" s="177"/>
      <c r="AM380" s="167" t="str">
        <v/>
      </c>
      <c r="AN380" s="175"/>
      <c r="AO380" s="176"/>
      <c r="AP380" s="176"/>
      <c r="AQ380" s="176"/>
      <c r="AR380" s="177"/>
    </row>
    <row r="381" spans="1:44">
      <c r="A381" s="204">
        <v>48</v>
      </c>
      <c r="B381" s="190" t="str">
        <v/>
      </c>
      <c r="C381" s="175"/>
      <c r="D381" s="176"/>
      <c r="E381" s="176"/>
      <c r="F381" s="176"/>
      <c r="G381" s="177"/>
      <c r="I381" s="167" t="str">
        <v/>
      </c>
      <c r="J381" s="175"/>
      <c r="K381" s="176"/>
      <c r="L381" s="176"/>
      <c r="M381" s="176"/>
      <c r="N381" s="220"/>
      <c r="O381" s="220"/>
      <c r="P381" s="177"/>
      <c r="R381" s="167" t="str">
        <v/>
      </c>
      <c r="S381" s="175"/>
      <c r="T381" s="176"/>
      <c r="U381" s="176"/>
      <c r="V381" s="176"/>
      <c r="W381" s="177"/>
      <c r="Y381" s="167" t="str">
        <v/>
      </c>
      <c r="Z381" s="175"/>
      <c r="AA381" s="176"/>
      <c r="AB381" s="176"/>
      <c r="AC381" s="176"/>
      <c r="AD381" s="177"/>
      <c r="AF381" s="167" t="str">
        <v>#Empty List</v>
      </c>
      <c r="AG381" s="175"/>
      <c r="AH381" s="176"/>
      <c r="AI381" s="176"/>
      <c r="AJ381" s="176"/>
      <c r="AK381" s="177"/>
      <c r="AM381" s="167" t="str">
        <v/>
      </c>
      <c r="AN381" s="175"/>
      <c r="AO381" s="176"/>
      <c r="AP381" s="176"/>
      <c r="AQ381" s="176"/>
      <c r="AR381" s="177"/>
    </row>
    <row r="382" spans="1:44">
      <c r="A382" s="204">
        <v>49</v>
      </c>
      <c r="B382" s="190" t="str">
        <v/>
      </c>
      <c r="C382" s="175"/>
      <c r="D382" s="176"/>
      <c r="E382" s="176"/>
      <c r="F382" s="176"/>
      <c r="G382" s="177"/>
      <c r="I382" s="167" t="str">
        <v/>
      </c>
      <c r="J382" s="175"/>
      <c r="K382" s="176"/>
      <c r="L382" s="176"/>
      <c r="M382" s="176"/>
      <c r="N382" s="220"/>
      <c r="O382" s="220"/>
      <c r="P382" s="177"/>
      <c r="R382" s="167" t="str">
        <v/>
      </c>
      <c r="S382" s="175"/>
      <c r="T382" s="176"/>
      <c r="U382" s="176"/>
      <c r="V382" s="176"/>
      <c r="W382" s="177"/>
      <c r="Y382" s="167" t="str">
        <v/>
      </c>
      <c r="Z382" s="175"/>
      <c r="AA382" s="176"/>
      <c r="AB382" s="176"/>
      <c r="AC382" s="176"/>
      <c r="AD382" s="177"/>
      <c r="AF382" s="167" t="str">
        <v>#Empty List</v>
      </c>
      <c r="AG382" s="175"/>
      <c r="AH382" s="176"/>
      <c r="AI382" s="176"/>
      <c r="AJ382" s="176"/>
      <c r="AK382" s="177"/>
      <c r="AM382" s="167" t="str">
        <v/>
      </c>
      <c r="AN382" s="175"/>
      <c r="AO382" s="176"/>
      <c r="AP382" s="176"/>
      <c r="AQ382" s="176"/>
      <c r="AR382" s="177"/>
    </row>
    <row r="383" spans="1:44">
      <c r="A383" s="204">
        <v>50</v>
      </c>
      <c r="B383" s="190" t="str">
        <v/>
      </c>
      <c r="C383" s="175"/>
      <c r="D383" s="176"/>
      <c r="E383" s="176"/>
      <c r="F383" s="176"/>
      <c r="G383" s="177"/>
      <c r="I383" s="167" t="str">
        <v/>
      </c>
      <c r="J383" s="175"/>
      <c r="K383" s="176"/>
      <c r="L383" s="176"/>
      <c r="M383" s="176"/>
      <c r="N383" s="220"/>
      <c r="O383" s="220"/>
      <c r="P383" s="177"/>
      <c r="R383" s="167" t="str">
        <v/>
      </c>
      <c r="S383" s="175"/>
      <c r="T383" s="176"/>
      <c r="U383" s="176"/>
      <c r="V383" s="176"/>
      <c r="W383" s="177"/>
      <c r="Y383" s="167" t="str">
        <v/>
      </c>
      <c r="Z383" s="175"/>
      <c r="AA383" s="176"/>
      <c r="AB383" s="176"/>
      <c r="AC383" s="176"/>
      <c r="AD383" s="177"/>
      <c r="AF383" s="167" t="str">
        <v>#Empty List</v>
      </c>
      <c r="AG383" s="175"/>
      <c r="AH383" s="176"/>
      <c r="AI383" s="176"/>
      <c r="AJ383" s="176"/>
      <c r="AK383" s="177"/>
      <c r="AM383" s="167" t="str">
        <v/>
      </c>
      <c r="AN383" s="175"/>
      <c r="AO383" s="176"/>
      <c r="AP383" s="176"/>
      <c r="AQ383" s="176"/>
      <c r="AR383" s="177"/>
    </row>
    <row r="384" spans="1:44">
      <c r="A384" s="204">
        <v>51</v>
      </c>
      <c r="B384" s="190" t="str">
        <v/>
      </c>
      <c r="C384" s="175"/>
      <c r="D384" s="176"/>
      <c r="E384" s="176"/>
      <c r="F384" s="176"/>
      <c r="G384" s="177"/>
      <c r="I384" s="167" t="str">
        <v/>
      </c>
      <c r="J384" s="175"/>
      <c r="K384" s="176"/>
      <c r="L384" s="176"/>
      <c r="M384" s="176"/>
      <c r="N384" s="220"/>
      <c r="O384" s="220"/>
      <c r="P384" s="177"/>
      <c r="R384" s="167" t="str">
        <v/>
      </c>
      <c r="S384" s="175"/>
      <c r="T384" s="176"/>
      <c r="U384" s="176"/>
      <c r="V384" s="176"/>
      <c r="W384" s="177"/>
      <c r="Y384" s="167" t="str">
        <v/>
      </c>
      <c r="Z384" s="175"/>
      <c r="AA384" s="176"/>
      <c r="AB384" s="176"/>
      <c r="AC384" s="176"/>
      <c r="AD384" s="177"/>
      <c r="AF384" s="167" t="str">
        <v>#Empty List</v>
      </c>
      <c r="AG384" s="175"/>
      <c r="AH384" s="176"/>
      <c r="AI384" s="176"/>
      <c r="AJ384" s="176"/>
      <c r="AK384" s="177"/>
      <c r="AM384" s="167" t="str">
        <v/>
      </c>
      <c r="AN384" s="175"/>
      <c r="AO384" s="176"/>
      <c r="AP384" s="176"/>
      <c r="AQ384" s="176"/>
      <c r="AR384" s="177"/>
    </row>
    <row r="385" spans="1:44">
      <c r="A385" s="204">
        <v>52</v>
      </c>
      <c r="B385" s="190" t="str">
        <v/>
      </c>
      <c r="C385" s="175"/>
      <c r="D385" s="176"/>
      <c r="E385" s="176"/>
      <c r="F385" s="176"/>
      <c r="G385" s="177"/>
      <c r="I385" s="167" t="str">
        <v/>
      </c>
      <c r="J385" s="175"/>
      <c r="K385" s="176"/>
      <c r="L385" s="176"/>
      <c r="M385" s="176"/>
      <c r="N385" s="220"/>
      <c r="O385" s="220"/>
      <c r="P385" s="177"/>
      <c r="R385" s="167" t="str">
        <v/>
      </c>
      <c r="S385" s="175"/>
      <c r="T385" s="176"/>
      <c r="U385" s="176"/>
      <c r="V385" s="176"/>
      <c r="W385" s="177"/>
      <c r="Y385" s="167" t="str">
        <v/>
      </c>
      <c r="Z385" s="175"/>
      <c r="AA385" s="176"/>
      <c r="AB385" s="176"/>
      <c r="AC385" s="176"/>
      <c r="AD385" s="177"/>
      <c r="AF385" s="167" t="str">
        <v>#Empty List</v>
      </c>
      <c r="AG385" s="175"/>
      <c r="AH385" s="176"/>
      <c r="AI385" s="176"/>
      <c r="AJ385" s="176"/>
      <c r="AK385" s="177"/>
      <c r="AM385" s="167" t="str">
        <v/>
      </c>
      <c r="AN385" s="175"/>
      <c r="AO385" s="176"/>
      <c r="AP385" s="176"/>
      <c r="AQ385" s="176"/>
      <c r="AR385" s="177"/>
    </row>
    <row r="386" spans="1:44">
      <c r="A386" s="204">
        <v>53</v>
      </c>
      <c r="B386" s="190" t="str">
        <v/>
      </c>
      <c r="C386" s="175"/>
      <c r="D386" s="176"/>
      <c r="E386" s="176"/>
      <c r="F386" s="176"/>
      <c r="G386" s="177"/>
      <c r="I386" s="167" t="str">
        <v/>
      </c>
      <c r="J386" s="175"/>
      <c r="K386" s="176"/>
      <c r="L386" s="176"/>
      <c r="M386" s="176"/>
      <c r="N386" s="220"/>
      <c r="O386" s="220"/>
      <c r="P386" s="177"/>
      <c r="R386" s="167" t="str">
        <v/>
      </c>
      <c r="S386" s="175"/>
      <c r="T386" s="176"/>
      <c r="U386" s="176"/>
      <c r="V386" s="176"/>
      <c r="W386" s="177"/>
      <c r="Y386" s="167" t="str">
        <v/>
      </c>
      <c r="Z386" s="175"/>
      <c r="AA386" s="176"/>
      <c r="AB386" s="176"/>
      <c r="AC386" s="176"/>
      <c r="AD386" s="177"/>
      <c r="AF386" s="167" t="str">
        <v>#Empty List</v>
      </c>
      <c r="AG386" s="175"/>
      <c r="AH386" s="176"/>
      <c r="AI386" s="176"/>
      <c r="AJ386" s="176"/>
      <c r="AK386" s="177"/>
      <c r="AM386" s="167" t="str">
        <v/>
      </c>
      <c r="AN386" s="175"/>
      <c r="AO386" s="176"/>
      <c r="AP386" s="176"/>
      <c r="AQ386" s="176"/>
      <c r="AR386" s="177"/>
    </row>
    <row r="387" spans="1:44">
      <c r="A387" s="204">
        <v>54</v>
      </c>
      <c r="B387" s="190" t="str">
        <v/>
      </c>
      <c r="C387" s="175"/>
      <c r="D387" s="176"/>
      <c r="E387" s="176"/>
      <c r="F387" s="176"/>
      <c r="G387" s="177"/>
      <c r="I387" s="167" t="str">
        <v/>
      </c>
      <c r="J387" s="175"/>
      <c r="K387" s="176"/>
      <c r="L387" s="176"/>
      <c r="M387" s="176"/>
      <c r="N387" s="220"/>
      <c r="O387" s="220"/>
      <c r="P387" s="177"/>
      <c r="R387" s="167" t="str">
        <v/>
      </c>
      <c r="S387" s="175"/>
      <c r="T387" s="176"/>
      <c r="U387" s="176"/>
      <c r="V387" s="176"/>
      <c r="W387" s="177"/>
      <c r="Y387" s="167" t="str">
        <v/>
      </c>
      <c r="Z387" s="175"/>
      <c r="AA387" s="176"/>
      <c r="AB387" s="176"/>
      <c r="AC387" s="176"/>
      <c r="AD387" s="177"/>
      <c r="AF387" s="167" t="str">
        <v>#Empty List</v>
      </c>
      <c r="AG387" s="175"/>
      <c r="AH387" s="176"/>
      <c r="AI387" s="176"/>
      <c r="AJ387" s="176"/>
      <c r="AK387" s="177"/>
      <c r="AM387" s="167" t="str">
        <v/>
      </c>
      <c r="AN387" s="175"/>
      <c r="AO387" s="176"/>
      <c r="AP387" s="176"/>
      <c r="AQ387" s="176"/>
      <c r="AR387" s="177"/>
    </row>
    <row r="388" spans="1:44">
      <c r="A388" s="204">
        <v>55</v>
      </c>
      <c r="B388" s="190" t="str">
        <v/>
      </c>
      <c r="C388" s="175"/>
      <c r="D388" s="176"/>
      <c r="E388" s="176"/>
      <c r="F388" s="176"/>
      <c r="G388" s="177"/>
      <c r="I388" s="167" t="str">
        <v/>
      </c>
      <c r="J388" s="175"/>
      <c r="K388" s="176"/>
      <c r="L388" s="176"/>
      <c r="M388" s="176"/>
      <c r="N388" s="220"/>
      <c r="O388" s="220"/>
      <c r="P388" s="177"/>
      <c r="R388" s="167" t="str">
        <v/>
      </c>
      <c r="S388" s="175"/>
      <c r="T388" s="176"/>
      <c r="U388" s="176"/>
      <c r="V388" s="176"/>
      <c r="W388" s="177"/>
      <c r="Y388" s="167" t="str">
        <v/>
      </c>
      <c r="Z388" s="175"/>
      <c r="AA388" s="176"/>
      <c r="AB388" s="176"/>
      <c r="AC388" s="176"/>
      <c r="AD388" s="177"/>
      <c r="AF388" s="167" t="str">
        <v>#Empty List</v>
      </c>
      <c r="AG388" s="175"/>
      <c r="AH388" s="176"/>
      <c r="AI388" s="176"/>
      <c r="AJ388" s="176"/>
      <c r="AK388" s="177"/>
      <c r="AM388" s="167" t="str">
        <v/>
      </c>
      <c r="AN388" s="175"/>
      <c r="AO388" s="176"/>
      <c r="AP388" s="176"/>
      <c r="AQ388" s="176"/>
      <c r="AR388" s="177"/>
    </row>
    <row r="389" spans="1:44">
      <c r="A389" s="204">
        <v>56</v>
      </c>
      <c r="B389" s="190" t="str">
        <v/>
      </c>
      <c r="C389" s="175"/>
      <c r="D389" s="176"/>
      <c r="E389" s="176"/>
      <c r="F389" s="176"/>
      <c r="G389" s="177"/>
      <c r="I389" s="167" t="str">
        <v/>
      </c>
      <c r="J389" s="175"/>
      <c r="K389" s="176"/>
      <c r="L389" s="176"/>
      <c r="M389" s="176"/>
      <c r="N389" s="220"/>
      <c r="O389" s="220"/>
      <c r="P389" s="177"/>
      <c r="R389" s="167" t="str">
        <v/>
      </c>
      <c r="S389" s="175"/>
      <c r="T389" s="176"/>
      <c r="U389" s="176"/>
      <c r="V389" s="176"/>
      <c r="W389" s="177"/>
      <c r="Y389" s="167" t="str">
        <v/>
      </c>
      <c r="Z389" s="175"/>
      <c r="AA389" s="176"/>
      <c r="AB389" s="176"/>
      <c r="AC389" s="176"/>
      <c r="AD389" s="177"/>
      <c r="AF389" s="167" t="str">
        <v>#Empty List</v>
      </c>
      <c r="AG389" s="175"/>
      <c r="AH389" s="176"/>
      <c r="AI389" s="176"/>
      <c r="AJ389" s="176"/>
      <c r="AK389" s="177"/>
      <c r="AM389" s="167" t="str">
        <v/>
      </c>
      <c r="AN389" s="175"/>
      <c r="AO389" s="176"/>
      <c r="AP389" s="176"/>
      <c r="AQ389" s="176"/>
      <c r="AR389" s="177"/>
    </row>
    <row r="390" spans="1:44">
      <c r="A390" s="204">
        <v>57</v>
      </c>
      <c r="B390" s="190" t="str">
        <v/>
      </c>
      <c r="C390" s="175"/>
      <c r="D390" s="176"/>
      <c r="E390" s="176"/>
      <c r="F390" s="176"/>
      <c r="G390" s="177"/>
      <c r="I390" s="167" t="str">
        <v/>
      </c>
      <c r="J390" s="175"/>
      <c r="K390" s="176"/>
      <c r="L390" s="176"/>
      <c r="M390" s="176"/>
      <c r="N390" s="220"/>
      <c r="O390" s="220"/>
      <c r="P390" s="177"/>
      <c r="R390" s="167" t="str">
        <v/>
      </c>
      <c r="S390" s="175"/>
      <c r="T390" s="176"/>
      <c r="U390" s="176"/>
      <c r="V390" s="176"/>
      <c r="W390" s="177"/>
      <c r="Y390" s="167" t="str">
        <v/>
      </c>
      <c r="Z390" s="175"/>
      <c r="AA390" s="176"/>
      <c r="AB390" s="176"/>
      <c r="AC390" s="176"/>
      <c r="AD390" s="177"/>
      <c r="AF390" s="167" t="str">
        <v>#Empty List</v>
      </c>
      <c r="AG390" s="175"/>
      <c r="AH390" s="176"/>
      <c r="AI390" s="176"/>
      <c r="AJ390" s="176"/>
      <c r="AK390" s="177"/>
      <c r="AM390" s="167" t="str">
        <v/>
      </c>
      <c r="AN390" s="175"/>
      <c r="AO390" s="176"/>
      <c r="AP390" s="176"/>
      <c r="AQ390" s="176"/>
      <c r="AR390" s="177"/>
    </row>
    <row r="391" spans="1:44">
      <c r="A391" s="204">
        <v>58</v>
      </c>
      <c r="B391" s="190" t="str">
        <v/>
      </c>
      <c r="C391" s="175"/>
      <c r="D391" s="176"/>
      <c r="E391" s="176"/>
      <c r="F391" s="176"/>
      <c r="G391" s="177"/>
      <c r="I391" s="167" t="str">
        <v/>
      </c>
      <c r="J391" s="175"/>
      <c r="K391" s="176"/>
      <c r="L391" s="176"/>
      <c r="M391" s="176"/>
      <c r="N391" s="220"/>
      <c r="O391" s="220"/>
      <c r="P391" s="177"/>
      <c r="R391" s="167" t="str">
        <v/>
      </c>
      <c r="S391" s="175"/>
      <c r="T391" s="176"/>
      <c r="U391" s="176"/>
      <c r="V391" s="176"/>
      <c r="W391" s="177"/>
      <c r="Y391" s="167" t="str">
        <v/>
      </c>
      <c r="Z391" s="175"/>
      <c r="AA391" s="176"/>
      <c r="AB391" s="176"/>
      <c r="AC391" s="176"/>
      <c r="AD391" s="177"/>
      <c r="AF391" s="167" t="str">
        <v>#Empty List</v>
      </c>
      <c r="AG391" s="175"/>
      <c r="AH391" s="176"/>
      <c r="AI391" s="176"/>
      <c r="AJ391" s="176"/>
      <c r="AK391" s="177"/>
      <c r="AM391" s="167" t="str">
        <v/>
      </c>
      <c r="AN391" s="175"/>
      <c r="AO391" s="176"/>
      <c r="AP391" s="176"/>
      <c r="AQ391" s="176"/>
      <c r="AR391" s="177"/>
    </row>
    <row r="392" spans="1:44">
      <c r="A392" s="204">
        <v>59</v>
      </c>
      <c r="B392" s="190" t="str">
        <v/>
      </c>
      <c r="C392" s="175"/>
      <c r="D392" s="176"/>
      <c r="E392" s="176"/>
      <c r="F392" s="176"/>
      <c r="G392" s="177"/>
      <c r="I392" s="167" t="str">
        <v/>
      </c>
      <c r="J392" s="175"/>
      <c r="K392" s="176"/>
      <c r="L392" s="176"/>
      <c r="M392" s="176"/>
      <c r="N392" s="220"/>
      <c r="O392" s="220"/>
      <c r="P392" s="177"/>
      <c r="R392" s="167" t="str">
        <v/>
      </c>
      <c r="S392" s="175"/>
      <c r="T392" s="176"/>
      <c r="U392" s="176"/>
      <c r="V392" s="176"/>
      <c r="W392" s="177"/>
      <c r="Y392" s="167" t="str">
        <v/>
      </c>
      <c r="Z392" s="175"/>
      <c r="AA392" s="176"/>
      <c r="AB392" s="176"/>
      <c r="AC392" s="176"/>
      <c r="AD392" s="177"/>
      <c r="AF392" s="167" t="str">
        <v>#Empty List</v>
      </c>
      <c r="AG392" s="175"/>
      <c r="AH392" s="176"/>
      <c r="AI392" s="176"/>
      <c r="AJ392" s="176"/>
      <c r="AK392" s="177"/>
      <c r="AM392" s="167" t="str">
        <v/>
      </c>
      <c r="AN392" s="175"/>
      <c r="AO392" s="176"/>
      <c r="AP392" s="176"/>
      <c r="AQ392" s="176"/>
      <c r="AR392" s="177"/>
    </row>
    <row r="393" spans="1:44">
      <c r="A393" s="204">
        <v>60</v>
      </c>
      <c r="B393" s="190" t="str">
        <v/>
      </c>
      <c r="C393" s="175"/>
      <c r="D393" s="176"/>
      <c r="E393" s="176"/>
      <c r="F393" s="176"/>
      <c r="G393" s="177"/>
      <c r="I393" s="167" t="str">
        <v/>
      </c>
      <c r="J393" s="175"/>
      <c r="K393" s="176"/>
      <c r="L393" s="176"/>
      <c r="M393" s="176"/>
      <c r="N393" s="220"/>
      <c r="O393" s="220"/>
      <c r="P393" s="177"/>
      <c r="R393" s="167" t="str">
        <v/>
      </c>
      <c r="S393" s="175"/>
      <c r="T393" s="176"/>
      <c r="U393" s="176"/>
      <c r="V393" s="176"/>
      <c r="W393" s="177"/>
      <c r="Y393" s="167" t="str">
        <v/>
      </c>
      <c r="Z393" s="175"/>
      <c r="AA393" s="176"/>
      <c r="AB393" s="176"/>
      <c r="AC393" s="176"/>
      <c r="AD393" s="177"/>
      <c r="AF393" s="167" t="str">
        <v>#Empty List</v>
      </c>
      <c r="AG393" s="175"/>
      <c r="AH393" s="176"/>
      <c r="AI393" s="176"/>
      <c r="AJ393" s="176"/>
      <c r="AK393" s="177"/>
      <c r="AM393" s="167" t="str">
        <v/>
      </c>
      <c r="AN393" s="175"/>
      <c r="AO393" s="176"/>
      <c r="AP393" s="176"/>
      <c r="AQ393" s="176"/>
      <c r="AR393" s="177"/>
    </row>
    <row r="394" spans="1:44">
      <c r="A394" s="204">
        <v>61</v>
      </c>
      <c r="B394" s="190" t="str">
        <v/>
      </c>
      <c r="C394" s="175"/>
      <c r="D394" s="176"/>
      <c r="E394" s="176"/>
      <c r="F394" s="176"/>
      <c r="G394" s="177"/>
      <c r="I394" s="167" t="str">
        <v/>
      </c>
      <c r="J394" s="175"/>
      <c r="K394" s="176"/>
      <c r="L394" s="176"/>
      <c r="M394" s="176"/>
      <c r="N394" s="220"/>
      <c r="O394" s="220"/>
      <c r="P394" s="177"/>
      <c r="R394" s="167" t="str">
        <v/>
      </c>
      <c r="S394" s="175"/>
      <c r="T394" s="176"/>
      <c r="U394" s="176"/>
      <c r="V394" s="176"/>
      <c r="W394" s="177"/>
      <c r="Y394" s="167" t="str">
        <v/>
      </c>
      <c r="Z394" s="175"/>
      <c r="AA394" s="176"/>
      <c r="AB394" s="176"/>
      <c r="AC394" s="176"/>
      <c r="AD394" s="177"/>
      <c r="AF394" s="167" t="str">
        <v>#Empty List</v>
      </c>
      <c r="AG394" s="175"/>
      <c r="AH394" s="176"/>
      <c r="AI394" s="176"/>
      <c r="AJ394" s="176"/>
      <c r="AK394" s="177"/>
      <c r="AM394" s="167" t="str">
        <v/>
      </c>
      <c r="AN394" s="175"/>
      <c r="AO394" s="176"/>
      <c r="AP394" s="176"/>
      <c r="AQ394" s="176"/>
      <c r="AR394" s="177"/>
    </row>
    <row r="395" spans="1:44">
      <c r="A395" s="204">
        <v>62</v>
      </c>
      <c r="B395" s="190" t="str">
        <v/>
      </c>
      <c r="C395" s="175"/>
      <c r="D395" s="176"/>
      <c r="E395" s="176"/>
      <c r="F395" s="176"/>
      <c r="G395" s="177"/>
      <c r="I395" s="167" t="str">
        <v/>
      </c>
      <c r="J395" s="175"/>
      <c r="K395" s="176"/>
      <c r="L395" s="176"/>
      <c r="M395" s="176"/>
      <c r="N395" s="220"/>
      <c r="O395" s="220"/>
      <c r="P395" s="177"/>
      <c r="R395" s="167" t="str">
        <v/>
      </c>
      <c r="S395" s="175"/>
      <c r="T395" s="176"/>
      <c r="U395" s="176"/>
      <c r="V395" s="176"/>
      <c r="W395" s="177"/>
      <c r="Y395" s="167" t="str">
        <v/>
      </c>
      <c r="Z395" s="175"/>
      <c r="AA395" s="176"/>
      <c r="AB395" s="176"/>
      <c r="AC395" s="176"/>
      <c r="AD395" s="177"/>
      <c r="AF395" s="167" t="str">
        <v>#Empty List</v>
      </c>
      <c r="AG395" s="175"/>
      <c r="AH395" s="176"/>
      <c r="AI395" s="176"/>
      <c r="AJ395" s="176"/>
      <c r="AK395" s="177"/>
      <c r="AM395" s="167" t="str">
        <v/>
      </c>
      <c r="AN395" s="175"/>
      <c r="AO395" s="176"/>
      <c r="AP395" s="176"/>
      <c r="AQ395" s="176"/>
      <c r="AR395" s="177"/>
    </row>
    <row r="396" spans="1:44">
      <c r="A396" s="204">
        <v>63</v>
      </c>
      <c r="B396" s="190" t="str">
        <v/>
      </c>
      <c r="C396" s="175"/>
      <c r="D396" s="176"/>
      <c r="E396" s="176"/>
      <c r="F396" s="176"/>
      <c r="G396" s="177"/>
      <c r="I396" s="167" t="str">
        <v/>
      </c>
      <c r="J396" s="175"/>
      <c r="K396" s="176"/>
      <c r="L396" s="176"/>
      <c r="M396" s="176"/>
      <c r="N396" s="220"/>
      <c r="O396" s="220"/>
      <c r="P396" s="177"/>
      <c r="R396" s="167" t="str">
        <v/>
      </c>
      <c r="S396" s="175"/>
      <c r="T396" s="176"/>
      <c r="U396" s="176"/>
      <c r="V396" s="176"/>
      <c r="W396" s="177"/>
      <c r="Y396" s="167" t="str">
        <v/>
      </c>
      <c r="Z396" s="175"/>
      <c r="AA396" s="176"/>
      <c r="AB396" s="176"/>
      <c r="AC396" s="176"/>
      <c r="AD396" s="177"/>
      <c r="AF396" s="167" t="str">
        <v>#Empty List</v>
      </c>
      <c r="AG396" s="175"/>
      <c r="AH396" s="176"/>
      <c r="AI396" s="176"/>
      <c r="AJ396" s="176"/>
      <c r="AK396" s="177"/>
      <c r="AM396" s="167" t="str">
        <v/>
      </c>
      <c r="AN396" s="175"/>
      <c r="AO396" s="176"/>
      <c r="AP396" s="176"/>
      <c r="AQ396" s="176"/>
      <c r="AR396" s="177"/>
    </row>
    <row r="397" spans="1:44">
      <c r="A397" s="204">
        <v>64</v>
      </c>
      <c r="B397" s="190" t="str">
        <v/>
      </c>
      <c r="C397" s="175"/>
      <c r="D397" s="176"/>
      <c r="E397" s="176"/>
      <c r="F397" s="176"/>
      <c r="G397" s="177"/>
      <c r="I397" s="167" t="str">
        <v/>
      </c>
      <c r="J397" s="175"/>
      <c r="K397" s="176"/>
      <c r="L397" s="176"/>
      <c r="M397" s="176"/>
      <c r="N397" s="220"/>
      <c r="O397" s="220"/>
      <c r="P397" s="177"/>
      <c r="R397" s="167" t="str">
        <v/>
      </c>
      <c r="S397" s="175"/>
      <c r="T397" s="176"/>
      <c r="U397" s="176"/>
      <c r="V397" s="176"/>
      <c r="W397" s="177"/>
      <c r="Y397" s="167" t="str">
        <v/>
      </c>
      <c r="Z397" s="175"/>
      <c r="AA397" s="176"/>
      <c r="AB397" s="176"/>
      <c r="AC397" s="176"/>
      <c r="AD397" s="177"/>
      <c r="AF397" s="167" t="str">
        <v>#Empty List</v>
      </c>
      <c r="AG397" s="175"/>
      <c r="AH397" s="176"/>
      <c r="AI397" s="176"/>
      <c r="AJ397" s="176"/>
      <c r="AK397" s="177"/>
      <c r="AM397" s="167" t="str">
        <v/>
      </c>
      <c r="AN397" s="175"/>
      <c r="AO397" s="176"/>
      <c r="AP397" s="176"/>
      <c r="AQ397" s="176"/>
      <c r="AR397" s="177"/>
    </row>
    <row r="398" spans="1:44">
      <c r="A398" s="204">
        <v>65</v>
      </c>
      <c r="B398" s="190" t="str">
        <v/>
      </c>
      <c r="C398" s="175"/>
      <c r="D398" s="176"/>
      <c r="E398" s="176"/>
      <c r="F398" s="176"/>
      <c r="G398" s="177"/>
      <c r="I398" s="167" t="str">
        <v/>
      </c>
      <c r="J398" s="175"/>
      <c r="K398" s="176"/>
      <c r="L398" s="176"/>
      <c r="M398" s="176"/>
      <c r="N398" s="220"/>
      <c r="O398" s="220"/>
      <c r="P398" s="177"/>
      <c r="R398" s="167" t="str">
        <v/>
      </c>
      <c r="S398" s="175"/>
      <c r="T398" s="176"/>
      <c r="U398" s="176"/>
      <c r="V398" s="176"/>
      <c r="W398" s="177"/>
      <c r="Y398" s="167" t="str">
        <v/>
      </c>
      <c r="Z398" s="175"/>
      <c r="AA398" s="176"/>
      <c r="AB398" s="176"/>
      <c r="AC398" s="176"/>
      <c r="AD398" s="177"/>
      <c r="AF398" s="167" t="str">
        <v>#Empty List</v>
      </c>
      <c r="AG398" s="175"/>
      <c r="AH398" s="176"/>
      <c r="AI398" s="176"/>
      <c r="AJ398" s="176"/>
      <c r="AK398" s="177"/>
      <c r="AM398" s="167" t="str">
        <v/>
      </c>
      <c r="AN398" s="175"/>
      <c r="AO398" s="176"/>
      <c r="AP398" s="176"/>
      <c r="AQ398" s="176"/>
      <c r="AR398" s="177"/>
    </row>
    <row r="399" spans="1:44">
      <c r="A399" s="204">
        <v>66</v>
      </c>
      <c r="B399" s="190" t="str">
        <v/>
      </c>
      <c r="C399" s="175"/>
      <c r="D399" s="176"/>
      <c r="E399" s="176"/>
      <c r="F399" s="176"/>
      <c r="G399" s="177"/>
      <c r="I399" s="167" t="str">
        <v/>
      </c>
      <c r="J399" s="175"/>
      <c r="K399" s="176"/>
      <c r="L399" s="176"/>
      <c r="M399" s="176"/>
      <c r="N399" s="220"/>
      <c r="O399" s="220"/>
      <c r="P399" s="177"/>
      <c r="R399" s="167" t="str">
        <v/>
      </c>
      <c r="S399" s="175"/>
      <c r="T399" s="176"/>
      <c r="U399" s="176"/>
      <c r="V399" s="176"/>
      <c r="W399" s="177"/>
      <c r="Y399" s="167" t="str">
        <v/>
      </c>
      <c r="Z399" s="175"/>
      <c r="AA399" s="176"/>
      <c r="AB399" s="176"/>
      <c r="AC399" s="176"/>
      <c r="AD399" s="177"/>
      <c r="AF399" s="167" t="str">
        <v>#Empty List</v>
      </c>
      <c r="AG399" s="175"/>
      <c r="AH399" s="176"/>
      <c r="AI399" s="176"/>
      <c r="AJ399" s="176"/>
      <c r="AK399" s="177"/>
      <c r="AM399" s="167" t="str">
        <v/>
      </c>
      <c r="AN399" s="175"/>
      <c r="AO399" s="176"/>
      <c r="AP399" s="176"/>
      <c r="AQ399" s="176"/>
      <c r="AR399" s="177"/>
    </row>
    <row r="400" spans="1:44">
      <c r="A400" s="204">
        <v>67</v>
      </c>
      <c r="B400" s="190" t="str">
        <v/>
      </c>
      <c r="C400" s="175"/>
      <c r="D400" s="176"/>
      <c r="E400" s="176"/>
      <c r="F400" s="176"/>
      <c r="G400" s="177"/>
      <c r="I400" s="167" t="str">
        <v/>
      </c>
      <c r="J400" s="175"/>
      <c r="K400" s="176"/>
      <c r="L400" s="176"/>
      <c r="M400" s="176"/>
      <c r="N400" s="220"/>
      <c r="O400" s="220"/>
      <c r="P400" s="177"/>
      <c r="R400" s="167" t="str">
        <v/>
      </c>
      <c r="S400" s="175"/>
      <c r="T400" s="176"/>
      <c r="U400" s="176"/>
      <c r="V400" s="176"/>
      <c r="W400" s="177"/>
      <c r="Y400" s="167" t="str">
        <v/>
      </c>
      <c r="Z400" s="175"/>
      <c r="AA400" s="176"/>
      <c r="AB400" s="176"/>
      <c r="AC400" s="176"/>
      <c r="AD400" s="177"/>
      <c r="AF400" s="167" t="str">
        <v>#Empty List</v>
      </c>
      <c r="AG400" s="175"/>
      <c r="AH400" s="176"/>
      <c r="AI400" s="176"/>
      <c r="AJ400" s="176"/>
      <c r="AK400" s="177"/>
      <c r="AM400" s="167" t="str">
        <v/>
      </c>
      <c r="AN400" s="175"/>
      <c r="AO400" s="176"/>
      <c r="AP400" s="176"/>
      <c r="AQ400" s="176"/>
      <c r="AR400" s="177"/>
    </row>
    <row r="401" spans="1:44">
      <c r="A401" s="204">
        <v>68</v>
      </c>
      <c r="B401" s="190" t="str">
        <v/>
      </c>
      <c r="C401" s="175"/>
      <c r="D401" s="176"/>
      <c r="E401" s="176"/>
      <c r="F401" s="176"/>
      <c r="G401" s="177"/>
      <c r="I401" s="167" t="str">
        <v/>
      </c>
      <c r="J401" s="175"/>
      <c r="K401" s="176"/>
      <c r="L401" s="176"/>
      <c r="M401" s="176"/>
      <c r="N401" s="220"/>
      <c r="O401" s="220"/>
      <c r="P401" s="177"/>
      <c r="R401" s="167" t="str">
        <v/>
      </c>
      <c r="S401" s="175"/>
      <c r="T401" s="176"/>
      <c r="U401" s="176"/>
      <c r="V401" s="176"/>
      <c r="W401" s="177"/>
      <c r="Y401" s="167" t="str">
        <v/>
      </c>
      <c r="Z401" s="175"/>
      <c r="AA401" s="176"/>
      <c r="AB401" s="176"/>
      <c r="AC401" s="176"/>
      <c r="AD401" s="177"/>
      <c r="AF401" s="167" t="str">
        <v>#Empty List</v>
      </c>
      <c r="AG401" s="175"/>
      <c r="AH401" s="176"/>
      <c r="AI401" s="176"/>
      <c r="AJ401" s="176"/>
      <c r="AK401" s="177"/>
      <c r="AM401" s="167" t="str">
        <v/>
      </c>
      <c r="AN401" s="175"/>
      <c r="AO401" s="176"/>
      <c r="AP401" s="176"/>
      <c r="AQ401" s="176"/>
      <c r="AR401" s="177"/>
    </row>
    <row r="402" spans="1:44">
      <c r="A402" s="204">
        <v>69</v>
      </c>
      <c r="B402" s="190" t="str">
        <v/>
      </c>
      <c r="C402" s="175"/>
      <c r="D402" s="176"/>
      <c r="E402" s="176"/>
      <c r="F402" s="176"/>
      <c r="G402" s="177"/>
      <c r="I402" s="167" t="str">
        <v/>
      </c>
      <c r="J402" s="175"/>
      <c r="K402" s="176"/>
      <c r="L402" s="176"/>
      <c r="M402" s="176"/>
      <c r="N402" s="220"/>
      <c r="O402" s="220"/>
      <c r="P402" s="177"/>
      <c r="R402" s="167" t="str">
        <v/>
      </c>
      <c r="S402" s="175"/>
      <c r="T402" s="176"/>
      <c r="U402" s="176"/>
      <c r="V402" s="176"/>
      <c r="W402" s="177"/>
      <c r="Y402" s="167" t="str">
        <v/>
      </c>
      <c r="Z402" s="175"/>
      <c r="AA402" s="176"/>
      <c r="AB402" s="176"/>
      <c r="AC402" s="176"/>
      <c r="AD402" s="177"/>
      <c r="AF402" s="167" t="str">
        <v>#Empty List</v>
      </c>
      <c r="AG402" s="175"/>
      <c r="AH402" s="176"/>
      <c r="AI402" s="176"/>
      <c r="AJ402" s="176"/>
      <c r="AK402" s="177"/>
      <c r="AM402" s="167" t="str">
        <v/>
      </c>
      <c r="AN402" s="175"/>
      <c r="AO402" s="176"/>
      <c r="AP402" s="176"/>
      <c r="AQ402" s="176"/>
      <c r="AR402" s="177"/>
    </row>
    <row r="403" spans="1:44">
      <c r="A403" s="204">
        <v>70</v>
      </c>
      <c r="B403" s="190" t="str">
        <v/>
      </c>
      <c r="C403" s="175"/>
      <c r="D403" s="176"/>
      <c r="E403" s="176"/>
      <c r="F403" s="176"/>
      <c r="G403" s="177"/>
      <c r="I403" s="167" t="str">
        <v/>
      </c>
      <c r="J403" s="175"/>
      <c r="K403" s="176"/>
      <c r="L403" s="176"/>
      <c r="M403" s="176"/>
      <c r="N403" s="220"/>
      <c r="O403" s="220"/>
      <c r="P403" s="177"/>
      <c r="R403" s="167" t="str">
        <v/>
      </c>
      <c r="S403" s="175"/>
      <c r="T403" s="176"/>
      <c r="U403" s="176"/>
      <c r="V403" s="176"/>
      <c r="W403" s="177"/>
      <c r="Y403" s="167" t="str">
        <v/>
      </c>
      <c r="Z403" s="175"/>
      <c r="AA403" s="176"/>
      <c r="AB403" s="176"/>
      <c r="AC403" s="176"/>
      <c r="AD403" s="177"/>
      <c r="AF403" s="167" t="str">
        <v>#Empty List</v>
      </c>
      <c r="AG403" s="175"/>
      <c r="AH403" s="176"/>
      <c r="AI403" s="176"/>
      <c r="AJ403" s="176"/>
      <c r="AK403" s="177"/>
      <c r="AM403" s="167" t="str">
        <v/>
      </c>
      <c r="AN403" s="175"/>
      <c r="AO403" s="176"/>
      <c r="AP403" s="176"/>
      <c r="AQ403" s="176"/>
      <c r="AR403" s="177"/>
    </row>
    <row r="404" spans="1:44">
      <c r="A404" s="204">
        <v>71</v>
      </c>
      <c r="B404" s="190" t="str">
        <v/>
      </c>
      <c r="C404" s="175"/>
      <c r="D404" s="176"/>
      <c r="E404" s="176"/>
      <c r="F404" s="176"/>
      <c r="G404" s="177"/>
      <c r="I404" s="167" t="str">
        <v/>
      </c>
      <c r="J404" s="175"/>
      <c r="K404" s="176"/>
      <c r="L404" s="176"/>
      <c r="M404" s="176"/>
      <c r="N404" s="220"/>
      <c r="O404" s="220"/>
      <c r="P404" s="177"/>
      <c r="R404" s="167" t="str">
        <v/>
      </c>
      <c r="S404" s="175"/>
      <c r="T404" s="176"/>
      <c r="U404" s="176"/>
      <c r="V404" s="176"/>
      <c r="W404" s="177"/>
      <c r="Y404" s="167" t="str">
        <v/>
      </c>
      <c r="Z404" s="175"/>
      <c r="AA404" s="176"/>
      <c r="AB404" s="176"/>
      <c r="AC404" s="176"/>
      <c r="AD404" s="177"/>
      <c r="AF404" s="167" t="str">
        <v>#Empty List</v>
      </c>
      <c r="AG404" s="175"/>
      <c r="AH404" s="176"/>
      <c r="AI404" s="176"/>
      <c r="AJ404" s="176"/>
      <c r="AK404" s="177"/>
      <c r="AM404" s="167" t="str">
        <v/>
      </c>
      <c r="AN404" s="175"/>
      <c r="AO404" s="176"/>
      <c r="AP404" s="176"/>
      <c r="AQ404" s="176"/>
      <c r="AR404" s="177"/>
    </row>
    <row r="405" spans="1:44">
      <c r="A405" s="204">
        <v>72</v>
      </c>
      <c r="B405" s="190" t="str">
        <v/>
      </c>
      <c r="C405" s="175"/>
      <c r="D405" s="176"/>
      <c r="E405" s="176"/>
      <c r="F405" s="176"/>
      <c r="G405" s="177"/>
      <c r="I405" s="167" t="str">
        <v/>
      </c>
      <c r="J405" s="175"/>
      <c r="K405" s="176"/>
      <c r="L405" s="176"/>
      <c r="M405" s="176"/>
      <c r="N405" s="220"/>
      <c r="O405" s="220"/>
      <c r="P405" s="177"/>
      <c r="R405" s="167" t="str">
        <v/>
      </c>
      <c r="S405" s="175"/>
      <c r="T405" s="176"/>
      <c r="U405" s="176"/>
      <c r="V405" s="176"/>
      <c r="W405" s="177"/>
      <c r="Y405" s="167" t="str">
        <v/>
      </c>
      <c r="Z405" s="175"/>
      <c r="AA405" s="176"/>
      <c r="AB405" s="176"/>
      <c r="AC405" s="176"/>
      <c r="AD405" s="177"/>
      <c r="AF405" s="167" t="str">
        <v>#Empty List</v>
      </c>
      <c r="AG405" s="175"/>
      <c r="AH405" s="176"/>
      <c r="AI405" s="176"/>
      <c r="AJ405" s="176"/>
      <c r="AK405" s="177"/>
      <c r="AM405" s="167" t="str">
        <v/>
      </c>
      <c r="AN405" s="175"/>
      <c r="AO405" s="176"/>
      <c r="AP405" s="176"/>
      <c r="AQ405" s="176"/>
      <c r="AR405" s="177"/>
    </row>
    <row r="406" spans="1:44">
      <c r="A406" s="204">
        <v>73</v>
      </c>
      <c r="B406" s="190" t="str">
        <v/>
      </c>
      <c r="C406" s="175"/>
      <c r="D406" s="176"/>
      <c r="E406" s="176"/>
      <c r="F406" s="176"/>
      <c r="G406" s="177"/>
      <c r="I406" s="167" t="str">
        <v/>
      </c>
      <c r="J406" s="175"/>
      <c r="K406" s="176"/>
      <c r="L406" s="176"/>
      <c r="M406" s="176"/>
      <c r="N406" s="220"/>
      <c r="O406" s="220"/>
      <c r="P406" s="177"/>
      <c r="R406" s="167" t="str">
        <v/>
      </c>
      <c r="S406" s="175"/>
      <c r="T406" s="176"/>
      <c r="U406" s="176"/>
      <c r="V406" s="176"/>
      <c r="W406" s="177"/>
      <c r="Y406" s="167" t="str">
        <v/>
      </c>
      <c r="Z406" s="175"/>
      <c r="AA406" s="176"/>
      <c r="AB406" s="176"/>
      <c r="AC406" s="176"/>
      <c r="AD406" s="177"/>
      <c r="AF406" s="167" t="str">
        <v>#Empty List</v>
      </c>
      <c r="AG406" s="175"/>
      <c r="AH406" s="176"/>
      <c r="AI406" s="176"/>
      <c r="AJ406" s="176"/>
      <c r="AK406" s="177"/>
      <c r="AM406" s="167" t="str">
        <v/>
      </c>
      <c r="AN406" s="175"/>
      <c r="AO406" s="176"/>
      <c r="AP406" s="176"/>
      <c r="AQ406" s="176"/>
      <c r="AR406" s="177"/>
    </row>
    <row r="407" spans="1:44">
      <c r="A407" s="204">
        <v>74</v>
      </c>
      <c r="B407" s="190" t="str">
        <v/>
      </c>
      <c r="C407" s="175"/>
      <c r="D407" s="176"/>
      <c r="E407" s="176"/>
      <c r="F407" s="176"/>
      <c r="G407" s="177"/>
      <c r="I407" s="167" t="str">
        <v/>
      </c>
      <c r="J407" s="175"/>
      <c r="K407" s="176"/>
      <c r="L407" s="176"/>
      <c r="M407" s="176"/>
      <c r="N407" s="220"/>
      <c r="O407" s="220"/>
      <c r="P407" s="177"/>
      <c r="R407" s="167" t="str">
        <v/>
      </c>
      <c r="S407" s="175"/>
      <c r="T407" s="176"/>
      <c r="U407" s="176"/>
      <c r="V407" s="176"/>
      <c r="W407" s="177"/>
      <c r="Y407" s="167" t="str">
        <v/>
      </c>
      <c r="Z407" s="175"/>
      <c r="AA407" s="176"/>
      <c r="AB407" s="176"/>
      <c r="AC407" s="176"/>
      <c r="AD407" s="177"/>
      <c r="AF407" s="167" t="str">
        <v>#Empty List</v>
      </c>
      <c r="AG407" s="175"/>
      <c r="AH407" s="176"/>
      <c r="AI407" s="176"/>
      <c r="AJ407" s="176"/>
      <c r="AK407" s="177"/>
      <c r="AM407" s="167" t="str">
        <v/>
      </c>
      <c r="AN407" s="175"/>
      <c r="AO407" s="176"/>
      <c r="AP407" s="176"/>
      <c r="AQ407" s="176"/>
      <c r="AR407" s="177"/>
    </row>
    <row r="408" spans="1:44">
      <c r="A408" s="204">
        <v>75</v>
      </c>
      <c r="B408" s="190" t="str">
        <v/>
      </c>
      <c r="C408" s="175"/>
      <c r="D408" s="176"/>
      <c r="E408" s="176"/>
      <c r="F408" s="176"/>
      <c r="G408" s="177"/>
      <c r="I408" s="167" t="str">
        <v/>
      </c>
      <c r="J408" s="175"/>
      <c r="K408" s="176"/>
      <c r="L408" s="176"/>
      <c r="M408" s="176"/>
      <c r="N408" s="220"/>
      <c r="O408" s="220"/>
      <c r="P408" s="177"/>
      <c r="R408" s="167" t="str">
        <v/>
      </c>
      <c r="S408" s="175"/>
      <c r="T408" s="176"/>
      <c r="U408" s="176"/>
      <c r="V408" s="176"/>
      <c r="W408" s="177"/>
      <c r="Y408" s="167" t="str">
        <v/>
      </c>
      <c r="Z408" s="175"/>
      <c r="AA408" s="176"/>
      <c r="AB408" s="176"/>
      <c r="AC408" s="176"/>
      <c r="AD408" s="177"/>
      <c r="AF408" s="167" t="str">
        <v>#Empty List</v>
      </c>
      <c r="AG408" s="175"/>
      <c r="AH408" s="176"/>
      <c r="AI408" s="176"/>
      <c r="AJ408" s="176"/>
      <c r="AK408" s="177"/>
      <c r="AM408" s="167" t="str">
        <v/>
      </c>
      <c r="AN408" s="175"/>
      <c r="AO408" s="176"/>
      <c r="AP408" s="176"/>
      <c r="AQ408" s="176"/>
      <c r="AR408" s="177"/>
    </row>
    <row r="409" spans="1:44">
      <c r="A409" s="204">
        <v>76</v>
      </c>
      <c r="B409" s="190" t="str">
        <v/>
      </c>
      <c r="C409" s="175"/>
      <c r="D409" s="176"/>
      <c r="E409" s="176"/>
      <c r="F409" s="176"/>
      <c r="G409" s="177"/>
      <c r="I409" s="167" t="str">
        <v/>
      </c>
      <c r="J409" s="175"/>
      <c r="K409" s="176"/>
      <c r="L409" s="176"/>
      <c r="M409" s="176"/>
      <c r="N409" s="220"/>
      <c r="O409" s="220"/>
      <c r="P409" s="177"/>
      <c r="R409" s="167" t="str">
        <v/>
      </c>
      <c r="S409" s="175"/>
      <c r="T409" s="176"/>
      <c r="U409" s="176"/>
      <c r="V409" s="176"/>
      <c r="W409" s="177"/>
      <c r="Y409" s="167" t="str">
        <v/>
      </c>
      <c r="Z409" s="175"/>
      <c r="AA409" s="176"/>
      <c r="AB409" s="176"/>
      <c r="AC409" s="176"/>
      <c r="AD409" s="177"/>
      <c r="AF409" s="167" t="str">
        <v>#Empty List</v>
      </c>
      <c r="AG409" s="175"/>
      <c r="AH409" s="176"/>
      <c r="AI409" s="176"/>
      <c r="AJ409" s="176"/>
      <c r="AK409" s="177"/>
      <c r="AM409" s="167" t="str">
        <v/>
      </c>
      <c r="AN409" s="175"/>
      <c r="AO409" s="176"/>
      <c r="AP409" s="176"/>
      <c r="AQ409" s="176"/>
      <c r="AR409" s="177"/>
    </row>
    <row r="410" spans="1:44">
      <c r="A410" s="204">
        <v>77</v>
      </c>
      <c r="B410" s="190" t="str">
        <v/>
      </c>
      <c r="C410" s="175"/>
      <c r="D410" s="176"/>
      <c r="E410" s="176"/>
      <c r="F410" s="176"/>
      <c r="G410" s="177"/>
      <c r="I410" s="167" t="str">
        <v/>
      </c>
      <c r="J410" s="175"/>
      <c r="K410" s="176"/>
      <c r="L410" s="176"/>
      <c r="M410" s="176"/>
      <c r="N410" s="220"/>
      <c r="O410" s="220"/>
      <c r="P410" s="177"/>
      <c r="R410" s="167" t="str">
        <v/>
      </c>
      <c r="S410" s="175"/>
      <c r="T410" s="176"/>
      <c r="U410" s="176"/>
      <c r="V410" s="176"/>
      <c r="W410" s="177"/>
      <c r="Y410" s="167" t="str">
        <v/>
      </c>
      <c r="Z410" s="175"/>
      <c r="AA410" s="176"/>
      <c r="AB410" s="176"/>
      <c r="AC410" s="176"/>
      <c r="AD410" s="177"/>
      <c r="AF410" s="167" t="str">
        <v>#Empty List</v>
      </c>
      <c r="AG410" s="175"/>
      <c r="AH410" s="176"/>
      <c r="AI410" s="176"/>
      <c r="AJ410" s="176"/>
      <c r="AK410" s="177"/>
      <c r="AM410" s="167" t="str">
        <v/>
      </c>
      <c r="AN410" s="175"/>
      <c r="AO410" s="176"/>
      <c r="AP410" s="176"/>
      <c r="AQ410" s="176"/>
      <c r="AR410" s="177"/>
    </row>
    <row r="411" spans="1:44">
      <c r="A411" s="204">
        <v>78</v>
      </c>
      <c r="B411" s="190" t="str">
        <v/>
      </c>
      <c r="C411" s="175"/>
      <c r="D411" s="176"/>
      <c r="E411" s="176"/>
      <c r="F411" s="176"/>
      <c r="G411" s="177"/>
      <c r="I411" s="167" t="str">
        <v/>
      </c>
      <c r="J411" s="175"/>
      <c r="K411" s="176"/>
      <c r="L411" s="176"/>
      <c r="M411" s="176"/>
      <c r="N411" s="220"/>
      <c r="O411" s="220"/>
      <c r="P411" s="177"/>
      <c r="R411" s="167" t="str">
        <v/>
      </c>
      <c r="S411" s="175"/>
      <c r="T411" s="176"/>
      <c r="U411" s="176"/>
      <c r="V411" s="176"/>
      <c r="W411" s="177"/>
      <c r="Y411" s="167" t="str">
        <v/>
      </c>
      <c r="Z411" s="175"/>
      <c r="AA411" s="176"/>
      <c r="AB411" s="176"/>
      <c r="AC411" s="176"/>
      <c r="AD411" s="177"/>
      <c r="AF411" s="167" t="str">
        <v>#Empty List</v>
      </c>
      <c r="AG411" s="175"/>
      <c r="AH411" s="176"/>
      <c r="AI411" s="176"/>
      <c r="AJ411" s="176"/>
      <c r="AK411" s="177"/>
      <c r="AM411" s="167" t="str">
        <v/>
      </c>
      <c r="AN411" s="175"/>
      <c r="AO411" s="176"/>
      <c r="AP411" s="176"/>
      <c r="AQ411" s="176"/>
      <c r="AR411" s="177"/>
    </row>
    <row r="412" spans="1:44">
      <c r="A412" s="204">
        <v>79</v>
      </c>
      <c r="B412" s="190" t="str">
        <v/>
      </c>
      <c r="C412" s="175"/>
      <c r="D412" s="176"/>
      <c r="E412" s="176"/>
      <c r="F412" s="176"/>
      <c r="G412" s="177"/>
      <c r="I412" s="167" t="str">
        <v/>
      </c>
      <c r="J412" s="175"/>
      <c r="K412" s="176"/>
      <c r="L412" s="176"/>
      <c r="M412" s="176"/>
      <c r="N412" s="220"/>
      <c r="O412" s="220"/>
      <c r="P412" s="177"/>
      <c r="R412" s="167" t="str">
        <v/>
      </c>
      <c r="S412" s="175"/>
      <c r="T412" s="176"/>
      <c r="U412" s="176"/>
      <c r="V412" s="176"/>
      <c r="W412" s="177"/>
      <c r="Y412" s="167" t="str">
        <v/>
      </c>
      <c r="Z412" s="175"/>
      <c r="AA412" s="176"/>
      <c r="AB412" s="176"/>
      <c r="AC412" s="176"/>
      <c r="AD412" s="177"/>
      <c r="AF412" s="167" t="str">
        <v>#Empty List</v>
      </c>
      <c r="AG412" s="175"/>
      <c r="AH412" s="176"/>
      <c r="AI412" s="176"/>
      <c r="AJ412" s="176"/>
      <c r="AK412" s="177"/>
      <c r="AM412" s="167" t="str">
        <v/>
      </c>
      <c r="AN412" s="175"/>
      <c r="AO412" s="176"/>
      <c r="AP412" s="176"/>
      <c r="AQ412" s="176"/>
      <c r="AR412" s="177"/>
    </row>
    <row r="413" spans="1:44">
      <c r="A413" s="204">
        <v>80</v>
      </c>
      <c r="B413" s="190" t="str">
        <v/>
      </c>
      <c r="C413" s="175"/>
      <c r="D413" s="176"/>
      <c r="E413" s="176"/>
      <c r="F413" s="176"/>
      <c r="G413" s="177"/>
      <c r="I413" s="167" t="str">
        <v/>
      </c>
      <c r="J413" s="175"/>
      <c r="K413" s="176"/>
      <c r="L413" s="176"/>
      <c r="M413" s="176"/>
      <c r="N413" s="220"/>
      <c r="O413" s="220"/>
      <c r="P413" s="177"/>
      <c r="R413" s="167" t="str">
        <v/>
      </c>
      <c r="S413" s="175"/>
      <c r="T413" s="176"/>
      <c r="U413" s="176"/>
      <c r="V413" s="176"/>
      <c r="W413" s="177"/>
      <c r="Y413" s="167" t="str">
        <v/>
      </c>
      <c r="Z413" s="175"/>
      <c r="AA413" s="176"/>
      <c r="AB413" s="176"/>
      <c r="AC413" s="176"/>
      <c r="AD413" s="177"/>
      <c r="AF413" s="167" t="str">
        <v>#Empty List</v>
      </c>
      <c r="AG413" s="175"/>
      <c r="AH413" s="176"/>
      <c r="AI413" s="176"/>
      <c r="AJ413" s="176"/>
      <c r="AK413" s="177"/>
      <c r="AM413" s="167" t="str">
        <v/>
      </c>
      <c r="AN413" s="175"/>
      <c r="AO413" s="176"/>
      <c r="AP413" s="176"/>
      <c r="AQ413" s="176"/>
      <c r="AR413" s="177"/>
    </row>
    <row r="414" spans="1:44">
      <c r="A414" s="204">
        <v>81</v>
      </c>
      <c r="B414" s="190" t="str">
        <v/>
      </c>
      <c r="C414" s="175"/>
      <c r="D414" s="176"/>
      <c r="E414" s="176"/>
      <c r="F414" s="176"/>
      <c r="G414" s="177"/>
      <c r="I414" s="167" t="str">
        <v/>
      </c>
      <c r="J414" s="175"/>
      <c r="K414" s="176"/>
      <c r="L414" s="176"/>
      <c r="M414" s="176"/>
      <c r="N414" s="220"/>
      <c r="O414" s="220"/>
      <c r="P414" s="177"/>
      <c r="R414" s="167" t="str">
        <v/>
      </c>
      <c r="S414" s="175"/>
      <c r="T414" s="176"/>
      <c r="U414" s="176"/>
      <c r="V414" s="176"/>
      <c r="W414" s="177"/>
      <c r="Y414" s="167" t="str">
        <v/>
      </c>
      <c r="Z414" s="175"/>
      <c r="AA414" s="176"/>
      <c r="AB414" s="176"/>
      <c r="AC414" s="176"/>
      <c r="AD414" s="177"/>
      <c r="AF414" s="167" t="str">
        <v>#Empty List</v>
      </c>
      <c r="AG414" s="175"/>
      <c r="AH414" s="176"/>
      <c r="AI414" s="176"/>
      <c r="AJ414" s="176"/>
      <c r="AK414" s="177"/>
      <c r="AM414" s="167" t="str">
        <v/>
      </c>
      <c r="AN414" s="175"/>
      <c r="AO414" s="176"/>
      <c r="AP414" s="176"/>
      <c r="AQ414" s="176"/>
      <c r="AR414" s="177"/>
    </row>
    <row r="415" spans="1:44">
      <c r="A415" s="204">
        <v>82</v>
      </c>
      <c r="B415" s="190" t="str">
        <v/>
      </c>
      <c r="C415" s="175"/>
      <c r="D415" s="176"/>
      <c r="E415" s="176"/>
      <c r="F415" s="176"/>
      <c r="G415" s="177"/>
      <c r="I415" s="167" t="str">
        <v/>
      </c>
      <c r="J415" s="175"/>
      <c r="K415" s="176"/>
      <c r="L415" s="176"/>
      <c r="M415" s="176"/>
      <c r="N415" s="220"/>
      <c r="O415" s="220"/>
      <c r="P415" s="177"/>
      <c r="R415" s="167" t="str">
        <v/>
      </c>
      <c r="S415" s="175"/>
      <c r="T415" s="176"/>
      <c r="U415" s="176"/>
      <c r="V415" s="176"/>
      <c r="W415" s="177"/>
      <c r="Y415" s="167" t="str">
        <v/>
      </c>
      <c r="Z415" s="175"/>
      <c r="AA415" s="176"/>
      <c r="AB415" s="176"/>
      <c r="AC415" s="176"/>
      <c r="AD415" s="177"/>
      <c r="AF415" s="167" t="str">
        <v>#Empty List</v>
      </c>
      <c r="AG415" s="175"/>
      <c r="AH415" s="176"/>
      <c r="AI415" s="176"/>
      <c r="AJ415" s="176"/>
      <c r="AK415" s="177"/>
      <c r="AM415" s="167" t="str">
        <v/>
      </c>
      <c r="AN415" s="175"/>
      <c r="AO415" s="176"/>
      <c r="AP415" s="176"/>
      <c r="AQ415" s="176"/>
      <c r="AR415" s="177"/>
    </row>
    <row r="416" spans="1:44">
      <c r="A416" s="204">
        <v>83</v>
      </c>
      <c r="B416" s="190" t="str">
        <v/>
      </c>
      <c r="C416" s="175"/>
      <c r="D416" s="176"/>
      <c r="E416" s="176"/>
      <c r="F416" s="176"/>
      <c r="G416" s="177"/>
      <c r="I416" s="167" t="str">
        <v/>
      </c>
      <c r="J416" s="175"/>
      <c r="K416" s="176"/>
      <c r="L416" s="176"/>
      <c r="M416" s="176"/>
      <c r="N416" s="220"/>
      <c r="O416" s="220"/>
      <c r="P416" s="177"/>
      <c r="R416" s="167" t="str">
        <v/>
      </c>
      <c r="S416" s="175"/>
      <c r="T416" s="176"/>
      <c r="U416" s="176"/>
      <c r="V416" s="176"/>
      <c r="W416" s="177"/>
      <c r="Y416" s="167" t="str">
        <v/>
      </c>
      <c r="Z416" s="175"/>
      <c r="AA416" s="176"/>
      <c r="AB416" s="176"/>
      <c r="AC416" s="176"/>
      <c r="AD416" s="177"/>
      <c r="AF416" s="167" t="str">
        <v>#Empty List</v>
      </c>
      <c r="AG416" s="175"/>
      <c r="AH416" s="176"/>
      <c r="AI416" s="176"/>
      <c r="AJ416" s="176"/>
      <c r="AK416" s="177"/>
      <c r="AM416" s="167" t="str">
        <v/>
      </c>
      <c r="AN416" s="175"/>
      <c r="AO416" s="176"/>
      <c r="AP416" s="176"/>
      <c r="AQ416" s="176"/>
      <c r="AR416" s="177"/>
    </row>
    <row r="417" spans="1:44">
      <c r="A417" s="204">
        <v>84</v>
      </c>
      <c r="B417" s="190" t="str">
        <v/>
      </c>
      <c r="C417" s="175"/>
      <c r="D417" s="176"/>
      <c r="E417" s="176"/>
      <c r="F417" s="176"/>
      <c r="G417" s="177"/>
      <c r="I417" s="167" t="str">
        <v/>
      </c>
      <c r="J417" s="175"/>
      <c r="K417" s="176"/>
      <c r="L417" s="176"/>
      <c r="M417" s="176"/>
      <c r="N417" s="220"/>
      <c r="O417" s="220"/>
      <c r="P417" s="177"/>
      <c r="R417" s="167" t="str">
        <v/>
      </c>
      <c r="S417" s="175"/>
      <c r="T417" s="176"/>
      <c r="U417" s="176"/>
      <c r="V417" s="176"/>
      <c r="W417" s="177"/>
      <c r="Y417" s="167" t="str">
        <v/>
      </c>
      <c r="Z417" s="175"/>
      <c r="AA417" s="176"/>
      <c r="AB417" s="176"/>
      <c r="AC417" s="176"/>
      <c r="AD417" s="177"/>
      <c r="AF417" s="167" t="str">
        <v>#Empty List</v>
      </c>
      <c r="AG417" s="175"/>
      <c r="AH417" s="176"/>
      <c r="AI417" s="176"/>
      <c r="AJ417" s="176"/>
      <c r="AK417" s="177"/>
      <c r="AM417" s="167" t="str">
        <v/>
      </c>
      <c r="AN417" s="175"/>
      <c r="AO417" s="176"/>
      <c r="AP417" s="176"/>
      <c r="AQ417" s="176"/>
      <c r="AR417" s="177"/>
    </row>
    <row r="418" spans="1:44">
      <c r="A418" s="204">
        <v>85</v>
      </c>
      <c r="B418" s="190" t="str">
        <v/>
      </c>
      <c r="C418" s="175"/>
      <c r="D418" s="176"/>
      <c r="E418" s="176"/>
      <c r="F418" s="176"/>
      <c r="G418" s="177"/>
      <c r="I418" s="167" t="str">
        <v/>
      </c>
      <c r="J418" s="175"/>
      <c r="K418" s="176"/>
      <c r="L418" s="176"/>
      <c r="M418" s="176"/>
      <c r="N418" s="220"/>
      <c r="O418" s="220"/>
      <c r="P418" s="177"/>
      <c r="R418" s="167" t="str">
        <v/>
      </c>
      <c r="S418" s="175"/>
      <c r="T418" s="176"/>
      <c r="U418" s="176"/>
      <c r="V418" s="176"/>
      <c r="W418" s="177"/>
      <c r="Y418" s="167" t="str">
        <v/>
      </c>
      <c r="Z418" s="175"/>
      <c r="AA418" s="176"/>
      <c r="AB418" s="176"/>
      <c r="AC418" s="176"/>
      <c r="AD418" s="177"/>
      <c r="AF418" s="167" t="str">
        <v>#Empty List</v>
      </c>
      <c r="AG418" s="175"/>
      <c r="AH418" s="176"/>
      <c r="AI418" s="176"/>
      <c r="AJ418" s="176"/>
      <c r="AK418" s="177"/>
      <c r="AM418" s="167" t="str">
        <v/>
      </c>
      <c r="AN418" s="175"/>
      <c r="AO418" s="176"/>
      <c r="AP418" s="176"/>
      <c r="AQ418" s="176"/>
      <c r="AR418" s="177"/>
    </row>
    <row r="419" spans="1:44">
      <c r="A419" s="204">
        <v>86</v>
      </c>
      <c r="B419" s="190" t="str">
        <v/>
      </c>
      <c r="C419" s="175"/>
      <c r="D419" s="176"/>
      <c r="E419" s="176"/>
      <c r="F419" s="176"/>
      <c r="G419" s="177"/>
      <c r="I419" s="167" t="str">
        <v/>
      </c>
      <c r="J419" s="175"/>
      <c r="K419" s="176"/>
      <c r="L419" s="176"/>
      <c r="M419" s="176"/>
      <c r="N419" s="220"/>
      <c r="O419" s="220"/>
      <c r="P419" s="177"/>
      <c r="R419" s="167" t="str">
        <v/>
      </c>
      <c r="S419" s="175"/>
      <c r="T419" s="176"/>
      <c r="U419" s="176"/>
      <c r="V419" s="176"/>
      <c r="W419" s="177"/>
      <c r="Y419" s="167" t="str">
        <v/>
      </c>
      <c r="Z419" s="175"/>
      <c r="AA419" s="176"/>
      <c r="AB419" s="176"/>
      <c r="AC419" s="176"/>
      <c r="AD419" s="177"/>
      <c r="AF419" s="167" t="str">
        <v>#Empty List</v>
      </c>
      <c r="AG419" s="175"/>
      <c r="AH419" s="176"/>
      <c r="AI419" s="176"/>
      <c r="AJ419" s="176"/>
      <c r="AK419" s="177"/>
      <c r="AM419" s="167" t="str">
        <v/>
      </c>
      <c r="AN419" s="175"/>
      <c r="AO419" s="176"/>
      <c r="AP419" s="176"/>
      <c r="AQ419" s="176"/>
      <c r="AR419" s="177"/>
    </row>
    <row r="420" spans="1:44">
      <c r="A420" s="204">
        <v>87</v>
      </c>
      <c r="B420" s="190" t="str">
        <v/>
      </c>
      <c r="C420" s="175"/>
      <c r="D420" s="176"/>
      <c r="E420" s="176"/>
      <c r="F420" s="176"/>
      <c r="G420" s="177"/>
      <c r="I420" s="167" t="str">
        <v/>
      </c>
      <c r="J420" s="175"/>
      <c r="K420" s="176"/>
      <c r="L420" s="176"/>
      <c r="M420" s="176"/>
      <c r="N420" s="220"/>
      <c r="O420" s="220"/>
      <c r="P420" s="177"/>
      <c r="R420" s="167" t="str">
        <v/>
      </c>
      <c r="S420" s="175"/>
      <c r="T420" s="176"/>
      <c r="U420" s="176"/>
      <c r="V420" s="176"/>
      <c r="W420" s="177"/>
      <c r="Y420" s="167" t="str">
        <v/>
      </c>
      <c r="Z420" s="175"/>
      <c r="AA420" s="176"/>
      <c r="AB420" s="176"/>
      <c r="AC420" s="176"/>
      <c r="AD420" s="177"/>
      <c r="AF420" s="167" t="str">
        <v>#Empty List</v>
      </c>
      <c r="AG420" s="175"/>
      <c r="AH420" s="176"/>
      <c r="AI420" s="176"/>
      <c r="AJ420" s="176"/>
      <c r="AK420" s="177"/>
      <c r="AM420" s="167" t="str">
        <v/>
      </c>
      <c r="AN420" s="175"/>
      <c r="AO420" s="176"/>
      <c r="AP420" s="176"/>
      <c r="AQ420" s="176"/>
      <c r="AR420" s="177"/>
    </row>
    <row r="421" spans="1:44">
      <c r="A421" s="204">
        <v>88</v>
      </c>
      <c r="B421" s="190" t="str">
        <v/>
      </c>
      <c r="C421" s="175"/>
      <c r="D421" s="176"/>
      <c r="E421" s="176"/>
      <c r="F421" s="176"/>
      <c r="G421" s="177"/>
      <c r="I421" s="167" t="str">
        <v/>
      </c>
      <c r="J421" s="175"/>
      <c r="K421" s="176"/>
      <c r="L421" s="176"/>
      <c r="M421" s="176"/>
      <c r="N421" s="220"/>
      <c r="O421" s="220"/>
      <c r="P421" s="177"/>
      <c r="R421" s="167" t="str">
        <v/>
      </c>
      <c r="S421" s="175"/>
      <c r="T421" s="176"/>
      <c r="U421" s="176"/>
      <c r="V421" s="176"/>
      <c r="W421" s="177"/>
      <c r="Y421" s="167" t="str">
        <v/>
      </c>
      <c r="Z421" s="175"/>
      <c r="AA421" s="176"/>
      <c r="AB421" s="176"/>
      <c r="AC421" s="176"/>
      <c r="AD421" s="177"/>
      <c r="AF421" s="167" t="str">
        <v>#Empty List</v>
      </c>
      <c r="AG421" s="175"/>
      <c r="AH421" s="176"/>
      <c r="AI421" s="176"/>
      <c r="AJ421" s="176"/>
      <c r="AK421" s="177"/>
      <c r="AM421" s="167" t="str">
        <v/>
      </c>
      <c r="AN421" s="175"/>
      <c r="AO421" s="176"/>
      <c r="AP421" s="176"/>
      <c r="AQ421" s="176"/>
      <c r="AR421" s="177"/>
    </row>
    <row r="422" spans="1:44">
      <c r="A422" s="204">
        <v>89</v>
      </c>
      <c r="B422" s="190" t="str">
        <v/>
      </c>
      <c r="C422" s="175"/>
      <c r="D422" s="176"/>
      <c r="E422" s="176"/>
      <c r="F422" s="176"/>
      <c r="G422" s="177"/>
      <c r="I422" s="167" t="str">
        <v/>
      </c>
      <c r="J422" s="175"/>
      <c r="K422" s="176"/>
      <c r="L422" s="176"/>
      <c r="M422" s="176"/>
      <c r="N422" s="220"/>
      <c r="O422" s="220"/>
      <c r="P422" s="177"/>
      <c r="R422" s="167" t="str">
        <v/>
      </c>
      <c r="S422" s="175"/>
      <c r="T422" s="176"/>
      <c r="U422" s="176"/>
      <c r="V422" s="176"/>
      <c r="W422" s="177"/>
      <c r="Y422" s="167" t="str">
        <v/>
      </c>
      <c r="Z422" s="175"/>
      <c r="AA422" s="176"/>
      <c r="AB422" s="176"/>
      <c r="AC422" s="176"/>
      <c r="AD422" s="177"/>
      <c r="AF422" s="167" t="str">
        <v>#Empty List</v>
      </c>
      <c r="AG422" s="175"/>
      <c r="AH422" s="176"/>
      <c r="AI422" s="176"/>
      <c r="AJ422" s="176"/>
      <c r="AK422" s="177"/>
      <c r="AM422" s="167" t="str">
        <v/>
      </c>
      <c r="AN422" s="175"/>
      <c r="AO422" s="176"/>
      <c r="AP422" s="176"/>
      <c r="AQ422" s="176"/>
      <c r="AR422" s="177"/>
    </row>
    <row r="423" spans="1:44">
      <c r="A423" s="204">
        <v>90</v>
      </c>
      <c r="B423" s="190" t="str">
        <v/>
      </c>
      <c r="C423" s="175"/>
      <c r="D423" s="176"/>
      <c r="E423" s="176"/>
      <c r="F423" s="176"/>
      <c r="G423" s="177"/>
      <c r="I423" s="167" t="str">
        <v/>
      </c>
      <c r="J423" s="175"/>
      <c r="K423" s="176"/>
      <c r="L423" s="176"/>
      <c r="M423" s="176"/>
      <c r="N423" s="220"/>
      <c r="O423" s="220"/>
      <c r="P423" s="177"/>
      <c r="R423" s="167" t="str">
        <v/>
      </c>
      <c r="S423" s="175"/>
      <c r="T423" s="176"/>
      <c r="U423" s="176"/>
      <c r="V423" s="176"/>
      <c r="W423" s="177"/>
      <c r="Y423" s="167" t="str">
        <v/>
      </c>
      <c r="Z423" s="175"/>
      <c r="AA423" s="176"/>
      <c r="AB423" s="176"/>
      <c r="AC423" s="176"/>
      <c r="AD423" s="177"/>
      <c r="AF423" s="167" t="str">
        <v>#Empty List</v>
      </c>
      <c r="AG423" s="175"/>
      <c r="AH423" s="176"/>
      <c r="AI423" s="176"/>
      <c r="AJ423" s="176"/>
      <c r="AK423" s="177"/>
      <c r="AM423" s="167" t="str">
        <v/>
      </c>
      <c r="AN423" s="175"/>
      <c r="AO423" s="176"/>
      <c r="AP423" s="176"/>
      <c r="AQ423" s="176"/>
      <c r="AR423" s="177"/>
    </row>
    <row r="424" spans="1:44">
      <c r="A424" s="204">
        <v>91</v>
      </c>
      <c r="B424" s="190" t="str">
        <v/>
      </c>
      <c r="C424" s="175"/>
      <c r="D424" s="176"/>
      <c r="E424" s="176"/>
      <c r="F424" s="176"/>
      <c r="G424" s="177"/>
      <c r="I424" s="167" t="str">
        <v/>
      </c>
      <c r="J424" s="175"/>
      <c r="K424" s="176"/>
      <c r="L424" s="176"/>
      <c r="M424" s="176"/>
      <c r="N424" s="220"/>
      <c r="O424" s="220"/>
      <c r="P424" s="177"/>
      <c r="R424" s="167" t="str">
        <v/>
      </c>
      <c r="S424" s="175"/>
      <c r="T424" s="176"/>
      <c r="U424" s="176"/>
      <c r="V424" s="176"/>
      <c r="W424" s="177"/>
      <c r="Y424" s="167" t="str">
        <v/>
      </c>
      <c r="Z424" s="175"/>
      <c r="AA424" s="176"/>
      <c r="AB424" s="176"/>
      <c r="AC424" s="176"/>
      <c r="AD424" s="177"/>
      <c r="AF424" s="167" t="str">
        <v>#Empty List</v>
      </c>
      <c r="AG424" s="175"/>
      <c r="AH424" s="176"/>
      <c r="AI424" s="176"/>
      <c r="AJ424" s="176"/>
      <c r="AK424" s="177"/>
      <c r="AM424" s="167" t="str">
        <v/>
      </c>
      <c r="AN424" s="175"/>
      <c r="AO424" s="176"/>
      <c r="AP424" s="176"/>
      <c r="AQ424" s="176"/>
      <c r="AR424" s="177"/>
    </row>
    <row r="425" spans="1:44">
      <c r="A425" s="204">
        <v>92</v>
      </c>
      <c r="B425" s="190" t="str">
        <v/>
      </c>
      <c r="C425" s="175"/>
      <c r="D425" s="176"/>
      <c r="E425" s="176"/>
      <c r="F425" s="176"/>
      <c r="G425" s="177"/>
      <c r="I425" s="167" t="str">
        <v/>
      </c>
      <c r="J425" s="175"/>
      <c r="K425" s="176"/>
      <c r="L425" s="176"/>
      <c r="M425" s="176"/>
      <c r="N425" s="220"/>
      <c r="O425" s="220"/>
      <c r="P425" s="177"/>
      <c r="R425" s="167" t="str">
        <v/>
      </c>
      <c r="S425" s="175"/>
      <c r="T425" s="176"/>
      <c r="U425" s="176"/>
      <c r="V425" s="176"/>
      <c r="W425" s="177"/>
      <c r="Y425" s="167" t="str">
        <v/>
      </c>
      <c r="Z425" s="175"/>
      <c r="AA425" s="176"/>
      <c r="AB425" s="176"/>
      <c r="AC425" s="176"/>
      <c r="AD425" s="177"/>
      <c r="AF425" s="167" t="str">
        <v>#Empty List</v>
      </c>
      <c r="AG425" s="175"/>
      <c r="AH425" s="176"/>
      <c r="AI425" s="176"/>
      <c r="AJ425" s="176"/>
      <c r="AK425" s="177"/>
      <c r="AM425" s="167" t="str">
        <v/>
      </c>
      <c r="AN425" s="175"/>
      <c r="AO425" s="176"/>
      <c r="AP425" s="176"/>
      <c r="AQ425" s="176"/>
      <c r="AR425" s="177"/>
    </row>
    <row r="426" spans="1:44">
      <c r="A426" s="204">
        <v>93</v>
      </c>
      <c r="B426" s="190" t="str">
        <v/>
      </c>
      <c r="C426" s="175"/>
      <c r="D426" s="176"/>
      <c r="E426" s="176"/>
      <c r="F426" s="176"/>
      <c r="G426" s="177"/>
      <c r="I426" s="167" t="str">
        <v/>
      </c>
      <c r="J426" s="175"/>
      <c r="K426" s="176"/>
      <c r="L426" s="176"/>
      <c r="M426" s="176"/>
      <c r="N426" s="220"/>
      <c r="O426" s="220"/>
      <c r="P426" s="177"/>
      <c r="R426" s="167" t="str">
        <v/>
      </c>
      <c r="S426" s="175"/>
      <c r="T426" s="176"/>
      <c r="U426" s="176"/>
      <c r="V426" s="176"/>
      <c r="W426" s="177"/>
      <c r="Y426" s="167" t="str">
        <v/>
      </c>
      <c r="Z426" s="175"/>
      <c r="AA426" s="176"/>
      <c r="AB426" s="176"/>
      <c r="AC426" s="176"/>
      <c r="AD426" s="177"/>
      <c r="AF426" s="167" t="str">
        <v>#Empty List</v>
      </c>
      <c r="AG426" s="175"/>
      <c r="AH426" s="176"/>
      <c r="AI426" s="176"/>
      <c r="AJ426" s="176"/>
      <c r="AK426" s="177"/>
      <c r="AM426" s="167" t="str">
        <v/>
      </c>
      <c r="AN426" s="175"/>
      <c r="AO426" s="176"/>
      <c r="AP426" s="176"/>
      <c r="AQ426" s="176"/>
      <c r="AR426" s="177"/>
    </row>
    <row r="427" spans="1:44">
      <c r="A427" s="204">
        <v>94</v>
      </c>
      <c r="B427" s="190" t="str">
        <v/>
      </c>
      <c r="C427" s="175"/>
      <c r="D427" s="176"/>
      <c r="E427" s="176"/>
      <c r="F427" s="176"/>
      <c r="G427" s="177"/>
      <c r="I427" s="167" t="str">
        <v/>
      </c>
      <c r="J427" s="175"/>
      <c r="K427" s="176"/>
      <c r="L427" s="176"/>
      <c r="M427" s="176"/>
      <c r="N427" s="220"/>
      <c r="O427" s="220"/>
      <c r="P427" s="177"/>
      <c r="R427" s="167" t="str">
        <v/>
      </c>
      <c r="S427" s="175"/>
      <c r="T427" s="176"/>
      <c r="U427" s="176"/>
      <c r="V427" s="176"/>
      <c r="W427" s="177"/>
      <c r="Y427" s="167" t="str">
        <v/>
      </c>
      <c r="Z427" s="175"/>
      <c r="AA427" s="176"/>
      <c r="AB427" s="176"/>
      <c r="AC427" s="176"/>
      <c r="AD427" s="177"/>
      <c r="AF427" s="167" t="str">
        <v>#Empty List</v>
      </c>
      <c r="AG427" s="175"/>
      <c r="AH427" s="176"/>
      <c r="AI427" s="176"/>
      <c r="AJ427" s="176"/>
      <c r="AK427" s="177"/>
      <c r="AM427" s="167" t="str">
        <v/>
      </c>
      <c r="AN427" s="175"/>
      <c r="AO427" s="176"/>
      <c r="AP427" s="176"/>
      <c r="AQ427" s="176"/>
      <c r="AR427" s="177"/>
    </row>
    <row r="428" spans="1:44">
      <c r="A428" s="204">
        <v>95</v>
      </c>
      <c r="B428" s="190" t="str">
        <v/>
      </c>
      <c r="C428" s="175"/>
      <c r="D428" s="176"/>
      <c r="E428" s="176"/>
      <c r="F428" s="176"/>
      <c r="G428" s="177"/>
      <c r="I428" s="167" t="str">
        <v/>
      </c>
      <c r="J428" s="175"/>
      <c r="K428" s="176"/>
      <c r="L428" s="176"/>
      <c r="M428" s="176"/>
      <c r="N428" s="220"/>
      <c r="O428" s="220"/>
      <c r="P428" s="177"/>
      <c r="R428" s="167" t="str">
        <v/>
      </c>
      <c r="S428" s="175"/>
      <c r="T428" s="176"/>
      <c r="U428" s="176"/>
      <c r="V428" s="176"/>
      <c r="W428" s="177"/>
      <c r="Y428" s="167" t="str">
        <v/>
      </c>
      <c r="Z428" s="175"/>
      <c r="AA428" s="176"/>
      <c r="AB428" s="176"/>
      <c r="AC428" s="176"/>
      <c r="AD428" s="177"/>
      <c r="AF428" s="167" t="str">
        <v>#Empty List</v>
      </c>
      <c r="AG428" s="175"/>
      <c r="AH428" s="176"/>
      <c r="AI428" s="176"/>
      <c r="AJ428" s="176"/>
      <c r="AK428" s="177"/>
      <c r="AM428" s="167" t="str">
        <v/>
      </c>
      <c r="AN428" s="175"/>
      <c r="AO428" s="176"/>
      <c r="AP428" s="176"/>
      <c r="AQ428" s="176"/>
      <c r="AR428" s="177"/>
    </row>
    <row r="429" spans="1:44">
      <c r="A429" s="204">
        <v>96</v>
      </c>
      <c r="B429" s="190" t="str">
        <v/>
      </c>
      <c r="C429" s="175"/>
      <c r="D429" s="176"/>
      <c r="E429" s="176"/>
      <c r="F429" s="176"/>
      <c r="G429" s="177"/>
      <c r="I429" s="167" t="str">
        <v/>
      </c>
      <c r="J429" s="175"/>
      <c r="K429" s="176"/>
      <c r="L429" s="176"/>
      <c r="M429" s="176"/>
      <c r="N429" s="220"/>
      <c r="O429" s="220"/>
      <c r="P429" s="177"/>
      <c r="R429" s="167" t="str">
        <v/>
      </c>
      <c r="S429" s="175"/>
      <c r="T429" s="176"/>
      <c r="U429" s="176"/>
      <c r="V429" s="176"/>
      <c r="W429" s="177"/>
      <c r="Y429" s="167" t="str">
        <v/>
      </c>
      <c r="Z429" s="175"/>
      <c r="AA429" s="176"/>
      <c r="AB429" s="176"/>
      <c r="AC429" s="176"/>
      <c r="AD429" s="177"/>
      <c r="AF429" s="167" t="str">
        <v>#Empty List</v>
      </c>
      <c r="AG429" s="175"/>
      <c r="AH429" s="176"/>
      <c r="AI429" s="176"/>
      <c r="AJ429" s="176"/>
      <c r="AK429" s="177"/>
      <c r="AM429" s="167" t="str">
        <v/>
      </c>
      <c r="AN429" s="175"/>
      <c r="AO429" s="176"/>
      <c r="AP429" s="176"/>
      <c r="AQ429" s="176"/>
      <c r="AR429" s="177"/>
    </row>
    <row r="430" spans="1:44">
      <c r="A430" s="204">
        <v>97</v>
      </c>
      <c r="B430" s="190" t="str">
        <v/>
      </c>
      <c r="C430" s="175"/>
      <c r="D430" s="176"/>
      <c r="E430" s="176"/>
      <c r="F430" s="176"/>
      <c r="G430" s="177"/>
      <c r="I430" s="167" t="str">
        <v/>
      </c>
      <c r="J430" s="175"/>
      <c r="K430" s="176"/>
      <c r="L430" s="176"/>
      <c r="M430" s="176"/>
      <c r="N430" s="220"/>
      <c r="O430" s="220"/>
      <c r="P430" s="177"/>
      <c r="R430" s="167" t="str">
        <v/>
      </c>
      <c r="S430" s="175"/>
      <c r="T430" s="176"/>
      <c r="U430" s="176"/>
      <c r="V430" s="176"/>
      <c r="W430" s="177"/>
      <c r="Y430" s="167" t="str">
        <v/>
      </c>
      <c r="Z430" s="175"/>
      <c r="AA430" s="176"/>
      <c r="AB430" s="176"/>
      <c r="AC430" s="176"/>
      <c r="AD430" s="177"/>
      <c r="AF430" s="167" t="str">
        <v>#Empty List</v>
      </c>
      <c r="AG430" s="175"/>
      <c r="AH430" s="176"/>
      <c r="AI430" s="176"/>
      <c r="AJ430" s="176"/>
      <c r="AK430" s="177"/>
      <c r="AM430" s="167" t="str">
        <v/>
      </c>
      <c r="AN430" s="175"/>
      <c r="AO430" s="176"/>
      <c r="AP430" s="176"/>
      <c r="AQ430" s="176"/>
      <c r="AR430" s="177"/>
    </row>
    <row r="431" spans="1:44">
      <c r="A431" s="204">
        <v>98</v>
      </c>
      <c r="B431" s="190" t="str">
        <v/>
      </c>
      <c r="C431" s="175"/>
      <c r="D431" s="176"/>
      <c r="E431" s="176"/>
      <c r="F431" s="176"/>
      <c r="G431" s="177"/>
      <c r="I431" s="167" t="str">
        <v/>
      </c>
      <c r="J431" s="175"/>
      <c r="K431" s="176"/>
      <c r="L431" s="176"/>
      <c r="M431" s="176"/>
      <c r="N431" s="220"/>
      <c r="O431" s="220"/>
      <c r="P431" s="177"/>
      <c r="R431" s="167" t="str">
        <v/>
      </c>
      <c r="S431" s="175"/>
      <c r="T431" s="176"/>
      <c r="U431" s="176"/>
      <c r="V431" s="176"/>
      <c r="W431" s="177"/>
      <c r="Y431" s="167" t="str">
        <v/>
      </c>
      <c r="Z431" s="175"/>
      <c r="AA431" s="176"/>
      <c r="AB431" s="176"/>
      <c r="AC431" s="176"/>
      <c r="AD431" s="177"/>
      <c r="AF431" s="167" t="str">
        <v>#Empty List</v>
      </c>
      <c r="AG431" s="175"/>
      <c r="AH431" s="176"/>
      <c r="AI431" s="176"/>
      <c r="AJ431" s="176"/>
      <c r="AK431" s="177"/>
      <c r="AM431" s="167" t="str">
        <v/>
      </c>
      <c r="AN431" s="175"/>
      <c r="AO431" s="176"/>
      <c r="AP431" s="176"/>
      <c r="AQ431" s="176"/>
      <c r="AR431" s="177"/>
    </row>
    <row r="432" spans="1:44">
      <c r="A432" s="204">
        <v>99</v>
      </c>
      <c r="B432" s="190" t="str">
        <v/>
      </c>
      <c r="C432" s="175"/>
      <c r="D432" s="176"/>
      <c r="E432" s="176"/>
      <c r="F432" s="176"/>
      <c r="G432" s="177"/>
      <c r="I432" s="167" t="str">
        <v/>
      </c>
      <c r="J432" s="175"/>
      <c r="K432" s="176"/>
      <c r="L432" s="176"/>
      <c r="M432" s="176"/>
      <c r="N432" s="220"/>
      <c r="O432" s="220"/>
      <c r="P432" s="177"/>
      <c r="R432" s="167" t="str">
        <v/>
      </c>
      <c r="S432" s="175"/>
      <c r="T432" s="176"/>
      <c r="U432" s="176"/>
      <c r="V432" s="176"/>
      <c r="W432" s="177"/>
      <c r="Y432" s="167" t="str">
        <v/>
      </c>
      <c r="Z432" s="175"/>
      <c r="AA432" s="176"/>
      <c r="AB432" s="176"/>
      <c r="AC432" s="176"/>
      <c r="AD432" s="177"/>
      <c r="AF432" s="167" t="str">
        <v>#Empty List</v>
      </c>
      <c r="AG432" s="175"/>
      <c r="AH432" s="176"/>
      <c r="AI432" s="176"/>
      <c r="AJ432" s="176"/>
      <c r="AK432" s="177"/>
      <c r="AM432" s="167" t="str">
        <v/>
      </c>
      <c r="AN432" s="175"/>
      <c r="AO432" s="176"/>
      <c r="AP432" s="176"/>
      <c r="AQ432" s="176"/>
      <c r="AR432" s="177"/>
    </row>
    <row r="433" spans="1:44">
      <c r="A433" s="204">
        <v>100</v>
      </c>
      <c r="B433" s="191" t="str">
        <v/>
      </c>
      <c r="C433" s="182"/>
      <c r="D433" s="183"/>
      <c r="E433" s="183"/>
      <c r="F433" s="183"/>
      <c r="G433" s="184"/>
      <c r="I433" s="168" t="str">
        <v/>
      </c>
      <c r="J433" s="182"/>
      <c r="K433" s="183"/>
      <c r="L433" s="183"/>
      <c r="M433" s="183"/>
      <c r="N433" s="221"/>
      <c r="O433" s="221"/>
      <c r="P433" s="184"/>
      <c r="R433" s="168" t="str">
        <v/>
      </c>
      <c r="S433" s="182"/>
      <c r="T433" s="183"/>
      <c r="U433" s="183"/>
      <c r="V433" s="183"/>
      <c r="W433" s="184"/>
      <c r="Y433" s="168" t="str">
        <v/>
      </c>
      <c r="Z433" s="182"/>
      <c r="AA433" s="183"/>
      <c r="AB433" s="183"/>
      <c r="AC433" s="183"/>
      <c r="AD433" s="184"/>
      <c r="AF433" s="168" t="str">
        <v>#Empty List</v>
      </c>
      <c r="AG433" s="182"/>
      <c r="AH433" s="183"/>
      <c r="AI433" s="183"/>
      <c r="AJ433" s="183"/>
      <c r="AK433" s="184"/>
      <c r="AM433" s="168" t="str">
        <v/>
      </c>
      <c r="AN433" s="182"/>
      <c r="AO433" s="183"/>
      <c r="AP433" s="183"/>
      <c r="AQ433" s="183"/>
      <c r="AR433" s="184"/>
    </row>
    <row r="434" spans="1:44">
      <c r="B434" s="151" t="s">
        <v>12</v>
      </c>
      <c r="C434" s="151" t="s">
        <v>12</v>
      </c>
      <c r="D434" s="151" t="s">
        <v>12</v>
      </c>
      <c r="E434" s="151" t="s">
        <v>12</v>
      </c>
      <c r="F434" s="151" t="s">
        <v>12</v>
      </c>
      <c r="G434" s="151" t="s">
        <v>12</v>
      </c>
      <c r="I434" s="151" t="s">
        <v>12</v>
      </c>
      <c r="J434" s="151" t="s">
        <v>12</v>
      </c>
      <c r="K434" s="151" t="s">
        <v>12</v>
      </c>
      <c r="L434" s="151" t="s">
        <v>12</v>
      </c>
      <c r="M434" s="151" t="s">
        <v>12</v>
      </c>
      <c r="N434" s="155" t="s">
        <v>12</v>
      </c>
      <c r="R434" s="151" t="s">
        <v>12</v>
      </c>
      <c r="S434" s="151" t="s">
        <v>12</v>
      </c>
      <c r="T434" s="151" t="s">
        <v>12</v>
      </c>
      <c r="U434" s="151" t="s">
        <v>12</v>
      </c>
      <c r="V434" s="151" t="s">
        <v>12</v>
      </c>
      <c r="W434" s="151" t="s">
        <v>12</v>
      </c>
      <c r="Y434" s="151" t="s">
        <v>12</v>
      </c>
      <c r="Z434" s="151" t="s">
        <v>12</v>
      </c>
      <c r="AA434" s="151" t="s">
        <v>12</v>
      </c>
      <c r="AB434" s="151" t="s">
        <v>12</v>
      </c>
      <c r="AC434" s="151" t="s">
        <v>12</v>
      </c>
      <c r="AD434" s="151" t="s">
        <v>12</v>
      </c>
      <c r="AF434" s="151" t="s">
        <v>12</v>
      </c>
      <c r="AG434" s="151" t="s">
        <v>12</v>
      </c>
      <c r="AH434" s="151" t="s">
        <v>12</v>
      </c>
      <c r="AI434" s="151" t="s">
        <v>12</v>
      </c>
      <c r="AJ434" s="151" t="s">
        <v>12</v>
      </c>
      <c r="AK434" s="151" t="s">
        <v>12</v>
      </c>
      <c r="AM434" s="151" t="s">
        <v>12</v>
      </c>
      <c r="AN434" s="151" t="s">
        <v>12</v>
      </c>
      <c r="AO434" s="151" t="s">
        <v>12</v>
      </c>
      <c r="AP434" s="151" t="s">
        <v>12</v>
      </c>
      <c r="AQ434" s="151" t="s">
        <v>12</v>
      </c>
      <c r="AR434" s="15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si="0">IF(C10="","",VLOOKUP(C10,Instruments.OIS.EUR,6,0))</f>
        <v>ON</v>
      </c>
      <c r="C10" s="195" t="str">
        <f t="array" ref="C10:D79">getInstrumentData('Instrument Data'!Data.OIS.EUR,1,4,2,"Index","FWD SWAP","OVERNIGHT INDEXED SWAP")</f>
        <v>EONIA ICPL Index</v>
      </c>
      <c r="D10" s="205">
        <v>-0.35499999999999998</v>
      </c>
      <c r="E10" s="212"/>
      <c r="F10" s="197">
        <f>IF(D10="","",D10/100+E10+F$7)</f>
        <v>-3.5499999999999998E-3</v>
      </c>
      <c r="G10" s="203">
        <v>1</v>
      </c>
      <c r="H10" s="195" t="str">
        <f t="shared" ref="H10:H73" si="1">IF(I10="","",VLOOKUP(I10,Instruments.OIS.EUR,6,0))</f>
        <v>2Y</v>
      </c>
      <c r="I10" s="195" t="str">
        <f t="array" ref="I10:J79">getInstrumentData('Instrument Data'!Data.OIS.EUR,1,4,2,"BASIS SWAP")</f>
        <v>EOBSVC2 ICPL Curncy</v>
      </c>
      <c r="J10" s="205">
        <v>5.7</v>
      </c>
      <c r="K10" s="241"/>
      <c r="L10" s="197">
        <f>IF(J10="","",(J10+K10+L$7)/10000)</f>
        <v>5.6999999999999998E-4</v>
      </c>
      <c r="M10" s="203">
        <v>1</v>
      </c>
      <c r="N10" s="195" t="str">
        <f t="shared" ref="N10:N41" si="2">IF(O10="","",VLOOKUP(O10,Instruments.OIS.EUR,6,0))</f>
        <v>2Y</v>
      </c>
      <c r="O10" s="195" t="str">
        <f t="array" ref="O10:P79">getInstrumentData('Instrument Data'!Data.OIS.EUR,1,4,2,"SWAP")</f>
        <v>EUSW2V3 MHIS Curncy</v>
      </c>
      <c r="P10" s="205">
        <v>-0.20660000000000001</v>
      </c>
      <c r="Q10" s="212"/>
      <c r="R10" s="197">
        <f>IF(P10="","",P10/100+Q10+R$7)</f>
        <v>-2.0660000000000001E-3</v>
      </c>
      <c r="S10" s="203">
        <v>1</v>
      </c>
      <c r="T10" s="195" t="str">
        <f t="shared" ref="T10:T41" si="3">IF(U10="","",VLOOKUP(U10,Instruments.Swaps.EUR,6,0))</f>
        <v>6M</v>
      </c>
      <c r="U10" s="195" t="str">
        <f t="array" ref="U10:V79">getInstrumentData('Instrument Data'!Data.Swaps.EUR,1,6,2,"Index",)</f>
        <v>EUR006M ICPL Index</v>
      </c>
      <c r="V10" s="205">
        <v>-0.26900000000000002</v>
      </c>
      <c r="W10" s="212"/>
      <c r="X10" s="197">
        <f>IF(V10="","",V10/100+W10+X$7)</f>
        <v>-2.6900000000000001E-3</v>
      </c>
      <c r="Y10" s="203">
        <v>1</v>
      </c>
      <c r="Z10" s="195"/>
      <c r="AA10" s="195"/>
      <c r="AB10" s="205"/>
      <c r="AC10" s="212"/>
      <c r="AD10" s="197" t="str">
        <f>IF(AB10="","",AB10/100+AC10+AD$7)</f>
        <v/>
      </c>
      <c r="AE10" s="203">
        <v>1</v>
      </c>
      <c r="AF10" s="195" t="str">
        <f t="shared" ref="AF10:AF41" si="4">IF(AG10="","",VLOOKUP(AG10,Instruments.Swaps.EUR,6,0))</f>
        <v>2X8</v>
      </c>
      <c r="AG10" s="195" t="str">
        <f t="array" ref="AG10:AH79">getInstrumentData('Instrument Data'!Data.Swaps.EUR,1,6,2,"FRA",)</f>
        <v>EUFR0BH ICPL Curncy</v>
      </c>
      <c r="AH10" s="205">
        <v>-0.26300000000000001</v>
      </c>
      <c r="AI10" s="212"/>
      <c r="AJ10" s="197">
        <f>IF(AH10="","",AH10/100+AI10+AJ$7)</f>
        <v>-2.63E-3</v>
      </c>
      <c r="AK10" s="203">
        <v>1</v>
      </c>
      <c r="AL10" s="198"/>
      <c r="AM10" s="195"/>
      <c r="AN10" s="196"/>
      <c r="AO10" s="253"/>
      <c r="AP10" s="256" t="str">
        <f>IF(AN10="","",AN10+AO10+AP$7)</f>
        <v/>
      </c>
      <c r="AQ10" s="203">
        <v>1</v>
      </c>
      <c r="AR10" s="195" t="str">
        <f t="shared" ref="AR10:AR41" si="5">IF(AS10="","",VLOOKUP(AS10,Instruments.Swaps.EUR,6,0))</f>
        <v>2Y</v>
      </c>
      <c r="AS10" s="195" t="str">
        <f t="array" ref="AS10:AT79">getInstrumentData('Instrument Data'!Data.Swaps.EUR,1,6,2,"SWAP",)</f>
        <v>EUSA2 MHIS Curncy</v>
      </c>
      <c r="AT10" s="205">
        <v>-0.1431</v>
      </c>
      <c r="AU10" s="212"/>
      <c r="AV10" s="197">
        <f>IF(AT10="","",AT10/100+AU10+AV$7)</f>
        <v>-1.431E-3</v>
      </c>
      <c r="AW10" s="203">
        <v>1</v>
      </c>
      <c r="AX10" s="195" t="str">
        <f t="shared" ref="AX10:AX41" si="6">IF(AY10="","",VLOOKUP(AY10,Instruments.TenorBasis1.EUR,6,0))</f>
        <v>1Y</v>
      </c>
      <c r="AY10" s="195" t="str">
        <f t="array" ref="AY10:AZ79">getInstrumentData('Instrument Data'!Data.TenorBasis1.EUR,1,4,2,"BASIS SWAP",)</f>
        <v>EUBSV1 CMPN Curncy</v>
      </c>
      <c r="AZ10" s="205">
        <v>5.9</v>
      </c>
      <c r="BA10" s="241"/>
      <c r="BB10" s="197">
        <f>IF(AZ10="","",(AZ10+BA10+BB$7)/10000)</f>
        <v>5.9000000000000003E-4</v>
      </c>
      <c r="BC10" s="203">
        <v>1</v>
      </c>
      <c r="BD10" s="195" t="str">
        <f t="shared" ref="BD10:BD41" si="7">IF(BE10="","",VLOOKUP(BE10,Instruments.TenorBasis2.EUR,6,0))</f>
        <v>1Y</v>
      </c>
      <c r="BE10" s="195" t="str">
        <f t="array" ref="BE10:BF79">getInstrumentData('Instrument Data'!Data.TenorBasis2.EUR,1,4,2,"BASIS SWAP",)</f>
        <v>EUBSA1 TRPU Curncy</v>
      </c>
      <c r="BF10" s="205">
        <v>4.3499999999999996</v>
      </c>
      <c r="BG10" s="241"/>
      <c r="BH10" s="197">
        <f>IF(BF10="","",(BF10+BG10+BH$7)/10000)</f>
        <v>4.3499999999999995E-4</v>
      </c>
      <c r="BI10" s="203">
        <v>1</v>
      </c>
      <c r="BJ10" s="195" t="str">
        <f t="shared" ref="BJ10:BJ41" si="8">IF(BK10="","",VLOOKUP(BK10,Instruments.TenorBasis3.EUR,6,0))</f>
        <v>1Y</v>
      </c>
      <c r="BK10" s="195" t="str">
        <f t="array" ref="BK10:BL79">getInstrumentData('Instrument Data'!Data.TenorBasis3.EUR,1,4,2,"BASIS SWAP",)</f>
        <v>EUBSS1 ICPL Curncy</v>
      </c>
      <c r="BL10" s="205">
        <v>6.5</v>
      </c>
      <c r="BM10" s="241"/>
      <c r="BN10" s="197">
        <f>IF(BL10="","",(BL10+BM10+BN$7)/10000)</f>
        <v>6.4999999999999997E-4</v>
      </c>
      <c r="BO10" s="203">
        <v>1</v>
      </c>
      <c r="BP10" s="195" t="str">
        <f t="shared" ref="BP10:BP41" si="9">IF(BQ10="","",VLOOKUP(BQ10,Instruments.XccyBasis.EUR,6,0))</f>
        <v>1Y</v>
      </c>
      <c r="BQ10" s="195" t="str">
        <f t="array" ref="BQ10:BR79">getInstrumentData([0]!Data.XccyBasis.EUR,1,4,2,"BASIS SWAP",)</f>
        <v>EUBS1 ICPL Curncy</v>
      </c>
      <c r="BR10" s="205">
        <v>-24.125</v>
      </c>
      <c r="BS10" s="241"/>
      <c r="BT10" s="197">
        <f>IF(BR10="","",(BR10+BS10+BT$7)/10000)</f>
        <v>-2.4125000000000001E-3</v>
      </c>
    </row>
    <row r="11" spans="1:72">
      <c r="A11" s="203">
        <v>2</v>
      </c>
      <c r="B11" s="195" t="str">
        <f t="shared" si="0"/>
        <v>EUSF1A</v>
      </c>
      <c r="C11" s="195" t="str">
        <v>EUSF1A ICPL Curncy</v>
      </c>
      <c r="D11" s="205">
        <v>-0.36199999999999999</v>
      </c>
      <c r="E11" s="213"/>
      <c r="F11" s="197">
        <f t="shared" ref="F11:F74" si="10">IF(D11="","",D11/100+E11+F$7)</f>
        <v>-3.62E-3</v>
      </c>
      <c r="G11" s="203">
        <v>2</v>
      </c>
      <c r="H11" s="195" t="str">
        <f t="shared" si="1"/>
        <v>3Y</v>
      </c>
      <c r="I11" s="195" t="str">
        <v>EOBSVC3 ICPL Curncy</v>
      </c>
      <c r="J11" s="205">
        <v>7.1</v>
      </c>
      <c r="K11" s="242"/>
      <c r="L11" s="197">
        <f t="shared" ref="L11:L74" si="11">IF(J11="","",(J11+K11+L$7)/10000)</f>
        <v>7.0999999999999991E-4</v>
      </c>
      <c r="M11" s="203">
        <v>2</v>
      </c>
      <c r="N11" s="195" t="str">
        <f t="shared" si="2"/>
        <v>3Y</v>
      </c>
      <c r="O11" s="195" t="str">
        <v>EUSW3V3 MHIS Curncy</v>
      </c>
      <c r="P11" s="205">
        <v>-3.4200000000000001E-2</v>
      </c>
      <c r="Q11" s="213"/>
      <c r="R11" s="197">
        <f t="shared" ref="R11:R74" si="12">IF(P11="","",P11/100+Q11+R$7)</f>
        <v>-3.4200000000000002E-4</v>
      </c>
      <c r="S11" s="203">
        <v>2</v>
      </c>
      <c r="T11" s="195" t="str">
        <f t="shared" si="3"/>
        <v/>
      </c>
      <c r="U11" s="195" t="str">
        <v/>
      </c>
      <c r="V11" s="205" t="str">
        <v/>
      </c>
      <c r="W11" s="213"/>
      <c r="X11" s="197" t="str">
        <f t="shared" ref="X11:X74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si="14">IF(AB11="","",AB11/100+AC11+AD$7)</f>
        <v/>
      </c>
      <c r="AE11" s="203">
        <v>2</v>
      </c>
      <c r="AF11" s="195" t="str">
        <f t="shared" si="4"/>
        <v>3X9</v>
      </c>
      <c r="AG11" s="195" t="str">
        <v>EUFR0CI ICPL Curncy</v>
      </c>
      <c r="AH11" s="205">
        <v>-0.25900000000000001</v>
      </c>
      <c r="AI11" s="213"/>
      <c r="AJ11" s="197">
        <f t="shared" ref="AJ11:AJ74" si="15">IF(AH11="","",AH11/100+AI11+AJ$7)</f>
        <v>-2.5900000000000003E-3</v>
      </c>
      <c r="AK11" s="203">
        <v>2</v>
      </c>
      <c r="AL11" s="198"/>
      <c r="AM11" s="195"/>
      <c r="AN11" s="196"/>
      <c r="AO11" s="254"/>
      <c r="AP11" s="256" t="str">
        <f t="shared" ref="AP11:AP74" si="16">IF(AN11="","",AN11+AO11+AP$7)</f>
        <v/>
      </c>
      <c r="AQ11" s="203">
        <v>2</v>
      </c>
      <c r="AR11" s="195" t="str">
        <f t="shared" si="5"/>
        <v>3Y</v>
      </c>
      <c r="AS11" s="195" t="str">
        <v>EUSA3 MHIS Curncy</v>
      </c>
      <c r="AT11" s="205">
        <v>3.4799999999999998E-2</v>
      </c>
      <c r="AU11" s="213"/>
      <c r="AV11" s="197">
        <f t="shared" ref="AV11:AV74" si="17">IF(AT11="","",AT11/100+AU11+AV$7)</f>
        <v>3.48E-4</v>
      </c>
      <c r="AW11" s="203">
        <v>2</v>
      </c>
      <c r="AX11" s="195" t="str">
        <f t="shared" si="6"/>
        <v>2Y</v>
      </c>
      <c r="AY11" s="195" t="str">
        <v>EUBSV2 CMPN Curncy</v>
      </c>
      <c r="AZ11" s="205">
        <v>6.2750000000000004</v>
      </c>
      <c r="BA11" s="242"/>
      <c r="BB11" s="197">
        <f t="shared" ref="BB11:BB74" si="18">IF(AZ11="","",(AZ11+BA11+BB$7)/10000)</f>
        <v>6.2750000000000002E-4</v>
      </c>
      <c r="BC11" s="203">
        <v>2</v>
      </c>
      <c r="BD11" s="195" t="str">
        <f t="shared" si="7"/>
        <v>2Y</v>
      </c>
      <c r="BE11" s="195" t="str">
        <v>EUBSA2 TRPU Curncy</v>
      </c>
      <c r="BF11" s="205">
        <v>4.9000000000000004</v>
      </c>
      <c r="BG11" s="242"/>
      <c r="BH11" s="197">
        <f t="shared" ref="BH11:BH74" si="19">IF(BF11="","",(BF11+BG11+BH$7)/10000)</f>
        <v>4.8999999999999998E-4</v>
      </c>
      <c r="BI11" s="203">
        <v>2</v>
      </c>
      <c r="BJ11" s="195" t="str">
        <f t="shared" si="8"/>
        <v>2Y</v>
      </c>
      <c r="BK11" s="195" t="str">
        <v>EUBSS2 ICPL Curncy</v>
      </c>
      <c r="BL11" s="205">
        <v>5.9</v>
      </c>
      <c r="BM11" s="242"/>
      <c r="BN11" s="197">
        <f t="shared" ref="BN11:BN74" si="20">IF(BL11="","",(BL11+BM11+BN$7)/10000)</f>
        <v>5.9000000000000003E-4</v>
      </c>
      <c r="BO11" s="203">
        <v>2</v>
      </c>
      <c r="BP11" s="195" t="str">
        <f t="shared" si="9"/>
        <v>2Y</v>
      </c>
      <c r="BQ11" s="195" t="str">
        <v>EUBS2 ICPL Curncy</v>
      </c>
      <c r="BR11" s="205">
        <v>-24.25</v>
      </c>
      <c r="BS11" s="242"/>
      <c r="BT11" s="197">
        <f t="shared" ref="BT11:BT74" si="21">IF(BR11="","",(BR11+BS11+BT$7)/10000)</f>
        <v>-2.4250000000000001E-3</v>
      </c>
    </row>
    <row r="12" spans="1:72">
      <c r="A12" s="203">
        <v>3</v>
      </c>
      <c r="B12" s="195" t="str">
        <f t="shared" si="0"/>
        <v>EUSF2A</v>
      </c>
      <c r="C12" s="195" t="str">
        <v>EUSF2A ICPL Curncy</v>
      </c>
      <c r="D12" s="205">
        <v>-0.36099999999999999</v>
      </c>
      <c r="E12" s="213"/>
      <c r="F12" s="197">
        <f t="shared" si="10"/>
        <v>-3.6099999999999999E-3</v>
      </c>
      <c r="G12" s="203">
        <v>3</v>
      </c>
      <c r="H12" s="195" t="str">
        <f t="shared" si="1"/>
        <v>4Y</v>
      </c>
      <c r="I12" s="195" t="str">
        <v>EOBSVC4 ICPL Curncy</v>
      </c>
      <c r="J12" s="205">
        <v>8</v>
      </c>
      <c r="K12" s="242"/>
      <c r="L12" s="197">
        <f t="shared" si="11"/>
        <v>8.0000000000000004E-4</v>
      </c>
      <c r="M12" s="203">
        <v>3</v>
      </c>
      <c r="N12" s="195" t="str">
        <f t="shared" si="2"/>
        <v>4Y</v>
      </c>
      <c r="O12" s="195" t="str">
        <v>EUSW4V3 MHIS Curncy</v>
      </c>
      <c r="P12" s="205">
        <v>0.14649999999999999</v>
      </c>
      <c r="Q12" s="213"/>
      <c r="R12" s="197">
        <f t="shared" si="12"/>
        <v>1.4649999999999999E-3</v>
      </c>
      <c r="S12" s="203">
        <v>3</v>
      </c>
      <c r="T12" s="195" t="str">
        <f t="shared" si="3"/>
        <v/>
      </c>
      <c r="U12" s="195" t="str">
        <v/>
      </c>
      <c r="V12" s="205" t="str">
        <v/>
      </c>
      <c r="W12" s="213"/>
      <c r="X12" s="197" t="str">
        <f t="shared" si="13"/>
        <v/>
      </c>
      <c r="Y12" s="203">
        <v>3</v>
      </c>
      <c r="Z12" s="195"/>
      <c r="AA12" s="195"/>
      <c r="AB12" s="205"/>
      <c r="AC12" s="213"/>
      <c r="AD12" s="197" t="str">
        <f t="shared" si="14"/>
        <v/>
      </c>
      <c r="AE12" s="203">
        <v>3</v>
      </c>
      <c r="AF12" s="195" t="str">
        <f t="shared" si="4"/>
        <v>4X10</v>
      </c>
      <c r="AG12" s="195" t="str">
        <v>EUFR0DJ ICPL Curncy</v>
      </c>
      <c r="AH12" s="205">
        <v>-0.255</v>
      </c>
      <c r="AI12" s="213"/>
      <c r="AJ12" s="197">
        <f t="shared" si="15"/>
        <v>-2.5500000000000002E-3</v>
      </c>
      <c r="AK12" s="203">
        <v>3</v>
      </c>
      <c r="AL12" s="198"/>
      <c r="AM12" s="195"/>
      <c r="AN12" s="196"/>
      <c r="AO12" s="254"/>
      <c r="AP12" s="256" t="str">
        <f t="shared" si="16"/>
        <v/>
      </c>
      <c r="AQ12" s="203">
        <v>3</v>
      </c>
      <c r="AR12" s="195" t="str">
        <f t="shared" si="5"/>
        <v>4Y</v>
      </c>
      <c r="AS12" s="195" t="str">
        <v>EUSA4 MHIS Curncy</v>
      </c>
      <c r="AT12" s="205">
        <v>0.221</v>
      </c>
      <c r="AU12" s="213"/>
      <c r="AV12" s="197">
        <f t="shared" si="17"/>
        <v>2.2100000000000002E-3</v>
      </c>
      <c r="AW12" s="203">
        <v>3</v>
      </c>
      <c r="AX12" s="195" t="str">
        <f t="shared" si="6"/>
        <v>3Y</v>
      </c>
      <c r="AY12" s="195" t="str">
        <v>EUBSV3 CMPN Curncy</v>
      </c>
      <c r="AZ12" s="205">
        <v>6.8250000000000002</v>
      </c>
      <c r="BA12" s="242"/>
      <c r="BB12" s="197">
        <f t="shared" si="18"/>
        <v>6.8250000000000006E-4</v>
      </c>
      <c r="BC12" s="203">
        <v>3</v>
      </c>
      <c r="BD12" s="195" t="str">
        <f t="shared" si="7"/>
        <v>3Y</v>
      </c>
      <c r="BE12" s="195" t="str">
        <v>EUBSA3 TRPU Curncy</v>
      </c>
      <c r="BF12" s="205">
        <v>5.45</v>
      </c>
      <c r="BG12" s="242"/>
      <c r="BH12" s="197">
        <f t="shared" si="19"/>
        <v>5.4500000000000002E-4</v>
      </c>
      <c r="BI12" s="203">
        <v>3</v>
      </c>
      <c r="BJ12" s="195" t="str">
        <f t="shared" si="8"/>
        <v>3Y</v>
      </c>
      <c r="BK12" s="195" t="str">
        <v>EUBSS3 ICPL Curncy</v>
      </c>
      <c r="BL12" s="205">
        <v>6</v>
      </c>
      <c r="BM12" s="242"/>
      <c r="BN12" s="197">
        <f t="shared" si="20"/>
        <v>5.9999999999999995E-4</v>
      </c>
      <c r="BO12" s="203">
        <v>3</v>
      </c>
      <c r="BP12" s="195" t="str">
        <f t="shared" si="9"/>
        <v>3Y</v>
      </c>
      <c r="BQ12" s="195" t="str">
        <v>EUBS3 ICPL Curncy</v>
      </c>
      <c r="BR12" s="205">
        <v>-24.25</v>
      </c>
      <c r="BS12" s="242"/>
      <c r="BT12" s="197">
        <f t="shared" si="21"/>
        <v>-2.4250000000000001E-3</v>
      </c>
    </row>
    <row r="13" spans="1:72">
      <c r="A13" s="203">
        <v>4</v>
      </c>
      <c r="B13" s="195" t="str">
        <f t="shared" si="0"/>
        <v>EUSF3A</v>
      </c>
      <c r="C13" s="195" t="str">
        <v>EUSF3A ICPL Curncy</v>
      </c>
      <c r="D13" s="205">
        <v>-0.35899999999999999</v>
      </c>
      <c r="E13" s="213"/>
      <c r="F13" s="197">
        <f t="shared" si="10"/>
        <v>-3.5899999999999999E-3</v>
      </c>
      <c r="G13" s="203">
        <v>4</v>
      </c>
      <c r="H13" s="195" t="str">
        <f t="shared" si="1"/>
        <v>5Y</v>
      </c>
      <c r="I13" s="195" t="str">
        <v>EOBSVC5 ICPL Curncy</v>
      </c>
      <c r="J13" s="205">
        <v>8.8000000000000007</v>
      </c>
      <c r="K13" s="242"/>
      <c r="L13" s="197">
        <f t="shared" si="11"/>
        <v>8.8000000000000003E-4</v>
      </c>
      <c r="M13" s="203">
        <v>4</v>
      </c>
      <c r="N13" s="195" t="str">
        <f t="shared" si="2"/>
        <v>5Y</v>
      </c>
      <c r="O13" s="195" t="str">
        <v>EUSW5V3 MHIS Curncy</v>
      </c>
      <c r="P13" s="205">
        <v>0.309</v>
      </c>
      <c r="Q13" s="213"/>
      <c r="R13" s="197">
        <f t="shared" si="12"/>
        <v>3.0899999999999999E-3</v>
      </c>
      <c r="S13" s="203">
        <v>4</v>
      </c>
      <c r="T13" s="195" t="str">
        <f t="shared" si="3"/>
        <v/>
      </c>
      <c r="U13" s="195" t="str">
        <v/>
      </c>
      <c r="V13" s="205" t="str">
        <v/>
      </c>
      <c r="W13" s="213"/>
      <c r="X13" s="197" t="str">
        <f t="shared" si="13"/>
        <v/>
      </c>
      <c r="Y13" s="203">
        <v>4</v>
      </c>
      <c r="Z13" s="195"/>
      <c r="AA13" s="195"/>
      <c r="AB13" s="205"/>
      <c r="AC13" s="213"/>
      <c r="AD13" s="197" t="str">
        <f t="shared" si="14"/>
        <v/>
      </c>
      <c r="AE13" s="203">
        <v>4</v>
      </c>
      <c r="AF13" s="195" t="str">
        <f t="shared" si="4"/>
        <v>5X11</v>
      </c>
      <c r="AG13" s="195" t="str">
        <v>EUFR0EK ICPL Curncy</v>
      </c>
      <c r="AH13" s="205">
        <v>-0.248</v>
      </c>
      <c r="AI13" s="213"/>
      <c r="AJ13" s="197">
        <f t="shared" si="15"/>
        <v>-2.48E-3</v>
      </c>
      <c r="AK13" s="203">
        <v>4</v>
      </c>
      <c r="AL13" s="198"/>
      <c r="AM13" s="195"/>
      <c r="AN13" s="196"/>
      <c r="AO13" s="254"/>
      <c r="AP13" s="256" t="str">
        <f t="shared" si="16"/>
        <v/>
      </c>
      <c r="AQ13" s="203">
        <v>4</v>
      </c>
      <c r="AR13" s="195" t="str">
        <f t="shared" si="5"/>
        <v>5Y</v>
      </c>
      <c r="AS13" s="195" t="str">
        <v>EUSA5 MHIS Curncy</v>
      </c>
      <c r="AT13" s="205">
        <v>0.38800000000000001</v>
      </c>
      <c r="AU13" s="213"/>
      <c r="AV13" s="197">
        <f t="shared" si="17"/>
        <v>3.8800000000000002E-3</v>
      </c>
      <c r="AW13" s="203">
        <v>4</v>
      </c>
      <c r="AX13" s="195" t="str">
        <f t="shared" si="6"/>
        <v>4Y</v>
      </c>
      <c r="AY13" s="195" t="str">
        <v>EUBSV4 CMPN Curncy</v>
      </c>
      <c r="AZ13" s="205">
        <v>7.375</v>
      </c>
      <c r="BA13" s="242"/>
      <c r="BB13" s="197">
        <f t="shared" si="18"/>
        <v>7.3749999999999998E-4</v>
      </c>
      <c r="BC13" s="203">
        <v>4</v>
      </c>
      <c r="BD13" s="195" t="str">
        <f t="shared" si="7"/>
        <v>4Y</v>
      </c>
      <c r="BE13" s="195" t="str">
        <v>EUBSA4 TRPU Curncy</v>
      </c>
      <c r="BF13" s="205">
        <v>5.9</v>
      </c>
      <c r="BG13" s="242"/>
      <c r="BH13" s="197">
        <f t="shared" si="19"/>
        <v>5.9000000000000003E-4</v>
      </c>
      <c r="BI13" s="203">
        <v>4</v>
      </c>
      <c r="BJ13" s="195" t="str">
        <f t="shared" si="8"/>
        <v>4Y</v>
      </c>
      <c r="BK13" s="195" t="str">
        <v>EUBSS4 ICPL Curncy</v>
      </c>
      <c r="BL13" s="205">
        <v>6.3</v>
      </c>
      <c r="BM13" s="242"/>
      <c r="BN13" s="197">
        <f t="shared" si="20"/>
        <v>6.3000000000000003E-4</v>
      </c>
      <c r="BO13" s="203">
        <v>4</v>
      </c>
      <c r="BP13" s="195" t="str">
        <f t="shared" si="9"/>
        <v>4Y</v>
      </c>
      <c r="BQ13" s="195" t="str">
        <v>EUBS4 ICPL Curncy</v>
      </c>
      <c r="BR13" s="205">
        <v>-24.5</v>
      </c>
      <c r="BS13" s="242"/>
      <c r="BT13" s="197">
        <f t="shared" si="21"/>
        <v>-2.4499999999999999E-3</v>
      </c>
    </row>
    <row r="14" spans="1:72">
      <c r="A14" s="203">
        <v>5</v>
      </c>
      <c r="B14" s="195" t="str">
        <f t="shared" si="0"/>
        <v>EUSF4A</v>
      </c>
      <c r="C14" s="195" t="str">
        <v>EUSF4A ICPL Curncy</v>
      </c>
      <c r="D14" s="205">
        <v>-0.35799999999999998</v>
      </c>
      <c r="E14" s="213"/>
      <c r="F14" s="197">
        <f t="shared" si="10"/>
        <v>-3.5799999999999998E-3</v>
      </c>
      <c r="G14" s="203">
        <v>5</v>
      </c>
      <c r="H14" s="195" t="str">
        <f t="shared" si="1"/>
        <v>6Y</v>
      </c>
      <c r="I14" s="195" t="str">
        <v>EOBSVC6 ICPL Curncy</v>
      </c>
      <c r="J14" s="205">
        <v>9.5</v>
      </c>
      <c r="K14" s="242"/>
      <c r="L14" s="197">
        <f t="shared" si="11"/>
        <v>9.5E-4</v>
      </c>
      <c r="M14" s="203">
        <v>5</v>
      </c>
      <c r="N14" s="195" t="str">
        <f t="shared" si="2"/>
        <v>6Y</v>
      </c>
      <c r="O14" s="195" t="str">
        <v>EUSW6V3 MHIS Curncy</v>
      </c>
      <c r="P14" s="205">
        <v>0.45540000000000003</v>
      </c>
      <c r="Q14" s="213"/>
      <c r="R14" s="197">
        <f t="shared" si="12"/>
        <v>4.5539999999999999E-3</v>
      </c>
      <c r="S14" s="203">
        <v>5</v>
      </c>
      <c r="T14" s="195" t="str">
        <f t="shared" si="3"/>
        <v/>
      </c>
      <c r="U14" s="195" t="str">
        <v/>
      </c>
      <c r="V14" s="205" t="str">
        <v/>
      </c>
      <c r="W14" s="213"/>
      <c r="X14" s="197" t="str">
        <f t="shared" si="13"/>
        <v/>
      </c>
      <c r="Y14" s="203">
        <v>5</v>
      </c>
      <c r="Z14" s="195"/>
      <c r="AA14" s="195"/>
      <c r="AB14" s="205"/>
      <c r="AC14" s="213"/>
      <c r="AD14" s="197" t="str">
        <f t="shared" si="14"/>
        <v/>
      </c>
      <c r="AE14" s="203">
        <v>5</v>
      </c>
      <c r="AF14" s="195" t="str">
        <f t="shared" si="4"/>
        <v>6X12</v>
      </c>
      <c r="AG14" s="195" t="str">
        <v>EUFR0F1 ICPL Curncy</v>
      </c>
      <c r="AH14" s="205">
        <v>-0.23899999999999999</v>
      </c>
      <c r="AI14" s="213"/>
      <c r="AJ14" s="197">
        <f t="shared" si="15"/>
        <v>-2.3899999999999998E-3</v>
      </c>
      <c r="AK14" s="203">
        <v>5</v>
      </c>
      <c r="AL14" s="198"/>
      <c r="AM14" s="195"/>
      <c r="AN14" s="196"/>
      <c r="AO14" s="254"/>
      <c r="AP14" s="256" t="str">
        <f t="shared" si="16"/>
        <v/>
      </c>
      <c r="AQ14" s="203">
        <v>5</v>
      </c>
      <c r="AR14" s="195" t="str">
        <f t="shared" si="5"/>
        <v>6Y</v>
      </c>
      <c r="AS14" s="195" t="str">
        <v>EUSA6 MHIS Curncy</v>
      </c>
      <c r="AT14" s="205">
        <v>0.53739999999999999</v>
      </c>
      <c r="AU14" s="213"/>
      <c r="AV14" s="197">
        <f t="shared" si="17"/>
        <v>5.3740000000000003E-3</v>
      </c>
      <c r="AW14" s="203">
        <v>5</v>
      </c>
      <c r="AX14" s="195" t="str">
        <f t="shared" si="6"/>
        <v>5Y</v>
      </c>
      <c r="AY14" s="195" t="str">
        <v>EUBSV5 CMPN Curncy</v>
      </c>
      <c r="AZ14" s="205">
        <v>7.7750000000000004</v>
      </c>
      <c r="BA14" s="242"/>
      <c r="BB14" s="197">
        <f t="shared" si="18"/>
        <v>7.7750000000000009E-4</v>
      </c>
      <c r="BC14" s="203">
        <v>5</v>
      </c>
      <c r="BD14" s="195" t="str">
        <f t="shared" si="7"/>
        <v>5Y</v>
      </c>
      <c r="BE14" s="195" t="str">
        <v>EUBSA5 TRPU Curncy</v>
      </c>
      <c r="BF14" s="205">
        <v>6.5</v>
      </c>
      <c r="BG14" s="242"/>
      <c r="BH14" s="197">
        <f t="shared" si="19"/>
        <v>6.4999999999999997E-4</v>
      </c>
      <c r="BI14" s="203">
        <v>5</v>
      </c>
      <c r="BJ14" s="195" t="str">
        <f t="shared" si="8"/>
        <v>5Y</v>
      </c>
      <c r="BK14" s="195" t="str">
        <v>EUBSS5 ICPL Curncy</v>
      </c>
      <c r="BL14" s="205">
        <v>6.6</v>
      </c>
      <c r="BM14" s="242"/>
      <c r="BN14" s="197">
        <f t="shared" si="20"/>
        <v>6.6E-4</v>
      </c>
      <c r="BO14" s="203">
        <v>5</v>
      </c>
      <c r="BP14" s="195" t="str">
        <f t="shared" si="9"/>
        <v>5Y</v>
      </c>
      <c r="BQ14" s="195" t="str">
        <v>EUBS5 ICPL Curncy</v>
      </c>
      <c r="BR14" s="205">
        <v>-25</v>
      </c>
      <c r="BS14" s="242"/>
      <c r="BT14" s="197">
        <f t="shared" si="21"/>
        <v>-2.5000000000000001E-3</v>
      </c>
    </row>
    <row r="15" spans="1:72">
      <c r="A15" s="203">
        <v>6</v>
      </c>
      <c r="B15" s="195" t="str">
        <f t="shared" si="0"/>
        <v>12M</v>
      </c>
      <c r="C15" s="195" t="str">
        <v>EUSWE1 ICPL Curncy</v>
      </c>
      <c r="D15" s="205">
        <v>-0.35299999999999998</v>
      </c>
      <c r="E15" s="213"/>
      <c r="F15" s="197">
        <f t="shared" si="10"/>
        <v>-3.5299999999999997E-3</v>
      </c>
      <c r="G15" s="203">
        <v>6</v>
      </c>
      <c r="H15" s="195" t="str">
        <f t="shared" si="1"/>
        <v>7Y</v>
      </c>
      <c r="I15" s="195" t="str">
        <v>EOBSVC7 ICPL Curncy</v>
      </c>
      <c r="J15" s="205">
        <v>9.9</v>
      </c>
      <c r="K15" s="242"/>
      <c r="L15" s="197">
        <f t="shared" si="11"/>
        <v>9.8999999999999999E-4</v>
      </c>
      <c r="M15" s="203">
        <v>6</v>
      </c>
      <c r="N15" s="195" t="str">
        <f t="shared" si="2"/>
        <v>7Y</v>
      </c>
      <c r="O15" s="195" t="str">
        <v>EUSW7V3 MHIS Curncy</v>
      </c>
      <c r="P15" s="205">
        <v>0.58709999999999996</v>
      </c>
      <c r="Q15" s="213"/>
      <c r="R15" s="197">
        <f t="shared" si="12"/>
        <v>5.8709999999999995E-3</v>
      </c>
      <c r="S15" s="203">
        <v>6</v>
      </c>
      <c r="T15" s="195" t="str">
        <f t="shared" si="3"/>
        <v/>
      </c>
      <c r="U15" s="195" t="str">
        <v/>
      </c>
      <c r="V15" s="205" t="str">
        <v/>
      </c>
      <c r="W15" s="213"/>
      <c r="X15" s="197" t="str">
        <f t="shared" si="13"/>
        <v/>
      </c>
      <c r="Y15" s="203">
        <v>6</v>
      </c>
      <c r="Z15" s="195"/>
      <c r="AA15" s="195"/>
      <c r="AB15" s="205"/>
      <c r="AC15" s="213"/>
      <c r="AD15" s="197" t="str">
        <f t="shared" si="14"/>
        <v/>
      </c>
      <c r="AE15" s="203">
        <v>6</v>
      </c>
      <c r="AF15" s="195" t="str">
        <f t="shared" si="4"/>
        <v>7X13</v>
      </c>
      <c r="AG15" s="195" t="str">
        <v>EUFR0G1A ICPL Curncy</v>
      </c>
      <c r="AH15" s="205">
        <v>-0.23</v>
      </c>
      <c r="AI15" s="213"/>
      <c r="AJ15" s="197">
        <f t="shared" si="15"/>
        <v>-2.3E-3</v>
      </c>
      <c r="AK15" s="203">
        <v>6</v>
      </c>
      <c r="AL15" s="198"/>
      <c r="AM15" s="195"/>
      <c r="AN15" s="196"/>
      <c r="AO15" s="254"/>
      <c r="AP15" s="256" t="str">
        <f t="shared" si="16"/>
        <v/>
      </c>
      <c r="AQ15" s="203">
        <v>6</v>
      </c>
      <c r="AR15" s="195" t="str">
        <f t="shared" si="5"/>
        <v>7Y</v>
      </c>
      <c r="AS15" s="195" t="str">
        <v>EUSA7 MHIS Curncy</v>
      </c>
      <c r="AT15" s="205">
        <v>0.67110000000000003</v>
      </c>
      <c r="AU15" s="213"/>
      <c r="AV15" s="197">
        <f t="shared" si="17"/>
        <v>6.711E-3</v>
      </c>
      <c r="AW15" s="203">
        <v>6</v>
      </c>
      <c r="AX15" s="195" t="str">
        <f t="shared" si="6"/>
        <v>6Y</v>
      </c>
      <c r="AY15" s="195" t="str">
        <v>EUBSV6 CMPN Curncy</v>
      </c>
      <c r="AZ15" s="205">
        <v>8.0749999999999993</v>
      </c>
      <c r="BA15" s="242"/>
      <c r="BB15" s="197">
        <f t="shared" si="18"/>
        <v>8.0749999999999995E-4</v>
      </c>
      <c r="BC15" s="203">
        <v>6</v>
      </c>
      <c r="BD15" s="195" t="str">
        <f t="shared" si="7"/>
        <v>6Y</v>
      </c>
      <c r="BE15" s="195" t="str">
        <v>EUBSA6 TRPU Curncy</v>
      </c>
      <c r="BF15" s="205">
        <v>6.6</v>
      </c>
      <c r="BG15" s="242"/>
      <c r="BH15" s="197">
        <f t="shared" si="19"/>
        <v>6.6E-4</v>
      </c>
      <c r="BI15" s="203">
        <v>6</v>
      </c>
      <c r="BJ15" s="195" t="str">
        <f t="shared" si="8"/>
        <v>6Y</v>
      </c>
      <c r="BK15" s="195" t="str">
        <v>EUBSS6 ICPL Curncy</v>
      </c>
      <c r="BL15" s="205">
        <v>6.8</v>
      </c>
      <c r="BM15" s="242"/>
      <c r="BN15" s="197">
        <f t="shared" si="20"/>
        <v>6.7999999999999994E-4</v>
      </c>
      <c r="BO15" s="203">
        <v>6</v>
      </c>
      <c r="BP15" s="195" t="str">
        <f t="shared" si="9"/>
        <v>6Y</v>
      </c>
      <c r="BQ15" s="195" t="str">
        <v>EUBS6 ICPL Curncy</v>
      </c>
      <c r="BR15" s="205">
        <v>-25.625</v>
      </c>
      <c r="BS15" s="242"/>
      <c r="BT15" s="197">
        <f t="shared" si="21"/>
        <v>-2.5625000000000001E-3</v>
      </c>
    </row>
    <row r="16" spans="1:72">
      <c r="A16" s="203">
        <v>7</v>
      </c>
      <c r="B16" s="195" t="str">
        <f t="shared" si="0"/>
        <v>18M</v>
      </c>
      <c r="C16" s="195" t="str">
        <v>EUSWE1F ICPL Curncy</v>
      </c>
      <c r="D16" s="205">
        <v>-0.318</v>
      </c>
      <c r="E16" s="213"/>
      <c r="F16" s="197">
        <f t="shared" si="10"/>
        <v>-3.1800000000000001E-3</v>
      </c>
      <c r="G16" s="203">
        <v>7</v>
      </c>
      <c r="H16" s="195" t="str">
        <f t="shared" si="1"/>
        <v>8Y</v>
      </c>
      <c r="I16" s="195" t="str">
        <v>EOBSVC8 ICPL Curncy</v>
      </c>
      <c r="J16" s="205">
        <v>10.1</v>
      </c>
      <c r="K16" s="242"/>
      <c r="L16" s="197">
        <f t="shared" si="11"/>
        <v>1.01E-3</v>
      </c>
      <c r="M16" s="203">
        <v>7</v>
      </c>
      <c r="N16" s="195" t="str">
        <f t="shared" si="2"/>
        <v>8Y</v>
      </c>
      <c r="O16" s="195" t="str">
        <v>EUSW8V3 MHIS Curncy</v>
      </c>
      <c r="P16" s="205">
        <v>0.70520000000000005</v>
      </c>
      <c r="Q16" s="213"/>
      <c r="R16" s="197">
        <f t="shared" si="12"/>
        <v>7.0520000000000001E-3</v>
      </c>
      <c r="S16" s="203">
        <v>7</v>
      </c>
      <c r="T16" s="195" t="str">
        <f t="shared" si="3"/>
        <v/>
      </c>
      <c r="U16" s="195" t="str">
        <v/>
      </c>
      <c r="V16" s="205" t="str">
        <v/>
      </c>
      <c r="W16" s="213"/>
      <c r="X16" s="197" t="str">
        <f t="shared" si="13"/>
        <v/>
      </c>
      <c r="Y16" s="203">
        <v>7</v>
      </c>
      <c r="Z16" s="195"/>
      <c r="AA16" s="195"/>
      <c r="AB16" s="205"/>
      <c r="AC16" s="213"/>
      <c r="AD16" s="197" t="str">
        <f t="shared" si="14"/>
        <v/>
      </c>
      <c r="AE16" s="203">
        <v>7</v>
      </c>
      <c r="AF16" s="195" t="str">
        <f t="shared" si="4"/>
        <v>8X14</v>
      </c>
      <c r="AG16" s="195" t="str">
        <v>EUFR0H1B ICPL Curncy</v>
      </c>
      <c r="AH16" s="205">
        <v>-0.217</v>
      </c>
      <c r="AI16" s="213"/>
      <c r="AJ16" s="197">
        <f t="shared" si="15"/>
        <v>-2.1700000000000001E-3</v>
      </c>
      <c r="AK16" s="203">
        <v>7</v>
      </c>
      <c r="AL16" s="198"/>
      <c r="AM16" s="195"/>
      <c r="AN16" s="196"/>
      <c r="AO16" s="254"/>
      <c r="AP16" s="256" t="str">
        <f t="shared" si="16"/>
        <v/>
      </c>
      <c r="AQ16" s="203">
        <v>7</v>
      </c>
      <c r="AR16" s="195" t="str">
        <f t="shared" si="5"/>
        <v>8Y</v>
      </c>
      <c r="AS16" s="195" t="str">
        <v>EUSA8 MHIS Curncy</v>
      </c>
      <c r="AT16" s="205">
        <v>0.79069999999999996</v>
      </c>
      <c r="AU16" s="213"/>
      <c r="AV16" s="197">
        <f t="shared" si="17"/>
        <v>7.9069999999999991E-3</v>
      </c>
      <c r="AW16" s="203">
        <v>7</v>
      </c>
      <c r="AX16" s="195" t="str">
        <f t="shared" si="6"/>
        <v>7Y</v>
      </c>
      <c r="AY16" s="195" t="str">
        <v>EUBSV7 CMPN Curncy</v>
      </c>
      <c r="AZ16" s="205">
        <v>8.2750000000000004</v>
      </c>
      <c r="BA16" s="242"/>
      <c r="BB16" s="197">
        <f t="shared" si="18"/>
        <v>8.275E-4</v>
      </c>
      <c r="BC16" s="203">
        <v>7</v>
      </c>
      <c r="BD16" s="195" t="str">
        <f t="shared" si="7"/>
        <v>7Y</v>
      </c>
      <c r="BE16" s="195" t="str">
        <v>EUBSA7 TRPU Curncy</v>
      </c>
      <c r="BF16" s="205">
        <v>6.55</v>
      </c>
      <c r="BG16" s="242"/>
      <c r="BH16" s="197">
        <f t="shared" si="19"/>
        <v>6.5499999999999998E-4</v>
      </c>
      <c r="BI16" s="203">
        <v>7</v>
      </c>
      <c r="BJ16" s="195" t="str">
        <f t="shared" si="8"/>
        <v>7Y</v>
      </c>
      <c r="BK16" s="195" t="str">
        <v>EUBSS7 ICPL Curncy</v>
      </c>
      <c r="BL16" s="205">
        <v>6.9</v>
      </c>
      <c r="BM16" s="242"/>
      <c r="BN16" s="197">
        <f t="shared" si="20"/>
        <v>6.9000000000000008E-4</v>
      </c>
      <c r="BO16" s="203">
        <v>7</v>
      </c>
      <c r="BP16" s="195" t="str">
        <f t="shared" si="9"/>
        <v>7Y</v>
      </c>
      <c r="BQ16" s="195" t="str">
        <v>EUBS7 ICPL Curncy</v>
      </c>
      <c r="BR16" s="205">
        <v>-26</v>
      </c>
      <c r="BS16" s="242"/>
      <c r="BT16" s="197">
        <f t="shared" si="21"/>
        <v>-2.5999999999999999E-3</v>
      </c>
    </row>
    <row r="17" spans="1:72">
      <c r="A17" s="203">
        <v>8</v>
      </c>
      <c r="B17" s="195" t="str">
        <f t="shared" si="0"/>
        <v>2Y</v>
      </c>
      <c r="C17" s="195" t="str">
        <v>EUSWE2 ICPL Curncy</v>
      </c>
      <c r="D17" s="205">
        <v>-0.25900000000000001</v>
      </c>
      <c r="E17" s="213"/>
      <c r="F17" s="197">
        <f t="shared" si="10"/>
        <v>-2.5900000000000003E-3</v>
      </c>
      <c r="G17" s="203">
        <v>8</v>
      </c>
      <c r="H17" s="195" t="str">
        <f t="shared" si="1"/>
        <v>9Y</v>
      </c>
      <c r="I17" s="195" t="str">
        <v>EOBSVC9 ICPL Curncy</v>
      </c>
      <c r="J17" s="205">
        <v>10.3</v>
      </c>
      <c r="K17" s="242"/>
      <c r="L17" s="197">
        <f t="shared" si="11"/>
        <v>1.0300000000000001E-3</v>
      </c>
      <c r="M17" s="203">
        <v>8</v>
      </c>
      <c r="N17" s="195" t="str">
        <f t="shared" si="2"/>
        <v>9Y</v>
      </c>
      <c r="O17" s="195" t="str">
        <v>EUSW9V3 MHIS Curncy</v>
      </c>
      <c r="P17" s="205">
        <v>0.81179999999999997</v>
      </c>
      <c r="Q17" s="213"/>
      <c r="R17" s="197">
        <f t="shared" si="12"/>
        <v>8.1180000000000002E-3</v>
      </c>
      <c r="S17" s="203">
        <v>8</v>
      </c>
      <c r="T17" s="195" t="str">
        <f t="shared" si="3"/>
        <v/>
      </c>
      <c r="U17" s="195" t="str">
        <v/>
      </c>
      <c r="V17" s="205" t="str">
        <v/>
      </c>
      <c r="W17" s="213"/>
      <c r="X17" s="197" t="str">
        <f t="shared" si="13"/>
        <v/>
      </c>
      <c r="Y17" s="203">
        <v>8</v>
      </c>
      <c r="Z17" s="195"/>
      <c r="AA17" s="195"/>
      <c r="AB17" s="205"/>
      <c r="AC17" s="213"/>
      <c r="AD17" s="197" t="str">
        <f t="shared" si="14"/>
        <v/>
      </c>
      <c r="AE17" s="203">
        <v>8</v>
      </c>
      <c r="AF17" s="195" t="str">
        <f t="shared" si="4"/>
        <v>9X15</v>
      </c>
      <c r="AG17" s="195" t="str">
        <v>EUFR0I1C ICPL Curncy</v>
      </c>
      <c r="AH17" s="205">
        <v>-0.19600000000000001</v>
      </c>
      <c r="AI17" s="213"/>
      <c r="AJ17" s="197">
        <f t="shared" si="15"/>
        <v>-1.9599999999999999E-3</v>
      </c>
      <c r="AK17" s="203">
        <v>8</v>
      </c>
      <c r="AL17" s="198"/>
      <c r="AM17" s="195"/>
      <c r="AN17" s="196"/>
      <c r="AO17" s="254"/>
      <c r="AP17" s="256" t="str">
        <f t="shared" si="16"/>
        <v/>
      </c>
      <c r="AQ17" s="203">
        <v>8</v>
      </c>
      <c r="AR17" s="195" t="str">
        <f t="shared" si="5"/>
        <v>9Y</v>
      </c>
      <c r="AS17" s="195" t="str">
        <v>EUSA9 MHIS Curncy</v>
      </c>
      <c r="AT17" s="205">
        <v>0.89780000000000004</v>
      </c>
      <c r="AU17" s="213"/>
      <c r="AV17" s="197">
        <f t="shared" si="17"/>
        <v>8.9779999999999999E-3</v>
      </c>
      <c r="AW17" s="203">
        <v>8</v>
      </c>
      <c r="AX17" s="195" t="str">
        <f t="shared" si="6"/>
        <v>8Y</v>
      </c>
      <c r="AY17" s="195" t="str">
        <v>EUBSV8 CMPN Curncy</v>
      </c>
      <c r="AZ17" s="205">
        <v>8.375</v>
      </c>
      <c r="BA17" s="242"/>
      <c r="BB17" s="197">
        <f t="shared" si="18"/>
        <v>8.3750000000000003E-4</v>
      </c>
      <c r="BC17" s="203">
        <v>8</v>
      </c>
      <c r="BD17" s="195" t="str">
        <f t="shared" si="7"/>
        <v>8Y</v>
      </c>
      <c r="BE17" s="195" t="str">
        <v>EUBSA8 TRPU Curncy</v>
      </c>
      <c r="BF17" s="205">
        <v>6.5</v>
      </c>
      <c r="BG17" s="242"/>
      <c r="BH17" s="197">
        <f t="shared" si="19"/>
        <v>6.4999999999999997E-4</v>
      </c>
      <c r="BI17" s="203">
        <v>8</v>
      </c>
      <c r="BJ17" s="195" t="str">
        <f t="shared" si="8"/>
        <v>8Y</v>
      </c>
      <c r="BK17" s="195" t="str">
        <v>EUBSS8 ICPL Curncy</v>
      </c>
      <c r="BL17" s="205">
        <v>6.9</v>
      </c>
      <c r="BM17" s="242"/>
      <c r="BN17" s="197">
        <f t="shared" si="20"/>
        <v>6.9000000000000008E-4</v>
      </c>
      <c r="BO17" s="203">
        <v>8</v>
      </c>
      <c r="BP17" s="195" t="str">
        <f t="shared" si="9"/>
        <v>8Y</v>
      </c>
      <c r="BQ17" s="195" t="str">
        <v>EUBS8 ICPL Curncy</v>
      </c>
      <c r="BR17" s="205">
        <v>-26.125</v>
      </c>
      <c r="BS17" s="242"/>
      <c r="BT17" s="197">
        <f t="shared" si="21"/>
        <v>-2.6124999999999998E-3</v>
      </c>
    </row>
    <row r="18" spans="1:72">
      <c r="A18" s="203">
        <v>9</v>
      </c>
      <c r="B18" s="195" t="str">
        <f t="shared" si="0"/>
        <v>3Y</v>
      </c>
      <c r="C18" s="195" t="str">
        <v>EUSWE3 ICPL Curncy</v>
      </c>
      <c r="D18" s="205">
        <v>-0.105</v>
      </c>
      <c r="E18" s="213"/>
      <c r="F18" s="197">
        <f t="shared" si="10"/>
        <v>-1.0499999999999999E-3</v>
      </c>
      <c r="G18" s="203">
        <v>9</v>
      </c>
      <c r="H18" s="195" t="str">
        <f t="shared" si="1"/>
        <v>10Y</v>
      </c>
      <c r="I18" s="195" t="str">
        <v>EOBSVC10 ICPL Curncy</v>
      </c>
      <c r="J18" s="205">
        <v>10.3</v>
      </c>
      <c r="K18" s="242"/>
      <c r="L18" s="197">
        <f t="shared" si="11"/>
        <v>1.0300000000000001E-3</v>
      </c>
      <c r="M18" s="203">
        <v>9</v>
      </c>
      <c r="N18" s="195" t="str">
        <f t="shared" si="2"/>
        <v>10Y</v>
      </c>
      <c r="O18" s="195" t="str">
        <v>EUSW10V3 MHIS Curncy</v>
      </c>
      <c r="P18" s="205">
        <v>0.90790000000000004</v>
      </c>
      <c r="Q18" s="213"/>
      <c r="R18" s="197">
        <f t="shared" si="12"/>
        <v>9.0790000000000003E-3</v>
      </c>
      <c r="S18" s="203">
        <v>9</v>
      </c>
      <c r="T18" s="195" t="str">
        <f t="shared" si="3"/>
        <v/>
      </c>
      <c r="U18" s="195" t="str">
        <v/>
      </c>
      <c r="V18" s="205" t="str">
        <v/>
      </c>
      <c r="W18" s="213"/>
      <c r="X18" s="197" t="str">
        <f t="shared" si="13"/>
        <v/>
      </c>
      <c r="Y18" s="203">
        <v>9</v>
      </c>
      <c r="Z18" s="195"/>
      <c r="AA18" s="195"/>
      <c r="AB18" s="205"/>
      <c r="AC18" s="213"/>
      <c r="AD18" s="197" t="str">
        <f t="shared" si="14"/>
        <v/>
      </c>
      <c r="AE18" s="203">
        <v>9</v>
      </c>
      <c r="AF18" s="195" t="str">
        <f t="shared" si="4"/>
        <v>10X16</v>
      </c>
      <c r="AG18" s="195" t="str">
        <v>EUFR0J1D ICPL Curncy</v>
      </c>
      <c r="AH18" s="205">
        <v>-0.17799999999999999</v>
      </c>
      <c r="AI18" s="213"/>
      <c r="AJ18" s="197">
        <f t="shared" si="15"/>
        <v>-1.7799999999999999E-3</v>
      </c>
      <c r="AK18" s="203">
        <v>9</v>
      </c>
      <c r="AL18" s="198"/>
      <c r="AM18" s="195"/>
      <c r="AN18" s="196"/>
      <c r="AO18" s="254"/>
      <c r="AP18" s="256" t="str">
        <f t="shared" si="16"/>
        <v/>
      </c>
      <c r="AQ18" s="203">
        <v>9</v>
      </c>
      <c r="AR18" s="195" t="str">
        <f t="shared" si="5"/>
        <v>10Y</v>
      </c>
      <c r="AS18" s="195" t="str">
        <v>EUSA10 MHIS Curncy</v>
      </c>
      <c r="AT18" s="205">
        <v>0.99390000000000001</v>
      </c>
      <c r="AU18" s="213"/>
      <c r="AV18" s="197">
        <f t="shared" si="17"/>
        <v>9.9389999999999999E-3</v>
      </c>
      <c r="AW18" s="203">
        <v>9</v>
      </c>
      <c r="AX18" s="195" t="str">
        <f t="shared" si="6"/>
        <v>9Y</v>
      </c>
      <c r="AY18" s="195" t="str">
        <v>EUBSV9 CMPN Curncy</v>
      </c>
      <c r="AZ18" s="205">
        <v>8.4250000000000007</v>
      </c>
      <c r="BA18" s="242"/>
      <c r="BB18" s="197">
        <f t="shared" si="18"/>
        <v>8.4250000000000004E-4</v>
      </c>
      <c r="BC18" s="203">
        <v>9</v>
      </c>
      <c r="BD18" s="195" t="str">
        <f t="shared" si="7"/>
        <v>9Y</v>
      </c>
      <c r="BE18" s="195" t="str">
        <v>EUBSA9 TRPU Curncy</v>
      </c>
      <c r="BF18" s="205">
        <v>6.45</v>
      </c>
      <c r="BG18" s="242"/>
      <c r="BH18" s="197">
        <f t="shared" si="19"/>
        <v>6.4500000000000007E-4</v>
      </c>
      <c r="BI18" s="203">
        <v>9</v>
      </c>
      <c r="BJ18" s="195" t="str">
        <f t="shared" si="8"/>
        <v>9Y</v>
      </c>
      <c r="BK18" s="195" t="str">
        <v>EUBSS9 ICPL Curncy</v>
      </c>
      <c r="BL18" s="205">
        <v>7</v>
      </c>
      <c r="BM18" s="242"/>
      <c r="BN18" s="197">
        <f t="shared" si="20"/>
        <v>6.9999999999999999E-4</v>
      </c>
      <c r="BO18" s="203">
        <v>9</v>
      </c>
      <c r="BP18" s="195" t="str">
        <f t="shared" si="9"/>
        <v>9Y</v>
      </c>
      <c r="BQ18" s="195" t="str">
        <v>EUBS9 ICPL Curncy</v>
      </c>
      <c r="BR18" s="205">
        <v>-26</v>
      </c>
      <c r="BS18" s="242"/>
      <c r="BT18" s="197">
        <f t="shared" si="21"/>
        <v>-2.5999999999999999E-3</v>
      </c>
    </row>
    <row r="19" spans="1:72">
      <c r="A19" s="203">
        <v>10</v>
      </c>
      <c r="B19" s="195" t="str">
        <f t="shared" si="0"/>
        <v>4Y</v>
      </c>
      <c r="C19" s="195" t="str">
        <v>EUSWE4 ICPL Curncy</v>
      </c>
      <c r="D19" s="205">
        <v>6.3E-2</v>
      </c>
      <c r="E19" s="213"/>
      <c r="F19" s="197">
        <f t="shared" si="10"/>
        <v>6.3000000000000003E-4</v>
      </c>
      <c r="G19" s="203">
        <v>10</v>
      </c>
      <c r="H19" s="195" t="str">
        <f t="shared" si="1"/>
        <v>11Y</v>
      </c>
      <c r="I19" s="195" t="str">
        <v>EOBSVC11 ICPL Curncy</v>
      </c>
      <c r="J19" s="205">
        <v>10.3</v>
      </c>
      <c r="K19" s="242"/>
      <c r="L19" s="197">
        <f t="shared" si="11"/>
        <v>1.0300000000000001E-3</v>
      </c>
      <c r="M19" s="203">
        <v>10</v>
      </c>
      <c r="N19" s="195" t="str">
        <f t="shared" si="2"/>
        <v>11Y</v>
      </c>
      <c r="O19" s="195" t="str">
        <v>EUSW11V3 MHIS Curncy</v>
      </c>
      <c r="P19" s="205">
        <v>0.99399999999999999</v>
      </c>
      <c r="Q19" s="213"/>
      <c r="R19" s="197">
        <f t="shared" si="12"/>
        <v>9.9399999999999992E-3</v>
      </c>
      <c r="S19" s="203">
        <v>10</v>
      </c>
      <c r="T19" s="195" t="str">
        <f t="shared" si="3"/>
        <v/>
      </c>
      <c r="U19" s="195" t="str">
        <v/>
      </c>
      <c r="V19" s="205" t="str">
        <v/>
      </c>
      <c r="W19" s="213"/>
      <c r="X19" s="197" t="str">
        <f t="shared" si="13"/>
        <v/>
      </c>
      <c r="Y19" s="203">
        <v>10</v>
      </c>
      <c r="Z19" s="195"/>
      <c r="AA19" s="195"/>
      <c r="AB19" s="205"/>
      <c r="AC19" s="213"/>
      <c r="AD19" s="197" t="str">
        <f t="shared" si="14"/>
        <v/>
      </c>
      <c r="AE19" s="203">
        <v>10</v>
      </c>
      <c r="AF19" s="195" t="str">
        <f t="shared" si="4"/>
        <v>11X17</v>
      </c>
      <c r="AG19" s="195" t="str">
        <v>EUFR0K1E ICPL Curncy</v>
      </c>
      <c r="AH19" s="205">
        <v>-0.154</v>
      </c>
      <c r="AI19" s="213"/>
      <c r="AJ19" s="197">
        <f t="shared" si="15"/>
        <v>-1.5399999999999999E-3</v>
      </c>
      <c r="AK19" s="203">
        <v>10</v>
      </c>
      <c r="AL19" s="198"/>
      <c r="AM19" s="195"/>
      <c r="AN19" s="196"/>
      <c r="AO19" s="254"/>
      <c r="AP19" s="256" t="str">
        <f t="shared" si="16"/>
        <v/>
      </c>
      <c r="AQ19" s="203">
        <v>10</v>
      </c>
      <c r="AR19" s="195" t="str">
        <f t="shared" si="5"/>
        <v>11Y</v>
      </c>
      <c r="AS19" s="195" t="str">
        <v>EUSA11 MHIS Curncy</v>
      </c>
      <c r="AT19" s="205">
        <v>1.0794999999999999</v>
      </c>
      <c r="AU19" s="213"/>
      <c r="AV19" s="197">
        <f t="shared" si="17"/>
        <v>1.0794999999999999E-2</v>
      </c>
      <c r="AW19" s="203">
        <v>10</v>
      </c>
      <c r="AX19" s="195" t="str">
        <f t="shared" si="6"/>
        <v>10Y</v>
      </c>
      <c r="AY19" s="195" t="str">
        <v>EUBSV10 CMPN Curncy</v>
      </c>
      <c r="AZ19" s="205">
        <v>8.4749999999999996</v>
      </c>
      <c r="BA19" s="242"/>
      <c r="BB19" s="197">
        <f t="shared" si="18"/>
        <v>8.4749999999999995E-4</v>
      </c>
      <c r="BC19" s="203">
        <v>10</v>
      </c>
      <c r="BD19" s="195" t="str">
        <f t="shared" si="7"/>
        <v>10Y</v>
      </c>
      <c r="BE19" s="195" t="str">
        <v>EUBSA10 TRPU Curncy</v>
      </c>
      <c r="BF19" s="205">
        <v>6.4</v>
      </c>
      <c r="BG19" s="242"/>
      <c r="BH19" s="197">
        <f t="shared" si="19"/>
        <v>6.4000000000000005E-4</v>
      </c>
      <c r="BI19" s="203">
        <v>10</v>
      </c>
      <c r="BJ19" s="195" t="str">
        <f t="shared" si="8"/>
        <v>10Y</v>
      </c>
      <c r="BK19" s="195" t="str">
        <v>EUBSS10 ICPL Curncy</v>
      </c>
      <c r="BL19" s="205">
        <v>7</v>
      </c>
      <c r="BM19" s="242"/>
      <c r="BN19" s="197">
        <f t="shared" si="20"/>
        <v>6.9999999999999999E-4</v>
      </c>
      <c r="BO19" s="203">
        <v>10</v>
      </c>
      <c r="BP19" s="195" t="str">
        <f t="shared" si="9"/>
        <v>10Y</v>
      </c>
      <c r="BQ19" s="195" t="str">
        <v>EUBS10 ICPL Curncy</v>
      </c>
      <c r="BR19" s="205">
        <v>-25.75</v>
      </c>
      <c r="BS19" s="242"/>
      <c r="BT19" s="197">
        <f t="shared" si="21"/>
        <v>-2.575E-3</v>
      </c>
    </row>
    <row r="20" spans="1:72">
      <c r="A20" s="203">
        <v>11</v>
      </c>
      <c r="B20" s="195" t="str">
        <f t="shared" si="0"/>
        <v>5Y</v>
      </c>
      <c r="C20" s="195" t="str">
        <v>EUSWE5 ICPL Curncy</v>
      </c>
      <c r="D20" s="205">
        <v>0.216</v>
      </c>
      <c r="E20" s="213"/>
      <c r="F20" s="197">
        <f t="shared" si="10"/>
        <v>2.16E-3</v>
      </c>
      <c r="G20" s="203">
        <v>11</v>
      </c>
      <c r="H20" s="195" t="str">
        <f t="shared" si="1"/>
        <v>12Y</v>
      </c>
      <c r="I20" s="195" t="str">
        <v>EOBSVC12 ICPL Curncy</v>
      </c>
      <c r="J20" s="205">
        <v>10.3</v>
      </c>
      <c r="K20" s="242"/>
      <c r="L20" s="197">
        <f t="shared" si="11"/>
        <v>1.0300000000000001E-3</v>
      </c>
      <c r="M20" s="203">
        <v>11</v>
      </c>
      <c r="N20" s="195" t="str">
        <f t="shared" si="2"/>
        <v>12Y</v>
      </c>
      <c r="O20" s="195" t="str">
        <v>EUSW12V3 MHIS Curncy</v>
      </c>
      <c r="P20" s="205">
        <v>1.0703</v>
      </c>
      <c r="Q20" s="213"/>
      <c r="R20" s="197">
        <f t="shared" si="12"/>
        <v>1.0703000000000001E-2</v>
      </c>
      <c r="S20" s="203">
        <v>11</v>
      </c>
      <c r="T20" s="195" t="str">
        <f t="shared" si="3"/>
        <v/>
      </c>
      <c r="U20" s="195" t="str">
        <v/>
      </c>
      <c r="V20" s="205" t="str">
        <v/>
      </c>
      <c r="W20" s="213"/>
      <c r="X20" s="197" t="str">
        <f t="shared" si="13"/>
        <v/>
      </c>
      <c r="Y20" s="203">
        <v>11</v>
      </c>
      <c r="Z20" s="195"/>
      <c r="AA20" s="195"/>
      <c r="AB20" s="205"/>
      <c r="AC20" s="213"/>
      <c r="AD20" s="197" t="str">
        <f t="shared" si="14"/>
        <v/>
      </c>
      <c r="AE20" s="203">
        <v>11</v>
      </c>
      <c r="AF20" s="195" t="str">
        <f t="shared" si="4"/>
        <v>12X18</v>
      </c>
      <c r="AG20" s="195" t="str">
        <v>EUFR011F ICPL Curncy</v>
      </c>
      <c r="AH20" s="205">
        <v>-0.124</v>
      </c>
      <c r="AI20" s="213"/>
      <c r="AJ20" s="197">
        <f t="shared" si="15"/>
        <v>-1.24E-3</v>
      </c>
      <c r="AK20" s="203">
        <v>11</v>
      </c>
      <c r="AL20" s="198"/>
      <c r="AM20" s="195"/>
      <c r="AN20" s="196"/>
      <c r="AO20" s="254"/>
      <c r="AP20" s="256" t="str">
        <f t="shared" si="16"/>
        <v/>
      </c>
      <c r="AQ20" s="203">
        <v>11</v>
      </c>
      <c r="AR20" s="195" t="str">
        <f t="shared" si="5"/>
        <v>12Y</v>
      </c>
      <c r="AS20" s="195" t="str">
        <v>EUSA12 MHIS Curncy</v>
      </c>
      <c r="AT20" s="205">
        <v>1.1548</v>
      </c>
      <c r="AU20" s="213"/>
      <c r="AV20" s="197">
        <f t="shared" si="17"/>
        <v>1.1548000000000001E-2</v>
      </c>
      <c r="AW20" s="203">
        <v>11</v>
      </c>
      <c r="AX20" s="195" t="str">
        <f t="shared" si="6"/>
        <v>11Y</v>
      </c>
      <c r="AY20" s="195" t="str">
        <v>EUBSV11 CMPN Curncy</v>
      </c>
      <c r="AZ20" s="205">
        <v>8.4250000000000007</v>
      </c>
      <c r="BA20" s="242"/>
      <c r="BB20" s="197">
        <f t="shared" si="18"/>
        <v>8.4250000000000004E-4</v>
      </c>
      <c r="BC20" s="203">
        <v>11</v>
      </c>
      <c r="BD20" s="195" t="str">
        <f t="shared" si="7"/>
        <v>15Y</v>
      </c>
      <c r="BE20" s="195" t="str">
        <v>EUBSA15 TRPU Curncy</v>
      </c>
      <c r="BF20" s="205">
        <v>6.65</v>
      </c>
      <c r="BG20" s="242"/>
      <c r="BH20" s="197">
        <f t="shared" si="19"/>
        <v>6.6500000000000001E-4</v>
      </c>
      <c r="BI20" s="203">
        <v>11</v>
      </c>
      <c r="BJ20" s="195" t="str">
        <f t="shared" si="8"/>
        <v>11Y</v>
      </c>
      <c r="BK20" s="195" t="str">
        <v>EUBSS11 ICPL Curncy</v>
      </c>
      <c r="BL20" s="205">
        <v>6.9</v>
      </c>
      <c r="BM20" s="242"/>
      <c r="BN20" s="197">
        <f t="shared" si="20"/>
        <v>6.9000000000000008E-4</v>
      </c>
      <c r="BO20" s="203">
        <v>11</v>
      </c>
      <c r="BP20" s="195" t="str">
        <f t="shared" si="9"/>
        <v>12Y</v>
      </c>
      <c r="BQ20" s="195" t="str">
        <v>EUBS12 ICPL Curncy</v>
      </c>
      <c r="BR20" s="205">
        <v>-24.375</v>
      </c>
      <c r="BS20" s="242"/>
      <c r="BT20" s="197">
        <f t="shared" si="21"/>
        <v>-2.4375E-3</v>
      </c>
    </row>
    <row r="21" spans="1:72">
      <c r="A21" s="203">
        <v>12</v>
      </c>
      <c r="B21" s="195" t="str">
        <f t="shared" si="0"/>
        <v>6Y</v>
      </c>
      <c r="C21" s="195" t="str">
        <v>EUSWE6 ICPL Curncy</v>
      </c>
      <c r="D21" s="205">
        <v>0.35299999999999998</v>
      </c>
      <c r="E21" s="213"/>
      <c r="F21" s="197">
        <f t="shared" si="10"/>
        <v>3.5299999999999997E-3</v>
      </c>
      <c r="G21" s="203">
        <v>12</v>
      </c>
      <c r="H21" s="195" t="str">
        <f t="shared" si="1"/>
        <v>15Y</v>
      </c>
      <c r="I21" s="195" t="str">
        <v>EOBSVC15 ICPL Curncy</v>
      </c>
      <c r="J21" s="205">
        <v>10.3</v>
      </c>
      <c r="K21" s="242"/>
      <c r="L21" s="197">
        <f t="shared" si="11"/>
        <v>1.0300000000000001E-3</v>
      </c>
      <c r="M21" s="203">
        <v>12</v>
      </c>
      <c r="N21" s="195" t="str">
        <f t="shared" si="2"/>
        <v>15Y</v>
      </c>
      <c r="O21" s="195" t="str">
        <v>EUSW15V3 MHIS Curncy</v>
      </c>
      <c r="P21" s="205">
        <v>1.2484</v>
      </c>
      <c r="Q21" s="213"/>
      <c r="R21" s="197">
        <f t="shared" si="12"/>
        <v>1.2484E-2</v>
      </c>
      <c r="S21" s="203">
        <v>12</v>
      </c>
      <c r="T21" s="195" t="str">
        <f t="shared" si="3"/>
        <v/>
      </c>
      <c r="U21" s="195" t="str">
        <v/>
      </c>
      <c r="V21" s="205" t="str">
        <v/>
      </c>
      <c r="W21" s="213"/>
      <c r="X21" s="197" t="str">
        <f t="shared" si="13"/>
        <v/>
      </c>
      <c r="Y21" s="203">
        <v>12</v>
      </c>
      <c r="Z21" s="195"/>
      <c r="AA21" s="195"/>
      <c r="AB21" s="205"/>
      <c r="AC21" s="213"/>
      <c r="AD21" s="197" t="str">
        <f t="shared" si="14"/>
        <v/>
      </c>
      <c r="AE21" s="203">
        <v>12</v>
      </c>
      <c r="AF21" s="195" t="str">
        <f t="shared" si="4"/>
        <v/>
      </c>
      <c r="AG21" s="195" t="str">
        <v/>
      </c>
      <c r="AH21" s="205" t="str">
        <v/>
      </c>
      <c r="AI21" s="213"/>
      <c r="AJ21" s="197" t="str">
        <f t="shared" si="15"/>
        <v/>
      </c>
      <c r="AK21" s="203">
        <v>12</v>
      </c>
      <c r="AL21" s="198"/>
      <c r="AM21" s="195"/>
      <c r="AN21" s="196"/>
      <c r="AO21" s="254"/>
      <c r="AP21" s="256" t="str">
        <f t="shared" si="16"/>
        <v/>
      </c>
      <c r="AQ21" s="203">
        <v>12</v>
      </c>
      <c r="AR21" s="195" t="str">
        <f t="shared" si="5"/>
        <v>15Y</v>
      </c>
      <c r="AS21" s="195" t="str">
        <v>EUSA15 MHIS Curncy</v>
      </c>
      <c r="AT21" s="205">
        <v>1.3279000000000001</v>
      </c>
      <c r="AU21" s="213"/>
      <c r="AV21" s="197">
        <f t="shared" si="17"/>
        <v>1.3279000000000001E-2</v>
      </c>
      <c r="AW21" s="203">
        <v>12</v>
      </c>
      <c r="AX21" s="195" t="str">
        <f t="shared" si="6"/>
        <v>12Y</v>
      </c>
      <c r="AY21" s="195" t="str">
        <v>EUBSV12 CMPN Curncy</v>
      </c>
      <c r="AZ21" s="205">
        <v>8.2750000000000004</v>
      </c>
      <c r="BA21" s="242"/>
      <c r="BB21" s="197">
        <f t="shared" si="18"/>
        <v>8.275E-4</v>
      </c>
      <c r="BC21" s="203">
        <v>12</v>
      </c>
      <c r="BD21" s="195" t="str">
        <f t="shared" si="7"/>
        <v>20Y</v>
      </c>
      <c r="BE21" s="195" t="str">
        <v>EUBSA20 TRPU Curncy</v>
      </c>
      <c r="BF21" s="205">
        <v>6.4</v>
      </c>
      <c r="BG21" s="242"/>
      <c r="BH21" s="197">
        <f t="shared" si="19"/>
        <v>6.4000000000000005E-4</v>
      </c>
      <c r="BI21" s="203">
        <v>12</v>
      </c>
      <c r="BJ21" s="195" t="str">
        <f t="shared" si="8"/>
        <v>12Y</v>
      </c>
      <c r="BK21" s="195" t="str">
        <v>EUBSS12 ICPL Curncy</v>
      </c>
      <c r="BL21" s="205">
        <v>6.8</v>
      </c>
      <c r="BM21" s="242"/>
      <c r="BN21" s="197">
        <f t="shared" si="20"/>
        <v>6.7999999999999994E-4</v>
      </c>
      <c r="BO21" s="203">
        <v>12</v>
      </c>
      <c r="BP21" s="195" t="str">
        <f t="shared" si="9"/>
        <v>15Y</v>
      </c>
      <c r="BQ21" s="195" t="str">
        <v>EUBS15 ICPL Curncy</v>
      </c>
      <c r="BR21" s="205">
        <v>-21.125</v>
      </c>
      <c r="BS21" s="242"/>
      <c r="BT21" s="197">
        <f t="shared" si="21"/>
        <v>-2.1124999999999998E-3</v>
      </c>
    </row>
    <row r="22" spans="1:72">
      <c r="A22" s="203">
        <v>13</v>
      </c>
      <c r="B22" s="195" t="str">
        <f t="shared" si="0"/>
        <v>7Y</v>
      </c>
      <c r="C22" s="195" t="str">
        <v>EUSWE7 ICPL Curncy</v>
      </c>
      <c r="D22" s="205">
        <v>0.47899999999999998</v>
      </c>
      <c r="E22" s="213"/>
      <c r="F22" s="197">
        <f t="shared" si="10"/>
        <v>4.79E-3</v>
      </c>
      <c r="G22" s="203">
        <v>13</v>
      </c>
      <c r="H22" s="195" t="str">
        <f t="shared" si="1"/>
        <v>20Y</v>
      </c>
      <c r="I22" s="195" t="str">
        <v>EOBSVC20 ICPL Curncy</v>
      </c>
      <c r="J22" s="205">
        <v>10</v>
      </c>
      <c r="K22" s="242"/>
      <c r="L22" s="197">
        <f t="shared" si="11"/>
        <v>1E-3</v>
      </c>
      <c r="M22" s="203">
        <v>13</v>
      </c>
      <c r="N22" s="195" t="str">
        <f t="shared" si="2"/>
        <v>20Y</v>
      </c>
      <c r="O22" s="195" t="str">
        <v>EUSW20V3 MHIS Curncy</v>
      </c>
      <c r="P22" s="205">
        <v>1.4097</v>
      </c>
      <c r="Q22" s="213"/>
      <c r="R22" s="197">
        <f t="shared" si="12"/>
        <v>1.4097E-2</v>
      </c>
      <c r="S22" s="203">
        <v>13</v>
      </c>
      <c r="T22" s="195" t="str">
        <f t="shared" si="3"/>
        <v/>
      </c>
      <c r="U22" s="195" t="str">
        <v/>
      </c>
      <c r="V22" s="205" t="str">
        <v/>
      </c>
      <c r="W22" s="213"/>
      <c r="X22" s="197" t="str">
        <f t="shared" si="13"/>
        <v/>
      </c>
      <c r="Y22" s="203">
        <v>13</v>
      </c>
      <c r="Z22" s="195"/>
      <c r="AA22" s="195"/>
      <c r="AB22" s="205"/>
      <c r="AC22" s="213"/>
      <c r="AD22" s="197" t="str">
        <f t="shared" si="14"/>
        <v/>
      </c>
      <c r="AE22" s="203">
        <v>13</v>
      </c>
      <c r="AF22" s="195" t="str">
        <f t="shared" si="4"/>
        <v/>
      </c>
      <c r="AG22" s="195" t="str">
        <v/>
      </c>
      <c r="AH22" s="205" t="str">
        <v/>
      </c>
      <c r="AI22" s="213"/>
      <c r="AJ22" s="197" t="str">
        <f t="shared" si="15"/>
        <v/>
      </c>
      <c r="AK22" s="203">
        <v>13</v>
      </c>
      <c r="AL22" s="198"/>
      <c r="AM22" s="195"/>
      <c r="AN22" s="196"/>
      <c r="AO22" s="254"/>
      <c r="AP22" s="256" t="str">
        <f t="shared" si="16"/>
        <v/>
      </c>
      <c r="AQ22" s="203">
        <v>13</v>
      </c>
      <c r="AR22" s="195" t="str">
        <f t="shared" si="5"/>
        <v>20Y</v>
      </c>
      <c r="AS22" s="195" t="str">
        <v>EUSA20 MHIS Curncy</v>
      </c>
      <c r="AT22" s="205">
        <v>1.4762</v>
      </c>
      <c r="AU22" s="213"/>
      <c r="AV22" s="197">
        <f t="shared" si="17"/>
        <v>1.4761999999999999E-2</v>
      </c>
      <c r="AW22" s="203">
        <v>13</v>
      </c>
      <c r="AX22" s="195" t="str">
        <f t="shared" si="6"/>
        <v>15Y</v>
      </c>
      <c r="AY22" s="195" t="str">
        <v>EUBSV15 CMPN Curncy</v>
      </c>
      <c r="AZ22" s="205">
        <v>7.7249999999999996</v>
      </c>
      <c r="BA22" s="242"/>
      <c r="BB22" s="197">
        <f t="shared" si="18"/>
        <v>7.7249999999999997E-4</v>
      </c>
      <c r="BC22" s="203">
        <v>13</v>
      </c>
      <c r="BD22" s="195" t="str">
        <f t="shared" si="7"/>
        <v>25Y</v>
      </c>
      <c r="BE22" s="195" t="str">
        <v>EUBSA25 TRPU Curncy</v>
      </c>
      <c r="BF22" s="205">
        <v>5.9</v>
      </c>
      <c r="BG22" s="242"/>
      <c r="BH22" s="197">
        <f t="shared" si="19"/>
        <v>5.9000000000000003E-4</v>
      </c>
      <c r="BI22" s="203">
        <v>13</v>
      </c>
      <c r="BJ22" s="195" t="str">
        <f t="shared" si="8"/>
        <v>15Y</v>
      </c>
      <c r="BK22" s="195" t="str">
        <v>EUBSS15 ICPL Curncy</v>
      </c>
      <c r="BL22" s="205">
        <v>6.5</v>
      </c>
      <c r="BM22" s="242"/>
      <c r="BN22" s="197">
        <f t="shared" si="20"/>
        <v>6.4999999999999997E-4</v>
      </c>
      <c r="BO22" s="203">
        <v>13</v>
      </c>
      <c r="BP22" s="195" t="str">
        <f t="shared" si="9"/>
        <v>20Y</v>
      </c>
      <c r="BQ22" s="195" t="str">
        <v>EUBS20 ICPL Curncy</v>
      </c>
      <c r="BR22" s="205">
        <v>-14.75</v>
      </c>
      <c r="BS22" s="242"/>
      <c r="BT22" s="197">
        <f t="shared" si="21"/>
        <v>-1.475E-3</v>
      </c>
    </row>
    <row r="23" spans="1:72">
      <c r="A23" s="203">
        <v>14</v>
      </c>
      <c r="B23" s="195" t="str">
        <f t="shared" si="0"/>
        <v>8Y</v>
      </c>
      <c r="C23" s="195" t="str">
        <v>EUSWE8 ICPL Curncy</v>
      </c>
      <c r="D23" s="205">
        <v>0.59099999999999997</v>
      </c>
      <c r="E23" s="213"/>
      <c r="F23" s="197">
        <f t="shared" si="10"/>
        <v>5.9099999999999995E-3</v>
      </c>
      <c r="G23" s="203">
        <v>14</v>
      </c>
      <c r="H23" s="195" t="str">
        <f t="shared" si="1"/>
        <v>25Y</v>
      </c>
      <c r="I23" s="195" t="str">
        <v>EOBSVC25 ICPL Curncy</v>
      </c>
      <c r="J23" s="205">
        <v>9.6</v>
      </c>
      <c r="K23" s="242"/>
      <c r="L23" s="197">
        <f t="shared" si="11"/>
        <v>9.5999999999999992E-4</v>
      </c>
      <c r="M23" s="203">
        <v>14</v>
      </c>
      <c r="N23" s="195" t="str">
        <f t="shared" si="2"/>
        <v>25Y</v>
      </c>
      <c r="O23" s="195" t="str">
        <v>EUSW25V3 MHIS Curncy</v>
      </c>
      <c r="P23" s="205">
        <v>1.4612000000000001</v>
      </c>
      <c r="Q23" s="213"/>
      <c r="R23" s="197">
        <f t="shared" si="12"/>
        <v>1.4612E-2</v>
      </c>
      <c r="S23" s="203">
        <v>14</v>
      </c>
      <c r="T23" s="195" t="str">
        <f t="shared" si="3"/>
        <v/>
      </c>
      <c r="U23" s="195" t="str">
        <v/>
      </c>
      <c r="V23" s="205" t="str">
        <v/>
      </c>
      <c r="W23" s="213"/>
      <c r="X23" s="197" t="str">
        <f t="shared" si="13"/>
        <v/>
      </c>
      <c r="Y23" s="203">
        <v>14</v>
      </c>
      <c r="Z23" s="195"/>
      <c r="AA23" s="195"/>
      <c r="AB23" s="205"/>
      <c r="AC23" s="213"/>
      <c r="AD23" s="197" t="str">
        <f t="shared" si="14"/>
        <v/>
      </c>
      <c r="AE23" s="203">
        <v>14</v>
      </c>
      <c r="AF23" s="195" t="str">
        <f t="shared" si="4"/>
        <v/>
      </c>
      <c r="AG23" s="195" t="str">
        <v/>
      </c>
      <c r="AH23" s="205" t="str">
        <v/>
      </c>
      <c r="AI23" s="213"/>
      <c r="AJ23" s="197" t="str">
        <f t="shared" si="15"/>
        <v/>
      </c>
      <c r="AK23" s="203">
        <v>14</v>
      </c>
      <c r="AL23" s="198"/>
      <c r="AM23" s="195"/>
      <c r="AN23" s="196"/>
      <c r="AO23" s="254"/>
      <c r="AP23" s="256" t="str">
        <f t="shared" si="16"/>
        <v/>
      </c>
      <c r="AQ23" s="203">
        <v>14</v>
      </c>
      <c r="AR23" s="195" t="str">
        <f t="shared" si="5"/>
        <v>25Y</v>
      </c>
      <c r="AS23" s="195" t="str">
        <v>EUSA25 MHIS Curncy</v>
      </c>
      <c r="AT23" s="205">
        <v>1.5182</v>
      </c>
      <c r="AU23" s="213"/>
      <c r="AV23" s="197">
        <f t="shared" si="17"/>
        <v>1.5181999999999999E-2</v>
      </c>
      <c r="AW23" s="203">
        <v>14</v>
      </c>
      <c r="AX23" s="195" t="str">
        <f t="shared" si="6"/>
        <v>20Y</v>
      </c>
      <c r="AY23" s="195" t="str">
        <v>EUBSV20 CMPN Curncy</v>
      </c>
      <c r="AZ23" s="205">
        <v>6.5750000000000002</v>
      </c>
      <c r="BA23" s="242"/>
      <c r="BB23" s="197">
        <f t="shared" si="18"/>
        <v>6.5749999999999999E-4</v>
      </c>
      <c r="BC23" s="203">
        <v>14</v>
      </c>
      <c r="BD23" s="195" t="str">
        <f t="shared" si="7"/>
        <v>30Y</v>
      </c>
      <c r="BE23" s="195" t="str">
        <v>EUBSA30 TRPU Curncy</v>
      </c>
      <c r="BF23" s="205">
        <v>5.45</v>
      </c>
      <c r="BG23" s="242"/>
      <c r="BH23" s="197">
        <f t="shared" si="19"/>
        <v>5.4500000000000002E-4</v>
      </c>
      <c r="BI23" s="203">
        <v>14</v>
      </c>
      <c r="BJ23" s="195" t="str">
        <f t="shared" si="8"/>
        <v>20Y</v>
      </c>
      <c r="BK23" s="195" t="str">
        <v>EUBSS20 ICPL Curncy</v>
      </c>
      <c r="BL23" s="205">
        <v>6</v>
      </c>
      <c r="BM23" s="242"/>
      <c r="BN23" s="197">
        <f t="shared" si="20"/>
        <v>5.9999999999999995E-4</v>
      </c>
      <c r="BO23" s="203">
        <v>14</v>
      </c>
      <c r="BP23" s="195" t="str">
        <f t="shared" si="9"/>
        <v>25Y</v>
      </c>
      <c r="BQ23" s="195" t="str">
        <v>EUBS25 ICPL Curncy</v>
      </c>
      <c r="BR23" s="205">
        <v>-10</v>
      </c>
      <c r="BS23" s="242"/>
      <c r="BT23" s="197">
        <f t="shared" si="21"/>
        <v>-1E-3</v>
      </c>
    </row>
    <row r="24" spans="1:72">
      <c r="A24" s="203">
        <v>15</v>
      </c>
      <c r="B24" s="195" t="str">
        <f t="shared" si="0"/>
        <v>9Y</v>
      </c>
      <c r="C24" s="195" t="str">
        <v>EUSWE9 ICPL Curncy</v>
      </c>
      <c r="D24" s="205">
        <v>0.69399999999999995</v>
      </c>
      <c r="E24" s="213"/>
      <c r="F24" s="197">
        <f t="shared" si="10"/>
        <v>6.9399999999999991E-3</v>
      </c>
      <c r="G24" s="203">
        <v>15</v>
      </c>
      <c r="H24" s="195" t="str">
        <f t="shared" si="1"/>
        <v>30Y</v>
      </c>
      <c r="I24" s="195" t="str">
        <v>EOBSVC30 ICPL Curncy</v>
      </c>
      <c r="J24" s="205">
        <v>9.3000000000000007</v>
      </c>
      <c r="K24" s="242"/>
      <c r="L24" s="197">
        <f t="shared" si="11"/>
        <v>9.3000000000000005E-4</v>
      </c>
      <c r="M24" s="203">
        <v>15</v>
      </c>
      <c r="N24" s="195" t="str">
        <f t="shared" si="2"/>
        <v>30Y</v>
      </c>
      <c r="O24" s="195" t="str">
        <v>EUSW30V3 MHIS Curncy</v>
      </c>
      <c r="P24" s="205">
        <v>1.4742</v>
      </c>
      <c r="Q24" s="213"/>
      <c r="R24" s="197">
        <f t="shared" si="12"/>
        <v>1.4742E-2</v>
      </c>
      <c r="S24" s="203">
        <v>15</v>
      </c>
      <c r="T24" s="195" t="str">
        <f t="shared" si="3"/>
        <v/>
      </c>
      <c r="U24" s="195" t="str">
        <v/>
      </c>
      <c r="V24" s="205" t="str">
        <v/>
      </c>
      <c r="W24" s="213"/>
      <c r="X24" s="197" t="str">
        <f t="shared" si="13"/>
        <v/>
      </c>
      <c r="Y24" s="203">
        <v>15</v>
      </c>
      <c r="Z24" s="195"/>
      <c r="AA24" s="195"/>
      <c r="AB24" s="205"/>
      <c r="AC24" s="213"/>
      <c r="AD24" s="197" t="str">
        <f t="shared" si="14"/>
        <v/>
      </c>
      <c r="AE24" s="203">
        <v>15</v>
      </c>
      <c r="AF24" s="195" t="str">
        <f t="shared" si="4"/>
        <v/>
      </c>
      <c r="AG24" s="195" t="str">
        <v/>
      </c>
      <c r="AH24" s="205" t="str">
        <v/>
      </c>
      <c r="AI24" s="213"/>
      <c r="AJ24" s="197" t="str">
        <f t="shared" si="15"/>
        <v/>
      </c>
      <c r="AK24" s="203">
        <v>15</v>
      </c>
      <c r="AL24" s="198"/>
      <c r="AM24" s="195"/>
      <c r="AN24" s="196"/>
      <c r="AO24" s="254"/>
      <c r="AP24" s="256" t="str">
        <f t="shared" si="16"/>
        <v/>
      </c>
      <c r="AQ24" s="203">
        <v>15</v>
      </c>
      <c r="AR24" s="195" t="str">
        <f t="shared" si="5"/>
        <v>30Y</v>
      </c>
      <c r="AS24" s="195" t="str">
        <v>EUSA30 MHIS Curncy</v>
      </c>
      <c r="AT24" s="205">
        <v>1.5242</v>
      </c>
      <c r="AU24" s="213"/>
      <c r="AV24" s="197">
        <f t="shared" si="17"/>
        <v>1.5242E-2</v>
      </c>
      <c r="AW24" s="203">
        <v>15</v>
      </c>
      <c r="AX24" s="195" t="str">
        <f t="shared" si="6"/>
        <v>25Y</v>
      </c>
      <c r="AY24" s="195" t="str">
        <v>EUBSV25 CMPN Curncy</v>
      </c>
      <c r="AZ24" s="205">
        <v>5.5250000000000004</v>
      </c>
      <c r="BA24" s="242"/>
      <c r="BB24" s="197">
        <f t="shared" si="18"/>
        <v>5.5250000000000004E-4</v>
      </c>
      <c r="BC24" s="203">
        <v>15</v>
      </c>
      <c r="BD24" s="195" t="str">
        <f t="shared" si="7"/>
        <v/>
      </c>
      <c r="BE24" s="195" t="str">
        <v/>
      </c>
      <c r="BF24" s="205" t="str">
        <v/>
      </c>
      <c r="BG24" s="242"/>
      <c r="BH24" s="197" t="str">
        <f t="shared" si="19"/>
        <v/>
      </c>
      <c r="BI24" s="203">
        <v>15</v>
      </c>
      <c r="BJ24" s="195" t="str">
        <f t="shared" si="8"/>
        <v>25Y</v>
      </c>
      <c r="BK24" s="195" t="str">
        <v>EUBSS25 ICPL Curncy</v>
      </c>
      <c r="BL24" s="205">
        <v>5.2</v>
      </c>
      <c r="BM24" s="242"/>
      <c r="BN24" s="197">
        <f t="shared" si="20"/>
        <v>5.2000000000000006E-4</v>
      </c>
      <c r="BO24" s="203">
        <v>15</v>
      </c>
      <c r="BP24" s="195" t="str">
        <f t="shared" si="9"/>
        <v>30Y</v>
      </c>
      <c r="BQ24" s="195" t="str">
        <v>EUBS30 ICPL Curncy</v>
      </c>
      <c r="BR24" s="205">
        <v>-6.875</v>
      </c>
      <c r="BS24" s="242"/>
      <c r="BT24" s="197">
        <f t="shared" si="21"/>
        <v>-6.8749999999999996E-4</v>
      </c>
    </row>
    <row r="25" spans="1:72">
      <c r="A25" s="203">
        <v>16</v>
      </c>
      <c r="B25" s="195" t="str">
        <f t="shared" si="0"/>
        <v>10Y</v>
      </c>
      <c r="C25" s="195" t="str">
        <v>EUSWE10 ICPL Curncy</v>
      </c>
      <c r="D25" s="205">
        <v>0.78900000000000003</v>
      </c>
      <c r="E25" s="213"/>
      <c r="F25" s="197">
        <f t="shared" si="10"/>
        <v>7.8900000000000012E-3</v>
      </c>
      <c r="G25" s="203">
        <v>16</v>
      </c>
      <c r="H25" s="195" t="str">
        <f t="shared" si="1"/>
        <v>40Y</v>
      </c>
      <c r="I25" s="195" t="str">
        <v>EOBSVC40 ICPL Curncy</v>
      </c>
      <c r="J25" s="205">
        <v>8.6</v>
      </c>
      <c r="K25" s="242"/>
      <c r="L25" s="197">
        <f t="shared" si="11"/>
        <v>8.5999999999999998E-4</v>
      </c>
      <c r="M25" s="203">
        <v>16</v>
      </c>
      <c r="N25" s="195" t="str">
        <f t="shared" si="2"/>
        <v>40Y</v>
      </c>
      <c r="O25" s="195" t="str">
        <v>EUSW40V3 MHIS Curncy</v>
      </c>
      <c r="P25" s="205">
        <v>1.4681999999999999</v>
      </c>
      <c r="Q25" s="213"/>
      <c r="R25" s="197">
        <f t="shared" si="12"/>
        <v>1.4681999999999999E-2</v>
      </c>
      <c r="S25" s="203">
        <v>16</v>
      </c>
      <c r="T25" s="195" t="str">
        <f t="shared" si="3"/>
        <v/>
      </c>
      <c r="U25" s="195" t="str">
        <v/>
      </c>
      <c r="V25" s="205" t="str">
        <v/>
      </c>
      <c r="W25" s="213"/>
      <c r="X25" s="197" t="str">
        <f t="shared" si="13"/>
        <v/>
      </c>
      <c r="Y25" s="203">
        <v>16</v>
      </c>
      <c r="Z25" s="195"/>
      <c r="AA25" s="195"/>
      <c r="AB25" s="205"/>
      <c r="AC25" s="213"/>
      <c r="AD25" s="197" t="str">
        <f t="shared" si="14"/>
        <v/>
      </c>
      <c r="AE25" s="203">
        <v>16</v>
      </c>
      <c r="AF25" s="195" t="str">
        <f t="shared" si="4"/>
        <v/>
      </c>
      <c r="AG25" s="195" t="str">
        <v/>
      </c>
      <c r="AH25" s="205" t="str">
        <v/>
      </c>
      <c r="AI25" s="213"/>
      <c r="AJ25" s="197" t="str">
        <f t="shared" si="15"/>
        <v/>
      </c>
      <c r="AK25" s="203">
        <v>16</v>
      </c>
      <c r="AL25" s="198"/>
      <c r="AM25" s="195"/>
      <c r="AN25" s="196"/>
      <c r="AO25" s="254"/>
      <c r="AP25" s="256" t="str">
        <f t="shared" si="16"/>
        <v/>
      </c>
      <c r="AQ25" s="203">
        <v>16</v>
      </c>
      <c r="AR25" s="195" t="str">
        <f t="shared" si="5"/>
        <v>40Y</v>
      </c>
      <c r="AS25" s="195" t="str">
        <v>EUSA40 MHIS Curncy</v>
      </c>
      <c r="AT25" s="205">
        <v>1.5092000000000001</v>
      </c>
      <c r="AU25" s="213"/>
      <c r="AV25" s="197">
        <f t="shared" si="17"/>
        <v>1.5092000000000001E-2</v>
      </c>
      <c r="AW25" s="203">
        <v>16</v>
      </c>
      <c r="AX25" s="195" t="str">
        <f t="shared" si="6"/>
        <v>30Y</v>
      </c>
      <c r="AY25" s="195" t="str">
        <v>EUBSV30 CMPN Curncy</v>
      </c>
      <c r="AZ25" s="205">
        <v>4.875</v>
      </c>
      <c r="BA25" s="242"/>
      <c r="BB25" s="197">
        <f t="shared" si="18"/>
        <v>4.8749999999999998E-4</v>
      </c>
      <c r="BC25" s="203">
        <v>16</v>
      </c>
      <c r="BD25" s="195" t="str">
        <f t="shared" si="7"/>
        <v/>
      </c>
      <c r="BE25" s="195" t="str">
        <v/>
      </c>
      <c r="BF25" s="205" t="str">
        <v/>
      </c>
      <c r="BG25" s="242"/>
      <c r="BH25" s="197" t="str">
        <f t="shared" si="19"/>
        <v/>
      </c>
      <c r="BI25" s="203">
        <v>16</v>
      </c>
      <c r="BJ25" s="195" t="str">
        <f t="shared" si="8"/>
        <v>30Y</v>
      </c>
      <c r="BK25" s="195" t="str">
        <v>EUBSS30 ICPL Curncy</v>
      </c>
      <c r="BL25" s="205">
        <v>4.5999999999999996</v>
      </c>
      <c r="BM25" s="242"/>
      <c r="BN25" s="197">
        <f t="shared" si="20"/>
        <v>4.5999999999999996E-4</v>
      </c>
      <c r="BO25" s="203">
        <v>16</v>
      </c>
      <c r="BP25" s="195" t="str">
        <f t="shared" si="9"/>
        <v/>
      </c>
      <c r="BQ25" s="195" t="str">
        <v/>
      </c>
      <c r="BR25" s="205" t="str">
        <v/>
      </c>
      <c r="BS25" s="242"/>
      <c r="BT25" s="197" t="str">
        <f t="shared" si="21"/>
        <v/>
      </c>
    </row>
    <row r="26" spans="1:72">
      <c r="A26" s="203">
        <v>17</v>
      </c>
      <c r="B26" s="195" t="str">
        <f t="shared" si="0"/>
        <v>11Y</v>
      </c>
      <c r="C26" s="195" t="str">
        <v>EUSWE11 ICPL Curncy</v>
      </c>
      <c r="D26" s="205">
        <v>0.874</v>
      </c>
      <c r="E26" s="213"/>
      <c r="F26" s="197">
        <f t="shared" si="10"/>
        <v>8.7399999999999995E-3</v>
      </c>
      <c r="G26" s="203">
        <v>17</v>
      </c>
      <c r="H26" s="195" t="str">
        <f t="shared" si="1"/>
        <v>50Y</v>
      </c>
      <c r="I26" s="195" t="str">
        <v>EOBSVC50 ICPL Curncy</v>
      </c>
      <c r="J26" s="205">
        <v>7.9</v>
      </c>
      <c r="K26" s="242"/>
      <c r="L26" s="197">
        <f t="shared" si="11"/>
        <v>7.9000000000000001E-4</v>
      </c>
      <c r="M26" s="203">
        <v>17</v>
      </c>
      <c r="N26" s="195" t="str">
        <f t="shared" si="2"/>
        <v>50Y</v>
      </c>
      <c r="O26" s="195" t="str">
        <v>EUSW50V3 MHIS Curncy</v>
      </c>
      <c r="P26" s="205">
        <v>1.4332</v>
      </c>
      <c r="Q26" s="213"/>
      <c r="R26" s="197">
        <f t="shared" si="12"/>
        <v>1.4332000000000001E-2</v>
      </c>
      <c r="S26" s="203">
        <v>17</v>
      </c>
      <c r="T26" s="195" t="str">
        <f t="shared" si="3"/>
        <v/>
      </c>
      <c r="U26" s="195" t="str">
        <v/>
      </c>
      <c r="V26" s="205" t="str">
        <v/>
      </c>
      <c r="W26" s="213"/>
      <c r="X26" s="197" t="str">
        <f t="shared" si="13"/>
        <v/>
      </c>
      <c r="Y26" s="203">
        <v>17</v>
      </c>
      <c r="Z26" s="195"/>
      <c r="AA26" s="195"/>
      <c r="AB26" s="205"/>
      <c r="AC26" s="213"/>
      <c r="AD26" s="197" t="str">
        <f t="shared" si="14"/>
        <v/>
      </c>
      <c r="AE26" s="203">
        <v>17</v>
      </c>
      <c r="AF26" s="195" t="str">
        <f t="shared" si="4"/>
        <v/>
      </c>
      <c r="AG26" s="195" t="str">
        <v/>
      </c>
      <c r="AH26" s="205" t="str">
        <v/>
      </c>
      <c r="AI26" s="213"/>
      <c r="AJ26" s="197" t="str">
        <f t="shared" si="15"/>
        <v/>
      </c>
      <c r="AK26" s="203">
        <v>17</v>
      </c>
      <c r="AL26" s="198"/>
      <c r="AM26" s="195"/>
      <c r="AN26" s="196"/>
      <c r="AO26" s="254"/>
      <c r="AP26" s="256" t="str">
        <f t="shared" si="16"/>
        <v/>
      </c>
      <c r="AQ26" s="203">
        <v>17</v>
      </c>
      <c r="AR26" s="195" t="str">
        <f t="shared" si="5"/>
        <v>50Y</v>
      </c>
      <c r="AS26" s="195" t="str">
        <v>EUSA50 MHIS Curncy</v>
      </c>
      <c r="AT26" s="205">
        <v>1.4681999999999999</v>
      </c>
      <c r="AU26" s="213"/>
      <c r="AV26" s="197">
        <f t="shared" si="17"/>
        <v>1.4681999999999999E-2</v>
      </c>
      <c r="AW26" s="203">
        <v>17</v>
      </c>
      <c r="AX26" s="195" t="str">
        <f t="shared" si="6"/>
        <v/>
      </c>
      <c r="AY26" s="195" t="str">
        <v/>
      </c>
      <c r="AZ26" s="205" t="str">
        <v/>
      </c>
      <c r="BA26" s="242"/>
      <c r="BB26" s="197" t="str">
        <f t="shared" si="18"/>
        <v/>
      </c>
      <c r="BC26" s="203">
        <v>17</v>
      </c>
      <c r="BD26" s="195" t="str">
        <f t="shared" si="7"/>
        <v/>
      </c>
      <c r="BE26" s="195" t="str">
        <v/>
      </c>
      <c r="BF26" s="205" t="str">
        <v/>
      </c>
      <c r="BG26" s="242"/>
      <c r="BH26" s="197" t="str">
        <f t="shared" si="19"/>
        <v/>
      </c>
      <c r="BI26" s="203">
        <v>17</v>
      </c>
      <c r="BJ26" s="195" t="str">
        <f t="shared" si="8"/>
        <v/>
      </c>
      <c r="BK26" s="195" t="str">
        <v/>
      </c>
      <c r="BL26" s="205" t="str">
        <v/>
      </c>
      <c r="BM26" s="242"/>
      <c r="BN26" s="197" t="str">
        <f t="shared" si="20"/>
        <v/>
      </c>
      <c r="BO26" s="203">
        <v>17</v>
      </c>
      <c r="BP26" s="195" t="str">
        <f t="shared" si="9"/>
        <v/>
      </c>
      <c r="BQ26" s="195" t="str">
        <v/>
      </c>
      <c r="BR26" s="205" t="str">
        <v/>
      </c>
      <c r="BS26" s="242"/>
      <c r="BT26" s="197" t="str">
        <f t="shared" si="21"/>
        <v/>
      </c>
    </row>
    <row r="27" spans="1:72">
      <c r="A27" s="203">
        <v>18</v>
      </c>
      <c r="B27" s="195" t="str">
        <f t="shared" si="0"/>
        <v>12Y</v>
      </c>
      <c r="C27" s="195" t="str">
        <v>EUSWE12 ICPL Curncy</v>
      </c>
      <c r="D27" s="205">
        <v>0.94899999999999995</v>
      </c>
      <c r="E27" s="213"/>
      <c r="F27" s="197">
        <f>IF(D27="","",D27/100+E27+F$7)</f>
        <v>9.4900000000000002E-3</v>
      </c>
      <c r="G27" s="203">
        <v>18</v>
      </c>
      <c r="H27" s="195" t="str">
        <f t="shared" si="1"/>
        <v/>
      </c>
      <c r="I27" s="195" t="str">
        <v/>
      </c>
      <c r="J27" s="205" t="str">
        <v/>
      </c>
      <c r="K27" s="242"/>
      <c r="L27" s="197" t="str">
        <f t="shared" si="11"/>
        <v/>
      </c>
      <c r="M27" s="203">
        <v>18</v>
      </c>
      <c r="N27" s="195" t="str">
        <f t="shared" si="2"/>
        <v/>
      </c>
      <c r="O27" s="195" t="str">
        <v/>
      </c>
      <c r="P27" s="205" t="str">
        <v/>
      </c>
      <c r="Q27" s="213"/>
      <c r="R27" s="197" t="str">
        <f t="shared" si="12"/>
        <v/>
      </c>
      <c r="S27" s="203">
        <v>18</v>
      </c>
      <c r="T27" s="195" t="str">
        <f t="shared" si="3"/>
        <v/>
      </c>
      <c r="U27" s="195" t="str">
        <v/>
      </c>
      <c r="V27" s="205" t="str">
        <v/>
      </c>
      <c r="W27" s="213"/>
      <c r="X27" s="197" t="str">
        <f t="shared" si="13"/>
        <v/>
      </c>
      <c r="Y27" s="203">
        <v>18</v>
      </c>
      <c r="Z27" s="195"/>
      <c r="AA27" s="195"/>
      <c r="AB27" s="205"/>
      <c r="AC27" s="213"/>
      <c r="AD27" s="197" t="str">
        <f t="shared" si="14"/>
        <v/>
      </c>
      <c r="AE27" s="203">
        <v>18</v>
      </c>
      <c r="AF27" s="195" t="str">
        <f t="shared" si="4"/>
        <v/>
      </c>
      <c r="AG27" s="195" t="str">
        <v/>
      </c>
      <c r="AH27" s="205" t="str">
        <v/>
      </c>
      <c r="AI27" s="213"/>
      <c r="AJ27" s="197" t="str">
        <f t="shared" si="15"/>
        <v/>
      </c>
      <c r="AK27" s="203">
        <v>18</v>
      </c>
      <c r="AL27" s="198"/>
      <c r="AM27" s="195"/>
      <c r="AN27" s="196"/>
      <c r="AO27" s="254"/>
      <c r="AP27" s="256" t="str">
        <f t="shared" si="16"/>
        <v/>
      </c>
      <c r="AQ27" s="203">
        <v>18</v>
      </c>
      <c r="AR27" s="195" t="str">
        <f t="shared" si="5"/>
        <v/>
      </c>
      <c r="AS27" s="195" t="str">
        <v/>
      </c>
      <c r="AT27" s="205" t="str">
        <v/>
      </c>
      <c r="AU27" s="213"/>
      <c r="AV27" s="197" t="str">
        <f t="shared" si="17"/>
        <v/>
      </c>
      <c r="AW27" s="203">
        <v>18</v>
      </c>
      <c r="AX27" s="195" t="str">
        <f t="shared" si="6"/>
        <v/>
      </c>
      <c r="AY27" s="195" t="str">
        <v/>
      </c>
      <c r="AZ27" s="205" t="str">
        <v/>
      </c>
      <c r="BA27" s="242"/>
      <c r="BB27" s="197" t="str">
        <f t="shared" si="18"/>
        <v/>
      </c>
      <c r="BC27" s="203">
        <v>18</v>
      </c>
      <c r="BD27" s="195" t="str">
        <f t="shared" si="7"/>
        <v/>
      </c>
      <c r="BE27" s="195" t="str">
        <v/>
      </c>
      <c r="BF27" s="205" t="str">
        <v/>
      </c>
      <c r="BG27" s="242"/>
      <c r="BH27" s="197" t="str">
        <f t="shared" si="19"/>
        <v/>
      </c>
      <c r="BI27" s="203">
        <v>18</v>
      </c>
      <c r="BJ27" s="195" t="str">
        <f t="shared" si="8"/>
        <v/>
      </c>
      <c r="BK27" s="195" t="str">
        <v/>
      </c>
      <c r="BL27" s="205" t="str">
        <v/>
      </c>
      <c r="BM27" s="242"/>
      <c r="BN27" s="197" t="str">
        <f t="shared" si="20"/>
        <v/>
      </c>
      <c r="BO27" s="203">
        <v>18</v>
      </c>
      <c r="BP27" s="195" t="str">
        <f t="shared" si="9"/>
        <v/>
      </c>
      <c r="BQ27" s="195" t="str">
        <v/>
      </c>
      <c r="BR27" s="205" t="str">
        <v/>
      </c>
      <c r="BS27" s="242"/>
      <c r="BT27" s="197" t="str">
        <f t="shared" si="21"/>
        <v/>
      </c>
    </row>
    <row r="28" spans="1:72">
      <c r="A28" s="203">
        <v>19</v>
      </c>
      <c r="B28" s="195" t="str">
        <f t="shared" si="0"/>
        <v>15Y</v>
      </c>
      <c r="C28" s="195" t="str">
        <v>EUSWE15 ICPL Curncy</v>
      </c>
      <c r="D28" s="205">
        <v>1.125</v>
      </c>
      <c r="E28" s="213"/>
      <c r="F28" s="197">
        <f t="shared" si="10"/>
        <v>1.125E-2</v>
      </c>
      <c r="G28" s="203">
        <v>19</v>
      </c>
      <c r="H28" s="195" t="str">
        <f t="shared" si="1"/>
        <v/>
      </c>
      <c r="I28" s="195" t="str">
        <v/>
      </c>
      <c r="J28" s="205" t="str">
        <v/>
      </c>
      <c r="K28" s="242"/>
      <c r="L28" s="197" t="str">
        <f t="shared" si="11"/>
        <v/>
      </c>
      <c r="M28" s="203">
        <v>19</v>
      </c>
      <c r="N28" s="195" t="str">
        <f t="shared" si="2"/>
        <v/>
      </c>
      <c r="O28" s="195" t="str">
        <v/>
      </c>
      <c r="P28" s="205" t="str">
        <v/>
      </c>
      <c r="Q28" s="213"/>
      <c r="R28" s="197" t="str">
        <f t="shared" si="12"/>
        <v/>
      </c>
      <c r="S28" s="203">
        <v>19</v>
      </c>
      <c r="T28" s="195" t="str">
        <f t="shared" si="3"/>
        <v/>
      </c>
      <c r="U28" s="195" t="str">
        <v/>
      </c>
      <c r="V28" s="205" t="str">
        <v/>
      </c>
      <c r="W28" s="213"/>
      <c r="X28" s="197" t="str">
        <f t="shared" si="13"/>
        <v/>
      </c>
      <c r="Y28" s="203">
        <v>19</v>
      </c>
      <c r="Z28" s="195"/>
      <c r="AA28" s="195"/>
      <c r="AB28" s="205"/>
      <c r="AC28" s="213"/>
      <c r="AD28" s="197" t="str">
        <f t="shared" si="14"/>
        <v/>
      </c>
      <c r="AE28" s="203">
        <v>19</v>
      </c>
      <c r="AF28" s="195" t="str">
        <f t="shared" si="4"/>
        <v/>
      </c>
      <c r="AG28" s="195" t="str">
        <v/>
      </c>
      <c r="AH28" s="205" t="str">
        <v/>
      </c>
      <c r="AI28" s="213"/>
      <c r="AJ28" s="197" t="str">
        <f t="shared" si="15"/>
        <v/>
      </c>
      <c r="AK28" s="203">
        <v>19</v>
      </c>
      <c r="AL28" s="198"/>
      <c r="AM28" s="195"/>
      <c r="AN28" s="196"/>
      <c r="AO28" s="254"/>
      <c r="AP28" s="256" t="str">
        <f t="shared" si="16"/>
        <v/>
      </c>
      <c r="AQ28" s="203">
        <v>19</v>
      </c>
      <c r="AR28" s="195" t="str">
        <f t="shared" si="5"/>
        <v/>
      </c>
      <c r="AS28" s="195" t="str">
        <v/>
      </c>
      <c r="AT28" s="205" t="str">
        <v/>
      </c>
      <c r="AU28" s="213"/>
      <c r="AV28" s="197" t="str">
        <f t="shared" si="17"/>
        <v/>
      </c>
      <c r="AW28" s="203">
        <v>19</v>
      </c>
      <c r="AX28" s="195" t="str">
        <f t="shared" si="6"/>
        <v/>
      </c>
      <c r="AY28" s="195" t="str">
        <v/>
      </c>
      <c r="AZ28" s="205" t="str">
        <v/>
      </c>
      <c r="BA28" s="242"/>
      <c r="BB28" s="197" t="str">
        <f t="shared" si="18"/>
        <v/>
      </c>
      <c r="BC28" s="203">
        <v>19</v>
      </c>
      <c r="BD28" s="195" t="str">
        <f t="shared" si="7"/>
        <v/>
      </c>
      <c r="BE28" s="195" t="str">
        <v/>
      </c>
      <c r="BF28" s="205" t="str">
        <v/>
      </c>
      <c r="BG28" s="242"/>
      <c r="BH28" s="197" t="str">
        <f t="shared" si="19"/>
        <v/>
      </c>
      <c r="BI28" s="203">
        <v>19</v>
      </c>
      <c r="BJ28" s="195" t="str">
        <f t="shared" si="8"/>
        <v/>
      </c>
      <c r="BK28" s="195" t="str">
        <v/>
      </c>
      <c r="BL28" s="205" t="str">
        <v/>
      </c>
      <c r="BM28" s="242"/>
      <c r="BN28" s="197" t="str">
        <f t="shared" si="20"/>
        <v/>
      </c>
      <c r="BO28" s="203">
        <v>19</v>
      </c>
      <c r="BP28" s="195" t="str">
        <f t="shared" si="9"/>
        <v/>
      </c>
      <c r="BQ28" s="195" t="str">
        <v/>
      </c>
      <c r="BR28" s="205" t="str">
        <v/>
      </c>
      <c r="BS28" s="242"/>
      <c r="BT28" s="197" t="str">
        <f t="shared" si="21"/>
        <v/>
      </c>
    </row>
    <row r="29" spans="1:72">
      <c r="A29" s="203">
        <v>20</v>
      </c>
      <c r="B29" s="195" t="str">
        <f t="shared" si="0"/>
        <v>20Y</v>
      </c>
      <c r="C29" s="195" t="str">
        <v>EUSWE20 ICPL Curncy</v>
      </c>
      <c r="D29" s="205">
        <v>1.2869999999999999</v>
      </c>
      <c r="E29" s="213"/>
      <c r="F29" s="197">
        <f t="shared" si="10"/>
        <v>1.2869999999999999E-2</v>
      </c>
      <c r="G29" s="203">
        <v>20</v>
      </c>
      <c r="H29" s="195" t="str">
        <f t="shared" si="1"/>
        <v/>
      </c>
      <c r="I29" s="195" t="str">
        <v/>
      </c>
      <c r="J29" s="205" t="str">
        <v/>
      </c>
      <c r="K29" s="242"/>
      <c r="L29" s="197" t="str">
        <f t="shared" si="11"/>
        <v/>
      </c>
      <c r="M29" s="203">
        <v>20</v>
      </c>
      <c r="N29" s="195" t="str">
        <f t="shared" si="2"/>
        <v/>
      </c>
      <c r="O29" s="195" t="str">
        <v/>
      </c>
      <c r="P29" s="205" t="str">
        <v/>
      </c>
      <c r="Q29" s="213"/>
      <c r="R29" s="197" t="str">
        <f t="shared" si="12"/>
        <v/>
      </c>
      <c r="S29" s="203">
        <v>20</v>
      </c>
      <c r="T29" s="195" t="str">
        <f t="shared" si="3"/>
        <v/>
      </c>
      <c r="U29" s="195" t="str">
        <v/>
      </c>
      <c r="V29" s="205" t="str">
        <v/>
      </c>
      <c r="W29" s="213"/>
      <c r="X29" s="197" t="str">
        <f t="shared" si="13"/>
        <v/>
      </c>
      <c r="Y29" s="203">
        <v>20</v>
      </c>
      <c r="Z29" s="195"/>
      <c r="AA29" s="195"/>
      <c r="AB29" s="205"/>
      <c r="AC29" s="213"/>
      <c r="AD29" s="197" t="str">
        <f t="shared" si="14"/>
        <v/>
      </c>
      <c r="AE29" s="203">
        <v>20</v>
      </c>
      <c r="AF29" s="195" t="str">
        <f t="shared" si="4"/>
        <v/>
      </c>
      <c r="AG29" s="195" t="str">
        <v/>
      </c>
      <c r="AH29" s="205" t="str">
        <v/>
      </c>
      <c r="AI29" s="213"/>
      <c r="AJ29" s="197" t="str">
        <f t="shared" si="15"/>
        <v/>
      </c>
      <c r="AK29" s="203">
        <v>20</v>
      </c>
      <c r="AL29" s="198"/>
      <c r="AM29" s="195"/>
      <c r="AN29" s="196"/>
      <c r="AO29" s="254"/>
      <c r="AP29" s="256" t="str">
        <f t="shared" si="16"/>
        <v/>
      </c>
      <c r="AQ29" s="203">
        <v>20</v>
      </c>
      <c r="AR29" s="195" t="str">
        <f t="shared" si="5"/>
        <v/>
      </c>
      <c r="AS29" s="195" t="str">
        <v/>
      </c>
      <c r="AT29" s="205" t="str">
        <v/>
      </c>
      <c r="AU29" s="213"/>
      <c r="AV29" s="197" t="str">
        <f t="shared" si="17"/>
        <v/>
      </c>
      <c r="AW29" s="203">
        <v>20</v>
      </c>
      <c r="AX29" s="195" t="str">
        <f t="shared" si="6"/>
        <v/>
      </c>
      <c r="AY29" s="195" t="str">
        <v/>
      </c>
      <c r="AZ29" s="205" t="str">
        <v/>
      </c>
      <c r="BA29" s="242"/>
      <c r="BB29" s="197" t="str">
        <f t="shared" si="18"/>
        <v/>
      </c>
      <c r="BC29" s="203">
        <v>20</v>
      </c>
      <c r="BD29" s="195" t="str">
        <f t="shared" si="7"/>
        <v/>
      </c>
      <c r="BE29" s="195" t="str">
        <v/>
      </c>
      <c r="BF29" s="205" t="str">
        <v/>
      </c>
      <c r="BG29" s="242"/>
      <c r="BH29" s="197" t="str">
        <f t="shared" si="19"/>
        <v/>
      </c>
      <c r="BI29" s="203">
        <v>20</v>
      </c>
      <c r="BJ29" s="195" t="str">
        <f t="shared" si="8"/>
        <v/>
      </c>
      <c r="BK29" s="195" t="str">
        <v/>
      </c>
      <c r="BL29" s="205" t="str">
        <v/>
      </c>
      <c r="BM29" s="242"/>
      <c r="BN29" s="197" t="str">
        <f t="shared" si="20"/>
        <v/>
      </c>
      <c r="BO29" s="203">
        <v>20</v>
      </c>
      <c r="BP29" s="195" t="str">
        <f t="shared" si="9"/>
        <v/>
      </c>
      <c r="BQ29" s="195" t="str">
        <v/>
      </c>
      <c r="BR29" s="205" t="str">
        <v/>
      </c>
      <c r="BS29" s="242"/>
      <c r="BT29" s="197" t="str">
        <f t="shared" si="21"/>
        <v/>
      </c>
    </row>
    <row r="30" spans="1:72">
      <c r="A30" s="203">
        <v>21</v>
      </c>
      <c r="B30" s="195" t="str">
        <f t="shared" si="0"/>
        <v>25Y</v>
      </c>
      <c r="C30" s="195" t="str">
        <v>EUSWE25 ICPL Curncy</v>
      </c>
      <c r="D30" s="205">
        <v>1.3420000000000001</v>
      </c>
      <c r="E30" s="213"/>
      <c r="F30" s="197">
        <f t="shared" si="10"/>
        <v>1.3420000000000001E-2</v>
      </c>
      <c r="G30" s="203">
        <v>21</v>
      </c>
      <c r="H30" s="195" t="str">
        <f t="shared" si="1"/>
        <v/>
      </c>
      <c r="I30" s="195" t="str">
        <v/>
      </c>
      <c r="J30" s="205" t="str">
        <v/>
      </c>
      <c r="K30" s="242"/>
      <c r="L30" s="197" t="str">
        <f t="shared" si="11"/>
        <v/>
      </c>
      <c r="M30" s="203">
        <v>21</v>
      </c>
      <c r="N30" s="195" t="str">
        <f t="shared" si="2"/>
        <v/>
      </c>
      <c r="O30" s="195" t="str">
        <v/>
      </c>
      <c r="P30" s="205" t="str">
        <v/>
      </c>
      <c r="Q30" s="213"/>
      <c r="R30" s="197" t="str">
        <f t="shared" si="12"/>
        <v/>
      </c>
      <c r="S30" s="203">
        <v>21</v>
      </c>
      <c r="T30" s="195" t="str">
        <f t="shared" si="3"/>
        <v/>
      </c>
      <c r="U30" s="195" t="str">
        <v/>
      </c>
      <c r="V30" s="205" t="str">
        <v/>
      </c>
      <c r="W30" s="213"/>
      <c r="X30" s="197" t="str">
        <f t="shared" si="13"/>
        <v/>
      </c>
      <c r="Y30" s="203">
        <v>21</v>
      </c>
      <c r="Z30" s="195"/>
      <c r="AA30" s="195"/>
      <c r="AB30" s="205"/>
      <c r="AC30" s="213"/>
      <c r="AD30" s="197" t="str">
        <f t="shared" si="14"/>
        <v/>
      </c>
      <c r="AE30" s="203">
        <v>21</v>
      </c>
      <c r="AF30" s="195" t="str">
        <f t="shared" si="4"/>
        <v/>
      </c>
      <c r="AG30" s="195" t="str">
        <v/>
      </c>
      <c r="AH30" s="205" t="str">
        <v/>
      </c>
      <c r="AI30" s="213"/>
      <c r="AJ30" s="197" t="str">
        <f t="shared" si="15"/>
        <v/>
      </c>
      <c r="AK30" s="203">
        <v>21</v>
      </c>
      <c r="AL30" s="198"/>
      <c r="AM30" s="195"/>
      <c r="AN30" s="196"/>
      <c r="AO30" s="254"/>
      <c r="AP30" s="256" t="str">
        <f t="shared" si="16"/>
        <v/>
      </c>
      <c r="AQ30" s="203">
        <v>21</v>
      </c>
      <c r="AR30" s="195" t="str">
        <f t="shared" si="5"/>
        <v/>
      </c>
      <c r="AS30" s="195" t="str">
        <v/>
      </c>
      <c r="AT30" s="205" t="str">
        <v/>
      </c>
      <c r="AU30" s="213"/>
      <c r="AV30" s="197" t="str">
        <f t="shared" si="17"/>
        <v/>
      </c>
      <c r="AW30" s="203">
        <v>21</v>
      </c>
      <c r="AX30" s="195" t="str">
        <f t="shared" si="6"/>
        <v/>
      </c>
      <c r="AY30" s="195" t="str">
        <v/>
      </c>
      <c r="AZ30" s="205" t="str">
        <v/>
      </c>
      <c r="BA30" s="242"/>
      <c r="BB30" s="197" t="str">
        <f t="shared" si="18"/>
        <v/>
      </c>
      <c r="BC30" s="203">
        <v>21</v>
      </c>
      <c r="BD30" s="195" t="str">
        <f t="shared" si="7"/>
        <v/>
      </c>
      <c r="BE30" s="195" t="str">
        <v/>
      </c>
      <c r="BF30" s="205" t="str">
        <v/>
      </c>
      <c r="BG30" s="242"/>
      <c r="BH30" s="197" t="str">
        <f t="shared" si="19"/>
        <v/>
      </c>
      <c r="BI30" s="203">
        <v>21</v>
      </c>
      <c r="BJ30" s="195" t="str">
        <f t="shared" si="8"/>
        <v/>
      </c>
      <c r="BK30" s="195" t="str">
        <v/>
      </c>
      <c r="BL30" s="205" t="str">
        <v/>
      </c>
      <c r="BM30" s="242"/>
      <c r="BN30" s="197" t="str">
        <f t="shared" si="20"/>
        <v/>
      </c>
      <c r="BO30" s="203">
        <v>21</v>
      </c>
      <c r="BP30" s="195" t="str">
        <f t="shared" si="9"/>
        <v/>
      </c>
      <c r="BQ30" s="195" t="str">
        <v/>
      </c>
      <c r="BR30" s="205" t="str">
        <v/>
      </c>
      <c r="BS30" s="242"/>
      <c r="BT30" s="197" t="str">
        <f t="shared" si="21"/>
        <v/>
      </c>
    </row>
    <row r="31" spans="1:72">
      <c r="A31" s="203">
        <v>22</v>
      </c>
      <c r="B31" s="195" t="str">
        <f t="shared" si="0"/>
        <v>30Y</v>
      </c>
      <c r="C31" s="195" t="str">
        <v>EUSWE30 ICPL Curncy</v>
      </c>
      <c r="D31" s="205">
        <v>1.3580000000000001</v>
      </c>
      <c r="E31" s="213"/>
      <c r="F31" s="197">
        <f t="shared" si="10"/>
        <v>1.3580000000000002E-2</v>
      </c>
      <c r="G31" s="203">
        <v>22</v>
      </c>
      <c r="H31" s="195" t="str">
        <f t="shared" si="1"/>
        <v/>
      </c>
      <c r="I31" s="195" t="str">
        <v/>
      </c>
      <c r="J31" s="205" t="str">
        <v/>
      </c>
      <c r="K31" s="242"/>
      <c r="L31" s="197" t="str">
        <f t="shared" si="11"/>
        <v/>
      </c>
      <c r="M31" s="203">
        <v>22</v>
      </c>
      <c r="N31" s="195" t="str">
        <f t="shared" si="2"/>
        <v/>
      </c>
      <c r="O31" s="195" t="str">
        <v/>
      </c>
      <c r="P31" s="205" t="str">
        <v/>
      </c>
      <c r="Q31" s="213"/>
      <c r="R31" s="197" t="str">
        <f t="shared" si="12"/>
        <v/>
      </c>
      <c r="S31" s="203">
        <v>22</v>
      </c>
      <c r="T31" s="195" t="str">
        <f t="shared" si="3"/>
        <v/>
      </c>
      <c r="U31" s="195" t="str">
        <v/>
      </c>
      <c r="V31" s="205" t="str">
        <v/>
      </c>
      <c r="W31" s="213"/>
      <c r="X31" s="197" t="str">
        <f t="shared" si="13"/>
        <v/>
      </c>
      <c r="Y31" s="203">
        <v>22</v>
      </c>
      <c r="Z31" s="195"/>
      <c r="AA31" s="195"/>
      <c r="AB31" s="205"/>
      <c r="AC31" s="213"/>
      <c r="AD31" s="197" t="str">
        <f t="shared" si="14"/>
        <v/>
      </c>
      <c r="AE31" s="203">
        <v>22</v>
      </c>
      <c r="AF31" s="195" t="str">
        <f t="shared" si="4"/>
        <v/>
      </c>
      <c r="AG31" s="195" t="str">
        <v/>
      </c>
      <c r="AH31" s="205" t="str">
        <v/>
      </c>
      <c r="AI31" s="213"/>
      <c r="AJ31" s="197" t="str">
        <f t="shared" si="15"/>
        <v/>
      </c>
      <c r="AK31" s="203">
        <v>22</v>
      </c>
      <c r="AL31" s="198"/>
      <c r="AM31" s="195"/>
      <c r="AN31" s="196"/>
      <c r="AO31" s="254"/>
      <c r="AP31" s="256" t="str">
        <f t="shared" si="16"/>
        <v/>
      </c>
      <c r="AQ31" s="203">
        <v>22</v>
      </c>
      <c r="AR31" s="195" t="str">
        <f t="shared" si="5"/>
        <v/>
      </c>
      <c r="AS31" s="195" t="str">
        <v/>
      </c>
      <c r="AT31" s="205" t="str">
        <v/>
      </c>
      <c r="AU31" s="213"/>
      <c r="AV31" s="197" t="str">
        <f t="shared" si="17"/>
        <v/>
      </c>
      <c r="AW31" s="203">
        <v>22</v>
      </c>
      <c r="AX31" s="195" t="str">
        <f t="shared" si="6"/>
        <v/>
      </c>
      <c r="AY31" s="195" t="str">
        <v/>
      </c>
      <c r="AZ31" s="205" t="str">
        <v/>
      </c>
      <c r="BA31" s="242"/>
      <c r="BB31" s="197" t="str">
        <f t="shared" si="18"/>
        <v/>
      </c>
      <c r="BC31" s="203">
        <v>22</v>
      </c>
      <c r="BD31" s="195" t="str">
        <f t="shared" si="7"/>
        <v/>
      </c>
      <c r="BE31" s="195" t="str">
        <v/>
      </c>
      <c r="BF31" s="205" t="str">
        <v/>
      </c>
      <c r="BG31" s="242"/>
      <c r="BH31" s="197" t="str">
        <f t="shared" si="19"/>
        <v/>
      </c>
      <c r="BI31" s="203">
        <v>22</v>
      </c>
      <c r="BJ31" s="195" t="str">
        <f t="shared" si="8"/>
        <v/>
      </c>
      <c r="BK31" s="195" t="str">
        <v/>
      </c>
      <c r="BL31" s="205" t="str">
        <v/>
      </c>
      <c r="BM31" s="242"/>
      <c r="BN31" s="197" t="str">
        <f t="shared" si="20"/>
        <v/>
      </c>
      <c r="BO31" s="203">
        <v>22</v>
      </c>
      <c r="BP31" s="195" t="str">
        <f t="shared" si="9"/>
        <v/>
      </c>
      <c r="BQ31" s="195" t="str">
        <v/>
      </c>
      <c r="BR31" s="205" t="str">
        <v/>
      </c>
      <c r="BS31" s="242"/>
      <c r="BT31" s="197" t="str">
        <f t="shared" si="21"/>
        <v/>
      </c>
    </row>
    <row r="32" spans="1:72">
      <c r="A32" s="203">
        <v>23</v>
      </c>
      <c r="B32" s="195" t="str">
        <f t="shared" si="0"/>
        <v>40Y</v>
      </c>
      <c r="C32" s="195" t="str">
        <v>EUSWE40 ICPL Curncy</v>
      </c>
      <c r="D32" s="205">
        <v>1.359</v>
      </c>
      <c r="E32" s="213"/>
      <c r="F32" s="197">
        <f t="shared" si="10"/>
        <v>1.359E-2</v>
      </c>
      <c r="G32" s="203">
        <v>23</v>
      </c>
      <c r="H32" s="195" t="str">
        <f t="shared" si="1"/>
        <v/>
      </c>
      <c r="I32" s="195" t="str">
        <v/>
      </c>
      <c r="J32" s="205" t="str">
        <v/>
      </c>
      <c r="K32" s="242"/>
      <c r="L32" s="197" t="str">
        <f t="shared" si="11"/>
        <v/>
      </c>
      <c r="M32" s="203">
        <v>23</v>
      </c>
      <c r="N32" s="195" t="str">
        <f t="shared" si="2"/>
        <v/>
      </c>
      <c r="O32" s="195" t="str">
        <v/>
      </c>
      <c r="P32" s="205" t="str">
        <v/>
      </c>
      <c r="Q32" s="213"/>
      <c r="R32" s="197" t="str">
        <f t="shared" si="12"/>
        <v/>
      </c>
      <c r="S32" s="203">
        <v>23</v>
      </c>
      <c r="T32" s="195" t="str">
        <f t="shared" si="3"/>
        <v/>
      </c>
      <c r="U32" s="195" t="str">
        <v/>
      </c>
      <c r="V32" s="205" t="str">
        <v/>
      </c>
      <c r="W32" s="213"/>
      <c r="X32" s="197" t="str">
        <f t="shared" si="13"/>
        <v/>
      </c>
      <c r="Y32" s="203">
        <v>23</v>
      </c>
      <c r="Z32" s="195"/>
      <c r="AA32" s="195"/>
      <c r="AB32" s="205"/>
      <c r="AC32" s="213"/>
      <c r="AD32" s="197" t="str">
        <f t="shared" si="14"/>
        <v/>
      </c>
      <c r="AE32" s="203">
        <v>23</v>
      </c>
      <c r="AF32" s="195" t="str">
        <f t="shared" si="4"/>
        <v/>
      </c>
      <c r="AG32" s="195" t="str">
        <v/>
      </c>
      <c r="AH32" s="205" t="str">
        <v/>
      </c>
      <c r="AI32" s="213"/>
      <c r="AJ32" s="197" t="str">
        <f t="shared" si="15"/>
        <v/>
      </c>
      <c r="AK32" s="203">
        <v>23</v>
      </c>
      <c r="AL32" s="198"/>
      <c r="AM32" s="195"/>
      <c r="AN32" s="196"/>
      <c r="AO32" s="254"/>
      <c r="AP32" s="256" t="str">
        <f t="shared" si="16"/>
        <v/>
      </c>
      <c r="AQ32" s="203">
        <v>23</v>
      </c>
      <c r="AR32" s="195" t="str">
        <f t="shared" si="5"/>
        <v/>
      </c>
      <c r="AS32" s="195" t="str">
        <v/>
      </c>
      <c r="AT32" s="205" t="str">
        <v/>
      </c>
      <c r="AU32" s="213"/>
      <c r="AV32" s="197" t="str">
        <f t="shared" si="17"/>
        <v/>
      </c>
      <c r="AW32" s="203">
        <v>23</v>
      </c>
      <c r="AX32" s="195" t="str">
        <f t="shared" si="6"/>
        <v/>
      </c>
      <c r="AY32" s="195" t="str">
        <v/>
      </c>
      <c r="AZ32" s="205" t="str">
        <v/>
      </c>
      <c r="BA32" s="242"/>
      <c r="BB32" s="197" t="str">
        <f t="shared" si="18"/>
        <v/>
      </c>
      <c r="BC32" s="203">
        <v>23</v>
      </c>
      <c r="BD32" s="195" t="str">
        <f t="shared" si="7"/>
        <v/>
      </c>
      <c r="BE32" s="195" t="str">
        <v/>
      </c>
      <c r="BF32" s="205" t="str">
        <v/>
      </c>
      <c r="BG32" s="242"/>
      <c r="BH32" s="197" t="str">
        <f t="shared" si="19"/>
        <v/>
      </c>
      <c r="BI32" s="203">
        <v>23</v>
      </c>
      <c r="BJ32" s="195" t="str">
        <f t="shared" si="8"/>
        <v/>
      </c>
      <c r="BK32" s="195" t="str">
        <v/>
      </c>
      <c r="BL32" s="205" t="str">
        <v/>
      </c>
      <c r="BM32" s="242"/>
      <c r="BN32" s="197" t="str">
        <f t="shared" si="20"/>
        <v/>
      </c>
      <c r="BO32" s="203">
        <v>23</v>
      </c>
      <c r="BP32" s="195" t="str">
        <f t="shared" si="9"/>
        <v/>
      </c>
      <c r="BQ32" s="195" t="str">
        <v/>
      </c>
      <c r="BR32" s="205" t="str">
        <v/>
      </c>
      <c r="BS32" s="242"/>
      <c r="BT32" s="197" t="str">
        <f t="shared" si="21"/>
        <v/>
      </c>
    </row>
    <row r="33" spans="1:72">
      <c r="A33" s="203">
        <v>24</v>
      </c>
      <c r="B33" s="195" t="str">
        <f t="shared" si="0"/>
        <v>50Y</v>
      </c>
      <c r="C33" s="195" t="str">
        <v>EUSWE50 ICPL Curncy</v>
      </c>
      <c r="D33" s="205">
        <v>1.331</v>
      </c>
      <c r="E33" s="213"/>
      <c r="F33" s="197">
        <f t="shared" si="10"/>
        <v>1.3309999999999999E-2</v>
      </c>
      <c r="G33" s="203">
        <v>24</v>
      </c>
      <c r="H33" s="195" t="str">
        <f t="shared" si="1"/>
        <v/>
      </c>
      <c r="I33" s="195" t="str">
        <v/>
      </c>
      <c r="J33" s="205" t="str">
        <v/>
      </c>
      <c r="K33" s="242"/>
      <c r="L33" s="197" t="str">
        <f t="shared" si="11"/>
        <v/>
      </c>
      <c r="M33" s="203">
        <v>24</v>
      </c>
      <c r="N33" s="195" t="str">
        <f t="shared" si="2"/>
        <v/>
      </c>
      <c r="O33" s="195" t="str">
        <v/>
      </c>
      <c r="P33" s="205" t="str">
        <v/>
      </c>
      <c r="Q33" s="213"/>
      <c r="R33" s="197" t="str">
        <f t="shared" si="12"/>
        <v/>
      </c>
      <c r="S33" s="203">
        <v>24</v>
      </c>
      <c r="T33" s="195" t="str">
        <f t="shared" si="3"/>
        <v/>
      </c>
      <c r="U33" s="195" t="str">
        <v/>
      </c>
      <c r="V33" s="205" t="str">
        <v/>
      </c>
      <c r="W33" s="213"/>
      <c r="X33" s="197" t="str">
        <f t="shared" si="13"/>
        <v/>
      </c>
      <c r="Y33" s="203">
        <v>24</v>
      </c>
      <c r="Z33" s="195"/>
      <c r="AA33" s="195"/>
      <c r="AB33" s="205"/>
      <c r="AC33" s="213"/>
      <c r="AD33" s="197" t="str">
        <f t="shared" si="14"/>
        <v/>
      </c>
      <c r="AE33" s="203">
        <v>24</v>
      </c>
      <c r="AF33" s="195" t="str">
        <f t="shared" si="4"/>
        <v/>
      </c>
      <c r="AG33" s="195" t="str">
        <v/>
      </c>
      <c r="AH33" s="205" t="str">
        <v/>
      </c>
      <c r="AI33" s="213"/>
      <c r="AJ33" s="197" t="str">
        <f t="shared" si="15"/>
        <v/>
      </c>
      <c r="AK33" s="203">
        <v>24</v>
      </c>
      <c r="AL33" s="198"/>
      <c r="AM33" s="195"/>
      <c r="AN33" s="196"/>
      <c r="AO33" s="254"/>
      <c r="AP33" s="256" t="str">
        <f t="shared" si="16"/>
        <v/>
      </c>
      <c r="AQ33" s="203">
        <v>24</v>
      </c>
      <c r="AR33" s="195" t="str">
        <f t="shared" si="5"/>
        <v/>
      </c>
      <c r="AS33" s="195" t="str">
        <v/>
      </c>
      <c r="AT33" s="205" t="str">
        <v/>
      </c>
      <c r="AU33" s="213"/>
      <c r="AV33" s="197" t="str">
        <f t="shared" si="17"/>
        <v/>
      </c>
      <c r="AW33" s="203">
        <v>24</v>
      </c>
      <c r="AX33" s="195" t="str">
        <f t="shared" si="6"/>
        <v/>
      </c>
      <c r="AY33" s="195" t="str">
        <v/>
      </c>
      <c r="AZ33" s="205" t="str">
        <v/>
      </c>
      <c r="BA33" s="242"/>
      <c r="BB33" s="197" t="str">
        <f t="shared" si="18"/>
        <v/>
      </c>
      <c r="BC33" s="203">
        <v>24</v>
      </c>
      <c r="BD33" s="195" t="str">
        <f t="shared" si="7"/>
        <v/>
      </c>
      <c r="BE33" s="195" t="str">
        <v/>
      </c>
      <c r="BF33" s="205" t="str">
        <v/>
      </c>
      <c r="BG33" s="242"/>
      <c r="BH33" s="197" t="str">
        <f t="shared" si="19"/>
        <v/>
      </c>
      <c r="BI33" s="203">
        <v>24</v>
      </c>
      <c r="BJ33" s="195" t="str">
        <f t="shared" si="8"/>
        <v/>
      </c>
      <c r="BK33" s="195" t="str">
        <v/>
      </c>
      <c r="BL33" s="205" t="str">
        <v/>
      </c>
      <c r="BM33" s="242"/>
      <c r="BN33" s="197" t="str">
        <f t="shared" si="20"/>
        <v/>
      </c>
      <c r="BO33" s="203">
        <v>24</v>
      </c>
      <c r="BP33" s="195" t="str">
        <f t="shared" si="9"/>
        <v/>
      </c>
      <c r="BQ33" s="195" t="str">
        <v/>
      </c>
      <c r="BR33" s="205" t="str">
        <v/>
      </c>
      <c r="BS33" s="242"/>
      <c r="BT33" s="197" t="str">
        <f t="shared" si="21"/>
        <v/>
      </c>
    </row>
    <row r="34" spans="1:72">
      <c r="A34" s="203">
        <v>25</v>
      </c>
      <c r="B34" s="195" t="str">
        <f t="shared" si="0"/>
        <v/>
      </c>
      <c r="C34" s="195" t="str">
        <v/>
      </c>
      <c r="D34" s="205" t="str">
        <v/>
      </c>
      <c r="E34" s="213"/>
      <c r="F34" s="197" t="str">
        <f t="shared" si="10"/>
        <v/>
      </c>
      <c r="G34" s="203">
        <v>25</v>
      </c>
      <c r="H34" s="195" t="str">
        <f t="shared" si="1"/>
        <v/>
      </c>
      <c r="I34" s="195" t="str">
        <v/>
      </c>
      <c r="J34" s="205" t="str">
        <v/>
      </c>
      <c r="K34" s="242"/>
      <c r="L34" s="197" t="str">
        <f t="shared" si="11"/>
        <v/>
      </c>
      <c r="M34" s="203">
        <v>25</v>
      </c>
      <c r="N34" s="195" t="str">
        <f t="shared" si="2"/>
        <v/>
      </c>
      <c r="O34" s="195" t="str">
        <v/>
      </c>
      <c r="P34" s="205" t="str">
        <v/>
      </c>
      <c r="Q34" s="213"/>
      <c r="R34" s="197" t="str">
        <f t="shared" si="12"/>
        <v/>
      </c>
      <c r="S34" s="203">
        <v>25</v>
      </c>
      <c r="T34" s="195" t="str">
        <f t="shared" si="3"/>
        <v/>
      </c>
      <c r="U34" s="195" t="str">
        <v/>
      </c>
      <c r="V34" s="205" t="str">
        <v/>
      </c>
      <c r="W34" s="213"/>
      <c r="X34" s="197" t="str">
        <f t="shared" si="13"/>
        <v/>
      </c>
      <c r="Y34" s="203">
        <v>25</v>
      </c>
      <c r="Z34" s="195"/>
      <c r="AA34" s="195"/>
      <c r="AB34" s="205"/>
      <c r="AC34" s="213"/>
      <c r="AD34" s="197" t="str">
        <f t="shared" si="14"/>
        <v/>
      </c>
      <c r="AE34" s="203">
        <v>25</v>
      </c>
      <c r="AF34" s="195" t="str">
        <f t="shared" si="4"/>
        <v/>
      </c>
      <c r="AG34" s="195" t="str">
        <v/>
      </c>
      <c r="AH34" s="205" t="str">
        <v/>
      </c>
      <c r="AI34" s="213"/>
      <c r="AJ34" s="197" t="str">
        <f t="shared" si="15"/>
        <v/>
      </c>
      <c r="AK34" s="203">
        <v>25</v>
      </c>
      <c r="AL34" s="198"/>
      <c r="AM34" s="195"/>
      <c r="AN34" s="196"/>
      <c r="AO34" s="254"/>
      <c r="AP34" s="256" t="str">
        <f t="shared" si="16"/>
        <v/>
      </c>
      <c r="AQ34" s="203">
        <v>25</v>
      </c>
      <c r="AR34" s="195" t="str">
        <f t="shared" si="5"/>
        <v/>
      </c>
      <c r="AS34" s="195" t="str">
        <v/>
      </c>
      <c r="AT34" s="205" t="str">
        <v/>
      </c>
      <c r="AU34" s="213"/>
      <c r="AV34" s="197" t="str">
        <f t="shared" si="17"/>
        <v/>
      </c>
      <c r="AW34" s="203">
        <v>25</v>
      </c>
      <c r="AX34" s="195" t="str">
        <f t="shared" si="6"/>
        <v/>
      </c>
      <c r="AY34" s="195" t="str">
        <v/>
      </c>
      <c r="AZ34" s="205" t="str">
        <v/>
      </c>
      <c r="BA34" s="242"/>
      <c r="BB34" s="197" t="str">
        <f t="shared" si="18"/>
        <v/>
      </c>
      <c r="BC34" s="203">
        <v>25</v>
      </c>
      <c r="BD34" s="195" t="str">
        <f t="shared" si="7"/>
        <v/>
      </c>
      <c r="BE34" s="195" t="str">
        <v/>
      </c>
      <c r="BF34" s="205" t="str">
        <v/>
      </c>
      <c r="BG34" s="242"/>
      <c r="BH34" s="197" t="str">
        <f t="shared" si="19"/>
        <v/>
      </c>
      <c r="BI34" s="203">
        <v>25</v>
      </c>
      <c r="BJ34" s="195" t="str">
        <f t="shared" si="8"/>
        <v/>
      </c>
      <c r="BK34" s="195" t="str">
        <v/>
      </c>
      <c r="BL34" s="205" t="str">
        <v/>
      </c>
      <c r="BM34" s="242"/>
      <c r="BN34" s="197" t="str">
        <f t="shared" si="20"/>
        <v/>
      </c>
      <c r="BO34" s="203">
        <v>25</v>
      </c>
      <c r="BP34" s="195" t="str">
        <f t="shared" si="9"/>
        <v/>
      </c>
      <c r="BQ34" s="195" t="str">
        <v/>
      </c>
      <c r="BR34" s="205" t="str">
        <v/>
      </c>
      <c r="BS34" s="242"/>
      <c r="BT34" s="197" t="str">
        <f t="shared" si="21"/>
        <v/>
      </c>
    </row>
    <row r="35" spans="1:72">
      <c r="A35" s="203">
        <v>26</v>
      </c>
      <c r="B35" s="195" t="str">
        <f t="shared" si="0"/>
        <v/>
      </c>
      <c r="C35" s="195" t="str">
        <v/>
      </c>
      <c r="D35" s="205" t="str">
        <v/>
      </c>
      <c r="E35" s="213"/>
      <c r="F35" s="197" t="str">
        <f t="shared" si="10"/>
        <v/>
      </c>
      <c r="G35" s="203">
        <v>26</v>
      </c>
      <c r="H35" s="195" t="str">
        <f t="shared" si="1"/>
        <v/>
      </c>
      <c r="I35" s="195" t="str">
        <v/>
      </c>
      <c r="J35" s="205" t="str">
        <v/>
      </c>
      <c r="K35" s="242"/>
      <c r="L35" s="197" t="str">
        <f t="shared" si="11"/>
        <v/>
      </c>
      <c r="M35" s="203">
        <v>26</v>
      </c>
      <c r="N35" s="195" t="str">
        <f t="shared" si="2"/>
        <v/>
      </c>
      <c r="O35" s="195" t="str">
        <v/>
      </c>
      <c r="P35" s="205" t="str">
        <v/>
      </c>
      <c r="Q35" s="213"/>
      <c r="R35" s="197" t="str">
        <f t="shared" si="12"/>
        <v/>
      </c>
      <c r="S35" s="203">
        <v>26</v>
      </c>
      <c r="T35" s="195" t="str">
        <f t="shared" si="3"/>
        <v/>
      </c>
      <c r="U35" s="195" t="str">
        <v/>
      </c>
      <c r="V35" s="205" t="str">
        <v/>
      </c>
      <c r="W35" s="213"/>
      <c r="X35" s="197" t="str">
        <f t="shared" si="13"/>
        <v/>
      </c>
      <c r="Y35" s="203">
        <v>26</v>
      </c>
      <c r="Z35" s="195"/>
      <c r="AA35" s="195"/>
      <c r="AB35" s="205"/>
      <c r="AC35" s="213"/>
      <c r="AD35" s="197" t="str">
        <f t="shared" si="14"/>
        <v/>
      </c>
      <c r="AE35" s="203">
        <v>26</v>
      </c>
      <c r="AF35" s="195" t="str">
        <f t="shared" si="4"/>
        <v/>
      </c>
      <c r="AG35" s="195" t="str">
        <v/>
      </c>
      <c r="AH35" s="205" t="str">
        <v/>
      </c>
      <c r="AI35" s="213"/>
      <c r="AJ35" s="197" t="str">
        <f t="shared" si="15"/>
        <v/>
      </c>
      <c r="AK35" s="203">
        <v>26</v>
      </c>
      <c r="AL35" s="198"/>
      <c r="AM35" s="195"/>
      <c r="AN35" s="196"/>
      <c r="AO35" s="254"/>
      <c r="AP35" s="256" t="str">
        <f t="shared" si="16"/>
        <v/>
      </c>
      <c r="AQ35" s="203">
        <v>26</v>
      </c>
      <c r="AR35" s="195" t="str">
        <f t="shared" si="5"/>
        <v/>
      </c>
      <c r="AS35" s="195" t="str">
        <v/>
      </c>
      <c r="AT35" s="205" t="str">
        <v/>
      </c>
      <c r="AU35" s="213"/>
      <c r="AV35" s="197" t="str">
        <f t="shared" si="17"/>
        <v/>
      </c>
      <c r="AW35" s="203">
        <v>26</v>
      </c>
      <c r="AX35" s="195" t="str">
        <f t="shared" si="6"/>
        <v/>
      </c>
      <c r="AY35" s="195" t="str">
        <v/>
      </c>
      <c r="AZ35" s="205" t="str">
        <v/>
      </c>
      <c r="BA35" s="242"/>
      <c r="BB35" s="197" t="str">
        <f t="shared" si="18"/>
        <v/>
      </c>
      <c r="BC35" s="203">
        <v>26</v>
      </c>
      <c r="BD35" s="195" t="str">
        <f t="shared" si="7"/>
        <v/>
      </c>
      <c r="BE35" s="195" t="str">
        <v/>
      </c>
      <c r="BF35" s="205" t="str">
        <v/>
      </c>
      <c r="BG35" s="242"/>
      <c r="BH35" s="197" t="str">
        <f t="shared" si="19"/>
        <v/>
      </c>
      <c r="BI35" s="203">
        <v>26</v>
      </c>
      <c r="BJ35" s="195" t="str">
        <f t="shared" si="8"/>
        <v/>
      </c>
      <c r="BK35" s="195" t="str">
        <v/>
      </c>
      <c r="BL35" s="205" t="str">
        <v/>
      </c>
      <c r="BM35" s="242"/>
      <c r="BN35" s="197" t="str">
        <f t="shared" si="20"/>
        <v/>
      </c>
      <c r="BO35" s="203">
        <v>26</v>
      </c>
      <c r="BP35" s="195" t="str">
        <f t="shared" si="9"/>
        <v/>
      </c>
      <c r="BQ35" s="195" t="str">
        <v/>
      </c>
      <c r="BR35" s="205" t="str">
        <v/>
      </c>
      <c r="BS35" s="242"/>
      <c r="BT35" s="197" t="str">
        <f t="shared" si="21"/>
        <v/>
      </c>
    </row>
    <row r="36" spans="1:72">
      <c r="A36" s="203">
        <v>27</v>
      </c>
      <c r="B36" s="195" t="str">
        <f t="shared" si="0"/>
        <v/>
      </c>
      <c r="C36" s="195" t="str">
        <v/>
      </c>
      <c r="D36" s="205" t="str">
        <v/>
      </c>
      <c r="E36" s="213"/>
      <c r="F36" s="197" t="str">
        <f t="shared" si="10"/>
        <v/>
      </c>
      <c r="G36" s="203">
        <v>27</v>
      </c>
      <c r="H36" s="195" t="str">
        <f t="shared" si="1"/>
        <v/>
      </c>
      <c r="I36" s="195" t="str">
        <v/>
      </c>
      <c r="J36" s="205" t="str">
        <v/>
      </c>
      <c r="K36" s="242"/>
      <c r="L36" s="197" t="str">
        <f t="shared" si="11"/>
        <v/>
      </c>
      <c r="M36" s="203">
        <v>27</v>
      </c>
      <c r="N36" s="195" t="str">
        <f t="shared" si="2"/>
        <v/>
      </c>
      <c r="O36" s="195" t="str">
        <v/>
      </c>
      <c r="P36" s="205" t="str">
        <v/>
      </c>
      <c r="Q36" s="213"/>
      <c r="R36" s="197" t="str">
        <f t="shared" si="12"/>
        <v/>
      </c>
      <c r="S36" s="203">
        <v>27</v>
      </c>
      <c r="T36" s="195" t="str">
        <f t="shared" si="3"/>
        <v/>
      </c>
      <c r="U36" s="195" t="str">
        <v/>
      </c>
      <c r="V36" s="205" t="str">
        <v/>
      </c>
      <c r="W36" s="213"/>
      <c r="X36" s="197" t="str">
        <f t="shared" si="13"/>
        <v/>
      </c>
      <c r="Y36" s="203">
        <v>27</v>
      </c>
      <c r="Z36" s="195"/>
      <c r="AA36" s="195"/>
      <c r="AB36" s="205"/>
      <c r="AC36" s="213"/>
      <c r="AD36" s="197" t="str">
        <f t="shared" si="14"/>
        <v/>
      </c>
      <c r="AE36" s="203">
        <v>27</v>
      </c>
      <c r="AF36" s="195" t="str">
        <f t="shared" si="4"/>
        <v/>
      </c>
      <c r="AG36" s="195" t="str">
        <v/>
      </c>
      <c r="AH36" s="205" t="str">
        <v/>
      </c>
      <c r="AI36" s="213"/>
      <c r="AJ36" s="197" t="str">
        <f t="shared" si="15"/>
        <v/>
      </c>
      <c r="AK36" s="203">
        <v>27</v>
      </c>
      <c r="AL36" s="198"/>
      <c r="AM36" s="195"/>
      <c r="AN36" s="196"/>
      <c r="AO36" s="254"/>
      <c r="AP36" s="256" t="str">
        <f t="shared" si="16"/>
        <v/>
      </c>
      <c r="AQ36" s="203">
        <v>27</v>
      </c>
      <c r="AR36" s="195" t="str">
        <f t="shared" si="5"/>
        <v/>
      </c>
      <c r="AS36" s="195" t="str">
        <v/>
      </c>
      <c r="AT36" s="205" t="str">
        <v/>
      </c>
      <c r="AU36" s="213"/>
      <c r="AV36" s="197" t="str">
        <f t="shared" si="17"/>
        <v/>
      </c>
      <c r="AW36" s="203">
        <v>27</v>
      </c>
      <c r="AX36" s="195" t="str">
        <f t="shared" si="6"/>
        <v/>
      </c>
      <c r="AY36" s="195" t="str">
        <v/>
      </c>
      <c r="AZ36" s="205" t="str">
        <v/>
      </c>
      <c r="BA36" s="242"/>
      <c r="BB36" s="197" t="str">
        <f t="shared" si="18"/>
        <v/>
      </c>
      <c r="BC36" s="203">
        <v>27</v>
      </c>
      <c r="BD36" s="195" t="str">
        <f t="shared" si="7"/>
        <v/>
      </c>
      <c r="BE36" s="195" t="str">
        <v/>
      </c>
      <c r="BF36" s="205" t="str">
        <v/>
      </c>
      <c r="BG36" s="242"/>
      <c r="BH36" s="197" t="str">
        <f t="shared" si="19"/>
        <v/>
      </c>
      <c r="BI36" s="203">
        <v>27</v>
      </c>
      <c r="BJ36" s="195" t="str">
        <f t="shared" si="8"/>
        <v/>
      </c>
      <c r="BK36" s="195" t="str">
        <v/>
      </c>
      <c r="BL36" s="205" t="str">
        <v/>
      </c>
      <c r="BM36" s="242"/>
      <c r="BN36" s="197" t="str">
        <f t="shared" si="20"/>
        <v/>
      </c>
      <c r="BO36" s="203">
        <v>27</v>
      </c>
      <c r="BP36" s="195" t="str">
        <f t="shared" si="9"/>
        <v/>
      </c>
      <c r="BQ36" s="195" t="str">
        <v/>
      </c>
      <c r="BR36" s="205" t="str">
        <v/>
      </c>
      <c r="BS36" s="242"/>
      <c r="BT36" s="197" t="str">
        <f t="shared" si="21"/>
        <v/>
      </c>
    </row>
    <row r="37" spans="1:72">
      <c r="A37" s="203">
        <v>28</v>
      </c>
      <c r="B37" s="195" t="str">
        <f t="shared" si="0"/>
        <v/>
      </c>
      <c r="C37" s="195" t="str">
        <v/>
      </c>
      <c r="D37" s="205" t="str">
        <v/>
      </c>
      <c r="E37" s="213"/>
      <c r="F37" s="197" t="str">
        <f t="shared" si="10"/>
        <v/>
      </c>
      <c r="G37" s="203">
        <v>28</v>
      </c>
      <c r="H37" s="195" t="str">
        <f t="shared" si="1"/>
        <v/>
      </c>
      <c r="I37" s="195" t="str">
        <v/>
      </c>
      <c r="J37" s="205" t="str">
        <v/>
      </c>
      <c r="K37" s="242"/>
      <c r="L37" s="197" t="str">
        <f t="shared" si="11"/>
        <v/>
      </c>
      <c r="M37" s="203">
        <v>28</v>
      </c>
      <c r="N37" s="195" t="str">
        <f t="shared" si="2"/>
        <v/>
      </c>
      <c r="O37" s="195" t="str">
        <v/>
      </c>
      <c r="P37" s="205" t="str">
        <v/>
      </c>
      <c r="Q37" s="213"/>
      <c r="R37" s="197" t="str">
        <f t="shared" si="12"/>
        <v/>
      </c>
      <c r="S37" s="203">
        <v>28</v>
      </c>
      <c r="T37" s="195" t="str">
        <f t="shared" si="3"/>
        <v/>
      </c>
      <c r="U37" s="195" t="str">
        <v/>
      </c>
      <c r="V37" s="205" t="str">
        <v/>
      </c>
      <c r="W37" s="213"/>
      <c r="X37" s="197" t="str">
        <f t="shared" si="13"/>
        <v/>
      </c>
      <c r="Y37" s="203">
        <v>28</v>
      </c>
      <c r="Z37" s="195"/>
      <c r="AA37" s="195"/>
      <c r="AB37" s="205"/>
      <c r="AC37" s="213"/>
      <c r="AD37" s="197" t="str">
        <f t="shared" si="14"/>
        <v/>
      </c>
      <c r="AE37" s="203">
        <v>28</v>
      </c>
      <c r="AF37" s="195" t="str">
        <f t="shared" si="4"/>
        <v/>
      </c>
      <c r="AG37" s="195" t="str">
        <v/>
      </c>
      <c r="AH37" s="205" t="str">
        <v/>
      </c>
      <c r="AI37" s="213"/>
      <c r="AJ37" s="197" t="str">
        <f t="shared" si="15"/>
        <v/>
      </c>
      <c r="AK37" s="203">
        <v>28</v>
      </c>
      <c r="AL37" s="198"/>
      <c r="AM37" s="195"/>
      <c r="AN37" s="196"/>
      <c r="AO37" s="254"/>
      <c r="AP37" s="256" t="str">
        <f t="shared" si="16"/>
        <v/>
      </c>
      <c r="AQ37" s="203">
        <v>28</v>
      </c>
      <c r="AR37" s="195" t="str">
        <f t="shared" si="5"/>
        <v/>
      </c>
      <c r="AS37" s="195" t="str">
        <v/>
      </c>
      <c r="AT37" s="205" t="str">
        <v/>
      </c>
      <c r="AU37" s="213"/>
      <c r="AV37" s="197" t="str">
        <f t="shared" si="17"/>
        <v/>
      </c>
      <c r="AW37" s="203">
        <v>28</v>
      </c>
      <c r="AX37" s="195" t="str">
        <f t="shared" si="6"/>
        <v/>
      </c>
      <c r="AY37" s="195" t="str">
        <v/>
      </c>
      <c r="AZ37" s="205" t="str">
        <v/>
      </c>
      <c r="BA37" s="242"/>
      <c r="BB37" s="197" t="str">
        <f t="shared" si="18"/>
        <v/>
      </c>
      <c r="BC37" s="203">
        <v>28</v>
      </c>
      <c r="BD37" s="195" t="str">
        <f t="shared" si="7"/>
        <v/>
      </c>
      <c r="BE37" s="195" t="str">
        <v/>
      </c>
      <c r="BF37" s="205" t="str">
        <v/>
      </c>
      <c r="BG37" s="242"/>
      <c r="BH37" s="197" t="str">
        <f t="shared" si="19"/>
        <v/>
      </c>
      <c r="BI37" s="203">
        <v>28</v>
      </c>
      <c r="BJ37" s="195" t="str">
        <f t="shared" si="8"/>
        <v/>
      </c>
      <c r="BK37" s="195" t="str">
        <v/>
      </c>
      <c r="BL37" s="205" t="str">
        <v/>
      </c>
      <c r="BM37" s="242"/>
      <c r="BN37" s="197" t="str">
        <f t="shared" si="20"/>
        <v/>
      </c>
      <c r="BO37" s="203">
        <v>28</v>
      </c>
      <c r="BP37" s="195" t="str">
        <f t="shared" si="9"/>
        <v/>
      </c>
      <c r="BQ37" s="195" t="str">
        <v/>
      </c>
      <c r="BR37" s="205" t="str">
        <v/>
      </c>
      <c r="BS37" s="242"/>
      <c r="BT37" s="197" t="str">
        <f t="shared" si="21"/>
        <v/>
      </c>
    </row>
    <row r="38" spans="1:72">
      <c r="A38" s="203">
        <v>29</v>
      </c>
      <c r="B38" s="195" t="str">
        <f t="shared" si="0"/>
        <v/>
      </c>
      <c r="C38" s="195" t="str">
        <v/>
      </c>
      <c r="D38" s="205" t="str">
        <v/>
      </c>
      <c r="E38" s="213"/>
      <c r="F38" s="197" t="str">
        <f t="shared" si="10"/>
        <v/>
      </c>
      <c r="G38" s="203">
        <v>29</v>
      </c>
      <c r="H38" s="195" t="str">
        <f t="shared" si="1"/>
        <v/>
      </c>
      <c r="I38" s="195" t="str">
        <v/>
      </c>
      <c r="J38" s="205" t="str">
        <v/>
      </c>
      <c r="K38" s="242"/>
      <c r="L38" s="197" t="str">
        <f t="shared" si="11"/>
        <v/>
      </c>
      <c r="M38" s="203">
        <v>29</v>
      </c>
      <c r="N38" s="195" t="str">
        <f t="shared" si="2"/>
        <v/>
      </c>
      <c r="O38" s="195" t="str">
        <v/>
      </c>
      <c r="P38" s="205" t="str">
        <v/>
      </c>
      <c r="Q38" s="213"/>
      <c r="R38" s="197" t="str">
        <f t="shared" si="12"/>
        <v/>
      </c>
      <c r="S38" s="203">
        <v>29</v>
      </c>
      <c r="T38" s="195" t="str">
        <f t="shared" si="3"/>
        <v/>
      </c>
      <c r="U38" s="195" t="str">
        <v/>
      </c>
      <c r="V38" s="205" t="str">
        <v/>
      </c>
      <c r="W38" s="213"/>
      <c r="X38" s="197" t="str">
        <f t="shared" si="13"/>
        <v/>
      </c>
      <c r="Y38" s="203">
        <v>29</v>
      </c>
      <c r="Z38" s="195"/>
      <c r="AA38" s="195"/>
      <c r="AB38" s="205"/>
      <c r="AC38" s="213"/>
      <c r="AD38" s="197" t="str">
        <f t="shared" si="14"/>
        <v/>
      </c>
      <c r="AE38" s="203">
        <v>29</v>
      </c>
      <c r="AF38" s="195" t="str">
        <f t="shared" si="4"/>
        <v/>
      </c>
      <c r="AG38" s="195" t="str">
        <v/>
      </c>
      <c r="AH38" s="205" t="str">
        <v/>
      </c>
      <c r="AI38" s="213"/>
      <c r="AJ38" s="197" t="str">
        <f t="shared" si="15"/>
        <v/>
      </c>
      <c r="AK38" s="203">
        <v>29</v>
      </c>
      <c r="AL38" s="198"/>
      <c r="AM38" s="195"/>
      <c r="AN38" s="196"/>
      <c r="AO38" s="254"/>
      <c r="AP38" s="256" t="str">
        <f t="shared" si="16"/>
        <v/>
      </c>
      <c r="AQ38" s="203">
        <v>29</v>
      </c>
      <c r="AR38" s="195" t="str">
        <f t="shared" si="5"/>
        <v/>
      </c>
      <c r="AS38" s="195" t="str">
        <v/>
      </c>
      <c r="AT38" s="205" t="str">
        <v/>
      </c>
      <c r="AU38" s="213"/>
      <c r="AV38" s="197" t="str">
        <f t="shared" si="17"/>
        <v/>
      </c>
      <c r="AW38" s="203">
        <v>29</v>
      </c>
      <c r="AX38" s="195" t="str">
        <f t="shared" si="6"/>
        <v/>
      </c>
      <c r="AY38" s="195" t="str">
        <v/>
      </c>
      <c r="AZ38" s="205" t="str">
        <v/>
      </c>
      <c r="BA38" s="242"/>
      <c r="BB38" s="197" t="str">
        <f t="shared" si="18"/>
        <v/>
      </c>
      <c r="BC38" s="203">
        <v>29</v>
      </c>
      <c r="BD38" s="195" t="str">
        <f t="shared" si="7"/>
        <v/>
      </c>
      <c r="BE38" s="195" t="str">
        <v/>
      </c>
      <c r="BF38" s="205" t="str">
        <v/>
      </c>
      <c r="BG38" s="242"/>
      <c r="BH38" s="197" t="str">
        <f t="shared" si="19"/>
        <v/>
      </c>
      <c r="BI38" s="203">
        <v>29</v>
      </c>
      <c r="BJ38" s="195" t="str">
        <f t="shared" si="8"/>
        <v/>
      </c>
      <c r="BK38" s="195" t="str">
        <v/>
      </c>
      <c r="BL38" s="205" t="str">
        <v/>
      </c>
      <c r="BM38" s="242"/>
      <c r="BN38" s="197" t="str">
        <f t="shared" si="20"/>
        <v/>
      </c>
      <c r="BO38" s="203">
        <v>29</v>
      </c>
      <c r="BP38" s="195" t="str">
        <f t="shared" si="9"/>
        <v/>
      </c>
      <c r="BQ38" s="195" t="str">
        <v/>
      </c>
      <c r="BR38" s="205" t="str">
        <v/>
      </c>
      <c r="BS38" s="242"/>
      <c r="BT38" s="197" t="str">
        <f t="shared" si="21"/>
        <v/>
      </c>
    </row>
    <row r="39" spans="1:72">
      <c r="A39" s="203">
        <v>30</v>
      </c>
      <c r="B39" s="195" t="str">
        <f t="shared" si="0"/>
        <v/>
      </c>
      <c r="C39" s="195" t="str">
        <v/>
      </c>
      <c r="D39" s="205" t="str">
        <v/>
      </c>
      <c r="E39" s="213"/>
      <c r="F39" s="197" t="str">
        <f t="shared" si="10"/>
        <v/>
      </c>
      <c r="G39" s="203">
        <v>30</v>
      </c>
      <c r="H39" s="195" t="str">
        <f t="shared" si="1"/>
        <v/>
      </c>
      <c r="I39" s="195" t="str">
        <v/>
      </c>
      <c r="J39" s="205" t="str">
        <v/>
      </c>
      <c r="K39" s="242"/>
      <c r="L39" s="197" t="str">
        <f t="shared" si="11"/>
        <v/>
      </c>
      <c r="M39" s="203">
        <v>30</v>
      </c>
      <c r="N39" s="195" t="str">
        <f t="shared" si="2"/>
        <v/>
      </c>
      <c r="O39" s="195" t="str">
        <v/>
      </c>
      <c r="P39" s="205" t="str">
        <v/>
      </c>
      <c r="Q39" s="213"/>
      <c r="R39" s="197" t="str">
        <f t="shared" si="12"/>
        <v/>
      </c>
      <c r="S39" s="203">
        <v>30</v>
      </c>
      <c r="T39" s="195" t="str">
        <f t="shared" si="3"/>
        <v/>
      </c>
      <c r="U39" s="195" t="str">
        <v/>
      </c>
      <c r="V39" s="205" t="str">
        <v/>
      </c>
      <c r="W39" s="213"/>
      <c r="X39" s="197" t="str">
        <f t="shared" si="13"/>
        <v/>
      </c>
      <c r="Y39" s="203">
        <v>30</v>
      </c>
      <c r="Z39" s="195"/>
      <c r="AA39" s="195"/>
      <c r="AB39" s="205"/>
      <c r="AC39" s="213"/>
      <c r="AD39" s="197" t="str">
        <f t="shared" si="14"/>
        <v/>
      </c>
      <c r="AE39" s="203">
        <v>30</v>
      </c>
      <c r="AF39" s="195" t="str">
        <f t="shared" si="4"/>
        <v/>
      </c>
      <c r="AG39" s="195" t="str">
        <v/>
      </c>
      <c r="AH39" s="205" t="str">
        <v/>
      </c>
      <c r="AI39" s="213"/>
      <c r="AJ39" s="197" t="str">
        <f t="shared" si="15"/>
        <v/>
      </c>
      <c r="AK39" s="203">
        <v>30</v>
      </c>
      <c r="AL39" s="198"/>
      <c r="AM39" s="195"/>
      <c r="AN39" s="196"/>
      <c r="AO39" s="254"/>
      <c r="AP39" s="256" t="str">
        <f t="shared" si="16"/>
        <v/>
      </c>
      <c r="AQ39" s="203">
        <v>30</v>
      </c>
      <c r="AR39" s="195" t="str">
        <f t="shared" si="5"/>
        <v/>
      </c>
      <c r="AS39" s="195" t="str">
        <v/>
      </c>
      <c r="AT39" s="205" t="str">
        <v/>
      </c>
      <c r="AU39" s="213"/>
      <c r="AV39" s="197" t="str">
        <f t="shared" si="17"/>
        <v/>
      </c>
      <c r="AW39" s="203">
        <v>30</v>
      </c>
      <c r="AX39" s="195" t="str">
        <f t="shared" si="6"/>
        <v/>
      </c>
      <c r="AY39" s="195" t="str">
        <v/>
      </c>
      <c r="AZ39" s="205" t="str">
        <v/>
      </c>
      <c r="BA39" s="242"/>
      <c r="BB39" s="197" t="str">
        <f t="shared" si="18"/>
        <v/>
      </c>
      <c r="BC39" s="203">
        <v>30</v>
      </c>
      <c r="BD39" s="195" t="str">
        <f t="shared" si="7"/>
        <v/>
      </c>
      <c r="BE39" s="195" t="str">
        <v/>
      </c>
      <c r="BF39" s="205" t="str">
        <v/>
      </c>
      <c r="BG39" s="242"/>
      <c r="BH39" s="197" t="str">
        <f t="shared" si="19"/>
        <v/>
      </c>
      <c r="BI39" s="203">
        <v>30</v>
      </c>
      <c r="BJ39" s="195" t="str">
        <f t="shared" si="8"/>
        <v/>
      </c>
      <c r="BK39" s="195" t="str">
        <v/>
      </c>
      <c r="BL39" s="205" t="str">
        <v/>
      </c>
      <c r="BM39" s="242"/>
      <c r="BN39" s="197" t="str">
        <f t="shared" si="20"/>
        <v/>
      </c>
      <c r="BO39" s="203">
        <v>30</v>
      </c>
      <c r="BP39" s="195" t="str">
        <f t="shared" si="9"/>
        <v/>
      </c>
      <c r="BQ39" s="195" t="str">
        <v/>
      </c>
      <c r="BR39" s="205" t="str">
        <v/>
      </c>
      <c r="BS39" s="242"/>
      <c r="BT39" s="197" t="str">
        <f t="shared" si="21"/>
        <v/>
      </c>
    </row>
    <row r="40" spans="1:72">
      <c r="A40" s="203">
        <v>31</v>
      </c>
      <c r="B40" s="195" t="str">
        <f t="shared" si="0"/>
        <v/>
      </c>
      <c r="C40" s="195" t="str">
        <v/>
      </c>
      <c r="D40" s="205" t="str">
        <v/>
      </c>
      <c r="E40" s="213"/>
      <c r="F40" s="197" t="str">
        <f t="shared" si="10"/>
        <v/>
      </c>
      <c r="G40" s="203">
        <v>31</v>
      </c>
      <c r="H40" s="195" t="str">
        <f t="shared" si="1"/>
        <v/>
      </c>
      <c r="I40" s="195" t="str">
        <v/>
      </c>
      <c r="J40" s="205" t="str">
        <v/>
      </c>
      <c r="K40" s="242"/>
      <c r="L40" s="197" t="str">
        <f t="shared" si="11"/>
        <v/>
      </c>
      <c r="M40" s="203">
        <v>31</v>
      </c>
      <c r="N40" s="195" t="str">
        <f t="shared" si="2"/>
        <v/>
      </c>
      <c r="O40" s="195" t="str">
        <v/>
      </c>
      <c r="P40" s="205" t="str">
        <v/>
      </c>
      <c r="Q40" s="213"/>
      <c r="R40" s="197" t="str">
        <f t="shared" si="12"/>
        <v/>
      </c>
      <c r="S40" s="203">
        <v>31</v>
      </c>
      <c r="T40" s="195" t="str">
        <f t="shared" si="3"/>
        <v/>
      </c>
      <c r="U40" s="195" t="str">
        <v/>
      </c>
      <c r="V40" s="205" t="str">
        <v/>
      </c>
      <c r="W40" s="213"/>
      <c r="X40" s="197" t="str">
        <f t="shared" si="13"/>
        <v/>
      </c>
      <c r="Y40" s="203">
        <v>31</v>
      </c>
      <c r="Z40" s="195"/>
      <c r="AA40" s="195"/>
      <c r="AB40" s="205"/>
      <c r="AC40" s="213"/>
      <c r="AD40" s="197" t="str">
        <f t="shared" si="14"/>
        <v/>
      </c>
      <c r="AE40" s="203">
        <v>31</v>
      </c>
      <c r="AF40" s="195" t="str">
        <f t="shared" si="4"/>
        <v/>
      </c>
      <c r="AG40" s="195" t="str">
        <v/>
      </c>
      <c r="AH40" s="205" t="str">
        <v/>
      </c>
      <c r="AI40" s="213"/>
      <c r="AJ40" s="197" t="str">
        <f t="shared" si="15"/>
        <v/>
      </c>
      <c r="AK40" s="203">
        <v>31</v>
      </c>
      <c r="AL40" s="198"/>
      <c r="AM40" s="195"/>
      <c r="AN40" s="196"/>
      <c r="AO40" s="254"/>
      <c r="AP40" s="256" t="str">
        <f t="shared" si="16"/>
        <v/>
      </c>
      <c r="AQ40" s="203">
        <v>31</v>
      </c>
      <c r="AR40" s="195" t="str">
        <f t="shared" si="5"/>
        <v/>
      </c>
      <c r="AS40" s="195" t="str">
        <v/>
      </c>
      <c r="AT40" s="205" t="str">
        <v/>
      </c>
      <c r="AU40" s="213"/>
      <c r="AV40" s="197" t="str">
        <f t="shared" si="17"/>
        <v/>
      </c>
      <c r="AW40" s="203">
        <v>31</v>
      </c>
      <c r="AX40" s="195" t="str">
        <f t="shared" si="6"/>
        <v/>
      </c>
      <c r="AY40" s="195" t="str">
        <v/>
      </c>
      <c r="AZ40" s="205" t="str">
        <v/>
      </c>
      <c r="BA40" s="242"/>
      <c r="BB40" s="197" t="str">
        <f t="shared" si="18"/>
        <v/>
      </c>
      <c r="BC40" s="203">
        <v>31</v>
      </c>
      <c r="BD40" s="195" t="str">
        <f t="shared" si="7"/>
        <v/>
      </c>
      <c r="BE40" s="195" t="str">
        <v/>
      </c>
      <c r="BF40" s="205" t="str">
        <v/>
      </c>
      <c r="BG40" s="242"/>
      <c r="BH40" s="197" t="str">
        <f t="shared" si="19"/>
        <v/>
      </c>
      <c r="BI40" s="203">
        <v>31</v>
      </c>
      <c r="BJ40" s="195" t="str">
        <f t="shared" si="8"/>
        <v/>
      </c>
      <c r="BK40" s="195" t="str">
        <v/>
      </c>
      <c r="BL40" s="205" t="str">
        <v/>
      </c>
      <c r="BM40" s="242"/>
      <c r="BN40" s="197" t="str">
        <f t="shared" si="20"/>
        <v/>
      </c>
      <c r="BO40" s="203">
        <v>31</v>
      </c>
      <c r="BP40" s="195" t="str">
        <f t="shared" si="9"/>
        <v/>
      </c>
      <c r="BQ40" s="195" t="str">
        <v/>
      </c>
      <c r="BR40" s="205" t="str">
        <v/>
      </c>
      <c r="BS40" s="242"/>
      <c r="BT40" s="197" t="str">
        <f t="shared" si="21"/>
        <v/>
      </c>
    </row>
    <row r="41" spans="1:72">
      <c r="A41" s="203">
        <v>32</v>
      </c>
      <c r="B41" s="195" t="str">
        <f t="shared" si="0"/>
        <v/>
      </c>
      <c r="C41" s="195" t="str">
        <v/>
      </c>
      <c r="D41" s="205" t="str">
        <v/>
      </c>
      <c r="E41" s="213"/>
      <c r="F41" s="197" t="str">
        <f t="shared" si="10"/>
        <v/>
      </c>
      <c r="G41" s="203">
        <v>32</v>
      </c>
      <c r="H41" s="195" t="str">
        <f t="shared" si="1"/>
        <v/>
      </c>
      <c r="I41" s="195" t="str">
        <v/>
      </c>
      <c r="J41" s="205" t="str">
        <v/>
      </c>
      <c r="K41" s="242"/>
      <c r="L41" s="197" t="str">
        <f t="shared" si="11"/>
        <v/>
      </c>
      <c r="M41" s="203">
        <v>32</v>
      </c>
      <c r="N41" s="195" t="str">
        <f t="shared" si="2"/>
        <v/>
      </c>
      <c r="O41" s="195" t="str">
        <v/>
      </c>
      <c r="P41" s="205" t="str">
        <v/>
      </c>
      <c r="Q41" s="213"/>
      <c r="R41" s="197" t="str">
        <f t="shared" si="12"/>
        <v/>
      </c>
      <c r="S41" s="203">
        <v>32</v>
      </c>
      <c r="T41" s="195" t="str">
        <f t="shared" si="3"/>
        <v/>
      </c>
      <c r="U41" s="195" t="str">
        <v/>
      </c>
      <c r="V41" s="205" t="str">
        <v/>
      </c>
      <c r="W41" s="213"/>
      <c r="X41" s="197" t="str">
        <f t="shared" si="13"/>
        <v/>
      </c>
      <c r="Y41" s="203">
        <v>32</v>
      </c>
      <c r="Z41" s="195"/>
      <c r="AA41" s="195"/>
      <c r="AB41" s="205"/>
      <c r="AC41" s="213"/>
      <c r="AD41" s="197" t="str">
        <f t="shared" si="14"/>
        <v/>
      </c>
      <c r="AE41" s="203">
        <v>32</v>
      </c>
      <c r="AF41" s="195" t="str">
        <f t="shared" si="4"/>
        <v/>
      </c>
      <c r="AG41" s="195" t="str">
        <v/>
      </c>
      <c r="AH41" s="205" t="str">
        <v/>
      </c>
      <c r="AI41" s="213"/>
      <c r="AJ41" s="197" t="str">
        <f t="shared" si="15"/>
        <v/>
      </c>
      <c r="AK41" s="203">
        <v>32</v>
      </c>
      <c r="AL41" s="198"/>
      <c r="AM41" s="195"/>
      <c r="AN41" s="196"/>
      <c r="AO41" s="254"/>
      <c r="AP41" s="256" t="str">
        <f t="shared" si="16"/>
        <v/>
      </c>
      <c r="AQ41" s="203">
        <v>32</v>
      </c>
      <c r="AR41" s="195" t="str">
        <f t="shared" si="5"/>
        <v/>
      </c>
      <c r="AS41" s="195" t="str">
        <v/>
      </c>
      <c r="AT41" s="205" t="str">
        <v/>
      </c>
      <c r="AU41" s="213"/>
      <c r="AV41" s="197" t="str">
        <f t="shared" si="17"/>
        <v/>
      </c>
      <c r="AW41" s="203">
        <v>32</v>
      </c>
      <c r="AX41" s="195" t="str">
        <f t="shared" si="6"/>
        <v/>
      </c>
      <c r="AY41" s="195" t="str">
        <v/>
      </c>
      <c r="AZ41" s="205" t="str">
        <v/>
      </c>
      <c r="BA41" s="242"/>
      <c r="BB41" s="197" t="str">
        <f t="shared" si="18"/>
        <v/>
      </c>
      <c r="BC41" s="203">
        <v>32</v>
      </c>
      <c r="BD41" s="195" t="str">
        <f t="shared" si="7"/>
        <v/>
      </c>
      <c r="BE41" s="195" t="str">
        <v/>
      </c>
      <c r="BF41" s="205" t="str">
        <v/>
      </c>
      <c r="BG41" s="242"/>
      <c r="BH41" s="197" t="str">
        <f t="shared" si="19"/>
        <v/>
      </c>
      <c r="BI41" s="203">
        <v>32</v>
      </c>
      <c r="BJ41" s="195" t="str">
        <f t="shared" si="8"/>
        <v/>
      </c>
      <c r="BK41" s="195" t="str">
        <v/>
      </c>
      <c r="BL41" s="205" t="str">
        <v/>
      </c>
      <c r="BM41" s="242"/>
      <c r="BN41" s="197" t="str">
        <f t="shared" si="20"/>
        <v/>
      </c>
      <c r="BO41" s="203">
        <v>32</v>
      </c>
      <c r="BP41" s="195" t="str">
        <f t="shared" si="9"/>
        <v/>
      </c>
      <c r="BQ41" s="195" t="str">
        <v/>
      </c>
      <c r="BR41" s="205" t="str">
        <v/>
      </c>
      <c r="BS41" s="242"/>
      <c r="BT41" s="197" t="str">
        <f t="shared" si="21"/>
        <v/>
      </c>
    </row>
    <row r="42" spans="1:72">
      <c r="A42" s="203">
        <v>33</v>
      </c>
      <c r="B42" s="195" t="str">
        <f t="shared" ref="B42:B73" si="22">IF(C42="","",VLOOKUP(C42,Instruments.OIS.EUR,6,0))</f>
        <v/>
      </c>
      <c r="C42" s="195" t="str">
        <v/>
      </c>
      <c r="D42" s="205" t="str">
        <v/>
      </c>
      <c r="E42" s="213"/>
      <c r="F42" s="197" t="str">
        <f t="shared" si="10"/>
        <v/>
      </c>
      <c r="G42" s="203">
        <v>33</v>
      </c>
      <c r="H42" s="195" t="str">
        <f t="shared" si="1"/>
        <v/>
      </c>
      <c r="I42" s="195" t="str">
        <v/>
      </c>
      <c r="J42" s="205" t="str">
        <v/>
      </c>
      <c r="K42" s="242"/>
      <c r="L42" s="197" t="str">
        <f t="shared" si="11"/>
        <v/>
      </c>
      <c r="M42" s="203">
        <v>33</v>
      </c>
      <c r="N42" s="195" t="str">
        <f t="shared" ref="N42:N73" si="23">IF(O42="","",VLOOKUP(O42,Instruments.OIS.EUR,6,0))</f>
        <v/>
      </c>
      <c r="O42" s="195" t="str">
        <v/>
      </c>
      <c r="P42" s="205" t="str">
        <v/>
      </c>
      <c r="Q42" s="213"/>
      <c r="R42" s="197" t="str">
        <f t="shared" si="12"/>
        <v/>
      </c>
      <c r="S42" s="203">
        <v>33</v>
      </c>
      <c r="T42" s="195" t="str">
        <f t="shared" ref="T42:T73" si="24">IF(U42="","",VLOOKUP(U42,Instruments.Swaps.EUR,6,0))</f>
        <v/>
      </c>
      <c r="U42" s="195" t="str">
        <v/>
      </c>
      <c r="V42" s="205" t="str">
        <v/>
      </c>
      <c r="W42" s="213"/>
      <c r="X42" s="197" t="str">
        <f t="shared" si="13"/>
        <v/>
      </c>
      <c r="Y42" s="203">
        <v>33</v>
      </c>
      <c r="Z42" s="195"/>
      <c r="AA42" s="195"/>
      <c r="AB42" s="205"/>
      <c r="AC42" s="213"/>
      <c r="AD42" s="197" t="str">
        <f t="shared" si="14"/>
        <v/>
      </c>
      <c r="AE42" s="203">
        <v>33</v>
      </c>
      <c r="AF42" s="195" t="str">
        <f t="shared" ref="AF42:AF73" si="25">IF(AG42="","",VLOOKUP(AG42,Instruments.Swaps.EUR,6,0))</f>
        <v/>
      </c>
      <c r="AG42" s="195" t="str">
        <v/>
      </c>
      <c r="AH42" s="205" t="str">
        <v/>
      </c>
      <c r="AI42" s="213"/>
      <c r="AJ42" s="197" t="str">
        <f t="shared" si="15"/>
        <v/>
      </c>
      <c r="AK42" s="203">
        <v>33</v>
      </c>
      <c r="AL42" s="198"/>
      <c r="AM42" s="195"/>
      <c r="AN42" s="196"/>
      <c r="AO42" s="254"/>
      <c r="AP42" s="256" t="str">
        <f t="shared" si="16"/>
        <v/>
      </c>
      <c r="AQ42" s="203">
        <v>33</v>
      </c>
      <c r="AR42" s="195" t="str">
        <f t="shared" ref="AR42:AR73" si="26">IF(AS42="","",VLOOKUP(AS42,Instruments.Swaps.EUR,6,0))</f>
        <v/>
      </c>
      <c r="AS42" s="195" t="str">
        <v/>
      </c>
      <c r="AT42" s="205" t="str">
        <v/>
      </c>
      <c r="AU42" s="213"/>
      <c r="AV42" s="197" t="str">
        <f t="shared" si="17"/>
        <v/>
      </c>
      <c r="AW42" s="203">
        <v>33</v>
      </c>
      <c r="AX42" s="195" t="str">
        <f t="shared" ref="AX42:AX73" si="27">IF(AY42="","",VLOOKUP(AY42,Instruments.TenorBasis1.EUR,6,0))</f>
        <v/>
      </c>
      <c r="AY42" s="195" t="str">
        <v/>
      </c>
      <c r="AZ42" s="205" t="str">
        <v/>
      </c>
      <c r="BA42" s="242"/>
      <c r="BB42" s="197" t="str">
        <f t="shared" si="18"/>
        <v/>
      </c>
      <c r="BC42" s="203">
        <v>33</v>
      </c>
      <c r="BD42" s="195" t="str">
        <f t="shared" ref="BD42:BD73" si="28">IF(BE42="","",VLOOKUP(BE42,Instruments.TenorBasis2.EUR,6,0))</f>
        <v/>
      </c>
      <c r="BE42" s="195" t="str">
        <v/>
      </c>
      <c r="BF42" s="205" t="str">
        <v/>
      </c>
      <c r="BG42" s="242"/>
      <c r="BH42" s="197" t="str">
        <f t="shared" si="19"/>
        <v/>
      </c>
      <c r="BI42" s="203">
        <v>33</v>
      </c>
      <c r="BJ42" s="195" t="str">
        <f t="shared" ref="BJ42:BJ73" si="29">IF(BK42="","",VLOOKUP(BK42,Instruments.TenorBasis3.EUR,6,0))</f>
        <v/>
      </c>
      <c r="BK42" s="195" t="str">
        <v/>
      </c>
      <c r="BL42" s="205" t="str">
        <v/>
      </c>
      <c r="BM42" s="242"/>
      <c r="BN42" s="197" t="str">
        <f t="shared" si="20"/>
        <v/>
      </c>
      <c r="BO42" s="203">
        <v>33</v>
      </c>
      <c r="BP42" s="195" t="str">
        <f t="shared" ref="BP42:BP73" si="30">IF(BQ42="","",VLOOKUP(BQ42,Instruments.XccyBasis.EUR,6,0))</f>
        <v/>
      </c>
      <c r="BQ42" s="195" t="str">
        <v/>
      </c>
      <c r="BR42" s="205" t="str">
        <v/>
      </c>
      <c r="BS42" s="242"/>
      <c r="BT42" s="197" t="str">
        <f t="shared" si="21"/>
        <v/>
      </c>
    </row>
    <row r="43" spans="1:72">
      <c r="A43" s="203">
        <v>34</v>
      </c>
      <c r="B43" s="195" t="str">
        <f t="shared" si="22"/>
        <v/>
      </c>
      <c r="C43" s="195" t="str">
        <v/>
      </c>
      <c r="D43" s="205" t="str">
        <v/>
      </c>
      <c r="E43" s="213"/>
      <c r="F43" s="197" t="str">
        <f t="shared" si="10"/>
        <v/>
      </c>
      <c r="G43" s="203">
        <v>34</v>
      </c>
      <c r="H43" s="195" t="str">
        <f t="shared" si="1"/>
        <v/>
      </c>
      <c r="I43" s="195" t="str">
        <v/>
      </c>
      <c r="J43" s="205" t="str">
        <v/>
      </c>
      <c r="K43" s="242"/>
      <c r="L43" s="197" t="str">
        <f t="shared" si="11"/>
        <v/>
      </c>
      <c r="M43" s="203">
        <v>34</v>
      </c>
      <c r="N43" s="195" t="str">
        <f t="shared" si="23"/>
        <v/>
      </c>
      <c r="O43" s="195" t="str">
        <v/>
      </c>
      <c r="P43" s="205" t="str">
        <v/>
      </c>
      <c r="Q43" s="213"/>
      <c r="R43" s="197" t="str">
        <f t="shared" si="12"/>
        <v/>
      </c>
      <c r="S43" s="203">
        <v>34</v>
      </c>
      <c r="T43" s="195" t="str">
        <f t="shared" si="24"/>
        <v/>
      </c>
      <c r="U43" s="195" t="str">
        <v/>
      </c>
      <c r="V43" s="205" t="str">
        <v/>
      </c>
      <c r="W43" s="213"/>
      <c r="X43" s="197" t="str">
        <f t="shared" si="13"/>
        <v/>
      </c>
      <c r="Y43" s="203">
        <v>34</v>
      </c>
      <c r="Z43" s="195"/>
      <c r="AA43" s="195"/>
      <c r="AB43" s="205"/>
      <c r="AC43" s="213"/>
      <c r="AD43" s="197" t="str">
        <f t="shared" si="14"/>
        <v/>
      </c>
      <c r="AE43" s="203">
        <v>34</v>
      </c>
      <c r="AF43" s="195" t="str">
        <f t="shared" si="25"/>
        <v/>
      </c>
      <c r="AG43" s="195" t="str">
        <v/>
      </c>
      <c r="AH43" s="205" t="str">
        <v/>
      </c>
      <c r="AI43" s="213"/>
      <c r="AJ43" s="197" t="str">
        <f t="shared" si="15"/>
        <v/>
      </c>
      <c r="AK43" s="203">
        <v>34</v>
      </c>
      <c r="AL43" s="198"/>
      <c r="AM43" s="195"/>
      <c r="AN43" s="196"/>
      <c r="AO43" s="254"/>
      <c r="AP43" s="256" t="str">
        <f t="shared" si="16"/>
        <v/>
      </c>
      <c r="AQ43" s="203">
        <v>34</v>
      </c>
      <c r="AR43" s="195" t="str">
        <f t="shared" si="26"/>
        <v/>
      </c>
      <c r="AS43" s="195" t="str">
        <v/>
      </c>
      <c r="AT43" s="205" t="str">
        <v/>
      </c>
      <c r="AU43" s="213"/>
      <c r="AV43" s="197" t="str">
        <f t="shared" si="17"/>
        <v/>
      </c>
      <c r="AW43" s="203">
        <v>34</v>
      </c>
      <c r="AX43" s="195" t="str">
        <f t="shared" si="27"/>
        <v/>
      </c>
      <c r="AY43" s="195" t="str">
        <v/>
      </c>
      <c r="AZ43" s="205" t="str">
        <v/>
      </c>
      <c r="BA43" s="242"/>
      <c r="BB43" s="197" t="str">
        <f t="shared" si="18"/>
        <v/>
      </c>
      <c r="BC43" s="203">
        <v>34</v>
      </c>
      <c r="BD43" s="195" t="str">
        <f t="shared" si="28"/>
        <v/>
      </c>
      <c r="BE43" s="195" t="str">
        <v/>
      </c>
      <c r="BF43" s="205" t="str">
        <v/>
      </c>
      <c r="BG43" s="242"/>
      <c r="BH43" s="197" t="str">
        <f t="shared" si="19"/>
        <v/>
      </c>
      <c r="BI43" s="203">
        <v>34</v>
      </c>
      <c r="BJ43" s="195" t="str">
        <f t="shared" si="29"/>
        <v/>
      </c>
      <c r="BK43" s="195" t="str">
        <v/>
      </c>
      <c r="BL43" s="205" t="str">
        <v/>
      </c>
      <c r="BM43" s="242"/>
      <c r="BN43" s="197" t="str">
        <f t="shared" si="20"/>
        <v/>
      </c>
      <c r="BO43" s="203">
        <v>34</v>
      </c>
      <c r="BP43" s="195" t="str">
        <f t="shared" si="30"/>
        <v/>
      </c>
      <c r="BQ43" s="195" t="str">
        <v/>
      </c>
      <c r="BR43" s="205" t="str">
        <v/>
      </c>
      <c r="BS43" s="242"/>
      <c r="BT43" s="197" t="str">
        <f t="shared" si="21"/>
        <v/>
      </c>
    </row>
    <row r="44" spans="1:72">
      <c r="A44" s="203">
        <v>35</v>
      </c>
      <c r="B44" s="195" t="str">
        <f t="shared" si="22"/>
        <v/>
      </c>
      <c r="C44" s="195" t="str">
        <v/>
      </c>
      <c r="D44" s="205" t="str">
        <v/>
      </c>
      <c r="E44" s="213"/>
      <c r="F44" s="197" t="str">
        <f t="shared" si="10"/>
        <v/>
      </c>
      <c r="G44" s="203">
        <v>35</v>
      </c>
      <c r="H44" s="195" t="str">
        <f t="shared" si="1"/>
        <v/>
      </c>
      <c r="I44" s="195" t="str">
        <v/>
      </c>
      <c r="J44" s="205" t="str">
        <v/>
      </c>
      <c r="K44" s="242"/>
      <c r="L44" s="197" t="str">
        <f t="shared" si="11"/>
        <v/>
      </c>
      <c r="M44" s="203">
        <v>35</v>
      </c>
      <c r="N44" s="195" t="str">
        <f t="shared" si="23"/>
        <v/>
      </c>
      <c r="O44" s="195" t="str">
        <v/>
      </c>
      <c r="P44" s="205" t="str">
        <v/>
      </c>
      <c r="Q44" s="213"/>
      <c r="R44" s="197" t="str">
        <f t="shared" si="12"/>
        <v/>
      </c>
      <c r="S44" s="203">
        <v>35</v>
      </c>
      <c r="T44" s="195" t="str">
        <f t="shared" si="24"/>
        <v/>
      </c>
      <c r="U44" s="195" t="str">
        <v/>
      </c>
      <c r="V44" s="205" t="str">
        <v/>
      </c>
      <c r="W44" s="213"/>
      <c r="X44" s="197" t="str">
        <f t="shared" si="13"/>
        <v/>
      </c>
      <c r="Y44" s="203">
        <v>35</v>
      </c>
      <c r="Z44" s="195"/>
      <c r="AA44" s="195"/>
      <c r="AB44" s="205"/>
      <c r="AC44" s="213"/>
      <c r="AD44" s="197" t="str">
        <f t="shared" si="14"/>
        <v/>
      </c>
      <c r="AE44" s="203">
        <v>35</v>
      </c>
      <c r="AF44" s="195" t="str">
        <f t="shared" si="25"/>
        <v/>
      </c>
      <c r="AG44" s="195" t="str">
        <v/>
      </c>
      <c r="AH44" s="205" t="str">
        <v/>
      </c>
      <c r="AI44" s="213"/>
      <c r="AJ44" s="197" t="str">
        <f t="shared" si="15"/>
        <v/>
      </c>
      <c r="AK44" s="203">
        <v>35</v>
      </c>
      <c r="AL44" s="198"/>
      <c r="AM44" s="195"/>
      <c r="AN44" s="196"/>
      <c r="AO44" s="254"/>
      <c r="AP44" s="256" t="str">
        <f t="shared" si="16"/>
        <v/>
      </c>
      <c r="AQ44" s="203">
        <v>35</v>
      </c>
      <c r="AR44" s="195" t="str">
        <f t="shared" si="26"/>
        <v/>
      </c>
      <c r="AS44" s="195" t="str">
        <v/>
      </c>
      <c r="AT44" s="205" t="str">
        <v/>
      </c>
      <c r="AU44" s="213"/>
      <c r="AV44" s="197" t="str">
        <f t="shared" si="17"/>
        <v/>
      </c>
      <c r="AW44" s="203">
        <v>35</v>
      </c>
      <c r="AX44" s="195" t="str">
        <f t="shared" si="27"/>
        <v/>
      </c>
      <c r="AY44" s="195" t="str">
        <v/>
      </c>
      <c r="AZ44" s="205" t="str">
        <v/>
      </c>
      <c r="BA44" s="242"/>
      <c r="BB44" s="197" t="str">
        <f t="shared" si="18"/>
        <v/>
      </c>
      <c r="BC44" s="203">
        <v>35</v>
      </c>
      <c r="BD44" s="195" t="str">
        <f t="shared" si="28"/>
        <v/>
      </c>
      <c r="BE44" s="195" t="str">
        <v/>
      </c>
      <c r="BF44" s="205" t="str">
        <v/>
      </c>
      <c r="BG44" s="242"/>
      <c r="BH44" s="197" t="str">
        <f t="shared" si="19"/>
        <v/>
      </c>
      <c r="BI44" s="203">
        <v>35</v>
      </c>
      <c r="BJ44" s="195" t="str">
        <f t="shared" si="29"/>
        <v/>
      </c>
      <c r="BK44" s="195" t="str">
        <v/>
      </c>
      <c r="BL44" s="205" t="str">
        <v/>
      </c>
      <c r="BM44" s="242"/>
      <c r="BN44" s="197" t="str">
        <f t="shared" si="20"/>
        <v/>
      </c>
      <c r="BO44" s="203">
        <v>35</v>
      </c>
      <c r="BP44" s="195" t="str">
        <f t="shared" si="30"/>
        <v/>
      </c>
      <c r="BQ44" s="195" t="str">
        <v/>
      </c>
      <c r="BR44" s="205" t="str">
        <v/>
      </c>
      <c r="BS44" s="242"/>
      <c r="BT44" s="197" t="str">
        <f t="shared" si="21"/>
        <v/>
      </c>
    </row>
    <row r="45" spans="1:72">
      <c r="A45" s="203">
        <v>36</v>
      </c>
      <c r="B45" s="195" t="str">
        <f t="shared" si="22"/>
        <v/>
      </c>
      <c r="C45" s="195" t="str">
        <v/>
      </c>
      <c r="D45" s="205" t="str">
        <v/>
      </c>
      <c r="E45" s="213"/>
      <c r="F45" s="197" t="str">
        <f t="shared" si="10"/>
        <v/>
      </c>
      <c r="G45" s="203">
        <v>36</v>
      </c>
      <c r="H45" s="195" t="str">
        <f t="shared" si="1"/>
        <v/>
      </c>
      <c r="I45" s="195" t="str">
        <v/>
      </c>
      <c r="J45" s="205" t="str">
        <v/>
      </c>
      <c r="K45" s="242"/>
      <c r="L45" s="197" t="str">
        <f t="shared" si="11"/>
        <v/>
      </c>
      <c r="M45" s="203">
        <v>36</v>
      </c>
      <c r="N45" s="195" t="str">
        <f t="shared" si="23"/>
        <v/>
      </c>
      <c r="O45" s="195" t="str">
        <v/>
      </c>
      <c r="P45" s="205" t="str">
        <v/>
      </c>
      <c r="Q45" s="213"/>
      <c r="R45" s="197" t="str">
        <f t="shared" si="12"/>
        <v/>
      </c>
      <c r="S45" s="203">
        <v>36</v>
      </c>
      <c r="T45" s="195" t="str">
        <f t="shared" si="24"/>
        <v/>
      </c>
      <c r="U45" s="195" t="str">
        <v/>
      </c>
      <c r="V45" s="205" t="str">
        <v/>
      </c>
      <c r="W45" s="213"/>
      <c r="X45" s="197" t="str">
        <f t="shared" si="13"/>
        <v/>
      </c>
      <c r="Y45" s="203">
        <v>36</v>
      </c>
      <c r="Z45" s="195"/>
      <c r="AA45" s="195"/>
      <c r="AB45" s="205"/>
      <c r="AC45" s="213"/>
      <c r="AD45" s="197" t="str">
        <f t="shared" si="14"/>
        <v/>
      </c>
      <c r="AE45" s="203">
        <v>36</v>
      </c>
      <c r="AF45" s="195" t="str">
        <f t="shared" si="25"/>
        <v/>
      </c>
      <c r="AG45" s="195" t="str">
        <v/>
      </c>
      <c r="AH45" s="205" t="str">
        <v/>
      </c>
      <c r="AI45" s="213"/>
      <c r="AJ45" s="197" t="str">
        <f t="shared" si="15"/>
        <v/>
      </c>
      <c r="AK45" s="203">
        <v>36</v>
      </c>
      <c r="AL45" s="198"/>
      <c r="AM45" s="195"/>
      <c r="AN45" s="196"/>
      <c r="AO45" s="254"/>
      <c r="AP45" s="256" t="str">
        <f t="shared" si="16"/>
        <v/>
      </c>
      <c r="AQ45" s="203">
        <v>36</v>
      </c>
      <c r="AR45" s="195" t="str">
        <f t="shared" si="26"/>
        <v/>
      </c>
      <c r="AS45" s="195" t="str">
        <v/>
      </c>
      <c r="AT45" s="205" t="str">
        <v/>
      </c>
      <c r="AU45" s="213"/>
      <c r="AV45" s="197" t="str">
        <f t="shared" si="17"/>
        <v/>
      </c>
      <c r="AW45" s="203">
        <v>36</v>
      </c>
      <c r="AX45" s="195" t="str">
        <f t="shared" si="27"/>
        <v/>
      </c>
      <c r="AY45" s="195" t="str">
        <v/>
      </c>
      <c r="AZ45" s="205" t="str">
        <v/>
      </c>
      <c r="BA45" s="242"/>
      <c r="BB45" s="197" t="str">
        <f t="shared" si="18"/>
        <v/>
      </c>
      <c r="BC45" s="203">
        <v>36</v>
      </c>
      <c r="BD45" s="195" t="str">
        <f t="shared" si="28"/>
        <v/>
      </c>
      <c r="BE45" s="195" t="str">
        <v/>
      </c>
      <c r="BF45" s="205" t="str">
        <v/>
      </c>
      <c r="BG45" s="242"/>
      <c r="BH45" s="197" t="str">
        <f t="shared" si="19"/>
        <v/>
      </c>
      <c r="BI45" s="203">
        <v>36</v>
      </c>
      <c r="BJ45" s="195" t="str">
        <f t="shared" si="29"/>
        <v/>
      </c>
      <c r="BK45" s="195" t="str">
        <v/>
      </c>
      <c r="BL45" s="205" t="str">
        <v/>
      </c>
      <c r="BM45" s="242"/>
      <c r="BN45" s="197" t="str">
        <f t="shared" si="20"/>
        <v/>
      </c>
      <c r="BO45" s="203">
        <v>36</v>
      </c>
      <c r="BP45" s="195" t="str">
        <f t="shared" si="30"/>
        <v/>
      </c>
      <c r="BQ45" s="195" t="str">
        <v/>
      </c>
      <c r="BR45" s="205" t="str">
        <v/>
      </c>
      <c r="BS45" s="242"/>
      <c r="BT45" s="197" t="str">
        <f t="shared" si="21"/>
        <v/>
      </c>
    </row>
    <row r="46" spans="1:72">
      <c r="A46" s="203">
        <v>37</v>
      </c>
      <c r="B46" s="195" t="str">
        <f t="shared" si="22"/>
        <v/>
      </c>
      <c r="C46" s="195" t="str">
        <v/>
      </c>
      <c r="D46" s="205" t="str">
        <v/>
      </c>
      <c r="E46" s="213"/>
      <c r="F46" s="197" t="str">
        <f t="shared" si="10"/>
        <v/>
      </c>
      <c r="G46" s="203">
        <v>37</v>
      </c>
      <c r="H46" s="195" t="str">
        <f t="shared" si="1"/>
        <v/>
      </c>
      <c r="I46" s="195" t="str">
        <v/>
      </c>
      <c r="J46" s="205" t="str">
        <v/>
      </c>
      <c r="K46" s="242"/>
      <c r="L46" s="197" t="str">
        <f t="shared" si="11"/>
        <v/>
      </c>
      <c r="M46" s="203">
        <v>37</v>
      </c>
      <c r="N46" s="195" t="str">
        <f t="shared" si="23"/>
        <v/>
      </c>
      <c r="O46" s="195" t="str">
        <v/>
      </c>
      <c r="P46" s="205" t="str">
        <v/>
      </c>
      <c r="Q46" s="213"/>
      <c r="R46" s="197" t="str">
        <f t="shared" si="12"/>
        <v/>
      </c>
      <c r="S46" s="203">
        <v>37</v>
      </c>
      <c r="T46" s="195" t="str">
        <f t="shared" si="24"/>
        <v/>
      </c>
      <c r="U46" s="195" t="str">
        <v/>
      </c>
      <c r="V46" s="205" t="str">
        <v/>
      </c>
      <c r="W46" s="213"/>
      <c r="X46" s="197" t="str">
        <f t="shared" si="13"/>
        <v/>
      </c>
      <c r="Y46" s="203">
        <v>37</v>
      </c>
      <c r="Z46" s="195"/>
      <c r="AA46" s="195"/>
      <c r="AB46" s="205"/>
      <c r="AC46" s="213"/>
      <c r="AD46" s="197" t="str">
        <f t="shared" si="14"/>
        <v/>
      </c>
      <c r="AE46" s="203">
        <v>37</v>
      </c>
      <c r="AF46" s="195" t="str">
        <f t="shared" si="25"/>
        <v/>
      </c>
      <c r="AG46" s="195" t="str">
        <v/>
      </c>
      <c r="AH46" s="205" t="str">
        <v/>
      </c>
      <c r="AI46" s="213"/>
      <c r="AJ46" s="197" t="str">
        <f t="shared" si="15"/>
        <v/>
      </c>
      <c r="AK46" s="203">
        <v>37</v>
      </c>
      <c r="AL46" s="198"/>
      <c r="AM46" s="195"/>
      <c r="AN46" s="196"/>
      <c r="AO46" s="254"/>
      <c r="AP46" s="256" t="str">
        <f t="shared" si="16"/>
        <v/>
      </c>
      <c r="AQ46" s="203">
        <v>37</v>
      </c>
      <c r="AR46" s="195" t="str">
        <f t="shared" si="26"/>
        <v/>
      </c>
      <c r="AS46" s="195" t="str">
        <v/>
      </c>
      <c r="AT46" s="205" t="str">
        <v/>
      </c>
      <c r="AU46" s="213"/>
      <c r="AV46" s="197" t="str">
        <f t="shared" si="17"/>
        <v/>
      </c>
      <c r="AW46" s="203">
        <v>37</v>
      </c>
      <c r="AX46" s="195" t="str">
        <f t="shared" si="27"/>
        <v/>
      </c>
      <c r="AY46" s="195" t="str">
        <v/>
      </c>
      <c r="AZ46" s="205" t="str">
        <v/>
      </c>
      <c r="BA46" s="242"/>
      <c r="BB46" s="197" t="str">
        <f t="shared" si="18"/>
        <v/>
      </c>
      <c r="BC46" s="203">
        <v>37</v>
      </c>
      <c r="BD46" s="195" t="str">
        <f t="shared" si="28"/>
        <v/>
      </c>
      <c r="BE46" s="195" t="str">
        <v/>
      </c>
      <c r="BF46" s="205" t="str">
        <v/>
      </c>
      <c r="BG46" s="242"/>
      <c r="BH46" s="197" t="str">
        <f t="shared" si="19"/>
        <v/>
      </c>
      <c r="BI46" s="203">
        <v>37</v>
      </c>
      <c r="BJ46" s="195" t="str">
        <f t="shared" si="29"/>
        <v/>
      </c>
      <c r="BK46" s="195" t="str">
        <v/>
      </c>
      <c r="BL46" s="205" t="str">
        <v/>
      </c>
      <c r="BM46" s="242"/>
      <c r="BN46" s="197" t="str">
        <f t="shared" si="20"/>
        <v/>
      </c>
      <c r="BO46" s="203">
        <v>37</v>
      </c>
      <c r="BP46" s="195" t="str">
        <f t="shared" si="30"/>
        <v/>
      </c>
      <c r="BQ46" s="195" t="str">
        <v/>
      </c>
      <c r="BR46" s="205" t="str">
        <v/>
      </c>
      <c r="BS46" s="242"/>
      <c r="BT46" s="197" t="str">
        <f t="shared" si="21"/>
        <v/>
      </c>
    </row>
    <row r="47" spans="1:72">
      <c r="A47" s="203">
        <v>38</v>
      </c>
      <c r="B47" s="195" t="str">
        <f t="shared" si="22"/>
        <v/>
      </c>
      <c r="C47" s="195" t="str">
        <v/>
      </c>
      <c r="D47" s="205" t="str">
        <v/>
      </c>
      <c r="E47" s="213"/>
      <c r="F47" s="197" t="str">
        <f t="shared" si="10"/>
        <v/>
      </c>
      <c r="G47" s="203">
        <v>38</v>
      </c>
      <c r="H47" s="195" t="str">
        <f t="shared" si="1"/>
        <v/>
      </c>
      <c r="I47" s="195" t="str">
        <v/>
      </c>
      <c r="J47" s="205" t="str">
        <v/>
      </c>
      <c r="K47" s="242"/>
      <c r="L47" s="197" t="str">
        <f t="shared" si="11"/>
        <v/>
      </c>
      <c r="M47" s="203">
        <v>38</v>
      </c>
      <c r="N47" s="195" t="str">
        <f t="shared" si="23"/>
        <v/>
      </c>
      <c r="O47" s="195" t="str">
        <v/>
      </c>
      <c r="P47" s="205" t="str">
        <v/>
      </c>
      <c r="Q47" s="213"/>
      <c r="R47" s="197" t="str">
        <f t="shared" si="12"/>
        <v/>
      </c>
      <c r="S47" s="203">
        <v>38</v>
      </c>
      <c r="T47" s="195" t="str">
        <f t="shared" si="24"/>
        <v/>
      </c>
      <c r="U47" s="195" t="str">
        <v/>
      </c>
      <c r="V47" s="205" t="str">
        <v/>
      </c>
      <c r="W47" s="213"/>
      <c r="X47" s="197" t="str">
        <f t="shared" si="13"/>
        <v/>
      </c>
      <c r="Y47" s="203">
        <v>38</v>
      </c>
      <c r="Z47" s="195"/>
      <c r="AA47" s="195"/>
      <c r="AB47" s="205"/>
      <c r="AC47" s="213"/>
      <c r="AD47" s="197" t="str">
        <f t="shared" si="14"/>
        <v/>
      </c>
      <c r="AE47" s="203">
        <v>38</v>
      </c>
      <c r="AF47" s="195" t="str">
        <f t="shared" si="25"/>
        <v/>
      </c>
      <c r="AG47" s="195" t="str">
        <v/>
      </c>
      <c r="AH47" s="205" t="str">
        <v/>
      </c>
      <c r="AI47" s="213"/>
      <c r="AJ47" s="197" t="str">
        <f t="shared" si="15"/>
        <v/>
      </c>
      <c r="AK47" s="203">
        <v>38</v>
      </c>
      <c r="AL47" s="198"/>
      <c r="AM47" s="195"/>
      <c r="AN47" s="196"/>
      <c r="AO47" s="254"/>
      <c r="AP47" s="256" t="str">
        <f t="shared" si="16"/>
        <v/>
      </c>
      <c r="AQ47" s="203">
        <v>38</v>
      </c>
      <c r="AR47" s="195" t="str">
        <f t="shared" si="26"/>
        <v/>
      </c>
      <c r="AS47" s="195" t="str">
        <v/>
      </c>
      <c r="AT47" s="205" t="str">
        <v/>
      </c>
      <c r="AU47" s="213"/>
      <c r="AV47" s="197" t="str">
        <f t="shared" si="17"/>
        <v/>
      </c>
      <c r="AW47" s="203">
        <v>38</v>
      </c>
      <c r="AX47" s="195" t="str">
        <f t="shared" si="27"/>
        <v/>
      </c>
      <c r="AY47" s="195" t="str">
        <v/>
      </c>
      <c r="AZ47" s="205" t="str">
        <v/>
      </c>
      <c r="BA47" s="242"/>
      <c r="BB47" s="197" t="str">
        <f t="shared" si="18"/>
        <v/>
      </c>
      <c r="BC47" s="203">
        <v>38</v>
      </c>
      <c r="BD47" s="195" t="str">
        <f t="shared" si="28"/>
        <v/>
      </c>
      <c r="BE47" s="195" t="str">
        <v/>
      </c>
      <c r="BF47" s="205" t="str">
        <v/>
      </c>
      <c r="BG47" s="242"/>
      <c r="BH47" s="197" t="str">
        <f t="shared" si="19"/>
        <v/>
      </c>
      <c r="BI47" s="203">
        <v>38</v>
      </c>
      <c r="BJ47" s="195" t="str">
        <f t="shared" si="29"/>
        <v/>
      </c>
      <c r="BK47" s="195" t="str">
        <v/>
      </c>
      <c r="BL47" s="205" t="str">
        <v/>
      </c>
      <c r="BM47" s="242"/>
      <c r="BN47" s="197" t="str">
        <f t="shared" si="20"/>
        <v/>
      </c>
      <c r="BO47" s="203">
        <v>38</v>
      </c>
      <c r="BP47" s="195" t="str">
        <f t="shared" si="30"/>
        <v/>
      </c>
      <c r="BQ47" s="195" t="str">
        <v/>
      </c>
      <c r="BR47" s="205" t="str">
        <v/>
      </c>
      <c r="BS47" s="242"/>
      <c r="BT47" s="197" t="str">
        <f t="shared" si="21"/>
        <v/>
      </c>
    </row>
    <row r="48" spans="1:72">
      <c r="A48" s="203">
        <v>39</v>
      </c>
      <c r="B48" s="195" t="str">
        <f t="shared" si="22"/>
        <v/>
      </c>
      <c r="C48" s="195" t="str">
        <v/>
      </c>
      <c r="D48" s="205" t="str">
        <v/>
      </c>
      <c r="E48" s="213"/>
      <c r="F48" s="197" t="str">
        <f t="shared" si="10"/>
        <v/>
      </c>
      <c r="G48" s="203">
        <v>39</v>
      </c>
      <c r="H48" s="195" t="str">
        <f t="shared" si="1"/>
        <v/>
      </c>
      <c r="I48" s="195" t="str">
        <v/>
      </c>
      <c r="J48" s="205" t="str">
        <v/>
      </c>
      <c r="K48" s="242"/>
      <c r="L48" s="197" t="str">
        <f t="shared" si="11"/>
        <v/>
      </c>
      <c r="M48" s="203">
        <v>39</v>
      </c>
      <c r="N48" s="195" t="str">
        <f t="shared" si="23"/>
        <v/>
      </c>
      <c r="O48" s="195" t="str">
        <v/>
      </c>
      <c r="P48" s="205" t="str">
        <v/>
      </c>
      <c r="Q48" s="213"/>
      <c r="R48" s="197" t="str">
        <f t="shared" si="12"/>
        <v/>
      </c>
      <c r="S48" s="203">
        <v>39</v>
      </c>
      <c r="T48" s="195" t="str">
        <f t="shared" si="24"/>
        <v/>
      </c>
      <c r="U48" s="195" t="str">
        <v/>
      </c>
      <c r="V48" s="205" t="str">
        <v/>
      </c>
      <c r="W48" s="213"/>
      <c r="X48" s="197" t="str">
        <f t="shared" si="13"/>
        <v/>
      </c>
      <c r="Y48" s="203">
        <v>39</v>
      </c>
      <c r="Z48" s="195"/>
      <c r="AA48" s="195"/>
      <c r="AB48" s="205"/>
      <c r="AC48" s="213"/>
      <c r="AD48" s="197" t="str">
        <f t="shared" si="14"/>
        <v/>
      </c>
      <c r="AE48" s="203">
        <v>39</v>
      </c>
      <c r="AF48" s="195" t="str">
        <f t="shared" si="25"/>
        <v/>
      </c>
      <c r="AG48" s="195" t="str">
        <v/>
      </c>
      <c r="AH48" s="205" t="str">
        <v/>
      </c>
      <c r="AI48" s="213"/>
      <c r="AJ48" s="197" t="str">
        <f t="shared" si="15"/>
        <v/>
      </c>
      <c r="AK48" s="203">
        <v>39</v>
      </c>
      <c r="AL48" s="198"/>
      <c r="AM48" s="195"/>
      <c r="AN48" s="196"/>
      <c r="AO48" s="254"/>
      <c r="AP48" s="256" t="str">
        <f t="shared" si="16"/>
        <v/>
      </c>
      <c r="AQ48" s="203">
        <v>39</v>
      </c>
      <c r="AR48" s="195" t="str">
        <f t="shared" si="26"/>
        <v/>
      </c>
      <c r="AS48" s="195" t="str">
        <v/>
      </c>
      <c r="AT48" s="205" t="str">
        <v/>
      </c>
      <c r="AU48" s="213"/>
      <c r="AV48" s="197" t="str">
        <f t="shared" si="17"/>
        <v/>
      </c>
      <c r="AW48" s="203">
        <v>39</v>
      </c>
      <c r="AX48" s="195" t="str">
        <f t="shared" si="27"/>
        <v/>
      </c>
      <c r="AY48" s="195" t="str">
        <v/>
      </c>
      <c r="AZ48" s="205" t="str">
        <v/>
      </c>
      <c r="BA48" s="242"/>
      <c r="BB48" s="197" t="str">
        <f t="shared" si="18"/>
        <v/>
      </c>
      <c r="BC48" s="203">
        <v>39</v>
      </c>
      <c r="BD48" s="195" t="str">
        <f t="shared" si="28"/>
        <v/>
      </c>
      <c r="BE48" s="195" t="str">
        <v/>
      </c>
      <c r="BF48" s="205" t="str">
        <v/>
      </c>
      <c r="BG48" s="242"/>
      <c r="BH48" s="197" t="str">
        <f t="shared" si="19"/>
        <v/>
      </c>
      <c r="BI48" s="203">
        <v>39</v>
      </c>
      <c r="BJ48" s="195" t="str">
        <f t="shared" si="29"/>
        <v/>
      </c>
      <c r="BK48" s="195" t="str">
        <v/>
      </c>
      <c r="BL48" s="205" t="str">
        <v/>
      </c>
      <c r="BM48" s="242"/>
      <c r="BN48" s="197" t="str">
        <f t="shared" si="20"/>
        <v/>
      </c>
      <c r="BO48" s="203">
        <v>39</v>
      </c>
      <c r="BP48" s="195" t="str">
        <f t="shared" si="30"/>
        <v/>
      </c>
      <c r="BQ48" s="195" t="str">
        <v/>
      </c>
      <c r="BR48" s="205" t="str">
        <v/>
      </c>
      <c r="BS48" s="242"/>
      <c r="BT48" s="197" t="str">
        <f t="shared" si="21"/>
        <v/>
      </c>
    </row>
    <row r="49" spans="1:72">
      <c r="A49" s="203">
        <v>40</v>
      </c>
      <c r="B49" s="195" t="str">
        <f t="shared" si="22"/>
        <v/>
      </c>
      <c r="C49" s="195" t="str">
        <v/>
      </c>
      <c r="D49" s="205" t="str">
        <v/>
      </c>
      <c r="E49" s="213"/>
      <c r="F49" s="197" t="str">
        <f t="shared" si="10"/>
        <v/>
      </c>
      <c r="G49" s="203">
        <v>40</v>
      </c>
      <c r="H49" s="195" t="str">
        <f t="shared" si="1"/>
        <v/>
      </c>
      <c r="I49" s="195" t="str">
        <v/>
      </c>
      <c r="J49" s="205" t="str">
        <v/>
      </c>
      <c r="K49" s="242"/>
      <c r="L49" s="197" t="str">
        <f t="shared" si="11"/>
        <v/>
      </c>
      <c r="M49" s="203">
        <v>40</v>
      </c>
      <c r="N49" s="195" t="str">
        <f t="shared" si="23"/>
        <v/>
      </c>
      <c r="O49" s="195" t="str">
        <v/>
      </c>
      <c r="P49" s="205" t="str">
        <v/>
      </c>
      <c r="Q49" s="213"/>
      <c r="R49" s="197" t="str">
        <f t="shared" si="12"/>
        <v/>
      </c>
      <c r="S49" s="203">
        <v>40</v>
      </c>
      <c r="T49" s="195" t="str">
        <f t="shared" si="24"/>
        <v/>
      </c>
      <c r="U49" s="195" t="str">
        <v/>
      </c>
      <c r="V49" s="205" t="str">
        <v/>
      </c>
      <c r="W49" s="213"/>
      <c r="X49" s="197" t="str">
        <f t="shared" si="13"/>
        <v/>
      </c>
      <c r="Y49" s="203">
        <v>40</v>
      </c>
      <c r="Z49" s="195"/>
      <c r="AA49" s="195"/>
      <c r="AB49" s="205"/>
      <c r="AC49" s="213"/>
      <c r="AD49" s="197" t="str">
        <f t="shared" si="14"/>
        <v/>
      </c>
      <c r="AE49" s="203">
        <v>40</v>
      </c>
      <c r="AF49" s="195" t="str">
        <f t="shared" si="25"/>
        <v/>
      </c>
      <c r="AG49" s="195" t="str">
        <v/>
      </c>
      <c r="AH49" s="205" t="str">
        <v/>
      </c>
      <c r="AI49" s="213"/>
      <c r="AJ49" s="197" t="str">
        <f t="shared" si="15"/>
        <v/>
      </c>
      <c r="AK49" s="203">
        <v>40</v>
      </c>
      <c r="AL49" s="198"/>
      <c r="AM49" s="195"/>
      <c r="AN49" s="196"/>
      <c r="AO49" s="254"/>
      <c r="AP49" s="256" t="str">
        <f t="shared" si="16"/>
        <v/>
      </c>
      <c r="AQ49" s="203">
        <v>40</v>
      </c>
      <c r="AR49" s="195" t="str">
        <f t="shared" si="26"/>
        <v/>
      </c>
      <c r="AS49" s="195" t="str">
        <v/>
      </c>
      <c r="AT49" s="205" t="str">
        <v/>
      </c>
      <c r="AU49" s="213"/>
      <c r="AV49" s="197" t="str">
        <f t="shared" si="17"/>
        <v/>
      </c>
      <c r="AW49" s="203">
        <v>40</v>
      </c>
      <c r="AX49" s="195" t="str">
        <f t="shared" si="27"/>
        <v/>
      </c>
      <c r="AY49" s="195" t="str">
        <v/>
      </c>
      <c r="AZ49" s="205" t="str">
        <v/>
      </c>
      <c r="BA49" s="242"/>
      <c r="BB49" s="197" t="str">
        <f t="shared" si="18"/>
        <v/>
      </c>
      <c r="BC49" s="203">
        <v>40</v>
      </c>
      <c r="BD49" s="195" t="str">
        <f t="shared" si="28"/>
        <v/>
      </c>
      <c r="BE49" s="195" t="str">
        <v/>
      </c>
      <c r="BF49" s="205" t="str">
        <v/>
      </c>
      <c r="BG49" s="242"/>
      <c r="BH49" s="197" t="str">
        <f t="shared" si="19"/>
        <v/>
      </c>
      <c r="BI49" s="203">
        <v>40</v>
      </c>
      <c r="BJ49" s="195" t="str">
        <f t="shared" si="29"/>
        <v/>
      </c>
      <c r="BK49" s="195" t="str">
        <v/>
      </c>
      <c r="BL49" s="205" t="str">
        <v/>
      </c>
      <c r="BM49" s="242"/>
      <c r="BN49" s="197" t="str">
        <f t="shared" si="20"/>
        <v/>
      </c>
      <c r="BO49" s="203">
        <v>40</v>
      </c>
      <c r="BP49" s="195" t="str">
        <f t="shared" si="30"/>
        <v/>
      </c>
      <c r="BQ49" s="195" t="str">
        <v/>
      </c>
      <c r="BR49" s="205" t="str">
        <v/>
      </c>
      <c r="BS49" s="242"/>
      <c r="BT49" s="197" t="str">
        <f t="shared" si="21"/>
        <v/>
      </c>
    </row>
    <row r="50" spans="1:72">
      <c r="A50" s="203">
        <v>41</v>
      </c>
      <c r="B50" s="195" t="str">
        <f t="shared" si="22"/>
        <v/>
      </c>
      <c r="C50" s="195" t="str">
        <v/>
      </c>
      <c r="D50" s="205" t="str">
        <v/>
      </c>
      <c r="E50" s="213"/>
      <c r="F50" s="197" t="str">
        <f t="shared" si="10"/>
        <v/>
      </c>
      <c r="G50" s="203">
        <v>41</v>
      </c>
      <c r="H50" s="195" t="str">
        <f t="shared" si="1"/>
        <v/>
      </c>
      <c r="I50" s="195" t="str">
        <v/>
      </c>
      <c r="J50" s="205" t="str">
        <v/>
      </c>
      <c r="K50" s="242"/>
      <c r="L50" s="197" t="str">
        <f t="shared" si="11"/>
        <v/>
      </c>
      <c r="M50" s="203">
        <v>41</v>
      </c>
      <c r="N50" s="195" t="str">
        <f t="shared" si="23"/>
        <v/>
      </c>
      <c r="O50" s="195" t="str">
        <v/>
      </c>
      <c r="P50" s="205" t="str">
        <v/>
      </c>
      <c r="Q50" s="213"/>
      <c r="R50" s="197" t="str">
        <f t="shared" si="12"/>
        <v/>
      </c>
      <c r="S50" s="203">
        <v>41</v>
      </c>
      <c r="T50" s="195" t="str">
        <f t="shared" si="24"/>
        <v/>
      </c>
      <c r="U50" s="195" t="str">
        <v/>
      </c>
      <c r="V50" s="205" t="str">
        <v/>
      </c>
      <c r="W50" s="213"/>
      <c r="X50" s="197" t="str">
        <f t="shared" si="13"/>
        <v/>
      </c>
      <c r="Y50" s="203">
        <v>41</v>
      </c>
      <c r="Z50" s="195"/>
      <c r="AA50" s="195"/>
      <c r="AB50" s="205"/>
      <c r="AC50" s="213"/>
      <c r="AD50" s="197" t="str">
        <f t="shared" si="14"/>
        <v/>
      </c>
      <c r="AE50" s="203">
        <v>41</v>
      </c>
      <c r="AF50" s="195" t="str">
        <f t="shared" si="25"/>
        <v/>
      </c>
      <c r="AG50" s="195" t="str">
        <v/>
      </c>
      <c r="AH50" s="205" t="str">
        <v/>
      </c>
      <c r="AI50" s="213"/>
      <c r="AJ50" s="197" t="str">
        <f t="shared" si="15"/>
        <v/>
      </c>
      <c r="AK50" s="203">
        <v>41</v>
      </c>
      <c r="AL50" s="198"/>
      <c r="AM50" s="195"/>
      <c r="AN50" s="196"/>
      <c r="AO50" s="254"/>
      <c r="AP50" s="256" t="str">
        <f t="shared" si="16"/>
        <v/>
      </c>
      <c r="AQ50" s="203">
        <v>41</v>
      </c>
      <c r="AR50" s="195" t="str">
        <f t="shared" si="26"/>
        <v/>
      </c>
      <c r="AS50" s="195" t="str">
        <v/>
      </c>
      <c r="AT50" s="205" t="str">
        <v/>
      </c>
      <c r="AU50" s="213"/>
      <c r="AV50" s="197" t="str">
        <f t="shared" si="17"/>
        <v/>
      </c>
      <c r="AW50" s="203">
        <v>41</v>
      </c>
      <c r="AX50" s="195" t="str">
        <f t="shared" si="27"/>
        <v/>
      </c>
      <c r="AY50" s="195" t="str">
        <v/>
      </c>
      <c r="AZ50" s="205" t="str">
        <v/>
      </c>
      <c r="BA50" s="242"/>
      <c r="BB50" s="197" t="str">
        <f t="shared" si="18"/>
        <v/>
      </c>
      <c r="BC50" s="203">
        <v>41</v>
      </c>
      <c r="BD50" s="195" t="str">
        <f t="shared" si="28"/>
        <v/>
      </c>
      <c r="BE50" s="195" t="str">
        <v/>
      </c>
      <c r="BF50" s="205" t="str">
        <v/>
      </c>
      <c r="BG50" s="242"/>
      <c r="BH50" s="197" t="str">
        <f t="shared" si="19"/>
        <v/>
      </c>
      <c r="BI50" s="203">
        <v>41</v>
      </c>
      <c r="BJ50" s="195" t="str">
        <f t="shared" si="29"/>
        <v/>
      </c>
      <c r="BK50" s="195" t="str">
        <v/>
      </c>
      <c r="BL50" s="205" t="str">
        <v/>
      </c>
      <c r="BM50" s="242"/>
      <c r="BN50" s="197" t="str">
        <f t="shared" si="20"/>
        <v/>
      </c>
      <c r="BO50" s="203">
        <v>41</v>
      </c>
      <c r="BP50" s="195" t="str">
        <f t="shared" si="30"/>
        <v/>
      </c>
      <c r="BQ50" s="195" t="str">
        <v/>
      </c>
      <c r="BR50" s="205" t="str">
        <v/>
      </c>
      <c r="BS50" s="242"/>
      <c r="BT50" s="197" t="str">
        <f t="shared" si="21"/>
        <v/>
      </c>
    </row>
    <row r="51" spans="1:72">
      <c r="A51" s="203">
        <v>42</v>
      </c>
      <c r="B51" s="195" t="str">
        <f t="shared" si="22"/>
        <v/>
      </c>
      <c r="C51" s="195" t="str">
        <v/>
      </c>
      <c r="D51" s="205" t="str">
        <v/>
      </c>
      <c r="E51" s="213"/>
      <c r="F51" s="197" t="str">
        <f t="shared" si="10"/>
        <v/>
      </c>
      <c r="G51" s="203">
        <v>42</v>
      </c>
      <c r="H51" s="195" t="str">
        <f t="shared" si="1"/>
        <v/>
      </c>
      <c r="I51" s="195" t="str">
        <v/>
      </c>
      <c r="J51" s="205" t="str">
        <v/>
      </c>
      <c r="K51" s="242"/>
      <c r="L51" s="197" t="str">
        <f t="shared" si="11"/>
        <v/>
      </c>
      <c r="M51" s="203">
        <v>42</v>
      </c>
      <c r="N51" s="195" t="str">
        <f t="shared" si="23"/>
        <v/>
      </c>
      <c r="O51" s="195" t="str">
        <v/>
      </c>
      <c r="P51" s="205" t="str">
        <v/>
      </c>
      <c r="Q51" s="213"/>
      <c r="R51" s="197" t="str">
        <f t="shared" si="12"/>
        <v/>
      </c>
      <c r="S51" s="203">
        <v>42</v>
      </c>
      <c r="T51" s="195" t="str">
        <f t="shared" si="24"/>
        <v/>
      </c>
      <c r="U51" s="195" t="str">
        <v/>
      </c>
      <c r="V51" s="205" t="str">
        <v/>
      </c>
      <c r="W51" s="213"/>
      <c r="X51" s="197" t="str">
        <f t="shared" si="13"/>
        <v/>
      </c>
      <c r="Y51" s="203">
        <v>42</v>
      </c>
      <c r="Z51" s="195"/>
      <c r="AA51" s="195"/>
      <c r="AB51" s="205"/>
      <c r="AC51" s="213"/>
      <c r="AD51" s="197" t="str">
        <f t="shared" si="14"/>
        <v/>
      </c>
      <c r="AE51" s="203">
        <v>42</v>
      </c>
      <c r="AF51" s="195" t="str">
        <f t="shared" si="25"/>
        <v/>
      </c>
      <c r="AG51" s="195" t="str">
        <v/>
      </c>
      <c r="AH51" s="205" t="str">
        <v/>
      </c>
      <c r="AI51" s="213"/>
      <c r="AJ51" s="197" t="str">
        <f t="shared" si="15"/>
        <v/>
      </c>
      <c r="AK51" s="203">
        <v>42</v>
      </c>
      <c r="AL51" s="198"/>
      <c r="AM51" s="195"/>
      <c r="AN51" s="196"/>
      <c r="AO51" s="254"/>
      <c r="AP51" s="256" t="str">
        <f t="shared" si="16"/>
        <v/>
      </c>
      <c r="AQ51" s="203">
        <v>42</v>
      </c>
      <c r="AR51" s="195" t="str">
        <f t="shared" si="26"/>
        <v/>
      </c>
      <c r="AS51" s="195" t="str">
        <v/>
      </c>
      <c r="AT51" s="205" t="str">
        <v/>
      </c>
      <c r="AU51" s="213"/>
      <c r="AV51" s="197" t="str">
        <f t="shared" si="17"/>
        <v/>
      </c>
      <c r="AW51" s="203">
        <v>42</v>
      </c>
      <c r="AX51" s="195" t="str">
        <f t="shared" si="27"/>
        <v/>
      </c>
      <c r="AY51" s="195" t="str">
        <v/>
      </c>
      <c r="AZ51" s="205" t="str">
        <v/>
      </c>
      <c r="BA51" s="242"/>
      <c r="BB51" s="197" t="str">
        <f t="shared" si="18"/>
        <v/>
      </c>
      <c r="BC51" s="203">
        <v>42</v>
      </c>
      <c r="BD51" s="195" t="str">
        <f t="shared" si="28"/>
        <v/>
      </c>
      <c r="BE51" s="195" t="str">
        <v/>
      </c>
      <c r="BF51" s="205" t="str">
        <v/>
      </c>
      <c r="BG51" s="242"/>
      <c r="BH51" s="197" t="str">
        <f t="shared" si="19"/>
        <v/>
      </c>
      <c r="BI51" s="203">
        <v>42</v>
      </c>
      <c r="BJ51" s="195" t="str">
        <f t="shared" si="29"/>
        <v/>
      </c>
      <c r="BK51" s="195" t="str">
        <v/>
      </c>
      <c r="BL51" s="205" t="str">
        <v/>
      </c>
      <c r="BM51" s="242"/>
      <c r="BN51" s="197" t="str">
        <f t="shared" si="20"/>
        <v/>
      </c>
      <c r="BO51" s="203">
        <v>42</v>
      </c>
      <c r="BP51" s="195" t="str">
        <f t="shared" si="30"/>
        <v/>
      </c>
      <c r="BQ51" s="195" t="str">
        <v/>
      </c>
      <c r="BR51" s="205" t="str">
        <v/>
      </c>
      <c r="BS51" s="242"/>
      <c r="BT51" s="197" t="str">
        <f t="shared" si="21"/>
        <v/>
      </c>
    </row>
    <row r="52" spans="1:72">
      <c r="A52" s="203">
        <v>43</v>
      </c>
      <c r="B52" s="195" t="str">
        <f t="shared" si="22"/>
        <v/>
      </c>
      <c r="C52" s="195" t="str">
        <v/>
      </c>
      <c r="D52" s="205" t="str">
        <v/>
      </c>
      <c r="E52" s="213"/>
      <c r="F52" s="197" t="str">
        <f t="shared" si="10"/>
        <v/>
      </c>
      <c r="G52" s="203">
        <v>43</v>
      </c>
      <c r="H52" s="195" t="str">
        <f t="shared" si="1"/>
        <v/>
      </c>
      <c r="I52" s="195" t="str">
        <v/>
      </c>
      <c r="J52" s="205" t="str">
        <v/>
      </c>
      <c r="K52" s="242"/>
      <c r="L52" s="197" t="str">
        <f t="shared" si="11"/>
        <v/>
      </c>
      <c r="M52" s="203">
        <v>43</v>
      </c>
      <c r="N52" s="195" t="str">
        <f t="shared" si="23"/>
        <v/>
      </c>
      <c r="O52" s="195" t="str">
        <v/>
      </c>
      <c r="P52" s="205" t="str">
        <v/>
      </c>
      <c r="Q52" s="213"/>
      <c r="R52" s="197" t="str">
        <f t="shared" si="12"/>
        <v/>
      </c>
      <c r="S52" s="203">
        <v>43</v>
      </c>
      <c r="T52" s="195" t="str">
        <f t="shared" si="24"/>
        <v/>
      </c>
      <c r="U52" s="195" t="str">
        <v/>
      </c>
      <c r="V52" s="205" t="str">
        <v/>
      </c>
      <c r="W52" s="213"/>
      <c r="X52" s="197" t="str">
        <f t="shared" si="13"/>
        <v/>
      </c>
      <c r="Y52" s="203">
        <v>43</v>
      </c>
      <c r="Z52" s="195"/>
      <c r="AA52" s="195"/>
      <c r="AB52" s="205"/>
      <c r="AC52" s="213"/>
      <c r="AD52" s="197" t="str">
        <f t="shared" si="14"/>
        <v/>
      </c>
      <c r="AE52" s="203">
        <v>43</v>
      </c>
      <c r="AF52" s="195" t="str">
        <f t="shared" si="25"/>
        <v/>
      </c>
      <c r="AG52" s="195" t="str">
        <v/>
      </c>
      <c r="AH52" s="205" t="str">
        <v/>
      </c>
      <c r="AI52" s="213"/>
      <c r="AJ52" s="197" t="str">
        <f t="shared" si="15"/>
        <v/>
      </c>
      <c r="AK52" s="203">
        <v>43</v>
      </c>
      <c r="AL52" s="198"/>
      <c r="AM52" s="195"/>
      <c r="AN52" s="196"/>
      <c r="AO52" s="254"/>
      <c r="AP52" s="256" t="str">
        <f t="shared" si="16"/>
        <v/>
      </c>
      <c r="AQ52" s="203">
        <v>43</v>
      </c>
      <c r="AR52" s="195" t="str">
        <f t="shared" si="26"/>
        <v/>
      </c>
      <c r="AS52" s="195" t="str">
        <v/>
      </c>
      <c r="AT52" s="205" t="str">
        <v/>
      </c>
      <c r="AU52" s="213"/>
      <c r="AV52" s="197" t="str">
        <f t="shared" si="17"/>
        <v/>
      </c>
      <c r="AW52" s="203">
        <v>43</v>
      </c>
      <c r="AX52" s="195" t="str">
        <f t="shared" si="27"/>
        <v/>
      </c>
      <c r="AY52" s="195" t="str">
        <v/>
      </c>
      <c r="AZ52" s="205" t="str">
        <v/>
      </c>
      <c r="BA52" s="242"/>
      <c r="BB52" s="197" t="str">
        <f t="shared" si="18"/>
        <v/>
      </c>
      <c r="BC52" s="203">
        <v>43</v>
      </c>
      <c r="BD52" s="195" t="str">
        <f t="shared" si="28"/>
        <v/>
      </c>
      <c r="BE52" s="195" t="str">
        <v/>
      </c>
      <c r="BF52" s="205" t="str">
        <v/>
      </c>
      <c r="BG52" s="242"/>
      <c r="BH52" s="197" t="str">
        <f t="shared" si="19"/>
        <v/>
      </c>
      <c r="BI52" s="203">
        <v>43</v>
      </c>
      <c r="BJ52" s="195" t="str">
        <f t="shared" si="29"/>
        <v/>
      </c>
      <c r="BK52" s="195" t="str">
        <v/>
      </c>
      <c r="BL52" s="205" t="str">
        <v/>
      </c>
      <c r="BM52" s="242"/>
      <c r="BN52" s="197" t="str">
        <f t="shared" si="20"/>
        <v/>
      </c>
      <c r="BO52" s="203">
        <v>43</v>
      </c>
      <c r="BP52" s="195" t="str">
        <f t="shared" si="30"/>
        <v/>
      </c>
      <c r="BQ52" s="195" t="str">
        <v/>
      </c>
      <c r="BR52" s="205" t="str">
        <v/>
      </c>
      <c r="BS52" s="242"/>
      <c r="BT52" s="197" t="str">
        <f t="shared" si="21"/>
        <v/>
      </c>
    </row>
    <row r="53" spans="1:72">
      <c r="A53" s="203">
        <v>44</v>
      </c>
      <c r="B53" s="195" t="str">
        <f t="shared" si="22"/>
        <v/>
      </c>
      <c r="C53" s="195" t="str">
        <v/>
      </c>
      <c r="D53" s="205" t="str">
        <v/>
      </c>
      <c r="E53" s="213"/>
      <c r="F53" s="197" t="str">
        <f t="shared" si="10"/>
        <v/>
      </c>
      <c r="G53" s="203">
        <v>44</v>
      </c>
      <c r="H53" s="195" t="str">
        <f t="shared" si="1"/>
        <v/>
      </c>
      <c r="I53" s="195" t="str">
        <v/>
      </c>
      <c r="J53" s="205" t="str">
        <v/>
      </c>
      <c r="K53" s="242"/>
      <c r="L53" s="197" t="str">
        <f t="shared" si="11"/>
        <v/>
      </c>
      <c r="M53" s="203">
        <v>44</v>
      </c>
      <c r="N53" s="195" t="str">
        <f t="shared" si="23"/>
        <v/>
      </c>
      <c r="O53" s="195" t="str">
        <v/>
      </c>
      <c r="P53" s="205" t="str">
        <v/>
      </c>
      <c r="Q53" s="213"/>
      <c r="R53" s="197" t="str">
        <f t="shared" si="12"/>
        <v/>
      </c>
      <c r="S53" s="203">
        <v>44</v>
      </c>
      <c r="T53" s="195" t="str">
        <f t="shared" si="24"/>
        <v/>
      </c>
      <c r="U53" s="195" t="str">
        <v/>
      </c>
      <c r="V53" s="205" t="str">
        <v/>
      </c>
      <c r="W53" s="213"/>
      <c r="X53" s="197" t="str">
        <f t="shared" si="13"/>
        <v/>
      </c>
      <c r="Y53" s="203">
        <v>44</v>
      </c>
      <c r="Z53" s="195"/>
      <c r="AA53" s="195"/>
      <c r="AB53" s="205"/>
      <c r="AC53" s="213"/>
      <c r="AD53" s="197" t="str">
        <f t="shared" si="14"/>
        <v/>
      </c>
      <c r="AE53" s="203">
        <v>44</v>
      </c>
      <c r="AF53" s="195" t="str">
        <f t="shared" si="25"/>
        <v/>
      </c>
      <c r="AG53" s="195" t="str">
        <v/>
      </c>
      <c r="AH53" s="205" t="str">
        <v/>
      </c>
      <c r="AI53" s="213"/>
      <c r="AJ53" s="197" t="str">
        <f t="shared" si="15"/>
        <v/>
      </c>
      <c r="AK53" s="203">
        <v>44</v>
      </c>
      <c r="AL53" s="198"/>
      <c r="AM53" s="195"/>
      <c r="AN53" s="196"/>
      <c r="AO53" s="254"/>
      <c r="AP53" s="256" t="str">
        <f t="shared" si="16"/>
        <v/>
      </c>
      <c r="AQ53" s="203">
        <v>44</v>
      </c>
      <c r="AR53" s="195" t="str">
        <f t="shared" si="26"/>
        <v/>
      </c>
      <c r="AS53" s="195" t="str">
        <v/>
      </c>
      <c r="AT53" s="205" t="str">
        <v/>
      </c>
      <c r="AU53" s="213"/>
      <c r="AV53" s="197" t="str">
        <f t="shared" si="17"/>
        <v/>
      </c>
      <c r="AW53" s="203">
        <v>44</v>
      </c>
      <c r="AX53" s="195" t="str">
        <f t="shared" si="27"/>
        <v/>
      </c>
      <c r="AY53" s="195" t="str">
        <v/>
      </c>
      <c r="AZ53" s="205" t="str">
        <v/>
      </c>
      <c r="BA53" s="242"/>
      <c r="BB53" s="197" t="str">
        <f t="shared" si="18"/>
        <v/>
      </c>
      <c r="BC53" s="203">
        <v>44</v>
      </c>
      <c r="BD53" s="195" t="str">
        <f t="shared" si="28"/>
        <v/>
      </c>
      <c r="BE53" s="195" t="str">
        <v/>
      </c>
      <c r="BF53" s="205" t="str">
        <v/>
      </c>
      <c r="BG53" s="242"/>
      <c r="BH53" s="197" t="str">
        <f t="shared" si="19"/>
        <v/>
      </c>
      <c r="BI53" s="203">
        <v>44</v>
      </c>
      <c r="BJ53" s="195" t="str">
        <f t="shared" si="29"/>
        <v/>
      </c>
      <c r="BK53" s="195" t="str">
        <v/>
      </c>
      <c r="BL53" s="205" t="str">
        <v/>
      </c>
      <c r="BM53" s="242"/>
      <c r="BN53" s="197" t="str">
        <f t="shared" si="20"/>
        <v/>
      </c>
      <c r="BO53" s="203">
        <v>44</v>
      </c>
      <c r="BP53" s="195" t="str">
        <f t="shared" si="30"/>
        <v/>
      </c>
      <c r="BQ53" s="195" t="str">
        <v/>
      </c>
      <c r="BR53" s="205" t="str">
        <v/>
      </c>
      <c r="BS53" s="242"/>
      <c r="BT53" s="197" t="str">
        <f t="shared" si="21"/>
        <v/>
      </c>
    </row>
    <row r="54" spans="1:72">
      <c r="A54" s="203">
        <v>45</v>
      </c>
      <c r="B54" s="195" t="str">
        <f t="shared" si="22"/>
        <v/>
      </c>
      <c r="C54" s="195" t="str">
        <v/>
      </c>
      <c r="D54" s="205" t="str">
        <v/>
      </c>
      <c r="E54" s="213"/>
      <c r="F54" s="197" t="str">
        <f t="shared" si="10"/>
        <v/>
      </c>
      <c r="G54" s="203">
        <v>45</v>
      </c>
      <c r="H54" s="195" t="str">
        <f t="shared" si="1"/>
        <v/>
      </c>
      <c r="I54" s="195" t="str">
        <v/>
      </c>
      <c r="J54" s="205" t="str">
        <v/>
      </c>
      <c r="K54" s="242"/>
      <c r="L54" s="197" t="str">
        <f t="shared" si="11"/>
        <v/>
      </c>
      <c r="M54" s="203">
        <v>45</v>
      </c>
      <c r="N54" s="195" t="str">
        <f t="shared" si="23"/>
        <v/>
      </c>
      <c r="O54" s="195" t="str">
        <v/>
      </c>
      <c r="P54" s="205" t="str">
        <v/>
      </c>
      <c r="Q54" s="213"/>
      <c r="R54" s="197" t="str">
        <f t="shared" si="12"/>
        <v/>
      </c>
      <c r="S54" s="203">
        <v>45</v>
      </c>
      <c r="T54" s="195" t="str">
        <f t="shared" si="24"/>
        <v/>
      </c>
      <c r="U54" s="195" t="str">
        <v/>
      </c>
      <c r="V54" s="205" t="str">
        <v/>
      </c>
      <c r="W54" s="213"/>
      <c r="X54" s="197" t="str">
        <f t="shared" si="13"/>
        <v/>
      </c>
      <c r="Y54" s="203">
        <v>45</v>
      </c>
      <c r="Z54" s="195"/>
      <c r="AA54" s="195"/>
      <c r="AB54" s="205"/>
      <c r="AC54" s="213"/>
      <c r="AD54" s="197" t="str">
        <f t="shared" si="14"/>
        <v/>
      </c>
      <c r="AE54" s="203">
        <v>45</v>
      </c>
      <c r="AF54" s="195" t="str">
        <f t="shared" si="25"/>
        <v/>
      </c>
      <c r="AG54" s="195" t="str">
        <v/>
      </c>
      <c r="AH54" s="205" t="str">
        <v/>
      </c>
      <c r="AI54" s="213"/>
      <c r="AJ54" s="197" t="str">
        <f t="shared" si="15"/>
        <v/>
      </c>
      <c r="AK54" s="203">
        <v>45</v>
      </c>
      <c r="AL54" s="198"/>
      <c r="AM54" s="195"/>
      <c r="AN54" s="196"/>
      <c r="AO54" s="254"/>
      <c r="AP54" s="256" t="str">
        <f t="shared" si="16"/>
        <v/>
      </c>
      <c r="AQ54" s="203">
        <v>45</v>
      </c>
      <c r="AR54" s="195" t="str">
        <f t="shared" si="26"/>
        <v/>
      </c>
      <c r="AS54" s="195" t="str">
        <v/>
      </c>
      <c r="AT54" s="205" t="str">
        <v/>
      </c>
      <c r="AU54" s="213"/>
      <c r="AV54" s="197" t="str">
        <f t="shared" si="17"/>
        <v/>
      </c>
      <c r="AW54" s="203">
        <v>45</v>
      </c>
      <c r="AX54" s="195" t="str">
        <f t="shared" si="27"/>
        <v/>
      </c>
      <c r="AY54" s="195" t="str">
        <v/>
      </c>
      <c r="AZ54" s="205" t="str">
        <v/>
      </c>
      <c r="BA54" s="242"/>
      <c r="BB54" s="197" t="str">
        <f t="shared" si="18"/>
        <v/>
      </c>
      <c r="BC54" s="203">
        <v>45</v>
      </c>
      <c r="BD54" s="195" t="str">
        <f t="shared" si="28"/>
        <v/>
      </c>
      <c r="BE54" s="195" t="str">
        <v/>
      </c>
      <c r="BF54" s="205" t="str">
        <v/>
      </c>
      <c r="BG54" s="242"/>
      <c r="BH54" s="197" t="str">
        <f t="shared" si="19"/>
        <v/>
      </c>
      <c r="BI54" s="203">
        <v>45</v>
      </c>
      <c r="BJ54" s="195" t="str">
        <f t="shared" si="29"/>
        <v/>
      </c>
      <c r="BK54" s="195" t="str">
        <v/>
      </c>
      <c r="BL54" s="205" t="str">
        <v/>
      </c>
      <c r="BM54" s="242"/>
      <c r="BN54" s="197" t="str">
        <f t="shared" si="20"/>
        <v/>
      </c>
      <c r="BO54" s="203">
        <v>45</v>
      </c>
      <c r="BP54" s="195" t="str">
        <f t="shared" si="30"/>
        <v/>
      </c>
      <c r="BQ54" s="195" t="str">
        <v/>
      </c>
      <c r="BR54" s="205" t="str">
        <v/>
      </c>
      <c r="BS54" s="242"/>
      <c r="BT54" s="197" t="str">
        <f t="shared" si="21"/>
        <v/>
      </c>
    </row>
    <row r="55" spans="1:72">
      <c r="A55" s="203">
        <v>46</v>
      </c>
      <c r="B55" s="195" t="str">
        <f t="shared" si="22"/>
        <v/>
      </c>
      <c r="C55" s="195" t="str">
        <v/>
      </c>
      <c r="D55" s="205" t="str">
        <v/>
      </c>
      <c r="E55" s="213"/>
      <c r="F55" s="197" t="str">
        <f t="shared" si="10"/>
        <v/>
      </c>
      <c r="G55" s="203">
        <v>46</v>
      </c>
      <c r="H55" s="195" t="str">
        <f t="shared" si="1"/>
        <v/>
      </c>
      <c r="I55" s="195" t="str">
        <v/>
      </c>
      <c r="J55" s="205" t="str">
        <v/>
      </c>
      <c r="K55" s="242"/>
      <c r="L55" s="197" t="str">
        <f t="shared" si="11"/>
        <v/>
      </c>
      <c r="M55" s="203">
        <v>46</v>
      </c>
      <c r="N55" s="195" t="str">
        <f t="shared" si="23"/>
        <v/>
      </c>
      <c r="O55" s="195" t="str">
        <v/>
      </c>
      <c r="P55" s="205" t="str">
        <v/>
      </c>
      <c r="Q55" s="213"/>
      <c r="R55" s="197" t="str">
        <f t="shared" si="12"/>
        <v/>
      </c>
      <c r="S55" s="203">
        <v>46</v>
      </c>
      <c r="T55" s="195" t="str">
        <f t="shared" si="24"/>
        <v/>
      </c>
      <c r="U55" s="195" t="str">
        <v/>
      </c>
      <c r="V55" s="205" t="str">
        <v/>
      </c>
      <c r="W55" s="213"/>
      <c r="X55" s="197" t="str">
        <f t="shared" si="13"/>
        <v/>
      </c>
      <c r="Y55" s="203">
        <v>46</v>
      </c>
      <c r="Z55" s="195"/>
      <c r="AA55" s="195"/>
      <c r="AB55" s="205"/>
      <c r="AC55" s="213"/>
      <c r="AD55" s="197" t="str">
        <f t="shared" si="14"/>
        <v/>
      </c>
      <c r="AE55" s="203">
        <v>46</v>
      </c>
      <c r="AF55" s="195" t="str">
        <f t="shared" si="25"/>
        <v/>
      </c>
      <c r="AG55" s="195" t="str">
        <v/>
      </c>
      <c r="AH55" s="205" t="str">
        <v/>
      </c>
      <c r="AI55" s="213"/>
      <c r="AJ55" s="197" t="str">
        <f t="shared" si="15"/>
        <v/>
      </c>
      <c r="AK55" s="203">
        <v>46</v>
      </c>
      <c r="AL55" s="198"/>
      <c r="AM55" s="195"/>
      <c r="AN55" s="196"/>
      <c r="AO55" s="254"/>
      <c r="AP55" s="256" t="str">
        <f t="shared" si="16"/>
        <v/>
      </c>
      <c r="AQ55" s="203">
        <v>46</v>
      </c>
      <c r="AR55" s="195" t="str">
        <f t="shared" si="26"/>
        <v/>
      </c>
      <c r="AS55" s="195" t="str">
        <v/>
      </c>
      <c r="AT55" s="205" t="str">
        <v/>
      </c>
      <c r="AU55" s="213"/>
      <c r="AV55" s="197" t="str">
        <f t="shared" si="17"/>
        <v/>
      </c>
      <c r="AW55" s="203">
        <v>46</v>
      </c>
      <c r="AX55" s="195" t="str">
        <f t="shared" si="27"/>
        <v/>
      </c>
      <c r="AY55" s="195" t="str">
        <v/>
      </c>
      <c r="AZ55" s="205" t="str">
        <v/>
      </c>
      <c r="BA55" s="242"/>
      <c r="BB55" s="197" t="str">
        <f t="shared" si="18"/>
        <v/>
      </c>
      <c r="BC55" s="203">
        <v>46</v>
      </c>
      <c r="BD55" s="195" t="str">
        <f t="shared" si="28"/>
        <v/>
      </c>
      <c r="BE55" s="195" t="str">
        <v/>
      </c>
      <c r="BF55" s="205" t="str">
        <v/>
      </c>
      <c r="BG55" s="242"/>
      <c r="BH55" s="197" t="str">
        <f t="shared" si="19"/>
        <v/>
      </c>
      <c r="BI55" s="203">
        <v>46</v>
      </c>
      <c r="BJ55" s="195" t="str">
        <f t="shared" si="29"/>
        <v/>
      </c>
      <c r="BK55" s="195" t="str">
        <v/>
      </c>
      <c r="BL55" s="205" t="str">
        <v/>
      </c>
      <c r="BM55" s="242"/>
      <c r="BN55" s="197" t="str">
        <f t="shared" si="20"/>
        <v/>
      </c>
      <c r="BO55" s="203">
        <v>46</v>
      </c>
      <c r="BP55" s="195" t="str">
        <f t="shared" si="30"/>
        <v/>
      </c>
      <c r="BQ55" s="195" t="str">
        <v/>
      </c>
      <c r="BR55" s="205" t="str">
        <v/>
      </c>
      <c r="BS55" s="242"/>
      <c r="BT55" s="197" t="str">
        <f t="shared" si="21"/>
        <v/>
      </c>
    </row>
    <row r="56" spans="1:72">
      <c r="A56" s="203">
        <v>47</v>
      </c>
      <c r="B56" s="195" t="str">
        <f t="shared" si="22"/>
        <v/>
      </c>
      <c r="C56" s="195" t="str">
        <v/>
      </c>
      <c r="D56" s="205" t="str">
        <v/>
      </c>
      <c r="E56" s="213"/>
      <c r="F56" s="197" t="str">
        <f t="shared" si="10"/>
        <v/>
      </c>
      <c r="G56" s="203">
        <v>47</v>
      </c>
      <c r="H56" s="195" t="str">
        <f t="shared" si="1"/>
        <v/>
      </c>
      <c r="I56" s="195" t="str">
        <v/>
      </c>
      <c r="J56" s="205" t="str">
        <v/>
      </c>
      <c r="K56" s="242"/>
      <c r="L56" s="197" t="str">
        <f t="shared" si="11"/>
        <v/>
      </c>
      <c r="M56" s="203">
        <v>47</v>
      </c>
      <c r="N56" s="195" t="str">
        <f t="shared" si="23"/>
        <v/>
      </c>
      <c r="O56" s="195" t="str">
        <v/>
      </c>
      <c r="P56" s="205" t="str">
        <v/>
      </c>
      <c r="Q56" s="213"/>
      <c r="R56" s="197" t="str">
        <f t="shared" si="12"/>
        <v/>
      </c>
      <c r="S56" s="203">
        <v>47</v>
      </c>
      <c r="T56" s="195" t="str">
        <f t="shared" si="24"/>
        <v/>
      </c>
      <c r="U56" s="195" t="str">
        <v/>
      </c>
      <c r="V56" s="205" t="str">
        <v/>
      </c>
      <c r="W56" s="213"/>
      <c r="X56" s="197" t="str">
        <f t="shared" si="13"/>
        <v/>
      </c>
      <c r="Y56" s="203">
        <v>47</v>
      </c>
      <c r="Z56" s="195"/>
      <c r="AA56" s="195"/>
      <c r="AB56" s="205"/>
      <c r="AC56" s="213"/>
      <c r="AD56" s="197" t="str">
        <f t="shared" si="14"/>
        <v/>
      </c>
      <c r="AE56" s="203">
        <v>47</v>
      </c>
      <c r="AF56" s="195" t="str">
        <f t="shared" si="25"/>
        <v/>
      </c>
      <c r="AG56" s="195" t="str">
        <v/>
      </c>
      <c r="AH56" s="205" t="str">
        <v/>
      </c>
      <c r="AI56" s="213"/>
      <c r="AJ56" s="197" t="str">
        <f t="shared" si="15"/>
        <v/>
      </c>
      <c r="AK56" s="203">
        <v>47</v>
      </c>
      <c r="AL56" s="198"/>
      <c r="AM56" s="195"/>
      <c r="AN56" s="196"/>
      <c r="AO56" s="254"/>
      <c r="AP56" s="256" t="str">
        <f t="shared" si="16"/>
        <v/>
      </c>
      <c r="AQ56" s="203">
        <v>47</v>
      </c>
      <c r="AR56" s="195" t="str">
        <f t="shared" si="26"/>
        <v/>
      </c>
      <c r="AS56" s="195" t="str">
        <v/>
      </c>
      <c r="AT56" s="205" t="str">
        <v/>
      </c>
      <c r="AU56" s="213"/>
      <c r="AV56" s="197" t="str">
        <f t="shared" si="17"/>
        <v/>
      </c>
      <c r="AW56" s="203">
        <v>47</v>
      </c>
      <c r="AX56" s="195" t="str">
        <f t="shared" si="27"/>
        <v/>
      </c>
      <c r="AY56" s="195" t="str">
        <v/>
      </c>
      <c r="AZ56" s="205" t="str">
        <v/>
      </c>
      <c r="BA56" s="242"/>
      <c r="BB56" s="197" t="str">
        <f t="shared" si="18"/>
        <v/>
      </c>
      <c r="BC56" s="203">
        <v>47</v>
      </c>
      <c r="BD56" s="195" t="str">
        <f t="shared" si="28"/>
        <v/>
      </c>
      <c r="BE56" s="195" t="str">
        <v/>
      </c>
      <c r="BF56" s="205" t="str">
        <v/>
      </c>
      <c r="BG56" s="242"/>
      <c r="BH56" s="197" t="str">
        <f t="shared" si="19"/>
        <v/>
      </c>
      <c r="BI56" s="203">
        <v>47</v>
      </c>
      <c r="BJ56" s="195" t="str">
        <f t="shared" si="29"/>
        <v/>
      </c>
      <c r="BK56" s="195" t="str">
        <v/>
      </c>
      <c r="BL56" s="205" t="str">
        <v/>
      </c>
      <c r="BM56" s="242"/>
      <c r="BN56" s="197" t="str">
        <f t="shared" si="20"/>
        <v/>
      </c>
      <c r="BO56" s="203">
        <v>47</v>
      </c>
      <c r="BP56" s="195" t="str">
        <f t="shared" si="30"/>
        <v/>
      </c>
      <c r="BQ56" s="195" t="str">
        <v/>
      </c>
      <c r="BR56" s="205" t="str">
        <v/>
      </c>
      <c r="BS56" s="242"/>
      <c r="BT56" s="197" t="str">
        <f t="shared" si="21"/>
        <v/>
      </c>
    </row>
    <row r="57" spans="1:72">
      <c r="A57" s="203">
        <v>48</v>
      </c>
      <c r="B57" s="195" t="str">
        <f t="shared" si="22"/>
        <v/>
      </c>
      <c r="C57" s="195" t="str">
        <v/>
      </c>
      <c r="D57" s="205" t="str">
        <v/>
      </c>
      <c r="E57" s="213"/>
      <c r="F57" s="197" t="str">
        <f t="shared" si="10"/>
        <v/>
      </c>
      <c r="G57" s="203">
        <v>48</v>
      </c>
      <c r="H57" s="195" t="str">
        <f t="shared" si="1"/>
        <v/>
      </c>
      <c r="I57" s="195" t="str">
        <v/>
      </c>
      <c r="J57" s="205" t="str">
        <v/>
      </c>
      <c r="K57" s="242"/>
      <c r="L57" s="197" t="str">
        <f t="shared" si="11"/>
        <v/>
      </c>
      <c r="M57" s="203">
        <v>48</v>
      </c>
      <c r="N57" s="195" t="str">
        <f t="shared" si="23"/>
        <v/>
      </c>
      <c r="O57" s="195" t="str">
        <v/>
      </c>
      <c r="P57" s="205" t="str">
        <v/>
      </c>
      <c r="Q57" s="213"/>
      <c r="R57" s="197" t="str">
        <f t="shared" si="12"/>
        <v/>
      </c>
      <c r="S57" s="203">
        <v>48</v>
      </c>
      <c r="T57" s="195" t="str">
        <f t="shared" si="24"/>
        <v/>
      </c>
      <c r="U57" s="195" t="str">
        <v/>
      </c>
      <c r="V57" s="205" t="str">
        <v/>
      </c>
      <c r="W57" s="213"/>
      <c r="X57" s="197" t="str">
        <f t="shared" si="13"/>
        <v/>
      </c>
      <c r="Y57" s="203">
        <v>48</v>
      </c>
      <c r="Z57" s="195"/>
      <c r="AA57" s="195"/>
      <c r="AB57" s="205"/>
      <c r="AC57" s="213"/>
      <c r="AD57" s="197" t="str">
        <f t="shared" si="14"/>
        <v/>
      </c>
      <c r="AE57" s="203">
        <v>48</v>
      </c>
      <c r="AF57" s="195" t="str">
        <f t="shared" si="25"/>
        <v/>
      </c>
      <c r="AG57" s="195" t="str">
        <v/>
      </c>
      <c r="AH57" s="205" t="str">
        <v/>
      </c>
      <c r="AI57" s="213"/>
      <c r="AJ57" s="197" t="str">
        <f t="shared" si="15"/>
        <v/>
      </c>
      <c r="AK57" s="203">
        <v>48</v>
      </c>
      <c r="AL57" s="198"/>
      <c r="AM57" s="195"/>
      <c r="AN57" s="196"/>
      <c r="AO57" s="254"/>
      <c r="AP57" s="256" t="str">
        <f t="shared" si="16"/>
        <v/>
      </c>
      <c r="AQ57" s="203">
        <v>48</v>
      </c>
      <c r="AR57" s="195" t="str">
        <f t="shared" si="26"/>
        <v/>
      </c>
      <c r="AS57" s="195" t="str">
        <v/>
      </c>
      <c r="AT57" s="205" t="str">
        <v/>
      </c>
      <c r="AU57" s="213"/>
      <c r="AV57" s="197" t="str">
        <f t="shared" si="17"/>
        <v/>
      </c>
      <c r="AW57" s="203">
        <v>48</v>
      </c>
      <c r="AX57" s="195" t="str">
        <f t="shared" si="27"/>
        <v/>
      </c>
      <c r="AY57" s="195" t="str">
        <v/>
      </c>
      <c r="AZ57" s="205" t="str">
        <v/>
      </c>
      <c r="BA57" s="242"/>
      <c r="BB57" s="197" t="str">
        <f t="shared" si="18"/>
        <v/>
      </c>
      <c r="BC57" s="203">
        <v>48</v>
      </c>
      <c r="BD57" s="195" t="str">
        <f t="shared" si="28"/>
        <v/>
      </c>
      <c r="BE57" s="195" t="str">
        <v/>
      </c>
      <c r="BF57" s="205" t="str">
        <v/>
      </c>
      <c r="BG57" s="242"/>
      <c r="BH57" s="197" t="str">
        <f t="shared" si="19"/>
        <v/>
      </c>
      <c r="BI57" s="203">
        <v>48</v>
      </c>
      <c r="BJ57" s="195" t="str">
        <f t="shared" si="29"/>
        <v/>
      </c>
      <c r="BK57" s="195" t="str">
        <v/>
      </c>
      <c r="BL57" s="205" t="str">
        <v/>
      </c>
      <c r="BM57" s="242"/>
      <c r="BN57" s="197" t="str">
        <f t="shared" si="20"/>
        <v/>
      </c>
      <c r="BO57" s="203">
        <v>48</v>
      </c>
      <c r="BP57" s="195" t="str">
        <f t="shared" si="30"/>
        <v/>
      </c>
      <c r="BQ57" s="195" t="str">
        <v/>
      </c>
      <c r="BR57" s="205" t="str">
        <v/>
      </c>
      <c r="BS57" s="242"/>
      <c r="BT57" s="197" t="str">
        <f t="shared" si="21"/>
        <v/>
      </c>
    </row>
    <row r="58" spans="1:72">
      <c r="A58" s="203">
        <v>49</v>
      </c>
      <c r="B58" s="195" t="str">
        <f t="shared" si="22"/>
        <v/>
      </c>
      <c r="C58" s="195" t="str">
        <v/>
      </c>
      <c r="D58" s="205" t="str">
        <v/>
      </c>
      <c r="E58" s="213"/>
      <c r="F58" s="197" t="str">
        <f t="shared" si="10"/>
        <v/>
      </c>
      <c r="G58" s="203">
        <v>49</v>
      </c>
      <c r="H58" s="195" t="str">
        <f t="shared" si="1"/>
        <v/>
      </c>
      <c r="I58" s="195" t="str">
        <v/>
      </c>
      <c r="J58" s="205" t="str">
        <v/>
      </c>
      <c r="K58" s="242"/>
      <c r="L58" s="197" t="str">
        <f t="shared" si="11"/>
        <v/>
      </c>
      <c r="M58" s="203">
        <v>49</v>
      </c>
      <c r="N58" s="195" t="str">
        <f t="shared" si="23"/>
        <v/>
      </c>
      <c r="O58" s="195" t="str">
        <v/>
      </c>
      <c r="P58" s="205" t="str">
        <v/>
      </c>
      <c r="Q58" s="213"/>
      <c r="R58" s="197" t="str">
        <f t="shared" si="12"/>
        <v/>
      </c>
      <c r="S58" s="203">
        <v>49</v>
      </c>
      <c r="T58" s="195" t="str">
        <f t="shared" si="24"/>
        <v/>
      </c>
      <c r="U58" s="195" t="str">
        <v/>
      </c>
      <c r="V58" s="205" t="str">
        <v/>
      </c>
      <c r="W58" s="213"/>
      <c r="X58" s="197" t="str">
        <f t="shared" si="13"/>
        <v/>
      </c>
      <c r="Y58" s="203">
        <v>49</v>
      </c>
      <c r="Z58" s="195"/>
      <c r="AA58" s="195"/>
      <c r="AB58" s="205"/>
      <c r="AC58" s="213"/>
      <c r="AD58" s="197" t="str">
        <f t="shared" si="14"/>
        <v/>
      </c>
      <c r="AE58" s="203">
        <v>49</v>
      </c>
      <c r="AF58" s="195" t="str">
        <f t="shared" si="25"/>
        <v/>
      </c>
      <c r="AG58" s="195" t="str">
        <v/>
      </c>
      <c r="AH58" s="205" t="str">
        <v/>
      </c>
      <c r="AI58" s="213"/>
      <c r="AJ58" s="197" t="str">
        <f t="shared" si="15"/>
        <v/>
      </c>
      <c r="AK58" s="203">
        <v>49</v>
      </c>
      <c r="AL58" s="198"/>
      <c r="AM58" s="195"/>
      <c r="AN58" s="196"/>
      <c r="AO58" s="254"/>
      <c r="AP58" s="256" t="str">
        <f t="shared" si="16"/>
        <v/>
      </c>
      <c r="AQ58" s="203">
        <v>49</v>
      </c>
      <c r="AR58" s="195" t="str">
        <f t="shared" si="26"/>
        <v/>
      </c>
      <c r="AS58" s="195" t="str">
        <v/>
      </c>
      <c r="AT58" s="205" t="str">
        <v/>
      </c>
      <c r="AU58" s="213"/>
      <c r="AV58" s="197" t="str">
        <f t="shared" si="17"/>
        <v/>
      </c>
      <c r="AW58" s="203">
        <v>49</v>
      </c>
      <c r="AX58" s="195" t="str">
        <f t="shared" si="27"/>
        <v/>
      </c>
      <c r="AY58" s="195" t="str">
        <v/>
      </c>
      <c r="AZ58" s="205" t="str">
        <v/>
      </c>
      <c r="BA58" s="242"/>
      <c r="BB58" s="197" t="str">
        <f t="shared" si="18"/>
        <v/>
      </c>
      <c r="BC58" s="203">
        <v>49</v>
      </c>
      <c r="BD58" s="195" t="str">
        <f t="shared" si="28"/>
        <v/>
      </c>
      <c r="BE58" s="195" t="str">
        <v/>
      </c>
      <c r="BF58" s="205" t="str">
        <v/>
      </c>
      <c r="BG58" s="242"/>
      <c r="BH58" s="197" t="str">
        <f t="shared" si="19"/>
        <v/>
      </c>
      <c r="BI58" s="203">
        <v>49</v>
      </c>
      <c r="BJ58" s="195" t="str">
        <f t="shared" si="29"/>
        <v/>
      </c>
      <c r="BK58" s="195" t="str">
        <v/>
      </c>
      <c r="BL58" s="205" t="str">
        <v/>
      </c>
      <c r="BM58" s="242"/>
      <c r="BN58" s="197" t="str">
        <f t="shared" si="20"/>
        <v/>
      </c>
      <c r="BO58" s="203">
        <v>49</v>
      </c>
      <c r="BP58" s="195" t="str">
        <f t="shared" si="30"/>
        <v/>
      </c>
      <c r="BQ58" s="195" t="str">
        <v/>
      </c>
      <c r="BR58" s="205" t="str">
        <v/>
      </c>
      <c r="BS58" s="242"/>
      <c r="BT58" s="197" t="str">
        <f t="shared" si="21"/>
        <v/>
      </c>
    </row>
    <row r="59" spans="1:72">
      <c r="A59" s="203">
        <v>50</v>
      </c>
      <c r="B59" s="195" t="str">
        <f t="shared" si="22"/>
        <v/>
      </c>
      <c r="C59" s="195" t="str">
        <v/>
      </c>
      <c r="D59" s="205" t="str">
        <v/>
      </c>
      <c r="E59" s="213"/>
      <c r="F59" s="197" t="str">
        <f t="shared" si="10"/>
        <v/>
      </c>
      <c r="G59" s="203">
        <v>50</v>
      </c>
      <c r="H59" s="195" t="str">
        <f t="shared" si="1"/>
        <v/>
      </c>
      <c r="I59" s="195" t="str">
        <v/>
      </c>
      <c r="J59" s="205" t="str">
        <v/>
      </c>
      <c r="K59" s="242"/>
      <c r="L59" s="197" t="str">
        <f t="shared" si="11"/>
        <v/>
      </c>
      <c r="M59" s="203">
        <v>50</v>
      </c>
      <c r="N59" s="195" t="str">
        <f t="shared" si="23"/>
        <v/>
      </c>
      <c r="O59" s="195" t="str">
        <v/>
      </c>
      <c r="P59" s="205" t="str">
        <v/>
      </c>
      <c r="Q59" s="213"/>
      <c r="R59" s="197" t="str">
        <f t="shared" si="12"/>
        <v/>
      </c>
      <c r="S59" s="203">
        <v>50</v>
      </c>
      <c r="T59" s="195" t="str">
        <f t="shared" si="24"/>
        <v/>
      </c>
      <c r="U59" s="195" t="str">
        <v/>
      </c>
      <c r="V59" s="205" t="str">
        <v/>
      </c>
      <c r="W59" s="213"/>
      <c r="X59" s="197" t="str">
        <f t="shared" si="13"/>
        <v/>
      </c>
      <c r="Y59" s="203">
        <v>50</v>
      </c>
      <c r="Z59" s="195"/>
      <c r="AA59" s="195"/>
      <c r="AB59" s="205"/>
      <c r="AC59" s="213"/>
      <c r="AD59" s="197" t="str">
        <f t="shared" si="14"/>
        <v/>
      </c>
      <c r="AE59" s="203">
        <v>50</v>
      </c>
      <c r="AF59" s="195" t="str">
        <f t="shared" si="25"/>
        <v/>
      </c>
      <c r="AG59" s="195" t="str">
        <v/>
      </c>
      <c r="AH59" s="205" t="str">
        <v/>
      </c>
      <c r="AI59" s="213"/>
      <c r="AJ59" s="197" t="str">
        <f t="shared" si="15"/>
        <v/>
      </c>
      <c r="AK59" s="203">
        <v>50</v>
      </c>
      <c r="AL59" s="198"/>
      <c r="AM59" s="195"/>
      <c r="AN59" s="196"/>
      <c r="AO59" s="254"/>
      <c r="AP59" s="256" t="str">
        <f t="shared" si="16"/>
        <v/>
      </c>
      <c r="AQ59" s="203">
        <v>50</v>
      </c>
      <c r="AR59" s="195" t="str">
        <f t="shared" si="26"/>
        <v/>
      </c>
      <c r="AS59" s="195" t="str">
        <v/>
      </c>
      <c r="AT59" s="205" t="str">
        <v/>
      </c>
      <c r="AU59" s="213"/>
      <c r="AV59" s="197" t="str">
        <f t="shared" si="17"/>
        <v/>
      </c>
      <c r="AW59" s="203">
        <v>50</v>
      </c>
      <c r="AX59" s="195" t="str">
        <f t="shared" si="27"/>
        <v/>
      </c>
      <c r="AY59" s="195" t="str">
        <v/>
      </c>
      <c r="AZ59" s="205" t="str">
        <v/>
      </c>
      <c r="BA59" s="242"/>
      <c r="BB59" s="197" t="str">
        <f t="shared" si="18"/>
        <v/>
      </c>
      <c r="BC59" s="203">
        <v>50</v>
      </c>
      <c r="BD59" s="195" t="str">
        <f t="shared" si="28"/>
        <v/>
      </c>
      <c r="BE59" s="195" t="str">
        <v/>
      </c>
      <c r="BF59" s="205" t="str">
        <v/>
      </c>
      <c r="BG59" s="242"/>
      <c r="BH59" s="197" t="str">
        <f t="shared" si="19"/>
        <v/>
      </c>
      <c r="BI59" s="203">
        <v>50</v>
      </c>
      <c r="BJ59" s="195" t="str">
        <f t="shared" si="29"/>
        <v/>
      </c>
      <c r="BK59" s="195" t="str">
        <v/>
      </c>
      <c r="BL59" s="205" t="str">
        <v/>
      </c>
      <c r="BM59" s="242"/>
      <c r="BN59" s="197" t="str">
        <f t="shared" si="20"/>
        <v/>
      </c>
      <c r="BO59" s="203">
        <v>50</v>
      </c>
      <c r="BP59" s="195" t="str">
        <f t="shared" si="30"/>
        <v/>
      </c>
      <c r="BQ59" s="195" t="str">
        <v/>
      </c>
      <c r="BR59" s="205" t="str">
        <v/>
      </c>
      <c r="BS59" s="242"/>
      <c r="BT59" s="197" t="str">
        <f t="shared" si="21"/>
        <v/>
      </c>
    </row>
    <row r="60" spans="1:72">
      <c r="A60" s="203">
        <v>51</v>
      </c>
      <c r="B60" s="195" t="str">
        <f t="shared" si="22"/>
        <v/>
      </c>
      <c r="C60" s="195" t="str">
        <v/>
      </c>
      <c r="D60" s="205" t="str">
        <v/>
      </c>
      <c r="E60" s="213"/>
      <c r="F60" s="197" t="str">
        <f t="shared" si="10"/>
        <v/>
      </c>
      <c r="G60" s="203">
        <v>51</v>
      </c>
      <c r="H60" s="195" t="str">
        <f t="shared" si="1"/>
        <v/>
      </c>
      <c r="I60" s="195" t="str">
        <v/>
      </c>
      <c r="J60" s="205" t="str">
        <v/>
      </c>
      <c r="K60" s="242"/>
      <c r="L60" s="197" t="str">
        <f t="shared" si="11"/>
        <v/>
      </c>
      <c r="M60" s="203">
        <v>51</v>
      </c>
      <c r="N60" s="195" t="str">
        <f t="shared" si="23"/>
        <v/>
      </c>
      <c r="O60" s="195" t="str">
        <v/>
      </c>
      <c r="P60" s="205" t="str">
        <v/>
      </c>
      <c r="Q60" s="213"/>
      <c r="R60" s="197" t="str">
        <f t="shared" si="12"/>
        <v/>
      </c>
      <c r="S60" s="203">
        <v>51</v>
      </c>
      <c r="T60" s="195" t="str">
        <f t="shared" si="24"/>
        <v/>
      </c>
      <c r="U60" s="195" t="str">
        <v/>
      </c>
      <c r="V60" s="205" t="str">
        <v/>
      </c>
      <c r="W60" s="213"/>
      <c r="X60" s="197" t="str">
        <f t="shared" si="13"/>
        <v/>
      </c>
      <c r="Y60" s="203">
        <v>51</v>
      </c>
      <c r="Z60" s="195"/>
      <c r="AA60" s="195"/>
      <c r="AB60" s="205"/>
      <c r="AC60" s="213"/>
      <c r="AD60" s="197" t="str">
        <f t="shared" si="14"/>
        <v/>
      </c>
      <c r="AE60" s="203">
        <v>51</v>
      </c>
      <c r="AF60" s="195" t="str">
        <f t="shared" si="25"/>
        <v/>
      </c>
      <c r="AG60" s="195" t="str">
        <v/>
      </c>
      <c r="AH60" s="205" t="str">
        <v/>
      </c>
      <c r="AI60" s="213"/>
      <c r="AJ60" s="197" t="str">
        <f t="shared" si="15"/>
        <v/>
      </c>
      <c r="AK60" s="203">
        <v>51</v>
      </c>
      <c r="AL60" s="198"/>
      <c r="AM60" s="195"/>
      <c r="AN60" s="196"/>
      <c r="AO60" s="254"/>
      <c r="AP60" s="256" t="str">
        <f t="shared" si="16"/>
        <v/>
      </c>
      <c r="AQ60" s="203">
        <v>51</v>
      </c>
      <c r="AR60" s="195" t="str">
        <f t="shared" si="26"/>
        <v/>
      </c>
      <c r="AS60" s="195" t="str">
        <v/>
      </c>
      <c r="AT60" s="205" t="str">
        <v/>
      </c>
      <c r="AU60" s="213"/>
      <c r="AV60" s="197" t="str">
        <f t="shared" si="17"/>
        <v/>
      </c>
      <c r="AW60" s="203">
        <v>51</v>
      </c>
      <c r="AX60" s="195" t="str">
        <f t="shared" si="27"/>
        <v/>
      </c>
      <c r="AY60" s="195" t="str">
        <v/>
      </c>
      <c r="AZ60" s="205" t="str">
        <v/>
      </c>
      <c r="BA60" s="242"/>
      <c r="BB60" s="197" t="str">
        <f t="shared" si="18"/>
        <v/>
      </c>
      <c r="BC60" s="203">
        <v>51</v>
      </c>
      <c r="BD60" s="195" t="str">
        <f t="shared" si="28"/>
        <v/>
      </c>
      <c r="BE60" s="195" t="str">
        <v/>
      </c>
      <c r="BF60" s="205" t="str">
        <v/>
      </c>
      <c r="BG60" s="242"/>
      <c r="BH60" s="197" t="str">
        <f t="shared" si="19"/>
        <v/>
      </c>
      <c r="BI60" s="203">
        <v>51</v>
      </c>
      <c r="BJ60" s="195" t="str">
        <f t="shared" si="29"/>
        <v/>
      </c>
      <c r="BK60" s="195" t="str">
        <v/>
      </c>
      <c r="BL60" s="205" t="str">
        <v/>
      </c>
      <c r="BM60" s="242"/>
      <c r="BN60" s="197" t="str">
        <f t="shared" si="20"/>
        <v/>
      </c>
      <c r="BO60" s="203">
        <v>51</v>
      </c>
      <c r="BP60" s="195" t="str">
        <f t="shared" si="30"/>
        <v/>
      </c>
      <c r="BQ60" s="195" t="str">
        <v/>
      </c>
      <c r="BR60" s="205" t="str">
        <v/>
      </c>
      <c r="BS60" s="242"/>
      <c r="BT60" s="197" t="str">
        <f t="shared" si="21"/>
        <v/>
      </c>
    </row>
    <row r="61" spans="1:72">
      <c r="A61" s="203">
        <v>52</v>
      </c>
      <c r="B61" s="195" t="str">
        <f t="shared" si="22"/>
        <v/>
      </c>
      <c r="C61" s="195" t="str">
        <v/>
      </c>
      <c r="D61" s="205" t="str">
        <v/>
      </c>
      <c r="E61" s="213"/>
      <c r="F61" s="197" t="str">
        <f t="shared" si="10"/>
        <v/>
      </c>
      <c r="G61" s="203">
        <v>52</v>
      </c>
      <c r="H61" s="195" t="str">
        <f t="shared" si="1"/>
        <v/>
      </c>
      <c r="I61" s="195" t="str">
        <v/>
      </c>
      <c r="J61" s="205" t="str">
        <v/>
      </c>
      <c r="K61" s="242"/>
      <c r="L61" s="197" t="str">
        <f t="shared" si="11"/>
        <v/>
      </c>
      <c r="M61" s="203">
        <v>52</v>
      </c>
      <c r="N61" s="195" t="str">
        <f t="shared" si="23"/>
        <v/>
      </c>
      <c r="O61" s="195" t="str">
        <v/>
      </c>
      <c r="P61" s="205" t="str">
        <v/>
      </c>
      <c r="Q61" s="213"/>
      <c r="R61" s="197" t="str">
        <f t="shared" si="12"/>
        <v/>
      </c>
      <c r="S61" s="203">
        <v>52</v>
      </c>
      <c r="T61" s="195" t="str">
        <f t="shared" si="24"/>
        <v/>
      </c>
      <c r="U61" s="195" t="str">
        <v/>
      </c>
      <c r="V61" s="205" t="str">
        <v/>
      </c>
      <c r="W61" s="213"/>
      <c r="X61" s="197" t="str">
        <f t="shared" si="13"/>
        <v/>
      </c>
      <c r="Y61" s="203">
        <v>52</v>
      </c>
      <c r="Z61" s="195"/>
      <c r="AA61" s="195"/>
      <c r="AB61" s="205"/>
      <c r="AC61" s="213"/>
      <c r="AD61" s="197" t="str">
        <f t="shared" si="14"/>
        <v/>
      </c>
      <c r="AE61" s="203">
        <v>52</v>
      </c>
      <c r="AF61" s="195" t="str">
        <f t="shared" si="25"/>
        <v/>
      </c>
      <c r="AG61" s="195" t="str">
        <v/>
      </c>
      <c r="AH61" s="205" t="str">
        <v/>
      </c>
      <c r="AI61" s="213"/>
      <c r="AJ61" s="197" t="str">
        <f t="shared" si="15"/>
        <v/>
      </c>
      <c r="AK61" s="203">
        <v>52</v>
      </c>
      <c r="AL61" s="198"/>
      <c r="AM61" s="195"/>
      <c r="AN61" s="196"/>
      <c r="AO61" s="254"/>
      <c r="AP61" s="256" t="str">
        <f t="shared" si="16"/>
        <v/>
      </c>
      <c r="AQ61" s="203">
        <v>52</v>
      </c>
      <c r="AR61" s="195" t="str">
        <f t="shared" si="26"/>
        <v/>
      </c>
      <c r="AS61" s="195" t="str">
        <v/>
      </c>
      <c r="AT61" s="205" t="str">
        <v/>
      </c>
      <c r="AU61" s="213"/>
      <c r="AV61" s="197" t="str">
        <f t="shared" si="17"/>
        <v/>
      </c>
      <c r="AW61" s="203">
        <v>52</v>
      </c>
      <c r="AX61" s="195" t="str">
        <f t="shared" si="27"/>
        <v/>
      </c>
      <c r="AY61" s="195" t="str">
        <v/>
      </c>
      <c r="AZ61" s="205" t="str">
        <v/>
      </c>
      <c r="BA61" s="242"/>
      <c r="BB61" s="197" t="str">
        <f t="shared" si="18"/>
        <v/>
      </c>
      <c r="BC61" s="203">
        <v>52</v>
      </c>
      <c r="BD61" s="195" t="str">
        <f t="shared" si="28"/>
        <v/>
      </c>
      <c r="BE61" s="195" t="str">
        <v/>
      </c>
      <c r="BF61" s="205" t="str">
        <v/>
      </c>
      <c r="BG61" s="242"/>
      <c r="BH61" s="197" t="str">
        <f t="shared" si="19"/>
        <v/>
      </c>
      <c r="BI61" s="203">
        <v>52</v>
      </c>
      <c r="BJ61" s="195" t="str">
        <f t="shared" si="29"/>
        <v/>
      </c>
      <c r="BK61" s="195" t="str">
        <v/>
      </c>
      <c r="BL61" s="205" t="str">
        <v/>
      </c>
      <c r="BM61" s="242"/>
      <c r="BN61" s="197" t="str">
        <f t="shared" si="20"/>
        <v/>
      </c>
      <c r="BO61" s="203">
        <v>52</v>
      </c>
      <c r="BP61" s="195" t="str">
        <f t="shared" si="30"/>
        <v/>
      </c>
      <c r="BQ61" s="195" t="str">
        <v/>
      </c>
      <c r="BR61" s="205" t="str">
        <v/>
      </c>
      <c r="BS61" s="242"/>
      <c r="BT61" s="197" t="str">
        <f t="shared" si="21"/>
        <v/>
      </c>
    </row>
    <row r="62" spans="1:72">
      <c r="A62" s="203">
        <v>53</v>
      </c>
      <c r="B62" s="195" t="str">
        <f t="shared" si="22"/>
        <v/>
      </c>
      <c r="C62" s="195" t="str">
        <v/>
      </c>
      <c r="D62" s="205" t="str">
        <v/>
      </c>
      <c r="E62" s="213"/>
      <c r="F62" s="197" t="str">
        <f t="shared" si="10"/>
        <v/>
      </c>
      <c r="G62" s="203">
        <v>53</v>
      </c>
      <c r="H62" s="195" t="str">
        <f t="shared" si="1"/>
        <v/>
      </c>
      <c r="I62" s="195" t="str">
        <v/>
      </c>
      <c r="J62" s="205" t="str">
        <v/>
      </c>
      <c r="K62" s="242"/>
      <c r="L62" s="197" t="str">
        <f t="shared" si="11"/>
        <v/>
      </c>
      <c r="M62" s="203">
        <v>53</v>
      </c>
      <c r="N62" s="195" t="str">
        <f t="shared" si="23"/>
        <v/>
      </c>
      <c r="O62" s="195" t="str">
        <v/>
      </c>
      <c r="P62" s="205" t="str">
        <v/>
      </c>
      <c r="Q62" s="213"/>
      <c r="R62" s="197" t="str">
        <f t="shared" si="12"/>
        <v/>
      </c>
      <c r="S62" s="203">
        <v>53</v>
      </c>
      <c r="T62" s="195" t="str">
        <f t="shared" si="24"/>
        <v/>
      </c>
      <c r="U62" s="195" t="str">
        <v/>
      </c>
      <c r="V62" s="205" t="str">
        <v/>
      </c>
      <c r="W62" s="213"/>
      <c r="X62" s="197" t="str">
        <f t="shared" si="13"/>
        <v/>
      </c>
      <c r="Y62" s="203">
        <v>53</v>
      </c>
      <c r="Z62" s="195"/>
      <c r="AA62" s="195"/>
      <c r="AB62" s="205"/>
      <c r="AC62" s="213"/>
      <c r="AD62" s="197" t="str">
        <f t="shared" si="14"/>
        <v/>
      </c>
      <c r="AE62" s="203">
        <v>53</v>
      </c>
      <c r="AF62" s="195" t="str">
        <f t="shared" si="25"/>
        <v/>
      </c>
      <c r="AG62" s="195" t="str">
        <v/>
      </c>
      <c r="AH62" s="205" t="str">
        <v/>
      </c>
      <c r="AI62" s="213"/>
      <c r="AJ62" s="197" t="str">
        <f t="shared" si="15"/>
        <v/>
      </c>
      <c r="AK62" s="203">
        <v>53</v>
      </c>
      <c r="AL62" s="198"/>
      <c r="AM62" s="195"/>
      <c r="AN62" s="196"/>
      <c r="AO62" s="254"/>
      <c r="AP62" s="256" t="str">
        <f t="shared" si="16"/>
        <v/>
      </c>
      <c r="AQ62" s="203">
        <v>53</v>
      </c>
      <c r="AR62" s="195" t="str">
        <f t="shared" si="26"/>
        <v/>
      </c>
      <c r="AS62" s="195" t="str">
        <v/>
      </c>
      <c r="AT62" s="205" t="str">
        <v/>
      </c>
      <c r="AU62" s="213"/>
      <c r="AV62" s="197" t="str">
        <f t="shared" si="17"/>
        <v/>
      </c>
      <c r="AW62" s="203">
        <v>53</v>
      </c>
      <c r="AX62" s="195" t="str">
        <f t="shared" si="27"/>
        <v/>
      </c>
      <c r="AY62" s="195" t="str">
        <v/>
      </c>
      <c r="AZ62" s="205" t="str">
        <v/>
      </c>
      <c r="BA62" s="242"/>
      <c r="BB62" s="197" t="str">
        <f t="shared" si="18"/>
        <v/>
      </c>
      <c r="BC62" s="203">
        <v>53</v>
      </c>
      <c r="BD62" s="195" t="str">
        <f t="shared" si="28"/>
        <v/>
      </c>
      <c r="BE62" s="195" t="str">
        <v/>
      </c>
      <c r="BF62" s="205" t="str">
        <v/>
      </c>
      <c r="BG62" s="242"/>
      <c r="BH62" s="197" t="str">
        <f t="shared" si="19"/>
        <v/>
      </c>
      <c r="BI62" s="203">
        <v>53</v>
      </c>
      <c r="BJ62" s="195" t="str">
        <f t="shared" si="29"/>
        <v/>
      </c>
      <c r="BK62" s="195" t="str">
        <v/>
      </c>
      <c r="BL62" s="205" t="str">
        <v/>
      </c>
      <c r="BM62" s="242"/>
      <c r="BN62" s="197" t="str">
        <f t="shared" si="20"/>
        <v/>
      </c>
      <c r="BO62" s="203">
        <v>53</v>
      </c>
      <c r="BP62" s="195" t="str">
        <f t="shared" si="30"/>
        <v/>
      </c>
      <c r="BQ62" s="195" t="str">
        <v/>
      </c>
      <c r="BR62" s="205" t="str">
        <v/>
      </c>
      <c r="BS62" s="242"/>
      <c r="BT62" s="197" t="str">
        <f t="shared" si="21"/>
        <v/>
      </c>
    </row>
    <row r="63" spans="1:72">
      <c r="A63" s="203">
        <v>54</v>
      </c>
      <c r="B63" s="195" t="str">
        <f t="shared" si="22"/>
        <v/>
      </c>
      <c r="C63" s="195" t="str">
        <v/>
      </c>
      <c r="D63" s="205" t="str">
        <v/>
      </c>
      <c r="E63" s="213"/>
      <c r="F63" s="197" t="str">
        <f t="shared" si="10"/>
        <v/>
      </c>
      <c r="G63" s="203">
        <v>54</v>
      </c>
      <c r="H63" s="195" t="str">
        <f t="shared" si="1"/>
        <v/>
      </c>
      <c r="I63" s="195" t="str">
        <v/>
      </c>
      <c r="J63" s="205" t="str">
        <v/>
      </c>
      <c r="K63" s="242"/>
      <c r="L63" s="197" t="str">
        <f t="shared" si="11"/>
        <v/>
      </c>
      <c r="M63" s="203">
        <v>54</v>
      </c>
      <c r="N63" s="195" t="str">
        <f t="shared" si="23"/>
        <v/>
      </c>
      <c r="O63" s="195" t="str">
        <v/>
      </c>
      <c r="P63" s="205" t="str">
        <v/>
      </c>
      <c r="Q63" s="213"/>
      <c r="R63" s="197" t="str">
        <f t="shared" si="12"/>
        <v/>
      </c>
      <c r="S63" s="203">
        <v>54</v>
      </c>
      <c r="T63" s="195" t="str">
        <f t="shared" si="24"/>
        <v/>
      </c>
      <c r="U63" s="195" t="str">
        <v/>
      </c>
      <c r="V63" s="205" t="str">
        <v/>
      </c>
      <c r="W63" s="213"/>
      <c r="X63" s="197" t="str">
        <f t="shared" si="13"/>
        <v/>
      </c>
      <c r="Y63" s="203">
        <v>54</v>
      </c>
      <c r="Z63" s="195"/>
      <c r="AA63" s="195"/>
      <c r="AB63" s="205"/>
      <c r="AC63" s="213"/>
      <c r="AD63" s="197" t="str">
        <f t="shared" si="14"/>
        <v/>
      </c>
      <c r="AE63" s="203">
        <v>54</v>
      </c>
      <c r="AF63" s="195" t="str">
        <f t="shared" si="25"/>
        <v/>
      </c>
      <c r="AG63" s="195" t="str">
        <v/>
      </c>
      <c r="AH63" s="205" t="str">
        <v/>
      </c>
      <c r="AI63" s="213"/>
      <c r="AJ63" s="197" t="str">
        <f t="shared" si="15"/>
        <v/>
      </c>
      <c r="AK63" s="203">
        <v>54</v>
      </c>
      <c r="AL63" s="198"/>
      <c r="AM63" s="195"/>
      <c r="AN63" s="196"/>
      <c r="AO63" s="254"/>
      <c r="AP63" s="256" t="str">
        <f t="shared" si="16"/>
        <v/>
      </c>
      <c r="AQ63" s="203">
        <v>54</v>
      </c>
      <c r="AR63" s="195" t="str">
        <f t="shared" si="26"/>
        <v/>
      </c>
      <c r="AS63" s="195" t="str">
        <v/>
      </c>
      <c r="AT63" s="205" t="str">
        <v/>
      </c>
      <c r="AU63" s="213"/>
      <c r="AV63" s="197" t="str">
        <f t="shared" si="17"/>
        <v/>
      </c>
      <c r="AW63" s="203">
        <v>54</v>
      </c>
      <c r="AX63" s="195" t="str">
        <f t="shared" si="27"/>
        <v/>
      </c>
      <c r="AY63" s="195" t="str">
        <v/>
      </c>
      <c r="AZ63" s="205" t="str">
        <v/>
      </c>
      <c r="BA63" s="242"/>
      <c r="BB63" s="197" t="str">
        <f t="shared" si="18"/>
        <v/>
      </c>
      <c r="BC63" s="203">
        <v>54</v>
      </c>
      <c r="BD63" s="195" t="str">
        <f t="shared" si="28"/>
        <v/>
      </c>
      <c r="BE63" s="195" t="str">
        <v/>
      </c>
      <c r="BF63" s="205" t="str">
        <v/>
      </c>
      <c r="BG63" s="242"/>
      <c r="BH63" s="197" t="str">
        <f t="shared" si="19"/>
        <v/>
      </c>
      <c r="BI63" s="203">
        <v>54</v>
      </c>
      <c r="BJ63" s="195" t="str">
        <f t="shared" si="29"/>
        <v/>
      </c>
      <c r="BK63" s="195" t="str">
        <v/>
      </c>
      <c r="BL63" s="205" t="str">
        <v/>
      </c>
      <c r="BM63" s="242"/>
      <c r="BN63" s="197" t="str">
        <f t="shared" si="20"/>
        <v/>
      </c>
      <c r="BO63" s="203">
        <v>54</v>
      </c>
      <c r="BP63" s="195" t="str">
        <f t="shared" si="30"/>
        <v/>
      </c>
      <c r="BQ63" s="195" t="str">
        <v/>
      </c>
      <c r="BR63" s="205" t="str">
        <v/>
      </c>
      <c r="BS63" s="242"/>
      <c r="BT63" s="197" t="str">
        <f t="shared" si="21"/>
        <v/>
      </c>
    </row>
    <row r="64" spans="1:72">
      <c r="A64" s="203">
        <v>55</v>
      </c>
      <c r="B64" s="195" t="str">
        <f t="shared" si="22"/>
        <v/>
      </c>
      <c r="C64" s="195" t="str">
        <v/>
      </c>
      <c r="D64" s="205" t="str">
        <v/>
      </c>
      <c r="E64" s="213"/>
      <c r="F64" s="197" t="str">
        <f t="shared" si="10"/>
        <v/>
      </c>
      <c r="G64" s="203">
        <v>55</v>
      </c>
      <c r="H64" s="195" t="str">
        <f t="shared" si="1"/>
        <v/>
      </c>
      <c r="I64" s="195" t="str">
        <v/>
      </c>
      <c r="J64" s="205" t="str">
        <v/>
      </c>
      <c r="K64" s="242"/>
      <c r="L64" s="197" t="str">
        <f t="shared" si="11"/>
        <v/>
      </c>
      <c r="M64" s="203">
        <v>55</v>
      </c>
      <c r="N64" s="195" t="str">
        <f t="shared" si="23"/>
        <v/>
      </c>
      <c r="O64" s="195" t="str">
        <v/>
      </c>
      <c r="P64" s="205" t="str">
        <v/>
      </c>
      <c r="Q64" s="213"/>
      <c r="R64" s="197" t="str">
        <f t="shared" si="12"/>
        <v/>
      </c>
      <c r="S64" s="203">
        <v>55</v>
      </c>
      <c r="T64" s="195" t="str">
        <f t="shared" si="24"/>
        <v/>
      </c>
      <c r="U64" s="195" t="str">
        <v/>
      </c>
      <c r="V64" s="205" t="str">
        <v/>
      </c>
      <c r="W64" s="213"/>
      <c r="X64" s="197" t="str">
        <f t="shared" si="13"/>
        <v/>
      </c>
      <c r="Y64" s="203">
        <v>55</v>
      </c>
      <c r="Z64" s="195"/>
      <c r="AA64" s="195"/>
      <c r="AB64" s="205"/>
      <c r="AC64" s="213"/>
      <c r="AD64" s="197" t="str">
        <f t="shared" si="14"/>
        <v/>
      </c>
      <c r="AE64" s="203">
        <v>55</v>
      </c>
      <c r="AF64" s="195" t="str">
        <f t="shared" si="25"/>
        <v/>
      </c>
      <c r="AG64" s="195" t="str">
        <v/>
      </c>
      <c r="AH64" s="205" t="str">
        <v/>
      </c>
      <c r="AI64" s="213"/>
      <c r="AJ64" s="197" t="str">
        <f t="shared" si="15"/>
        <v/>
      </c>
      <c r="AK64" s="203">
        <v>55</v>
      </c>
      <c r="AL64" s="198"/>
      <c r="AM64" s="195"/>
      <c r="AN64" s="196"/>
      <c r="AO64" s="254"/>
      <c r="AP64" s="256" t="str">
        <f t="shared" si="16"/>
        <v/>
      </c>
      <c r="AQ64" s="203">
        <v>55</v>
      </c>
      <c r="AR64" s="195" t="str">
        <f t="shared" si="26"/>
        <v/>
      </c>
      <c r="AS64" s="195" t="str">
        <v/>
      </c>
      <c r="AT64" s="205" t="str">
        <v/>
      </c>
      <c r="AU64" s="213"/>
      <c r="AV64" s="197" t="str">
        <f t="shared" si="17"/>
        <v/>
      </c>
      <c r="AW64" s="203">
        <v>55</v>
      </c>
      <c r="AX64" s="195" t="str">
        <f t="shared" si="27"/>
        <v/>
      </c>
      <c r="AY64" s="195" t="str">
        <v/>
      </c>
      <c r="AZ64" s="205" t="str">
        <v/>
      </c>
      <c r="BA64" s="242"/>
      <c r="BB64" s="197" t="str">
        <f t="shared" si="18"/>
        <v/>
      </c>
      <c r="BC64" s="203">
        <v>55</v>
      </c>
      <c r="BD64" s="195" t="str">
        <f t="shared" si="28"/>
        <v/>
      </c>
      <c r="BE64" s="195" t="str">
        <v/>
      </c>
      <c r="BF64" s="205" t="str">
        <v/>
      </c>
      <c r="BG64" s="242"/>
      <c r="BH64" s="197" t="str">
        <f t="shared" si="19"/>
        <v/>
      </c>
      <c r="BI64" s="203">
        <v>55</v>
      </c>
      <c r="BJ64" s="195" t="str">
        <f t="shared" si="29"/>
        <v/>
      </c>
      <c r="BK64" s="195" t="str">
        <v/>
      </c>
      <c r="BL64" s="205" t="str">
        <v/>
      </c>
      <c r="BM64" s="242"/>
      <c r="BN64" s="197" t="str">
        <f t="shared" si="20"/>
        <v/>
      </c>
      <c r="BO64" s="203">
        <v>55</v>
      </c>
      <c r="BP64" s="195" t="str">
        <f t="shared" si="30"/>
        <v/>
      </c>
      <c r="BQ64" s="195" t="str">
        <v/>
      </c>
      <c r="BR64" s="205" t="str">
        <v/>
      </c>
      <c r="BS64" s="242"/>
      <c r="BT64" s="197" t="str">
        <f t="shared" si="21"/>
        <v/>
      </c>
    </row>
    <row r="65" spans="1:72">
      <c r="A65" s="203">
        <v>56</v>
      </c>
      <c r="B65" s="195" t="str">
        <f t="shared" si="22"/>
        <v/>
      </c>
      <c r="C65" s="195" t="str">
        <v/>
      </c>
      <c r="D65" s="205" t="str">
        <v/>
      </c>
      <c r="E65" s="213"/>
      <c r="F65" s="197" t="str">
        <f t="shared" si="10"/>
        <v/>
      </c>
      <c r="G65" s="203">
        <v>56</v>
      </c>
      <c r="H65" s="195" t="str">
        <f t="shared" si="1"/>
        <v/>
      </c>
      <c r="I65" s="195" t="str">
        <v/>
      </c>
      <c r="J65" s="205" t="str">
        <v/>
      </c>
      <c r="K65" s="242"/>
      <c r="L65" s="197" t="str">
        <f t="shared" si="11"/>
        <v/>
      </c>
      <c r="M65" s="203">
        <v>56</v>
      </c>
      <c r="N65" s="195" t="str">
        <f t="shared" si="23"/>
        <v/>
      </c>
      <c r="O65" s="195" t="str">
        <v/>
      </c>
      <c r="P65" s="205" t="str">
        <v/>
      </c>
      <c r="Q65" s="213"/>
      <c r="R65" s="197" t="str">
        <f t="shared" si="12"/>
        <v/>
      </c>
      <c r="S65" s="203">
        <v>56</v>
      </c>
      <c r="T65" s="195" t="str">
        <f t="shared" si="24"/>
        <v/>
      </c>
      <c r="U65" s="195" t="str">
        <v/>
      </c>
      <c r="V65" s="205" t="str">
        <v/>
      </c>
      <c r="W65" s="213"/>
      <c r="X65" s="197" t="str">
        <f t="shared" si="13"/>
        <v/>
      </c>
      <c r="Y65" s="203">
        <v>56</v>
      </c>
      <c r="Z65" s="195"/>
      <c r="AA65" s="195"/>
      <c r="AB65" s="205"/>
      <c r="AC65" s="213"/>
      <c r="AD65" s="197" t="str">
        <f t="shared" si="14"/>
        <v/>
      </c>
      <c r="AE65" s="203">
        <v>56</v>
      </c>
      <c r="AF65" s="195" t="str">
        <f t="shared" si="25"/>
        <v/>
      </c>
      <c r="AG65" s="195" t="str">
        <v/>
      </c>
      <c r="AH65" s="205" t="str">
        <v/>
      </c>
      <c r="AI65" s="213"/>
      <c r="AJ65" s="197" t="str">
        <f t="shared" si="15"/>
        <v/>
      </c>
      <c r="AK65" s="203">
        <v>56</v>
      </c>
      <c r="AL65" s="198"/>
      <c r="AM65" s="195"/>
      <c r="AN65" s="196"/>
      <c r="AO65" s="254"/>
      <c r="AP65" s="256" t="str">
        <f t="shared" si="16"/>
        <v/>
      </c>
      <c r="AQ65" s="203">
        <v>56</v>
      </c>
      <c r="AR65" s="195" t="str">
        <f t="shared" si="26"/>
        <v/>
      </c>
      <c r="AS65" s="195" t="str">
        <v/>
      </c>
      <c r="AT65" s="205" t="str">
        <v/>
      </c>
      <c r="AU65" s="213"/>
      <c r="AV65" s="197" t="str">
        <f t="shared" si="17"/>
        <v/>
      </c>
      <c r="AW65" s="203">
        <v>56</v>
      </c>
      <c r="AX65" s="195" t="str">
        <f t="shared" si="27"/>
        <v/>
      </c>
      <c r="AY65" s="195" t="str">
        <v/>
      </c>
      <c r="AZ65" s="205" t="str">
        <v/>
      </c>
      <c r="BA65" s="242"/>
      <c r="BB65" s="197" t="str">
        <f t="shared" si="18"/>
        <v/>
      </c>
      <c r="BC65" s="203">
        <v>56</v>
      </c>
      <c r="BD65" s="195" t="str">
        <f t="shared" si="28"/>
        <v/>
      </c>
      <c r="BE65" s="195" t="str">
        <v/>
      </c>
      <c r="BF65" s="205" t="str">
        <v/>
      </c>
      <c r="BG65" s="242"/>
      <c r="BH65" s="197" t="str">
        <f t="shared" si="19"/>
        <v/>
      </c>
      <c r="BI65" s="203">
        <v>56</v>
      </c>
      <c r="BJ65" s="195" t="str">
        <f t="shared" si="29"/>
        <v/>
      </c>
      <c r="BK65" s="195" t="str">
        <v/>
      </c>
      <c r="BL65" s="205" t="str">
        <v/>
      </c>
      <c r="BM65" s="242"/>
      <c r="BN65" s="197" t="str">
        <f t="shared" si="20"/>
        <v/>
      </c>
      <c r="BO65" s="203">
        <v>56</v>
      </c>
      <c r="BP65" s="195" t="str">
        <f t="shared" si="30"/>
        <v/>
      </c>
      <c r="BQ65" s="195" t="str">
        <v/>
      </c>
      <c r="BR65" s="205" t="str">
        <v/>
      </c>
      <c r="BS65" s="242"/>
      <c r="BT65" s="197" t="str">
        <f t="shared" si="21"/>
        <v/>
      </c>
    </row>
    <row r="66" spans="1:72">
      <c r="A66" s="203">
        <v>57</v>
      </c>
      <c r="B66" s="195" t="str">
        <f t="shared" si="22"/>
        <v/>
      </c>
      <c r="C66" s="195" t="str">
        <v/>
      </c>
      <c r="D66" s="205" t="str">
        <v/>
      </c>
      <c r="E66" s="213"/>
      <c r="F66" s="197" t="str">
        <f t="shared" si="10"/>
        <v/>
      </c>
      <c r="G66" s="203">
        <v>57</v>
      </c>
      <c r="H66" s="195" t="str">
        <f t="shared" si="1"/>
        <v/>
      </c>
      <c r="I66" s="195" t="str">
        <v/>
      </c>
      <c r="J66" s="205" t="str">
        <v/>
      </c>
      <c r="K66" s="242"/>
      <c r="L66" s="197" t="str">
        <f t="shared" si="11"/>
        <v/>
      </c>
      <c r="M66" s="203">
        <v>57</v>
      </c>
      <c r="N66" s="195" t="str">
        <f t="shared" si="23"/>
        <v/>
      </c>
      <c r="O66" s="195" t="str">
        <v/>
      </c>
      <c r="P66" s="205" t="str">
        <v/>
      </c>
      <c r="Q66" s="213"/>
      <c r="R66" s="197" t="str">
        <f t="shared" si="12"/>
        <v/>
      </c>
      <c r="S66" s="203">
        <v>57</v>
      </c>
      <c r="T66" s="195" t="str">
        <f t="shared" si="24"/>
        <v/>
      </c>
      <c r="U66" s="195" t="str">
        <v/>
      </c>
      <c r="V66" s="205" t="str">
        <v/>
      </c>
      <c r="W66" s="213"/>
      <c r="X66" s="197" t="str">
        <f t="shared" si="13"/>
        <v/>
      </c>
      <c r="Y66" s="203">
        <v>57</v>
      </c>
      <c r="Z66" s="195"/>
      <c r="AA66" s="195"/>
      <c r="AB66" s="205"/>
      <c r="AC66" s="213"/>
      <c r="AD66" s="197" t="str">
        <f t="shared" si="14"/>
        <v/>
      </c>
      <c r="AE66" s="203">
        <v>57</v>
      </c>
      <c r="AF66" s="195" t="str">
        <f t="shared" si="25"/>
        <v/>
      </c>
      <c r="AG66" s="195" t="str">
        <v/>
      </c>
      <c r="AH66" s="205" t="str">
        <v/>
      </c>
      <c r="AI66" s="213"/>
      <c r="AJ66" s="197" t="str">
        <f t="shared" si="15"/>
        <v/>
      </c>
      <c r="AK66" s="203">
        <v>57</v>
      </c>
      <c r="AL66" s="198"/>
      <c r="AM66" s="195"/>
      <c r="AN66" s="196"/>
      <c r="AO66" s="254"/>
      <c r="AP66" s="256" t="str">
        <f t="shared" si="16"/>
        <v/>
      </c>
      <c r="AQ66" s="203">
        <v>57</v>
      </c>
      <c r="AR66" s="195" t="str">
        <f t="shared" si="26"/>
        <v/>
      </c>
      <c r="AS66" s="195" t="str">
        <v/>
      </c>
      <c r="AT66" s="205" t="str">
        <v/>
      </c>
      <c r="AU66" s="213"/>
      <c r="AV66" s="197" t="str">
        <f t="shared" si="17"/>
        <v/>
      </c>
      <c r="AW66" s="203">
        <v>57</v>
      </c>
      <c r="AX66" s="195" t="str">
        <f t="shared" si="27"/>
        <v/>
      </c>
      <c r="AY66" s="195" t="str">
        <v/>
      </c>
      <c r="AZ66" s="205" t="str">
        <v/>
      </c>
      <c r="BA66" s="242"/>
      <c r="BB66" s="197" t="str">
        <f t="shared" si="18"/>
        <v/>
      </c>
      <c r="BC66" s="203">
        <v>57</v>
      </c>
      <c r="BD66" s="195" t="str">
        <f t="shared" si="28"/>
        <v/>
      </c>
      <c r="BE66" s="195" t="str">
        <v/>
      </c>
      <c r="BF66" s="205" t="str">
        <v/>
      </c>
      <c r="BG66" s="242"/>
      <c r="BH66" s="197" t="str">
        <f t="shared" si="19"/>
        <v/>
      </c>
      <c r="BI66" s="203">
        <v>57</v>
      </c>
      <c r="BJ66" s="195" t="str">
        <f t="shared" si="29"/>
        <v/>
      </c>
      <c r="BK66" s="195" t="str">
        <v/>
      </c>
      <c r="BL66" s="205" t="str">
        <v/>
      </c>
      <c r="BM66" s="242"/>
      <c r="BN66" s="197" t="str">
        <f t="shared" si="20"/>
        <v/>
      </c>
      <c r="BO66" s="203">
        <v>57</v>
      </c>
      <c r="BP66" s="195" t="str">
        <f t="shared" si="30"/>
        <v/>
      </c>
      <c r="BQ66" s="195" t="str">
        <v/>
      </c>
      <c r="BR66" s="205" t="str">
        <v/>
      </c>
      <c r="BS66" s="242"/>
      <c r="BT66" s="197" t="str">
        <f t="shared" si="21"/>
        <v/>
      </c>
    </row>
    <row r="67" spans="1:72">
      <c r="A67" s="203">
        <v>58</v>
      </c>
      <c r="B67" s="195" t="str">
        <f t="shared" si="22"/>
        <v/>
      </c>
      <c r="C67" s="195" t="str">
        <v/>
      </c>
      <c r="D67" s="205" t="str">
        <v/>
      </c>
      <c r="E67" s="213"/>
      <c r="F67" s="197" t="str">
        <f t="shared" si="10"/>
        <v/>
      </c>
      <c r="G67" s="203">
        <v>58</v>
      </c>
      <c r="H67" s="195" t="str">
        <f t="shared" si="1"/>
        <v/>
      </c>
      <c r="I67" s="195" t="str">
        <v/>
      </c>
      <c r="J67" s="205" t="str">
        <v/>
      </c>
      <c r="K67" s="242"/>
      <c r="L67" s="197" t="str">
        <f t="shared" si="11"/>
        <v/>
      </c>
      <c r="M67" s="203">
        <v>58</v>
      </c>
      <c r="N67" s="195" t="str">
        <f t="shared" si="23"/>
        <v/>
      </c>
      <c r="O67" s="195" t="str">
        <v/>
      </c>
      <c r="P67" s="205" t="str">
        <v/>
      </c>
      <c r="Q67" s="213"/>
      <c r="R67" s="197" t="str">
        <f t="shared" si="12"/>
        <v/>
      </c>
      <c r="S67" s="203">
        <v>58</v>
      </c>
      <c r="T67" s="195" t="str">
        <f t="shared" si="24"/>
        <v/>
      </c>
      <c r="U67" s="195" t="str">
        <v/>
      </c>
      <c r="V67" s="205" t="str">
        <v/>
      </c>
      <c r="W67" s="213"/>
      <c r="X67" s="197" t="str">
        <f t="shared" si="13"/>
        <v/>
      </c>
      <c r="Y67" s="203">
        <v>58</v>
      </c>
      <c r="Z67" s="195"/>
      <c r="AA67" s="195"/>
      <c r="AB67" s="205"/>
      <c r="AC67" s="213"/>
      <c r="AD67" s="197" t="str">
        <f t="shared" si="14"/>
        <v/>
      </c>
      <c r="AE67" s="203">
        <v>58</v>
      </c>
      <c r="AF67" s="195" t="str">
        <f t="shared" si="25"/>
        <v/>
      </c>
      <c r="AG67" s="195" t="str">
        <v/>
      </c>
      <c r="AH67" s="205" t="str">
        <v/>
      </c>
      <c r="AI67" s="213"/>
      <c r="AJ67" s="197" t="str">
        <f t="shared" si="15"/>
        <v/>
      </c>
      <c r="AK67" s="203">
        <v>58</v>
      </c>
      <c r="AL67" s="198"/>
      <c r="AM67" s="195"/>
      <c r="AN67" s="196"/>
      <c r="AO67" s="254"/>
      <c r="AP67" s="256" t="str">
        <f t="shared" si="16"/>
        <v/>
      </c>
      <c r="AQ67" s="203">
        <v>58</v>
      </c>
      <c r="AR67" s="195" t="str">
        <f t="shared" si="26"/>
        <v/>
      </c>
      <c r="AS67" s="195" t="str">
        <v/>
      </c>
      <c r="AT67" s="205" t="str">
        <v/>
      </c>
      <c r="AU67" s="213"/>
      <c r="AV67" s="197" t="str">
        <f t="shared" si="17"/>
        <v/>
      </c>
      <c r="AW67" s="203">
        <v>58</v>
      </c>
      <c r="AX67" s="195" t="str">
        <f t="shared" si="27"/>
        <v/>
      </c>
      <c r="AY67" s="195" t="str">
        <v/>
      </c>
      <c r="AZ67" s="205" t="str">
        <v/>
      </c>
      <c r="BA67" s="242"/>
      <c r="BB67" s="197" t="str">
        <f t="shared" si="18"/>
        <v/>
      </c>
      <c r="BC67" s="203">
        <v>58</v>
      </c>
      <c r="BD67" s="195" t="str">
        <f t="shared" si="28"/>
        <v/>
      </c>
      <c r="BE67" s="195" t="str">
        <v/>
      </c>
      <c r="BF67" s="205" t="str">
        <v/>
      </c>
      <c r="BG67" s="242"/>
      <c r="BH67" s="197" t="str">
        <f t="shared" si="19"/>
        <v/>
      </c>
      <c r="BI67" s="203">
        <v>58</v>
      </c>
      <c r="BJ67" s="195" t="str">
        <f t="shared" si="29"/>
        <v/>
      </c>
      <c r="BK67" s="195" t="str">
        <v/>
      </c>
      <c r="BL67" s="205" t="str">
        <v/>
      </c>
      <c r="BM67" s="242"/>
      <c r="BN67" s="197" t="str">
        <f t="shared" si="20"/>
        <v/>
      </c>
      <c r="BO67" s="203">
        <v>58</v>
      </c>
      <c r="BP67" s="195" t="str">
        <f t="shared" si="30"/>
        <v/>
      </c>
      <c r="BQ67" s="195" t="str">
        <v/>
      </c>
      <c r="BR67" s="205" t="str">
        <v/>
      </c>
      <c r="BS67" s="242"/>
      <c r="BT67" s="197" t="str">
        <f t="shared" si="21"/>
        <v/>
      </c>
    </row>
    <row r="68" spans="1:72">
      <c r="A68" s="203">
        <v>59</v>
      </c>
      <c r="B68" s="195" t="str">
        <f t="shared" si="22"/>
        <v/>
      </c>
      <c r="C68" s="195" t="str">
        <v/>
      </c>
      <c r="D68" s="205" t="str">
        <v/>
      </c>
      <c r="E68" s="213"/>
      <c r="F68" s="197" t="str">
        <f t="shared" si="10"/>
        <v/>
      </c>
      <c r="G68" s="203">
        <v>59</v>
      </c>
      <c r="H68" s="195" t="str">
        <f t="shared" si="1"/>
        <v/>
      </c>
      <c r="I68" s="195" t="str">
        <v/>
      </c>
      <c r="J68" s="205" t="str">
        <v/>
      </c>
      <c r="K68" s="242"/>
      <c r="L68" s="197" t="str">
        <f t="shared" si="11"/>
        <v/>
      </c>
      <c r="M68" s="203">
        <v>59</v>
      </c>
      <c r="N68" s="195" t="str">
        <f t="shared" si="23"/>
        <v/>
      </c>
      <c r="O68" s="195" t="str">
        <v/>
      </c>
      <c r="P68" s="205" t="str">
        <v/>
      </c>
      <c r="Q68" s="213"/>
      <c r="R68" s="197" t="str">
        <f t="shared" si="12"/>
        <v/>
      </c>
      <c r="S68" s="203">
        <v>59</v>
      </c>
      <c r="T68" s="195" t="str">
        <f t="shared" si="24"/>
        <v/>
      </c>
      <c r="U68" s="195" t="str">
        <v/>
      </c>
      <c r="V68" s="205" t="str">
        <v/>
      </c>
      <c r="W68" s="213"/>
      <c r="X68" s="197" t="str">
        <f t="shared" si="13"/>
        <v/>
      </c>
      <c r="Y68" s="203">
        <v>59</v>
      </c>
      <c r="Z68" s="195"/>
      <c r="AA68" s="195"/>
      <c r="AB68" s="205"/>
      <c r="AC68" s="213"/>
      <c r="AD68" s="197" t="str">
        <f t="shared" si="14"/>
        <v/>
      </c>
      <c r="AE68" s="203">
        <v>59</v>
      </c>
      <c r="AF68" s="195" t="str">
        <f t="shared" si="25"/>
        <v/>
      </c>
      <c r="AG68" s="195" t="str">
        <v/>
      </c>
      <c r="AH68" s="205" t="str">
        <v/>
      </c>
      <c r="AI68" s="213"/>
      <c r="AJ68" s="197" t="str">
        <f t="shared" si="15"/>
        <v/>
      </c>
      <c r="AK68" s="203">
        <v>59</v>
      </c>
      <c r="AL68" s="198"/>
      <c r="AM68" s="195"/>
      <c r="AN68" s="196"/>
      <c r="AO68" s="254"/>
      <c r="AP68" s="256" t="str">
        <f t="shared" si="16"/>
        <v/>
      </c>
      <c r="AQ68" s="203">
        <v>59</v>
      </c>
      <c r="AR68" s="195" t="str">
        <f t="shared" si="26"/>
        <v/>
      </c>
      <c r="AS68" s="195" t="str">
        <v/>
      </c>
      <c r="AT68" s="205" t="str">
        <v/>
      </c>
      <c r="AU68" s="213"/>
      <c r="AV68" s="197" t="str">
        <f t="shared" si="17"/>
        <v/>
      </c>
      <c r="AW68" s="203">
        <v>59</v>
      </c>
      <c r="AX68" s="195" t="str">
        <f t="shared" si="27"/>
        <v/>
      </c>
      <c r="AY68" s="195" t="str">
        <v/>
      </c>
      <c r="AZ68" s="205" t="str">
        <v/>
      </c>
      <c r="BA68" s="242"/>
      <c r="BB68" s="197" t="str">
        <f t="shared" si="18"/>
        <v/>
      </c>
      <c r="BC68" s="203">
        <v>59</v>
      </c>
      <c r="BD68" s="195" t="str">
        <f t="shared" si="28"/>
        <v/>
      </c>
      <c r="BE68" s="195" t="str">
        <v/>
      </c>
      <c r="BF68" s="205" t="str">
        <v/>
      </c>
      <c r="BG68" s="242"/>
      <c r="BH68" s="197" t="str">
        <f t="shared" si="19"/>
        <v/>
      </c>
      <c r="BI68" s="203">
        <v>59</v>
      </c>
      <c r="BJ68" s="195" t="str">
        <f t="shared" si="29"/>
        <v/>
      </c>
      <c r="BK68" s="195" t="str">
        <v/>
      </c>
      <c r="BL68" s="205" t="str">
        <v/>
      </c>
      <c r="BM68" s="242"/>
      <c r="BN68" s="197" t="str">
        <f t="shared" si="20"/>
        <v/>
      </c>
      <c r="BO68" s="203">
        <v>59</v>
      </c>
      <c r="BP68" s="195" t="str">
        <f t="shared" si="30"/>
        <v/>
      </c>
      <c r="BQ68" s="195" t="str">
        <v/>
      </c>
      <c r="BR68" s="205" t="str">
        <v/>
      </c>
      <c r="BS68" s="242"/>
      <c r="BT68" s="197" t="str">
        <f t="shared" si="21"/>
        <v/>
      </c>
    </row>
    <row r="69" spans="1:72">
      <c r="A69" s="203">
        <v>60</v>
      </c>
      <c r="B69" s="195" t="str">
        <f t="shared" si="22"/>
        <v/>
      </c>
      <c r="C69" s="195" t="str">
        <v/>
      </c>
      <c r="D69" s="205" t="str">
        <v/>
      </c>
      <c r="E69" s="213"/>
      <c r="F69" s="197" t="str">
        <f t="shared" si="10"/>
        <v/>
      </c>
      <c r="G69" s="203">
        <v>60</v>
      </c>
      <c r="H69" s="195" t="str">
        <f t="shared" si="1"/>
        <v/>
      </c>
      <c r="I69" s="195" t="str">
        <v/>
      </c>
      <c r="J69" s="205" t="str">
        <v/>
      </c>
      <c r="K69" s="242"/>
      <c r="L69" s="197" t="str">
        <f t="shared" si="11"/>
        <v/>
      </c>
      <c r="M69" s="203">
        <v>60</v>
      </c>
      <c r="N69" s="195" t="str">
        <f t="shared" si="23"/>
        <v/>
      </c>
      <c r="O69" s="195" t="str">
        <v/>
      </c>
      <c r="P69" s="205" t="str">
        <v/>
      </c>
      <c r="Q69" s="213"/>
      <c r="R69" s="197" t="str">
        <f t="shared" si="12"/>
        <v/>
      </c>
      <c r="S69" s="203">
        <v>60</v>
      </c>
      <c r="T69" s="195" t="str">
        <f t="shared" si="24"/>
        <v/>
      </c>
      <c r="U69" s="195" t="str">
        <v/>
      </c>
      <c r="V69" s="205" t="str">
        <v/>
      </c>
      <c r="W69" s="213"/>
      <c r="X69" s="197" t="str">
        <f t="shared" si="13"/>
        <v/>
      </c>
      <c r="Y69" s="203">
        <v>60</v>
      </c>
      <c r="Z69" s="195"/>
      <c r="AA69" s="195"/>
      <c r="AB69" s="205"/>
      <c r="AC69" s="213"/>
      <c r="AD69" s="197" t="str">
        <f t="shared" si="14"/>
        <v/>
      </c>
      <c r="AE69" s="203">
        <v>60</v>
      </c>
      <c r="AF69" s="195" t="str">
        <f t="shared" si="25"/>
        <v/>
      </c>
      <c r="AG69" s="195" t="str">
        <v/>
      </c>
      <c r="AH69" s="205" t="str">
        <v/>
      </c>
      <c r="AI69" s="213"/>
      <c r="AJ69" s="197" t="str">
        <f t="shared" si="15"/>
        <v/>
      </c>
      <c r="AK69" s="203">
        <v>60</v>
      </c>
      <c r="AL69" s="198"/>
      <c r="AM69" s="195"/>
      <c r="AN69" s="196"/>
      <c r="AO69" s="254"/>
      <c r="AP69" s="256" t="str">
        <f t="shared" si="16"/>
        <v/>
      </c>
      <c r="AQ69" s="203">
        <v>60</v>
      </c>
      <c r="AR69" s="195" t="str">
        <f t="shared" si="26"/>
        <v/>
      </c>
      <c r="AS69" s="195" t="str">
        <v/>
      </c>
      <c r="AT69" s="205" t="str">
        <v/>
      </c>
      <c r="AU69" s="213"/>
      <c r="AV69" s="197" t="str">
        <f t="shared" si="17"/>
        <v/>
      </c>
      <c r="AW69" s="203">
        <v>60</v>
      </c>
      <c r="AX69" s="195" t="str">
        <f t="shared" si="27"/>
        <v/>
      </c>
      <c r="AY69" s="195" t="str">
        <v/>
      </c>
      <c r="AZ69" s="205" t="str">
        <v/>
      </c>
      <c r="BA69" s="242"/>
      <c r="BB69" s="197" t="str">
        <f t="shared" si="18"/>
        <v/>
      </c>
      <c r="BC69" s="203">
        <v>60</v>
      </c>
      <c r="BD69" s="195" t="str">
        <f t="shared" si="28"/>
        <v/>
      </c>
      <c r="BE69" s="195" t="str">
        <v/>
      </c>
      <c r="BF69" s="205" t="str">
        <v/>
      </c>
      <c r="BG69" s="242"/>
      <c r="BH69" s="197" t="str">
        <f t="shared" si="19"/>
        <v/>
      </c>
      <c r="BI69" s="203">
        <v>60</v>
      </c>
      <c r="BJ69" s="195" t="str">
        <f t="shared" si="29"/>
        <v/>
      </c>
      <c r="BK69" s="195" t="str">
        <v/>
      </c>
      <c r="BL69" s="205" t="str">
        <v/>
      </c>
      <c r="BM69" s="242"/>
      <c r="BN69" s="197" t="str">
        <f t="shared" si="20"/>
        <v/>
      </c>
      <c r="BO69" s="203">
        <v>60</v>
      </c>
      <c r="BP69" s="195" t="str">
        <f t="shared" si="30"/>
        <v/>
      </c>
      <c r="BQ69" s="195" t="str">
        <v/>
      </c>
      <c r="BR69" s="205" t="str">
        <v/>
      </c>
      <c r="BS69" s="242"/>
      <c r="BT69" s="197" t="str">
        <f t="shared" si="21"/>
        <v/>
      </c>
    </row>
    <row r="70" spans="1:72">
      <c r="A70" s="203">
        <v>61</v>
      </c>
      <c r="B70" s="195" t="str">
        <f t="shared" si="22"/>
        <v/>
      </c>
      <c r="C70" s="195" t="str">
        <v/>
      </c>
      <c r="D70" s="205" t="str">
        <v/>
      </c>
      <c r="E70" s="213"/>
      <c r="F70" s="197" t="str">
        <f t="shared" si="10"/>
        <v/>
      </c>
      <c r="G70" s="203">
        <v>61</v>
      </c>
      <c r="H70" s="195" t="str">
        <f t="shared" si="1"/>
        <v/>
      </c>
      <c r="I70" s="195" t="str">
        <v/>
      </c>
      <c r="J70" s="205" t="str">
        <v/>
      </c>
      <c r="K70" s="242"/>
      <c r="L70" s="197" t="str">
        <f t="shared" si="11"/>
        <v/>
      </c>
      <c r="M70" s="203">
        <v>61</v>
      </c>
      <c r="N70" s="195" t="str">
        <f t="shared" si="23"/>
        <v/>
      </c>
      <c r="O70" s="195" t="str">
        <v/>
      </c>
      <c r="P70" s="205" t="str">
        <v/>
      </c>
      <c r="Q70" s="213"/>
      <c r="R70" s="197" t="str">
        <f t="shared" si="12"/>
        <v/>
      </c>
      <c r="S70" s="203">
        <v>61</v>
      </c>
      <c r="T70" s="195" t="str">
        <f t="shared" si="24"/>
        <v/>
      </c>
      <c r="U70" s="195" t="str">
        <v/>
      </c>
      <c r="V70" s="205" t="str">
        <v/>
      </c>
      <c r="W70" s="213"/>
      <c r="X70" s="197" t="str">
        <f t="shared" si="13"/>
        <v/>
      </c>
      <c r="Y70" s="203">
        <v>61</v>
      </c>
      <c r="Z70" s="195"/>
      <c r="AA70" s="195"/>
      <c r="AB70" s="205"/>
      <c r="AC70" s="213"/>
      <c r="AD70" s="197" t="str">
        <f t="shared" si="14"/>
        <v/>
      </c>
      <c r="AE70" s="203">
        <v>61</v>
      </c>
      <c r="AF70" s="195" t="str">
        <f t="shared" si="25"/>
        <v/>
      </c>
      <c r="AG70" s="195" t="str">
        <v/>
      </c>
      <c r="AH70" s="205" t="str">
        <v/>
      </c>
      <c r="AI70" s="213"/>
      <c r="AJ70" s="197" t="str">
        <f t="shared" si="15"/>
        <v/>
      </c>
      <c r="AK70" s="203">
        <v>61</v>
      </c>
      <c r="AL70" s="198"/>
      <c r="AM70" s="195"/>
      <c r="AN70" s="196"/>
      <c r="AO70" s="254"/>
      <c r="AP70" s="256" t="str">
        <f t="shared" si="16"/>
        <v/>
      </c>
      <c r="AQ70" s="203">
        <v>61</v>
      </c>
      <c r="AR70" s="195" t="str">
        <f t="shared" si="26"/>
        <v/>
      </c>
      <c r="AS70" s="195" t="str">
        <v/>
      </c>
      <c r="AT70" s="205" t="str">
        <v/>
      </c>
      <c r="AU70" s="213"/>
      <c r="AV70" s="197" t="str">
        <f t="shared" si="17"/>
        <v/>
      </c>
      <c r="AW70" s="203">
        <v>61</v>
      </c>
      <c r="AX70" s="195" t="str">
        <f t="shared" si="27"/>
        <v/>
      </c>
      <c r="AY70" s="195" t="str">
        <v/>
      </c>
      <c r="AZ70" s="205" t="str">
        <v/>
      </c>
      <c r="BA70" s="242"/>
      <c r="BB70" s="197" t="str">
        <f t="shared" si="18"/>
        <v/>
      </c>
      <c r="BC70" s="203">
        <v>61</v>
      </c>
      <c r="BD70" s="195" t="str">
        <f t="shared" si="28"/>
        <v/>
      </c>
      <c r="BE70" s="195" t="str">
        <v/>
      </c>
      <c r="BF70" s="205" t="str">
        <v/>
      </c>
      <c r="BG70" s="242"/>
      <c r="BH70" s="197" t="str">
        <f t="shared" si="19"/>
        <v/>
      </c>
      <c r="BI70" s="203">
        <v>61</v>
      </c>
      <c r="BJ70" s="195" t="str">
        <f t="shared" si="29"/>
        <v/>
      </c>
      <c r="BK70" s="195" t="str">
        <v/>
      </c>
      <c r="BL70" s="205" t="str">
        <v/>
      </c>
      <c r="BM70" s="242"/>
      <c r="BN70" s="197" t="str">
        <f t="shared" si="20"/>
        <v/>
      </c>
      <c r="BO70" s="203">
        <v>61</v>
      </c>
      <c r="BP70" s="195" t="str">
        <f t="shared" si="30"/>
        <v/>
      </c>
      <c r="BQ70" s="195" t="str">
        <v/>
      </c>
      <c r="BR70" s="205" t="str">
        <v/>
      </c>
      <c r="BS70" s="242"/>
      <c r="BT70" s="197" t="str">
        <f t="shared" si="21"/>
        <v/>
      </c>
    </row>
    <row r="71" spans="1:72">
      <c r="A71" s="203">
        <v>62</v>
      </c>
      <c r="B71" s="195" t="str">
        <f t="shared" si="22"/>
        <v/>
      </c>
      <c r="C71" s="195" t="str">
        <v/>
      </c>
      <c r="D71" s="205" t="str">
        <v/>
      </c>
      <c r="E71" s="213"/>
      <c r="F71" s="197" t="str">
        <f t="shared" si="10"/>
        <v/>
      </c>
      <c r="G71" s="203">
        <v>62</v>
      </c>
      <c r="H71" s="195" t="str">
        <f t="shared" si="1"/>
        <v/>
      </c>
      <c r="I71" s="195" t="str">
        <v/>
      </c>
      <c r="J71" s="205" t="str">
        <v/>
      </c>
      <c r="K71" s="242"/>
      <c r="L71" s="197" t="str">
        <f t="shared" si="11"/>
        <v/>
      </c>
      <c r="M71" s="203">
        <v>62</v>
      </c>
      <c r="N71" s="195" t="str">
        <f t="shared" si="23"/>
        <v/>
      </c>
      <c r="O71" s="195" t="str">
        <v/>
      </c>
      <c r="P71" s="205" t="str">
        <v/>
      </c>
      <c r="Q71" s="213"/>
      <c r="R71" s="197" t="str">
        <f t="shared" si="12"/>
        <v/>
      </c>
      <c r="S71" s="203">
        <v>62</v>
      </c>
      <c r="T71" s="195" t="str">
        <f t="shared" si="24"/>
        <v/>
      </c>
      <c r="U71" s="195" t="str">
        <v/>
      </c>
      <c r="V71" s="205" t="str">
        <v/>
      </c>
      <c r="W71" s="213"/>
      <c r="X71" s="197" t="str">
        <f t="shared" si="13"/>
        <v/>
      </c>
      <c r="Y71" s="203">
        <v>62</v>
      </c>
      <c r="Z71" s="195"/>
      <c r="AA71" s="195"/>
      <c r="AB71" s="205"/>
      <c r="AC71" s="213"/>
      <c r="AD71" s="197" t="str">
        <f t="shared" si="14"/>
        <v/>
      </c>
      <c r="AE71" s="203">
        <v>62</v>
      </c>
      <c r="AF71" s="195" t="str">
        <f t="shared" si="25"/>
        <v/>
      </c>
      <c r="AG71" s="195" t="str">
        <v/>
      </c>
      <c r="AH71" s="205" t="str">
        <v/>
      </c>
      <c r="AI71" s="213"/>
      <c r="AJ71" s="197" t="str">
        <f t="shared" si="15"/>
        <v/>
      </c>
      <c r="AK71" s="203">
        <v>62</v>
      </c>
      <c r="AL71" s="198"/>
      <c r="AM71" s="195"/>
      <c r="AN71" s="196"/>
      <c r="AO71" s="254"/>
      <c r="AP71" s="256" t="str">
        <f t="shared" si="16"/>
        <v/>
      </c>
      <c r="AQ71" s="203">
        <v>62</v>
      </c>
      <c r="AR71" s="195" t="str">
        <f t="shared" si="26"/>
        <v/>
      </c>
      <c r="AS71" s="195" t="str">
        <v/>
      </c>
      <c r="AT71" s="205" t="str">
        <v/>
      </c>
      <c r="AU71" s="213"/>
      <c r="AV71" s="197" t="str">
        <f t="shared" si="17"/>
        <v/>
      </c>
      <c r="AW71" s="203">
        <v>62</v>
      </c>
      <c r="AX71" s="195" t="str">
        <f t="shared" si="27"/>
        <v/>
      </c>
      <c r="AY71" s="195" t="str">
        <v/>
      </c>
      <c r="AZ71" s="205" t="str">
        <v/>
      </c>
      <c r="BA71" s="242"/>
      <c r="BB71" s="197" t="str">
        <f t="shared" si="18"/>
        <v/>
      </c>
      <c r="BC71" s="203">
        <v>62</v>
      </c>
      <c r="BD71" s="195" t="str">
        <f t="shared" si="28"/>
        <v/>
      </c>
      <c r="BE71" s="195" t="str">
        <v/>
      </c>
      <c r="BF71" s="205" t="str">
        <v/>
      </c>
      <c r="BG71" s="242"/>
      <c r="BH71" s="197" t="str">
        <f t="shared" si="19"/>
        <v/>
      </c>
      <c r="BI71" s="203">
        <v>62</v>
      </c>
      <c r="BJ71" s="195" t="str">
        <f t="shared" si="29"/>
        <v/>
      </c>
      <c r="BK71" s="195" t="str">
        <v/>
      </c>
      <c r="BL71" s="205" t="str">
        <v/>
      </c>
      <c r="BM71" s="242"/>
      <c r="BN71" s="197" t="str">
        <f t="shared" si="20"/>
        <v/>
      </c>
      <c r="BO71" s="203">
        <v>62</v>
      </c>
      <c r="BP71" s="195" t="str">
        <f t="shared" si="30"/>
        <v/>
      </c>
      <c r="BQ71" s="195" t="str">
        <v/>
      </c>
      <c r="BR71" s="205" t="str">
        <v/>
      </c>
      <c r="BS71" s="242"/>
      <c r="BT71" s="197" t="str">
        <f t="shared" si="21"/>
        <v/>
      </c>
    </row>
    <row r="72" spans="1:72">
      <c r="A72" s="203">
        <v>63</v>
      </c>
      <c r="B72" s="195" t="str">
        <f t="shared" si="22"/>
        <v/>
      </c>
      <c r="C72" s="195" t="str">
        <v/>
      </c>
      <c r="D72" s="205" t="str">
        <v/>
      </c>
      <c r="E72" s="213"/>
      <c r="F72" s="197" t="str">
        <f t="shared" si="10"/>
        <v/>
      </c>
      <c r="G72" s="203">
        <v>63</v>
      </c>
      <c r="H72" s="195" t="str">
        <f t="shared" si="1"/>
        <v/>
      </c>
      <c r="I72" s="195" t="str">
        <v/>
      </c>
      <c r="J72" s="205" t="str">
        <v/>
      </c>
      <c r="K72" s="242"/>
      <c r="L72" s="197" t="str">
        <f t="shared" si="11"/>
        <v/>
      </c>
      <c r="M72" s="203">
        <v>63</v>
      </c>
      <c r="N72" s="195" t="str">
        <f t="shared" si="23"/>
        <v/>
      </c>
      <c r="O72" s="195" t="str">
        <v/>
      </c>
      <c r="P72" s="205" t="str">
        <v/>
      </c>
      <c r="Q72" s="213"/>
      <c r="R72" s="197" t="str">
        <f t="shared" si="12"/>
        <v/>
      </c>
      <c r="S72" s="203">
        <v>63</v>
      </c>
      <c r="T72" s="195" t="str">
        <f t="shared" si="24"/>
        <v/>
      </c>
      <c r="U72" s="195" t="str">
        <v/>
      </c>
      <c r="V72" s="205" t="str">
        <v/>
      </c>
      <c r="W72" s="213"/>
      <c r="X72" s="197" t="str">
        <f t="shared" si="13"/>
        <v/>
      </c>
      <c r="Y72" s="203">
        <v>63</v>
      </c>
      <c r="Z72" s="195"/>
      <c r="AA72" s="195"/>
      <c r="AB72" s="205"/>
      <c r="AC72" s="213"/>
      <c r="AD72" s="197" t="str">
        <f t="shared" si="14"/>
        <v/>
      </c>
      <c r="AE72" s="203">
        <v>63</v>
      </c>
      <c r="AF72" s="195" t="str">
        <f t="shared" si="25"/>
        <v/>
      </c>
      <c r="AG72" s="195" t="str">
        <v/>
      </c>
      <c r="AH72" s="205" t="str">
        <v/>
      </c>
      <c r="AI72" s="213"/>
      <c r="AJ72" s="197" t="str">
        <f t="shared" si="15"/>
        <v/>
      </c>
      <c r="AK72" s="203">
        <v>63</v>
      </c>
      <c r="AL72" s="198"/>
      <c r="AM72" s="195"/>
      <c r="AN72" s="196"/>
      <c r="AO72" s="254"/>
      <c r="AP72" s="256" t="str">
        <f t="shared" si="16"/>
        <v/>
      </c>
      <c r="AQ72" s="203">
        <v>63</v>
      </c>
      <c r="AR72" s="195" t="str">
        <f t="shared" si="26"/>
        <v/>
      </c>
      <c r="AS72" s="195" t="str">
        <v/>
      </c>
      <c r="AT72" s="205" t="str">
        <v/>
      </c>
      <c r="AU72" s="213"/>
      <c r="AV72" s="197" t="str">
        <f t="shared" si="17"/>
        <v/>
      </c>
      <c r="AW72" s="203">
        <v>63</v>
      </c>
      <c r="AX72" s="195" t="str">
        <f t="shared" si="27"/>
        <v/>
      </c>
      <c r="AY72" s="195" t="str">
        <v/>
      </c>
      <c r="AZ72" s="205" t="str">
        <v/>
      </c>
      <c r="BA72" s="242"/>
      <c r="BB72" s="197" t="str">
        <f t="shared" si="18"/>
        <v/>
      </c>
      <c r="BC72" s="203">
        <v>63</v>
      </c>
      <c r="BD72" s="195" t="str">
        <f t="shared" si="28"/>
        <v/>
      </c>
      <c r="BE72" s="195" t="str">
        <v/>
      </c>
      <c r="BF72" s="205" t="str">
        <v/>
      </c>
      <c r="BG72" s="242"/>
      <c r="BH72" s="197" t="str">
        <f t="shared" si="19"/>
        <v/>
      </c>
      <c r="BI72" s="203">
        <v>63</v>
      </c>
      <c r="BJ72" s="195" t="str">
        <f t="shared" si="29"/>
        <v/>
      </c>
      <c r="BK72" s="195" t="str">
        <v/>
      </c>
      <c r="BL72" s="205" t="str">
        <v/>
      </c>
      <c r="BM72" s="242"/>
      <c r="BN72" s="197" t="str">
        <f t="shared" si="20"/>
        <v/>
      </c>
      <c r="BO72" s="203">
        <v>63</v>
      </c>
      <c r="BP72" s="195" t="str">
        <f t="shared" si="30"/>
        <v/>
      </c>
      <c r="BQ72" s="195" t="str">
        <v/>
      </c>
      <c r="BR72" s="205" t="str">
        <v/>
      </c>
      <c r="BS72" s="242"/>
      <c r="BT72" s="197" t="str">
        <f t="shared" si="21"/>
        <v/>
      </c>
    </row>
    <row r="73" spans="1:72">
      <c r="A73" s="203">
        <v>64</v>
      </c>
      <c r="B73" s="195" t="str">
        <f t="shared" si="22"/>
        <v/>
      </c>
      <c r="C73" s="195" t="str">
        <v/>
      </c>
      <c r="D73" s="205" t="str">
        <v/>
      </c>
      <c r="E73" s="213"/>
      <c r="F73" s="197" t="str">
        <f t="shared" si="10"/>
        <v/>
      </c>
      <c r="G73" s="203">
        <v>64</v>
      </c>
      <c r="H73" s="195" t="str">
        <f t="shared" si="1"/>
        <v/>
      </c>
      <c r="I73" s="195" t="str">
        <v/>
      </c>
      <c r="J73" s="205" t="str">
        <v/>
      </c>
      <c r="K73" s="242"/>
      <c r="L73" s="197" t="str">
        <f t="shared" si="11"/>
        <v/>
      </c>
      <c r="M73" s="203">
        <v>64</v>
      </c>
      <c r="N73" s="195" t="str">
        <f t="shared" si="23"/>
        <v/>
      </c>
      <c r="O73" s="195" t="str">
        <v/>
      </c>
      <c r="P73" s="205" t="str">
        <v/>
      </c>
      <c r="Q73" s="213"/>
      <c r="R73" s="197" t="str">
        <f t="shared" si="12"/>
        <v/>
      </c>
      <c r="S73" s="203">
        <v>64</v>
      </c>
      <c r="T73" s="195" t="str">
        <f t="shared" si="24"/>
        <v/>
      </c>
      <c r="U73" s="195" t="str">
        <v/>
      </c>
      <c r="V73" s="205" t="str">
        <v/>
      </c>
      <c r="W73" s="213"/>
      <c r="X73" s="197" t="str">
        <f t="shared" si="13"/>
        <v/>
      </c>
      <c r="Y73" s="203">
        <v>64</v>
      </c>
      <c r="Z73" s="195"/>
      <c r="AA73" s="195"/>
      <c r="AB73" s="205"/>
      <c r="AC73" s="213"/>
      <c r="AD73" s="197" t="str">
        <f t="shared" si="14"/>
        <v/>
      </c>
      <c r="AE73" s="203">
        <v>64</v>
      </c>
      <c r="AF73" s="195" t="str">
        <f t="shared" si="25"/>
        <v/>
      </c>
      <c r="AG73" s="195" t="str">
        <v/>
      </c>
      <c r="AH73" s="205" t="str">
        <v/>
      </c>
      <c r="AI73" s="213"/>
      <c r="AJ73" s="197" t="str">
        <f t="shared" si="15"/>
        <v/>
      </c>
      <c r="AK73" s="203">
        <v>64</v>
      </c>
      <c r="AL73" s="198"/>
      <c r="AM73" s="195"/>
      <c r="AN73" s="196"/>
      <c r="AO73" s="254"/>
      <c r="AP73" s="256" t="str">
        <f t="shared" si="16"/>
        <v/>
      </c>
      <c r="AQ73" s="203">
        <v>64</v>
      </c>
      <c r="AR73" s="195" t="str">
        <f t="shared" si="26"/>
        <v/>
      </c>
      <c r="AS73" s="195" t="str">
        <v/>
      </c>
      <c r="AT73" s="205" t="str">
        <v/>
      </c>
      <c r="AU73" s="213"/>
      <c r="AV73" s="197" t="str">
        <f t="shared" si="17"/>
        <v/>
      </c>
      <c r="AW73" s="203">
        <v>64</v>
      </c>
      <c r="AX73" s="195" t="str">
        <f t="shared" si="27"/>
        <v/>
      </c>
      <c r="AY73" s="195" t="str">
        <v/>
      </c>
      <c r="AZ73" s="205" t="str">
        <v/>
      </c>
      <c r="BA73" s="242"/>
      <c r="BB73" s="197" t="str">
        <f t="shared" si="18"/>
        <v/>
      </c>
      <c r="BC73" s="203">
        <v>64</v>
      </c>
      <c r="BD73" s="195" t="str">
        <f t="shared" si="28"/>
        <v/>
      </c>
      <c r="BE73" s="195" t="str">
        <v/>
      </c>
      <c r="BF73" s="205" t="str">
        <v/>
      </c>
      <c r="BG73" s="242"/>
      <c r="BH73" s="197" t="str">
        <f t="shared" si="19"/>
        <v/>
      </c>
      <c r="BI73" s="203">
        <v>64</v>
      </c>
      <c r="BJ73" s="195" t="str">
        <f t="shared" si="29"/>
        <v/>
      </c>
      <c r="BK73" s="195" t="str">
        <v/>
      </c>
      <c r="BL73" s="205" t="str">
        <v/>
      </c>
      <c r="BM73" s="242"/>
      <c r="BN73" s="197" t="str">
        <f t="shared" si="20"/>
        <v/>
      </c>
      <c r="BO73" s="203">
        <v>64</v>
      </c>
      <c r="BP73" s="195" t="str">
        <f t="shared" si="30"/>
        <v/>
      </c>
      <c r="BQ73" s="195" t="str">
        <v/>
      </c>
      <c r="BR73" s="205" t="str">
        <v/>
      </c>
      <c r="BS73" s="242"/>
      <c r="BT73" s="197" t="str">
        <f t="shared" si="21"/>
        <v/>
      </c>
    </row>
    <row r="74" spans="1:72">
      <c r="A74" s="203">
        <v>65</v>
      </c>
      <c r="B74" s="195" t="str">
        <f t="shared" ref="B74:B79" si="31">IF(C74="","",VLOOKUP(C74,Instruments.OIS.EUR,6,0))</f>
        <v/>
      </c>
      <c r="C74" s="195" t="str">
        <v/>
      </c>
      <c r="D74" s="205" t="str">
        <v/>
      </c>
      <c r="E74" s="213"/>
      <c r="F74" s="197" t="str">
        <f t="shared" si="10"/>
        <v/>
      </c>
      <c r="G74" s="203">
        <v>65</v>
      </c>
      <c r="H74" s="195" t="str">
        <f t="shared" ref="H74:H79" si="32">IF(I74="","",VLOOKUP(I74,Instruments.OIS.EUR,6,0))</f>
        <v/>
      </c>
      <c r="I74" s="195" t="str">
        <v/>
      </c>
      <c r="J74" s="205" t="str">
        <v/>
      </c>
      <c r="K74" s="242"/>
      <c r="L74" s="197" t="str">
        <f t="shared" si="11"/>
        <v/>
      </c>
      <c r="M74" s="203">
        <v>65</v>
      </c>
      <c r="N74" s="195" t="str">
        <f t="shared" ref="N74:N79" si="33">IF(O74="","",VLOOKUP(O74,Instruments.OIS.EUR,6,0))</f>
        <v/>
      </c>
      <c r="O74" s="195" t="str">
        <v/>
      </c>
      <c r="P74" s="205" t="str">
        <v/>
      </c>
      <c r="Q74" s="213"/>
      <c r="R74" s="197" t="str">
        <f t="shared" si="12"/>
        <v/>
      </c>
      <c r="S74" s="203">
        <v>65</v>
      </c>
      <c r="T74" s="195" t="str">
        <f t="shared" ref="T74:T79" si="34">IF(U74="","",VLOOKUP(U74,Instruments.Swaps.EUR,6,0))</f>
        <v/>
      </c>
      <c r="U74" s="195" t="str">
        <v/>
      </c>
      <c r="V74" s="205" t="str">
        <v/>
      </c>
      <c r="W74" s="213"/>
      <c r="X74" s="197" t="str">
        <f t="shared" si="13"/>
        <v/>
      </c>
      <c r="Y74" s="203">
        <v>65</v>
      </c>
      <c r="Z74" s="195"/>
      <c r="AA74" s="195"/>
      <c r="AB74" s="205"/>
      <c r="AC74" s="213"/>
      <c r="AD74" s="197" t="str">
        <f t="shared" si="14"/>
        <v/>
      </c>
      <c r="AE74" s="203">
        <v>65</v>
      </c>
      <c r="AF74" s="195" t="str">
        <f t="shared" ref="AF74:AF79" si="35">IF(AG74="","",VLOOKUP(AG74,Instruments.Swaps.EUR,6,0))</f>
        <v/>
      </c>
      <c r="AG74" s="195" t="str">
        <v/>
      </c>
      <c r="AH74" s="205" t="str">
        <v/>
      </c>
      <c r="AI74" s="213"/>
      <c r="AJ74" s="197" t="str">
        <f t="shared" si="15"/>
        <v/>
      </c>
      <c r="AK74" s="203">
        <v>65</v>
      </c>
      <c r="AL74" s="198"/>
      <c r="AM74" s="195"/>
      <c r="AN74" s="196"/>
      <c r="AO74" s="254"/>
      <c r="AP74" s="256" t="str">
        <f t="shared" si="16"/>
        <v/>
      </c>
      <c r="AQ74" s="203">
        <v>65</v>
      </c>
      <c r="AR74" s="195" t="str">
        <f t="shared" ref="AR74:AR79" si="36">IF(AS74="","",VLOOKUP(AS74,Instruments.Swaps.EUR,6,0))</f>
        <v/>
      </c>
      <c r="AS74" s="195" t="str">
        <v/>
      </c>
      <c r="AT74" s="205" t="str">
        <v/>
      </c>
      <c r="AU74" s="213"/>
      <c r="AV74" s="197" t="str">
        <f t="shared" si="17"/>
        <v/>
      </c>
      <c r="AW74" s="203">
        <v>65</v>
      </c>
      <c r="AX74" s="195" t="str">
        <f t="shared" ref="AX74:AX79" si="37">IF(AY74="","",VLOOKUP(AY74,Instruments.TenorBasis1.EUR,6,0))</f>
        <v/>
      </c>
      <c r="AY74" s="195" t="str">
        <v/>
      </c>
      <c r="AZ74" s="205" t="str">
        <v/>
      </c>
      <c r="BA74" s="242"/>
      <c r="BB74" s="197" t="str">
        <f t="shared" si="18"/>
        <v/>
      </c>
      <c r="BC74" s="203">
        <v>65</v>
      </c>
      <c r="BD74" s="195" t="str">
        <f t="shared" ref="BD74:BD79" si="38">IF(BE74="","",VLOOKUP(BE74,Instruments.TenorBasis2.EUR,6,0))</f>
        <v/>
      </c>
      <c r="BE74" s="195" t="str">
        <v/>
      </c>
      <c r="BF74" s="205" t="str">
        <v/>
      </c>
      <c r="BG74" s="242"/>
      <c r="BH74" s="197" t="str">
        <f t="shared" si="19"/>
        <v/>
      </c>
      <c r="BI74" s="203">
        <v>65</v>
      </c>
      <c r="BJ74" s="195" t="str">
        <f t="shared" ref="BJ74:BJ79" si="39">IF(BK74="","",VLOOKUP(BK74,Instruments.TenorBasis3.EUR,6,0))</f>
        <v/>
      </c>
      <c r="BK74" s="195" t="str">
        <v/>
      </c>
      <c r="BL74" s="205" t="str">
        <v/>
      </c>
      <c r="BM74" s="242"/>
      <c r="BN74" s="197" t="str">
        <f t="shared" si="20"/>
        <v/>
      </c>
      <c r="BO74" s="203">
        <v>65</v>
      </c>
      <c r="BP74" s="195" t="str">
        <f t="shared" ref="BP74:BP79" si="40">IF(BQ74="","",VLOOKUP(BQ74,Instruments.XccyBasis.EUR,6,0))</f>
        <v/>
      </c>
      <c r="BQ74" s="195" t="str">
        <v/>
      </c>
      <c r="BR74" s="205" t="str">
        <v/>
      </c>
      <c r="BS74" s="242"/>
      <c r="BT74" s="197" t="str">
        <f t="shared" si="21"/>
        <v/>
      </c>
    </row>
    <row r="75" spans="1:72">
      <c r="A75" s="203">
        <v>66</v>
      </c>
      <c r="B75" s="195" t="str">
        <f t="shared" si="31"/>
        <v/>
      </c>
      <c r="C75" s="195" t="str">
        <v/>
      </c>
      <c r="D75" s="205" t="str">
        <v/>
      </c>
      <c r="E75" s="213"/>
      <c r="F75" s="197" t="str">
        <f t="shared" ref="F75:F79" si="41">IF(D75="","",D75/100+E75+F$7)</f>
        <v/>
      </c>
      <c r="G75" s="203">
        <v>66</v>
      </c>
      <c r="H75" s="195" t="str">
        <f t="shared" si="32"/>
        <v/>
      </c>
      <c r="I75" s="195" t="str">
        <v/>
      </c>
      <c r="J75" s="205" t="str">
        <v/>
      </c>
      <c r="K75" s="242"/>
      <c r="L75" s="197" t="str">
        <f t="shared" ref="L75:L79" si="42">IF(J75="","",(J75+K75+L$7)/10000)</f>
        <v/>
      </c>
      <c r="M75" s="203">
        <v>66</v>
      </c>
      <c r="N75" s="195" t="str">
        <f t="shared" si="33"/>
        <v/>
      </c>
      <c r="O75" s="195" t="str">
        <v/>
      </c>
      <c r="P75" s="205" t="str">
        <v/>
      </c>
      <c r="Q75" s="213"/>
      <c r="R75" s="197" t="str">
        <f t="shared" ref="R75:R79" si="43">IF(P75="","",P75/100+Q75+R$7)</f>
        <v/>
      </c>
      <c r="S75" s="203">
        <v>66</v>
      </c>
      <c r="T75" s="195" t="str">
        <f t="shared" si="34"/>
        <v/>
      </c>
      <c r="U75" s="195" t="str">
        <v/>
      </c>
      <c r="V75" s="205" t="str">
        <v/>
      </c>
      <c r="W75" s="213"/>
      <c r="X75" s="197" t="str">
        <f t="shared" ref="X75:X79" si="44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si="45">IF(AB75="","",AB75/100+AC75+AD$7)</f>
        <v/>
      </c>
      <c r="AE75" s="203">
        <v>66</v>
      </c>
      <c r="AF75" s="195" t="str">
        <f t="shared" si="35"/>
        <v/>
      </c>
      <c r="AG75" s="195" t="str">
        <v/>
      </c>
      <c r="AH75" s="205" t="str">
        <v/>
      </c>
      <c r="AI75" s="213"/>
      <c r="AJ75" s="197" t="str">
        <f t="shared" ref="AJ75:AJ79" si="46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si="47">IF(AN75="","",AN75+AO75+AP$7)</f>
        <v/>
      </c>
      <c r="AQ75" s="203">
        <v>66</v>
      </c>
      <c r="AR75" s="195" t="str">
        <f t="shared" si="36"/>
        <v/>
      </c>
      <c r="AS75" s="195" t="str">
        <v/>
      </c>
      <c r="AT75" s="205" t="str">
        <v/>
      </c>
      <c r="AU75" s="213"/>
      <c r="AV75" s="197" t="str">
        <f t="shared" ref="AV75:AV79" si="48">IF(AT75="","",AT75/100+AU75+AV$7)</f>
        <v/>
      </c>
      <c r="AW75" s="203">
        <v>66</v>
      </c>
      <c r="AX75" s="195" t="str">
        <f t="shared" si="37"/>
        <v/>
      </c>
      <c r="AY75" s="195" t="str">
        <v/>
      </c>
      <c r="AZ75" s="205" t="str">
        <v/>
      </c>
      <c r="BA75" s="242"/>
      <c r="BB75" s="197" t="str">
        <f t="shared" ref="BB75:BB79" si="49">IF(AZ75="","",(AZ75+BA75+BB$7)/10000)</f>
        <v/>
      </c>
      <c r="BC75" s="203">
        <v>66</v>
      </c>
      <c r="BD75" s="195" t="str">
        <f t="shared" si="38"/>
        <v/>
      </c>
      <c r="BE75" s="195" t="str">
        <v/>
      </c>
      <c r="BF75" s="205" t="str">
        <v/>
      </c>
      <c r="BG75" s="242"/>
      <c r="BH75" s="197" t="str">
        <f t="shared" ref="BH75:BH79" si="50">IF(BF75="","",(BF75+BG75+BH$7)/10000)</f>
        <v/>
      </c>
      <c r="BI75" s="203">
        <v>66</v>
      </c>
      <c r="BJ75" s="195" t="str">
        <f t="shared" si="39"/>
        <v/>
      </c>
      <c r="BK75" s="195" t="str">
        <v/>
      </c>
      <c r="BL75" s="205" t="str">
        <v/>
      </c>
      <c r="BM75" s="242"/>
      <c r="BN75" s="197" t="str">
        <f t="shared" ref="BN75:BN79" si="51">IF(BL75="","",(BL75+BM75+BN$7)/10000)</f>
        <v/>
      </c>
      <c r="BO75" s="203">
        <v>66</v>
      </c>
      <c r="BP75" s="195" t="str">
        <f t="shared" si="40"/>
        <v/>
      </c>
      <c r="BQ75" s="195" t="str">
        <v/>
      </c>
      <c r="BR75" s="205" t="str">
        <v/>
      </c>
      <c r="BS75" s="242"/>
      <c r="BT75" s="197" t="str">
        <f t="shared" ref="BT75:BT79" si="52">IF(BR75="","",(BR75+BS75+BT$7)/10000)</f>
        <v/>
      </c>
    </row>
    <row r="76" spans="1:72">
      <c r="A76" s="203">
        <v>67</v>
      </c>
      <c r="B76" s="195" t="str">
        <f t="shared" si="31"/>
        <v/>
      </c>
      <c r="C76" s="195" t="str">
        <v/>
      </c>
      <c r="D76" s="205" t="str">
        <v/>
      </c>
      <c r="E76" s="213"/>
      <c r="F76" s="197" t="str">
        <f t="shared" si="41"/>
        <v/>
      </c>
      <c r="G76" s="203">
        <v>67</v>
      </c>
      <c r="H76" s="195" t="str">
        <f t="shared" si="32"/>
        <v/>
      </c>
      <c r="I76" s="195" t="str">
        <v/>
      </c>
      <c r="J76" s="205" t="str">
        <v/>
      </c>
      <c r="K76" s="242"/>
      <c r="L76" s="197" t="str">
        <f t="shared" si="42"/>
        <v/>
      </c>
      <c r="M76" s="203">
        <v>67</v>
      </c>
      <c r="N76" s="195" t="str">
        <f t="shared" si="33"/>
        <v/>
      </c>
      <c r="O76" s="195" t="str">
        <v/>
      </c>
      <c r="P76" s="205" t="str">
        <v/>
      </c>
      <c r="Q76" s="213"/>
      <c r="R76" s="197" t="str">
        <f t="shared" si="43"/>
        <v/>
      </c>
      <c r="S76" s="203">
        <v>67</v>
      </c>
      <c r="T76" s="195" t="str">
        <f t="shared" si="34"/>
        <v/>
      </c>
      <c r="U76" s="195" t="str">
        <v/>
      </c>
      <c r="V76" s="205" t="str">
        <v/>
      </c>
      <c r="W76" s="213"/>
      <c r="X76" s="197" t="str">
        <f t="shared" si="44"/>
        <v/>
      </c>
      <c r="Y76" s="203">
        <v>67</v>
      </c>
      <c r="Z76" s="195"/>
      <c r="AA76" s="195"/>
      <c r="AB76" s="205"/>
      <c r="AC76" s="213"/>
      <c r="AD76" s="197" t="str">
        <f t="shared" si="45"/>
        <v/>
      </c>
      <c r="AE76" s="203">
        <v>67</v>
      </c>
      <c r="AF76" s="195" t="str">
        <f t="shared" si="35"/>
        <v/>
      </c>
      <c r="AG76" s="195" t="str">
        <v/>
      </c>
      <c r="AH76" s="205" t="str">
        <v/>
      </c>
      <c r="AI76" s="213"/>
      <c r="AJ76" s="197" t="str">
        <f t="shared" si="46"/>
        <v/>
      </c>
      <c r="AK76" s="203">
        <v>67</v>
      </c>
      <c r="AL76" s="198"/>
      <c r="AM76" s="195"/>
      <c r="AN76" s="196"/>
      <c r="AO76" s="254"/>
      <c r="AP76" s="256" t="str">
        <f t="shared" si="47"/>
        <v/>
      </c>
      <c r="AQ76" s="203">
        <v>67</v>
      </c>
      <c r="AR76" s="195" t="str">
        <f t="shared" si="36"/>
        <v/>
      </c>
      <c r="AS76" s="195" t="str">
        <v/>
      </c>
      <c r="AT76" s="205" t="str">
        <v/>
      </c>
      <c r="AU76" s="213"/>
      <c r="AV76" s="197" t="str">
        <f t="shared" si="48"/>
        <v/>
      </c>
      <c r="AW76" s="203">
        <v>67</v>
      </c>
      <c r="AX76" s="195" t="str">
        <f t="shared" si="37"/>
        <v/>
      </c>
      <c r="AY76" s="195" t="str">
        <v/>
      </c>
      <c r="AZ76" s="205" t="str">
        <v/>
      </c>
      <c r="BA76" s="242"/>
      <c r="BB76" s="197" t="str">
        <f t="shared" si="49"/>
        <v/>
      </c>
      <c r="BC76" s="203">
        <v>67</v>
      </c>
      <c r="BD76" s="195" t="str">
        <f t="shared" si="38"/>
        <v/>
      </c>
      <c r="BE76" s="195" t="str">
        <v/>
      </c>
      <c r="BF76" s="205" t="str">
        <v/>
      </c>
      <c r="BG76" s="242"/>
      <c r="BH76" s="197" t="str">
        <f t="shared" si="50"/>
        <v/>
      </c>
      <c r="BI76" s="203">
        <v>67</v>
      </c>
      <c r="BJ76" s="195" t="str">
        <f t="shared" si="39"/>
        <v/>
      </c>
      <c r="BK76" s="195" t="str">
        <v/>
      </c>
      <c r="BL76" s="205" t="str">
        <v/>
      </c>
      <c r="BM76" s="242"/>
      <c r="BN76" s="197" t="str">
        <f t="shared" si="51"/>
        <v/>
      </c>
      <c r="BO76" s="203">
        <v>67</v>
      </c>
      <c r="BP76" s="195" t="str">
        <f t="shared" si="40"/>
        <v/>
      </c>
      <c r="BQ76" s="195" t="str">
        <v/>
      </c>
      <c r="BR76" s="205" t="str">
        <v/>
      </c>
      <c r="BS76" s="242"/>
      <c r="BT76" s="197" t="str">
        <f t="shared" si="52"/>
        <v/>
      </c>
    </row>
    <row r="77" spans="1:72">
      <c r="A77" s="203">
        <v>68</v>
      </c>
      <c r="B77" s="195" t="str">
        <f t="shared" si="31"/>
        <v/>
      </c>
      <c r="C77" s="195" t="str">
        <v/>
      </c>
      <c r="D77" s="205" t="str">
        <v/>
      </c>
      <c r="E77" s="213"/>
      <c r="F77" s="197" t="str">
        <f t="shared" si="41"/>
        <v/>
      </c>
      <c r="G77" s="203">
        <v>68</v>
      </c>
      <c r="H77" s="195" t="str">
        <f t="shared" si="32"/>
        <v/>
      </c>
      <c r="I77" s="195" t="str">
        <v/>
      </c>
      <c r="J77" s="205" t="str">
        <v/>
      </c>
      <c r="K77" s="242"/>
      <c r="L77" s="197" t="str">
        <f t="shared" si="42"/>
        <v/>
      </c>
      <c r="M77" s="203">
        <v>68</v>
      </c>
      <c r="N77" s="195" t="str">
        <f t="shared" si="33"/>
        <v/>
      </c>
      <c r="O77" s="195" t="str">
        <v/>
      </c>
      <c r="P77" s="205" t="str">
        <v/>
      </c>
      <c r="Q77" s="213"/>
      <c r="R77" s="197" t="str">
        <f t="shared" si="43"/>
        <v/>
      </c>
      <c r="S77" s="203">
        <v>68</v>
      </c>
      <c r="T77" s="195" t="str">
        <f t="shared" si="34"/>
        <v/>
      </c>
      <c r="U77" s="195" t="str">
        <v/>
      </c>
      <c r="V77" s="205" t="str">
        <v/>
      </c>
      <c r="W77" s="213"/>
      <c r="X77" s="197" t="str">
        <f t="shared" si="44"/>
        <v/>
      </c>
      <c r="Y77" s="203">
        <v>68</v>
      </c>
      <c r="Z77" s="195"/>
      <c r="AA77" s="195"/>
      <c r="AB77" s="205"/>
      <c r="AC77" s="213"/>
      <c r="AD77" s="197" t="str">
        <f t="shared" si="45"/>
        <v/>
      </c>
      <c r="AE77" s="203">
        <v>68</v>
      </c>
      <c r="AF77" s="195" t="str">
        <f t="shared" si="35"/>
        <v/>
      </c>
      <c r="AG77" s="195" t="str">
        <v/>
      </c>
      <c r="AH77" s="205" t="str">
        <v/>
      </c>
      <c r="AI77" s="213"/>
      <c r="AJ77" s="197" t="str">
        <f t="shared" si="46"/>
        <v/>
      </c>
      <c r="AK77" s="203">
        <v>68</v>
      </c>
      <c r="AL77" s="198"/>
      <c r="AM77" s="195"/>
      <c r="AN77" s="196"/>
      <c r="AO77" s="254"/>
      <c r="AP77" s="256" t="str">
        <f t="shared" si="47"/>
        <v/>
      </c>
      <c r="AQ77" s="203">
        <v>68</v>
      </c>
      <c r="AR77" s="195" t="str">
        <f t="shared" si="36"/>
        <v/>
      </c>
      <c r="AS77" s="195" t="str">
        <v/>
      </c>
      <c r="AT77" s="205" t="str">
        <v/>
      </c>
      <c r="AU77" s="213"/>
      <c r="AV77" s="197" t="str">
        <f t="shared" si="48"/>
        <v/>
      </c>
      <c r="AW77" s="203">
        <v>68</v>
      </c>
      <c r="AX77" s="195" t="str">
        <f t="shared" si="37"/>
        <v/>
      </c>
      <c r="AY77" s="195" t="str">
        <v/>
      </c>
      <c r="AZ77" s="205" t="str">
        <v/>
      </c>
      <c r="BA77" s="242"/>
      <c r="BB77" s="197" t="str">
        <f t="shared" si="49"/>
        <v/>
      </c>
      <c r="BC77" s="203">
        <v>68</v>
      </c>
      <c r="BD77" s="195" t="str">
        <f t="shared" si="38"/>
        <v/>
      </c>
      <c r="BE77" s="195" t="str">
        <v/>
      </c>
      <c r="BF77" s="205" t="str">
        <v/>
      </c>
      <c r="BG77" s="242"/>
      <c r="BH77" s="197" t="str">
        <f t="shared" si="50"/>
        <v/>
      </c>
      <c r="BI77" s="203">
        <v>68</v>
      </c>
      <c r="BJ77" s="195" t="str">
        <f t="shared" si="39"/>
        <v/>
      </c>
      <c r="BK77" s="195" t="str">
        <v/>
      </c>
      <c r="BL77" s="205" t="str">
        <v/>
      </c>
      <c r="BM77" s="242"/>
      <c r="BN77" s="197" t="str">
        <f t="shared" si="51"/>
        <v/>
      </c>
      <c r="BO77" s="203">
        <v>68</v>
      </c>
      <c r="BP77" s="195" t="str">
        <f t="shared" si="40"/>
        <v/>
      </c>
      <c r="BQ77" s="195" t="str">
        <v/>
      </c>
      <c r="BR77" s="205" t="str">
        <v/>
      </c>
      <c r="BS77" s="242"/>
      <c r="BT77" s="197" t="str">
        <f t="shared" si="52"/>
        <v/>
      </c>
    </row>
    <row r="78" spans="1:72">
      <c r="A78" s="203">
        <v>69</v>
      </c>
      <c r="B78" s="195" t="str">
        <f t="shared" si="31"/>
        <v/>
      </c>
      <c r="C78" s="195" t="str">
        <v/>
      </c>
      <c r="D78" s="205" t="str">
        <v/>
      </c>
      <c r="E78" s="213"/>
      <c r="F78" s="197" t="str">
        <f t="shared" si="41"/>
        <v/>
      </c>
      <c r="G78" s="203">
        <v>69</v>
      </c>
      <c r="H78" s="195" t="str">
        <f t="shared" si="32"/>
        <v/>
      </c>
      <c r="I78" s="195" t="str">
        <v/>
      </c>
      <c r="J78" s="205" t="str">
        <v/>
      </c>
      <c r="K78" s="242"/>
      <c r="L78" s="197" t="str">
        <f t="shared" si="42"/>
        <v/>
      </c>
      <c r="M78" s="203">
        <v>69</v>
      </c>
      <c r="N78" s="195" t="str">
        <f t="shared" si="33"/>
        <v/>
      </c>
      <c r="O78" s="195" t="str">
        <v/>
      </c>
      <c r="P78" s="205" t="str">
        <v/>
      </c>
      <c r="Q78" s="213"/>
      <c r="R78" s="197" t="str">
        <f t="shared" si="43"/>
        <v/>
      </c>
      <c r="S78" s="203">
        <v>69</v>
      </c>
      <c r="T78" s="195" t="str">
        <f t="shared" si="34"/>
        <v/>
      </c>
      <c r="U78" s="195" t="str">
        <v/>
      </c>
      <c r="V78" s="205" t="str">
        <v/>
      </c>
      <c r="W78" s="213"/>
      <c r="X78" s="197" t="str">
        <f t="shared" si="44"/>
        <v/>
      </c>
      <c r="Y78" s="203">
        <v>69</v>
      </c>
      <c r="Z78" s="195"/>
      <c r="AA78" s="195"/>
      <c r="AB78" s="205"/>
      <c r="AC78" s="213"/>
      <c r="AD78" s="197" t="str">
        <f t="shared" si="45"/>
        <v/>
      </c>
      <c r="AE78" s="203">
        <v>69</v>
      </c>
      <c r="AF78" s="195" t="str">
        <f t="shared" si="35"/>
        <v/>
      </c>
      <c r="AG78" s="195" t="str">
        <v/>
      </c>
      <c r="AH78" s="205" t="str">
        <v/>
      </c>
      <c r="AI78" s="213"/>
      <c r="AJ78" s="197" t="str">
        <f t="shared" si="46"/>
        <v/>
      </c>
      <c r="AK78" s="203">
        <v>69</v>
      </c>
      <c r="AL78" s="198"/>
      <c r="AM78" s="195"/>
      <c r="AN78" s="196"/>
      <c r="AO78" s="254"/>
      <c r="AP78" s="256" t="str">
        <f t="shared" si="47"/>
        <v/>
      </c>
      <c r="AQ78" s="203">
        <v>69</v>
      </c>
      <c r="AR78" s="195" t="str">
        <f t="shared" si="36"/>
        <v/>
      </c>
      <c r="AS78" s="195" t="str">
        <v/>
      </c>
      <c r="AT78" s="205" t="str">
        <v/>
      </c>
      <c r="AU78" s="213"/>
      <c r="AV78" s="197" t="str">
        <f t="shared" si="48"/>
        <v/>
      </c>
      <c r="AW78" s="203">
        <v>69</v>
      </c>
      <c r="AX78" s="195" t="str">
        <f t="shared" si="37"/>
        <v/>
      </c>
      <c r="AY78" s="195" t="str">
        <v/>
      </c>
      <c r="AZ78" s="205" t="str">
        <v/>
      </c>
      <c r="BA78" s="242"/>
      <c r="BB78" s="197" t="str">
        <f t="shared" si="49"/>
        <v/>
      </c>
      <c r="BC78" s="203">
        <v>69</v>
      </c>
      <c r="BD78" s="195" t="str">
        <f t="shared" si="38"/>
        <v/>
      </c>
      <c r="BE78" s="195" t="str">
        <v/>
      </c>
      <c r="BF78" s="205" t="str">
        <v/>
      </c>
      <c r="BG78" s="242"/>
      <c r="BH78" s="197" t="str">
        <f t="shared" si="50"/>
        <v/>
      </c>
      <c r="BI78" s="203">
        <v>69</v>
      </c>
      <c r="BJ78" s="195" t="str">
        <f t="shared" si="39"/>
        <v/>
      </c>
      <c r="BK78" s="195" t="str">
        <v/>
      </c>
      <c r="BL78" s="205" t="str">
        <v/>
      </c>
      <c r="BM78" s="242"/>
      <c r="BN78" s="197" t="str">
        <f t="shared" si="51"/>
        <v/>
      </c>
      <c r="BO78" s="203">
        <v>69</v>
      </c>
      <c r="BP78" s="195" t="str">
        <f t="shared" si="40"/>
        <v/>
      </c>
      <c r="BQ78" s="195" t="str">
        <v/>
      </c>
      <c r="BR78" s="205" t="str">
        <v/>
      </c>
      <c r="BS78" s="242"/>
      <c r="BT78" s="197" t="str">
        <f t="shared" si="52"/>
        <v/>
      </c>
    </row>
    <row r="79" spans="1:72">
      <c r="A79" s="203">
        <v>70</v>
      </c>
      <c r="B79" s="200" t="str">
        <f t="shared" si="31"/>
        <v/>
      </c>
      <c r="C79" s="200" t="str">
        <v/>
      </c>
      <c r="D79" s="206" t="str">
        <v/>
      </c>
      <c r="E79" s="214"/>
      <c r="F79" s="202" t="str">
        <f t="shared" si="41"/>
        <v/>
      </c>
      <c r="G79" s="203">
        <v>70</v>
      </c>
      <c r="H79" s="200" t="str">
        <f t="shared" si="32"/>
        <v/>
      </c>
      <c r="I79" s="200" t="str">
        <v/>
      </c>
      <c r="J79" s="206" t="str">
        <v/>
      </c>
      <c r="K79" s="243"/>
      <c r="L79" s="202" t="str">
        <f t="shared" si="42"/>
        <v/>
      </c>
      <c r="M79" s="203">
        <v>70</v>
      </c>
      <c r="N79" s="200" t="str">
        <f t="shared" si="33"/>
        <v/>
      </c>
      <c r="O79" s="200" t="str">
        <v/>
      </c>
      <c r="P79" s="206" t="str">
        <v/>
      </c>
      <c r="Q79" s="214"/>
      <c r="R79" s="202" t="str">
        <f t="shared" si="43"/>
        <v/>
      </c>
      <c r="S79" s="203">
        <v>70</v>
      </c>
      <c r="T79" s="200" t="str">
        <f t="shared" si="34"/>
        <v/>
      </c>
      <c r="U79" s="200" t="str">
        <v/>
      </c>
      <c r="V79" s="206" t="str">
        <v/>
      </c>
      <c r="W79" s="214"/>
      <c r="X79" s="202" t="str">
        <f t="shared" si="44"/>
        <v/>
      </c>
      <c r="Y79" s="203">
        <v>70</v>
      </c>
      <c r="Z79" s="200"/>
      <c r="AA79" s="200"/>
      <c r="AB79" s="206"/>
      <c r="AC79" s="214"/>
      <c r="AD79" s="202" t="str">
        <f t="shared" si="45"/>
        <v/>
      </c>
      <c r="AE79" s="203">
        <v>70</v>
      </c>
      <c r="AF79" s="200" t="str">
        <f t="shared" si="35"/>
        <v/>
      </c>
      <c r="AG79" s="200" t="str">
        <v/>
      </c>
      <c r="AH79" s="206" t="str">
        <v/>
      </c>
      <c r="AI79" s="214"/>
      <c r="AJ79" s="202" t="str">
        <f t="shared" si="46"/>
        <v/>
      </c>
      <c r="AK79" s="203">
        <v>70</v>
      </c>
      <c r="AL79" s="199"/>
      <c r="AM79" s="200"/>
      <c r="AN79" s="201"/>
      <c r="AO79" s="255"/>
      <c r="AP79" s="257" t="str">
        <f t="shared" si="47"/>
        <v/>
      </c>
      <c r="AQ79" s="203">
        <v>70</v>
      </c>
      <c r="AR79" s="200" t="str">
        <f t="shared" si="36"/>
        <v/>
      </c>
      <c r="AS79" s="200" t="str">
        <v/>
      </c>
      <c r="AT79" s="206" t="str">
        <v/>
      </c>
      <c r="AU79" s="214"/>
      <c r="AV79" s="202" t="str">
        <f t="shared" si="48"/>
        <v/>
      </c>
      <c r="AW79" s="203">
        <v>70</v>
      </c>
      <c r="AX79" s="200" t="str">
        <f t="shared" si="37"/>
        <v/>
      </c>
      <c r="AY79" s="200" t="str">
        <v/>
      </c>
      <c r="AZ79" s="206" t="str">
        <v/>
      </c>
      <c r="BA79" s="243"/>
      <c r="BB79" s="202" t="str">
        <f t="shared" si="49"/>
        <v/>
      </c>
      <c r="BC79" s="203">
        <v>70</v>
      </c>
      <c r="BD79" s="200" t="str">
        <f t="shared" si="38"/>
        <v/>
      </c>
      <c r="BE79" s="200" t="str">
        <v/>
      </c>
      <c r="BF79" s="206" t="str">
        <v/>
      </c>
      <c r="BG79" s="243"/>
      <c r="BH79" s="202" t="str">
        <f t="shared" si="50"/>
        <v/>
      </c>
      <c r="BI79" s="203">
        <v>70</v>
      </c>
      <c r="BJ79" s="200" t="str">
        <f t="shared" si="39"/>
        <v/>
      </c>
      <c r="BK79" s="200" t="str">
        <v/>
      </c>
      <c r="BL79" s="206" t="str">
        <v/>
      </c>
      <c r="BM79" s="243"/>
      <c r="BN79" s="202" t="str">
        <f t="shared" si="51"/>
        <v/>
      </c>
      <c r="BO79" s="203">
        <v>70</v>
      </c>
      <c r="BP79" s="200" t="str">
        <f t="shared" si="40"/>
        <v/>
      </c>
      <c r="BQ79" s="200" t="str">
        <v/>
      </c>
      <c r="BR79" s="206" t="str">
        <v/>
      </c>
      <c r="BS79" s="243"/>
      <c r="BT79" s="202" t="str">
        <f t="shared" si="52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ca="1" si="0">IF(C10="","",VLOOKUP(C10,Instruments.OIS.USD,6,0))</f>
        <v>ON</v>
      </c>
      <c r="C10" s="195" t="str">
        <f t="array" ref="C10:D79">getInstrumentData('Instrument Data'!Data.OIS.USD,1,4,2,"Index","Future","OVERNIGHT INDEXED SWAP")</f>
        <v>FEDL01 BGN Index</v>
      </c>
      <c r="D10" s="205">
        <v>1.7</v>
      </c>
      <c r="E10" s="212"/>
      <c r="F10" s="197">
        <f>IF(D10="","",D10/100+E10+F$7)</f>
        <v>1.7000000000000001E-2</v>
      </c>
      <c r="G10" s="203">
        <v>1</v>
      </c>
      <c r="H10" s="195" t="str">
        <f t="shared" ref="H10:H41" ca="1" si="1">IF(I10="","",VLOOKUP(I10,Instruments.OIS.USD,6,0))</f>
        <v>2Y</v>
      </c>
      <c r="I10" s="195" t="str">
        <f t="array" ref="I10:J79">getInstrumentData('Instrument Data'!Data.OIS.USD,1,4,2,"BASIS SWAP")</f>
        <v>USBG2 BGN Curncy</v>
      </c>
      <c r="J10" s="205">
        <v>38.125</v>
      </c>
      <c r="K10" s="241"/>
      <c r="L10" s="197">
        <f>IF(J10="","",(J10+K10+L$7)/10000)</f>
        <v>3.8124999999999999E-3</v>
      </c>
      <c r="M10" s="203">
        <v>1</v>
      </c>
      <c r="N10" s="195" t="str">
        <f t="shared" ref="N10:N41" ca="1" si="2">IF(O10="","",VLOOKUP(O10,Instruments.OIS.USD,6,0))</f>
        <v>2Y</v>
      </c>
      <c r="O10" s="195" t="str">
        <f t="array" ref="O10:P79">getInstrumentData('Instrument Data'!Data.OIS.USD,1,4,2,"SWAP")</f>
        <v>USSWAP2 BGN Curncy</v>
      </c>
      <c r="P10" s="205">
        <v>2.7494000000000001</v>
      </c>
      <c r="Q10" s="212"/>
      <c r="R10" s="197">
        <f>IF(P10="","",P10/100+Q10+R$7)</f>
        <v>2.7494000000000001E-2</v>
      </c>
      <c r="S10" s="203">
        <v>1</v>
      </c>
      <c r="T10" s="195" t="str">
        <f t="shared" ref="T10:T41" si="3">IF(U10="","",VLOOKUP(U10,Instruments.Swaps.USD,6,0))</f>
        <v>3M</v>
      </c>
      <c r="U10" s="195" t="str">
        <f t="array" ref="U10:V79">getInstrumentData('Instrument Data'!Data.Swaps.USD,1,6,2,"Index",)</f>
        <v>US0003M  ICUS Index</v>
      </c>
      <c r="V10" s="205">
        <v>2.36294</v>
      </c>
      <c r="W10" s="212"/>
      <c r="X10" s="197">
        <f>IF(V10="","",V10/100+W10+X$7)</f>
        <v>2.3629400000000002E-2</v>
      </c>
      <c r="Y10" s="203">
        <v>1</v>
      </c>
      <c r="Z10" s="195" t="str">
        <f t="shared" ref="Z10:Z41" si="4">IF(AA10="","",VLOOKUP(AA10,Instruments.Swaps.USD,6,0))</f>
        <v/>
      </c>
      <c r="AA10" s="195" t="str">
        <f t="array" ref="AA10:AB79">getInstrumentData('Instrument Data'!Data.Swaps.USD,1,6,2,"FRA",)</f>
        <v/>
      </c>
      <c r="AB10" s="205" t="str">
        <v/>
      </c>
      <c r="AC10" s="212"/>
      <c r="AD10" s="197" t="str">
        <f>IF(AB10="","",AB10/100+AC10+AD$7)</f>
        <v/>
      </c>
      <c r="AE10" s="203">
        <v>1</v>
      </c>
      <c r="AF10" s="195"/>
      <c r="AG10" s="195"/>
      <c r="AH10" s="205"/>
      <c r="AI10" s="212"/>
      <c r="AJ10" s="197" t="str">
        <f>IF(AH10="","",AH10/100+AI10+AJ$7)</f>
        <v/>
      </c>
      <c r="AK10" s="203">
        <v>1</v>
      </c>
      <c r="AL10" s="195" t="str">
        <f t="shared" ref="AL10:AL41" si="5">IF(AM10="","",VLOOKUP(AM10,Instruments.Swaps.USD,6,0))</f>
        <v xml:space="preserve">ED1 </v>
      </c>
      <c r="AM10" s="195" t="str">
        <f t="array" ref="AM10:AN79">getInstrumentData('Instrument Data'!Data.Swaps.USD,1,6,2,"Future",)</f>
        <v>ED1  COMB Comdty</v>
      </c>
      <c r="AN10" s="196">
        <v>97.63</v>
      </c>
      <c r="AO10" s="253"/>
      <c r="AP10" s="256">
        <f>IF(AN10="","",AN10+AO10+AP$7)</f>
        <v>97.63</v>
      </c>
      <c r="AQ10" s="203">
        <v>1</v>
      </c>
      <c r="AR10" s="195" t="str">
        <f t="shared" ref="AR10:AR41" si="6">IF(AS10="","",VLOOKUP(AS10,Instruments.Swaps.USD,6,0))</f>
        <v>5Y</v>
      </c>
      <c r="AS10" s="195" t="str">
        <f t="array" ref="AS10:AT79">getInstrumentData('Instrument Data'!Data.Swaps.USD,1,6,2,"SWAP",)</f>
        <v>USSWAP5 BGN Curncy</v>
      </c>
      <c r="AT10" s="205">
        <v>2.9106000000000001</v>
      </c>
      <c r="AU10" s="212"/>
      <c r="AV10" s="197">
        <f>IF(AT10="","",AT10/100+AU10+AV$7)</f>
        <v>2.9106E-2</v>
      </c>
      <c r="AW10" s="203">
        <v>1</v>
      </c>
      <c r="AX10" s="195" t="str">
        <f t="shared" ref="AX10:AX41" si="7">IF(AY10="","",VLOOKUP(AY10,Instruments.TenorBasis1.USD,6,0))</f>
        <v>1Y</v>
      </c>
      <c r="AY10" s="195" t="str">
        <f t="array" ref="AY10:AZ79">getInstrumentData('Instrument Data'!Data.TenorBasis1.USD,1,4,2,"BASIS SWAP",)</f>
        <v>USBC1 ICPL Curncy</v>
      </c>
      <c r="AZ10" s="205">
        <v>12.25</v>
      </c>
      <c r="BA10" s="241"/>
      <c r="BB10" s="197">
        <f>IF(AZ10="","",(AZ10+BA10+BB$7)/10000)</f>
        <v>1.225E-3</v>
      </c>
      <c r="BC10" s="203">
        <v>1</v>
      </c>
      <c r="BD10" s="195" t="str">
        <f t="shared" ref="BD10:BD41" si="8">IF(BE10="","",VLOOKUP(BE10,Instruments.TenorBasis2.USD,6,0))</f>
        <v>1Y</v>
      </c>
      <c r="BE10" s="195" t="str">
        <f t="array" ref="BE10:BF79">getInstrumentData('Instrument Data'!Data.TenorBasis2.USD,1,4,2,"BASIS SWAP",)</f>
        <v>USBA1 CMPN Curncy</v>
      </c>
      <c r="BF10" s="205">
        <v>22.75</v>
      </c>
      <c r="BG10" s="241"/>
      <c r="BH10" s="197">
        <f>IF(BF10="","",(BF10+BG10+BH$7)/10000)</f>
        <v>2.2750000000000001E-3</v>
      </c>
      <c r="BI10" s="203">
        <v>1</v>
      </c>
      <c r="BJ10" s="195" t="str">
        <f t="shared" ref="BJ10:BJ41" si="9">IF(BK10="","",VLOOKUP(BK10,Instruments.TenorBasis3.USD,6,0))</f>
        <v>1Y</v>
      </c>
      <c r="BK10" s="195" t="str">
        <f t="array" ref="BK10:BL79">getInstrumentData('Instrument Data'!Data.TenorBasis3.USD,1,4,2,"BASIS SWAP",)</f>
        <v>USBL1 PREB Curncy</v>
      </c>
      <c r="BL10" s="205">
        <v>24.125</v>
      </c>
      <c r="BM10" s="241"/>
      <c r="BN10" s="197">
        <f>IF(BL10="","",(BL10+BM10+BN$7)/10000)</f>
        <v>2.4125000000000001E-3</v>
      </c>
      <c r="BO10" s="203">
        <v>1</v>
      </c>
      <c r="BP10" s="195" t="str">
        <f t="shared" ref="BP10:BP41" si="10">IF(BQ10="","",VLOOKUP(BQ10,Instruments.XccyBasis.USD,6,0))</f>
        <v/>
      </c>
      <c r="BQ10" s="195" t="str">
        <f t="array" ref="BQ10:BR79">getInstrumentData([0]!Data.XccyBasis.USD,1,4,2,"BASIS SWAP",)</f>
        <v/>
      </c>
      <c r="BR10" s="205" t="str">
        <v/>
      </c>
      <c r="BS10" s="241"/>
      <c r="BT10" s="197" t="str">
        <f>IF(BR10="","",(BR10+BS10+BT$7)/10000)</f>
        <v/>
      </c>
    </row>
    <row r="11" spans="1:72">
      <c r="A11" s="203">
        <v>2</v>
      </c>
      <c r="B11" s="195" t="str">
        <f ca="1">IF(C11="","",VLOOKUP(C11,Instruments.OIS.USD,6,0))</f>
        <v>12M</v>
      </c>
      <c r="C11" s="195" t="str">
        <v>USSO1 CMPN Curncy</v>
      </c>
      <c r="D11" s="205">
        <v>2.1086</v>
      </c>
      <c r="E11" s="213"/>
      <c r="F11" s="197">
        <f t="shared" ref="F11:F74" si="11">IF(D11="","",D11/100+E11+F$7)</f>
        <v>2.1086000000000001E-2</v>
      </c>
      <c r="G11" s="203">
        <v>2</v>
      </c>
      <c r="H11" s="195" t="str">
        <f t="shared" ca="1" si="1"/>
        <v>3Y</v>
      </c>
      <c r="I11" s="195" t="str">
        <v>USBG3 BGN Curncy</v>
      </c>
      <c r="J11" s="205">
        <v>37</v>
      </c>
      <c r="K11" s="242"/>
      <c r="L11" s="197">
        <f t="shared" ref="L11:L74" si="12">IF(J11="","",(J11+K11+L$7)/10000)</f>
        <v>3.7000000000000002E-3</v>
      </c>
      <c r="M11" s="203">
        <v>2</v>
      </c>
      <c r="N11" s="195" t="str">
        <f t="shared" ca="1" si="2"/>
        <v>3Y</v>
      </c>
      <c r="O11" s="195" t="str">
        <v>USSWAP3 BGN Curncy</v>
      </c>
      <c r="P11" s="205">
        <v>2.8414999999999999</v>
      </c>
      <c r="Q11" s="213"/>
      <c r="R11" s="197">
        <f t="shared" ref="R11:R74" si="13">IF(P11="","",P11/100+Q11+R$7)</f>
        <v>2.8414999999999999E-2</v>
      </c>
      <c r="S11" s="203">
        <v>2</v>
      </c>
      <c r="T11" s="195" t="str">
        <f t="shared" si="3"/>
        <v/>
      </c>
      <c r="U11" s="195" t="str">
        <v/>
      </c>
      <c r="V11" s="205" t="str">
        <v/>
      </c>
      <c r="W11" s="213"/>
      <c r="X11" s="197" t="str">
        <f t="shared" ref="X11:X74" si="14">IF(V11="","",V11/100+W11+X$7)</f>
        <v/>
      </c>
      <c r="Y11" s="203">
        <v>2</v>
      </c>
      <c r="Z11" s="195" t="str">
        <f t="shared" si="4"/>
        <v/>
      </c>
      <c r="AA11" s="195" t="str">
        <v/>
      </c>
      <c r="AB11" s="205" t="str">
        <v/>
      </c>
      <c r="AC11" s="213"/>
      <c r="AD11" s="197" t="str">
        <f t="shared" ref="AD11:AD74" si="15">IF(AB11="","",AB11/100+AC11+AD$7)</f>
        <v/>
      </c>
      <c r="AE11" s="203">
        <v>2</v>
      </c>
      <c r="AF11" s="195"/>
      <c r="AG11" s="195"/>
      <c r="AH11" s="205"/>
      <c r="AI11" s="213"/>
      <c r="AJ11" s="197" t="str">
        <f t="shared" ref="AJ11:AJ74" si="16">IF(AH11="","",AH11/100+AI11+AJ$7)</f>
        <v/>
      </c>
      <c r="AK11" s="203">
        <v>2</v>
      </c>
      <c r="AL11" s="198" t="str">
        <f t="shared" si="5"/>
        <v>ED2</v>
      </c>
      <c r="AM11" s="195" t="str">
        <v>ED2 COMB Comdty</v>
      </c>
      <c r="AN11" s="196">
        <v>97.504999999999995</v>
      </c>
      <c r="AO11" s="254"/>
      <c r="AP11" s="256">
        <f t="shared" ref="AP11:AP74" si="17">IF(AN11="","",AN11+AO11+AP$7)</f>
        <v>97.504999999999995</v>
      </c>
      <c r="AQ11" s="203">
        <v>2</v>
      </c>
      <c r="AR11" s="195" t="str">
        <f t="shared" si="6"/>
        <v>7Y</v>
      </c>
      <c r="AS11" s="195" t="str">
        <v>USSWAP7 BGN Curncy</v>
      </c>
      <c r="AT11" s="205">
        <v>2.9407000000000001</v>
      </c>
      <c r="AU11" s="213"/>
      <c r="AV11" s="197">
        <f t="shared" ref="AV11:AV74" si="18">IF(AT11="","",AT11/100+AU11+AV$7)</f>
        <v>2.9407000000000003E-2</v>
      </c>
      <c r="AW11" s="203">
        <v>2</v>
      </c>
      <c r="AX11" s="195" t="str">
        <f t="shared" si="7"/>
        <v>2Y</v>
      </c>
      <c r="AY11" s="195" t="str">
        <v>USBC2 ICPL Curncy</v>
      </c>
      <c r="AZ11" s="205">
        <v>12.375</v>
      </c>
      <c r="BA11" s="242"/>
      <c r="BB11" s="197">
        <f t="shared" ref="BB11:BB74" si="19">IF(AZ11="","",(AZ11+BA11+BB$7)/10000)</f>
        <v>1.2375000000000001E-3</v>
      </c>
      <c r="BC11" s="203">
        <v>2</v>
      </c>
      <c r="BD11" s="195" t="str">
        <f t="shared" si="8"/>
        <v>2Y</v>
      </c>
      <c r="BE11" s="195" t="str">
        <v>USBA2 CMPN Curncy</v>
      </c>
      <c r="BF11" s="205">
        <v>18.1875</v>
      </c>
      <c r="BG11" s="242"/>
      <c r="BH11" s="197">
        <f t="shared" ref="BH11:BH74" si="20">IF(BF11="","",(BF11+BG11+BH$7)/10000)</f>
        <v>1.8187500000000001E-3</v>
      </c>
      <c r="BI11" s="203">
        <v>2</v>
      </c>
      <c r="BJ11" s="195" t="str">
        <f t="shared" si="9"/>
        <v>2Y</v>
      </c>
      <c r="BK11" s="195" t="str">
        <v>USBL2 PREB Curncy</v>
      </c>
      <c r="BL11" s="205">
        <v>26.25</v>
      </c>
      <c r="BM11" s="242"/>
      <c r="BN11" s="197">
        <f t="shared" ref="BN11:BN74" si="21">IF(BL11="","",(BL11+BM11+BN$7)/10000)</f>
        <v>2.6250000000000002E-3</v>
      </c>
      <c r="BO11" s="203">
        <v>2</v>
      </c>
      <c r="BP11" s="195" t="str">
        <f t="shared" si="10"/>
        <v/>
      </c>
      <c r="BQ11" s="195" t="str">
        <v/>
      </c>
      <c r="BR11" s="205" t="str">
        <v/>
      </c>
      <c r="BS11" s="242"/>
      <c r="BT11" s="197" t="str">
        <f t="shared" ref="BT11:BT74" si="22">IF(BR11="","",(BR11+BS11+BT$7)/10000)</f>
        <v/>
      </c>
    </row>
    <row r="12" spans="1:72">
      <c r="A12" s="203">
        <v>3</v>
      </c>
      <c r="B12" s="195" t="str">
        <f t="shared" ca="1" si="0"/>
        <v>2Y</v>
      </c>
      <c r="C12" s="195" t="str">
        <v>USSO2 CMPN Curncy</v>
      </c>
      <c r="D12" s="205">
        <v>2.3445</v>
      </c>
      <c r="E12" s="213"/>
      <c r="F12" s="197">
        <f t="shared" si="11"/>
        <v>2.3445000000000001E-2</v>
      </c>
      <c r="G12" s="203">
        <v>3</v>
      </c>
      <c r="H12" s="195" t="str">
        <f t="shared" ca="1" si="1"/>
        <v>4Y</v>
      </c>
      <c r="I12" s="195" t="str">
        <v>USBG4 BGN Curncy</v>
      </c>
      <c r="J12" s="205">
        <v>36.625</v>
      </c>
      <c r="K12" s="242"/>
      <c r="L12" s="197">
        <f t="shared" si="12"/>
        <v>3.6625E-3</v>
      </c>
      <c r="M12" s="203">
        <v>3</v>
      </c>
      <c r="N12" s="195" t="str">
        <f t="shared" ca="1" si="2"/>
        <v>4Y</v>
      </c>
      <c r="O12" s="195" t="str">
        <v>USSWAP4 BGN Curncy</v>
      </c>
      <c r="P12" s="205">
        <v>2.8862000000000001</v>
      </c>
      <c r="Q12" s="213"/>
      <c r="R12" s="197">
        <f t="shared" si="13"/>
        <v>2.8862000000000002E-2</v>
      </c>
      <c r="S12" s="203">
        <v>3</v>
      </c>
      <c r="T12" s="195" t="str">
        <f t="shared" si="3"/>
        <v/>
      </c>
      <c r="U12" s="195" t="str">
        <v/>
      </c>
      <c r="V12" s="205" t="str">
        <v/>
      </c>
      <c r="W12" s="213"/>
      <c r="X12" s="197" t="str">
        <f t="shared" si="14"/>
        <v/>
      </c>
      <c r="Y12" s="203">
        <v>3</v>
      </c>
      <c r="Z12" s="195" t="str">
        <f t="shared" si="4"/>
        <v/>
      </c>
      <c r="AA12" s="195" t="str">
        <v/>
      </c>
      <c r="AB12" s="205" t="str">
        <v/>
      </c>
      <c r="AC12" s="213"/>
      <c r="AD12" s="197" t="str">
        <f t="shared" si="15"/>
        <v/>
      </c>
      <c r="AE12" s="203">
        <v>3</v>
      </c>
      <c r="AF12" s="195"/>
      <c r="AG12" s="195"/>
      <c r="AH12" s="205"/>
      <c r="AI12" s="213"/>
      <c r="AJ12" s="197" t="str">
        <f t="shared" si="16"/>
        <v/>
      </c>
      <c r="AK12" s="203">
        <v>3</v>
      </c>
      <c r="AL12" s="198" t="str">
        <f t="shared" si="5"/>
        <v>ED3</v>
      </c>
      <c r="AM12" s="195" t="str">
        <v>ED3 COMB Comdty</v>
      </c>
      <c r="AN12" s="196">
        <v>97.355000000000004</v>
      </c>
      <c r="AO12" s="254"/>
      <c r="AP12" s="256">
        <f t="shared" si="17"/>
        <v>97.355000000000004</v>
      </c>
      <c r="AQ12" s="203">
        <v>3</v>
      </c>
      <c r="AR12" s="195" t="str">
        <f t="shared" si="6"/>
        <v>10Y</v>
      </c>
      <c r="AS12" s="195" t="str">
        <v>USSWAP10 BGN Curncy</v>
      </c>
      <c r="AT12" s="205">
        <v>2.9773999999999998</v>
      </c>
      <c r="AU12" s="213"/>
      <c r="AV12" s="197">
        <f t="shared" si="18"/>
        <v>2.9773999999999998E-2</v>
      </c>
      <c r="AW12" s="203">
        <v>3</v>
      </c>
      <c r="AX12" s="195" t="str">
        <f t="shared" si="7"/>
        <v>3Y</v>
      </c>
      <c r="AY12" s="195" t="str">
        <v>USBC3 ICPL Curncy</v>
      </c>
      <c r="AZ12" s="205">
        <v>12.5</v>
      </c>
      <c r="BA12" s="242"/>
      <c r="BB12" s="197">
        <f t="shared" si="19"/>
        <v>1.25E-3</v>
      </c>
      <c r="BC12" s="203">
        <v>3</v>
      </c>
      <c r="BD12" s="195" t="str">
        <f t="shared" si="8"/>
        <v>3Y</v>
      </c>
      <c r="BE12" s="195" t="str">
        <v>USBA3 CMPN Curncy</v>
      </c>
      <c r="BF12" s="205">
        <v>15.75</v>
      </c>
      <c r="BG12" s="242"/>
      <c r="BH12" s="197">
        <f t="shared" si="20"/>
        <v>1.575E-3</v>
      </c>
      <c r="BI12" s="203">
        <v>3</v>
      </c>
      <c r="BJ12" s="195" t="str">
        <f t="shared" si="9"/>
        <v>3Y</v>
      </c>
      <c r="BK12" s="195" t="str">
        <v>USBL3 PREB Curncy</v>
      </c>
      <c r="BL12" s="205">
        <v>27.25</v>
      </c>
      <c r="BM12" s="242"/>
      <c r="BN12" s="197">
        <f t="shared" si="21"/>
        <v>2.725E-3</v>
      </c>
      <c r="BO12" s="203">
        <v>3</v>
      </c>
      <c r="BP12" s="195" t="str">
        <f t="shared" si="10"/>
        <v/>
      </c>
      <c r="BQ12" s="195" t="str">
        <v/>
      </c>
      <c r="BR12" s="205" t="str">
        <v/>
      </c>
      <c r="BS12" s="242"/>
      <c r="BT12" s="197" t="str">
        <f t="shared" si="22"/>
        <v/>
      </c>
    </row>
    <row r="13" spans="1:72">
      <c r="A13" s="203">
        <v>4</v>
      </c>
      <c r="B13" s="195" t="str">
        <f t="shared" ca="1" si="0"/>
        <v>3Y</v>
      </c>
      <c r="C13" s="195" t="str">
        <v>USSO3 CMPN Curncy</v>
      </c>
      <c r="D13" s="205">
        <v>2.4489999999999998</v>
      </c>
      <c r="E13" s="213"/>
      <c r="F13" s="197">
        <f t="shared" si="11"/>
        <v>2.4489999999999998E-2</v>
      </c>
      <c r="G13" s="203">
        <v>4</v>
      </c>
      <c r="H13" s="195" t="str">
        <f t="shared" ca="1" si="1"/>
        <v>5Y</v>
      </c>
      <c r="I13" s="195" t="str">
        <v>USBG5 BGN Curncy</v>
      </c>
      <c r="J13" s="205">
        <v>36.75</v>
      </c>
      <c r="K13" s="242"/>
      <c r="L13" s="197">
        <f t="shared" si="12"/>
        <v>3.6749999999999999E-3</v>
      </c>
      <c r="M13" s="203">
        <v>4</v>
      </c>
      <c r="N13" s="195" t="str">
        <f t="shared" ca="1" si="2"/>
        <v>5Y</v>
      </c>
      <c r="O13" s="195" t="str">
        <v>USSWAP5 BGN Curncy</v>
      </c>
      <c r="P13" s="205">
        <v>2.9106000000000001</v>
      </c>
      <c r="Q13" s="213"/>
      <c r="R13" s="197">
        <f t="shared" si="13"/>
        <v>2.9106E-2</v>
      </c>
      <c r="S13" s="203">
        <v>4</v>
      </c>
      <c r="T13" s="195" t="str">
        <f t="shared" si="3"/>
        <v/>
      </c>
      <c r="U13" s="195" t="str">
        <v/>
      </c>
      <c r="V13" s="205" t="str">
        <v/>
      </c>
      <c r="W13" s="213"/>
      <c r="X13" s="197" t="str">
        <f t="shared" si="14"/>
        <v/>
      </c>
      <c r="Y13" s="203">
        <v>4</v>
      </c>
      <c r="Z13" s="195" t="str">
        <f t="shared" si="4"/>
        <v/>
      </c>
      <c r="AA13" s="195" t="str">
        <v/>
      </c>
      <c r="AB13" s="205" t="str">
        <v/>
      </c>
      <c r="AC13" s="213"/>
      <c r="AD13" s="197" t="str">
        <f t="shared" si="15"/>
        <v/>
      </c>
      <c r="AE13" s="203">
        <v>4</v>
      </c>
      <c r="AF13" s="195"/>
      <c r="AG13" s="195"/>
      <c r="AH13" s="205"/>
      <c r="AI13" s="213"/>
      <c r="AJ13" s="197" t="str">
        <f t="shared" si="16"/>
        <v/>
      </c>
      <c r="AK13" s="203">
        <v>4</v>
      </c>
      <c r="AL13" s="198" t="str">
        <f t="shared" si="5"/>
        <v xml:space="preserve">ED4 </v>
      </c>
      <c r="AM13" s="195" t="str">
        <v>ED4  COMB Comdty</v>
      </c>
      <c r="AN13" s="196">
        <v>97.245000000000005</v>
      </c>
      <c r="AO13" s="254"/>
      <c r="AP13" s="256">
        <f t="shared" si="17"/>
        <v>97.245000000000005</v>
      </c>
      <c r="AQ13" s="203">
        <v>4</v>
      </c>
      <c r="AR13" s="195" t="str">
        <f t="shared" si="6"/>
        <v>11Y</v>
      </c>
      <c r="AS13" s="195" t="str">
        <v>USSWAP11 BGN Curncy</v>
      </c>
      <c r="AT13" s="205">
        <v>2.99</v>
      </c>
      <c r="AU13" s="213"/>
      <c r="AV13" s="197">
        <f t="shared" si="18"/>
        <v>2.9900000000000003E-2</v>
      </c>
      <c r="AW13" s="203">
        <v>4</v>
      </c>
      <c r="AX13" s="195" t="str">
        <f t="shared" si="7"/>
        <v>4Y</v>
      </c>
      <c r="AY13" s="195" t="str">
        <v>USBC4 ICPL Curncy</v>
      </c>
      <c r="AZ13" s="205">
        <v>12.5</v>
      </c>
      <c r="BA13" s="242"/>
      <c r="BB13" s="197">
        <f t="shared" si="19"/>
        <v>1.25E-3</v>
      </c>
      <c r="BC13" s="203">
        <v>4</v>
      </c>
      <c r="BD13" s="195" t="str">
        <f t="shared" si="8"/>
        <v>4Y</v>
      </c>
      <c r="BE13" s="195" t="str">
        <v>USBA4 CMPN Curncy</v>
      </c>
      <c r="BF13" s="205">
        <v>13.9375</v>
      </c>
      <c r="BG13" s="242"/>
      <c r="BH13" s="197">
        <f t="shared" si="20"/>
        <v>1.39375E-3</v>
      </c>
      <c r="BI13" s="203">
        <v>4</v>
      </c>
      <c r="BJ13" s="195" t="str">
        <f t="shared" si="9"/>
        <v>4Y</v>
      </c>
      <c r="BK13" s="195" t="str">
        <v>USBL4 PREB Curncy</v>
      </c>
      <c r="BL13" s="205">
        <v>27.5</v>
      </c>
      <c r="BM13" s="242"/>
      <c r="BN13" s="197">
        <f t="shared" si="21"/>
        <v>2.7499999999999998E-3</v>
      </c>
      <c r="BO13" s="203">
        <v>4</v>
      </c>
      <c r="BP13" s="195" t="str">
        <f t="shared" si="10"/>
        <v/>
      </c>
      <c r="BQ13" s="195" t="str">
        <v/>
      </c>
      <c r="BR13" s="205" t="str">
        <v/>
      </c>
      <c r="BS13" s="242"/>
      <c r="BT13" s="197" t="str">
        <f t="shared" si="22"/>
        <v/>
      </c>
    </row>
    <row r="14" spans="1:72">
      <c r="A14" s="203">
        <v>5</v>
      </c>
      <c r="B14" s="195" t="str">
        <f t="shared" ca="1" si="0"/>
        <v>4Y</v>
      </c>
      <c r="C14" s="195" t="str">
        <v>USSO4 CMPN Curncy</v>
      </c>
      <c r="D14" s="205">
        <v>2.4990000000000001</v>
      </c>
      <c r="E14" s="213"/>
      <c r="F14" s="197">
        <f t="shared" si="11"/>
        <v>2.4990000000000002E-2</v>
      </c>
      <c r="G14" s="203">
        <v>5</v>
      </c>
      <c r="H14" s="195" t="str">
        <f t="shared" ca="1" si="1"/>
        <v>6Y</v>
      </c>
      <c r="I14" s="195" t="str">
        <v>USBG6 BGN Curncy</v>
      </c>
      <c r="J14" s="205">
        <v>37</v>
      </c>
      <c r="K14" s="242"/>
      <c r="L14" s="197">
        <f t="shared" si="12"/>
        <v>3.7000000000000002E-3</v>
      </c>
      <c r="M14" s="203">
        <v>5</v>
      </c>
      <c r="N14" s="195" t="str">
        <f t="shared" ca="1" si="2"/>
        <v>6Y</v>
      </c>
      <c r="O14" s="195" t="str">
        <v>USSWAP6 BGN Curncy</v>
      </c>
      <c r="P14" s="205">
        <v>2.9270999999999998</v>
      </c>
      <c r="Q14" s="213"/>
      <c r="R14" s="197">
        <f t="shared" si="13"/>
        <v>2.9270999999999998E-2</v>
      </c>
      <c r="S14" s="203">
        <v>5</v>
      </c>
      <c r="T14" s="195" t="str">
        <f t="shared" si="3"/>
        <v/>
      </c>
      <c r="U14" s="195" t="str">
        <v/>
      </c>
      <c r="V14" s="205" t="str">
        <v/>
      </c>
      <c r="W14" s="213"/>
      <c r="X14" s="197" t="str">
        <f t="shared" si="14"/>
        <v/>
      </c>
      <c r="Y14" s="203">
        <v>5</v>
      </c>
      <c r="Z14" s="195" t="str">
        <f t="shared" si="4"/>
        <v/>
      </c>
      <c r="AA14" s="195" t="str">
        <v/>
      </c>
      <c r="AB14" s="205" t="str">
        <v/>
      </c>
      <c r="AC14" s="213"/>
      <c r="AD14" s="197" t="str">
        <f t="shared" si="15"/>
        <v/>
      </c>
      <c r="AE14" s="203">
        <v>5</v>
      </c>
      <c r="AF14" s="195"/>
      <c r="AG14" s="195"/>
      <c r="AH14" s="205"/>
      <c r="AI14" s="213"/>
      <c r="AJ14" s="197" t="str">
        <f t="shared" si="16"/>
        <v/>
      </c>
      <c r="AK14" s="203">
        <v>5</v>
      </c>
      <c r="AL14" s="198" t="str">
        <f t="shared" si="5"/>
        <v xml:space="preserve">ED5 </v>
      </c>
      <c r="AM14" s="195" t="str">
        <v>ED5  COMB Comdty</v>
      </c>
      <c r="AN14" s="196">
        <v>97.144999999999996</v>
      </c>
      <c r="AO14" s="254"/>
      <c r="AP14" s="256">
        <f t="shared" si="17"/>
        <v>97.144999999999996</v>
      </c>
      <c r="AQ14" s="203">
        <v>5</v>
      </c>
      <c r="AR14" s="195" t="str">
        <f t="shared" si="6"/>
        <v>12Y</v>
      </c>
      <c r="AS14" s="195" t="str">
        <v>USSWAP12 BGN Curncy</v>
      </c>
      <c r="AT14" s="205">
        <v>3.0005000000000002</v>
      </c>
      <c r="AU14" s="213"/>
      <c r="AV14" s="197">
        <f t="shared" si="18"/>
        <v>3.0005E-2</v>
      </c>
      <c r="AW14" s="203">
        <v>5</v>
      </c>
      <c r="AX14" s="195" t="str">
        <f t="shared" si="7"/>
        <v>5Y</v>
      </c>
      <c r="AY14" s="195" t="str">
        <v>USBC5 ICPL Curncy</v>
      </c>
      <c r="AZ14" s="205">
        <v>12.625</v>
      </c>
      <c r="BA14" s="242"/>
      <c r="BB14" s="197">
        <f t="shared" si="19"/>
        <v>1.2625E-3</v>
      </c>
      <c r="BC14" s="203">
        <v>5</v>
      </c>
      <c r="BD14" s="195" t="str">
        <f t="shared" si="8"/>
        <v>5Y</v>
      </c>
      <c r="BE14" s="195" t="str">
        <v>USBA5 CMPN Curncy</v>
      </c>
      <c r="BF14" s="205">
        <v>12.625</v>
      </c>
      <c r="BG14" s="242"/>
      <c r="BH14" s="197">
        <f t="shared" si="20"/>
        <v>1.2625E-3</v>
      </c>
      <c r="BI14" s="203">
        <v>5</v>
      </c>
      <c r="BJ14" s="195" t="str">
        <f t="shared" si="9"/>
        <v>5Y</v>
      </c>
      <c r="BK14" s="195" t="str">
        <v>USBL5 PREB Curncy</v>
      </c>
      <c r="BL14" s="205">
        <v>27.75</v>
      </c>
      <c r="BM14" s="242"/>
      <c r="BN14" s="197">
        <f t="shared" si="21"/>
        <v>2.7750000000000001E-3</v>
      </c>
      <c r="BO14" s="203">
        <v>5</v>
      </c>
      <c r="BP14" s="195" t="str">
        <f t="shared" si="10"/>
        <v/>
      </c>
      <c r="BQ14" s="195" t="str">
        <v/>
      </c>
      <c r="BR14" s="205" t="str">
        <v/>
      </c>
      <c r="BS14" s="242"/>
      <c r="BT14" s="197" t="str">
        <f t="shared" si="22"/>
        <v/>
      </c>
    </row>
    <row r="15" spans="1:72">
      <c r="A15" s="203">
        <v>6</v>
      </c>
      <c r="B15" s="195" t="str">
        <f t="shared" ca="1" si="0"/>
        <v>5Y</v>
      </c>
      <c r="C15" s="195" t="str">
        <v>USSO5 CMPN Curncy</v>
      </c>
      <c r="D15" s="205">
        <v>2.5219999999999998</v>
      </c>
      <c r="E15" s="213"/>
      <c r="F15" s="197">
        <f t="shared" si="11"/>
        <v>2.5219999999999999E-2</v>
      </c>
      <c r="G15" s="203">
        <v>6</v>
      </c>
      <c r="H15" s="195" t="str">
        <f t="shared" ca="1" si="1"/>
        <v>7Y</v>
      </c>
      <c r="I15" s="195" t="str">
        <v>USBG7 BGN Curncy</v>
      </c>
      <c r="J15" s="205">
        <v>37.75</v>
      </c>
      <c r="K15" s="242"/>
      <c r="L15" s="197">
        <f t="shared" si="12"/>
        <v>3.7750000000000001E-3</v>
      </c>
      <c r="M15" s="203">
        <v>6</v>
      </c>
      <c r="N15" s="195" t="str">
        <f t="shared" ca="1" si="2"/>
        <v>7Y</v>
      </c>
      <c r="O15" s="195" t="str">
        <v>USSWAP7 BGN Curncy</v>
      </c>
      <c r="P15" s="205">
        <v>2.9405999999999999</v>
      </c>
      <c r="Q15" s="213"/>
      <c r="R15" s="197">
        <f t="shared" si="13"/>
        <v>2.9405999999999998E-2</v>
      </c>
      <c r="S15" s="203">
        <v>6</v>
      </c>
      <c r="T15" s="195" t="str">
        <f t="shared" si="3"/>
        <v/>
      </c>
      <c r="U15" s="195" t="str">
        <v/>
      </c>
      <c r="V15" s="205" t="str">
        <v/>
      </c>
      <c r="W15" s="213"/>
      <c r="X15" s="197" t="str">
        <f t="shared" si="14"/>
        <v/>
      </c>
      <c r="Y15" s="203">
        <v>6</v>
      </c>
      <c r="Z15" s="195" t="str">
        <f t="shared" si="4"/>
        <v/>
      </c>
      <c r="AA15" s="195" t="str">
        <v/>
      </c>
      <c r="AB15" s="205" t="str">
        <v/>
      </c>
      <c r="AC15" s="213"/>
      <c r="AD15" s="197" t="str">
        <f t="shared" si="15"/>
        <v/>
      </c>
      <c r="AE15" s="203">
        <v>6</v>
      </c>
      <c r="AF15" s="195"/>
      <c r="AG15" s="195"/>
      <c r="AH15" s="205"/>
      <c r="AI15" s="213"/>
      <c r="AJ15" s="197" t="str">
        <f t="shared" si="16"/>
        <v/>
      </c>
      <c r="AK15" s="203">
        <v>6</v>
      </c>
      <c r="AL15" s="198" t="str">
        <f t="shared" si="5"/>
        <v xml:space="preserve">ED6 </v>
      </c>
      <c r="AM15" s="195" t="str">
        <v>ED6  COMB Comdty</v>
      </c>
      <c r="AN15" s="196">
        <v>97.08</v>
      </c>
      <c r="AO15" s="254"/>
      <c r="AP15" s="256">
        <f t="shared" si="17"/>
        <v>97.08</v>
      </c>
      <c r="AQ15" s="203">
        <v>6</v>
      </c>
      <c r="AR15" s="195" t="str">
        <f t="shared" si="6"/>
        <v>15Y</v>
      </c>
      <c r="AS15" s="195" t="str">
        <v>USSWAP15 BGN Curncy</v>
      </c>
      <c r="AT15" s="205">
        <v>3.0205000000000002</v>
      </c>
      <c r="AU15" s="213"/>
      <c r="AV15" s="197">
        <f t="shared" si="18"/>
        <v>3.0205000000000003E-2</v>
      </c>
      <c r="AW15" s="203">
        <v>6</v>
      </c>
      <c r="AX15" s="195" t="str">
        <f t="shared" si="7"/>
        <v>6Y</v>
      </c>
      <c r="AY15" s="195" t="str">
        <v>USBC6 ICPL Curncy</v>
      </c>
      <c r="AZ15" s="205">
        <v>12.875</v>
      </c>
      <c r="BA15" s="242"/>
      <c r="BB15" s="197">
        <f t="shared" si="19"/>
        <v>1.2875E-3</v>
      </c>
      <c r="BC15" s="203">
        <v>6</v>
      </c>
      <c r="BD15" s="195" t="str">
        <f t="shared" si="8"/>
        <v>6Y</v>
      </c>
      <c r="BE15" s="195" t="str">
        <v>USBA6 CMPN Curncy</v>
      </c>
      <c r="BF15" s="205">
        <v>11.125</v>
      </c>
      <c r="BG15" s="242"/>
      <c r="BH15" s="197">
        <f t="shared" si="20"/>
        <v>1.1125E-3</v>
      </c>
      <c r="BI15" s="203">
        <v>6</v>
      </c>
      <c r="BJ15" s="195" t="str">
        <f t="shared" si="9"/>
        <v>7Y</v>
      </c>
      <c r="BK15" s="195" t="str">
        <v>USBL7 PREB Curncy</v>
      </c>
      <c r="BL15" s="205">
        <v>28.75</v>
      </c>
      <c r="BM15" s="242"/>
      <c r="BN15" s="197">
        <f t="shared" si="21"/>
        <v>2.875E-3</v>
      </c>
      <c r="BO15" s="203">
        <v>6</v>
      </c>
      <c r="BP15" s="195" t="str">
        <f t="shared" si="10"/>
        <v/>
      </c>
      <c r="BQ15" s="195" t="str">
        <v/>
      </c>
      <c r="BR15" s="205" t="str">
        <v/>
      </c>
      <c r="BS15" s="242"/>
      <c r="BT15" s="197" t="str">
        <f t="shared" si="22"/>
        <v/>
      </c>
    </row>
    <row r="16" spans="1:72">
      <c r="A16" s="203">
        <v>7</v>
      </c>
      <c r="B16" s="195" t="str">
        <f t="shared" ca="1" si="0"/>
        <v>6Y</v>
      </c>
      <c r="C16" s="195" t="str">
        <v>USSO6 CMPN Curncy</v>
      </c>
      <c r="D16" s="205">
        <v>2.5339999999999998</v>
      </c>
      <c r="E16" s="213"/>
      <c r="F16" s="197">
        <f t="shared" si="11"/>
        <v>2.5339999999999998E-2</v>
      </c>
      <c r="G16" s="203">
        <v>7</v>
      </c>
      <c r="H16" s="195" t="str">
        <f t="shared" ca="1" si="1"/>
        <v>10Y</v>
      </c>
      <c r="I16" s="195" t="str">
        <v>USBG10 BGN Curncy</v>
      </c>
      <c r="J16" s="205">
        <v>39.630000000000003</v>
      </c>
      <c r="K16" s="242"/>
      <c r="L16" s="197">
        <f t="shared" si="12"/>
        <v>3.9630000000000004E-3</v>
      </c>
      <c r="M16" s="203">
        <v>7</v>
      </c>
      <c r="N16" s="195" t="str">
        <f t="shared" ca="1" si="2"/>
        <v>10Y</v>
      </c>
      <c r="O16" s="195" t="str">
        <v>USSWAP10 BGN Curncy</v>
      </c>
      <c r="P16" s="205">
        <v>2.9773999999999998</v>
      </c>
      <c r="Q16" s="213"/>
      <c r="R16" s="197">
        <f t="shared" si="13"/>
        <v>2.9773999999999998E-2</v>
      </c>
      <c r="S16" s="203">
        <v>7</v>
      </c>
      <c r="T16" s="195" t="str">
        <f t="shared" si="3"/>
        <v/>
      </c>
      <c r="U16" s="195" t="str">
        <v/>
      </c>
      <c r="V16" s="205" t="str">
        <v/>
      </c>
      <c r="W16" s="213"/>
      <c r="X16" s="197" t="str">
        <f t="shared" si="14"/>
        <v/>
      </c>
      <c r="Y16" s="203">
        <v>7</v>
      </c>
      <c r="Z16" s="195" t="str">
        <f t="shared" si="4"/>
        <v/>
      </c>
      <c r="AA16" s="195" t="str">
        <v/>
      </c>
      <c r="AB16" s="205" t="str">
        <v/>
      </c>
      <c r="AC16" s="213"/>
      <c r="AD16" s="197" t="str">
        <f t="shared" si="15"/>
        <v/>
      </c>
      <c r="AE16" s="203">
        <v>7</v>
      </c>
      <c r="AF16" s="195"/>
      <c r="AG16" s="195"/>
      <c r="AH16" s="205"/>
      <c r="AI16" s="213"/>
      <c r="AJ16" s="197" t="str">
        <f t="shared" si="16"/>
        <v/>
      </c>
      <c r="AK16" s="203">
        <v>7</v>
      </c>
      <c r="AL16" s="198" t="str">
        <f t="shared" si="5"/>
        <v xml:space="preserve">ED7 </v>
      </c>
      <c r="AM16" s="195" t="str">
        <v>ED7  COMB Comdty</v>
      </c>
      <c r="AN16" s="196">
        <v>97.025000000000006</v>
      </c>
      <c r="AO16" s="254"/>
      <c r="AP16" s="256">
        <f>IF(AN16="","",AN16+AO16+AP$7)</f>
        <v>97.025000000000006</v>
      </c>
      <c r="AQ16" s="203">
        <v>7</v>
      </c>
      <c r="AR16" s="195" t="str">
        <f t="shared" si="6"/>
        <v>20Y</v>
      </c>
      <c r="AS16" s="195" t="str">
        <v>USSWAP20 BGN Curncy</v>
      </c>
      <c r="AT16" s="205">
        <v>3.0320999999999998</v>
      </c>
      <c r="AU16" s="213"/>
      <c r="AV16" s="197">
        <f t="shared" si="18"/>
        <v>3.0320999999999997E-2</v>
      </c>
      <c r="AW16" s="203">
        <v>7</v>
      </c>
      <c r="AX16" s="195" t="str">
        <f t="shared" si="7"/>
        <v>7Y</v>
      </c>
      <c r="AY16" s="195" t="str">
        <v>USBC7 ICPL Curncy</v>
      </c>
      <c r="AZ16" s="205">
        <v>13.25</v>
      </c>
      <c r="BA16" s="242"/>
      <c r="BB16" s="197">
        <f t="shared" si="19"/>
        <v>1.325E-3</v>
      </c>
      <c r="BC16" s="203">
        <v>7</v>
      </c>
      <c r="BD16" s="195" t="str">
        <f t="shared" si="8"/>
        <v>7Y</v>
      </c>
      <c r="BE16" s="195" t="str">
        <v>USBA7 CMPN Curncy</v>
      </c>
      <c r="BF16" s="205">
        <v>10.25</v>
      </c>
      <c r="BG16" s="242"/>
      <c r="BH16" s="197">
        <f t="shared" si="20"/>
        <v>1.0250000000000001E-3</v>
      </c>
      <c r="BI16" s="203">
        <v>7</v>
      </c>
      <c r="BJ16" s="195" t="str">
        <f t="shared" si="9"/>
        <v>10Y</v>
      </c>
      <c r="BK16" s="195" t="str">
        <v>USBL10 PREB Curncy</v>
      </c>
      <c r="BL16" s="205">
        <v>29.625</v>
      </c>
      <c r="BM16" s="242"/>
      <c r="BN16" s="197">
        <f t="shared" si="21"/>
        <v>2.9624999999999999E-3</v>
      </c>
      <c r="BO16" s="203">
        <v>7</v>
      </c>
      <c r="BP16" s="195" t="str">
        <f t="shared" si="10"/>
        <v/>
      </c>
      <c r="BQ16" s="195" t="str">
        <v/>
      </c>
      <c r="BR16" s="205" t="str">
        <v/>
      </c>
      <c r="BS16" s="242"/>
      <c r="BT16" s="197" t="str">
        <f t="shared" si="22"/>
        <v/>
      </c>
    </row>
    <row r="17" spans="1:72">
      <c r="A17" s="203">
        <v>8</v>
      </c>
      <c r="B17" s="195" t="str">
        <f t="shared" ca="1" si="0"/>
        <v>7Y</v>
      </c>
      <c r="C17" s="195" t="str">
        <v>USSO7 CMPN Curncy</v>
      </c>
      <c r="D17" s="205">
        <v>2.5419999999999998</v>
      </c>
      <c r="E17" s="213"/>
      <c r="F17" s="197">
        <f t="shared" si="11"/>
        <v>2.5419999999999998E-2</v>
      </c>
      <c r="G17" s="203">
        <v>8</v>
      </c>
      <c r="H17" s="195" t="str">
        <f t="shared" ca="1" si="1"/>
        <v>12Y</v>
      </c>
      <c r="I17" s="195" t="str">
        <v>USBG12 BGN Curncy</v>
      </c>
      <c r="J17" s="205">
        <v>40.875</v>
      </c>
      <c r="K17" s="242"/>
      <c r="L17" s="197">
        <f t="shared" si="12"/>
        <v>4.0875E-3</v>
      </c>
      <c r="M17" s="203">
        <v>8</v>
      </c>
      <c r="N17" s="195" t="str">
        <f t="shared" ca="1" si="2"/>
        <v>12Y</v>
      </c>
      <c r="O17" s="195" t="str">
        <v>USSWAP12 BGN Curncy</v>
      </c>
      <c r="P17" s="205">
        <v>3.0005000000000002</v>
      </c>
      <c r="Q17" s="213"/>
      <c r="R17" s="197">
        <f t="shared" si="13"/>
        <v>3.0005E-2</v>
      </c>
      <c r="S17" s="203">
        <v>8</v>
      </c>
      <c r="T17" s="195" t="str">
        <f t="shared" si="3"/>
        <v/>
      </c>
      <c r="U17" s="195" t="str">
        <v/>
      </c>
      <c r="V17" s="205" t="str">
        <v/>
      </c>
      <c r="W17" s="213"/>
      <c r="X17" s="197" t="str">
        <f t="shared" si="14"/>
        <v/>
      </c>
      <c r="Y17" s="203">
        <v>8</v>
      </c>
      <c r="Z17" s="195" t="str">
        <f t="shared" si="4"/>
        <v/>
      </c>
      <c r="AA17" s="195" t="str">
        <v/>
      </c>
      <c r="AB17" s="205" t="str">
        <v/>
      </c>
      <c r="AC17" s="213"/>
      <c r="AD17" s="197" t="str">
        <f t="shared" si="15"/>
        <v/>
      </c>
      <c r="AE17" s="203">
        <v>8</v>
      </c>
      <c r="AF17" s="195"/>
      <c r="AG17" s="195"/>
      <c r="AH17" s="205"/>
      <c r="AI17" s="213"/>
      <c r="AJ17" s="197" t="str">
        <f t="shared" si="16"/>
        <v/>
      </c>
      <c r="AK17" s="203">
        <v>8</v>
      </c>
      <c r="AL17" s="198" t="str">
        <f t="shared" si="5"/>
        <v xml:space="preserve">ED8 </v>
      </c>
      <c r="AM17" s="195" t="str">
        <v>ED8  COMB Comdty</v>
      </c>
      <c r="AN17" s="196">
        <v>97.004999999999995</v>
      </c>
      <c r="AO17" s="254"/>
      <c r="AP17" s="256">
        <f t="shared" si="17"/>
        <v>97.004999999999995</v>
      </c>
      <c r="AQ17" s="203">
        <v>8</v>
      </c>
      <c r="AR17" s="195" t="str">
        <f t="shared" si="6"/>
        <v>25Y</v>
      </c>
      <c r="AS17" s="195" t="str">
        <v>USSWAP25 BGN Curncy</v>
      </c>
      <c r="AT17" s="205">
        <v>3.0198999999999998</v>
      </c>
      <c r="AU17" s="213"/>
      <c r="AV17" s="197">
        <f t="shared" si="18"/>
        <v>3.0198999999999997E-2</v>
      </c>
      <c r="AW17" s="203">
        <v>8</v>
      </c>
      <c r="AX17" s="195" t="str">
        <f t="shared" si="7"/>
        <v>8Y</v>
      </c>
      <c r="AY17" s="195" t="str">
        <v>USBC8 ICPL Curncy</v>
      </c>
      <c r="AZ17" s="205">
        <v>13.5</v>
      </c>
      <c r="BA17" s="242"/>
      <c r="BB17" s="197">
        <f t="shared" si="19"/>
        <v>1.3500000000000001E-3</v>
      </c>
      <c r="BC17" s="203">
        <v>8</v>
      </c>
      <c r="BD17" s="195" t="str">
        <f t="shared" si="8"/>
        <v>8Y</v>
      </c>
      <c r="BE17" s="195" t="str">
        <v>USBA8 CMPN Curncy</v>
      </c>
      <c r="BF17" s="205">
        <v>9.625</v>
      </c>
      <c r="BG17" s="242"/>
      <c r="BH17" s="197">
        <f t="shared" si="20"/>
        <v>9.6250000000000003E-4</v>
      </c>
      <c r="BI17" s="203">
        <v>8</v>
      </c>
      <c r="BJ17" s="195" t="str">
        <f t="shared" si="9"/>
        <v>12Y</v>
      </c>
      <c r="BK17" s="195" t="str">
        <v>USBL12 PREB Curncy</v>
      </c>
      <c r="BL17" s="205">
        <v>29.25</v>
      </c>
      <c r="BM17" s="242"/>
      <c r="BN17" s="197">
        <f t="shared" si="21"/>
        <v>2.9250000000000001E-3</v>
      </c>
      <c r="BO17" s="203">
        <v>8</v>
      </c>
      <c r="BP17" s="195" t="str">
        <f t="shared" si="10"/>
        <v/>
      </c>
      <c r="BQ17" s="195" t="str">
        <v/>
      </c>
      <c r="BR17" s="205" t="str">
        <v/>
      </c>
      <c r="BS17" s="242"/>
      <c r="BT17" s="197" t="str">
        <f t="shared" si="22"/>
        <v/>
      </c>
    </row>
    <row r="18" spans="1:72">
      <c r="A18" s="203">
        <v>9</v>
      </c>
      <c r="B18" s="195" t="str">
        <f t="shared" ca="1" si="0"/>
        <v>10Y</v>
      </c>
      <c r="C18" s="195" t="str">
        <v>USSO10 CMPN Curncy</v>
      </c>
      <c r="D18" s="205">
        <v>2.5569999999999999</v>
      </c>
      <c r="E18" s="213"/>
      <c r="F18" s="197">
        <f t="shared" si="11"/>
        <v>2.5569999999999999E-2</v>
      </c>
      <c r="G18" s="203">
        <v>9</v>
      </c>
      <c r="H18" s="195" t="str">
        <f t="shared" ca="1" si="1"/>
        <v>15Y</v>
      </c>
      <c r="I18" s="195" t="str">
        <v>USBG15 BGN Curncy</v>
      </c>
      <c r="J18" s="205">
        <v>42.4375</v>
      </c>
      <c r="K18" s="242"/>
      <c r="L18" s="197">
        <f t="shared" si="12"/>
        <v>4.2437500000000001E-3</v>
      </c>
      <c r="M18" s="203">
        <v>9</v>
      </c>
      <c r="N18" s="195" t="str">
        <f t="shared" ca="1" si="2"/>
        <v>15Y</v>
      </c>
      <c r="O18" s="195" t="str">
        <v>USSWAP15 BGN Curncy</v>
      </c>
      <c r="P18" s="205">
        <v>3.0205000000000002</v>
      </c>
      <c r="Q18" s="213"/>
      <c r="R18" s="197">
        <f t="shared" si="13"/>
        <v>3.0205000000000003E-2</v>
      </c>
      <c r="S18" s="203">
        <v>9</v>
      </c>
      <c r="T18" s="195" t="str">
        <f t="shared" si="3"/>
        <v/>
      </c>
      <c r="U18" s="195" t="str">
        <v/>
      </c>
      <c r="V18" s="205" t="str">
        <v/>
      </c>
      <c r="W18" s="213"/>
      <c r="X18" s="197" t="str">
        <f t="shared" si="14"/>
        <v/>
      </c>
      <c r="Y18" s="203">
        <v>9</v>
      </c>
      <c r="Z18" s="195" t="str">
        <f t="shared" si="4"/>
        <v/>
      </c>
      <c r="AA18" s="195" t="str">
        <v/>
      </c>
      <c r="AB18" s="205" t="str">
        <v/>
      </c>
      <c r="AC18" s="213"/>
      <c r="AD18" s="197" t="str">
        <f t="shared" si="15"/>
        <v/>
      </c>
      <c r="AE18" s="203">
        <v>9</v>
      </c>
      <c r="AF18" s="195"/>
      <c r="AG18" s="195"/>
      <c r="AH18" s="205"/>
      <c r="AI18" s="213"/>
      <c r="AJ18" s="197" t="str">
        <f t="shared" si="16"/>
        <v/>
      </c>
      <c r="AK18" s="203">
        <v>9</v>
      </c>
      <c r="AL18" s="198" t="str">
        <f t="shared" si="5"/>
        <v>ED9</v>
      </c>
      <c r="AM18" s="195" t="str">
        <v>ED9 COMB Comdty</v>
      </c>
      <c r="AN18" s="196">
        <v>96.990000000000009</v>
      </c>
      <c r="AO18" s="254"/>
      <c r="AP18" s="256">
        <f t="shared" si="17"/>
        <v>96.990000000000009</v>
      </c>
      <c r="AQ18" s="203">
        <v>9</v>
      </c>
      <c r="AR18" s="195" t="str">
        <f t="shared" si="6"/>
        <v>30Y</v>
      </c>
      <c r="AS18" s="195" t="str">
        <v>USSWAP30 BGN Curncy</v>
      </c>
      <c r="AT18" s="205">
        <v>2.9990000000000001</v>
      </c>
      <c r="AU18" s="213"/>
      <c r="AV18" s="197">
        <f t="shared" si="18"/>
        <v>2.9990000000000003E-2</v>
      </c>
      <c r="AW18" s="203">
        <v>9</v>
      </c>
      <c r="AX18" s="195" t="str">
        <f t="shared" si="7"/>
        <v>9Y</v>
      </c>
      <c r="AY18" s="195" t="str">
        <v>USBC9 ICPL Curncy</v>
      </c>
      <c r="AZ18" s="205">
        <v>13.875</v>
      </c>
      <c r="BA18" s="242"/>
      <c r="BB18" s="197">
        <f t="shared" si="19"/>
        <v>1.3875000000000001E-3</v>
      </c>
      <c r="BC18" s="203">
        <v>9</v>
      </c>
      <c r="BD18" s="195" t="str">
        <f t="shared" si="8"/>
        <v>9Y</v>
      </c>
      <c r="BE18" s="195" t="str">
        <v>USBA9 CMPN Curncy</v>
      </c>
      <c r="BF18" s="205">
        <v>9</v>
      </c>
      <c r="BG18" s="242"/>
      <c r="BH18" s="197">
        <f t="shared" si="20"/>
        <v>8.9999999999999998E-4</v>
      </c>
      <c r="BI18" s="203">
        <v>9</v>
      </c>
      <c r="BJ18" s="195" t="str">
        <f t="shared" si="9"/>
        <v>15Y</v>
      </c>
      <c r="BK18" s="195" t="str">
        <v>USBL15 PREB Curncy</v>
      </c>
      <c r="BL18" s="205">
        <v>29.5</v>
      </c>
      <c r="BM18" s="242"/>
      <c r="BN18" s="197">
        <f t="shared" si="21"/>
        <v>2.9499999999999999E-3</v>
      </c>
      <c r="BO18" s="203">
        <v>9</v>
      </c>
      <c r="BP18" s="195" t="str">
        <f t="shared" si="10"/>
        <v/>
      </c>
      <c r="BQ18" s="195" t="str">
        <v/>
      </c>
      <c r="BR18" s="205" t="str">
        <v/>
      </c>
      <c r="BS18" s="242"/>
      <c r="BT18" s="197" t="str">
        <f t="shared" si="22"/>
        <v/>
      </c>
    </row>
    <row r="19" spans="1:72">
      <c r="A19" s="203">
        <v>10</v>
      </c>
      <c r="B19" s="195" t="str">
        <f t="shared" ca="1" si="0"/>
        <v>12Y</v>
      </c>
      <c r="C19" s="195" t="str">
        <v>USSO12 CMPN Curncy</v>
      </c>
      <c r="D19" s="205">
        <v>2.57</v>
      </c>
      <c r="E19" s="213"/>
      <c r="F19" s="197">
        <f t="shared" si="11"/>
        <v>2.5699999999999997E-2</v>
      </c>
      <c r="G19" s="203">
        <v>10</v>
      </c>
      <c r="H19" s="195" t="str">
        <f t="shared" ca="1" si="1"/>
        <v>20Y</v>
      </c>
      <c r="I19" s="195" t="str">
        <v>USBG20 BGN Curncy</v>
      </c>
      <c r="J19" s="205">
        <v>44.25</v>
      </c>
      <c r="K19" s="242"/>
      <c r="L19" s="197">
        <f t="shared" si="12"/>
        <v>4.4250000000000001E-3</v>
      </c>
      <c r="M19" s="203">
        <v>10</v>
      </c>
      <c r="N19" s="195" t="str">
        <f t="shared" ca="1" si="2"/>
        <v>20Y</v>
      </c>
      <c r="O19" s="195" t="str">
        <v>USSWAP20 BGN Curncy</v>
      </c>
      <c r="P19" s="205">
        <v>3.032</v>
      </c>
      <c r="Q19" s="213"/>
      <c r="R19" s="197">
        <f t="shared" si="13"/>
        <v>3.032E-2</v>
      </c>
      <c r="S19" s="203">
        <v>10</v>
      </c>
      <c r="T19" s="195" t="str">
        <f t="shared" si="3"/>
        <v/>
      </c>
      <c r="U19" s="195" t="str">
        <v/>
      </c>
      <c r="V19" s="205" t="str">
        <v/>
      </c>
      <c r="W19" s="213"/>
      <c r="X19" s="197" t="str">
        <f t="shared" si="14"/>
        <v/>
      </c>
      <c r="Y19" s="203">
        <v>10</v>
      </c>
      <c r="Z19" s="195" t="str">
        <f t="shared" si="4"/>
        <v/>
      </c>
      <c r="AA19" s="195" t="str">
        <v/>
      </c>
      <c r="AB19" s="205" t="str">
        <v/>
      </c>
      <c r="AC19" s="213"/>
      <c r="AD19" s="197" t="str">
        <f t="shared" si="15"/>
        <v/>
      </c>
      <c r="AE19" s="203">
        <v>10</v>
      </c>
      <c r="AF19" s="195"/>
      <c r="AG19" s="195"/>
      <c r="AH19" s="205"/>
      <c r="AI19" s="213"/>
      <c r="AJ19" s="197" t="str">
        <f t="shared" si="16"/>
        <v/>
      </c>
      <c r="AK19" s="203">
        <v>10</v>
      </c>
      <c r="AL19" s="198" t="str">
        <f t="shared" si="5"/>
        <v xml:space="preserve">ED10 </v>
      </c>
      <c r="AM19" s="195" t="str">
        <v>ED10  COMB Comdty</v>
      </c>
      <c r="AN19" s="196">
        <v>96.975000000000009</v>
      </c>
      <c r="AO19" s="254"/>
      <c r="AP19" s="256">
        <f t="shared" si="17"/>
        <v>96.975000000000009</v>
      </c>
      <c r="AQ19" s="203">
        <v>10</v>
      </c>
      <c r="AR19" s="195" t="str">
        <f t="shared" si="6"/>
        <v>40Y</v>
      </c>
      <c r="AS19" s="195" t="str">
        <v>USSWAP40 BGN Curncy</v>
      </c>
      <c r="AT19" s="205">
        <v>2.9590000000000001</v>
      </c>
      <c r="AU19" s="213"/>
      <c r="AV19" s="197">
        <f t="shared" si="18"/>
        <v>2.9590000000000002E-2</v>
      </c>
      <c r="AW19" s="203">
        <v>10</v>
      </c>
      <c r="AX19" s="195" t="str">
        <f t="shared" si="7"/>
        <v>10Y</v>
      </c>
      <c r="AY19" s="195" t="str">
        <v>USBC10 ICPL Curncy</v>
      </c>
      <c r="AZ19" s="205">
        <v>14.25</v>
      </c>
      <c r="BA19" s="242"/>
      <c r="BB19" s="197">
        <f t="shared" si="19"/>
        <v>1.4250000000000001E-3</v>
      </c>
      <c r="BC19" s="203">
        <v>10</v>
      </c>
      <c r="BD19" s="195" t="str">
        <f t="shared" si="8"/>
        <v>10Y</v>
      </c>
      <c r="BE19" s="195" t="str">
        <v>USBA10 CMPN Curncy</v>
      </c>
      <c r="BF19" s="205">
        <v>8.8000000000000007</v>
      </c>
      <c r="BG19" s="242"/>
      <c r="BH19" s="197">
        <f t="shared" si="20"/>
        <v>8.8000000000000003E-4</v>
      </c>
      <c r="BI19" s="203">
        <v>10</v>
      </c>
      <c r="BJ19" s="195" t="str">
        <f t="shared" si="9"/>
        <v>20Y</v>
      </c>
      <c r="BK19" s="195" t="str">
        <v>USBL20 PREB Curncy</v>
      </c>
      <c r="BL19" s="205">
        <v>29</v>
      </c>
      <c r="BM19" s="242"/>
      <c r="BN19" s="197">
        <f t="shared" si="21"/>
        <v>2.8999999999999998E-3</v>
      </c>
      <c r="BO19" s="203">
        <v>10</v>
      </c>
      <c r="BP19" s="195" t="str">
        <f t="shared" si="10"/>
        <v/>
      </c>
      <c r="BQ19" s="195" t="str">
        <v/>
      </c>
      <c r="BR19" s="205" t="str">
        <v/>
      </c>
      <c r="BS19" s="242"/>
      <c r="BT19" s="197" t="str">
        <f t="shared" si="22"/>
        <v/>
      </c>
    </row>
    <row r="20" spans="1:72">
      <c r="A20" s="203">
        <v>11</v>
      </c>
      <c r="B20" s="195" t="str">
        <f t="shared" ca="1" si="0"/>
        <v>15Y</v>
      </c>
      <c r="C20" s="195" t="str">
        <v>USSO15 CMPN Curncy</v>
      </c>
      <c r="D20" s="205">
        <v>2.573</v>
      </c>
      <c r="E20" s="213"/>
      <c r="F20" s="197">
        <f t="shared" si="11"/>
        <v>2.5729999999999999E-2</v>
      </c>
      <c r="G20" s="203">
        <v>11</v>
      </c>
      <c r="H20" s="195" t="str">
        <f t="shared" ca="1" si="1"/>
        <v>25Y</v>
      </c>
      <c r="I20" s="195" t="str">
        <v>USBG25 BGN Curncy</v>
      </c>
      <c r="J20" s="205">
        <v>45.125</v>
      </c>
      <c r="K20" s="242"/>
      <c r="L20" s="197">
        <f t="shared" si="12"/>
        <v>4.5125E-3</v>
      </c>
      <c r="M20" s="203">
        <v>11</v>
      </c>
      <c r="N20" s="195" t="str">
        <f t="shared" ca="1" si="2"/>
        <v>25Y</v>
      </c>
      <c r="O20" s="195" t="str">
        <v>USSWAP25 BGN Curncy</v>
      </c>
      <c r="P20" s="205">
        <v>3.0198999999999998</v>
      </c>
      <c r="Q20" s="213"/>
      <c r="R20" s="197">
        <f t="shared" si="13"/>
        <v>3.0198999999999997E-2</v>
      </c>
      <c r="S20" s="203">
        <v>11</v>
      </c>
      <c r="T20" s="195" t="str">
        <f t="shared" si="3"/>
        <v/>
      </c>
      <c r="U20" s="195" t="str">
        <v/>
      </c>
      <c r="V20" s="205" t="str">
        <v/>
      </c>
      <c r="W20" s="213"/>
      <c r="X20" s="197" t="str">
        <f t="shared" si="14"/>
        <v/>
      </c>
      <c r="Y20" s="203">
        <v>11</v>
      </c>
      <c r="Z20" s="195" t="str">
        <f t="shared" si="4"/>
        <v/>
      </c>
      <c r="AA20" s="195" t="str">
        <v/>
      </c>
      <c r="AB20" s="205" t="str">
        <v/>
      </c>
      <c r="AC20" s="213"/>
      <c r="AD20" s="197" t="str">
        <f t="shared" si="15"/>
        <v/>
      </c>
      <c r="AE20" s="203">
        <v>11</v>
      </c>
      <c r="AF20" s="195"/>
      <c r="AG20" s="195"/>
      <c r="AH20" s="205"/>
      <c r="AI20" s="213"/>
      <c r="AJ20" s="197" t="str">
        <f t="shared" si="16"/>
        <v/>
      </c>
      <c r="AK20" s="203">
        <v>11</v>
      </c>
      <c r="AL20" s="198" t="str">
        <f t="shared" si="5"/>
        <v xml:space="preserve">ED11 </v>
      </c>
      <c r="AM20" s="195" t="str">
        <v>ED11  COMB Comdty</v>
      </c>
      <c r="AN20" s="196">
        <v>96.95</v>
      </c>
      <c r="AO20" s="254"/>
      <c r="AP20" s="256">
        <f t="shared" si="17"/>
        <v>96.95</v>
      </c>
      <c r="AQ20" s="203">
        <v>11</v>
      </c>
      <c r="AR20" s="195" t="str">
        <f t="shared" si="6"/>
        <v/>
      </c>
      <c r="AS20" s="195" t="str">
        <v/>
      </c>
      <c r="AT20" s="205" t="str">
        <v/>
      </c>
      <c r="AU20" s="213"/>
      <c r="AV20" s="197" t="str">
        <f t="shared" si="18"/>
        <v/>
      </c>
      <c r="AW20" s="203">
        <v>11</v>
      </c>
      <c r="AX20" s="195" t="str">
        <f t="shared" si="7"/>
        <v>12Y</v>
      </c>
      <c r="AY20" s="195" t="str">
        <v>USBC12 ICPL Curncy</v>
      </c>
      <c r="AZ20" s="205">
        <v>14.875</v>
      </c>
      <c r="BA20" s="242"/>
      <c r="BB20" s="197">
        <f t="shared" si="19"/>
        <v>1.4875000000000001E-3</v>
      </c>
      <c r="BC20" s="203">
        <v>11</v>
      </c>
      <c r="BD20" s="195" t="str">
        <f t="shared" si="8"/>
        <v>12Y</v>
      </c>
      <c r="BE20" s="195" t="str">
        <v>USBA12 CMPN Curncy</v>
      </c>
      <c r="BF20" s="205">
        <v>8</v>
      </c>
      <c r="BG20" s="242"/>
      <c r="BH20" s="197">
        <f t="shared" si="20"/>
        <v>8.0000000000000004E-4</v>
      </c>
      <c r="BI20" s="203">
        <v>11</v>
      </c>
      <c r="BJ20" s="195" t="str">
        <f t="shared" si="9"/>
        <v>25Y</v>
      </c>
      <c r="BK20" s="195" t="str">
        <v>USBL25 PREB Curncy</v>
      </c>
      <c r="BL20" s="205">
        <v>29.625</v>
      </c>
      <c r="BM20" s="242"/>
      <c r="BN20" s="197">
        <f t="shared" si="21"/>
        <v>2.9624999999999999E-3</v>
      </c>
      <c r="BO20" s="203">
        <v>11</v>
      </c>
      <c r="BP20" s="195" t="str">
        <f t="shared" si="10"/>
        <v/>
      </c>
      <c r="BQ20" s="195" t="str">
        <v/>
      </c>
      <c r="BR20" s="205" t="str">
        <v/>
      </c>
      <c r="BS20" s="242"/>
      <c r="BT20" s="197" t="str">
        <f t="shared" si="22"/>
        <v/>
      </c>
    </row>
    <row r="21" spans="1:72">
      <c r="A21" s="203">
        <v>12</v>
      </c>
      <c r="B21" s="195" t="str">
        <f t="shared" ca="1" si="0"/>
        <v>20Y</v>
      </c>
      <c r="C21" s="195" t="str">
        <v>USSO20 CMPN Curncy</v>
      </c>
      <c r="D21" s="205">
        <v>2.5670000000000002</v>
      </c>
      <c r="E21" s="213"/>
      <c r="F21" s="197">
        <f t="shared" si="11"/>
        <v>2.5670000000000002E-2</v>
      </c>
      <c r="G21" s="203">
        <v>12</v>
      </c>
      <c r="H21" s="195" t="str">
        <f t="shared" ca="1" si="1"/>
        <v>30Y</v>
      </c>
      <c r="I21" s="195" t="str">
        <v>USBG30 BGN Curncy</v>
      </c>
      <c r="J21" s="205">
        <v>45.5</v>
      </c>
      <c r="K21" s="242"/>
      <c r="L21" s="197">
        <f t="shared" si="12"/>
        <v>4.5500000000000002E-3</v>
      </c>
      <c r="M21" s="203">
        <v>12</v>
      </c>
      <c r="N21" s="195" t="str">
        <f t="shared" ca="1" si="2"/>
        <v>30Y</v>
      </c>
      <c r="O21" s="195" t="str">
        <v>USSWAP30 BGN Curncy</v>
      </c>
      <c r="P21" s="205">
        <v>2.9990000000000001</v>
      </c>
      <c r="Q21" s="213"/>
      <c r="R21" s="197">
        <f t="shared" si="13"/>
        <v>2.9990000000000003E-2</v>
      </c>
      <c r="S21" s="203">
        <v>12</v>
      </c>
      <c r="T21" s="195" t="str">
        <f t="shared" si="3"/>
        <v/>
      </c>
      <c r="U21" s="195" t="str">
        <v/>
      </c>
      <c r="V21" s="205" t="str">
        <v/>
      </c>
      <c r="W21" s="213"/>
      <c r="X21" s="197" t="str">
        <f t="shared" si="14"/>
        <v/>
      </c>
      <c r="Y21" s="203">
        <v>12</v>
      </c>
      <c r="Z21" s="195" t="str">
        <f t="shared" si="4"/>
        <v/>
      </c>
      <c r="AA21" s="195" t="str">
        <v/>
      </c>
      <c r="AB21" s="205" t="str">
        <v/>
      </c>
      <c r="AC21" s="213"/>
      <c r="AD21" s="197" t="str">
        <f t="shared" si="15"/>
        <v/>
      </c>
      <c r="AE21" s="203">
        <v>12</v>
      </c>
      <c r="AF21" s="195"/>
      <c r="AG21" s="195"/>
      <c r="AH21" s="205"/>
      <c r="AI21" s="213"/>
      <c r="AJ21" s="197" t="str">
        <f t="shared" si="16"/>
        <v/>
      </c>
      <c r="AK21" s="203">
        <v>12</v>
      </c>
      <c r="AL21" s="198" t="str">
        <f t="shared" si="5"/>
        <v xml:space="preserve">ED12 </v>
      </c>
      <c r="AM21" s="195" t="str">
        <v>ED12  COMB Comdty</v>
      </c>
      <c r="AN21" s="196">
        <v>96.95</v>
      </c>
      <c r="AO21" s="254"/>
      <c r="AP21" s="256">
        <f t="shared" si="17"/>
        <v>96.95</v>
      </c>
      <c r="AQ21" s="203">
        <v>12</v>
      </c>
      <c r="AR21" s="195" t="str">
        <f t="shared" si="6"/>
        <v/>
      </c>
      <c r="AS21" s="195" t="str">
        <v/>
      </c>
      <c r="AT21" s="205" t="str">
        <v/>
      </c>
      <c r="AU21" s="213"/>
      <c r="AV21" s="197" t="str">
        <f t="shared" si="18"/>
        <v/>
      </c>
      <c r="AW21" s="203">
        <v>12</v>
      </c>
      <c r="AX21" s="195" t="str">
        <f t="shared" si="7"/>
        <v>15Y</v>
      </c>
      <c r="AY21" s="195" t="str">
        <v>USBC15 ICPL Curncy</v>
      </c>
      <c r="AZ21" s="205">
        <v>15.25</v>
      </c>
      <c r="BA21" s="242"/>
      <c r="BB21" s="197">
        <f t="shared" si="19"/>
        <v>1.5250000000000001E-3</v>
      </c>
      <c r="BC21" s="203">
        <v>12</v>
      </c>
      <c r="BD21" s="195" t="str">
        <f t="shared" si="8"/>
        <v>15Y</v>
      </c>
      <c r="BE21" s="195" t="str">
        <v>USBA15 CMPN Curncy</v>
      </c>
      <c r="BF21" s="205">
        <v>7.875</v>
      </c>
      <c r="BG21" s="242"/>
      <c r="BH21" s="197">
        <f t="shared" si="20"/>
        <v>7.8750000000000001E-4</v>
      </c>
      <c r="BI21" s="203">
        <v>12</v>
      </c>
      <c r="BJ21" s="195" t="str">
        <f t="shared" si="9"/>
        <v>30Y</v>
      </c>
      <c r="BK21" s="195" t="str">
        <v>USBL30 PREB Curncy</v>
      </c>
      <c r="BL21" s="205">
        <v>30</v>
      </c>
      <c r="BM21" s="242"/>
      <c r="BN21" s="197">
        <f t="shared" si="21"/>
        <v>3.0000000000000001E-3</v>
      </c>
      <c r="BO21" s="203">
        <v>12</v>
      </c>
      <c r="BP21" s="195" t="str">
        <f t="shared" si="10"/>
        <v/>
      </c>
      <c r="BQ21" s="195" t="str">
        <v/>
      </c>
      <c r="BR21" s="205" t="str">
        <v/>
      </c>
      <c r="BS21" s="242"/>
      <c r="BT21" s="197" t="str">
        <f t="shared" si="22"/>
        <v/>
      </c>
    </row>
    <row r="22" spans="1:72">
      <c r="A22" s="203">
        <v>13</v>
      </c>
      <c r="B22" s="195" t="str">
        <f t="shared" ca="1" si="0"/>
        <v>25Y</v>
      </c>
      <c r="C22" s="195" t="str">
        <v>USSO25 CMPN Curncy</v>
      </c>
      <c r="D22" s="205">
        <v>2.5609999999999999</v>
      </c>
      <c r="E22" s="213"/>
      <c r="F22" s="197">
        <f t="shared" si="11"/>
        <v>2.5610000000000001E-2</v>
      </c>
      <c r="G22" s="203">
        <v>13</v>
      </c>
      <c r="H22" s="195" t="str">
        <f t="shared" si="1"/>
        <v/>
      </c>
      <c r="I22" s="195" t="str">
        <v/>
      </c>
      <c r="J22" s="205" t="str">
        <v/>
      </c>
      <c r="K22" s="242"/>
      <c r="L22" s="197" t="str">
        <f t="shared" si="12"/>
        <v/>
      </c>
      <c r="M22" s="203">
        <v>13</v>
      </c>
      <c r="N22" s="195" t="str">
        <f t="shared" si="2"/>
        <v/>
      </c>
      <c r="O22" s="195" t="str">
        <v/>
      </c>
      <c r="P22" s="205" t="str">
        <v/>
      </c>
      <c r="Q22" s="213"/>
      <c r="R22" s="197" t="str">
        <f t="shared" si="13"/>
        <v/>
      </c>
      <c r="S22" s="203">
        <v>13</v>
      </c>
      <c r="T22" s="195" t="str">
        <f t="shared" si="3"/>
        <v/>
      </c>
      <c r="U22" s="195" t="str">
        <v/>
      </c>
      <c r="V22" s="205" t="str">
        <v/>
      </c>
      <c r="W22" s="213"/>
      <c r="X22" s="197" t="str">
        <f t="shared" si="14"/>
        <v/>
      </c>
      <c r="Y22" s="203">
        <v>13</v>
      </c>
      <c r="Z22" s="195" t="str">
        <f t="shared" si="4"/>
        <v/>
      </c>
      <c r="AA22" s="195" t="str">
        <v/>
      </c>
      <c r="AB22" s="205" t="str">
        <v/>
      </c>
      <c r="AC22" s="213"/>
      <c r="AD22" s="197" t="str">
        <f t="shared" si="15"/>
        <v/>
      </c>
      <c r="AE22" s="203">
        <v>13</v>
      </c>
      <c r="AF22" s="195"/>
      <c r="AG22" s="195"/>
      <c r="AH22" s="205"/>
      <c r="AI22" s="213"/>
      <c r="AJ22" s="197" t="str">
        <f t="shared" si="16"/>
        <v/>
      </c>
      <c r="AK22" s="203">
        <v>13</v>
      </c>
      <c r="AL22" s="198" t="str">
        <f t="shared" si="5"/>
        <v/>
      </c>
      <c r="AM22" s="195" t="str">
        <v/>
      </c>
      <c r="AN22" s="196" t="str">
        <v/>
      </c>
      <c r="AO22" s="254"/>
      <c r="AP22" s="256" t="str">
        <f t="shared" si="17"/>
        <v/>
      </c>
      <c r="AQ22" s="203">
        <v>13</v>
      </c>
      <c r="AR22" s="195" t="str">
        <f t="shared" si="6"/>
        <v/>
      </c>
      <c r="AS22" s="195" t="str">
        <v/>
      </c>
      <c r="AT22" s="205" t="str">
        <v/>
      </c>
      <c r="AU22" s="213"/>
      <c r="AV22" s="197" t="str">
        <f t="shared" si="18"/>
        <v/>
      </c>
      <c r="AW22" s="203">
        <v>13</v>
      </c>
      <c r="AX22" s="195" t="str">
        <f t="shared" si="7"/>
        <v>20Y</v>
      </c>
      <c r="AY22" s="195" t="str">
        <v>USBC20 ICPL Curncy</v>
      </c>
      <c r="AZ22" s="205">
        <v>15.125</v>
      </c>
      <c r="BA22" s="242"/>
      <c r="BB22" s="197">
        <f t="shared" si="19"/>
        <v>1.5125E-3</v>
      </c>
      <c r="BC22" s="203">
        <v>13</v>
      </c>
      <c r="BD22" s="195" t="str">
        <f t="shared" si="8"/>
        <v>20Y</v>
      </c>
      <c r="BE22" s="195" t="str">
        <v>USBA20 CMPN Curncy</v>
      </c>
      <c r="BF22" s="205">
        <v>8.75</v>
      </c>
      <c r="BG22" s="242"/>
      <c r="BH22" s="197">
        <f t="shared" si="20"/>
        <v>8.7500000000000002E-4</v>
      </c>
      <c r="BI22" s="203">
        <v>13</v>
      </c>
      <c r="BJ22" s="195" t="str">
        <f t="shared" si="9"/>
        <v/>
      </c>
      <c r="BK22" s="195" t="str">
        <v/>
      </c>
      <c r="BL22" s="205" t="str">
        <v/>
      </c>
      <c r="BM22" s="242"/>
      <c r="BN22" s="197" t="str">
        <f t="shared" si="21"/>
        <v/>
      </c>
      <c r="BO22" s="203">
        <v>13</v>
      </c>
      <c r="BP22" s="195" t="str">
        <f t="shared" si="10"/>
        <v/>
      </c>
      <c r="BQ22" s="195" t="str">
        <v/>
      </c>
      <c r="BR22" s="205" t="str">
        <v/>
      </c>
      <c r="BS22" s="242"/>
      <c r="BT22" s="197" t="str">
        <f t="shared" si="22"/>
        <v/>
      </c>
    </row>
    <row r="23" spans="1:72">
      <c r="A23" s="203">
        <v>14</v>
      </c>
      <c r="B23" s="195" t="str">
        <f t="shared" ca="1" si="0"/>
        <v>30Y</v>
      </c>
      <c r="C23" s="195" t="str">
        <v>USSO30 CMPN Curncy</v>
      </c>
      <c r="D23" s="205">
        <v>2.5310000000000001</v>
      </c>
      <c r="E23" s="213"/>
      <c r="F23" s="197">
        <f t="shared" si="11"/>
        <v>2.5310000000000003E-2</v>
      </c>
      <c r="G23" s="203">
        <v>14</v>
      </c>
      <c r="H23" s="195" t="str">
        <f t="shared" si="1"/>
        <v/>
      </c>
      <c r="I23" s="195" t="str">
        <v/>
      </c>
      <c r="J23" s="205" t="str">
        <v/>
      </c>
      <c r="K23" s="242"/>
      <c r="L23" s="197" t="str">
        <f t="shared" si="12"/>
        <v/>
      </c>
      <c r="M23" s="203">
        <v>14</v>
      </c>
      <c r="N23" s="195" t="str">
        <f t="shared" si="2"/>
        <v/>
      </c>
      <c r="O23" s="195" t="str">
        <v/>
      </c>
      <c r="P23" s="205" t="str">
        <v/>
      </c>
      <c r="Q23" s="213"/>
      <c r="R23" s="197" t="str">
        <f t="shared" si="13"/>
        <v/>
      </c>
      <c r="S23" s="203">
        <v>14</v>
      </c>
      <c r="T23" s="195" t="str">
        <f t="shared" si="3"/>
        <v/>
      </c>
      <c r="U23" s="195" t="str">
        <v/>
      </c>
      <c r="V23" s="205" t="str">
        <v/>
      </c>
      <c r="W23" s="213"/>
      <c r="X23" s="197" t="str">
        <f t="shared" si="14"/>
        <v/>
      </c>
      <c r="Y23" s="203">
        <v>14</v>
      </c>
      <c r="Z23" s="195" t="str">
        <f t="shared" si="4"/>
        <v/>
      </c>
      <c r="AA23" s="195" t="str">
        <v/>
      </c>
      <c r="AB23" s="205" t="str">
        <v/>
      </c>
      <c r="AC23" s="213"/>
      <c r="AD23" s="197" t="str">
        <f t="shared" si="15"/>
        <v/>
      </c>
      <c r="AE23" s="203">
        <v>14</v>
      </c>
      <c r="AF23" s="195"/>
      <c r="AG23" s="195"/>
      <c r="AH23" s="205"/>
      <c r="AI23" s="213"/>
      <c r="AJ23" s="197" t="str">
        <f t="shared" si="16"/>
        <v/>
      </c>
      <c r="AK23" s="203">
        <v>14</v>
      </c>
      <c r="AL23" s="198" t="str">
        <f t="shared" si="5"/>
        <v/>
      </c>
      <c r="AM23" s="195" t="str">
        <v/>
      </c>
      <c r="AN23" s="196" t="str">
        <v/>
      </c>
      <c r="AO23" s="254"/>
      <c r="AP23" s="256" t="str">
        <f t="shared" si="17"/>
        <v/>
      </c>
      <c r="AQ23" s="203">
        <v>14</v>
      </c>
      <c r="AR23" s="195" t="str">
        <f t="shared" si="6"/>
        <v/>
      </c>
      <c r="AS23" s="195" t="str">
        <v/>
      </c>
      <c r="AT23" s="205" t="str">
        <v/>
      </c>
      <c r="AU23" s="213"/>
      <c r="AV23" s="197" t="str">
        <f t="shared" si="18"/>
        <v/>
      </c>
      <c r="AW23" s="203">
        <v>14</v>
      </c>
      <c r="AX23" s="195" t="str">
        <f t="shared" si="7"/>
        <v>25Y</v>
      </c>
      <c r="AY23" s="195" t="str">
        <v>USBC25 ICPL Curncy</v>
      </c>
      <c r="AZ23" s="205">
        <v>14.5</v>
      </c>
      <c r="BA23" s="242"/>
      <c r="BB23" s="197">
        <f t="shared" si="19"/>
        <v>1.4499999999999999E-3</v>
      </c>
      <c r="BC23" s="203">
        <v>14</v>
      </c>
      <c r="BD23" s="195" t="str">
        <f t="shared" si="8"/>
        <v>25Y</v>
      </c>
      <c r="BE23" s="195" t="str">
        <v>USBA25 CMPN Curncy</v>
      </c>
      <c r="BF23" s="205">
        <v>9.75</v>
      </c>
      <c r="BG23" s="242"/>
      <c r="BH23" s="197">
        <f t="shared" si="20"/>
        <v>9.7499999999999996E-4</v>
      </c>
      <c r="BI23" s="203">
        <v>14</v>
      </c>
      <c r="BJ23" s="195" t="str">
        <f t="shared" si="9"/>
        <v/>
      </c>
      <c r="BK23" s="195" t="str">
        <v/>
      </c>
      <c r="BL23" s="205" t="str">
        <v/>
      </c>
      <c r="BM23" s="242"/>
      <c r="BN23" s="197" t="str">
        <f t="shared" si="21"/>
        <v/>
      </c>
      <c r="BO23" s="203">
        <v>14</v>
      </c>
      <c r="BP23" s="195" t="str">
        <f t="shared" si="10"/>
        <v/>
      </c>
      <c r="BQ23" s="195" t="str">
        <v/>
      </c>
      <c r="BR23" s="205" t="str">
        <v/>
      </c>
      <c r="BS23" s="242"/>
      <c r="BT23" s="197" t="str">
        <f t="shared" si="22"/>
        <v/>
      </c>
    </row>
    <row r="24" spans="1:72">
      <c r="A24" s="203">
        <v>15</v>
      </c>
      <c r="B24" s="195" t="str">
        <f t="shared" si="0"/>
        <v/>
      </c>
      <c r="C24" s="195" t="str">
        <v/>
      </c>
      <c r="D24" s="205" t="str">
        <v/>
      </c>
      <c r="E24" s="213"/>
      <c r="F24" s="197" t="str">
        <f t="shared" si="11"/>
        <v/>
      </c>
      <c r="G24" s="203">
        <v>15</v>
      </c>
      <c r="H24" s="195" t="str">
        <f t="shared" si="1"/>
        <v/>
      </c>
      <c r="I24" s="195" t="str">
        <v/>
      </c>
      <c r="J24" s="205" t="str">
        <v/>
      </c>
      <c r="K24" s="242"/>
      <c r="L24" s="197" t="str">
        <f t="shared" si="12"/>
        <v/>
      </c>
      <c r="M24" s="203">
        <v>15</v>
      </c>
      <c r="N24" s="195" t="str">
        <f t="shared" si="2"/>
        <v/>
      </c>
      <c r="O24" s="195" t="str">
        <v/>
      </c>
      <c r="P24" s="205" t="str">
        <v/>
      </c>
      <c r="Q24" s="213"/>
      <c r="R24" s="197" t="str">
        <f t="shared" si="13"/>
        <v/>
      </c>
      <c r="S24" s="203">
        <v>15</v>
      </c>
      <c r="T24" s="195" t="str">
        <f t="shared" si="3"/>
        <v/>
      </c>
      <c r="U24" s="195" t="str">
        <v/>
      </c>
      <c r="V24" s="205" t="str">
        <v/>
      </c>
      <c r="W24" s="213"/>
      <c r="X24" s="197" t="str">
        <f t="shared" si="14"/>
        <v/>
      </c>
      <c r="Y24" s="203">
        <v>15</v>
      </c>
      <c r="Z24" s="195" t="str">
        <f t="shared" si="4"/>
        <v/>
      </c>
      <c r="AA24" s="195" t="str">
        <v/>
      </c>
      <c r="AB24" s="205" t="str">
        <v/>
      </c>
      <c r="AC24" s="213"/>
      <c r="AD24" s="197" t="str">
        <f t="shared" si="15"/>
        <v/>
      </c>
      <c r="AE24" s="203">
        <v>15</v>
      </c>
      <c r="AF24" s="195"/>
      <c r="AG24" s="195"/>
      <c r="AH24" s="205"/>
      <c r="AI24" s="213"/>
      <c r="AJ24" s="197" t="str">
        <f t="shared" si="16"/>
        <v/>
      </c>
      <c r="AK24" s="203">
        <v>15</v>
      </c>
      <c r="AL24" s="198" t="str">
        <f t="shared" si="5"/>
        <v/>
      </c>
      <c r="AM24" s="195" t="str">
        <v/>
      </c>
      <c r="AN24" s="196" t="str">
        <v/>
      </c>
      <c r="AO24" s="254"/>
      <c r="AP24" s="256" t="str">
        <f t="shared" si="17"/>
        <v/>
      </c>
      <c r="AQ24" s="203">
        <v>15</v>
      </c>
      <c r="AR24" s="195" t="str">
        <f t="shared" si="6"/>
        <v/>
      </c>
      <c r="AS24" s="195" t="str">
        <v/>
      </c>
      <c r="AT24" s="205" t="str">
        <v/>
      </c>
      <c r="AU24" s="213"/>
      <c r="AV24" s="197" t="str">
        <f t="shared" si="18"/>
        <v/>
      </c>
      <c r="AW24" s="203">
        <v>15</v>
      </c>
      <c r="AX24" s="195" t="str">
        <f t="shared" si="7"/>
        <v>30Y</v>
      </c>
      <c r="AY24" s="195" t="str">
        <v>USBC30 ICPL Curncy</v>
      </c>
      <c r="AZ24" s="205">
        <v>13.875</v>
      </c>
      <c r="BA24" s="242"/>
      <c r="BB24" s="197">
        <f t="shared" si="19"/>
        <v>1.3875000000000001E-3</v>
      </c>
      <c r="BC24" s="203">
        <v>15</v>
      </c>
      <c r="BD24" s="195" t="str">
        <f t="shared" si="8"/>
        <v>30Y</v>
      </c>
      <c r="BE24" s="195" t="str">
        <v>USBA30 CMPN Curncy</v>
      </c>
      <c r="BF24" s="205">
        <v>10.75</v>
      </c>
      <c r="BG24" s="242"/>
      <c r="BH24" s="197">
        <f t="shared" si="20"/>
        <v>1.075E-3</v>
      </c>
      <c r="BI24" s="203">
        <v>15</v>
      </c>
      <c r="BJ24" s="195" t="str">
        <f t="shared" si="9"/>
        <v/>
      </c>
      <c r="BK24" s="195" t="str">
        <v/>
      </c>
      <c r="BL24" s="205" t="str">
        <v/>
      </c>
      <c r="BM24" s="242"/>
      <c r="BN24" s="197" t="str">
        <f t="shared" si="21"/>
        <v/>
      </c>
      <c r="BO24" s="203">
        <v>15</v>
      </c>
      <c r="BP24" s="195" t="str">
        <f t="shared" si="10"/>
        <v/>
      </c>
      <c r="BQ24" s="195" t="str">
        <v/>
      </c>
      <c r="BR24" s="205" t="str">
        <v/>
      </c>
      <c r="BS24" s="242"/>
      <c r="BT24" s="197" t="str">
        <f t="shared" si="22"/>
        <v/>
      </c>
    </row>
    <row r="25" spans="1:72">
      <c r="A25" s="203">
        <v>16</v>
      </c>
      <c r="B25" s="195" t="str">
        <f t="shared" si="0"/>
        <v/>
      </c>
      <c r="C25" s="195" t="str">
        <v/>
      </c>
      <c r="D25" s="205" t="str">
        <v/>
      </c>
      <c r="E25" s="213"/>
      <c r="F25" s="197" t="str">
        <f t="shared" si="11"/>
        <v/>
      </c>
      <c r="G25" s="203">
        <v>16</v>
      </c>
      <c r="H25" s="195" t="str">
        <f t="shared" si="1"/>
        <v/>
      </c>
      <c r="I25" s="195" t="str">
        <v/>
      </c>
      <c r="J25" s="205" t="str">
        <v/>
      </c>
      <c r="K25" s="242"/>
      <c r="L25" s="197" t="str">
        <f t="shared" si="12"/>
        <v/>
      </c>
      <c r="M25" s="203">
        <v>16</v>
      </c>
      <c r="N25" s="195" t="str">
        <f t="shared" si="2"/>
        <v/>
      </c>
      <c r="O25" s="195" t="str">
        <v/>
      </c>
      <c r="P25" s="205" t="str">
        <v/>
      </c>
      <c r="Q25" s="213"/>
      <c r="R25" s="197" t="str">
        <f t="shared" si="13"/>
        <v/>
      </c>
      <c r="S25" s="203">
        <v>16</v>
      </c>
      <c r="T25" s="195" t="str">
        <f t="shared" si="3"/>
        <v/>
      </c>
      <c r="U25" s="195" t="str">
        <v/>
      </c>
      <c r="V25" s="205" t="str">
        <v/>
      </c>
      <c r="W25" s="213"/>
      <c r="X25" s="197" t="str">
        <f t="shared" si="14"/>
        <v/>
      </c>
      <c r="Y25" s="203">
        <v>16</v>
      </c>
      <c r="Z25" s="195" t="str">
        <f t="shared" si="4"/>
        <v/>
      </c>
      <c r="AA25" s="195" t="str">
        <v/>
      </c>
      <c r="AB25" s="205" t="str">
        <v/>
      </c>
      <c r="AC25" s="213"/>
      <c r="AD25" s="197" t="str">
        <f t="shared" si="15"/>
        <v/>
      </c>
      <c r="AE25" s="203">
        <v>16</v>
      </c>
      <c r="AF25" s="195"/>
      <c r="AG25" s="195"/>
      <c r="AH25" s="205"/>
      <c r="AI25" s="213"/>
      <c r="AJ25" s="197" t="str">
        <f t="shared" si="16"/>
        <v/>
      </c>
      <c r="AK25" s="203">
        <v>16</v>
      </c>
      <c r="AL25" s="198" t="str">
        <f t="shared" si="5"/>
        <v/>
      </c>
      <c r="AM25" s="195" t="str">
        <v/>
      </c>
      <c r="AN25" s="196" t="str">
        <v/>
      </c>
      <c r="AO25" s="254"/>
      <c r="AP25" s="256" t="str">
        <f t="shared" si="17"/>
        <v/>
      </c>
      <c r="AQ25" s="203">
        <v>16</v>
      </c>
      <c r="AR25" s="195" t="str">
        <f t="shared" si="6"/>
        <v/>
      </c>
      <c r="AS25" s="195" t="str">
        <v/>
      </c>
      <c r="AT25" s="205" t="str">
        <v/>
      </c>
      <c r="AU25" s="213"/>
      <c r="AV25" s="197" t="str">
        <f t="shared" si="18"/>
        <v/>
      </c>
      <c r="AW25" s="203">
        <v>16</v>
      </c>
      <c r="AX25" s="195" t="str">
        <f t="shared" si="7"/>
        <v/>
      </c>
      <c r="AY25" s="195" t="str">
        <v/>
      </c>
      <c r="AZ25" s="205" t="str">
        <v/>
      </c>
      <c r="BA25" s="242"/>
      <c r="BB25" s="197" t="str">
        <f t="shared" si="19"/>
        <v/>
      </c>
      <c r="BC25" s="203">
        <v>16</v>
      </c>
      <c r="BD25" s="195" t="str">
        <f t="shared" si="8"/>
        <v/>
      </c>
      <c r="BE25" s="195" t="str">
        <v/>
      </c>
      <c r="BF25" s="205" t="str">
        <v/>
      </c>
      <c r="BG25" s="242"/>
      <c r="BH25" s="197" t="str">
        <f t="shared" si="20"/>
        <v/>
      </c>
      <c r="BI25" s="203">
        <v>16</v>
      </c>
      <c r="BJ25" s="195" t="str">
        <f t="shared" si="9"/>
        <v/>
      </c>
      <c r="BK25" s="195" t="str">
        <v/>
      </c>
      <c r="BL25" s="205" t="str">
        <v/>
      </c>
      <c r="BM25" s="242"/>
      <c r="BN25" s="197" t="str">
        <f t="shared" si="21"/>
        <v/>
      </c>
      <c r="BO25" s="203">
        <v>16</v>
      </c>
      <c r="BP25" s="195" t="str">
        <f t="shared" si="10"/>
        <v/>
      </c>
      <c r="BQ25" s="195" t="str">
        <v/>
      </c>
      <c r="BR25" s="205" t="str">
        <v/>
      </c>
      <c r="BS25" s="242"/>
      <c r="BT25" s="197" t="str">
        <f t="shared" si="22"/>
        <v/>
      </c>
    </row>
    <row r="26" spans="1:72">
      <c r="A26" s="203">
        <v>17</v>
      </c>
      <c r="B26" s="195" t="str">
        <f t="shared" si="0"/>
        <v/>
      </c>
      <c r="C26" s="195" t="str">
        <v/>
      </c>
      <c r="D26" s="205" t="str">
        <v/>
      </c>
      <c r="E26" s="213"/>
      <c r="F26" s="197" t="str">
        <f t="shared" si="11"/>
        <v/>
      </c>
      <c r="G26" s="203">
        <v>17</v>
      </c>
      <c r="H26" s="195" t="str">
        <f t="shared" si="1"/>
        <v/>
      </c>
      <c r="I26" s="195" t="str">
        <v/>
      </c>
      <c r="J26" s="205" t="str">
        <v/>
      </c>
      <c r="K26" s="242"/>
      <c r="L26" s="197" t="str">
        <f t="shared" si="12"/>
        <v/>
      </c>
      <c r="M26" s="203">
        <v>17</v>
      </c>
      <c r="N26" s="195" t="str">
        <f t="shared" si="2"/>
        <v/>
      </c>
      <c r="O26" s="195" t="str">
        <v/>
      </c>
      <c r="P26" s="205" t="str">
        <v/>
      </c>
      <c r="Q26" s="213"/>
      <c r="R26" s="197" t="str">
        <f t="shared" si="13"/>
        <v/>
      </c>
      <c r="S26" s="203">
        <v>17</v>
      </c>
      <c r="T26" s="195" t="str">
        <f t="shared" si="3"/>
        <v/>
      </c>
      <c r="U26" s="195" t="str">
        <v/>
      </c>
      <c r="V26" s="205" t="str">
        <v/>
      </c>
      <c r="W26" s="213"/>
      <c r="X26" s="197" t="str">
        <f t="shared" si="14"/>
        <v/>
      </c>
      <c r="Y26" s="203">
        <v>17</v>
      </c>
      <c r="Z26" s="195" t="str">
        <f t="shared" si="4"/>
        <v/>
      </c>
      <c r="AA26" s="195" t="str">
        <v/>
      </c>
      <c r="AB26" s="205" t="str">
        <v/>
      </c>
      <c r="AC26" s="213"/>
      <c r="AD26" s="197" t="str">
        <f t="shared" si="15"/>
        <v/>
      </c>
      <c r="AE26" s="203">
        <v>17</v>
      </c>
      <c r="AF26" s="195"/>
      <c r="AG26" s="195"/>
      <c r="AH26" s="205"/>
      <c r="AI26" s="213"/>
      <c r="AJ26" s="197" t="str">
        <f t="shared" si="16"/>
        <v/>
      </c>
      <c r="AK26" s="203">
        <v>17</v>
      </c>
      <c r="AL26" s="198" t="str">
        <f t="shared" si="5"/>
        <v/>
      </c>
      <c r="AM26" s="195" t="str">
        <v/>
      </c>
      <c r="AN26" s="196" t="str">
        <v/>
      </c>
      <c r="AO26" s="254"/>
      <c r="AP26" s="256" t="str">
        <f t="shared" si="17"/>
        <v/>
      </c>
      <c r="AQ26" s="203">
        <v>17</v>
      </c>
      <c r="AR26" s="195" t="str">
        <f t="shared" si="6"/>
        <v/>
      </c>
      <c r="AS26" s="195" t="str">
        <v/>
      </c>
      <c r="AT26" s="205" t="str">
        <v/>
      </c>
      <c r="AU26" s="213"/>
      <c r="AV26" s="197" t="str">
        <f t="shared" si="18"/>
        <v/>
      </c>
      <c r="AW26" s="203">
        <v>17</v>
      </c>
      <c r="AX26" s="195" t="str">
        <f t="shared" si="7"/>
        <v/>
      </c>
      <c r="AY26" s="195" t="str">
        <v/>
      </c>
      <c r="AZ26" s="205" t="str">
        <v/>
      </c>
      <c r="BA26" s="242"/>
      <c r="BB26" s="197" t="str">
        <f t="shared" si="19"/>
        <v/>
      </c>
      <c r="BC26" s="203">
        <v>17</v>
      </c>
      <c r="BD26" s="195" t="str">
        <f t="shared" si="8"/>
        <v/>
      </c>
      <c r="BE26" s="195" t="str">
        <v/>
      </c>
      <c r="BF26" s="205" t="str">
        <v/>
      </c>
      <c r="BG26" s="242"/>
      <c r="BH26" s="197" t="str">
        <f t="shared" si="20"/>
        <v/>
      </c>
      <c r="BI26" s="203">
        <v>17</v>
      </c>
      <c r="BJ26" s="195" t="str">
        <f t="shared" si="9"/>
        <v/>
      </c>
      <c r="BK26" s="195" t="str">
        <v/>
      </c>
      <c r="BL26" s="205" t="str">
        <v/>
      </c>
      <c r="BM26" s="242"/>
      <c r="BN26" s="197" t="str">
        <f t="shared" si="21"/>
        <v/>
      </c>
      <c r="BO26" s="203">
        <v>17</v>
      </c>
      <c r="BP26" s="195" t="str">
        <f t="shared" si="10"/>
        <v/>
      </c>
      <c r="BQ26" s="195" t="str">
        <v/>
      </c>
      <c r="BR26" s="205" t="str">
        <v/>
      </c>
      <c r="BS26" s="242"/>
      <c r="BT26" s="197" t="str">
        <f t="shared" si="22"/>
        <v/>
      </c>
    </row>
    <row r="27" spans="1:72">
      <c r="A27" s="203">
        <v>18</v>
      </c>
      <c r="B27" s="195" t="str">
        <f t="shared" si="0"/>
        <v/>
      </c>
      <c r="C27" s="195" t="str">
        <v/>
      </c>
      <c r="D27" s="205" t="str">
        <v/>
      </c>
      <c r="E27" s="213"/>
      <c r="F27" s="197" t="str">
        <f>IF(D27="","",D27/100+E27+F$7)</f>
        <v/>
      </c>
      <c r="G27" s="203">
        <v>18</v>
      </c>
      <c r="H27" s="195" t="str">
        <f t="shared" si="1"/>
        <v/>
      </c>
      <c r="I27" s="195" t="str">
        <v/>
      </c>
      <c r="J27" s="205" t="str">
        <v/>
      </c>
      <c r="K27" s="242"/>
      <c r="L27" s="197" t="str">
        <f t="shared" si="12"/>
        <v/>
      </c>
      <c r="M27" s="203">
        <v>18</v>
      </c>
      <c r="N27" s="195" t="str">
        <f t="shared" si="2"/>
        <v/>
      </c>
      <c r="O27" s="195" t="str">
        <v/>
      </c>
      <c r="P27" s="205" t="str">
        <v/>
      </c>
      <c r="Q27" s="213"/>
      <c r="R27" s="197" t="str">
        <f t="shared" si="13"/>
        <v/>
      </c>
      <c r="S27" s="203">
        <v>18</v>
      </c>
      <c r="T27" s="195" t="str">
        <f t="shared" si="3"/>
        <v/>
      </c>
      <c r="U27" s="195" t="str">
        <v/>
      </c>
      <c r="V27" s="205" t="str">
        <v/>
      </c>
      <c r="W27" s="213"/>
      <c r="X27" s="197" t="str">
        <f t="shared" si="14"/>
        <v/>
      </c>
      <c r="Y27" s="203">
        <v>18</v>
      </c>
      <c r="Z27" s="195" t="str">
        <f t="shared" si="4"/>
        <v/>
      </c>
      <c r="AA27" s="195" t="str">
        <v/>
      </c>
      <c r="AB27" s="205" t="str">
        <v/>
      </c>
      <c r="AC27" s="213"/>
      <c r="AD27" s="197" t="str">
        <f t="shared" si="15"/>
        <v/>
      </c>
      <c r="AE27" s="203">
        <v>18</v>
      </c>
      <c r="AF27" s="195"/>
      <c r="AG27" s="195"/>
      <c r="AH27" s="205"/>
      <c r="AI27" s="213"/>
      <c r="AJ27" s="197" t="str">
        <f t="shared" si="16"/>
        <v/>
      </c>
      <c r="AK27" s="203">
        <v>18</v>
      </c>
      <c r="AL27" s="198" t="str">
        <f t="shared" si="5"/>
        <v/>
      </c>
      <c r="AM27" s="195" t="str">
        <v/>
      </c>
      <c r="AN27" s="196" t="str">
        <v/>
      </c>
      <c r="AO27" s="254"/>
      <c r="AP27" s="256" t="str">
        <f t="shared" si="17"/>
        <v/>
      </c>
      <c r="AQ27" s="203">
        <v>18</v>
      </c>
      <c r="AR27" s="195" t="str">
        <f t="shared" si="6"/>
        <v/>
      </c>
      <c r="AS27" s="195" t="str">
        <v/>
      </c>
      <c r="AT27" s="205" t="str">
        <v/>
      </c>
      <c r="AU27" s="213"/>
      <c r="AV27" s="197" t="str">
        <f t="shared" si="18"/>
        <v/>
      </c>
      <c r="AW27" s="203">
        <v>18</v>
      </c>
      <c r="AX27" s="195" t="str">
        <f t="shared" si="7"/>
        <v/>
      </c>
      <c r="AY27" s="195" t="str">
        <v/>
      </c>
      <c r="AZ27" s="205" t="str">
        <v/>
      </c>
      <c r="BA27" s="242"/>
      <c r="BB27" s="197" t="str">
        <f t="shared" si="19"/>
        <v/>
      </c>
      <c r="BC27" s="203">
        <v>18</v>
      </c>
      <c r="BD27" s="195" t="str">
        <f t="shared" si="8"/>
        <v/>
      </c>
      <c r="BE27" s="195" t="str">
        <v/>
      </c>
      <c r="BF27" s="205" t="str">
        <v/>
      </c>
      <c r="BG27" s="242"/>
      <c r="BH27" s="197" t="str">
        <f t="shared" si="20"/>
        <v/>
      </c>
      <c r="BI27" s="203">
        <v>18</v>
      </c>
      <c r="BJ27" s="195" t="str">
        <f t="shared" si="9"/>
        <v/>
      </c>
      <c r="BK27" s="195" t="str">
        <v/>
      </c>
      <c r="BL27" s="205" t="str">
        <v/>
      </c>
      <c r="BM27" s="242"/>
      <c r="BN27" s="197" t="str">
        <f t="shared" si="21"/>
        <v/>
      </c>
      <c r="BO27" s="203">
        <v>18</v>
      </c>
      <c r="BP27" s="195" t="str">
        <f t="shared" si="10"/>
        <v/>
      </c>
      <c r="BQ27" s="195" t="str">
        <v/>
      </c>
      <c r="BR27" s="205" t="str">
        <v/>
      </c>
      <c r="BS27" s="242"/>
      <c r="BT27" s="197" t="str">
        <f t="shared" si="22"/>
        <v/>
      </c>
    </row>
    <row r="28" spans="1:72">
      <c r="A28" s="203">
        <v>19</v>
      </c>
      <c r="B28" s="195" t="str">
        <f t="shared" si="0"/>
        <v/>
      </c>
      <c r="C28" s="195" t="str">
        <v/>
      </c>
      <c r="D28" s="205" t="str">
        <v/>
      </c>
      <c r="E28" s="213"/>
      <c r="F28" s="197" t="str">
        <f t="shared" si="11"/>
        <v/>
      </c>
      <c r="G28" s="203">
        <v>19</v>
      </c>
      <c r="H28" s="195" t="str">
        <f t="shared" si="1"/>
        <v/>
      </c>
      <c r="I28" s="195" t="str">
        <v/>
      </c>
      <c r="J28" s="205" t="str">
        <v/>
      </c>
      <c r="K28" s="242"/>
      <c r="L28" s="197" t="str">
        <f t="shared" si="12"/>
        <v/>
      </c>
      <c r="M28" s="203">
        <v>19</v>
      </c>
      <c r="N28" s="195" t="str">
        <f t="shared" si="2"/>
        <v/>
      </c>
      <c r="O28" s="195" t="str">
        <v/>
      </c>
      <c r="P28" s="205" t="str">
        <v/>
      </c>
      <c r="Q28" s="213"/>
      <c r="R28" s="197" t="str">
        <f t="shared" si="13"/>
        <v/>
      </c>
      <c r="S28" s="203">
        <v>19</v>
      </c>
      <c r="T28" s="195" t="str">
        <f t="shared" si="3"/>
        <v/>
      </c>
      <c r="U28" s="195" t="str">
        <v/>
      </c>
      <c r="V28" s="205" t="str">
        <v/>
      </c>
      <c r="W28" s="213"/>
      <c r="X28" s="197" t="str">
        <f t="shared" si="14"/>
        <v/>
      </c>
      <c r="Y28" s="203">
        <v>19</v>
      </c>
      <c r="Z28" s="195" t="str">
        <f t="shared" si="4"/>
        <v/>
      </c>
      <c r="AA28" s="195" t="str">
        <v/>
      </c>
      <c r="AB28" s="205" t="str">
        <v/>
      </c>
      <c r="AC28" s="213"/>
      <c r="AD28" s="197" t="str">
        <f t="shared" si="15"/>
        <v/>
      </c>
      <c r="AE28" s="203">
        <v>19</v>
      </c>
      <c r="AF28" s="195"/>
      <c r="AG28" s="195"/>
      <c r="AH28" s="205"/>
      <c r="AI28" s="213"/>
      <c r="AJ28" s="197" t="str">
        <f t="shared" si="16"/>
        <v/>
      </c>
      <c r="AK28" s="203">
        <v>19</v>
      </c>
      <c r="AL28" s="198" t="str">
        <f t="shared" si="5"/>
        <v/>
      </c>
      <c r="AM28" s="195" t="str">
        <v/>
      </c>
      <c r="AN28" s="196" t="str">
        <v/>
      </c>
      <c r="AO28" s="254"/>
      <c r="AP28" s="256" t="str">
        <f t="shared" si="17"/>
        <v/>
      </c>
      <c r="AQ28" s="203">
        <v>19</v>
      </c>
      <c r="AR28" s="195" t="str">
        <f t="shared" si="6"/>
        <v/>
      </c>
      <c r="AS28" s="195" t="str">
        <v/>
      </c>
      <c r="AT28" s="205" t="str">
        <v/>
      </c>
      <c r="AU28" s="213"/>
      <c r="AV28" s="197" t="str">
        <f t="shared" si="18"/>
        <v/>
      </c>
      <c r="AW28" s="203">
        <v>19</v>
      </c>
      <c r="AX28" s="195" t="str">
        <f t="shared" si="7"/>
        <v/>
      </c>
      <c r="AY28" s="195" t="str">
        <v/>
      </c>
      <c r="AZ28" s="205" t="str">
        <v/>
      </c>
      <c r="BA28" s="242"/>
      <c r="BB28" s="197" t="str">
        <f t="shared" si="19"/>
        <v/>
      </c>
      <c r="BC28" s="203">
        <v>19</v>
      </c>
      <c r="BD28" s="195" t="str">
        <f t="shared" si="8"/>
        <v/>
      </c>
      <c r="BE28" s="195" t="str">
        <v/>
      </c>
      <c r="BF28" s="205" t="str">
        <v/>
      </c>
      <c r="BG28" s="242"/>
      <c r="BH28" s="197" t="str">
        <f t="shared" si="20"/>
        <v/>
      </c>
      <c r="BI28" s="203">
        <v>19</v>
      </c>
      <c r="BJ28" s="195" t="str">
        <f t="shared" si="9"/>
        <v/>
      </c>
      <c r="BK28" s="195" t="str">
        <v/>
      </c>
      <c r="BL28" s="205" t="str">
        <v/>
      </c>
      <c r="BM28" s="242"/>
      <c r="BN28" s="197" t="str">
        <f t="shared" si="21"/>
        <v/>
      </c>
      <c r="BO28" s="203">
        <v>19</v>
      </c>
      <c r="BP28" s="195" t="str">
        <f t="shared" si="10"/>
        <v/>
      </c>
      <c r="BQ28" s="195" t="str">
        <v/>
      </c>
      <c r="BR28" s="205" t="str">
        <v/>
      </c>
      <c r="BS28" s="242"/>
      <c r="BT28" s="197" t="str">
        <f t="shared" si="22"/>
        <v/>
      </c>
    </row>
    <row r="29" spans="1:72">
      <c r="A29" s="203">
        <v>20</v>
      </c>
      <c r="B29" s="195" t="str">
        <f t="shared" si="0"/>
        <v/>
      </c>
      <c r="C29" s="195" t="str">
        <v/>
      </c>
      <c r="D29" s="205" t="str">
        <v/>
      </c>
      <c r="E29" s="213"/>
      <c r="F29" s="197" t="str">
        <f t="shared" si="11"/>
        <v/>
      </c>
      <c r="G29" s="203">
        <v>20</v>
      </c>
      <c r="H29" s="195" t="str">
        <f t="shared" si="1"/>
        <v/>
      </c>
      <c r="I29" s="195" t="str">
        <v/>
      </c>
      <c r="J29" s="205" t="str">
        <v/>
      </c>
      <c r="K29" s="242"/>
      <c r="L29" s="197" t="str">
        <f t="shared" si="12"/>
        <v/>
      </c>
      <c r="M29" s="203">
        <v>20</v>
      </c>
      <c r="N29" s="195" t="str">
        <f t="shared" si="2"/>
        <v/>
      </c>
      <c r="O29" s="195" t="str">
        <v/>
      </c>
      <c r="P29" s="205" t="str">
        <v/>
      </c>
      <c r="Q29" s="213"/>
      <c r="R29" s="197" t="str">
        <f t="shared" si="13"/>
        <v/>
      </c>
      <c r="S29" s="203">
        <v>20</v>
      </c>
      <c r="T29" s="195" t="str">
        <f t="shared" si="3"/>
        <v/>
      </c>
      <c r="U29" s="195" t="str">
        <v/>
      </c>
      <c r="V29" s="205" t="str">
        <v/>
      </c>
      <c r="W29" s="213"/>
      <c r="X29" s="197" t="str">
        <f t="shared" si="14"/>
        <v/>
      </c>
      <c r="Y29" s="203">
        <v>20</v>
      </c>
      <c r="Z29" s="195" t="str">
        <f t="shared" si="4"/>
        <v/>
      </c>
      <c r="AA29" s="195" t="str">
        <v/>
      </c>
      <c r="AB29" s="205" t="str">
        <v/>
      </c>
      <c r="AC29" s="213"/>
      <c r="AD29" s="197" t="str">
        <f t="shared" si="15"/>
        <v/>
      </c>
      <c r="AE29" s="203">
        <v>20</v>
      </c>
      <c r="AF29" s="195"/>
      <c r="AG29" s="195"/>
      <c r="AH29" s="205"/>
      <c r="AI29" s="213"/>
      <c r="AJ29" s="197" t="str">
        <f t="shared" si="16"/>
        <v/>
      </c>
      <c r="AK29" s="203">
        <v>20</v>
      </c>
      <c r="AL29" s="198" t="str">
        <f t="shared" si="5"/>
        <v/>
      </c>
      <c r="AM29" s="195" t="str">
        <v/>
      </c>
      <c r="AN29" s="196" t="str">
        <v/>
      </c>
      <c r="AO29" s="254"/>
      <c r="AP29" s="256" t="str">
        <f t="shared" si="17"/>
        <v/>
      </c>
      <c r="AQ29" s="203">
        <v>20</v>
      </c>
      <c r="AR29" s="195" t="str">
        <f t="shared" si="6"/>
        <v/>
      </c>
      <c r="AS29" s="195" t="str">
        <v/>
      </c>
      <c r="AT29" s="205" t="str">
        <v/>
      </c>
      <c r="AU29" s="213"/>
      <c r="AV29" s="197" t="str">
        <f t="shared" si="18"/>
        <v/>
      </c>
      <c r="AW29" s="203">
        <v>20</v>
      </c>
      <c r="AX29" s="195" t="str">
        <f t="shared" si="7"/>
        <v/>
      </c>
      <c r="AY29" s="195" t="str">
        <v/>
      </c>
      <c r="AZ29" s="205" t="str">
        <v/>
      </c>
      <c r="BA29" s="242"/>
      <c r="BB29" s="197" t="str">
        <f t="shared" si="19"/>
        <v/>
      </c>
      <c r="BC29" s="203">
        <v>20</v>
      </c>
      <c r="BD29" s="195" t="str">
        <f t="shared" si="8"/>
        <v/>
      </c>
      <c r="BE29" s="195" t="str">
        <v/>
      </c>
      <c r="BF29" s="205" t="str">
        <v/>
      </c>
      <c r="BG29" s="242"/>
      <c r="BH29" s="197" t="str">
        <f t="shared" si="20"/>
        <v/>
      </c>
      <c r="BI29" s="203">
        <v>20</v>
      </c>
      <c r="BJ29" s="195" t="str">
        <f t="shared" si="9"/>
        <v/>
      </c>
      <c r="BK29" s="195" t="str">
        <v/>
      </c>
      <c r="BL29" s="205" t="str">
        <v/>
      </c>
      <c r="BM29" s="242"/>
      <c r="BN29" s="197" t="str">
        <f t="shared" si="21"/>
        <v/>
      </c>
      <c r="BO29" s="203">
        <v>20</v>
      </c>
      <c r="BP29" s="195" t="str">
        <f t="shared" si="10"/>
        <v/>
      </c>
      <c r="BQ29" s="195" t="str">
        <v/>
      </c>
      <c r="BR29" s="205" t="str">
        <v/>
      </c>
      <c r="BS29" s="242"/>
      <c r="BT29" s="197" t="str">
        <f t="shared" si="22"/>
        <v/>
      </c>
    </row>
    <row r="30" spans="1:72">
      <c r="A30" s="203">
        <v>21</v>
      </c>
      <c r="B30" s="195" t="str">
        <f t="shared" si="0"/>
        <v/>
      </c>
      <c r="C30" s="195" t="str">
        <v/>
      </c>
      <c r="D30" s="205" t="str">
        <v/>
      </c>
      <c r="E30" s="213"/>
      <c r="F30" s="197" t="str">
        <f t="shared" si="11"/>
        <v/>
      </c>
      <c r="G30" s="203">
        <v>21</v>
      </c>
      <c r="H30" s="195" t="str">
        <f t="shared" si="1"/>
        <v/>
      </c>
      <c r="I30" s="195" t="str">
        <v/>
      </c>
      <c r="J30" s="205" t="str">
        <v/>
      </c>
      <c r="K30" s="242"/>
      <c r="L30" s="197" t="str">
        <f t="shared" si="12"/>
        <v/>
      </c>
      <c r="M30" s="203">
        <v>21</v>
      </c>
      <c r="N30" s="195" t="str">
        <f t="shared" si="2"/>
        <v/>
      </c>
      <c r="O30" s="195" t="str">
        <v/>
      </c>
      <c r="P30" s="205" t="str">
        <v/>
      </c>
      <c r="Q30" s="213"/>
      <c r="R30" s="197" t="str">
        <f t="shared" si="13"/>
        <v/>
      </c>
      <c r="S30" s="203">
        <v>21</v>
      </c>
      <c r="T30" s="195" t="str">
        <f t="shared" si="3"/>
        <v/>
      </c>
      <c r="U30" s="195" t="str">
        <v/>
      </c>
      <c r="V30" s="205" t="str">
        <v/>
      </c>
      <c r="W30" s="213"/>
      <c r="X30" s="197" t="str">
        <f t="shared" si="14"/>
        <v/>
      </c>
      <c r="Y30" s="203">
        <v>21</v>
      </c>
      <c r="Z30" s="195" t="str">
        <f t="shared" si="4"/>
        <v/>
      </c>
      <c r="AA30" s="195" t="str">
        <v/>
      </c>
      <c r="AB30" s="205" t="str">
        <v/>
      </c>
      <c r="AC30" s="213"/>
      <c r="AD30" s="197" t="str">
        <f t="shared" si="15"/>
        <v/>
      </c>
      <c r="AE30" s="203">
        <v>21</v>
      </c>
      <c r="AF30" s="195"/>
      <c r="AG30" s="195"/>
      <c r="AH30" s="205"/>
      <c r="AI30" s="213"/>
      <c r="AJ30" s="197" t="str">
        <f t="shared" si="16"/>
        <v/>
      </c>
      <c r="AK30" s="203">
        <v>21</v>
      </c>
      <c r="AL30" s="198" t="str">
        <f t="shared" si="5"/>
        <v/>
      </c>
      <c r="AM30" s="195" t="str">
        <v/>
      </c>
      <c r="AN30" s="196" t="str">
        <v/>
      </c>
      <c r="AO30" s="254"/>
      <c r="AP30" s="256" t="str">
        <f t="shared" si="17"/>
        <v/>
      </c>
      <c r="AQ30" s="203">
        <v>21</v>
      </c>
      <c r="AR30" s="195" t="str">
        <f t="shared" si="6"/>
        <v/>
      </c>
      <c r="AS30" s="195" t="str">
        <v/>
      </c>
      <c r="AT30" s="205" t="str">
        <v/>
      </c>
      <c r="AU30" s="213"/>
      <c r="AV30" s="197" t="str">
        <f t="shared" si="18"/>
        <v/>
      </c>
      <c r="AW30" s="203">
        <v>21</v>
      </c>
      <c r="AX30" s="195" t="str">
        <f t="shared" si="7"/>
        <v/>
      </c>
      <c r="AY30" s="195" t="str">
        <v/>
      </c>
      <c r="AZ30" s="205" t="str">
        <v/>
      </c>
      <c r="BA30" s="242"/>
      <c r="BB30" s="197" t="str">
        <f t="shared" si="19"/>
        <v/>
      </c>
      <c r="BC30" s="203">
        <v>21</v>
      </c>
      <c r="BD30" s="195" t="str">
        <f t="shared" si="8"/>
        <v/>
      </c>
      <c r="BE30" s="195" t="str">
        <v/>
      </c>
      <c r="BF30" s="205" t="str">
        <v/>
      </c>
      <c r="BG30" s="242"/>
      <c r="BH30" s="197" t="str">
        <f t="shared" si="20"/>
        <v/>
      </c>
      <c r="BI30" s="203">
        <v>21</v>
      </c>
      <c r="BJ30" s="195" t="str">
        <f t="shared" si="9"/>
        <v/>
      </c>
      <c r="BK30" s="195" t="str">
        <v/>
      </c>
      <c r="BL30" s="205" t="str">
        <v/>
      </c>
      <c r="BM30" s="242"/>
      <c r="BN30" s="197" t="str">
        <f t="shared" si="21"/>
        <v/>
      </c>
      <c r="BO30" s="203">
        <v>21</v>
      </c>
      <c r="BP30" s="195" t="str">
        <f t="shared" si="10"/>
        <v/>
      </c>
      <c r="BQ30" s="195" t="str">
        <v/>
      </c>
      <c r="BR30" s="205" t="str">
        <v/>
      </c>
      <c r="BS30" s="242"/>
      <c r="BT30" s="197" t="str">
        <f t="shared" si="22"/>
        <v/>
      </c>
    </row>
    <row r="31" spans="1:72">
      <c r="A31" s="203">
        <v>22</v>
      </c>
      <c r="B31" s="195" t="str">
        <f t="shared" si="0"/>
        <v/>
      </c>
      <c r="C31" s="195" t="str">
        <v/>
      </c>
      <c r="D31" s="205" t="str">
        <v/>
      </c>
      <c r="E31" s="213"/>
      <c r="F31" s="197" t="str">
        <f t="shared" si="11"/>
        <v/>
      </c>
      <c r="G31" s="203">
        <v>22</v>
      </c>
      <c r="H31" s="195" t="str">
        <f t="shared" si="1"/>
        <v/>
      </c>
      <c r="I31" s="195" t="str">
        <v/>
      </c>
      <c r="J31" s="205" t="str">
        <v/>
      </c>
      <c r="K31" s="242"/>
      <c r="L31" s="197" t="str">
        <f t="shared" si="12"/>
        <v/>
      </c>
      <c r="M31" s="203">
        <v>22</v>
      </c>
      <c r="N31" s="195" t="str">
        <f t="shared" si="2"/>
        <v/>
      </c>
      <c r="O31" s="195" t="str">
        <v/>
      </c>
      <c r="P31" s="205" t="str">
        <v/>
      </c>
      <c r="Q31" s="213"/>
      <c r="R31" s="197" t="str">
        <f t="shared" si="13"/>
        <v/>
      </c>
      <c r="S31" s="203">
        <v>22</v>
      </c>
      <c r="T31" s="195" t="str">
        <f t="shared" si="3"/>
        <v/>
      </c>
      <c r="U31" s="195" t="str">
        <v/>
      </c>
      <c r="V31" s="205" t="str">
        <v/>
      </c>
      <c r="W31" s="213"/>
      <c r="X31" s="197" t="str">
        <f t="shared" si="14"/>
        <v/>
      </c>
      <c r="Y31" s="203">
        <v>22</v>
      </c>
      <c r="Z31" s="195" t="str">
        <f t="shared" si="4"/>
        <v/>
      </c>
      <c r="AA31" s="195" t="str">
        <v/>
      </c>
      <c r="AB31" s="205" t="str">
        <v/>
      </c>
      <c r="AC31" s="213"/>
      <c r="AD31" s="197" t="str">
        <f t="shared" si="15"/>
        <v/>
      </c>
      <c r="AE31" s="203">
        <v>22</v>
      </c>
      <c r="AF31" s="195"/>
      <c r="AG31" s="195"/>
      <c r="AH31" s="205"/>
      <c r="AI31" s="213"/>
      <c r="AJ31" s="197" t="str">
        <f t="shared" si="16"/>
        <v/>
      </c>
      <c r="AK31" s="203">
        <v>22</v>
      </c>
      <c r="AL31" s="198" t="str">
        <f t="shared" si="5"/>
        <v/>
      </c>
      <c r="AM31" s="195" t="str">
        <v/>
      </c>
      <c r="AN31" s="196" t="str">
        <v/>
      </c>
      <c r="AO31" s="254"/>
      <c r="AP31" s="256" t="str">
        <f t="shared" si="17"/>
        <v/>
      </c>
      <c r="AQ31" s="203">
        <v>22</v>
      </c>
      <c r="AR31" s="195" t="str">
        <f t="shared" si="6"/>
        <v/>
      </c>
      <c r="AS31" s="195" t="str">
        <v/>
      </c>
      <c r="AT31" s="205" t="str">
        <v/>
      </c>
      <c r="AU31" s="213"/>
      <c r="AV31" s="197" t="str">
        <f t="shared" si="18"/>
        <v/>
      </c>
      <c r="AW31" s="203">
        <v>22</v>
      </c>
      <c r="AX31" s="195" t="str">
        <f t="shared" si="7"/>
        <v/>
      </c>
      <c r="AY31" s="195" t="str">
        <v/>
      </c>
      <c r="AZ31" s="205" t="str">
        <v/>
      </c>
      <c r="BA31" s="242"/>
      <c r="BB31" s="197" t="str">
        <f t="shared" si="19"/>
        <v/>
      </c>
      <c r="BC31" s="203">
        <v>22</v>
      </c>
      <c r="BD31" s="195" t="str">
        <f t="shared" si="8"/>
        <v/>
      </c>
      <c r="BE31" s="195" t="str">
        <v/>
      </c>
      <c r="BF31" s="205" t="str">
        <v/>
      </c>
      <c r="BG31" s="242"/>
      <c r="BH31" s="197" t="str">
        <f t="shared" si="20"/>
        <v/>
      </c>
      <c r="BI31" s="203">
        <v>22</v>
      </c>
      <c r="BJ31" s="195" t="str">
        <f t="shared" si="9"/>
        <v/>
      </c>
      <c r="BK31" s="195" t="str">
        <v/>
      </c>
      <c r="BL31" s="205" t="str">
        <v/>
      </c>
      <c r="BM31" s="242"/>
      <c r="BN31" s="197" t="str">
        <f t="shared" si="21"/>
        <v/>
      </c>
      <c r="BO31" s="203">
        <v>22</v>
      </c>
      <c r="BP31" s="195" t="str">
        <f t="shared" si="10"/>
        <v/>
      </c>
      <c r="BQ31" s="195" t="str">
        <v/>
      </c>
      <c r="BR31" s="205" t="str">
        <v/>
      </c>
      <c r="BS31" s="242"/>
      <c r="BT31" s="197" t="str">
        <f t="shared" si="22"/>
        <v/>
      </c>
    </row>
    <row r="32" spans="1:72">
      <c r="A32" s="203">
        <v>23</v>
      </c>
      <c r="B32" s="195" t="str">
        <f t="shared" si="0"/>
        <v/>
      </c>
      <c r="C32" s="195" t="str">
        <v/>
      </c>
      <c r="D32" s="205" t="str">
        <v/>
      </c>
      <c r="E32" s="213"/>
      <c r="F32" s="197" t="str">
        <f t="shared" si="11"/>
        <v/>
      </c>
      <c r="G32" s="203">
        <v>23</v>
      </c>
      <c r="H32" s="195" t="str">
        <f t="shared" si="1"/>
        <v/>
      </c>
      <c r="I32" s="195" t="str">
        <v/>
      </c>
      <c r="J32" s="205" t="str">
        <v/>
      </c>
      <c r="K32" s="242"/>
      <c r="L32" s="197" t="str">
        <f t="shared" si="12"/>
        <v/>
      </c>
      <c r="M32" s="203">
        <v>23</v>
      </c>
      <c r="N32" s="195" t="str">
        <f t="shared" si="2"/>
        <v/>
      </c>
      <c r="O32" s="195" t="str">
        <v/>
      </c>
      <c r="P32" s="205" t="str">
        <v/>
      </c>
      <c r="Q32" s="213"/>
      <c r="R32" s="197" t="str">
        <f t="shared" si="13"/>
        <v/>
      </c>
      <c r="S32" s="203">
        <v>23</v>
      </c>
      <c r="T32" s="195" t="str">
        <f t="shared" si="3"/>
        <v/>
      </c>
      <c r="U32" s="195" t="str">
        <v/>
      </c>
      <c r="V32" s="205" t="str">
        <v/>
      </c>
      <c r="W32" s="213"/>
      <c r="X32" s="197" t="str">
        <f t="shared" si="14"/>
        <v/>
      </c>
      <c r="Y32" s="203">
        <v>23</v>
      </c>
      <c r="Z32" s="195" t="str">
        <f t="shared" si="4"/>
        <v/>
      </c>
      <c r="AA32" s="195" t="str">
        <v/>
      </c>
      <c r="AB32" s="205" t="str">
        <v/>
      </c>
      <c r="AC32" s="213"/>
      <c r="AD32" s="197" t="str">
        <f t="shared" si="15"/>
        <v/>
      </c>
      <c r="AE32" s="203">
        <v>23</v>
      </c>
      <c r="AF32" s="195"/>
      <c r="AG32" s="195"/>
      <c r="AH32" s="205"/>
      <c r="AI32" s="213"/>
      <c r="AJ32" s="197" t="str">
        <f t="shared" si="16"/>
        <v/>
      </c>
      <c r="AK32" s="203">
        <v>23</v>
      </c>
      <c r="AL32" s="198" t="str">
        <f t="shared" si="5"/>
        <v/>
      </c>
      <c r="AM32" s="195" t="str">
        <v/>
      </c>
      <c r="AN32" s="196" t="str">
        <v/>
      </c>
      <c r="AO32" s="254"/>
      <c r="AP32" s="256" t="str">
        <f t="shared" si="17"/>
        <v/>
      </c>
      <c r="AQ32" s="203">
        <v>23</v>
      </c>
      <c r="AR32" s="195" t="str">
        <f t="shared" si="6"/>
        <v/>
      </c>
      <c r="AS32" s="195" t="str">
        <v/>
      </c>
      <c r="AT32" s="205" t="str">
        <v/>
      </c>
      <c r="AU32" s="213"/>
      <c r="AV32" s="197" t="str">
        <f t="shared" si="18"/>
        <v/>
      </c>
      <c r="AW32" s="203">
        <v>23</v>
      </c>
      <c r="AX32" s="195" t="str">
        <f t="shared" si="7"/>
        <v/>
      </c>
      <c r="AY32" s="195" t="str">
        <v/>
      </c>
      <c r="AZ32" s="205" t="str">
        <v/>
      </c>
      <c r="BA32" s="242"/>
      <c r="BB32" s="197" t="str">
        <f t="shared" si="19"/>
        <v/>
      </c>
      <c r="BC32" s="203">
        <v>23</v>
      </c>
      <c r="BD32" s="195" t="str">
        <f t="shared" si="8"/>
        <v/>
      </c>
      <c r="BE32" s="195" t="str">
        <v/>
      </c>
      <c r="BF32" s="205" t="str">
        <v/>
      </c>
      <c r="BG32" s="242"/>
      <c r="BH32" s="197" t="str">
        <f t="shared" si="20"/>
        <v/>
      </c>
      <c r="BI32" s="203">
        <v>23</v>
      </c>
      <c r="BJ32" s="195" t="str">
        <f t="shared" si="9"/>
        <v/>
      </c>
      <c r="BK32" s="195" t="str">
        <v/>
      </c>
      <c r="BL32" s="205" t="str">
        <v/>
      </c>
      <c r="BM32" s="242"/>
      <c r="BN32" s="197" t="str">
        <f t="shared" si="21"/>
        <v/>
      </c>
      <c r="BO32" s="203">
        <v>23</v>
      </c>
      <c r="BP32" s="195" t="str">
        <f t="shared" si="10"/>
        <v/>
      </c>
      <c r="BQ32" s="195" t="str">
        <v/>
      </c>
      <c r="BR32" s="205" t="str">
        <v/>
      </c>
      <c r="BS32" s="242"/>
      <c r="BT32" s="197" t="str">
        <f t="shared" si="22"/>
        <v/>
      </c>
    </row>
    <row r="33" spans="1:72">
      <c r="A33" s="203">
        <v>24</v>
      </c>
      <c r="B33" s="195" t="str">
        <f t="shared" si="0"/>
        <v/>
      </c>
      <c r="C33" s="195" t="str">
        <v/>
      </c>
      <c r="D33" s="205" t="str">
        <v/>
      </c>
      <c r="E33" s="213"/>
      <c r="F33" s="197" t="str">
        <f t="shared" si="11"/>
        <v/>
      </c>
      <c r="G33" s="203">
        <v>24</v>
      </c>
      <c r="H33" s="195" t="str">
        <f t="shared" si="1"/>
        <v/>
      </c>
      <c r="I33" s="195" t="str">
        <v/>
      </c>
      <c r="J33" s="205" t="str">
        <v/>
      </c>
      <c r="K33" s="242"/>
      <c r="L33" s="197" t="str">
        <f t="shared" si="12"/>
        <v/>
      </c>
      <c r="M33" s="203">
        <v>24</v>
      </c>
      <c r="N33" s="195" t="str">
        <f t="shared" si="2"/>
        <v/>
      </c>
      <c r="O33" s="195" t="str">
        <v/>
      </c>
      <c r="P33" s="205" t="str">
        <v/>
      </c>
      <c r="Q33" s="213"/>
      <c r="R33" s="197" t="str">
        <f t="shared" si="13"/>
        <v/>
      </c>
      <c r="S33" s="203">
        <v>24</v>
      </c>
      <c r="T33" s="195" t="str">
        <f t="shared" si="3"/>
        <v/>
      </c>
      <c r="U33" s="195" t="str">
        <v/>
      </c>
      <c r="V33" s="205" t="str">
        <v/>
      </c>
      <c r="W33" s="213"/>
      <c r="X33" s="197" t="str">
        <f t="shared" si="14"/>
        <v/>
      </c>
      <c r="Y33" s="203">
        <v>24</v>
      </c>
      <c r="Z33" s="195" t="str">
        <f t="shared" si="4"/>
        <v/>
      </c>
      <c r="AA33" s="195" t="str">
        <v/>
      </c>
      <c r="AB33" s="205" t="str">
        <v/>
      </c>
      <c r="AC33" s="213"/>
      <c r="AD33" s="197" t="str">
        <f t="shared" si="15"/>
        <v/>
      </c>
      <c r="AE33" s="203">
        <v>24</v>
      </c>
      <c r="AF33" s="195"/>
      <c r="AG33" s="195"/>
      <c r="AH33" s="205"/>
      <c r="AI33" s="213"/>
      <c r="AJ33" s="197" t="str">
        <f t="shared" si="16"/>
        <v/>
      </c>
      <c r="AK33" s="203">
        <v>24</v>
      </c>
      <c r="AL33" s="198" t="str">
        <f t="shared" si="5"/>
        <v/>
      </c>
      <c r="AM33" s="195" t="str">
        <v/>
      </c>
      <c r="AN33" s="196" t="str">
        <v/>
      </c>
      <c r="AO33" s="254"/>
      <c r="AP33" s="256" t="str">
        <f t="shared" si="17"/>
        <v/>
      </c>
      <c r="AQ33" s="203">
        <v>24</v>
      </c>
      <c r="AR33" s="195" t="str">
        <f t="shared" si="6"/>
        <v/>
      </c>
      <c r="AS33" s="195" t="str">
        <v/>
      </c>
      <c r="AT33" s="205" t="str">
        <v/>
      </c>
      <c r="AU33" s="213"/>
      <c r="AV33" s="197" t="str">
        <f t="shared" si="18"/>
        <v/>
      </c>
      <c r="AW33" s="203">
        <v>24</v>
      </c>
      <c r="AX33" s="195" t="str">
        <f t="shared" si="7"/>
        <v/>
      </c>
      <c r="AY33" s="195" t="str">
        <v/>
      </c>
      <c r="AZ33" s="205" t="str">
        <v/>
      </c>
      <c r="BA33" s="242"/>
      <c r="BB33" s="197" t="str">
        <f t="shared" si="19"/>
        <v/>
      </c>
      <c r="BC33" s="203">
        <v>24</v>
      </c>
      <c r="BD33" s="195" t="str">
        <f t="shared" si="8"/>
        <v/>
      </c>
      <c r="BE33" s="195" t="str">
        <v/>
      </c>
      <c r="BF33" s="205" t="str">
        <v/>
      </c>
      <c r="BG33" s="242"/>
      <c r="BH33" s="197" t="str">
        <f t="shared" si="20"/>
        <v/>
      </c>
      <c r="BI33" s="203">
        <v>24</v>
      </c>
      <c r="BJ33" s="195" t="str">
        <f t="shared" si="9"/>
        <v/>
      </c>
      <c r="BK33" s="195" t="str">
        <v/>
      </c>
      <c r="BL33" s="205" t="str">
        <v/>
      </c>
      <c r="BM33" s="242"/>
      <c r="BN33" s="197" t="str">
        <f t="shared" si="21"/>
        <v/>
      </c>
      <c r="BO33" s="203">
        <v>24</v>
      </c>
      <c r="BP33" s="195" t="str">
        <f t="shared" si="10"/>
        <v/>
      </c>
      <c r="BQ33" s="195" t="str">
        <v/>
      </c>
      <c r="BR33" s="205" t="str">
        <v/>
      </c>
      <c r="BS33" s="242"/>
      <c r="BT33" s="197" t="str">
        <f t="shared" si="22"/>
        <v/>
      </c>
    </row>
    <row r="34" spans="1:72">
      <c r="A34" s="203">
        <v>25</v>
      </c>
      <c r="B34" s="195" t="str">
        <f t="shared" si="0"/>
        <v/>
      </c>
      <c r="C34" s="195" t="str">
        <v/>
      </c>
      <c r="D34" s="205" t="str">
        <v/>
      </c>
      <c r="E34" s="213"/>
      <c r="F34" s="197" t="str">
        <f t="shared" si="11"/>
        <v/>
      </c>
      <c r="G34" s="203">
        <v>25</v>
      </c>
      <c r="H34" s="195" t="str">
        <f t="shared" si="1"/>
        <v/>
      </c>
      <c r="I34" s="195" t="str">
        <v/>
      </c>
      <c r="J34" s="205" t="str">
        <v/>
      </c>
      <c r="K34" s="242"/>
      <c r="L34" s="197" t="str">
        <f t="shared" si="12"/>
        <v/>
      </c>
      <c r="M34" s="203">
        <v>25</v>
      </c>
      <c r="N34" s="195" t="str">
        <f t="shared" si="2"/>
        <v/>
      </c>
      <c r="O34" s="195" t="str">
        <v/>
      </c>
      <c r="P34" s="205" t="str">
        <v/>
      </c>
      <c r="Q34" s="213"/>
      <c r="R34" s="197" t="str">
        <f t="shared" si="13"/>
        <v/>
      </c>
      <c r="S34" s="203">
        <v>25</v>
      </c>
      <c r="T34" s="195" t="str">
        <f t="shared" si="3"/>
        <v/>
      </c>
      <c r="U34" s="195" t="str">
        <v/>
      </c>
      <c r="V34" s="205" t="str">
        <v/>
      </c>
      <c r="W34" s="213"/>
      <c r="X34" s="197" t="str">
        <f t="shared" si="14"/>
        <v/>
      </c>
      <c r="Y34" s="203">
        <v>25</v>
      </c>
      <c r="Z34" s="195" t="str">
        <f t="shared" si="4"/>
        <v/>
      </c>
      <c r="AA34" s="195" t="str">
        <v/>
      </c>
      <c r="AB34" s="205" t="str">
        <v/>
      </c>
      <c r="AC34" s="213"/>
      <c r="AD34" s="197" t="str">
        <f t="shared" si="15"/>
        <v/>
      </c>
      <c r="AE34" s="203">
        <v>25</v>
      </c>
      <c r="AF34" s="195"/>
      <c r="AG34" s="195"/>
      <c r="AH34" s="205"/>
      <c r="AI34" s="213"/>
      <c r="AJ34" s="197" t="str">
        <f t="shared" si="16"/>
        <v/>
      </c>
      <c r="AK34" s="203">
        <v>25</v>
      </c>
      <c r="AL34" s="198" t="str">
        <f t="shared" si="5"/>
        <v/>
      </c>
      <c r="AM34" s="195" t="str">
        <v/>
      </c>
      <c r="AN34" s="196" t="str">
        <v/>
      </c>
      <c r="AO34" s="254"/>
      <c r="AP34" s="256" t="str">
        <f t="shared" si="17"/>
        <v/>
      </c>
      <c r="AQ34" s="203">
        <v>25</v>
      </c>
      <c r="AR34" s="195" t="str">
        <f t="shared" si="6"/>
        <v/>
      </c>
      <c r="AS34" s="195" t="str">
        <v/>
      </c>
      <c r="AT34" s="205" t="str">
        <v/>
      </c>
      <c r="AU34" s="213"/>
      <c r="AV34" s="197" t="str">
        <f t="shared" si="18"/>
        <v/>
      </c>
      <c r="AW34" s="203">
        <v>25</v>
      </c>
      <c r="AX34" s="195" t="str">
        <f t="shared" si="7"/>
        <v/>
      </c>
      <c r="AY34" s="195" t="str">
        <v/>
      </c>
      <c r="AZ34" s="205" t="str">
        <v/>
      </c>
      <c r="BA34" s="242"/>
      <c r="BB34" s="197" t="str">
        <f t="shared" si="19"/>
        <v/>
      </c>
      <c r="BC34" s="203">
        <v>25</v>
      </c>
      <c r="BD34" s="195" t="str">
        <f t="shared" si="8"/>
        <v/>
      </c>
      <c r="BE34" s="195" t="str">
        <v/>
      </c>
      <c r="BF34" s="205" t="str">
        <v/>
      </c>
      <c r="BG34" s="242"/>
      <c r="BH34" s="197" t="str">
        <f t="shared" si="20"/>
        <v/>
      </c>
      <c r="BI34" s="203">
        <v>25</v>
      </c>
      <c r="BJ34" s="195" t="str">
        <f t="shared" si="9"/>
        <v/>
      </c>
      <c r="BK34" s="195" t="str">
        <v/>
      </c>
      <c r="BL34" s="205" t="str">
        <v/>
      </c>
      <c r="BM34" s="242"/>
      <c r="BN34" s="197" t="str">
        <f t="shared" si="21"/>
        <v/>
      </c>
      <c r="BO34" s="203">
        <v>25</v>
      </c>
      <c r="BP34" s="195" t="str">
        <f t="shared" si="10"/>
        <v/>
      </c>
      <c r="BQ34" s="195" t="str">
        <v/>
      </c>
      <c r="BR34" s="205" t="str">
        <v/>
      </c>
      <c r="BS34" s="242"/>
      <c r="BT34" s="197" t="str">
        <f t="shared" si="22"/>
        <v/>
      </c>
    </row>
    <row r="35" spans="1:72">
      <c r="A35" s="203">
        <v>26</v>
      </c>
      <c r="B35" s="195" t="str">
        <f t="shared" si="0"/>
        <v/>
      </c>
      <c r="C35" s="195" t="str">
        <v/>
      </c>
      <c r="D35" s="205" t="str">
        <v/>
      </c>
      <c r="E35" s="213"/>
      <c r="F35" s="197" t="str">
        <f t="shared" si="11"/>
        <v/>
      </c>
      <c r="G35" s="203">
        <v>26</v>
      </c>
      <c r="H35" s="195" t="str">
        <f t="shared" si="1"/>
        <v/>
      </c>
      <c r="I35" s="195" t="str">
        <v/>
      </c>
      <c r="J35" s="205" t="str">
        <v/>
      </c>
      <c r="K35" s="242"/>
      <c r="L35" s="197" t="str">
        <f t="shared" si="12"/>
        <v/>
      </c>
      <c r="M35" s="203">
        <v>26</v>
      </c>
      <c r="N35" s="195" t="str">
        <f t="shared" si="2"/>
        <v/>
      </c>
      <c r="O35" s="195" t="str">
        <v/>
      </c>
      <c r="P35" s="205" t="str">
        <v/>
      </c>
      <c r="Q35" s="213"/>
      <c r="R35" s="197" t="str">
        <f t="shared" si="13"/>
        <v/>
      </c>
      <c r="S35" s="203">
        <v>26</v>
      </c>
      <c r="T35" s="195" t="str">
        <f t="shared" si="3"/>
        <v/>
      </c>
      <c r="U35" s="195" t="str">
        <v/>
      </c>
      <c r="V35" s="205" t="str">
        <v/>
      </c>
      <c r="W35" s="213"/>
      <c r="X35" s="197" t="str">
        <f t="shared" si="14"/>
        <v/>
      </c>
      <c r="Y35" s="203">
        <v>26</v>
      </c>
      <c r="Z35" s="195" t="str">
        <f t="shared" si="4"/>
        <v/>
      </c>
      <c r="AA35" s="195" t="str">
        <v/>
      </c>
      <c r="AB35" s="205" t="str">
        <v/>
      </c>
      <c r="AC35" s="213"/>
      <c r="AD35" s="197" t="str">
        <f t="shared" si="15"/>
        <v/>
      </c>
      <c r="AE35" s="203">
        <v>26</v>
      </c>
      <c r="AF35" s="195"/>
      <c r="AG35" s="195"/>
      <c r="AH35" s="205"/>
      <c r="AI35" s="213"/>
      <c r="AJ35" s="197" t="str">
        <f t="shared" si="16"/>
        <v/>
      </c>
      <c r="AK35" s="203">
        <v>26</v>
      </c>
      <c r="AL35" s="198" t="str">
        <f t="shared" si="5"/>
        <v/>
      </c>
      <c r="AM35" s="195" t="str">
        <v/>
      </c>
      <c r="AN35" s="196" t="str">
        <v/>
      </c>
      <c r="AO35" s="254"/>
      <c r="AP35" s="256" t="str">
        <f t="shared" si="17"/>
        <v/>
      </c>
      <c r="AQ35" s="203">
        <v>26</v>
      </c>
      <c r="AR35" s="195" t="str">
        <f t="shared" si="6"/>
        <v/>
      </c>
      <c r="AS35" s="195" t="str">
        <v/>
      </c>
      <c r="AT35" s="205" t="str">
        <v/>
      </c>
      <c r="AU35" s="213"/>
      <c r="AV35" s="197" t="str">
        <f t="shared" si="18"/>
        <v/>
      </c>
      <c r="AW35" s="203">
        <v>26</v>
      </c>
      <c r="AX35" s="195" t="str">
        <f t="shared" si="7"/>
        <v/>
      </c>
      <c r="AY35" s="195" t="str">
        <v/>
      </c>
      <c r="AZ35" s="205" t="str">
        <v/>
      </c>
      <c r="BA35" s="242"/>
      <c r="BB35" s="197" t="str">
        <f t="shared" si="19"/>
        <v/>
      </c>
      <c r="BC35" s="203">
        <v>26</v>
      </c>
      <c r="BD35" s="195" t="str">
        <f t="shared" si="8"/>
        <v/>
      </c>
      <c r="BE35" s="195" t="str">
        <v/>
      </c>
      <c r="BF35" s="205" t="str">
        <v/>
      </c>
      <c r="BG35" s="242"/>
      <c r="BH35" s="197" t="str">
        <f t="shared" si="20"/>
        <v/>
      </c>
      <c r="BI35" s="203">
        <v>26</v>
      </c>
      <c r="BJ35" s="195" t="str">
        <f t="shared" si="9"/>
        <v/>
      </c>
      <c r="BK35" s="195" t="str">
        <v/>
      </c>
      <c r="BL35" s="205" t="str">
        <v/>
      </c>
      <c r="BM35" s="242"/>
      <c r="BN35" s="197" t="str">
        <f t="shared" si="21"/>
        <v/>
      </c>
      <c r="BO35" s="203">
        <v>26</v>
      </c>
      <c r="BP35" s="195" t="str">
        <f t="shared" si="10"/>
        <v/>
      </c>
      <c r="BQ35" s="195" t="str">
        <v/>
      </c>
      <c r="BR35" s="205" t="str">
        <v/>
      </c>
      <c r="BS35" s="242"/>
      <c r="BT35" s="197" t="str">
        <f t="shared" si="22"/>
        <v/>
      </c>
    </row>
    <row r="36" spans="1:72">
      <c r="A36" s="203">
        <v>27</v>
      </c>
      <c r="B36" s="195" t="str">
        <f t="shared" si="0"/>
        <v/>
      </c>
      <c r="C36" s="195" t="str">
        <v/>
      </c>
      <c r="D36" s="205" t="str">
        <v/>
      </c>
      <c r="E36" s="213"/>
      <c r="F36" s="197" t="str">
        <f t="shared" si="11"/>
        <v/>
      </c>
      <c r="G36" s="203">
        <v>27</v>
      </c>
      <c r="H36" s="195" t="str">
        <f t="shared" si="1"/>
        <v/>
      </c>
      <c r="I36" s="195" t="str">
        <v/>
      </c>
      <c r="J36" s="205" t="str">
        <v/>
      </c>
      <c r="K36" s="242"/>
      <c r="L36" s="197" t="str">
        <f t="shared" si="12"/>
        <v/>
      </c>
      <c r="M36" s="203">
        <v>27</v>
      </c>
      <c r="N36" s="195" t="str">
        <f t="shared" si="2"/>
        <v/>
      </c>
      <c r="O36" s="195" t="str">
        <v/>
      </c>
      <c r="P36" s="205" t="str">
        <v/>
      </c>
      <c r="Q36" s="213"/>
      <c r="R36" s="197" t="str">
        <f t="shared" si="13"/>
        <v/>
      </c>
      <c r="S36" s="203">
        <v>27</v>
      </c>
      <c r="T36" s="195" t="str">
        <f t="shared" si="3"/>
        <v/>
      </c>
      <c r="U36" s="195" t="str">
        <v/>
      </c>
      <c r="V36" s="205" t="str">
        <v/>
      </c>
      <c r="W36" s="213"/>
      <c r="X36" s="197" t="str">
        <f t="shared" si="14"/>
        <v/>
      </c>
      <c r="Y36" s="203">
        <v>27</v>
      </c>
      <c r="Z36" s="195" t="str">
        <f t="shared" si="4"/>
        <v/>
      </c>
      <c r="AA36" s="195" t="str">
        <v/>
      </c>
      <c r="AB36" s="205" t="str">
        <v/>
      </c>
      <c r="AC36" s="213"/>
      <c r="AD36" s="197" t="str">
        <f t="shared" si="15"/>
        <v/>
      </c>
      <c r="AE36" s="203">
        <v>27</v>
      </c>
      <c r="AF36" s="195"/>
      <c r="AG36" s="195"/>
      <c r="AH36" s="205"/>
      <c r="AI36" s="213"/>
      <c r="AJ36" s="197" t="str">
        <f t="shared" si="16"/>
        <v/>
      </c>
      <c r="AK36" s="203">
        <v>27</v>
      </c>
      <c r="AL36" s="198" t="str">
        <f t="shared" si="5"/>
        <v/>
      </c>
      <c r="AM36" s="195" t="str">
        <v/>
      </c>
      <c r="AN36" s="196" t="str">
        <v/>
      </c>
      <c r="AO36" s="254"/>
      <c r="AP36" s="256" t="str">
        <f t="shared" si="17"/>
        <v/>
      </c>
      <c r="AQ36" s="203">
        <v>27</v>
      </c>
      <c r="AR36" s="195" t="str">
        <f t="shared" si="6"/>
        <v/>
      </c>
      <c r="AS36" s="195" t="str">
        <v/>
      </c>
      <c r="AT36" s="205" t="str">
        <v/>
      </c>
      <c r="AU36" s="213"/>
      <c r="AV36" s="197" t="str">
        <f t="shared" si="18"/>
        <v/>
      </c>
      <c r="AW36" s="203">
        <v>27</v>
      </c>
      <c r="AX36" s="195" t="str">
        <f t="shared" si="7"/>
        <v/>
      </c>
      <c r="AY36" s="195" t="str">
        <v/>
      </c>
      <c r="AZ36" s="205" t="str">
        <v/>
      </c>
      <c r="BA36" s="242"/>
      <c r="BB36" s="197" t="str">
        <f t="shared" si="19"/>
        <v/>
      </c>
      <c r="BC36" s="203">
        <v>27</v>
      </c>
      <c r="BD36" s="195" t="str">
        <f t="shared" si="8"/>
        <v/>
      </c>
      <c r="BE36" s="195" t="str">
        <v/>
      </c>
      <c r="BF36" s="205" t="str">
        <v/>
      </c>
      <c r="BG36" s="242"/>
      <c r="BH36" s="197" t="str">
        <f t="shared" si="20"/>
        <v/>
      </c>
      <c r="BI36" s="203">
        <v>27</v>
      </c>
      <c r="BJ36" s="195" t="str">
        <f t="shared" si="9"/>
        <v/>
      </c>
      <c r="BK36" s="195" t="str">
        <v/>
      </c>
      <c r="BL36" s="205" t="str">
        <v/>
      </c>
      <c r="BM36" s="242"/>
      <c r="BN36" s="197" t="str">
        <f t="shared" si="21"/>
        <v/>
      </c>
      <c r="BO36" s="203">
        <v>27</v>
      </c>
      <c r="BP36" s="195" t="str">
        <f t="shared" si="10"/>
        <v/>
      </c>
      <c r="BQ36" s="195" t="str">
        <v/>
      </c>
      <c r="BR36" s="205" t="str">
        <v/>
      </c>
      <c r="BS36" s="242"/>
      <c r="BT36" s="197" t="str">
        <f t="shared" si="22"/>
        <v/>
      </c>
    </row>
    <row r="37" spans="1:72">
      <c r="A37" s="203">
        <v>28</v>
      </c>
      <c r="B37" s="195" t="str">
        <f t="shared" si="0"/>
        <v/>
      </c>
      <c r="C37" s="195" t="str">
        <v/>
      </c>
      <c r="D37" s="205" t="str">
        <v/>
      </c>
      <c r="E37" s="213"/>
      <c r="F37" s="197" t="str">
        <f t="shared" si="11"/>
        <v/>
      </c>
      <c r="G37" s="203">
        <v>28</v>
      </c>
      <c r="H37" s="195" t="str">
        <f t="shared" si="1"/>
        <v/>
      </c>
      <c r="I37" s="195" t="str">
        <v/>
      </c>
      <c r="J37" s="205" t="str">
        <v/>
      </c>
      <c r="K37" s="242"/>
      <c r="L37" s="197" t="str">
        <f t="shared" si="12"/>
        <v/>
      </c>
      <c r="M37" s="203">
        <v>28</v>
      </c>
      <c r="N37" s="195" t="str">
        <f t="shared" si="2"/>
        <v/>
      </c>
      <c r="O37" s="195" t="str">
        <v/>
      </c>
      <c r="P37" s="205" t="str">
        <v/>
      </c>
      <c r="Q37" s="213"/>
      <c r="R37" s="197" t="str">
        <f t="shared" si="13"/>
        <v/>
      </c>
      <c r="S37" s="203">
        <v>28</v>
      </c>
      <c r="T37" s="195" t="str">
        <f t="shared" si="3"/>
        <v/>
      </c>
      <c r="U37" s="195" t="str">
        <v/>
      </c>
      <c r="V37" s="205" t="str">
        <v/>
      </c>
      <c r="W37" s="213"/>
      <c r="X37" s="197" t="str">
        <f t="shared" si="14"/>
        <v/>
      </c>
      <c r="Y37" s="203">
        <v>28</v>
      </c>
      <c r="Z37" s="195" t="str">
        <f t="shared" si="4"/>
        <v/>
      </c>
      <c r="AA37" s="195" t="str">
        <v/>
      </c>
      <c r="AB37" s="205" t="str">
        <v/>
      </c>
      <c r="AC37" s="213"/>
      <c r="AD37" s="197" t="str">
        <f t="shared" si="15"/>
        <v/>
      </c>
      <c r="AE37" s="203">
        <v>28</v>
      </c>
      <c r="AF37" s="195"/>
      <c r="AG37" s="195"/>
      <c r="AH37" s="205"/>
      <c r="AI37" s="213"/>
      <c r="AJ37" s="197" t="str">
        <f t="shared" si="16"/>
        <v/>
      </c>
      <c r="AK37" s="203">
        <v>28</v>
      </c>
      <c r="AL37" s="198" t="str">
        <f t="shared" si="5"/>
        <v/>
      </c>
      <c r="AM37" s="195" t="str">
        <v/>
      </c>
      <c r="AN37" s="196" t="str">
        <v/>
      </c>
      <c r="AO37" s="254"/>
      <c r="AP37" s="256" t="str">
        <f t="shared" si="17"/>
        <v/>
      </c>
      <c r="AQ37" s="203">
        <v>28</v>
      </c>
      <c r="AR37" s="195" t="str">
        <f t="shared" si="6"/>
        <v/>
      </c>
      <c r="AS37" s="195" t="str">
        <v/>
      </c>
      <c r="AT37" s="205" t="str">
        <v/>
      </c>
      <c r="AU37" s="213"/>
      <c r="AV37" s="197" t="str">
        <f t="shared" si="18"/>
        <v/>
      </c>
      <c r="AW37" s="203">
        <v>28</v>
      </c>
      <c r="AX37" s="195" t="str">
        <f t="shared" si="7"/>
        <v/>
      </c>
      <c r="AY37" s="195" t="str">
        <v/>
      </c>
      <c r="AZ37" s="205" t="str">
        <v/>
      </c>
      <c r="BA37" s="242"/>
      <c r="BB37" s="197" t="str">
        <f t="shared" si="19"/>
        <v/>
      </c>
      <c r="BC37" s="203">
        <v>28</v>
      </c>
      <c r="BD37" s="195" t="str">
        <f t="shared" si="8"/>
        <v/>
      </c>
      <c r="BE37" s="195" t="str">
        <v/>
      </c>
      <c r="BF37" s="205" t="str">
        <v/>
      </c>
      <c r="BG37" s="242"/>
      <c r="BH37" s="197" t="str">
        <f t="shared" si="20"/>
        <v/>
      </c>
      <c r="BI37" s="203">
        <v>28</v>
      </c>
      <c r="BJ37" s="195" t="str">
        <f t="shared" si="9"/>
        <v/>
      </c>
      <c r="BK37" s="195" t="str">
        <v/>
      </c>
      <c r="BL37" s="205" t="str">
        <v/>
      </c>
      <c r="BM37" s="242"/>
      <c r="BN37" s="197" t="str">
        <f t="shared" si="21"/>
        <v/>
      </c>
      <c r="BO37" s="203">
        <v>28</v>
      </c>
      <c r="BP37" s="195" t="str">
        <f t="shared" si="10"/>
        <v/>
      </c>
      <c r="BQ37" s="195" t="str">
        <v/>
      </c>
      <c r="BR37" s="205" t="str">
        <v/>
      </c>
      <c r="BS37" s="242"/>
      <c r="BT37" s="197" t="str">
        <f t="shared" si="22"/>
        <v/>
      </c>
    </row>
    <row r="38" spans="1:72">
      <c r="A38" s="203">
        <v>29</v>
      </c>
      <c r="B38" s="195" t="str">
        <f t="shared" si="0"/>
        <v/>
      </c>
      <c r="C38" s="195" t="str">
        <v/>
      </c>
      <c r="D38" s="205" t="str">
        <v/>
      </c>
      <c r="E38" s="213"/>
      <c r="F38" s="197" t="str">
        <f t="shared" si="11"/>
        <v/>
      </c>
      <c r="G38" s="203">
        <v>29</v>
      </c>
      <c r="H38" s="195" t="str">
        <f t="shared" si="1"/>
        <v/>
      </c>
      <c r="I38" s="195" t="str">
        <v/>
      </c>
      <c r="J38" s="205" t="str">
        <v/>
      </c>
      <c r="K38" s="242"/>
      <c r="L38" s="197" t="str">
        <f t="shared" si="12"/>
        <v/>
      </c>
      <c r="M38" s="203">
        <v>29</v>
      </c>
      <c r="N38" s="195" t="str">
        <f t="shared" si="2"/>
        <v/>
      </c>
      <c r="O38" s="195" t="str">
        <v/>
      </c>
      <c r="P38" s="205" t="str">
        <v/>
      </c>
      <c r="Q38" s="213"/>
      <c r="R38" s="197" t="str">
        <f t="shared" si="13"/>
        <v/>
      </c>
      <c r="S38" s="203">
        <v>29</v>
      </c>
      <c r="T38" s="195" t="str">
        <f t="shared" si="3"/>
        <v/>
      </c>
      <c r="U38" s="195" t="str">
        <v/>
      </c>
      <c r="V38" s="205" t="str">
        <v/>
      </c>
      <c r="W38" s="213"/>
      <c r="X38" s="197" t="str">
        <f t="shared" si="14"/>
        <v/>
      </c>
      <c r="Y38" s="203">
        <v>29</v>
      </c>
      <c r="Z38" s="195" t="str">
        <f t="shared" si="4"/>
        <v/>
      </c>
      <c r="AA38" s="195" t="str">
        <v/>
      </c>
      <c r="AB38" s="205" t="str">
        <v/>
      </c>
      <c r="AC38" s="213"/>
      <c r="AD38" s="197" t="str">
        <f t="shared" si="15"/>
        <v/>
      </c>
      <c r="AE38" s="203">
        <v>29</v>
      </c>
      <c r="AF38" s="195"/>
      <c r="AG38" s="195"/>
      <c r="AH38" s="205"/>
      <c r="AI38" s="213"/>
      <c r="AJ38" s="197" t="str">
        <f t="shared" si="16"/>
        <v/>
      </c>
      <c r="AK38" s="203">
        <v>29</v>
      </c>
      <c r="AL38" s="198" t="str">
        <f t="shared" si="5"/>
        <v/>
      </c>
      <c r="AM38" s="195" t="str">
        <v/>
      </c>
      <c r="AN38" s="196" t="str">
        <v/>
      </c>
      <c r="AO38" s="254"/>
      <c r="AP38" s="256" t="str">
        <f t="shared" si="17"/>
        <v/>
      </c>
      <c r="AQ38" s="203">
        <v>29</v>
      </c>
      <c r="AR38" s="195" t="str">
        <f t="shared" si="6"/>
        <v/>
      </c>
      <c r="AS38" s="195" t="str">
        <v/>
      </c>
      <c r="AT38" s="205" t="str">
        <v/>
      </c>
      <c r="AU38" s="213"/>
      <c r="AV38" s="197" t="str">
        <f t="shared" si="18"/>
        <v/>
      </c>
      <c r="AW38" s="203">
        <v>29</v>
      </c>
      <c r="AX38" s="195" t="str">
        <f t="shared" si="7"/>
        <v/>
      </c>
      <c r="AY38" s="195" t="str">
        <v/>
      </c>
      <c r="AZ38" s="205" t="str">
        <v/>
      </c>
      <c r="BA38" s="242"/>
      <c r="BB38" s="197" t="str">
        <f t="shared" si="19"/>
        <v/>
      </c>
      <c r="BC38" s="203">
        <v>29</v>
      </c>
      <c r="BD38" s="195" t="str">
        <f t="shared" si="8"/>
        <v/>
      </c>
      <c r="BE38" s="195" t="str">
        <v/>
      </c>
      <c r="BF38" s="205" t="str">
        <v/>
      </c>
      <c r="BG38" s="242"/>
      <c r="BH38" s="197" t="str">
        <f t="shared" si="20"/>
        <v/>
      </c>
      <c r="BI38" s="203">
        <v>29</v>
      </c>
      <c r="BJ38" s="195" t="str">
        <f t="shared" si="9"/>
        <v/>
      </c>
      <c r="BK38" s="195" t="str">
        <v/>
      </c>
      <c r="BL38" s="205" t="str">
        <v/>
      </c>
      <c r="BM38" s="242"/>
      <c r="BN38" s="197" t="str">
        <f t="shared" si="21"/>
        <v/>
      </c>
      <c r="BO38" s="203">
        <v>29</v>
      </c>
      <c r="BP38" s="195" t="str">
        <f t="shared" si="10"/>
        <v/>
      </c>
      <c r="BQ38" s="195" t="str">
        <v/>
      </c>
      <c r="BR38" s="205" t="str">
        <v/>
      </c>
      <c r="BS38" s="242"/>
      <c r="BT38" s="197" t="str">
        <f t="shared" si="22"/>
        <v/>
      </c>
    </row>
    <row r="39" spans="1:72">
      <c r="A39" s="203">
        <v>30</v>
      </c>
      <c r="B39" s="195" t="str">
        <f t="shared" si="0"/>
        <v/>
      </c>
      <c r="C39" s="195" t="str">
        <v/>
      </c>
      <c r="D39" s="205" t="str">
        <v/>
      </c>
      <c r="E39" s="213"/>
      <c r="F39" s="197" t="str">
        <f t="shared" si="11"/>
        <v/>
      </c>
      <c r="G39" s="203">
        <v>30</v>
      </c>
      <c r="H39" s="195" t="str">
        <f t="shared" si="1"/>
        <v/>
      </c>
      <c r="I39" s="195" t="str">
        <v/>
      </c>
      <c r="J39" s="205" t="str">
        <v/>
      </c>
      <c r="K39" s="242"/>
      <c r="L39" s="197" t="str">
        <f t="shared" si="12"/>
        <v/>
      </c>
      <c r="M39" s="203">
        <v>30</v>
      </c>
      <c r="N39" s="195" t="str">
        <f t="shared" si="2"/>
        <v/>
      </c>
      <c r="O39" s="195" t="str">
        <v/>
      </c>
      <c r="P39" s="205" t="str">
        <v/>
      </c>
      <c r="Q39" s="213"/>
      <c r="R39" s="197" t="str">
        <f t="shared" si="13"/>
        <v/>
      </c>
      <c r="S39" s="203">
        <v>30</v>
      </c>
      <c r="T39" s="195" t="str">
        <f t="shared" si="3"/>
        <v/>
      </c>
      <c r="U39" s="195" t="str">
        <v/>
      </c>
      <c r="V39" s="205" t="str">
        <v/>
      </c>
      <c r="W39" s="213"/>
      <c r="X39" s="197" t="str">
        <f t="shared" si="14"/>
        <v/>
      </c>
      <c r="Y39" s="203">
        <v>30</v>
      </c>
      <c r="Z39" s="195" t="str">
        <f t="shared" si="4"/>
        <v/>
      </c>
      <c r="AA39" s="195" t="str">
        <v/>
      </c>
      <c r="AB39" s="205" t="str">
        <v/>
      </c>
      <c r="AC39" s="213"/>
      <c r="AD39" s="197" t="str">
        <f t="shared" si="15"/>
        <v/>
      </c>
      <c r="AE39" s="203">
        <v>30</v>
      </c>
      <c r="AF39" s="195"/>
      <c r="AG39" s="195"/>
      <c r="AH39" s="205"/>
      <c r="AI39" s="213"/>
      <c r="AJ39" s="197" t="str">
        <f t="shared" si="16"/>
        <v/>
      </c>
      <c r="AK39" s="203">
        <v>30</v>
      </c>
      <c r="AL39" s="198" t="str">
        <f t="shared" si="5"/>
        <v/>
      </c>
      <c r="AM39" s="195" t="str">
        <v/>
      </c>
      <c r="AN39" s="196" t="str">
        <v/>
      </c>
      <c r="AO39" s="254"/>
      <c r="AP39" s="256" t="str">
        <f t="shared" si="17"/>
        <v/>
      </c>
      <c r="AQ39" s="203">
        <v>30</v>
      </c>
      <c r="AR39" s="195" t="str">
        <f t="shared" si="6"/>
        <v/>
      </c>
      <c r="AS39" s="195" t="str">
        <v/>
      </c>
      <c r="AT39" s="205" t="str">
        <v/>
      </c>
      <c r="AU39" s="213"/>
      <c r="AV39" s="197" t="str">
        <f t="shared" si="18"/>
        <v/>
      </c>
      <c r="AW39" s="203">
        <v>30</v>
      </c>
      <c r="AX39" s="195" t="str">
        <f t="shared" si="7"/>
        <v/>
      </c>
      <c r="AY39" s="195" t="str">
        <v/>
      </c>
      <c r="AZ39" s="205" t="str">
        <v/>
      </c>
      <c r="BA39" s="242"/>
      <c r="BB39" s="197" t="str">
        <f t="shared" si="19"/>
        <v/>
      </c>
      <c r="BC39" s="203">
        <v>30</v>
      </c>
      <c r="BD39" s="195" t="str">
        <f t="shared" si="8"/>
        <v/>
      </c>
      <c r="BE39" s="195" t="str">
        <v/>
      </c>
      <c r="BF39" s="205" t="str">
        <v/>
      </c>
      <c r="BG39" s="242"/>
      <c r="BH39" s="197" t="str">
        <f t="shared" si="20"/>
        <v/>
      </c>
      <c r="BI39" s="203">
        <v>30</v>
      </c>
      <c r="BJ39" s="195" t="str">
        <f t="shared" si="9"/>
        <v/>
      </c>
      <c r="BK39" s="195" t="str">
        <v/>
      </c>
      <c r="BL39" s="205" t="str">
        <v/>
      </c>
      <c r="BM39" s="242"/>
      <c r="BN39" s="197" t="str">
        <f t="shared" si="21"/>
        <v/>
      </c>
      <c r="BO39" s="203">
        <v>30</v>
      </c>
      <c r="BP39" s="195" t="str">
        <f t="shared" si="10"/>
        <v/>
      </c>
      <c r="BQ39" s="195" t="str">
        <v/>
      </c>
      <c r="BR39" s="205" t="str">
        <v/>
      </c>
      <c r="BS39" s="242"/>
      <c r="BT39" s="197" t="str">
        <f t="shared" si="22"/>
        <v/>
      </c>
    </row>
    <row r="40" spans="1:72">
      <c r="A40" s="203">
        <v>31</v>
      </c>
      <c r="B40" s="195" t="str">
        <f t="shared" si="0"/>
        <v/>
      </c>
      <c r="C40" s="195" t="str">
        <v/>
      </c>
      <c r="D40" s="205" t="str">
        <v/>
      </c>
      <c r="E40" s="213"/>
      <c r="F40" s="197" t="str">
        <f t="shared" si="11"/>
        <v/>
      </c>
      <c r="G40" s="203">
        <v>31</v>
      </c>
      <c r="H40" s="195" t="str">
        <f t="shared" si="1"/>
        <v/>
      </c>
      <c r="I40" s="195" t="str">
        <v/>
      </c>
      <c r="J40" s="205" t="str">
        <v/>
      </c>
      <c r="K40" s="242"/>
      <c r="L40" s="197" t="str">
        <f t="shared" si="12"/>
        <v/>
      </c>
      <c r="M40" s="203">
        <v>31</v>
      </c>
      <c r="N40" s="195" t="str">
        <f t="shared" si="2"/>
        <v/>
      </c>
      <c r="O40" s="195" t="str">
        <v/>
      </c>
      <c r="P40" s="205" t="str">
        <v/>
      </c>
      <c r="Q40" s="213"/>
      <c r="R40" s="197" t="str">
        <f t="shared" si="13"/>
        <v/>
      </c>
      <c r="S40" s="203">
        <v>31</v>
      </c>
      <c r="T40" s="195" t="str">
        <f t="shared" si="3"/>
        <v/>
      </c>
      <c r="U40" s="195" t="str">
        <v/>
      </c>
      <c r="V40" s="205" t="str">
        <v/>
      </c>
      <c r="W40" s="213"/>
      <c r="X40" s="197" t="str">
        <f t="shared" si="14"/>
        <v/>
      </c>
      <c r="Y40" s="203">
        <v>31</v>
      </c>
      <c r="Z40" s="195" t="str">
        <f t="shared" si="4"/>
        <v/>
      </c>
      <c r="AA40" s="195" t="str">
        <v/>
      </c>
      <c r="AB40" s="205" t="str">
        <v/>
      </c>
      <c r="AC40" s="213"/>
      <c r="AD40" s="197" t="str">
        <f t="shared" si="15"/>
        <v/>
      </c>
      <c r="AE40" s="203">
        <v>31</v>
      </c>
      <c r="AF40" s="195"/>
      <c r="AG40" s="195"/>
      <c r="AH40" s="205"/>
      <c r="AI40" s="213"/>
      <c r="AJ40" s="197" t="str">
        <f t="shared" si="16"/>
        <v/>
      </c>
      <c r="AK40" s="203">
        <v>31</v>
      </c>
      <c r="AL40" s="198" t="str">
        <f t="shared" si="5"/>
        <v/>
      </c>
      <c r="AM40" s="195" t="str">
        <v/>
      </c>
      <c r="AN40" s="196" t="str">
        <v/>
      </c>
      <c r="AO40" s="254"/>
      <c r="AP40" s="256" t="str">
        <f t="shared" si="17"/>
        <v/>
      </c>
      <c r="AQ40" s="203">
        <v>31</v>
      </c>
      <c r="AR40" s="195" t="str">
        <f t="shared" si="6"/>
        <v/>
      </c>
      <c r="AS40" s="195" t="str">
        <v/>
      </c>
      <c r="AT40" s="205" t="str">
        <v/>
      </c>
      <c r="AU40" s="213"/>
      <c r="AV40" s="197" t="str">
        <f t="shared" si="18"/>
        <v/>
      </c>
      <c r="AW40" s="203">
        <v>31</v>
      </c>
      <c r="AX40" s="195" t="str">
        <f t="shared" si="7"/>
        <v/>
      </c>
      <c r="AY40" s="195" t="str">
        <v/>
      </c>
      <c r="AZ40" s="205" t="str">
        <v/>
      </c>
      <c r="BA40" s="242"/>
      <c r="BB40" s="197" t="str">
        <f t="shared" si="19"/>
        <v/>
      </c>
      <c r="BC40" s="203">
        <v>31</v>
      </c>
      <c r="BD40" s="195" t="str">
        <f t="shared" si="8"/>
        <v/>
      </c>
      <c r="BE40" s="195" t="str">
        <v/>
      </c>
      <c r="BF40" s="205" t="str">
        <v/>
      </c>
      <c r="BG40" s="242"/>
      <c r="BH40" s="197" t="str">
        <f t="shared" si="20"/>
        <v/>
      </c>
      <c r="BI40" s="203">
        <v>31</v>
      </c>
      <c r="BJ40" s="195" t="str">
        <f t="shared" si="9"/>
        <v/>
      </c>
      <c r="BK40" s="195" t="str">
        <v/>
      </c>
      <c r="BL40" s="205" t="str">
        <v/>
      </c>
      <c r="BM40" s="242"/>
      <c r="BN40" s="197" t="str">
        <f t="shared" si="21"/>
        <v/>
      </c>
      <c r="BO40" s="203">
        <v>31</v>
      </c>
      <c r="BP40" s="195" t="str">
        <f t="shared" si="10"/>
        <v/>
      </c>
      <c r="BQ40" s="195" t="str">
        <v/>
      </c>
      <c r="BR40" s="205" t="str">
        <v/>
      </c>
      <c r="BS40" s="242"/>
      <c r="BT40" s="197" t="str">
        <f t="shared" si="22"/>
        <v/>
      </c>
    </row>
    <row r="41" spans="1:72">
      <c r="A41" s="203">
        <v>32</v>
      </c>
      <c r="B41" s="195" t="str">
        <f t="shared" si="0"/>
        <v/>
      </c>
      <c r="C41" s="195" t="str">
        <v/>
      </c>
      <c r="D41" s="205" t="str">
        <v/>
      </c>
      <c r="E41" s="213"/>
      <c r="F41" s="197" t="str">
        <f t="shared" si="11"/>
        <v/>
      </c>
      <c r="G41" s="203">
        <v>32</v>
      </c>
      <c r="H41" s="195" t="str">
        <f t="shared" si="1"/>
        <v/>
      </c>
      <c r="I41" s="195" t="str">
        <v/>
      </c>
      <c r="J41" s="205" t="str">
        <v/>
      </c>
      <c r="K41" s="242"/>
      <c r="L41" s="197" t="str">
        <f t="shared" si="12"/>
        <v/>
      </c>
      <c r="M41" s="203">
        <v>32</v>
      </c>
      <c r="N41" s="195" t="str">
        <f t="shared" si="2"/>
        <v/>
      </c>
      <c r="O41" s="195" t="str">
        <v/>
      </c>
      <c r="P41" s="205" t="str">
        <v/>
      </c>
      <c r="Q41" s="213"/>
      <c r="R41" s="197" t="str">
        <f t="shared" si="13"/>
        <v/>
      </c>
      <c r="S41" s="203">
        <v>32</v>
      </c>
      <c r="T41" s="195" t="str">
        <f t="shared" si="3"/>
        <v/>
      </c>
      <c r="U41" s="195" t="str">
        <v/>
      </c>
      <c r="V41" s="205" t="str">
        <v/>
      </c>
      <c r="W41" s="213"/>
      <c r="X41" s="197" t="str">
        <f t="shared" si="14"/>
        <v/>
      </c>
      <c r="Y41" s="203">
        <v>32</v>
      </c>
      <c r="Z41" s="195" t="str">
        <f t="shared" si="4"/>
        <v/>
      </c>
      <c r="AA41" s="195" t="str">
        <v/>
      </c>
      <c r="AB41" s="205" t="str">
        <v/>
      </c>
      <c r="AC41" s="213"/>
      <c r="AD41" s="197" t="str">
        <f t="shared" si="15"/>
        <v/>
      </c>
      <c r="AE41" s="203">
        <v>32</v>
      </c>
      <c r="AF41" s="195"/>
      <c r="AG41" s="195"/>
      <c r="AH41" s="205"/>
      <c r="AI41" s="213"/>
      <c r="AJ41" s="197" t="str">
        <f t="shared" si="16"/>
        <v/>
      </c>
      <c r="AK41" s="203">
        <v>32</v>
      </c>
      <c r="AL41" s="198" t="str">
        <f t="shared" si="5"/>
        <v/>
      </c>
      <c r="AM41" s="195" t="str">
        <v/>
      </c>
      <c r="AN41" s="196" t="str">
        <v/>
      </c>
      <c r="AO41" s="254"/>
      <c r="AP41" s="256" t="str">
        <f t="shared" si="17"/>
        <v/>
      </c>
      <c r="AQ41" s="203">
        <v>32</v>
      </c>
      <c r="AR41" s="195" t="str">
        <f t="shared" si="6"/>
        <v/>
      </c>
      <c r="AS41" s="195" t="str">
        <v/>
      </c>
      <c r="AT41" s="205" t="str">
        <v/>
      </c>
      <c r="AU41" s="213"/>
      <c r="AV41" s="197" t="str">
        <f t="shared" si="18"/>
        <v/>
      </c>
      <c r="AW41" s="203">
        <v>32</v>
      </c>
      <c r="AX41" s="195" t="str">
        <f t="shared" si="7"/>
        <v/>
      </c>
      <c r="AY41" s="195" t="str">
        <v/>
      </c>
      <c r="AZ41" s="205" t="str">
        <v/>
      </c>
      <c r="BA41" s="242"/>
      <c r="BB41" s="197" t="str">
        <f t="shared" si="19"/>
        <v/>
      </c>
      <c r="BC41" s="203">
        <v>32</v>
      </c>
      <c r="BD41" s="195" t="str">
        <f t="shared" si="8"/>
        <v/>
      </c>
      <c r="BE41" s="195" t="str">
        <v/>
      </c>
      <c r="BF41" s="205" t="str">
        <v/>
      </c>
      <c r="BG41" s="242"/>
      <c r="BH41" s="197" t="str">
        <f t="shared" si="20"/>
        <v/>
      </c>
      <c r="BI41" s="203">
        <v>32</v>
      </c>
      <c r="BJ41" s="195" t="str">
        <f t="shared" si="9"/>
        <v/>
      </c>
      <c r="BK41" s="195" t="str">
        <v/>
      </c>
      <c r="BL41" s="205" t="str">
        <v/>
      </c>
      <c r="BM41" s="242"/>
      <c r="BN41" s="197" t="str">
        <f t="shared" si="21"/>
        <v/>
      </c>
      <c r="BO41" s="203">
        <v>32</v>
      </c>
      <c r="BP41" s="195" t="str">
        <f t="shared" si="10"/>
        <v/>
      </c>
      <c r="BQ41" s="195" t="str">
        <v/>
      </c>
      <c r="BR41" s="205" t="str">
        <v/>
      </c>
      <c r="BS41" s="242"/>
      <c r="BT41" s="197" t="str">
        <f t="shared" si="22"/>
        <v/>
      </c>
    </row>
    <row r="42" spans="1:72">
      <c r="A42" s="203">
        <v>33</v>
      </c>
      <c r="B42" s="195" t="str">
        <f t="shared" ref="B42:B73" si="23">IF(C42="","",VLOOKUP(C42,Instruments.OIS.USD,6,0))</f>
        <v/>
      </c>
      <c r="C42" s="195" t="str">
        <v/>
      </c>
      <c r="D42" s="205" t="str">
        <v/>
      </c>
      <c r="E42" s="213"/>
      <c r="F42" s="197" t="str">
        <f t="shared" si="11"/>
        <v/>
      </c>
      <c r="G42" s="203">
        <v>33</v>
      </c>
      <c r="H42" s="195" t="str">
        <f t="shared" ref="H42:H73" si="24">IF(I42="","",VLOOKUP(I42,Instruments.OIS.USD,6,0))</f>
        <v/>
      </c>
      <c r="I42" s="195" t="str">
        <v/>
      </c>
      <c r="J42" s="205" t="str">
        <v/>
      </c>
      <c r="K42" s="242"/>
      <c r="L42" s="197" t="str">
        <f t="shared" si="12"/>
        <v/>
      </c>
      <c r="M42" s="203">
        <v>33</v>
      </c>
      <c r="N42" s="195" t="str">
        <f t="shared" ref="N42:N73" si="25">IF(O42="","",VLOOKUP(O42,Instruments.OIS.USD,6,0))</f>
        <v/>
      </c>
      <c r="O42" s="195" t="str">
        <v/>
      </c>
      <c r="P42" s="205" t="str">
        <v/>
      </c>
      <c r="Q42" s="213"/>
      <c r="R42" s="197" t="str">
        <f t="shared" si="13"/>
        <v/>
      </c>
      <c r="S42" s="203">
        <v>33</v>
      </c>
      <c r="T42" s="195" t="str">
        <f t="shared" ref="T42:T73" si="26">IF(U42="","",VLOOKUP(U42,Instruments.Swaps.USD,6,0))</f>
        <v/>
      </c>
      <c r="U42" s="195" t="str">
        <v/>
      </c>
      <c r="V42" s="205" t="str">
        <v/>
      </c>
      <c r="W42" s="213"/>
      <c r="X42" s="197" t="str">
        <f t="shared" si="14"/>
        <v/>
      </c>
      <c r="Y42" s="203">
        <v>33</v>
      </c>
      <c r="Z42" s="195" t="str">
        <f t="shared" ref="Z42:Z73" si="27">IF(AA42="","",VLOOKUP(AA42,Instruments.Swaps.USD,6,0))</f>
        <v/>
      </c>
      <c r="AA42" s="195" t="str">
        <v/>
      </c>
      <c r="AB42" s="205" t="str">
        <v/>
      </c>
      <c r="AC42" s="213"/>
      <c r="AD42" s="197" t="str">
        <f t="shared" si="15"/>
        <v/>
      </c>
      <c r="AE42" s="203">
        <v>33</v>
      </c>
      <c r="AF42" s="195"/>
      <c r="AG42" s="195"/>
      <c r="AH42" s="205"/>
      <c r="AI42" s="213"/>
      <c r="AJ42" s="197" t="str">
        <f t="shared" si="16"/>
        <v/>
      </c>
      <c r="AK42" s="203">
        <v>33</v>
      </c>
      <c r="AL42" s="198" t="str">
        <f t="shared" ref="AL42:AL73" si="28">IF(AM42="","",VLOOKUP(AM42,Instruments.Swaps.USD,6,0))</f>
        <v/>
      </c>
      <c r="AM42" s="195" t="str">
        <v/>
      </c>
      <c r="AN42" s="196" t="str">
        <v/>
      </c>
      <c r="AO42" s="254"/>
      <c r="AP42" s="256" t="str">
        <f t="shared" si="17"/>
        <v/>
      </c>
      <c r="AQ42" s="203">
        <v>33</v>
      </c>
      <c r="AR42" s="195" t="str">
        <f t="shared" ref="AR42:AR73" si="29">IF(AS42="","",VLOOKUP(AS42,Instruments.Swaps.USD,6,0))</f>
        <v/>
      </c>
      <c r="AS42" s="195" t="str">
        <v/>
      </c>
      <c r="AT42" s="205" t="str">
        <v/>
      </c>
      <c r="AU42" s="213"/>
      <c r="AV42" s="197" t="str">
        <f t="shared" si="18"/>
        <v/>
      </c>
      <c r="AW42" s="203">
        <v>33</v>
      </c>
      <c r="AX42" s="195" t="str">
        <f t="shared" ref="AX42:AX73" si="30">IF(AY42="","",VLOOKUP(AY42,Instruments.TenorBasis1.USD,6,0))</f>
        <v/>
      </c>
      <c r="AY42" s="195" t="str">
        <v/>
      </c>
      <c r="AZ42" s="205" t="str">
        <v/>
      </c>
      <c r="BA42" s="242"/>
      <c r="BB42" s="197" t="str">
        <f t="shared" si="19"/>
        <v/>
      </c>
      <c r="BC42" s="203">
        <v>33</v>
      </c>
      <c r="BD42" s="195" t="str">
        <f t="shared" ref="BD42:BD73" si="31">IF(BE42="","",VLOOKUP(BE42,Instruments.TenorBasis2.USD,6,0))</f>
        <v/>
      </c>
      <c r="BE42" s="195" t="str">
        <v/>
      </c>
      <c r="BF42" s="205" t="str">
        <v/>
      </c>
      <c r="BG42" s="242"/>
      <c r="BH42" s="197" t="str">
        <f t="shared" si="20"/>
        <v/>
      </c>
      <c r="BI42" s="203">
        <v>33</v>
      </c>
      <c r="BJ42" s="195" t="str">
        <f t="shared" ref="BJ42:BJ73" si="32">IF(BK42="","",VLOOKUP(BK42,Instruments.TenorBasis3.USD,6,0))</f>
        <v/>
      </c>
      <c r="BK42" s="195" t="str">
        <v/>
      </c>
      <c r="BL42" s="205" t="str">
        <v/>
      </c>
      <c r="BM42" s="242"/>
      <c r="BN42" s="197" t="str">
        <f t="shared" si="21"/>
        <v/>
      </c>
      <c r="BO42" s="203">
        <v>33</v>
      </c>
      <c r="BP42" s="195" t="str">
        <f t="shared" ref="BP42:BP73" si="33">IF(BQ42="","",VLOOKUP(BQ42,Instruments.XccyBasis.USD,6,0))</f>
        <v/>
      </c>
      <c r="BQ42" s="195" t="str">
        <v/>
      </c>
      <c r="BR42" s="205" t="str">
        <v/>
      </c>
      <c r="BS42" s="242"/>
      <c r="BT42" s="197" t="str">
        <f t="shared" si="22"/>
        <v/>
      </c>
    </row>
    <row r="43" spans="1:72">
      <c r="A43" s="203">
        <v>34</v>
      </c>
      <c r="B43" s="195" t="str">
        <f t="shared" si="23"/>
        <v/>
      </c>
      <c r="C43" s="195" t="str">
        <v/>
      </c>
      <c r="D43" s="205" t="str">
        <v/>
      </c>
      <c r="E43" s="213"/>
      <c r="F43" s="197" t="str">
        <f t="shared" si="11"/>
        <v/>
      </c>
      <c r="G43" s="203">
        <v>34</v>
      </c>
      <c r="H43" s="195" t="str">
        <f t="shared" si="24"/>
        <v/>
      </c>
      <c r="I43" s="195" t="str">
        <v/>
      </c>
      <c r="J43" s="205" t="str">
        <v/>
      </c>
      <c r="K43" s="242"/>
      <c r="L43" s="197" t="str">
        <f t="shared" si="12"/>
        <v/>
      </c>
      <c r="M43" s="203">
        <v>34</v>
      </c>
      <c r="N43" s="195" t="str">
        <f t="shared" si="25"/>
        <v/>
      </c>
      <c r="O43" s="195" t="str">
        <v/>
      </c>
      <c r="P43" s="205" t="str">
        <v/>
      </c>
      <c r="Q43" s="213"/>
      <c r="R43" s="197" t="str">
        <f t="shared" si="13"/>
        <v/>
      </c>
      <c r="S43" s="203">
        <v>34</v>
      </c>
      <c r="T43" s="195" t="str">
        <f t="shared" si="26"/>
        <v/>
      </c>
      <c r="U43" s="195" t="str">
        <v/>
      </c>
      <c r="V43" s="205" t="str">
        <v/>
      </c>
      <c r="W43" s="213"/>
      <c r="X43" s="197" t="str">
        <f t="shared" si="14"/>
        <v/>
      </c>
      <c r="Y43" s="203">
        <v>34</v>
      </c>
      <c r="Z43" s="195" t="str">
        <f t="shared" si="27"/>
        <v/>
      </c>
      <c r="AA43" s="195" t="str">
        <v/>
      </c>
      <c r="AB43" s="205" t="str">
        <v/>
      </c>
      <c r="AC43" s="213"/>
      <c r="AD43" s="197" t="str">
        <f t="shared" si="15"/>
        <v/>
      </c>
      <c r="AE43" s="203">
        <v>34</v>
      </c>
      <c r="AF43" s="195"/>
      <c r="AG43" s="195"/>
      <c r="AH43" s="205"/>
      <c r="AI43" s="213"/>
      <c r="AJ43" s="197" t="str">
        <f t="shared" si="16"/>
        <v/>
      </c>
      <c r="AK43" s="203">
        <v>34</v>
      </c>
      <c r="AL43" s="198" t="str">
        <f t="shared" si="28"/>
        <v/>
      </c>
      <c r="AM43" s="195" t="str">
        <v/>
      </c>
      <c r="AN43" s="196" t="str">
        <v/>
      </c>
      <c r="AO43" s="254"/>
      <c r="AP43" s="256" t="str">
        <f t="shared" si="17"/>
        <v/>
      </c>
      <c r="AQ43" s="203">
        <v>34</v>
      </c>
      <c r="AR43" s="195" t="str">
        <f t="shared" si="29"/>
        <v/>
      </c>
      <c r="AS43" s="195" t="str">
        <v/>
      </c>
      <c r="AT43" s="205" t="str">
        <v/>
      </c>
      <c r="AU43" s="213"/>
      <c r="AV43" s="197" t="str">
        <f t="shared" si="18"/>
        <v/>
      </c>
      <c r="AW43" s="203">
        <v>34</v>
      </c>
      <c r="AX43" s="195" t="str">
        <f t="shared" si="30"/>
        <v/>
      </c>
      <c r="AY43" s="195" t="str">
        <v/>
      </c>
      <c r="AZ43" s="205" t="str">
        <v/>
      </c>
      <c r="BA43" s="242"/>
      <c r="BB43" s="197" t="str">
        <f t="shared" si="19"/>
        <v/>
      </c>
      <c r="BC43" s="203">
        <v>34</v>
      </c>
      <c r="BD43" s="195" t="str">
        <f t="shared" si="31"/>
        <v/>
      </c>
      <c r="BE43" s="195" t="str">
        <v/>
      </c>
      <c r="BF43" s="205" t="str">
        <v/>
      </c>
      <c r="BG43" s="242"/>
      <c r="BH43" s="197" t="str">
        <f t="shared" si="20"/>
        <v/>
      </c>
      <c r="BI43" s="203">
        <v>34</v>
      </c>
      <c r="BJ43" s="195" t="str">
        <f t="shared" si="32"/>
        <v/>
      </c>
      <c r="BK43" s="195" t="str">
        <v/>
      </c>
      <c r="BL43" s="205" t="str">
        <v/>
      </c>
      <c r="BM43" s="242"/>
      <c r="BN43" s="197" t="str">
        <f t="shared" si="21"/>
        <v/>
      </c>
      <c r="BO43" s="203">
        <v>34</v>
      </c>
      <c r="BP43" s="195" t="str">
        <f t="shared" si="33"/>
        <v/>
      </c>
      <c r="BQ43" s="195" t="str">
        <v/>
      </c>
      <c r="BR43" s="205" t="str">
        <v/>
      </c>
      <c r="BS43" s="242"/>
      <c r="BT43" s="197" t="str">
        <f t="shared" si="22"/>
        <v/>
      </c>
    </row>
    <row r="44" spans="1:72">
      <c r="A44" s="203">
        <v>35</v>
      </c>
      <c r="B44" s="195" t="str">
        <f t="shared" si="23"/>
        <v/>
      </c>
      <c r="C44" s="195" t="str">
        <v/>
      </c>
      <c r="D44" s="205" t="str">
        <v/>
      </c>
      <c r="E44" s="213"/>
      <c r="F44" s="197" t="str">
        <f t="shared" si="11"/>
        <v/>
      </c>
      <c r="G44" s="203">
        <v>35</v>
      </c>
      <c r="H44" s="195" t="str">
        <f t="shared" si="24"/>
        <v/>
      </c>
      <c r="I44" s="195" t="str">
        <v/>
      </c>
      <c r="J44" s="205" t="str">
        <v/>
      </c>
      <c r="K44" s="242"/>
      <c r="L44" s="197" t="str">
        <f t="shared" si="12"/>
        <v/>
      </c>
      <c r="M44" s="203">
        <v>35</v>
      </c>
      <c r="N44" s="195" t="str">
        <f t="shared" si="25"/>
        <v/>
      </c>
      <c r="O44" s="195" t="str">
        <v/>
      </c>
      <c r="P44" s="205" t="str">
        <v/>
      </c>
      <c r="Q44" s="213"/>
      <c r="R44" s="197" t="str">
        <f t="shared" si="13"/>
        <v/>
      </c>
      <c r="S44" s="203">
        <v>35</v>
      </c>
      <c r="T44" s="195" t="str">
        <f t="shared" si="26"/>
        <v/>
      </c>
      <c r="U44" s="195" t="str">
        <v/>
      </c>
      <c r="V44" s="205" t="str">
        <v/>
      </c>
      <c r="W44" s="213"/>
      <c r="X44" s="197" t="str">
        <f t="shared" si="14"/>
        <v/>
      </c>
      <c r="Y44" s="203">
        <v>35</v>
      </c>
      <c r="Z44" s="195" t="str">
        <f t="shared" si="27"/>
        <v/>
      </c>
      <c r="AA44" s="195" t="str">
        <v/>
      </c>
      <c r="AB44" s="205" t="str">
        <v/>
      </c>
      <c r="AC44" s="213"/>
      <c r="AD44" s="197" t="str">
        <f t="shared" si="15"/>
        <v/>
      </c>
      <c r="AE44" s="203">
        <v>35</v>
      </c>
      <c r="AF44" s="195"/>
      <c r="AG44" s="195"/>
      <c r="AH44" s="205"/>
      <c r="AI44" s="213"/>
      <c r="AJ44" s="197" t="str">
        <f t="shared" si="16"/>
        <v/>
      </c>
      <c r="AK44" s="203">
        <v>35</v>
      </c>
      <c r="AL44" s="198" t="str">
        <f t="shared" si="28"/>
        <v/>
      </c>
      <c r="AM44" s="195" t="str">
        <v/>
      </c>
      <c r="AN44" s="196" t="str">
        <v/>
      </c>
      <c r="AO44" s="254"/>
      <c r="AP44" s="256" t="str">
        <f t="shared" si="17"/>
        <v/>
      </c>
      <c r="AQ44" s="203">
        <v>35</v>
      </c>
      <c r="AR44" s="195" t="str">
        <f t="shared" si="29"/>
        <v/>
      </c>
      <c r="AS44" s="195" t="str">
        <v/>
      </c>
      <c r="AT44" s="205" t="str">
        <v/>
      </c>
      <c r="AU44" s="213"/>
      <c r="AV44" s="197" t="str">
        <f t="shared" si="18"/>
        <v/>
      </c>
      <c r="AW44" s="203">
        <v>35</v>
      </c>
      <c r="AX44" s="195" t="str">
        <f t="shared" si="30"/>
        <v/>
      </c>
      <c r="AY44" s="195" t="str">
        <v/>
      </c>
      <c r="AZ44" s="205" t="str">
        <v/>
      </c>
      <c r="BA44" s="242"/>
      <c r="BB44" s="197" t="str">
        <f t="shared" si="19"/>
        <v/>
      </c>
      <c r="BC44" s="203">
        <v>35</v>
      </c>
      <c r="BD44" s="195" t="str">
        <f t="shared" si="31"/>
        <v/>
      </c>
      <c r="BE44" s="195" t="str">
        <v/>
      </c>
      <c r="BF44" s="205" t="str">
        <v/>
      </c>
      <c r="BG44" s="242"/>
      <c r="BH44" s="197" t="str">
        <f t="shared" si="20"/>
        <v/>
      </c>
      <c r="BI44" s="203">
        <v>35</v>
      </c>
      <c r="BJ44" s="195" t="str">
        <f t="shared" si="32"/>
        <v/>
      </c>
      <c r="BK44" s="195" t="str">
        <v/>
      </c>
      <c r="BL44" s="205" t="str">
        <v/>
      </c>
      <c r="BM44" s="242"/>
      <c r="BN44" s="197" t="str">
        <f t="shared" si="21"/>
        <v/>
      </c>
      <c r="BO44" s="203">
        <v>35</v>
      </c>
      <c r="BP44" s="195" t="str">
        <f t="shared" si="33"/>
        <v/>
      </c>
      <c r="BQ44" s="195" t="str">
        <v/>
      </c>
      <c r="BR44" s="205" t="str">
        <v/>
      </c>
      <c r="BS44" s="242"/>
      <c r="BT44" s="197" t="str">
        <f t="shared" si="22"/>
        <v/>
      </c>
    </row>
    <row r="45" spans="1:72">
      <c r="A45" s="203">
        <v>36</v>
      </c>
      <c r="B45" s="195" t="str">
        <f t="shared" si="23"/>
        <v/>
      </c>
      <c r="C45" s="195" t="str">
        <v/>
      </c>
      <c r="D45" s="205" t="str">
        <v/>
      </c>
      <c r="E45" s="213"/>
      <c r="F45" s="197" t="str">
        <f t="shared" si="11"/>
        <v/>
      </c>
      <c r="G45" s="203">
        <v>36</v>
      </c>
      <c r="H45" s="195" t="str">
        <f t="shared" si="24"/>
        <v/>
      </c>
      <c r="I45" s="195" t="str">
        <v/>
      </c>
      <c r="J45" s="205" t="str">
        <v/>
      </c>
      <c r="K45" s="242"/>
      <c r="L45" s="197" t="str">
        <f t="shared" si="12"/>
        <v/>
      </c>
      <c r="M45" s="203">
        <v>36</v>
      </c>
      <c r="N45" s="195" t="str">
        <f t="shared" si="25"/>
        <v/>
      </c>
      <c r="O45" s="195" t="str">
        <v/>
      </c>
      <c r="P45" s="205" t="str">
        <v/>
      </c>
      <c r="Q45" s="213"/>
      <c r="R45" s="197" t="str">
        <f t="shared" si="13"/>
        <v/>
      </c>
      <c r="S45" s="203">
        <v>36</v>
      </c>
      <c r="T45" s="195" t="str">
        <f t="shared" si="26"/>
        <v/>
      </c>
      <c r="U45" s="195" t="str">
        <v/>
      </c>
      <c r="V45" s="205" t="str">
        <v/>
      </c>
      <c r="W45" s="213"/>
      <c r="X45" s="197" t="str">
        <f t="shared" si="14"/>
        <v/>
      </c>
      <c r="Y45" s="203">
        <v>36</v>
      </c>
      <c r="Z45" s="195" t="str">
        <f t="shared" si="27"/>
        <v/>
      </c>
      <c r="AA45" s="195" t="str">
        <v/>
      </c>
      <c r="AB45" s="205" t="str">
        <v/>
      </c>
      <c r="AC45" s="213"/>
      <c r="AD45" s="197" t="str">
        <f t="shared" si="15"/>
        <v/>
      </c>
      <c r="AE45" s="203">
        <v>36</v>
      </c>
      <c r="AF45" s="195"/>
      <c r="AG45" s="195"/>
      <c r="AH45" s="205"/>
      <c r="AI45" s="213"/>
      <c r="AJ45" s="197" t="str">
        <f t="shared" si="16"/>
        <v/>
      </c>
      <c r="AK45" s="203">
        <v>36</v>
      </c>
      <c r="AL45" s="198" t="str">
        <f t="shared" si="28"/>
        <v/>
      </c>
      <c r="AM45" s="195" t="str">
        <v/>
      </c>
      <c r="AN45" s="196" t="str">
        <v/>
      </c>
      <c r="AO45" s="254"/>
      <c r="AP45" s="256" t="str">
        <f t="shared" si="17"/>
        <v/>
      </c>
      <c r="AQ45" s="203">
        <v>36</v>
      </c>
      <c r="AR45" s="195" t="str">
        <f t="shared" si="29"/>
        <v/>
      </c>
      <c r="AS45" s="195" t="str">
        <v/>
      </c>
      <c r="AT45" s="205" t="str">
        <v/>
      </c>
      <c r="AU45" s="213"/>
      <c r="AV45" s="197" t="str">
        <f t="shared" si="18"/>
        <v/>
      </c>
      <c r="AW45" s="203">
        <v>36</v>
      </c>
      <c r="AX45" s="195" t="str">
        <f t="shared" si="30"/>
        <v/>
      </c>
      <c r="AY45" s="195" t="str">
        <v/>
      </c>
      <c r="AZ45" s="205" t="str">
        <v/>
      </c>
      <c r="BA45" s="242"/>
      <c r="BB45" s="197" t="str">
        <f t="shared" si="19"/>
        <v/>
      </c>
      <c r="BC45" s="203">
        <v>36</v>
      </c>
      <c r="BD45" s="195" t="str">
        <f t="shared" si="31"/>
        <v/>
      </c>
      <c r="BE45" s="195" t="str">
        <v/>
      </c>
      <c r="BF45" s="205" t="str">
        <v/>
      </c>
      <c r="BG45" s="242"/>
      <c r="BH45" s="197" t="str">
        <f t="shared" si="20"/>
        <v/>
      </c>
      <c r="BI45" s="203">
        <v>36</v>
      </c>
      <c r="BJ45" s="195" t="str">
        <f t="shared" si="32"/>
        <v/>
      </c>
      <c r="BK45" s="195" t="str">
        <v/>
      </c>
      <c r="BL45" s="205" t="str">
        <v/>
      </c>
      <c r="BM45" s="242"/>
      <c r="BN45" s="197" t="str">
        <f t="shared" si="21"/>
        <v/>
      </c>
      <c r="BO45" s="203">
        <v>36</v>
      </c>
      <c r="BP45" s="195" t="str">
        <f t="shared" si="33"/>
        <v/>
      </c>
      <c r="BQ45" s="195" t="str">
        <v/>
      </c>
      <c r="BR45" s="205" t="str">
        <v/>
      </c>
      <c r="BS45" s="242"/>
      <c r="BT45" s="197" t="str">
        <f t="shared" si="22"/>
        <v/>
      </c>
    </row>
    <row r="46" spans="1:72">
      <c r="A46" s="203">
        <v>37</v>
      </c>
      <c r="B46" s="195" t="str">
        <f t="shared" si="23"/>
        <v/>
      </c>
      <c r="C46" s="195" t="str">
        <v/>
      </c>
      <c r="D46" s="205" t="str">
        <v/>
      </c>
      <c r="E46" s="213"/>
      <c r="F46" s="197" t="str">
        <f t="shared" si="11"/>
        <v/>
      </c>
      <c r="G46" s="203">
        <v>37</v>
      </c>
      <c r="H46" s="195" t="str">
        <f t="shared" si="24"/>
        <v/>
      </c>
      <c r="I46" s="195" t="str">
        <v/>
      </c>
      <c r="J46" s="205" t="str">
        <v/>
      </c>
      <c r="K46" s="242"/>
      <c r="L46" s="197" t="str">
        <f t="shared" si="12"/>
        <v/>
      </c>
      <c r="M46" s="203">
        <v>37</v>
      </c>
      <c r="N46" s="195" t="str">
        <f t="shared" si="25"/>
        <v/>
      </c>
      <c r="O46" s="195" t="str">
        <v/>
      </c>
      <c r="P46" s="205" t="str">
        <v/>
      </c>
      <c r="Q46" s="213"/>
      <c r="R46" s="197" t="str">
        <f t="shared" si="13"/>
        <v/>
      </c>
      <c r="S46" s="203">
        <v>37</v>
      </c>
      <c r="T46" s="195" t="str">
        <f t="shared" si="26"/>
        <v/>
      </c>
      <c r="U46" s="195" t="str">
        <v/>
      </c>
      <c r="V46" s="205" t="str">
        <v/>
      </c>
      <c r="W46" s="213"/>
      <c r="X46" s="197" t="str">
        <f t="shared" si="14"/>
        <v/>
      </c>
      <c r="Y46" s="203">
        <v>37</v>
      </c>
      <c r="Z46" s="195" t="str">
        <f t="shared" si="27"/>
        <v/>
      </c>
      <c r="AA46" s="195" t="str">
        <v/>
      </c>
      <c r="AB46" s="205" t="str">
        <v/>
      </c>
      <c r="AC46" s="213"/>
      <c r="AD46" s="197" t="str">
        <f t="shared" si="15"/>
        <v/>
      </c>
      <c r="AE46" s="203">
        <v>37</v>
      </c>
      <c r="AF46" s="195"/>
      <c r="AG46" s="195"/>
      <c r="AH46" s="205"/>
      <c r="AI46" s="213"/>
      <c r="AJ46" s="197" t="str">
        <f t="shared" si="16"/>
        <v/>
      </c>
      <c r="AK46" s="203">
        <v>37</v>
      </c>
      <c r="AL46" s="198" t="str">
        <f t="shared" si="28"/>
        <v/>
      </c>
      <c r="AM46" s="195" t="str">
        <v/>
      </c>
      <c r="AN46" s="196" t="str">
        <v/>
      </c>
      <c r="AO46" s="254"/>
      <c r="AP46" s="256" t="str">
        <f t="shared" si="17"/>
        <v/>
      </c>
      <c r="AQ46" s="203">
        <v>37</v>
      </c>
      <c r="AR46" s="195" t="str">
        <f t="shared" si="29"/>
        <v/>
      </c>
      <c r="AS46" s="195" t="str">
        <v/>
      </c>
      <c r="AT46" s="205" t="str">
        <v/>
      </c>
      <c r="AU46" s="213"/>
      <c r="AV46" s="197" t="str">
        <f t="shared" si="18"/>
        <v/>
      </c>
      <c r="AW46" s="203">
        <v>37</v>
      </c>
      <c r="AX46" s="195" t="str">
        <f t="shared" si="30"/>
        <v/>
      </c>
      <c r="AY46" s="195" t="str">
        <v/>
      </c>
      <c r="AZ46" s="205" t="str">
        <v/>
      </c>
      <c r="BA46" s="242"/>
      <c r="BB46" s="197" t="str">
        <f t="shared" si="19"/>
        <v/>
      </c>
      <c r="BC46" s="203">
        <v>37</v>
      </c>
      <c r="BD46" s="195" t="str">
        <f t="shared" si="31"/>
        <v/>
      </c>
      <c r="BE46" s="195" t="str">
        <v/>
      </c>
      <c r="BF46" s="205" t="str">
        <v/>
      </c>
      <c r="BG46" s="242"/>
      <c r="BH46" s="197" t="str">
        <f t="shared" si="20"/>
        <v/>
      </c>
      <c r="BI46" s="203">
        <v>37</v>
      </c>
      <c r="BJ46" s="195" t="str">
        <f t="shared" si="32"/>
        <v/>
      </c>
      <c r="BK46" s="195" t="str">
        <v/>
      </c>
      <c r="BL46" s="205" t="str">
        <v/>
      </c>
      <c r="BM46" s="242"/>
      <c r="BN46" s="197" t="str">
        <f t="shared" si="21"/>
        <v/>
      </c>
      <c r="BO46" s="203">
        <v>37</v>
      </c>
      <c r="BP46" s="195" t="str">
        <f t="shared" si="33"/>
        <v/>
      </c>
      <c r="BQ46" s="195" t="str">
        <v/>
      </c>
      <c r="BR46" s="205" t="str">
        <v/>
      </c>
      <c r="BS46" s="242"/>
      <c r="BT46" s="197" t="str">
        <f t="shared" si="22"/>
        <v/>
      </c>
    </row>
    <row r="47" spans="1:72">
      <c r="A47" s="203">
        <v>38</v>
      </c>
      <c r="B47" s="195" t="str">
        <f t="shared" si="23"/>
        <v/>
      </c>
      <c r="C47" s="195" t="str">
        <v/>
      </c>
      <c r="D47" s="205" t="str">
        <v/>
      </c>
      <c r="E47" s="213"/>
      <c r="F47" s="197" t="str">
        <f t="shared" si="11"/>
        <v/>
      </c>
      <c r="G47" s="203">
        <v>38</v>
      </c>
      <c r="H47" s="195" t="str">
        <f t="shared" si="24"/>
        <v/>
      </c>
      <c r="I47" s="195" t="str">
        <v/>
      </c>
      <c r="J47" s="205" t="str">
        <v/>
      </c>
      <c r="K47" s="242"/>
      <c r="L47" s="197" t="str">
        <f t="shared" si="12"/>
        <v/>
      </c>
      <c r="M47" s="203">
        <v>38</v>
      </c>
      <c r="N47" s="195" t="str">
        <f t="shared" si="25"/>
        <v/>
      </c>
      <c r="O47" s="195" t="str">
        <v/>
      </c>
      <c r="P47" s="205" t="str">
        <v/>
      </c>
      <c r="Q47" s="213"/>
      <c r="R47" s="197" t="str">
        <f t="shared" si="13"/>
        <v/>
      </c>
      <c r="S47" s="203">
        <v>38</v>
      </c>
      <c r="T47" s="195" t="str">
        <f t="shared" si="26"/>
        <v/>
      </c>
      <c r="U47" s="195" t="str">
        <v/>
      </c>
      <c r="V47" s="205" t="str">
        <v/>
      </c>
      <c r="W47" s="213"/>
      <c r="X47" s="197" t="str">
        <f t="shared" si="14"/>
        <v/>
      </c>
      <c r="Y47" s="203">
        <v>38</v>
      </c>
      <c r="Z47" s="195" t="str">
        <f t="shared" si="27"/>
        <v/>
      </c>
      <c r="AA47" s="195" t="str">
        <v/>
      </c>
      <c r="AB47" s="205" t="str">
        <v/>
      </c>
      <c r="AC47" s="213"/>
      <c r="AD47" s="197" t="str">
        <f t="shared" si="15"/>
        <v/>
      </c>
      <c r="AE47" s="203">
        <v>38</v>
      </c>
      <c r="AF47" s="195"/>
      <c r="AG47" s="195"/>
      <c r="AH47" s="205"/>
      <c r="AI47" s="213"/>
      <c r="AJ47" s="197" t="str">
        <f t="shared" si="16"/>
        <v/>
      </c>
      <c r="AK47" s="203">
        <v>38</v>
      </c>
      <c r="AL47" s="198" t="str">
        <f t="shared" si="28"/>
        <v/>
      </c>
      <c r="AM47" s="195" t="str">
        <v/>
      </c>
      <c r="AN47" s="196" t="str">
        <v/>
      </c>
      <c r="AO47" s="254"/>
      <c r="AP47" s="256" t="str">
        <f t="shared" si="17"/>
        <v/>
      </c>
      <c r="AQ47" s="203">
        <v>38</v>
      </c>
      <c r="AR47" s="195" t="str">
        <f t="shared" si="29"/>
        <v/>
      </c>
      <c r="AS47" s="195" t="str">
        <v/>
      </c>
      <c r="AT47" s="205" t="str">
        <v/>
      </c>
      <c r="AU47" s="213"/>
      <c r="AV47" s="197" t="str">
        <f t="shared" si="18"/>
        <v/>
      </c>
      <c r="AW47" s="203">
        <v>38</v>
      </c>
      <c r="AX47" s="195" t="str">
        <f t="shared" si="30"/>
        <v/>
      </c>
      <c r="AY47" s="195" t="str">
        <v/>
      </c>
      <c r="AZ47" s="205" t="str">
        <v/>
      </c>
      <c r="BA47" s="242"/>
      <c r="BB47" s="197" t="str">
        <f t="shared" si="19"/>
        <v/>
      </c>
      <c r="BC47" s="203">
        <v>38</v>
      </c>
      <c r="BD47" s="195" t="str">
        <f t="shared" si="31"/>
        <v/>
      </c>
      <c r="BE47" s="195" t="str">
        <v/>
      </c>
      <c r="BF47" s="205" t="str">
        <v/>
      </c>
      <c r="BG47" s="242"/>
      <c r="BH47" s="197" t="str">
        <f t="shared" si="20"/>
        <v/>
      </c>
      <c r="BI47" s="203">
        <v>38</v>
      </c>
      <c r="BJ47" s="195" t="str">
        <f t="shared" si="32"/>
        <v/>
      </c>
      <c r="BK47" s="195" t="str">
        <v/>
      </c>
      <c r="BL47" s="205" t="str">
        <v/>
      </c>
      <c r="BM47" s="242"/>
      <c r="BN47" s="197" t="str">
        <f t="shared" si="21"/>
        <v/>
      </c>
      <c r="BO47" s="203">
        <v>38</v>
      </c>
      <c r="BP47" s="195" t="str">
        <f t="shared" si="33"/>
        <v/>
      </c>
      <c r="BQ47" s="195" t="str">
        <v/>
      </c>
      <c r="BR47" s="205" t="str">
        <v/>
      </c>
      <c r="BS47" s="242"/>
      <c r="BT47" s="197" t="str">
        <f t="shared" si="22"/>
        <v/>
      </c>
    </row>
    <row r="48" spans="1:72">
      <c r="A48" s="203">
        <v>39</v>
      </c>
      <c r="B48" s="195" t="str">
        <f t="shared" si="23"/>
        <v/>
      </c>
      <c r="C48" s="195" t="str">
        <v/>
      </c>
      <c r="D48" s="205" t="str">
        <v/>
      </c>
      <c r="E48" s="213"/>
      <c r="F48" s="197" t="str">
        <f t="shared" si="11"/>
        <v/>
      </c>
      <c r="G48" s="203">
        <v>39</v>
      </c>
      <c r="H48" s="195" t="str">
        <f t="shared" si="24"/>
        <v/>
      </c>
      <c r="I48" s="195" t="str">
        <v/>
      </c>
      <c r="J48" s="205" t="str">
        <v/>
      </c>
      <c r="K48" s="242"/>
      <c r="L48" s="197" t="str">
        <f t="shared" si="12"/>
        <v/>
      </c>
      <c r="M48" s="203">
        <v>39</v>
      </c>
      <c r="N48" s="195" t="str">
        <f t="shared" si="25"/>
        <v/>
      </c>
      <c r="O48" s="195" t="str">
        <v/>
      </c>
      <c r="P48" s="205" t="str">
        <v/>
      </c>
      <c r="Q48" s="213"/>
      <c r="R48" s="197" t="str">
        <f t="shared" si="13"/>
        <v/>
      </c>
      <c r="S48" s="203">
        <v>39</v>
      </c>
      <c r="T48" s="195" t="str">
        <f t="shared" si="26"/>
        <v/>
      </c>
      <c r="U48" s="195" t="str">
        <v/>
      </c>
      <c r="V48" s="205" t="str">
        <v/>
      </c>
      <c r="W48" s="213"/>
      <c r="X48" s="197" t="str">
        <f t="shared" si="14"/>
        <v/>
      </c>
      <c r="Y48" s="203">
        <v>39</v>
      </c>
      <c r="Z48" s="195" t="str">
        <f t="shared" si="27"/>
        <v/>
      </c>
      <c r="AA48" s="195" t="str">
        <v/>
      </c>
      <c r="AB48" s="205" t="str">
        <v/>
      </c>
      <c r="AC48" s="213"/>
      <c r="AD48" s="197" t="str">
        <f t="shared" si="15"/>
        <v/>
      </c>
      <c r="AE48" s="203">
        <v>39</v>
      </c>
      <c r="AF48" s="195"/>
      <c r="AG48" s="195"/>
      <c r="AH48" s="205"/>
      <c r="AI48" s="213"/>
      <c r="AJ48" s="197" t="str">
        <f t="shared" si="16"/>
        <v/>
      </c>
      <c r="AK48" s="203">
        <v>39</v>
      </c>
      <c r="AL48" s="198" t="str">
        <f t="shared" si="28"/>
        <v/>
      </c>
      <c r="AM48" s="195" t="str">
        <v/>
      </c>
      <c r="AN48" s="196" t="str">
        <v/>
      </c>
      <c r="AO48" s="254"/>
      <c r="AP48" s="256" t="str">
        <f t="shared" si="17"/>
        <v/>
      </c>
      <c r="AQ48" s="203">
        <v>39</v>
      </c>
      <c r="AR48" s="195" t="str">
        <f t="shared" si="29"/>
        <v/>
      </c>
      <c r="AS48" s="195" t="str">
        <v/>
      </c>
      <c r="AT48" s="205" t="str">
        <v/>
      </c>
      <c r="AU48" s="213"/>
      <c r="AV48" s="197" t="str">
        <f t="shared" si="18"/>
        <v/>
      </c>
      <c r="AW48" s="203">
        <v>39</v>
      </c>
      <c r="AX48" s="195" t="str">
        <f t="shared" si="30"/>
        <v/>
      </c>
      <c r="AY48" s="195" t="str">
        <v/>
      </c>
      <c r="AZ48" s="205" t="str">
        <v/>
      </c>
      <c r="BA48" s="242"/>
      <c r="BB48" s="197" t="str">
        <f t="shared" si="19"/>
        <v/>
      </c>
      <c r="BC48" s="203">
        <v>39</v>
      </c>
      <c r="BD48" s="195" t="str">
        <f t="shared" si="31"/>
        <v/>
      </c>
      <c r="BE48" s="195" t="str">
        <v/>
      </c>
      <c r="BF48" s="205" t="str">
        <v/>
      </c>
      <c r="BG48" s="242"/>
      <c r="BH48" s="197" t="str">
        <f t="shared" si="20"/>
        <v/>
      </c>
      <c r="BI48" s="203">
        <v>39</v>
      </c>
      <c r="BJ48" s="195" t="str">
        <f t="shared" si="32"/>
        <v/>
      </c>
      <c r="BK48" s="195" t="str">
        <v/>
      </c>
      <c r="BL48" s="205" t="str">
        <v/>
      </c>
      <c r="BM48" s="242"/>
      <c r="BN48" s="197" t="str">
        <f t="shared" si="21"/>
        <v/>
      </c>
      <c r="BO48" s="203">
        <v>39</v>
      </c>
      <c r="BP48" s="195" t="str">
        <f t="shared" si="33"/>
        <v/>
      </c>
      <c r="BQ48" s="195" t="str">
        <v/>
      </c>
      <c r="BR48" s="205" t="str">
        <v/>
      </c>
      <c r="BS48" s="242"/>
      <c r="BT48" s="197" t="str">
        <f t="shared" si="22"/>
        <v/>
      </c>
    </row>
    <row r="49" spans="1:72">
      <c r="A49" s="203">
        <v>40</v>
      </c>
      <c r="B49" s="195" t="str">
        <f t="shared" si="23"/>
        <v/>
      </c>
      <c r="C49" s="195" t="str">
        <v/>
      </c>
      <c r="D49" s="205" t="str">
        <v/>
      </c>
      <c r="E49" s="213"/>
      <c r="F49" s="197" t="str">
        <f t="shared" si="11"/>
        <v/>
      </c>
      <c r="G49" s="203">
        <v>40</v>
      </c>
      <c r="H49" s="195" t="str">
        <f t="shared" si="24"/>
        <v/>
      </c>
      <c r="I49" s="195" t="str">
        <v/>
      </c>
      <c r="J49" s="205" t="str">
        <v/>
      </c>
      <c r="K49" s="242"/>
      <c r="L49" s="197" t="str">
        <f t="shared" si="12"/>
        <v/>
      </c>
      <c r="M49" s="203">
        <v>40</v>
      </c>
      <c r="N49" s="195" t="str">
        <f t="shared" si="25"/>
        <v/>
      </c>
      <c r="O49" s="195" t="str">
        <v/>
      </c>
      <c r="P49" s="205" t="str">
        <v/>
      </c>
      <c r="Q49" s="213"/>
      <c r="R49" s="197" t="str">
        <f t="shared" si="13"/>
        <v/>
      </c>
      <c r="S49" s="203">
        <v>40</v>
      </c>
      <c r="T49" s="195" t="str">
        <f t="shared" si="26"/>
        <v/>
      </c>
      <c r="U49" s="195" t="str">
        <v/>
      </c>
      <c r="V49" s="205" t="str">
        <v/>
      </c>
      <c r="W49" s="213"/>
      <c r="X49" s="197" t="str">
        <f t="shared" si="14"/>
        <v/>
      </c>
      <c r="Y49" s="203">
        <v>40</v>
      </c>
      <c r="Z49" s="195" t="str">
        <f t="shared" si="27"/>
        <v/>
      </c>
      <c r="AA49" s="195" t="str">
        <v/>
      </c>
      <c r="AB49" s="205" t="str">
        <v/>
      </c>
      <c r="AC49" s="213"/>
      <c r="AD49" s="197" t="str">
        <f t="shared" si="15"/>
        <v/>
      </c>
      <c r="AE49" s="203">
        <v>40</v>
      </c>
      <c r="AF49" s="195"/>
      <c r="AG49" s="195"/>
      <c r="AH49" s="205"/>
      <c r="AI49" s="213"/>
      <c r="AJ49" s="197" t="str">
        <f t="shared" si="16"/>
        <v/>
      </c>
      <c r="AK49" s="203">
        <v>40</v>
      </c>
      <c r="AL49" s="198" t="str">
        <f t="shared" si="28"/>
        <v/>
      </c>
      <c r="AM49" s="195" t="str">
        <v/>
      </c>
      <c r="AN49" s="196" t="str">
        <v/>
      </c>
      <c r="AO49" s="254"/>
      <c r="AP49" s="256" t="str">
        <f t="shared" si="17"/>
        <v/>
      </c>
      <c r="AQ49" s="203">
        <v>40</v>
      </c>
      <c r="AR49" s="195" t="str">
        <f t="shared" si="29"/>
        <v/>
      </c>
      <c r="AS49" s="195" t="str">
        <v/>
      </c>
      <c r="AT49" s="205" t="str">
        <v/>
      </c>
      <c r="AU49" s="213"/>
      <c r="AV49" s="197" t="str">
        <f t="shared" si="18"/>
        <v/>
      </c>
      <c r="AW49" s="203">
        <v>40</v>
      </c>
      <c r="AX49" s="195" t="str">
        <f t="shared" si="30"/>
        <v/>
      </c>
      <c r="AY49" s="195" t="str">
        <v/>
      </c>
      <c r="AZ49" s="205" t="str">
        <v/>
      </c>
      <c r="BA49" s="242"/>
      <c r="BB49" s="197" t="str">
        <f t="shared" si="19"/>
        <v/>
      </c>
      <c r="BC49" s="203">
        <v>40</v>
      </c>
      <c r="BD49" s="195" t="str">
        <f t="shared" si="31"/>
        <v/>
      </c>
      <c r="BE49" s="195" t="str">
        <v/>
      </c>
      <c r="BF49" s="205" t="str">
        <v/>
      </c>
      <c r="BG49" s="242"/>
      <c r="BH49" s="197" t="str">
        <f t="shared" si="20"/>
        <v/>
      </c>
      <c r="BI49" s="203">
        <v>40</v>
      </c>
      <c r="BJ49" s="195" t="str">
        <f t="shared" si="32"/>
        <v/>
      </c>
      <c r="BK49" s="195" t="str">
        <v/>
      </c>
      <c r="BL49" s="205" t="str">
        <v/>
      </c>
      <c r="BM49" s="242"/>
      <c r="BN49" s="197" t="str">
        <f t="shared" si="21"/>
        <v/>
      </c>
      <c r="BO49" s="203">
        <v>40</v>
      </c>
      <c r="BP49" s="195" t="str">
        <f t="shared" si="33"/>
        <v/>
      </c>
      <c r="BQ49" s="195" t="str">
        <v/>
      </c>
      <c r="BR49" s="205" t="str">
        <v/>
      </c>
      <c r="BS49" s="242"/>
      <c r="BT49" s="197" t="str">
        <f t="shared" si="22"/>
        <v/>
      </c>
    </row>
    <row r="50" spans="1:72">
      <c r="A50" s="203">
        <v>41</v>
      </c>
      <c r="B50" s="195" t="str">
        <f t="shared" si="23"/>
        <v/>
      </c>
      <c r="C50" s="195" t="str">
        <v/>
      </c>
      <c r="D50" s="205" t="str">
        <v/>
      </c>
      <c r="E50" s="213"/>
      <c r="F50" s="197" t="str">
        <f t="shared" si="11"/>
        <v/>
      </c>
      <c r="G50" s="203">
        <v>41</v>
      </c>
      <c r="H50" s="195" t="str">
        <f t="shared" si="24"/>
        <v/>
      </c>
      <c r="I50" s="195" t="str">
        <v/>
      </c>
      <c r="J50" s="205" t="str">
        <v/>
      </c>
      <c r="K50" s="242"/>
      <c r="L50" s="197" t="str">
        <f t="shared" si="12"/>
        <v/>
      </c>
      <c r="M50" s="203">
        <v>41</v>
      </c>
      <c r="N50" s="195" t="str">
        <f t="shared" si="25"/>
        <v/>
      </c>
      <c r="O50" s="195" t="str">
        <v/>
      </c>
      <c r="P50" s="205" t="str">
        <v/>
      </c>
      <c r="Q50" s="213"/>
      <c r="R50" s="197" t="str">
        <f t="shared" si="13"/>
        <v/>
      </c>
      <c r="S50" s="203">
        <v>41</v>
      </c>
      <c r="T50" s="195" t="str">
        <f t="shared" si="26"/>
        <v/>
      </c>
      <c r="U50" s="195" t="str">
        <v/>
      </c>
      <c r="V50" s="205" t="str">
        <v/>
      </c>
      <c r="W50" s="213"/>
      <c r="X50" s="197" t="str">
        <f t="shared" si="14"/>
        <v/>
      </c>
      <c r="Y50" s="203">
        <v>41</v>
      </c>
      <c r="Z50" s="195" t="str">
        <f t="shared" si="27"/>
        <v/>
      </c>
      <c r="AA50" s="195" t="str">
        <v/>
      </c>
      <c r="AB50" s="205" t="str">
        <v/>
      </c>
      <c r="AC50" s="213"/>
      <c r="AD50" s="197" t="str">
        <f t="shared" si="15"/>
        <v/>
      </c>
      <c r="AE50" s="203">
        <v>41</v>
      </c>
      <c r="AF50" s="195"/>
      <c r="AG50" s="195"/>
      <c r="AH50" s="205"/>
      <c r="AI50" s="213"/>
      <c r="AJ50" s="197" t="str">
        <f t="shared" si="16"/>
        <v/>
      </c>
      <c r="AK50" s="203">
        <v>41</v>
      </c>
      <c r="AL50" s="198" t="str">
        <f t="shared" si="28"/>
        <v/>
      </c>
      <c r="AM50" s="195" t="str">
        <v/>
      </c>
      <c r="AN50" s="196" t="str">
        <v/>
      </c>
      <c r="AO50" s="254"/>
      <c r="AP50" s="256" t="str">
        <f t="shared" si="17"/>
        <v/>
      </c>
      <c r="AQ50" s="203">
        <v>41</v>
      </c>
      <c r="AR50" s="195" t="str">
        <f t="shared" si="29"/>
        <v/>
      </c>
      <c r="AS50" s="195" t="str">
        <v/>
      </c>
      <c r="AT50" s="205" t="str">
        <v/>
      </c>
      <c r="AU50" s="213"/>
      <c r="AV50" s="197" t="str">
        <f t="shared" si="18"/>
        <v/>
      </c>
      <c r="AW50" s="203">
        <v>41</v>
      </c>
      <c r="AX50" s="195" t="str">
        <f t="shared" si="30"/>
        <v/>
      </c>
      <c r="AY50" s="195" t="str">
        <v/>
      </c>
      <c r="AZ50" s="205" t="str">
        <v/>
      </c>
      <c r="BA50" s="242"/>
      <c r="BB50" s="197" t="str">
        <f t="shared" si="19"/>
        <v/>
      </c>
      <c r="BC50" s="203">
        <v>41</v>
      </c>
      <c r="BD50" s="195" t="str">
        <f t="shared" si="31"/>
        <v/>
      </c>
      <c r="BE50" s="195" t="str">
        <v/>
      </c>
      <c r="BF50" s="205" t="str">
        <v/>
      </c>
      <c r="BG50" s="242"/>
      <c r="BH50" s="197" t="str">
        <f t="shared" si="20"/>
        <v/>
      </c>
      <c r="BI50" s="203">
        <v>41</v>
      </c>
      <c r="BJ50" s="195" t="str">
        <f t="shared" si="32"/>
        <v/>
      </c>
      <c r="BK50" s="195" t="str">
        <v/>
      </c>
      <c r="BL50" s="205" t="str">
        <v/>
      </c>
      <c r="BM50" s="242"/>
      <c r="BN50" s="197" t="str">
        <f t="shared" si="21"/>
        <v/>
      </c>
      <c r="BO50" s="203">
        <v>41</v>
      </c>
      <c r="BP50" s="195" t="str">
        <f t="shared" si="33"/>
        <v/>
      </c>
      <c r="BQ50" s="195" t="str">
        <v/>
      </c>
      <c r="BR50" s="205" t="str">
        <v/>
      </c>
      <c r="BS50" s="242"/>
      <c r="BT50" s="197" t="str">
        <f t="shared" si="22"/>
        <v/>
      </c>
    </row>
    <row r="51" spans="1:72">
      <c r="A51" s="203">
        <v>42</v>
      </c>
      <c r="B51" s="195" t="str">
        <f t="shared" si="23"/>
        <v/>
      </c>
      <c r="C51" s="195" t="str">
        <v/>
      </c>
      <c r="D51" s="205" t="str">
        <v/>
      </c>
      <c r="E51" s="213"/>
      <c r="F51" s="197" t="str">
        <f t="shared" si="11"/>
        <v/>
      </c>
      <c r="G51" s="203">
        <v>42</v>
      </c>
      <c r="H51" s="195" t="str">
        <f t="shared" si="24"/>
        <v/>
      </c>
      <c r="I51" s="195" t="str">
        <v/>
      </c>
      <c r="J51" s="205" t="str">
        <v/>
      </c>
      <c r="K51" s="242"/>
      <c r="L51" s="197" t="str">
        <f t="shared" si="12"/>
        <v/>
      </c>
      <c r="M51" s="203">
        <v>42</v>
      </c>
      <c r="N51" s="195" t="str">
        <f t="shared" si="25"/>
        <v/>
      </c>
      <c r="O51" s="195" t="str">
        <v/>
      </c>
      <c r="P51" s="205" t="str">
        <v/>
      </c>
      <c r="Q51" s="213"/>
      <c r="R51" s="197" t="str">
        <f t="shared" si="13"/>
        <v/>
      </c>
      <c r="S51" s="203">
        <v>42</v>
      </c>
      <c r="T51" s="195" t="str">
        <f t="shared" si="26"/>
        <v/>
      </c>
      <c r="U51" s="195" t="str">
        <v/>
      </c>
      <c r="V51" s="205" t="str">
        <v/>
      </c>
      <c r="W51" s="213"/>
      <c r="X51" s="197" t="str">
        <f t="shared" si="14"/>
        <v/>
      </c>
      <c r="Y51" s="203">
        <v>42</v>
      </c>
      <c r="Z51" s="195" t="str">
        <f t="shared" si="27"/>
        <v/>
      </c>
      <c r="AA51" s="195" t="str">
        <v/>
      </c>
      <c r="AB51" s="205" t="str">
        <v/>
      </c>
      <c r="AC51" s="213"/>
      <c r="AD51" s="197" t="str">
        <f t="shared" si="15"/>
        <v/>
      </c>
      <c r="AE51" s="203">
        <v>42</v>
      </c>
      <c r="AF51" s="195"/>
      <c r="AG51" s="195"/>
      <c r="AH51" s="205"/>
      <c r="AI51" s="213"/>
      <c r="AJ51" s="197" t="str">
        <f t="shared" si="16"/>
        <v/>
      </c>
      <c r="AK51" s="203">
        <v>42</v>
      </c>
      <c r="AL51" s="198" t="str">
        <f t="shared" si="28"/>
        <v/>
      </c>
      <c r="AM51" s="195" t="str">
        <v/>
      </c>
      <c r="AN51" s="196" t="str">
        <v/>
      </c>
      <c r="AO51" s="254"/>
      <c r="AP51" s="256" t="str">
        <f t="shared" si="17"/>
        <v/>
      </c>
      <c r="AQ51" s="203">
        <v>42</v>
      </c>
      <c r="AR51" s="195" t="str">
        <f t="shared" si="29"/>
        <v/>
      </c>
      <c r="AS51" s="195" t="str">
        <v/>
      </c>
      <c r="AT51" s="205" t="str">
        <v/>
      </c>
      <c r="AU51" s="213"/>
      <c r="AV51" s="197" t="str">
        <f t="shared" si="18"/>
        <v/>
      </c>
      <c r="AW51" s="203">
        <v>42</v>
      </c>
      <c r="AX51" s="195" t="str">
        <f t="shared" si="30"/>
        <v/>
      </c>
      <c r="AY51" s="195" t="str">
        <v/>
      </c>
      <c r="AZ51" s="205" t="str">
        <v/>
      </c>
      <c r="BA51" s="242"/>
      <c r="BB51" s="197" t="str">
        <f t="shared" si="19"/>
        <v/>
      </c>
      <c r="BC51" s="203">
        <v>42</v>
      </c>
      <c r="BD51" s="195" t="str">
        <f t="shared" si="31"/>
        <v/>
      </c>
      <c r="BE51" s="195" t="str">
        <v/>
      </c>
      <c r="BF51" s="205" t="str">
        <v/>
      </c>
      <c r="BG51" s="242"/>
      <c r="BH51" s="197" t="str">
        <f t="shared" si="20"/>
        <v/>
      </c>
      <c r="BI51" s="203">
        <v>42</v>
      </c>
      <c r="BJ51" s="195" t="str">
        <f t="shared" si="32"/>
        <v/>
      </c>
      <c r="BK51" s="195" t="str">
        <v/>
      </c>
      <c r="BL51" s="205" t="str">
        <v/>
      </c>
      <c r="BM51" s="242"/>
      <c r="BN51" s="197" t="str">
        <f t="shared" si="21"/>
        <v/>
      </c>
      <c r="BO51" s="203">
        <v>42</v>
      </c>
      <c r="BP51" s="195" t="str">
        <f t="shared" si="33"/>
        <v/>
      </c>
      <c r="BQ51" s="195" t="str">
        <v/>
      </c>
      <c r="BR51" s="205" t="str">
        <v/>
      </c>
      <c r="BS51" s="242"/>
      <c r="BT51" s="197" t="str">
        <f t="shared" si="22"/>
        <v/>
      </c>
    </row>
    <row r="52" spans="1:72">
      <c r="A52" s="203">
        <v>43</v>
      </c>
      <c r="B52" s="195" t="str">
        <f t="shared" si="23"/>
        <v/>
      </c>
      <c r="C52" s="195" t="str">
        <v/>
      </c>
      <c r="D52" s="205" t="str">
        <v/>
      </c>
      <c r="E52" s="213"/>
      <c r="F52" s="197" t="str">
        <f t="shared" si="11"/>
        <v/>
      </c>
      <c r="G52" s="203">
        <v>43</v>
      </c>
      <c r="H52" s="195" t="str">
        <f t="shared" si="24"/>
        <v/>
      </c>
      <c r="I52" s="195" t="str">
        <v/>
      </c>
      <c r="J52" s="205" t="str">
        <v/>
      </c>
      <c r="K52" s="242"/>
      <c r="L52" s="197" t="str">
        <f t="shared" si="12"/>
        <v/>
      </c>
      <c r="M52" s="203">
        <v>43</v>
      </c>
      <c r="N52" s="195" t="str">
        <f t="shared" si="25"/>
        <v/>
      </c>
      <c r="O52" s="195" t="str">
        <v/>
      </c>
      <c r="P52" s="205" t="str">
        <v/>
      </c>
      <c r="Q52" s="213"/>
      <c r="R52" s="197" t="str">
        <f t="shared" si="13"/>
        <v/>
      </c>
      <c r="S52" s="203">
        <v>43</v>
      </c>
      <c r="T52" s="195" t="str">
        <f t="shared" si="26"/>
        <v/>
      </c>
      <c r="U52" s="195" t="str">
        <v/>
      </c>
      <c r="V52" s="205" t="str">
        <v/>
      </c>
      <c r="W52" s="213"/>
      <c r="X52" s="197" t="str">
        <f t="shared" si="14"/>
        <v/>
      </c>
      <c r="Y52" s="203">
        <v>43</v>
      </c>
      <c r="Z52" s="195" t="str">
        <f t="shared" si="27"/>
        <v/>
      </c>
      <c r="AA52" s="195" t="str">
        <v/>
      </c>
      <c r="AB52" s="205" t="str">
        <v/>
      </c>
      <c r="AC52" s="213"/>
      <c r="AD52" s="197" t="str">
        <f t="shared" si="15"/>
        <v/>
      </c>
      <c r="AE52" s="203">
        <v>43</v>
      </c>
      <c r="AF52" s="195"/>
      <c r="AG52" s="195"/>
      <c r="AH52" s="205"/>
      <c r="AI52" s="213"/>
      <c r="AJ52" s="197" t="str">
        <f t="shared" si="16"/>
        <v/>
      </c>
      <c r="AK52" s="203">
        <v>43</v>
      </c>
      <c r="AL52" s="198" t="str">
        <f t="shared" si="28"/>
        <v/>
      </c>
      <c r="AM52" s="195" t="str">
        <v/>
      </c>
      <c r="AN52" s="196" t="str">
        <v/>
      </c>
      <c r="AO52" s="254"/>
      <c r="AP52" s="256" t="str">
        <f t="shared" si="17"/>
        <v/>
      </c>
      <c r="AQ52" s="203">
        <v>43</v>
      </c>
      <c r="AR52" s="195" t="str">
        <f t="shared" si="29"/>
        <v/>
      </c>
      <c r="AS52" s="195" t="str">
        <v/>
      </c>
      <c r="AT52" s="205" t="str">
        <v/>
      </c>
      <c r="AU52" s="213"/>
      <c r="AV52" s="197" t="str">
        <f t="shared" si="18"/>
        <v/>
      </c>
      <c r="AW52" s="203">
        <v>43</v>
      </c>
      <c r="AX52" s="195" t="str">
        <f t="shared" si="30"/>
        <v/>
      </c>
      <c r="AY52" s="195" t="str">
        <v/>
      </c>
      <c r="AZ52" s="205" t="str">
        <v/>
      </c>
      <c r="BA52" s="242"/>
      <c r="BB52" s="197" t="str">
        <f t="shared" si="19"/>
        <v/>
      </c>
      <c r="BC52" s="203">
        <v>43</v>
      </c>
      <c r="BD52" s="195" t="str">
        <f t="shared" si="31"/>
        <v/>
      </c>
      <c r="BE52" s="195" t="str">
        <v/>
      </c>
      <c r="BF52" s="205" t="str">
        <v/>
      </c>
      <c r="BG52" s="242"/>
      <c r="BH52" s="197" t="str">
        <f t="shared" si="20"/>
        <v/>
      </c>
      <c r="BI52" s="203">
        <v>43</v>
      </c>
      <c r="BJ52" s="195" t="str">
        <f t="shared" si="32"/>
        <v/>
      </c>
      <c r="BK52" s="195" t="str">
        <v/>
      </c>
      <c r="BL52" s="205" t="str">
        <v/>
      </c>
      <c r="BM52" s="242"/>
      <c r="BN52" s="197" t="str">
        <f t="shared" si="21"/>
        <v/>
      </c>
      <c r="BO52" s="203">
        <v>43</v>
      </c>
      <c r="BP52" s="195" t="str">
        <f t="shared" si="33"/>
        <v/>
      </c>
      <c r="BQ52" s="195" t="str">
        <v/>
      </c>
      <c r="BR52" s="205" t="str">
        <v/>
      </c>
      <c r="BS52" s="242"/>
      <c r="BT52" s="197" t="str">
        <f t="shared" si="22"/>
        <v/>
      </c>
    </row>
    <row r="53" spans="1:72">
      <c r="A53" s="203">
        <v>44</v>
      </c>
      <c r="B53" s="195" t="str">
        <f t="shared" si="23"/>
        <v/>
      </c>
      <c r="C53" s="195" t="str">
        <v/>
      </c>
      <c r="D53" s="205" t="str">
        <v/>
      </c>
      <c r="E53" s="213"/>
      <c r="F53" s="197" t="str">
        <f t="shared" si="11"/>
        <v/>
      </c>
      <c r="G53" s="203">
        <v>44</v>
      </c>
      <c r="H53" s="195" t="str">
        <f t="shared" si="24"/>
        <v/>
      </c>
      <c r="I53" s="195" t="str">
        <v/>
      </c>
      <c r="J53" s="205" t="str">
        <v/>
      </c>
      <c r="K53" s="242"/>
      <c r="L53" s="197" t="str">
        <f t="shared" si="12"/>
        <v/>
      </c>
      <c r="M53" s="203">
        <v>44</v>
      </c>
      <c r="N53" s="195" t="str">
        <f t="shared" si="25"/>
        <v/>
      </c>
      <c r="O53" s="195" t="str">
        <v/>
      </c>
      <c r="P53" s="205" t="str">
        <v/>
      </c>
      <c r="Q53" s="213"/>
      <c r="R53" s="197" t="str">
        <f t="shared" si="13"/>
        <v/>
      </c>
      <c r="S53" s="203">
        <v>44</v>
      </c>
      <c r="T53" s="195" t="str">
        <f t="shared" si="26"/>
        <v/>
      </c>
      <c r="U53" s="195" t="str">
        <v/>
      </c>
      <c r="V53" s="205" t="str">
        <v/>
      </c>
      <c r="W53" s="213"/>
      <c r="X53" s="197" t="str">
        <f t="shared" si="14"/>
        <v/>
      </c>
      <c r="Y53" s="203">
        <v>44</v>
      </c>
      <c r="Z53" s="195" t="str">
        <f t="shared" si="27"/>
        <v/>
      </c>
      <c r="AA53" s="195" t="str">
        <v/>
      </c>
      <c r="AB53" s="205" t="str">
        <v/>
      </c>
      <c r="AC53" s="213"/>
      <c r="AD53" s="197" t="str">
        <f t="shared" si="15"/>
        <v/>
      </c>
      <c r="AE53" s="203">
        <v>44</v>
      </c>
      <c r="AF53" s="195"/>
      <c r="AG53" s="195"/>
      <c r="AH53" s="205"/>
      <c r="AI53" s="213"/>
      <c r="AJ53" s="197" t="str">
        <f t="shared" si="16"/>
        <v/>
      </c>
      <c r="AK53" s="203">
        <v>44</v>
      </c>
      <c r="AL53" s="198" t="str">
        <f t="shared" si="28"/>
        <v/>
      </c>
      <c r="AM53" s="195" t="str">
        <v/>
      </c>
      <c r="AN53" s="196" t="str">
        <v/>
      </c>
      <c r="AO53" s="254"/>
      <c r="AP53" s="256" t="str">
        <f t="shared" si="17"/>
        <v/>
      </c>
      <c r="AQ53" s="203">
        <v>44</v>
      </c>
      <c r="AR53" s="195" t="str">
        <f t="shared" si="29"/>
        <v/>
      </c>
      <c r="AS53" s="195" t="str">
        <v/>
      </c>
      <c r="AT53" s="205" t="str">
        <v/>
      </c>
      <c r="AU53" s="213"/>
      <c r="AV53" s="197" t="str">
        <f t="shared" si="18"/>
        <v/>
      </c>
      <c r="AW53" s="203">
        <v>44</v>
      </c>
      <c r="AX53" s="195" t="str">
        <f t="shared" si="30"/>
        <v/>
      </c>
      <c r="AY53" s="195" t="str">
        <v/>
      </c>
      <c r="AZ53" s="205" t="str">
        <v/>
      </c>
      <c r="BA53" s="242"/>
      <c r="BB53" s="197" t="str">
        <f t="shared" si="19"/>
        <v/>
      </c>
      <c r="BC53" s="203">
        <v>44</v>
      </c>
      <c r="BD53" s="195" t="str">
        <f t="shared" si="31"/>
        <v/>
      </c>
      <c r="BE53" s="195" t="str">
        <v/>
      </c>
      <c r="BF53" s="205" t="str">
        <v/>
      </c>
      <c r="BG53" s="242"/>
      <c r="BH53" s="197" t="str">
        <f t="shared" si="20"/>
        <v/>
      </c>
      <c r="BI53" s="203">
        <v>44</v>
      </c>
      <c r="BJ53" s="195" t="str">
        <f t="shared" si="32"/>
        <v/>
      </c>
      <c r="BK53" s="195" t="str">
        <v/>
      </c>
      <c r="BL53" s="205" t="str">
        <v/>
      </c>
      <c r="BM53" s="242"/>
      <c r="BN53" s="197" t="str">
        <f t="shared" si="21"/>
        <v/>
      </c>
      <c r="BO53" s="203">
        <v>44</v>
      </c>
      <c r="BP53" s="195" t="str">
        <f t="shared" si="33"/>
        <v/>
      </c>
      <c r="BQ53" s="195" t="str">
        <v/>
      </c>
      <c r="BR53" s="205" t="str">
        <v/>
      </c>
      <c r="BS53" s="242"/>
      <c r="BT53" s="197" t="str">
        <f t="shared" si="22"/>
        <v/>
      </c>
    </row>
    <row r="54" spans="1:72">
      <c r="A54" s="203">
        <v>45</v>
      </c>
      <c r="B54" s="195" t="str">
        <f t="shared" si="23"/>
        <v/>
      </c>
      <c r="C54" s="195" t="str">
        <v/>
      </c>
      <c r="D54" s="205" t="str">
        <v/>
      </c>
      <c r="E54" s="213"/>
      <c r="F54" s="197" t="str">
        <f t="shared" si="11"/>
        <v/>
      </c>
      <c r="G54" s="203">
        <v>45</v>
      </c>
      <c r="H54" s="195" t="str">
        <f t="shared" si="24"/>
        <v/>
      </c>
      <c r="I54" s="195" t="str">
        <v/>
      </c>
      <c r="J54" s="205" t="str">
        <v/>
      </c>
      <c r="K54" s="242"/>
      <c r="L54" s="197" t="str">
        <f t="shared" si="12"/>
        <v/>
      </c>
      <c r="M54" s="203">
        <v>45</v>
      </c>
      <c r="N54" s="195" t="str">
        <f t="shared" si="25"/>
        <v/>
      </c>
      <c r="O54" s="195" t="str">
        <v/>
      </c>
      <c r="P54" s="205" t="str">
        <v/>
      </c>
      <c r="Q54" s="213"/>
      <c r="R54" s="197" t="str">
        <f t="shared" si="13"/>
        <v/>
      </c>
      <c r="S54" s="203">
        <v>45</v>
      </c>
      <c r="T54" s="195" t="str">
        <f t="shared" si="26"/>
        <v/>
      </c>
      <c r="U54" s="195" t="str">
        <v/>
      </c>
      <c r="V54" s="205" t="str">
        <v/>
      </c>
      <c r="W54" s="213"/>
      <c r="X54" s="197" t="str">
        <f t="shared" si="14"/>
        <v/>
      </c>
      <c r="Y54" s="203">
        <v>45</v>
      </c>
      <c r="Z54" s="195" t="str">
        <f t="shared" si="27"/>
        <v/>
      </c>
      <c r="AA54" s="195" t="str">
        <v/>
      </c>
      <c r="AB54" s="205" t="str">
        <v/>
      </c>
      <c r="AC54" s="213"/>
      <c r="AD54" s="197" t="str">
        <f t="shared" si="15"/>
        <v/>
      </c>
      <c r="AE54" s="203">
        <v>45</v>
      </c>
      <c r="AF54" s="195"/>
      <c r="AG54" s="195"/>
      <c r="AH54" s="205"/>
      <c r="AI54" s="213"/>
      <c r="AJ54" s="197" t="str">
        <f t="shared" si="16"/>
        <v/>
      </c>
      <c r="AK54" s="203">
        <v>45</v>
      </c>
      <c r="AL54" s="198" t="str">
        <f t="shared" si="28"/>
        <v/>
      </c>
      <c r="AM54" s="195" t="str">
        <v/>
      </c>
      <c r="AN54" s="196" t="str">
        <v/>
      </c>
      <c r="AO54" s="254"/>
      <c r="AP54" s="256" t="str">
        <f t="shared" si="17"/>
        <v/>
      </c>
      <c r="AQ54" s="203">
        <v>45</v>
      </c>
      <c r="AR54" s="195" t="str">
        <f t="shared" si="29"/>
        <v/>
      </c>
      <c r="AS54" s="195" t="str">
        <v/>
      </c>
      <c r="AT54" s="205" t="str">
        <v/>
      </c>
      <c r="AU54" s="213"/>
      <c r="AV54" s="197" t="str">
        <f t="shared" si="18"/>
        <v/>
      </c>
      <c r="AW54" s="203">
        <v>45</v>
      </c>
      <c r="AX54" s="195" t="str">
        <f t="shared" si="30"/>
        <v/>
      </c>
      <c r="AY54" s="195" t="str">
        <v/>
      </c>
      <c r="AZ54" s="205" t="str">
        <v/>
      </c>
      <c r="BA54" s="242"/>
      <c r="BB54" s="197" t="str">
        <f t="shared" si="19"/>
        <v/>
      </c>
      <c r="BC54" s="203">
        <v>45</v>
      </c>
      <c r="BD54" s="195" t="str">
        <f t="shared" si="31"/>
        <v/>
      </c>
      <c r="BE54" s="195" t="str">
        <v/>
      </c>
      <c r="BF54" s="205" t="str">
        <v/>
      </c>
      <c r="BG54" s="242"/>
      <c r="BH54" s="197" t="str">
        <f t="shared" si="20"/>
        <v/>
      </c>
      <c r="BI54" s="203">
        <v>45</v>
      </c>
      <c r="BJ54" s="195" t="str">
        <f t="shared" si="32"/>
        <v/>
      </c>
      <c r="BK54" s="195" t="str">
        <v/>
      </c>
      <c r="BL54" s="205" t="str">
        <v/>
      </c>
      <c r="BM54" s="242"/>
      <c r="BN54" s="197" t="str">
        <f t="shared" si="21"/>
        <v/>
      </c>
      <c r="BO54" s="203">
        <v>45</v>
      </c>
      <c r="BP54" s="195" t="str">
        <f t="shared" si="33"/>
        <v/>
      </c>
      <c r="BQ54" s="195" t="str">
        <v/>
      </c>
      <c r="BR54" s="205" t="str">
        <v/>
      </c>
      <c r="BS54" s="242"/>
      <c r="BT54" s="197" t="str">
        <f t="shared" si="22"/>
        <v/>
      </c>
    </row>
    <row r="55" spans="1:72">
      <c r="A55" s="203">
        <v>46</v>
      </c>
      <c r="B55" s="195" t="str">
        <f t="shared" si="23"/>
        <v/>
      </c>
      <c r="C55" s="195" t="str">
        <v/>
      </c>
      <c r="D55" s="205" t="str">
        <v/>
      </c>
      <c r="E55" s="213"/>
      <c r="F55" s="197" t="str">
        <f t="shared" si="11"/>
        <v/>
      </c>
      <c r="G55" s="203">
        <v>46</v>
      </c>
      <c r="H55" s="195" t="str">
        <f t="shared" si="24"/>
        <v/>
      </c>
      <c r="I55" s="195" t="str">
        <v/>
      </c>
      <c r="J55" s="205" t="str">
        <v/>
      </c>
      <c r="K55" s="242"/>
      <c r="L55" s="197" t="str">
        <f t="shared" si="12"/>
        <v/>
      </c>
      <c r="M55" s="203">
        <v>46</v>
      </c>
      <c r="N55" s="195" t="str">
        <f t="shared" si="25"/>
        <v/>
      </c>
      <c r="O55" s="195" t="str">
        <v/>
      </c>
      <c r="P55" s="205" t="str">
        <v/>
      </c>
      <c r="Q55" s="213"/>
      <c r="R55" s="197" t="str">
        <f t="shared" si="13"/>
        <v/>
      </c>
      <c r="S55" s="203">
        <v>46</v>
      </c>
      <c r="T55" s="195" t="str">
        <f t="shared" si="26"/>
        <v/>
      </c>
      <c r="U55" s="195" t="str">
        <v/>
      </c>
      <c r="V55" s="205" t="str">
        <v/>
      </c>
      <c r="W55" s="213"/>
      <c r="X55" s="197" t="str">
        <f t="shared" si="14"/>
        <v/>
      </c>
      <c r="Y55" s="203">
        <v>46</v>
      </c>
      <c r="Z55" s="195" t="str">
        <f t="shared" si="27"/>
        <v/>
      </c>
      <c r="AA55" s="195" t="str">
        <v/>
      </c>
      <c r="AB55" s="205" t="str">
        <v/>
      </c>
      <c r="AC55" s="213"/>
      <c r="AD55" s="197" t="str">
        <f t="shared" si="15"/>
        <v/>
      </c>
      <c r="AE55" s="203">
        <v>46</v>
      </c>
      <c r="AF55" s="195"/>
      <c r="AG55" s="195"/>
      <c r="AH55" s="205"/>
      <c r="AI55" s="213"/>
      <c r="AJ55" s="197" t="str">
        <f t="shared" si="16"/>
        <v/>
      </c>
      <c r="AK55" s="203">
        <v>46</v>
      </c>
      <c r="AL55" s="198" t="str">
        <f t="shared" si="28"/>
        <v/>
      </c>
      <c r="AM55" s="195" t="str">
        <v/>
      </c>
      <c r="AN55" s="196" t="str">
        <v/>
      </c>
      <c r="AO55" s="254"/>
      <c r="AP55" s="256" t="str">
        <f t="shared" si="17"/>
        <v/>
      </c>
      <c r="AQ55" s="203">
        <v>46</v>
      </c>
      <c r="AR55" s="195" t="str">
        <f t="shared" si="29"/>
        <v/>
      </c>
      <c r="AS55" s="195" t="str">
        <v/>
      </c>
      <c r="AT55" s="205" t="str">
        <v/>
      </c>
      <c r="AU55" s="213"/>
      <c r="AV55" s="197" t="str">
        <f t="shared" si="18"/>
        <v/>
      </c>
      <c r="AW55" s="203">
        <v>46</v>
      </c>
      <c r="AX55" s="195" t="str">
        <f t="shared" si="30"/>
        <v/>
      </c>
      <c r="AY55" s="195" t="str">
        <v/>
      </c>
      <c r="AZ55" s="205" t="str">
        <v/>
      </c>
      <c r="BA55" s="242"/>
      <c r="BB55" s="197" t="str">
        <f t="shared" si="19"/>
        <v/>
      </c>
      <c r="BC55" s="203">
        <v>46</v>
      </c>
      <c r="BD55" s="195" t="str">
        <f t="shared" si="31"/>
        <v/>
      </c>
      <c r="BE55" s="195" t="str">
        <v/>
      </c>
      <c r="BF55" s="205" t="str">
        <v/>
      </c>
      <c r="BG55" s="242"/>
      <c r="BH55" s="197" t="str">
        <f t="shared" si="20"/>
        <v/>
      </c>
      <c r="BI55" s="203">
        <v>46</v>
      </c>
      <c r="BJ55" s="195" t="str">
        <f t="shared" si="32"/>
        <v/>
      </c>
      <c r="BK55" s="195" t="str">
        <v/>
      </c>
      <c r="BL55" s="205" t="str">
        <v/>
      </c>
      <c r="BM55" s="242"/>
      <c r="BN55" s="197" t="str">
        <f t="shared" si="21"/>
        <v/>
      </c>
      <c r="BO55" s="203">
        <v>46</v>
      </c>
      <c r="BP55" s="195" t="str">
        <f t="shared" si="33"/>
        <v/>
      </c>
      <c r="BQ55" s="195" t="str">
        <v/>
      </c>
      <c r="BR55" s="205" t="str">
        <v/>
      </c>
      <c r="BS55" s="242"/>
      <c r="BT55" s="197" t="str">
        <f t="shared" si="22"/>
        <v/>
      </c>
    </row>
    <row r="56" spans="1:72">
      <c r="A56" s="203">
        <v>47</v>
      </c>
      <c r="B56" s="195" t="str">
        <f t="shared" si="23"/>
        <v/>
      </c>
      <c r="C56" s="195" t="str">
        <v/>
      </c>
      <c r="D56" s="205" t="str">
        <v/>
      </c>
      <c r="E56" s="213"/>
      <c r="F56" s="197" t="str">
        <f t="shared" si="11"/>
        <v/>
      </c>
      <c r="G56" s="203">
        <v>47</v>
      </c>
      <c r="H56" s="195" t="str">
        <f t="shared" si="24"/>
        <v/>
      </c>
      <c r="I56" s="195" t="str">
        <v/>
      </c>
      <c r="J56" s="205" t="str">
        <v/>
      </c>
      <c r="K56" s="242"/>
      <c r="L56" s="197" t="str">
        <f t="shared" si="12"/>
        <v/>
      </c>
      <c r="M56" s="203">
        <v>47</v>
      </c>
      <c r="N56" s="195" t="str">
        <f t="shared" si="25"/>
        <v/>
      </c>
      <c r="O56" s="195" t="str">
        <v/>
      </c>
      <c r="P56" s="205" t="str">
        <v/>
      </c>
      <c r="Q56" s="213"/>
      <c r="R56" s="197" t="str">
        <f t="shared" si="13"/>
        <v/>
      </c>
      <c r="S56" s="203">
        <v>47</v>
      </c>
      <c r="T56" s="195" t="str">
        <f t="shared" si="26"/>
        <v/>
      </c>
      <c r="U56" s="195" t="str">
        <v/>
      </c>
      <c r="V56" s="205" t="str">
        <v/>
      </c>
      <c r="W56" s="213"/>
      <c r="X56" s="197" t="str">
        <f t="shared" si="14"/>
        <v/>
      </c>
      <c r="Y56" s="203">
        <v>47</v>
      </c>
      <c r="Z56" s="195" t="str">
        <f t="shared" si="27"/>
        <v/>
      </c>
      <c r="AA56" s="195" t="str">
        <v/>
      </c>
      <c r="AB56" s="205" t="str">
        <v/>
      </c>
      <c r="AC56" s="213"/>
      <c r="AD56" s="197" t="str">
        <f t="shared" si="15"/>
        <v/>
      </c>
      <c r="AE56" s="203">
        <v>47</v>
      </c>
      <c r="AF56" s="195"/>
      <c r="AG56" s="195"/>
      <c r="AH56" s="205"/>
      <c r="AI56" s="213"/>
      <c r="AJ56" s="197" t="str">
        <f t="shared" si="16"/>
        <v/>
      </c>
      <c r="AK56" s="203">
        <v>47</v>
      </c>
      <c r="AL56" s="198" t="str">
        <f t="shared" si="28"/>
        <v/>
      </c>
      <c r="AM56" s="195" t="str">
        <v/>
      </c>
      <c r="AN56" s="196" t="str">
        <v/>
      </c>
      <c r="AO56" s="254"/>
      <c r="AP56" s="256" t="str">
        <f t="shared" si="17"/>
        <v/>
      </c>
      <c r="AQ56" s="203">
        <v>47</v>
      </c>
      <c r="AR56" s="195" t="str">
        <f t="shared" si="29"/>
        <v/>
      </c>
      <c r="AS56" s="195" t="str">
        <v/>
      </c>
      <c r="AT56" s="205" t="str">
        <v/>
      </c>
      <c r="AU56" s="213"/>
      <c r="AV56" s="197" t="str">
        <f t="shared" si="18"/>
        <v/>
      </c>
      <c r="AW56" s="203">
        <v>47</v>
      </c>
      <c r="AX56" s="195" t="str">
        <f t="shared" si="30"/>
        <v/>
      </c>
      <c r="AY56" s="195" t="str">
        <v/>
      </c>
      <c r="AZ56" s="205" t="str">
        <v/>
      </c>
      <c r="BA56" s="242"/>
      <c r="BB56" s="197" t="str">
        <f t="shared" si="19"/>
        <v/>
      </c>
      <c r="BC56" s="203">
        <v>47</v>
      </c>
      <c r="BD56" s="195" t="str">
        <f t="shared" si="31"/>
        <v/>
      </c>
      <c r="BE56" s="195" t="str">
        <v/>
      </c>
      <c r="BF56" s="205" t="str">
        <v/>
      </c>
      <c r="BG56" s="242"/>
      <c r="BH56" s="197" t="str">
        <f t="shared" si="20"/>
        <v/>
      </c>
      <c r="BI56" s="203">
        <v>47</v>
      </c>
      <c r="BJ56" s="195" t="str">
        <f t="shared" si="32"/>
        <v/>
      </c>
      <c r="BK56" s="195" t="str">
        <v/>
      </c>
      <c r="BL56" s="205" t="str">
        <v/>
      </c>
      <c r="BM56" s="242"/>
      <c r="BN56" s="197" t="str">
        <f t="shared" si="21"/>
        <v/>
      </c>
      <c r="BO56" s="203">
        <v>47</v>
      </c>
      <c r="BP56" s="195" t="str">
        <f t="shared" si="33"/>
        <v/>
      </c>
      <c r="BQ56" s="195" t="str">
        <v/>
      </c>
      <c r="BR56" s="205" t="str">
        <v/>
      </c>
      <c r="BS56" s="242"/>
      <c r="BT56" s="197" t="str">
        <f t="shared" si="22"/>
        <v/>
      </c>
    </row>
    <row r="57" spans="1:72">
      <c r="A57" s="203">
        <v>48</v>
      </c>
      <c r="B57" s="195" t="str">
        <f t="shared" si="23"/>
        <v/>
      </c>
      <c r="C57" s="195" t="str">
        <v/>
      </c>
      <c r="D57" s="205" t="str">
        <v/>
      </c>
      <c r="E57" s="213"/>
      <c r="F57" s="197" t="str">
        <f t="shared" si="11"/>
        <v/>
      </c>
      <c r="G57" s="203">
        <v>48</v>
      </c>
      <c r="H57" s="195" t="str">
        <f t="shared" si="24"/>
        <v/>
      </c>
      <c r="I57" s="195" t="str">
        <v/>
      </c>
      <c r="J57" s="205" t="str">
        <v/>
      </c>
      <c r="K57" s="242"/>
      <c r="L57" s="197" t="str">
        <f t="shared" si="12"/>
        <v/>
      </c>
      <c r="M57" s="203">
        <v>48</v>
      </c>
      <c r="N57" s="195" t="str">
        <f t="shared" si="25"/>
        <v/>
      </c>
      <c r="O57" s="195" t="str">
        <v/>
      </c>
      <c r="P57" s="205" t="str">
        <v/>
      </c>
      <c r="Q57" s="213"/>
      <c r="R57" s="197" t="str">
        <f t="shared" si="13"/>
        <v/>
      </c>
      <c r="S57" s="203">
        <v>48</v>
      </c>
      <c r="T57" s="195" t="str">
        <f t="shared" si="26"/>
        <v/>
      </c>
      <c r="U57" s="195" t="str">
        <v/>
      </c>
      <c r="V57" s="205" t="str">
        <v/>
      </c>
      <c r="W57" s="213"/>
      <c r="X57" s="197" t="str">
        <f t="shared" si="14"/>
        <v/>
      </c>
      <c r="Y57" s="203">
        <v>48</v>
      </c>
      <c r="Z57" s="195" t="str">
        <f t="shared" si="27"/>
        <v/>
      </c>
      <c r="AA57" s="195" t="str">
        <v/>
      </c>
      <c r="AB57" s="205" t="str">
        <v/>
      </c>
      <c r="AC57" s="213"/>
      <c r="AD57" s="197" t="str">
        <f t="shared" si="15"/>
        <v/>
      </c>
      <c r="AE57" s="203">
        <v>48</v>
      </c>
      <c r="AF57" s="195"/>
      <c r="AG57" s="195"/>
      <c r="AH57" s="205"/>
      <c r="AI57" s="213"/>
      <c r="AJ57" s="197" t="str">
        <f t="shared" si="16"/>
        <v/>
      </c>
      <c r="AK57" s="203">
        <v>48</v>
      </c>
      <c r="AL57" s="198" t="str">
        <f t="shared" si="28"/>
        <v/>
      </c>
      <c r="AM57" s="195" t="str">
        <v/>
      </c>
      <c r="AN57" s="196" t="str">
        <v/>
      </c>
      <c r="AO57" s="254"/>
      <c r="AP57" s="256" t="str">
        <f t="shared" si="17"/>
        <v/>
      </c>
      <c r="AQ57" s="203">
        <v>48</v>
      </c>
      <c r="AR57" s="195" t="str">
        <f t="shared" si="29"/>
        <v/>
      </c>
      <c r="AS57" s="195" t="str">
        <v/>
      </c>
      <c r="AT57" s="205" t="str">
        <v/>
      </c>
      <c r="AU57" s="213"/>
      <c r="AV57" s="197" t="str">
        <f t="shared" si="18"/>
        <v/>
      </c>
      <c r="AW57" s="203">
        <v>48</v>
      </c>
      <c r="AX57" s="195" t="str">
        <f t="shared" si="30"/>
        <v/>
      </c>
      <c r="AY57" s="195" t="str">
        <v/>
      </c>
      <c r="AZ57" s="205" t="str">
        <v/>
      </c>
      <c r="BA57" s="242"/>
      <c r="BB57" s="197" t="str">
        <f t="shared" si="19"/>
        <v/>
      </c>
      <c r="BC57" s="203">
        <v>48</v>
      </c>
      <c r="BD57" s="195" t="str">
        <f t="shared" si="31"/>
        <v/>
      </c>
      <c r="BE57" s="195" t="str">
        <v/>
      </c>
      <c r="BF57" s="205" t="str">
        <v/>
      </c>
      <c r="BG57" s="242"/>
      <c r="BH57" s="197" t="str">
        <f t="shared" si="20"/>
        <v/>
      </c>
      <c r="BI57" s="203">
        <v>48</v>
      </c>
      <c r="BJ57" s="195" t="str">
        <f t="shared" si="32"/>
        <v/>
      </c>
      <c r="BK57" s="195" t="str">
        <v/>
      </c>
      <c r="BL57" s="205" t="str">
        <v/>
      </c>
      <c r="BM57" s="242"/>
      <c r="BN57" s="197" t="str">
        <f t="shared" si="21"/>
        <v/>
      </c>
      <c r="BO57" s="203">
        <v>48</v>
      </c>
      <c r="BP57" s="195" t="str">
        <f t="shared" si="33"/>
        <v/>
      </c>
      <c r="BQ57" s="195" t="str">
        <v/>
      </c>
      <c r="BR57" s="205" t="str">
        <v/>
      </c>
      <c r="BS57" s="242"/>
      <c r="BT57" s="197" t="str">
        <f t="shared" si="22"/>
        <v/>
      </c>
    </row>
    <row r="58" spans="1:72">
      <c r="A58" s="203">
        <v>49</v>
      </c>
      <c r="B58" s="195" t="str">
        <f t="shared" si="23"/>
        <v/>
      </c>
      <c r="C58" s="195" t="str">
        <v/>
      </c>
      <c r="D58" s="205" t="str">
        <v/>
      </c>
      <c r="E58" s="213"/>
      <c r="F58" s="197" t="str">
        <f t="shared" si="11"/>
        <v/>
      </c>
      <c r="G58" s="203">
        <v>49</v>
      </c>
      <c r="H58" s="195" t="str">
        <f t="shared" si="24"/>
        <v/>
      </c>
      <c r="I58" s="195" t="str">
        <v/>
      </c>
      <c r="J58" s="205" t="str">
        <v/>
      </c>
      <c r="K58" s="242"/>
      <c r="L58" s="197" t="str">
        <f t="shared" si="12"/>
        <v/>
      </c>
      <c r="M58" s="203">
        <v>49</v>
      </c>
      <c r="N58" s="195" t="str">
        <f t="shared" si="25"/>
        <v/>
      </c>
      <c r="O58" s="195" t="str">
        <v/>
      </c>
      <c r="P58" s="205" t="str">
        <v/>
      </c>
      <c r="Q58" s="213"/>
      <c r="R58" s="197" t="str">
        <f t="shared" si="13"/>
        <v/>
      </c>
      <c r="S58" s="203">
        <v>49</v>
      </c>
      <c r="T58" s="195" t="str">
        <f t="shared" si="26"/>
        <v/>
      </c>
      <c r="U58" s="195" t="str">
        <v/>
      </c>
      <c r="V58" s="205" t="str">
        <v/>
      </c>
      <c r="W58" s="213"/>
      <c r="X58" s="197" t="str">
        <f t="shared" si="14"/>
        <v/>
      </c>
      <c r="Y58" s="203">
        <v>49</v>
      </c>
      <c r="Z58" s="195" t="str">
        <f t="shared" si="27"/>
        <v/>
      </c>
      <c r="AA58" s="195" t="str">
        <v/>
      </c>
      <c r="AB58" s="205" t="str">
        <v/>
      </c>
      <c r="AC58" s="213"/>
      <c r="AD58" s="197" t="str">
        <f t="shared" si="15"/>
        <v/>
      </c>
      <c r="AE58" s="203">
        <v>49</v>
      </c>
      <c r="AF58" s="195"/>
      <c r="AG58" s="195"/>
      <c r="AH58" s="205"/>
      <c r="AI58" s="213"/>
      <c r="AJ58" s="197" t="str">
        <f t="shared" si="16"/>
        <v/>
      </c>
      <c r="AK58" s="203">
        <v>49</v>
      </c>
      <c r="AL58" s="198" t="str">
        <f t="shared" si="28"/>
        <v/>
      </c>
      <c r="AM58" s="195" t="str">
        <v/>
      </c>
      <c r="AN58" s="196" t="str">
        <v/>
      </c>
      <c r="AO58" s="254"/>
      <c r="AP58" s="256" t="str">
        <f t="shared" si="17"/>
        <v/>
      </c>
      <c r="AQ58" s="203">
        <v>49</v>
      </c>
      <c r="AR58" s="195" t="str">
        <f t="shared" si="29"/>
        <v/>
      </c>
      <c r="AS58" s="195" t="str">
        <v/>
      </c>
      <c r="AT58" s="205" t="str">
        <v/>
      </c>
      <c r="AU58" s="213"/>
      <c r="AV58" s="197" t="str">
        <f t="shared" si="18"/>
        <v/>
      </c>
      <c r="AW58" s="203">
        <v>49</v>
      </c>
      <c r="AX58" s="195" t="str">
        <f t="shared" si="30"/>
        <v/>
      </c>
      <c r="AY58" s="195" t="str">
        <v/>
      </c>
      <c r="AZ58" s="205" t="str">
        <v/>
      </c>
      <c r="BA58" s="242"/>
      <c r="BB58" s="197" t="str">
        <f t="shared" si="19"/>
        <v/>
      </c>
      <c r="BC58" s="203">
        <v>49</v>
      </c>
      <c r="BD58" s="195" t="str">
        <f t="shared" si="31"/>
        <v/>
      </c>
      <c r="BE58" s="195" t="str">
        <v/>
      </c>
      <c r="BF58" s="205" t="str">
        <v/>
      </c>
      <c r="BG58" s="242"/>
      <c r="BH58" s="197" t="str">
        <f t="shared" si="20"/>
        <v/>
      </c>
      <c r="BI58" s="203">
        <v>49</v>
      </c>
      <c r="BJ58" s="195" t="str">
        <f t="shared" si="32"/>
        <v/>
      </c>
      <c r="BK58" s="195" t="str">
        <v/>
      </c>
      <c r="BL58" s="205" t="str">
        <v/>
      </c>
      <c r="BM58" s="242"/>
      <c r="BN58" s="197" t="str">
        <f t="shared" si="21"/>
        <v/>
      </c>
      <c r="BO58" s="203">
        <v>49</v>
      </c>
      <c r="BP58" s="195" t="str">
        <f t="shared" si="33"/>
        <v/>
      </c>
      <c r="BQ58" s="195" t="str">
        <v/>
      </c>
      <c r="BR58" s="205" t="str">
        <v/>
      </c>
      <c r="BS58" s="242"/>
      <c r="BT58" s="197" t="str">
        <f t="shared" si="22"/>
        <v/>
      </c>
    </row>
    <row r="59" spans="1:72">
      <c r="A59" s="203">
        <v>50</v>
      </c>
      <c r="B59" s="195" t="str">
        <f t="shared" si="23"/>
        <v/>
      </c>
      <c r="C59" s="195" t="str">
        <v/>
      </c>
      <c r="D59" s="205" t="str">
        <v/>
      </c>
      <c r="E59" s="213"/>
      <c r="F59" s="197" t="str">
        <f t="shared" si="11"/>
        <v/>
      </c>
      <c r="G59" s="203">
        <v>50</v>
      </c>
      <c r="H59" s="195" t="str">
        <f t="shared" si="24"/>
        <v/>
      </c>
      <c r="I59" s="195" t="str">
        <v/>
      </c>
      <c r="J59" s="205" t="str">
        <v/>
      </c>
      <c r="K59" s="242"/>
      <c r="L59" s="197" t="str">
        <f t="shared" si="12"/>
        <v/>
      </c>
      <c r="M59" s="203">
        <v>50</v>
      </c>
      <c r="N59" s="195" t="str">
        <f t="shared" si="25"/>
        <v/>
      </c>
      <c r="O59" s="195" t="str">
        <v/>
      </c>
      <c r="P59" s="205" t="str">
        <v/>
      </c>
      <c r="Q59" s="213"/>
      <c r="R59" s="197" t="str">
        <f t="shared" si="13"/>
        <v/>
      </c>
      <c r="S59" s="203">
        <v>50</v>
      </c>
      <c r="T59" s="195" t="str">
        <f t="shared" si="26"/>
        <v/>
      </c>
      <c r="U59" s="195" t="str">
        <v/>
      </c>
      <c r="V59" s="205" t="str">
        <v/>
      </c>
      <c r="W59" s="213"/>
      <c r="X59" s="197" t="str">
        <f t="shared" si="14"/>
        <v/>
      </c>
      <c r="Y59" s="203">
        <v>50</v>
      </c>
      <c r="Z59" s="195" t="str">
        <f t="shared" si="27"/>
        <v/>
      </c>
      <c r="AA59" s="195" t="str">
        <v/>
      </c>
      <c r="AB59" s="205" t="str">
        <v/>
      </c>
      <c r="AC59" s="213"/>
      <c r="AD59" s="197" t="str">
        <f t="shared" si="15"/>
        <v/>
      </c>
      <c r="AE59" s="203">
        <v>50</v>
      </c>
      <c r="AF59" s="195"/>
      <c r="AG59" s="195"/>
      <c r="AH59" s="205"/>
      <c r="AI59" s="213"/>
      <c r="AJ59" s="197" t="str">
        <f t="shared" si="16"/>
        <v/>
      </c>
      <c r="AK59" s="203">
        <v>50</v>
      </c>
      <c r="AL59" s="198" t="str">
        <f t="shared" si="28"/>
        <v/>
      </c>
      <c r="AM59" s="195" t="str">
        <v/>
      </c>
      <c r="AN59" s="196" t="str">
        <v/>
      </c>
      <c r="AO59" s="254"/>
      <c r="AP59" s="256" t="str">
        <f t="shared" si="17"/>
        <v/>
      </c>
      <c r="AQ59" s="203">
        <v>50</v>
      </c>
      <c r="AR59" s="195" t="str">
        <f t="shared" si="29"/>
        <v/>
      </c>
      <c r="AS59" s="195" t="str">
        <v/>
      </c>
      <c r="AT59" s="205" t="str">
        <v/>
      </c>
      <c r="AU59" s="213"/>
      <c r="AV59" s="197" t="str">
        <f t="shared" si="18"/>
        <v/>
      </c>
      <c r="AW59" s="203">
        <v>50</v>
      </c>
      <c r="AX59" s="195" t="str">
        <f t="shared" si="30"/>
        <v/>
      </c>
      <c r="AY59" s="195" t="str">
        <v/>
      </c>
      <c r="AZ59" s="205" t="str">
        <v/>
      </c>
      <c r="BA59" s="242"/>
      <c r="BB59" s="197" t="str">
        <f t="shared" si="19"/>
        <v/>
      </c>
      <c r="BC59" s="203">
        <v>50</v>
      </c>
      <c r="BD59" s="195" t="str">
        <f t="shared" si="31"/>
        <v/>
      </c>
      <c r="BE59" s="195" t="str">
        <v/>
      </c>
      <c r="BF59" s="205" t="str">
        <v/>
      </c>
      <c r="BG59" s="242"/>
      <c r="BH59" s="197" t="str">
        <f t="shared" si="20"/>
        <v/>
      </c>
      <c r="BI59" s="203">
        <v>50</v>
      </c>
      <c r="BJ59" s="195" t="str">
        <f t="shared" si="32"/>
        <v/>
      </c>
      <c r="BK59" s="195" t="str">
        <v/>
      </c>
      <c r="BL59" s="205" t="str">
        <v/>
      </c>
      <c r="BM59" s="242"/>
      <c r="BN59" s="197" t="str">
        <f t="shared" si="21"/>
        <v/>
      </c>
      <c r="BO59" s="203">
        <v>50</v>
      </c>
      <c r="BP59" s="195" t="str">
        <f t="shared" si="33"/>
        <v/>
      </c>
      <c r="BQ59" s="195" t="str">
        <v/>
      </c>
      <c r="BR59" s="205" t="str">
        <v/>
      </c>
      <c r="BS59" s="242"/>
      <c r="BT59" s="197" t="str">
        <f t="shared" si="22"/>
        <v/>
      </c>
    </row>
    <row r="60" spans="1:72">
      <c r="A60" s="203">
        <v>51</v>
      </c>
      <c r="B60" s="195" t="str">
        <f t="shared" si="23"/>
        <v/>
      </c>
      <c r="C60" s="195" t="str">
        <v/>
      </c>
      <c r="D60" s="205" t="str">
        <v/>
      </c>
      <c r="E60" s="213"/>
      <c r="F60" s="197" t="str">
        <f t="shared" si="11"/>
        <v/>
      </c>
      <c r="G60" s="203">
        <v>51</v>
      </c>
      <c r="H60" s="195" t="str">
        <f t="shared" si="24"/>
        <v/>
      </c>
      <c r="I60" s="195" t="str">
        <v/>
      </c>
      <c r="J60" s="205" t="str">
        <v/>
      </c>
      <c r="K60" s="242"/>
      <c r="L60" s="197" t="str">
        <f t="shared" si="12"/>
        <v/>
      </c>
      <c r="M60" s="203">
        <v>51</v>
      </c>
      <c r="N60" s="195" t="str">
        <f t="shared" si="25"/>
        <v/>
      </c>
      <c r="O60" s="195" t="str">
        <v/>
      </c>
      <c r="P60" s="205" t="str">
        <v/>
      </c>
      <c r="Q60" s="213"/>
      <c r="R60" s="197" t="str">
        <f t="shared" si="13"/>
        <v/>
      </c>
      <c r="S60" s="203">
        <v>51</v>
      </c>
      <c r="T60" s="195" t="str">
        <f t="shared" si="26"/>
        <v/>
      </c>
      <c r="U60" s="195" t="str">
        <v/>
      </c>
      <c r="V60" s="205" t="str">
        <v/>
      </c>
      <c r="W60" s="213"/>
      <c r="X60" s="197" t="str">
        <f t="shared" si="14"/>
        <v/>
      </c>
      <c r="Y60" s="203">
        <v>51</v>
      </c>
      <c r="Z60" s="195" t="str">
        <f t="shared" si="27"/>
        <v/>
      </c>
      <c r="AA60" s="195" t="str">
        <v/>
      </c>
      <c r="AB60" s="205" t="str">
        <v/>
      </c>
      <c r="AC60" s="213"/>
      <c r="AD60" s="197" t="str">
        <f t="shared" si="15"/>
        <v/>
      </c>
      <c r="AE60" s="203">
        <v>51</v>
      </c>
      <c r="AF60" s="195"/>
      <c r="AG60" s="195"/>
      <c r="AH60" s="205"/>
      <c r="AI60" s="213"/>
      <c r="AJ60" s="197" t="str">
        <f t="shared" si="16"/>
        <v/>
      </c>
      <c r="AK60" s="203">
        <v>51</v>
      </c>
      <c r="AL60" s="198" t="str">
        <f t="shared" si="28"/>
        <v/>
      </c>
      <c r="AM60" s="195" t="str">
        <v/>
      </c>
      <c r="AN60" s="196" t="str">
        <v/>
      </c>
      <c r="AO60" s="254"/>
      <c r="AP60" s="256" t="str">
        <f t="shared" si="17"/>
        <v/>
      </c>
      <c r="AQ60" s="203">
        <v>51</v>
      </c>
      <c r="AR60" s="195" t="str">
        <f t="shared" si="29"/>
        <v/>
      </c>
      <c r="AS60" s="195" t="str">
        <v/>
      </c>
      <c r="AT60" s="205" t="str">
        <v/>
      </c>
      <c r="AU60" s="213"/>
      <c r="AV60" s="197" t="str">
        <f t="shared" si="18"/>
        <v/>
      </c>
      <c r="AW60" s="203">
        <v>51</v>
      </c>
      <c r="AX60" s="195" t="str">
        <f t="shared" si="30"/>
        <v/>
      </c>
      <c r="AY60" s="195" t="str">
        <v/>
      </c>
      <c r="AZ60" s="205" t="str">
        <v/>
      </c>
      <c r="BA60" s="242"/>
      <c r="BB60" s="197" t="str">
        <f t="shared" si="19"/>
        <v/>
      </c>
      <c r="BC60" s="203">
        <v>51</v>
      </c>
      <c r="BD60" s="195" t="str">
        <f t="shared" si="31"/>
        <v/>
      </c>
      <c r="BE60" s="195" t="str">
        <v/>
      </c>
      <c r="BF60" s="205" t="str">
        <v/>
      </c>
      <c r="BG60" s="242"/>
      <c r="BH60" s="197" t="str">
        <f t="shared" si="20"/>
        <v/>
      </c>
      <c r="BI60" s="203">
        <v>51</v>
      </c>
      <c r="BJ60" s="195" t="str">
        <f t="shared" si="32"/>
        <v/>
      </c>
      <c r="BK60" s="195" t="str">
        <v/>
      </c>
      <c r="BL60" s="205" t="str">
        <v/>
      </c>
      <c r="BM60" s="242"/>
      <c r="BN60" s="197" t="str">
        <f t="shared" si="21"/>
        <v/>
      </c>
      <c r="BO60" s="203">
        <v>51</v>
      </c>
      <c r="BP60" s="195" t="str">
        <f t="shared" si="33"/>
        <v/>
      </c>
      <c r="BQ60" s="195" t="str">
        <v/>
      </c>
      <c r="BR60" s="205" t="str">
        <v/>
      </c>
      <c r="BS60" s="242"/>
      <c r="BT60" s="197" t="str">
        <f t="shared" si="22"/>
        <v/>
      </c>
    </row>
    <row r="61" spans="1:72">
      <c r="A61" s="203">
        <v>52</v>
      </c>
      <c r="B61" s="195" t="str">
        <f t="shared" si="23"/>
        <v/>
      </c>
      <c r="C61" s="195" t="str">
        <v/>
      </c>
      <c r="D61" s="205" t="str">
        <v/>
      </c>
      <c r="E61" s="213"/>
      <c r="F61" s="197" t="str">
        <f t="shared" si="11"/>
        <v/>
      </c>
      <c r="G61" s="203">
        <v>52</v>
      </c>
      <c r="H61" s="195" t="str">
        <f t="shared" si="24"/>
        <v/>
      </c>
      <c r="I61" s="195" t="str">
        <v/>
      </c>
      <c r="J61" s="205" t="str">
        <v/>
      </c>
      <c r="K61" s="242"/>
      <c r="L61" s="197" t="str">
        <f t="shared" si="12"/>
        <v/>
      </c>
      <c r="M61" s="203">
        <v>52</v>
      </c>
      <c r="N61" s="195" t="str">
        <f t="shared" si="25"/>
        <v/>
      </c>
      <c r="O61" s="195" t="str">
        <v/>
      </c>
      <c r="P61" s="205" t="str">
        <v/>
      </c>
      <c r="Q61" s="213"/>
      <c r="R61" s="197" t="str">
        <f t="shared" si="13"/>
        <v/>
      </c>
      <c r="S61" s="203">
        <v>52</v>
      </c>
      <c r="T61" s="195" t="str">
        <f t="shared" si="26"/>
        <v/>
      </c>
      <c r="U61" s="195" t="str">
        <v/>
      </c>
      <c r="V61" s="205" t="str">
        <v/>
      </c>
      <c r="W61" s="213"/>
      <c r="X61" s="197" t="str">
        <f t="shared" si="14"/>
        <v/>
      </c>
      <c r="Y61" s="203">
        <v>52</v>
      </c>
      <c r="Z61" s="195" t="str">
        <f t="shared" si="27"/>
        <v/>
      </c>
      <c r="AA61" s="195" t="str">
        <v/>
      </c>
      <c r="AB61" s="205" t="str">
        <v/>
      </c>
      <c r="AC61" s="213"/>
      <c r="AD61" s="197" t="str">
        <f t="shared" si="15"/>
        <v/>
      </c>
      <c r="AE61" s="203">
        <v>52</v>
      </c>
      <c r="AF61" s="195"/>
      <c r="AG61" s="195"/>
      <c r="AH61" s="205"/>
      <c r="AI61" s="213"/>
      <c r="AJ61" s="197" t="str">
        <f t="shared" si="16"/>
        <v/>
      </c>
      <c r="AK61" s="203">
        <v>52</v>
      </c>
      <c r="AL61" s="198" t="str">
        <f t="shared" si="28"/>
        <v/>
      </c>
      <c r="AM61" s="195" t="str">
        <v/>
      </c>
      <c r="AN61" s="196" t="str">
        <v/>
      </c>
      <c r="AO61" s="254"/>
      <c r="AP61" s="256" t="str">
        <f t="shared" si="17"/>
        <v/>
      </c>
      <c r="AQ61" s="203">
        <v>52</v>
      </c>
      <c r="AR61" s="195" t="str">
        <f t="shared" si="29"/>
        <v/>
      </c>
      <c r="AS61" s="195" t="str">
        <v/>
      </c>
      <c r="AT61" s="205" t="str">
        <v/>
      </c>
      <c r="AU61" s="213"/>
      <c r="AV61" s="197" t="str">
        <f t="shared" si="18"/>
        <v/>
      </c>
      <c r="AW61" s="203">
        <v>52</v>
      </c>
      <c r="AX61" s="195" t="str">
        <f t="shared" si="30"/>
        <v/>
      </c>
      <c r="AY61" s="195" t="str">
        <v/>
      </c>
      <c r="AZ61" s="205" t="str">
        <v/>
      </c>
      <c r="BA61" s="242"/>
      <c r="BB61" s="197" t="str">
        <f t="shared" si="19"/>
        <v/>
      </c>
      <c r="BC61" s="203">
        <v>52</v>
      </c>
      <c r="BD61" s="195" t="str">
        <f t="shared" si="31"/>
        <v/>
      </c>
      <c r="BE61" s="195" t="str">
        <v/>
      </c>
      <c r="BF61" s="205" t="str">
        <v/>
      </c>
      <c r="BG61" s="242"/>
      <c r="BH61" s="197" t="str">
        <f t="shared" si="20"/>
        <v/>
      </c>
      <c r="BI61" s="203">
        <v>52</v>
      </c>
      <c r="BJ61" s="195" t="str">
        <f t="shared" si="32"/>
        <v/>
      </c>
      <c r="BK61" s="195" t="str">
        <v/>
      </c>
      <c r="BL61" s="205" t="str">
        <v/>
      </c>
      <c r="BM61" s="242"/>
      <c r="BN61" s="197" t="str">
        <f t="shared" si="21"/>
        <v/>
      </c>
      <c r="BO61" s="203">
        <v>52</v>
      </c>
      <c r="BP61" s="195" t="str">
        <f t="shared" si="33"/>
        <v/>
      </c>
      <c r="BQ61" s="195" t="str">
        <v/>
      </c>
      <c r="BR61" s="205" t="str">
        <v/>
      </c>
      <c r="BS61" s="242"/>
      <c r="BT61" s="197" t="str">
        <f t="shared" si="22"/>
        <v/>
      </c>
    </row>
    <row r="62" spans="1:72">
      <c r="A62" s="203">
        <v>53</v>
      </c>
      <c r="B62" s="195" t="str">
        <f t="shared" si="23"/>
        <v/>
      </c>
      <c r="C62" s="195" t="str">
        <v/>
      </c>
      <c r="D62" s="205" t="str">
        <v/>
      </c>
      <c r="E62" s="213"/>
      <c r="F62" s="197" t="str">
        <f t="shared" si="11"/>
        <v/>
      </c>
      <c r="G62" s="203">
        <v>53</v>
      </c>
      <c r="H62" s="195" t="str">
        <f t="shared" si="24"/>
        <v/>
      </c>
      <c r="I62" s="195" t="str">
        <v/>
      </c>
      <c r="J62" s="205" t="str">
        <v/>
      </c>
      <c r="K62" s="242"/>
      <c r="L62" s="197" t="str">
        <f t="shared" si="12"/>
        <v/>
      </c>
      <c r="M62" s="203">
        <v>53</v>
      </c>
      <c r="N62" s="195" t="str">
        <f t="shared" si="25"/>
        <v/>
      </c>
      <c r="O62" s="195" t="str">
        <v/>
      </c>
      <c r="P62" s="205" t="str">
        <v/>
      </c>
      <c r="Q62" s="213"/>
      <c r="R62" s="197" t="str">
        <f t="shared" si="13"/>
        <v/>
      </c>
      <c r="S62" s="203">
        <v>53</v>
      </c>
      <c r="T62" s="195" t="str">
        <f t="shared" si="26"/>
        <v/>
      </c>
      <c r="U62" s="195" t="str">
        <v/>
      </c>
      <c r="V62" s="205" t="str">
        <v/>
      </c>
      <c r="W62" s="213"/>
      <c r="X62" s="197" t="str">
        <f t="shared" si="14"/>
        <v/>
      </c>
      <c r="Y62" s="203">
        <v>53</v>
      </c>
      <c r="Z62" s="195" t="str">
        <f t="shared" si="27"/>
        <v/>
      </c>
      <c r="AA62" s="195" t="str">
        <v/>
      </c>
      <c r="AB62" s="205" t="str">
        <v/>
      </c>
      <c r="AC62" s="213"/>
      <c r="AD62" s="197" t="str">
        <f t="shared" si="15"/>
        <v/>
      </c>
      <c r="AE62" s="203">
        <v>53</v>
      </c>
      <c r="AF62" s="195"/>
      <c r="AG62" s="195"/>
      <c r="AH62" s="205"/>
      <c r="AI62" s="213"/>
      <c r="AJ62" s="197" t="str">
        <f t="shared" si="16"/>
        <v/>
      </c>
      <c r="AK62" s="203">
        <v>53</v>
      </c>
      <c r="AL62" s="198" t="str">
        <f t="shared" si="28"/>
        <v/>
      </c>
      <c r="AM62" s="195" t="str">
        <v/>
      </c>
      <c r="AN62" s="196" t="str">
        <v/>
      </c>
      <c r="AO62" s="254"/>
      <c r="AP62" s="256" t="str">
        <f t="shared" si="17"/>
        <v/>
      </c>
      <c r="AQ62" s="203">
        <v>53</v>
      </c>
      <c r="AR62" s="195" t="str">
        <f t="shared" si="29"/>
        <v/>
      </c>
      <c r="AS62" s="195" t="str">
        <v/>
      </c>
      <c r="AT62" s="205" t="str">
        <v/>
      </c>
      <c r="AU62" s="213"/>
      <c r="AV62" s="197" t="str">
        <f t="shared" si="18"/>
        <v/>
      </c>
      <c r="AW62" s="203">
        <v>53</v>
      </c>
      <c r="AX62" s="195" t="str">
        <f t="shared" si="30"/>
        <v/>
      </c>
      <c r="AY62" s="195" t="str">
        <v/>
      </c>
      <c r="AZ62" s="205" t="str">
        <v/>
      </c>
      <c r="BA62" s="242"/>
      <c r="BB62" s="197" t="str">
        <f t="shared" si="19"/>
        <v/>
      </c>
      <c r="BC62" s="203">
        <v>53</v>
      </c>
      <c r="BD62" s="195" t="str">
        <f t="shared" si="31"/>
        <v/>
      </c>
      <c r="BE62" s="195" t="str">
        <v/>
      </c>
      <c r="BF62" s="205" t="str">
        <v/>
      </c>
      <c r="BG62" s="242"/>
      <c r="BH62" s="197" t="str">
        <f t="shared" si="20"/>
        <v/>
      </c>
      <c r="BI62" s="203">
        <v>53</v>
      </c>
      <c r="BJ62" s="195" t="str">
        <f t="shared" si="32"/>
        <v/>
      </c>
      <c r="BK62" s="195" t="str">
        <v/>
      </c>
      <c r="BL62" s="205" t="str">
        <v/>
      </c>
      <c r="BM62" s="242"/>
      <c r="BN62" s="197" t="str">
        <f t="shared" si="21"/>
        <v/>
      </c>
      <c r="BO62" s="203">
        <v>53</v>
      </c>
      <c r="BP62" s="195" t="str">
        <f t="shared" si="33"/>
        <v/>
      </c>
      <c r="BQ62" s="195" t="str">
        <v/>
      </c>
      <c r="BR62" s="205" t="str">
        <v/>
      </c>
      <c r="BS62" s="242"/>
      <c r="BT62" s="197" t="str">
        <f t="shared" si="22"/>
        <v/>
      </c>
    </row>
    <row r="63" spans="1:72">
      <c r="A63" s="203">
        <v>54</v>
      </c>
      <c r="B63" s="195" t="str">
        <f t="shared" si="23"/>
        <v/>
      </c>
      <c r="C63" s="195" t="str">
        <v/>
      </c>
      <c r="D63" s="205" t="str">
        <v/>
      </c>
      <c r="E63" s="213"/>
      <c r="F63" s="197" t="str">
        <f t="shared" si="11"/>
        <v/>
      </c>
      <c r="G63" s="203">
        <v>54</v>
      </c>
      <c r="H63" s="195" t="str">
        <f t="shared" si="24"/>
        <v/>
      </c>
      <c r="I63" s="195" t="str">
        <v/>
      </c>
      <c r="J63" s="205" t="str">
        <v/>
      </c>
      <c r="K63" s="242"/>
      <c r="L63" s="197" t="str">
        <f t="shared" si="12"/>
        <v/>
      </c>
      <c r="M63" s="203">
        <v>54</v>
      </c>
      <c r="N63" s="195" t="str">
        <f t="shared" si="25"/>
        <v/>
      </c>
      <c r="O63" s="195" t="str">
        <v/>
      </c>
      <c r="P63" s="205" t="str">
        <v/>
      </c>
      <c r="Q63" s="213"/>
      <c r="R63" s="197" t="str">
        <f t="shared" si="13"/>
        <v/>
      </c>
      <c r="S63" s="203">
        <v>54</v>
      </c>
      <c r="T63" s="195" t="str">
        <f t="shared" si="26"/>
        <v/>
      </c>
      <c r="U63" s="195" t="str">
        <v/>
      </c>
      <c r="V63" s="205" t="str">
        <v/>
      </c>
      <c r="W63" s="213"/>
      <c r="X63" s="197" t="str">
        <f t="shared" si="14"/>
        <v/>
      </c>
      <c r="Y63" s="203">
        <v>54</v>
      </c>
      <c r="Z63" s="195" t="str">
        <f t="shared" si="27"/>
        <v/>
      </c>
      <c r="AA63" s="195" t="str">
        <v/>
      </c>
      <c r="AB63" s="205" t="str">
        <v/>
      </c>
      <c r="AC63" s="213"/>
      <c r="AD63" s="197" t="str">
        <f t="shared" si="15"/>
        <v/>
      </c>
      <c r="AE63" s="203">
        <v>54</v>
      </c>
      <c r="AF63" s="195"/>
      <c r="AG63" s="195"/>
      <c r="AH63" s="205"/>
      <c r="AI63" s="213"/>
      <c r="AJ63" s="197" t="str">
        <f t="shared" si="16"/>
        <v/>
      </c>
      <c r="AK63" s="203">
        <v>54</v>
      </c>
      <c r="AL63" s="198" t="str">
        <f t="shared" si="28"/>
        <v/>
      </c>
      <c r="AM63" s="195" t="str">
        <v/>
      </c>
      <c r="AN63" s="196" t="str">
        <v/>
      </c>
      <c r="AO63" s="254"/>
      <c r="AP63" s="256" t="str">
        <f t="shared" si="17"/>
        <v/>
      </c>
      <c r="AQ63" s="203">
        <v>54</v>
      </c>
      <c r="AR63" s="195" t="str">
        <f t="shared" si="29"/>
        <v/>
      </c>
      <c r="AS63" s="195" t="str">
        <v/>
      </c>
      <c r="AT63" s="205" t="str">
        <v/>
      </c>
      <c r="AU63" s="213"/>
      <c r="AV63" s="197" t="str">
        <f t="shared" si="18"/>
        <v/>
      </c>
      <c r="AW63" s="203">
        <v>54</v>
      </c>
      <c r="AX63" s="195" t="str">
        <f t="shared" si="30"/>
        <v/>
      </c>
      <c r="AY63" s="195" t="str">
        <v/>
      </c>
      <c r="AZ63" s="205" t="str">
        <v/>
      </c>
      <c r="BA63" s="242"/>
      <c r="BB63" s="197" t="str">
        <f t="shared" si="19"/>
        <v/>
      </c>
      <c r="BC63" s="203">
        <v>54</v>
      </c>
      <c r="BD63" s="195" t="str">
        <f t="shared" si="31"/>
        <v/>
      </c>
      <c r="BE63" s="195" t="str">
        <v/>
      </c>
      <c r="BF63" s="205" t="str">
        <v/>
      </c>
      <c r="BG63" s="242"/>
      <c r="BH63" s="197" t="str">
        <f t="shared" si="20"/>
        <v/>
      </c>
      <c r="BI63" s="203">
        <v>54</v>
      </c>
      <c r="BJ63" s="195" t="str">
        <f t="shared" si="32"/>
        <v/>
      </c>
      <c r="BK63" s="195" t="str">
        <v/>
      </c>
      <c r="BL63" s="205" t="str">
        <v/>
      </c>
      <c r="BM63" s="242"/>
      <c r="BN63" s="197" t="str">
        <f t="shared" si="21"/>
        <v/>
      </c>
      <c r="BO63" s="203">
        <v>54</v>
      </c>
      <c r="BP63" s="195" t="str">
        <f t="shared" si="33"/>
        <v/>
      </c>
      <c r="BQ63" s="195" t="str">
        <v/>
      </c>
      <c r="BR63" s="205" t="str">
        <v/>
      </c>
      <c r="BS63" s="242"/>
      <c r="BT63" s="197" t="str">
        <f t="shared" si="22"/>
        <v/>
      </c>
    </row>
    <row r="64" spans="1:72">
      <c r="A64" s="203">
        <v>55</v>
      </c>
      <c r="B64" s="195" t="str">
        <f t="shared" si="23"/>
        <v/>
      </c>
      <c r="C64" s="195" t="str">
        <v/>
      </c>
      <c r="D64" s="205" t="str">
        <v/>
      </c>
      <c r="E64" s="213"/>
      <c r="F64" s="197" t="str">
        <f t="shared" si="11"/>
        <v/>
      </c>
      <c r="G64" s="203">
        <v>55</v>
      </c>
      <c r="H64" s="195" t="str">
        <f t="shared" si="24"/>
        <v/>
      </c>
      <c r="I64" s="195" t="str">
        <v/>
      </c>
      <c r="J64" s="205" t="str">
        <v/>
      </c>
      <c r="K64" s="242"/>
      <c r="L64" s="197" t="str">
        <f t="shared" si="12"/>
        <v/>
      </c>
      <c r="M64" s="203">
        <v>55</v>
      </c>
      <c r="N64" s="195" t="str">
        <f t="shared" si="25"/>
        <v/>
      </c>
      <c r="O64" s="195" t="str">
        <v/>
      </c>
      <c r="P64" s="205" t="str">
        <v/>
      </c>
      <c r="Q64" s="213"/>
      <c r="R64" s="197" t="str">
        <f t="shared" si="13"/>
        <v/>
      </c>
      <c r="S64" s="203">
        <v>55</v>
      </c>
      <c r="T64" s="195" t="str">
        <f t="shared" si="26"/>
        <v/>
      </c>
      <c r="U64" s="195" t="str">
        <v/>
      </c>
      <c r="V64" s="205" t="str">
        <v/>
      </c>
      <c r="W64" s="213"/>
      <c r="X64" s="197" t="str">
        <f t="shared" si="14"/>
        <v/>
      </c>
      <c r="Y64" s="203">
        <v>55</v>
      </c>
      <c r="Z64" s="195" t="str">
        <f t="shared" si="27"/>
        <v/>
      </c>
      <c r="AA64" s="195" t="str">
        <v/>
      </c>
      <c r="AB64" s="205" t="str">
        <v/>
      </c>
      <c r="AC64" s="213"/>
      <c r="AD64" s="197" t="str">
        <f t="shared" si="15"/>
        <v/>
      </c>
      <c r="AE64" s="203">
        <v>55</v>
      </c>
      <c r="AF64" s="195"/>
      <c r="AG64" s="195"/>
      <c r="AH64" s="205"/>
      <c r="AI64" s="213"/>
      <c r="AJ64" s="197" t="str">
        <f t="shared" si="16"/>
        <v/>
      </c>
      <c r="AK64" s="203">
        <v>55</v>
      </c>
      <c r="AL64" s="198" t="str">
        <f t="shared" si="28"/>
        <v/>
      </c>
      <c r="AM64" s="195" t="str">
        <v/>
      </c>
      <c r="AN64" s="196" t="str">
        <v/>
      </c>
      <c r="AO64" s="254"/>
      <c r="AP64" s="256" t="str">
        <f t="shared" si="17"/>
        <v/>
      </c>
      <c r="AQ64" s="203">
        <v>55</v>
      </c>
      <c r="AR64" s="195" t="str">
        <f t="shared" si="29"/>
        <v/>
      </c>
      <c r="AS64" s="195" t="str">
        <v/>
      </c>
      <c r="AT64" s="205" t="str">
        <v/>
      </c>
      <c r="AU64" s="213"/>
      <c r="AV64" s="197" t="str">
        <f t="shared" si="18"/>
        <v/>
      </c>
      <c r="AW64" s="203">
        <v>55</v>
      </c>
      <c r="AX64" s="195" t="str">
        <f t="shared" si="30"/>
        <v/>
      </c>
      <c r="AY64" s="195" t="str">
        <v/>
      </c>
      <c r="AZ64" s="205" t="str">
        <v/>
      </c>
      <c r="BA64" s="242"/>
      <c r="BB64" s="197" t="str">
        <f t="shared" si="19"/>
        <v/>
      </c>
      <c r="BC64" s="203">
        <v>55</v>
      </c>
      <c r="BD64" s="195" t="str">
        <f t="shared" si="31"/>
        <v/>
      </c>
      <c r="BE64" s="195" t="str">
        <v/>
      </c>
      <c r="BF64" s="205" t="str">
        <v/>
      </c>
      <c r="BG64" s="242"/>
      <c r="BH64" s="197" t="str">
        <f t="shared" si="20"/>
        <v/>
      </c>
      <c r="BI64" s="203">
        <v>55</v>
      </c>
      <c r="BJ64" s="195" t="str">
        <f t="shared" si="32"/>
        <v/>
      </c>
      <c r="BK64" s="195" t="str">
        <v/>
      </c>
      <c r="BL64" s="205" t="str">
        <v/>
      </c>
      <c r="BM64" s="242"/>
      <c r="BN64" s="197" t="str">
        <f t="shared" si="21"/>
        <v/>
      </c>
      <c r="BO64" s="203">
        <v>55</v>
      </c>
      <c r="BP64" s="195" t="str">
        <f t="shared" si="33"/>
        <v/>
      </c>
      <c r="BQ64" s="195" t="str">
        <v/>
      </c>
      <c r="BR64" s="205" t="str">
        <v/>
      </c>
      <c r="BS64" s="242"/>
      <c r="BT64" s="197" t="str">
        <f t="shared" si="22"/>
        <v/>
      </c>
    </row>
    <row r="65" spans="1:72">
      <c r="A65" s="203">
        <v>56</v>
      </c>
      <c r="B65" s="195" t="str">
        <f t="shared" si="23"/>
        <v/>
      </c>
      <c r="C65" s="195" t="str">
        <v/>
      </c>
      <c r="D65" s="205" t="str">
        <v/>
      </c>
      <c r="E65" s="213"/>
      <c r="F65" s="197" t="str">
        <f t="shared" si="11"/>
        <v/>
      </c>
      <c r="G65" s="203">
        <v>56</v>
      </c>
      <c r="H65" s="195" t="str">
        <f t="shared" si="24"/>
        <v/>
      </c>
      <c r="I65" s="195" t="str">
        <v/>
      </c>
      <c r="J65" s="205" t="str">
        <v/>
      </c>
      <c r="K65" s="242"/>
      <c r="L65" s="197" t="str">
        <f t="shared" si="12"/>
        <v/>
      </c>
      <c r="M65" s="203">
        <v>56</v>
      </c>
      <c r="N65" s="195" t="str">
        <f t="shared" si="25"/>
        <v/>
      </c>
      <c r="O65" s="195" t="str">
        <v/>
      </c>
      <c r="P65" s="205" t="str">
        <v/>
      </c>
      <c r="Q65" s="213"/>
      <c r="R65" s="197" t="str">
        <f t="shared" si="13"/>
        <v/>
      </c>
      <c r="S65" s="203">
        <v>56</v>
      </c>
      <c r="T65" s="195" t="str">
        <f t="shared" si="26"/>
        <v/>
      </c>
      <c r="U65" s="195" t="str">
        <v/>
      </c>
      <c r="V65" s="205" t="str">
        <v/>
      </c>
      <c r="W65" s="213"/>
      <c r="X65" s="197" t="str">
        <f t="shared" si="14"/>
        <v/>
      </c>
      <c r="Y65" s="203">
        <v>56</v>
      </c>
      <c r="Z65" s="195" t="str">
        <f t="shared" si="27"/>
        <v/>
      </c>
      <c r="AA65" s="195" t="str">
        <v/>
      </c>
      <c r="AB65" s="205" t="str">
        <v/>
      </c>
      <c r="AC65" s="213"/>
      <c r="AD65" s="197" t="str">
        <f t="shared" si="15"/>
        <v/>
      </c>
      <c r="AE65" s="203">
        <v>56</v>
      </c>
      <c r="AF65" s="195"/>
      <c r="AG65" s="195"/>
      <c r="AH65" s="205"/>
      <c r="AI65" s="213"/>
      <c r="AJ65" s="197" t="str">
        <f t="shared" si="16"/>
        <v/>
      </c>
      <c r="AK65" s="203">
        <v>56</v>
      </c>
      <c r="AL65" s="198" t="str">
        <f t="shared" si="28"/>
        <v/>
      </c>
      <c r="AM65" s="195" t="str">
        <v/>
      </c>
      <c r="AN65" s="196" t="str">
        <v/>
      </c>
      <c r="AO65" s="254"/>
      <c r="AP65" s="256" t="str">
        <f t="shared" si="17"/>
        <v/>
      </c>
      <c r="AQ65" s="203">
        <v>56</v>
      </c>
      <c r="AR65" s="195" t="str">
        <f t="shared" si="29"/>
        <v/>
      </c>
      <c r="AS65" s="195" t="str">
        <v/>
      </c>
      <c r="AT65" s="205" t="str">
        <v/>
      </c>
      <c r="AU65" s="213"/>
      <c r="AV65" s="197" t="str">
        <f t="shared" si="18"/>
        <v/>
      </c>
      <c r="AW65" s="203">
        <v>56</v>
      </c>
      <c r="AX65" s="195" t="str">
        <f t="shared" si="30"/>
        <v/>
      </c>
      <c r="AY65" s="195" t="str">
        <v/>
      </c>
      <c r="AZ65" s="205" t="str">
        <v/>
      </c>
      <c r="BA65" s="242"/>
      <c r="BB65" s="197" t="str">
        <f t="shared" si="19"/>
        <v/>
      </c>
      <c r="BC65" s="203">
        <v>56</v>
      </c>
      <c r="BD65" s="195" t="str">
        <f t="shared" si="31"/>
        <v/>
      </c>
      <c r="BE65" s="195" t="str">
        <v/>
      </c>
      <c r="BF65" s="205" t="str">
        <v/>
      </c>
      <c r="BG65" s="242"/>
      <c r="BH65" s="197" t="str">
        <f t="shared" si="20"/>
        <v/>
      </c>
      <c r="BI65" s="203">
        <v>56</v>
      </c>
      <c r="BJ65" s="195" t="str">
        <f t="shared" si="32"/>
        <v/>
      </c>
      <c r="BK65" s="195" t="str">
        <v/>
      </c>
      <c r="BL65" s="205" t="str">
        <v/>
      </c>
      <c r="BM65" s="242"/>
      <c r="BN65" s="197" t="str">
        <f t="shared" si="21"/>
        <v/>
      </c>
      <c r="BO65" s="203">
        <v>56</v>
      </c>
      <c r="BP65" s="195" t="str">
        <f t="shared" si="33"/>
        <v/>
      </c>
      <c r="BQ65" s="195" t="str">
        <v/>
      </c>
      <c r="BR65" s="205" t="str">
        <v/>
      </c>
      <c r="BS65" s="242"/>
      <c r="BT65" s="197" t="str">
        <f t="shared" si="22"/>
        <v/>
      </c>
    </row>
    <row r="66" spans="1:72">
      <c r="A66" s="203">
        <v>57</v>
      </c>
      <c r="B66" s="195" t="str">
        <f t="shared" si="23"/>
        <v/>
      </c>
      <c r="C66" s="195" t="str">
        <v/>
      </c>
      <c r="D66" s="205" t="str">
        <v/>
      </c>
      <c r="E66" s="213"/>
      <c r="F66" s="197" t="str">
        <f t="shared" si="11"/>
        <v/>
      </c>
      <c r="G66" s="203">
        <v>57</v>
      </c>
      <c r="H66" s="195" t="str">
        <f t="shared" si="24"/>
        <v/>
      </c>
      <c r="I66" s="195" t="str">
        <v/>
      </c>
      <c r="J66" s="205" t="str">
        <v/>
      </c>
      <c r="K66" s="242"/>
      <c r="L66" s="197" t="str">
        <f t="shared" si="12"/>
        <v/>
      </c>
      <c r="M66" s="203">
        <v>57</v>
      </c>
      <c r="N66" s="195" t="str">
        <f t="shared" si="25"/>
        <v/>
      </c>
      <c r="O66" s="195" t="str">
        <v/>
      </c>
      <c r="P66" s="205" t="str">
        <v/>
      </c>
      <c r="Q66" s="213"/>
      <c r="R66" s="197" t="str">
        <f t="shared" si="13"/>
        <v/>
      </c>
      <c r="S66" s="203">
        <v>57</v>
      </c>
      <c r="T66" s="195" t="str">
        <f t="shared" si="26"/>
        <v/>
      </c>
      <c r="U66" s="195" t="str">
        <v/>
      </c>
      <c r="V66" s="205" t="str">
        <v/>
      </c>
      <c r="W66" s="213"/>
      <c r="X66" s="197" t="str">
        <f t="shared" si="14"/>
        <v/>
      </c>
      <c r="Y66" s="203">
        <v>57</v>
      </c>
      <c r="Z66" s="195" t="str">
        <f t="shared" si="27"/>
        <v/>
      </c>
      <c r="AA66" s="195" t="str">
        <v/>
      </c>
      <c r="AB66" s="205" t="str">
        <v/>
      </c>
      <c r="AC66" s="213"/>
      <c r="AD66" s="197" t="str">
        <f t="shared" si="15"/>
        <v/>
      </c>
      <c r="AE66" s="203">
        <v>57</v>
      </c>
      <c r="AF66" s="195"/>
      <c r="AG66" s="195"/>
      <c r="AH66" s="205"/>
      <c r="AI66" s="213"/>
      <c r="AJ66" s="197" t="str">
        <f t="shared" si="16"/>
        <v/>
      </c>
      <c r="AK66" s="203">
        <v>57</v>
      </c>
      <c r="AL66" s="198" t="str">
        <f t="shared" si="28"/>
        <v/>
      </c>
      <c r="AM66" s="195" t="str">
        <v/>
      </c>
      <c r="AN66" s="196" t="str">
        <v/>
      </c>
      <c r="AO66" s="254"/>
      <c r="AP66" s="256" t="str">
        <f t="shared" si="17"/>
        <v/>
      </c>
      <c r="AQ66" s="203">
        <v>57</v>
      </c>
      <c r="AR66" s="195" t="str">
        <f t="shared" si="29"/>
        <v/>
      </c>
      <c r="AS66" s="195" t="str">
        <v/>
      </c>
      <c r="AT66" s="205" t="str">
        <v/>
      </c>
      <c r="AU66" s="213"/>
      <c r="AV66" s="197" t="str">
        <f t="shared" si="18"/>
        <v/>
      </c>
      <c r="AW66" s="203">
        <v>57</v>
      </c>
      <c r="AX66" s="195" t="str">
        <f t="shared" si="30"/>
        <v/>
      </c>
      <c r="AY66" s="195" t="str">
        <v/>
      </c>
      <c r="AZ66" s="205" t="str">
        <v/>
      </c>
      <c r="BA66" s="242"/>
      <c r="BB66" s="197" t="str">
        <f t="shared" si="19"/>
        <v/>
      </c>
      <c r="BC66" s="203">
        <v>57</v>
      </c>
      <c r="BD66" s="195" t="str">
        <f t="shared" si="31"/>
        <v/>
      </c>
      <c r="BE66" s="195" t="str">
        <v/>
      </c>
      <c r="BF66" s="205" t="str">
        <v/>
      </c>
      <c r="BG66" s="242"/>
      <c r="BH66" s="197" t="str">
        <f t="shared" si="20"/>
        <v/>
      </c>
      <c r="BI66" s="203">
        <v>57</v>
      </c>
      <c r="BJ66" s="195" t="str">
        <f t="shared" si="32"/>
        <v/>
      </c>
      <c r="BK66" s="195" t="str">
        <v/>
      </c>
      <c r="BL66" s="205" t="str">
        <v/>
      </c>
      <c r="BM66" s="242"/>
      <c r="BN66" s="197" t="str">
        <f t="shared" si="21"/>
        <v/>
      </c>
      <c r="BO66" s="203">
        <v>57</v>
      </c>
      <c r="BP66" s="195" t="str">
        <f t="shared" si="33"/>
        <v/>
      </c>
      <c r="BQ66" s="195" t="str">
        <v/>
      </c>
      <c r="BR66" s="205" t="str">
        <v/>
      </c>
      <c r="BS66" s="242"/>
      <c r="BT66" s="197" t="str">
        <f t="shared" si="22"/>
        <v/>
      </c>
    </row>
    <row r="67" spans="1:72">
      <c r="A67" s="203">
        <v>58</v>
      </c>
      <c r="B67" s="195" t="str">
        <f t="shared" si="23"/>
        <v/>
      </c>
      <c r="C67" s="195" t="str">
        <v/>
      </c>
      <c r="D67" s="205" t="str">
        <v/>
      </c>
      <c r="E67" s="213"/>
      <c r="F67" s="197" t="str">
        <f t="shared" si="11"/>
        <v/>
      </c>
      <c r="G67" s="203">
        <v>58</v>
      </c>
      <c r="H67" s="195" t="str">
        <f t="shared" si="24"/>
        <v/>
      </c>
      <c r="I67" s="195" t="str">
        <v/>
      </c>
      <c r="J67" s="205" t="str">
        <v/>
      </c>
      <c r="K67" s="242"/>
      <c r="L67" s="197" t="str">
        <f t="shared" si="12"/>
        <v/>
      </c>
      <c r="M67" s="203">
        <v>58</v>
      </c>
      <c r="N67" s="195" t="str">
        <f t="shared" si="25"/>
        <v/>
      </c>
      <c r="O67" s="195" t="str">
        <v/>
      </c>
      <c r="P67" s="205" t="str">
        <v/>
      </c>
      <c r="Q67" s="213"/>
      <c r="R67" s="197" t="str">
        <f t="shared" si="13"/>
        <v/>
      </c>
      <c r="S67" s="203">
        <v>58</v>
      </c>
      <c r="T67" s="195" t="str">
        <f t="shared" si="26"/>
        <v/>
      </c>
      <c r="U67" s="195" t="str">
        <v/>
      </c>
      <c r="V67" s="205" t="str">
        <v/>
      </c>
      <c r="W67" s="213"/>
      <c r="X67" s="197" t="str">
        <f t="shared" si="14"/>
        <v/>
      </c>
      <c r="Y67" s="203">
        <v>58</v>
      </c>
      <c r="Z67" s="195" t="str">
        <f t="shared" si="27"/>
        <v/>
      </c>
      <c r="AA67" s="195" t="str">
        <v/>
      </c>
      <c r="AB67" s="205" t="str">
        <v/>
      </c>
      <c r="AC67" s="213"/>
      <c r="AD67" s="197" t="str">
        <f t="shared" si="15"/>
        <v/>
      </c>
      <c r="AE67" s="203">
        <v>58</v>
      </c>
      <c r="AF67" s="195"/>
      <c r="AG67" s="195"/>
      <c r="AH67" s="205"/>
      <c r="AI67" s="213"/>
      <c r="AJ67" s="197" t="str">
        <f t="shared" si="16"/>
        <v/>
      </c>
      <c r="AK67" s="203">
        <v>58</v>
      </c>
      <c r="AL67" s="198" t="str">
        <f t="shared" si="28"/>
        <v/>
      </c>
      <c r="AM67" s="195" t="str">
        <v/>
      </c>
      <c r="AN67" s="196" t="str">
        <v/>
      </c>
      <c r="AO67" s="254"/>
      <c r="AP67" s="256" t="str">
        <f t="shared" si="17"/>
        <v/>
      </c>
      <c r="AQ67" s="203">
        <v>58</v>
      </c>
      <c r="AR67" s="195" t="str">
        <f t="shared" si="29"/>
        <v/>
      </c>
      <c r="AS67" s="195" t="str">
        <v/>
      </c>
      <c r="AT67" s="205" t="str">
        <v/>
      </c>
      <c r="AU67" s="213"/>
      <c r="AV67" s="197" t="str">
        <f t="shared" si="18"/>
        <v/>
      </c>
      <c r="AW67" s="203">
        <v>58</v>
      </c>
      <c r="AX67" s="195" t="str">
        <f t="shared" si="30"/>
        <v/>
      </c>
      <c r="AY67" s="195" t="str">
        <v/>
      </c>
      <c r="AZ67" s="205" t="str">
        <v/>
      </c>
      <c r="BA67" s="242"/>
      <c r="BB67" s="197" t="str">
        <f t="shared" si="19"/>
        <v/>
      </c>
      <c r="BC67" s="203">
        <v>58</v>
      </c>
      <c r="BD67" s="195" t="str">
        <f t="shared" si="31"/>
        <v/>
      </c>
      <c r="BE67" s="195" t="str">
        <v/>
      </c>
      <c r="BF67" s="205" t="str">
        <v/>
      </c>
      <c r="BG67" s="242"/>
      <c r="BH67" s="197" t="str">
        <f t="shared" si="20"/>
        <v/>
      </c>
      <c r="BI67" s="203">
        <v>58</v>
      </c>
      <c r="BJ67" s="195" t="str">
        <f t="shared" si="32"/>
        <v/>
      </c>
      <c r="BK67" s="195" t="str">
        <v/>
      </c>
      <c r="BL67" s="205" t="str">
        <v/>
      </c>
      <c r="BM67" s="242"/>
      <c r="BN67" s="197" t="str">
        <f t="shared" si="21"/>
        <v/>
      </c>
      <c r="BO67" s="203">
        <v>58</v>
      </c>
      <c r="BP67" s="195" t="str">
        <f t="shared" si="33"/>
        <v/>
      </c>
      <c r="BQ67" s="195" t="str">
        <v/>
      </c>
      <c r="BR67" s="205" t="str">
        <v/>
      </c>
      <c r="BS67" s="242"/>
      <c r="BT67" s="197" t="str">
        <f t="shared" si="22"/>
        <v/>
      </c>
    </row>
    <row r="68" spans="1:72">
      <c r="A68" s="203">
        <v>59</v>
      </c>
      <c r="B68" s="195" t="str">
        <f t="shared" si="23"/>
        <v/>
      </c>
      <c r="C68" s="195" t="str">
        <v/>
      </c>
      <c r="D68" s="205" t="str">
        <v/>
      </c>
      <c r="E68" s="213"/>
      <c r="F68" s="197" t="str">
        <f t="shared" si="11"/>
        <v/>
      </c>
      <c r="G68" s="203">
        <v>59</v>
      </c>
      <c r="H68" s="195" t="str">
        <f t="shared" si="24"/>
        <v/>
      </c>
      <c r="I68" s="195" t="str">
        <v/>
      </c>
      <c r="J68" s="205" t="str">
        <v/>
      </c>
      <c r="K68" s="242"/>
      <c r="L68" s="197" t="str">
        <f t="shared" si="12"/>
        <v/>
      </c>
      <c r="M68" s="203">
        <v>59</v>
      </c>
      <c r="N68" s="195" t="str">
        <f t="shared" si="25"/>
        <v/>
      </c>
      <c r="O68" s="195" t="str">
        <v/>
      </c>
      <c r="P68" s="205" t="str">
        <v/>
      </c>
      <c r="Q68" s="213"/>
      <c r="R68" s="197" t="str">
        <f t="shared" si="13"/>
        <v/>
      </c>
      <c r="S68" s="203">
        <v>59</v>
      </c>
      <c r="T68" s="195" t="str">
        <f t="shared" si="26"/>
        <v/>
      </c>
      <c r="U68" s="195" t="str">
        <v/>
      </c>
      <c r="V68" s="205" t="str">
        <v/>
      </c>
      <c r="W68" s="213"/>
      <c r="X68" s="197" t="str">
        <f t="shared" si="14"/>
        <v/>
      </c>
      <c r="Y68" s="203">
        <v>59</v>
      </c>
      <c r="Z68" s="195" t="str">
        <f t="shared" si="27"/>
        <v/>
      </c>
      <c r="AA68" s="195" t="str">
        <v/>
      </c>
      <c r="AB68" s="205" t="str">
        <v/>
      </c>
      <c r="AC68" s="213"/>
      <c r="AD68" s="197" t="str">
        <f t="shared" si="15"/>
        <v/>
      </c>
      <c r="AE68" s="203">
        <v>59</v>
      </c>
      <c r="AF68" s="195"/>
      <c r="AG68" s="195"/>
      <c r="AH68" s="205"/>
      <c r="AI68" s="213"/>
      <c r="AJ68" s="197" t="str">
        <f t="shared" si="16"/>
        <v/>
      </c>
      <c r="AK68" s="203">
        <v>59</v>
      </c>
      <c r="AL68" s="198" t="str">
        <f t="shared" si="28"/>
        <v/>
      </c>
      <c r="AM68" s="195" t="str">
        <v/>
      </c>
      <c r="AN68" s="196" t="str">
        <v/>
      </c>
      <c r="AO68" s="254"/>
      <c r="AP68" s="256" t="str">
        <f t="shared" si="17"/>
        <v/>
      </c>
      <c r="AQ68" s="203">
        <v>59</v>
      </c>
      <c r="AR68" s="195" t="str">
        <f t="shared" si="29"/>
        <v/>
      </c>
      <c r="AS68" s="195" t="str">
        <v/>
      </c>
      <c r="AT68" s="205" t="str">
        <v/>
      </c>
      <c r="AU68" s="213"/>
      <c r="AV68" s="197" t="str">
        <f t="shared" si="18"/>
        <v/>
      </c>
      <c r="AW68" s="203">
        <v>59</v>
      </c>
      <c r="AX68" s="195" t="str">
        <f t="shared" si="30"/>
        <v/>
      </c>
      <c r="AY68" s="195" t="str">
        <v/>
      </c>
      <c r="AZ68" s="205" t="str">
        <v/>
      </c>
      <c r="BA68" s="242"/>
      <c r="BB68" s="197" t="str">
        <f t="shared" si="19"/>
        <v/>
      </c>
      <c r="BC68" s="203">
        <v>59</v>
      </c>
      <c r="BD68" s="195" t="str">
        <f t="shared" si="31"/>
        <v/>
      </c>
      <c r="BE68" s="195" t="str">
        <v/>
      </c>
      <c r="BF68" s="205" t="str">
        <v/>
      </c>
      <c r="BG68" s="242"/>
      <c r="BH68" s="197" t="str">
        <f t="shared" si="20"/>
        <v/>
      </c>
      <c r="BI68" s="203">
        <v>59</v>
      </c>
      <c r="BJ68" s="195" t="str">
        <f t="shared" si="32"/>
        <v/>
      </c>
      <c r="BK68" s="195" t="str">
        <v/>
      </c>
      <c r="BL68" s="205" t="str">
        <v/>
      </c>
      <c r="BM68" s="242"/>
      <c r="BN68" s="197" t="str">
        <f t="shared" si="21"/>
        <v/>
      </c>
      <c r="BO68" s="203">
        <v>59</v>
      </c>
      <c r="BP68" s="195" t="str">
        <f t="shared" si="33"/>
        <v/>
      </c>
      <c r="BQ68" s="195" t="str">
        <v/>
      </c>
      <c r="BR68" s="205" t="str">
        <v/>
      </c>
      <c r="BS68" s="242"/>
      <c r="BT68" s="197" t="str">
        <f t="shared" si="22"/>
        <v/>
      </c>
    </row>
    <row r="69" spans="1:72">
      <c r="A69" s="203">
        <v>60</v>
      </c>
      <c r="B69" s="195" t="str">
        <f t="shared" si="23"/>
        <v/>
      </c>
      <c r="C69" s="195" t="str">
        <v/>
      </c>
      <c r="D69" s="205" t="str">
        <v/>
      </c>
      <c r="E69" s="213"/>
      <c r="F69" s="197" t="str">
        <f t="shared" si="11"/>
        <v/>
      </c>
      <c r="G69" s="203">
        <v>60</v>
      </c>
      <c r="H69" s="195" t="str">
        <f t="shared" si="24"/>
        <v/>
      </c>
      <c r="I69" s="195" t="str">
        <v/>
      </c>
      <c r="J69" s="205" t="str">
        <v/>
      </c>
      <c r="K69" s="242"/>
      <c r="L69" s="197" t="str">
        <f t="shared" si="12"/>
        <v/>
      </c>
      <c r="M69" s="203">
        <v>60</v>
      </c>
      <c r="N69" s="195" t="str">
        <f t="shared" si="25"/>
        <v/>
      </c>
      <c r="O69" s="195" t="str">
        <v/>
      </c>
      <c r="P69" s="205" t="str">
        <v/>
      </c>
      <c r="Q69" s="213"/>
      <c r="R69" s="197" t="str">
        <f t="shared" si="13"/>
        <v/>
      </c>
      <c r="S69" s="203">
        <v>60</v>
      </c>
      <c r="T69" s="195" t="str">
        <f t="shared" si="26"/>
        <v/>
      </c>
      <c r="U69" s="195" t="str">
        <v/>
      </c>
      <c r="V69" s="205" t="str">
        <v/>
      </c>
      <c r="W69" s="213"/>
      <c r="X69" s="197" t="str">
        <f t="shared" si="14"/>
        <v/>
      </c>
      <c r="Y69" s="203">
        <v>60</v>
      </c>
      <c r="Z69" s="195" t="str">
        <f t="shared" si="27"/>
        <v/>
      </c>
      <c r="AA69" s="195" t="str">
        <v/>
      </c>
      <c r="AB69" s="205" t="str">
        <v/>
      </c>
      <c r="AC69" s="213"/>
      <c r="AD69" s="197" t="str">
        <f t="shared" si="15"/>
        <v/>
      </c>
      <c r="AE69" s="203">
        <v>60</v>
      </c>
      <c r="AF69" s="195"/>
      <c r="AG69" s="195"/>
      <c r="AH69" s="205"/>
      <c r="AI69" s="213"/>
      <c r="AJ69" s="197" t="str">
        <f t="shared" si="16"/>
        <v/>
      </c>
      <c r="AK69" s="203">
        <v>60</v>
      </c>
      <c r="AL69" s="198" t="str">
        <f t="shared" si="28"/>
        <v/>
      </c>
      <c r="AM69" s="195" t="str">
        <v/>
      </c>
      <c r="AN69" s="196" t="str">
        <v/>
      </c>
      <c r="AO69" s="254"/>
      <c r="AP69" s="256" t="str">
        <f t="shared" si="17"/>
        <v/>
      </c>
      <c r="AQ69" s="203">
        <v>60</v>
      </c>
      <c r="AR69" s="195" t="str">
        <f t="shared" si="29"/>
        <v/>
      </c>
      <c r="AS69" s="195" t="str">
        <v/>
      </c>
      <c r="AT69" s="205" t="str">
        <v/>
      </c>
      <c r="AU69" s="213"/>
      <c r="AV69" s="197" t="str">
        <f t="shared" si="18"/>
        <v/>
      </c>
      <c r="AW69" s="203">
        <v>60</v>
      </c>
      <c r="AX69" s="195" t="str">
        <f t="shared" si="30"/>
        <v/>
      </c>
      <c r="AY69" s="195" t="str">
        <v/>
      </c>
      <c r="AZ69" s="205" t="str">
        <v/>
      </c>
      <c r="BA69" s="242"/>
      <c r="BB69" s="197" t="str">
        <f t="shared" si="19"/>
        <v/>
      </c>
      <c r="BC69" s="203">
        <v>60</v>
      </c>
      <c r="BD69" s="195" t="str">
        <f t="shared" si="31"/>
        <v/>
      </c>
      <c r="BE69" s="195" t="str">
        <v/>
      </c>
      <c r="BF69" s="205" t="str">
        <v/>
      </c>
      <c r="BG69" s="242"/>
      <c r="BH69" s="197" t="str">
        <f t="shared" si="20"/>
        <v/>
      </c>
      <c r="BI69" s="203">
        <v>60</v>
      </c>
      <c r="BJ69" s="195" t="str">
        <f t="shared" si="32"/>
        <v/>
      </c>
      <c r="BK69" s="195" t="str">
        <v/>
      </c>
      <c r="BL69" s="205" t="str">
        <v/>
      </c>
      <c r="BM69" s="242"/>
      <c r="BN69" s="197" t="str">
        <f t="shared" si="21"/>
        <v/>
      </c>
      <c r="BO69" s="203">
        <v>60</v>
      </c>
      <c r="BP69" s="195" t="str">
        <f t="shared" si="33"/>
        <v/>
      </c>
      <c r="BQ69" s="195" t="str">
        <v/>
      </c>
      <c r="BR69" s="205" t="str">
        <v/>
      </c>
      <c r="BS69" s="242"/>
      <c r="BT69" s="197" t="str">
        <f t="shared" si="22"/>
        <v/>
      </c>
    </row>
    <row r="70" spans="1:72">
      <c r="A70" s="203">
        <v>61</v>
      </c>
      <c r="B70" s="195" t="str">
        <f t="shared" si="23"/>
        <v/>
      </c>
      <c r="C70" s="195" t="str">
        <v/>
      </c>
      <c r="D70" s="205" t="str">
        <v/>
      </c>
      <c r="E70" s="213"/>
      <c r="F70" s="197" t="str">
        <f t="shared" si="11"/>
        <v/>
      </c>
      <c r="G70" s="203">
        <v>61</v>
      </c>
      <c r="H70" s="195" t="str">
        <f t="shared" si="24"/>
        <v/>
      </c>
      <c r="I70" s="195" t="str">
        <v/>
      </c>
      <c r="J70" s="205" t="str">
        <v/>
      </c>
      <c r="K70" s="242"/>
      <c r="L70" s="197" t="str">
        <f t="shared" si="12"/>
        <v/>
      </c>
      <c r="M70" s="203">
        <v>61</v>
      </c>
      <c r="N70" s="195" t="str">
        <f t="shared" si="25"/>
        <v/>
      </c>
      <c r="O70" s="195" t="str">
        <v/>
      </c>
      <c r="P70" s="205" t="str">
        <v/>
      </c>
      <c r="Q70" s="213"/>
      <c r="R70" s="197" t="str">
        <f t="shared" si="13"/>
        <v/>
      </c>
      <c r="S70" s="203">
        <v>61</v>
      </c>
      <c r="T70" s="195" t="str">
        <f t="shared" si="26"/>
        <v/>
      </c>
      <c r="U70" s="195" t="str">
        <v/>
      </c>
      <c r="V70" s="205" t="str">
        <v/>
      </c>
      <c r="W70" s="213"/>
      <c r="X70" s="197" t="str">
        <f t="shared" si="14"/>
        <v/>
      </c>
      <c r="Y70" s="203">
        <v>61</v>
      </c>
      <c r="Z70" s="195" t="str">
        <f t="shared" si="27"/>
        <v/>
      </c>
      <c r="AA70" s="195" t="str">
        <v/>
      </c>
      <c r="AB70" s="205" t="str">
        <v/>
      </c>
      <c r="AC70" s="213"/>
      <c r="AD70" s="197" t="str">
        <f t="shared" si="15"/>
        <v/>
      </c>
      <c r="AE70" s="203">
        <v>61</v>
      </c>
      <c r="AF70" s="195"/>
      <c r="AG70" s="195"/>
      <c r="AH70" s="205"/>
      <c r="AI70" s="213"/>
      <c r="AJ70" s="197" t="str">
        <f t="shared" si="16"/>
        <v/>
      </c>
      <c r="AK70" s="203">
        <v>61</v>
      </c>
      <c r="AL70" s="198" t="str">
        <f t="shared" si="28"/>
        <v/>
      </c>
      <c r="AM70" s="195" t="str">
        <v/>
      </c>
      <c r="AN70" s="196" t="str">
        <v/>
      </c>
      <c r="AO70" s="254"/>
      <c r="AP70" s="256" t="str">
        <f t="shared" si="17"/>
        <v/>
      </c>
      <c r="AQ70" s="203">
        <v>61</v>
      </c>
      <c r="AR70" s="195" t="str">
        <f t="shared" si="29"/>
        <v/>
      </c>
      <c r="AS70" s="195" t="str">
        <v/>
      </c>
      <c r="AT70" s="205" t="str">
        <v/>
      </c>
      <c r="AU70" s="213"/>
      <c r="AV70" s="197" t="str">
        <f t="shared" si="18"/>
        <v/>
      </c>
      <c r="AW70" s="203">
        <v>61</v>
      </c>
      <c r="AX70" s="195" t="str">
        <f t="shared" si="30"/>
        <v/>
      </c>
      <c r="AY70" s="195" t="str">
        <v/>
      </c>
      <c r="AZ70" s="205" t="str">
        <v/>
      </c>
      <c r="BA70" s="242"/>
      <c r="BB70" s="197" t="str">
        <f t="shared" si="19"/>
        <v/>
      </c>
      <c r="BC70" s="203">
        <v>61</v>
      </c>
      <c r="BD70" s="195" t="str">
        <f t="shared" si="31"/>
        <v/>
      </c>
      <c r="BE70" s="195" t="str">
        <v/>
      </c>
      <c r="BF70" s="205" t="str">
        <v/>
      </c>
      <c r="BG70" s="242"/>
      <c r="BH70" s="197" t="str">
        <f t="shared" si="20"/>
        <v/>
      </c>
      <c r="BI70" s="203">
        <v>61</v>
      </c>
      <c r="BJ70" s="195" t="str">
        <f t="shared" si="32"/>
        <v/>
      </c>
      <c r="BK70" s="195" t="str">
        <v/>
      </c>
      <c r="BL70" s="205" t="str">
        <v/>
      </c>
      <c r="BM70" s="242"/>
      <c r="BN70" s="197" t="str">
        <f t="shared" si="21"/>
        <v/>
      </c>
      <c r="BO70" s="203">
        <v>61</v>
      </c>
      <c r="BP70" s="195" t="str">
        <f t="shared" si="33"/>
        <v/>
      </c>
      <c r="BQ70" s="195" t="str">
        <v/>
      </c>
      <c r="BR70" s="205" t="str">
        <v/>
      </c>
      <c r="BS70" s="242"/>
      <c r="BT70" s="197" t="str">
        <f t="shared" si="22"/>
        <v/>
      </c>
    </row>
    <row r="71" spans="1:72">
      <c r="A71" s="203">
        <v>62</v>
      </c>
      <c r="B71" s="195" t="str">
        <f t="shared" si="23"/>
        <v/>
      </c>
      <c r="C71" s="195" t="str">
        <v/>
      </c>
      <c r="D71" s="205" t="str">
        <v/>
      </c>
      <c r="E71" s="213"/>
      <c r="F71" s="197" t="str">
        <f t="shared" si="11"/>
        <v/>
      </c>
      <c r="G71" s="203">
        <v>62</v>
      </c>
      <c r="H71" s="195" t="str">
        <f t="shared" si="24"/>
        <v/>
      </c>
      <c r="I71" s="195" t="str">
        <v/>
      </c>
      <c r="J71" s="205" t="str">
        <v/>
      </c>
      <c r="K71" s="242"/>
      <c r="L71" s="197" t="str">
        <f t="shared" si="12"/>
        <v/>
      </c>
      <c r="M71" s="203">
        <v>62</v>
      </c>
      <c r="N71" s="195" t="str">
        <f t="shared" si="25"/>
        <v/>
      </c>
      <c r="O71" s="195" t="str">
        <v/>
      </c>
      <c r="P71" s="205" t="str">
        <v/>
      </c>
      <c r="Q71" s="213"/>
      <c r="R71" s="197" t="str">
        <f t="shared" si="13"/>
        <v/>
      </c>
      <c r="S71" s="203">
        <v>62</v>
      </c>
      <c r="T71" s="195" t="str">
        <f t="shared" si="26"/>
        <v/>
      </c>
      <c r="U71" s="195" t="str">
        <v/>
      </c>
      <c r="V71" s="205" t="str">
        <v/>
      </c>
      <c r="W71" s="213"/>
      <c r="X71" s="197" t="str">
        <f t="shared" si="14"/>
        <v/>
      </c>
      <c r="Y71" s="203">
        <v>62</v>
      </c>
      <c r="Z71" s="195" t="str">
        <f t="shared" si="27"/>
        <v/>
      </c>
      <c r="AA71" s="195" t="str">
        <v/>
      </c>
      <c r="AB71" s="205" t="str">
        <v/>
      </c>
      <c r="AC71" s="213"/>
      <c r="AD71" s="197" t="str">
        <f t="shared" si="15"/>
        <v/>
      </c>
      <c r="AE71" s="203">
        <v>62</v>
      </c>
      <c r="AF71" s="195"/>
      <c r="AG71" s="195"/>
      <c r="AH71" s="205"/>
      <c r="AI71" s="213"/>
      <c r="AJ71" s="197" t="str">
        <f t="shared" si="16"/>
        <v/>
      </c>
      <c r="AK71" s="203">
        <v>62</v>
      </c>
      <c r="AL71" s="198" t="str">
        <f t="shared" si="28"/>
        <v/>
      </c>
      <c r="AM71" s="195" t="str">
        <v/>
      </c>
      <c r="AN71" s="196" t="str">
        <v/>
      </c>
      <c r="AO71" s="254"/>
      <c r="AP71" s="256" t="str">
        <f t="shared" si="17"/>
        <v/>
      </c>
      <c r="AQ71" s="203">
        <v>62</v>
      </c>
      <c r="AR71" s="195" t="str">
        <f t="shared" si="29"/>
        <v/>
      </c>
      <c r="AS71" s="195" t="str">
        <v/>
      </c>
      <c r="AT71" s="205" t="str">
        <v/>
      </c>
      <c r="AU71" s="213"/>
      <c r="AV71" s="197" t="str">
        <f t="shared" si="18"/>
        <v/>
      </c>
      <c r="AW71" s="203">
        <v>62</v>
      </c>
      <c r="AX71" s="195" t="str">
        <f t="shared" si="30"/>
        <v/>
      </c>
      <c r="AY71" s="195" t="str">
        <v/>
      </c>
      <c r="AZ71" s="205" t="str">
        <v/>
      </c>
      <c r="BA71" s="242"/>
      <c r="BB71" s="197" t="str">
        <f t="shared" si="19"/>
        <v/>
      </c>
      <c r="BC71" s="203">
        <v>62</v>
      </c>
      <c r="BD71" s="195" t="str">
        <f t="shared" si="31"/>
        <v/>
      </c>
      <c r="BE71" s="195" t="str">
        <v/>
      </c>
      <c r="BF71" s="205" t="str">
        <v/>
      </c>
      <c r="BG71" s="242"/>
      <c r="BH71" s="197" t="str">
        <f t="shared" si="20"/>
        <v/>
      </c>
      <c r="BI71" s="203">
        <v>62</v>
      </c>
      <c r="BJ71" s="195" t="str">
        <f t="shared" si="32"/>
        <v/>
      </c>
      <c r="BK71" s="195" t="str">
        <v/>
      </c>
      <c r="BL71" s="205" t="str">
        <v/>
      </c>
      <c r="BM71" s="242"/>
      <c r="BN71" s="197" t="str">
        <f t="shared" si="21"/>
        <v/>
      </c>
      <c r="BO71" s="203">
        <v>62</v>
      </c>
      <c r="BP71" s="195" t="str">
        <f t="shared" si="33"/>
        <v/>
      </c>
      <c r="BQ71" s="195" t="str">
        <v/>
      </c>
      <c r="BR71" s="205" t="str">
        <v/>
      </c>
      <c r="BS71" s="242"/>
      <c r="BT71" s="197" t="str">
        <f t="shared" si="22"/>
        <v/>
      </c>
    </row>
    <row r="72" spans="1:72">
      <c r="A72" s="203">
        <v>63</v>
      </c>
      <c r="B72" s="195" t="str">
        <f t="shared" si="23"/>
        <v/>
      </c>
      <c r="C72" s="195" t="str">
        <v/>
      </c>
      <c r="D72" s="205" t="str">
        <v/>
      </c>
      <c r="E72" s="213"/>
      <c r="F72" s="197" t="str">
        <f t="shared" si="11"/>
        <v/>
      </c>
      <c r="G72" s="203">
        <v>63</v>
      </c>
      <c r="H72" s="195" t="str">
        <f t="shared" si="24"/>
        <v/>
      </c>
      <c r="I72" s="195" t="str">
        <v/>
      </c>
      <c r="J72" s="205" t="str">
        <v/>
      </c>
      <c r="K72" s="242"/>
      <c r="L72" s="197" t="str">
        <f t="shared" si="12"/>
        <v/>
      </c>
      <c r="M72" s="203">
        <v>63</v>
      </c>
      <c r="N72" s="195" t="str">
        <f t="shared" si="25"/>
        <v/>
      </c>
      <c r="O72" s="195" t="str">
        <v/>
      </c>
      <c r="P72" s="205" t="str">
        <v/>
      </c>
      <c r="Q72" s="213"/>
      <c r="R72" s="197" t="str">
        <f t="shared" si="13"/>
        <v/>
      </c>
      <c r="S72" s="203">
        <v>63</v>
      </c>
      <c r="T72" s="195" t="str">
        <f t="shared" si="26"/>
        <v/>
      </c>
      <c r="U72" s="195" t="str">
        <v/>
      </c>
      <c r="V72" s="205" t="str">
        <v/>
      </c>
      <c r="W72" s="213"/>
      <c r="X72" s="197" t="str">
        <f t="shared" si="14"/>
        <v/>
      </c>
      <c r="Y72" s="203">
        <v>63</v>
      </c>
      <c r="Z72" s="195" t="str">
        <f t="shared" si="27"/>
        <v/>
      </c>
      <c r="AA72" s="195" t="str">
        <v/>
      </c>
      <c r="AB72" s="205" t="str">
        <v/>
      </c>
      <c r="AC72" s="213"/>
      <c r="AD72" s="197" t="str">
        <f t="shared" si="15"/>
        <v/>
      </c>
      <c r="AE72" s="203">
        <v>63</v>
      </c>
      <c r="AF72" s="195"/>
      <c r="AG72" s="195"/>
      <c r="AH72" s="205"/>
      <c r="AI72" s="213"/>
      <c r="AJ72" s="197" t="str">
        <f t="shared" si="16"/>
        <v/>
      </c>
      <c r="AK72" s="203">
        <v>63</v>
      </c>
      <c r="AL72" s="198" t="str">
        <f t="shared" si="28"/>
        <v/>
      </c>
      <c r="AM72" s="195" t="str">
        <v/>
      </c>
      <c r="AN72" s="196" t="str">
        <v/>
      </c>
      <c r="AO72" s="254"/>
      <c r="AP72" s="256" t="str">
        <f t="shared" si="17"/>
        <v/>
      </c>
      <c r="AQ72" s="203">
        <v>63</v>
      </c>
      <c r="AR72" s="195" t="str">
        <f t="shared" si="29"/>
        <v/>
      </c>
      <c r="AS72" s="195" t="str">
        <v/>
      </c>
      <c r="AT72" s="205" t="str">
        <v/>
      </c>
      <c r="AU72" s="213"/>
      <c r="AV72" s="197" t="str">
        <f t="shared" si="18"/>
        <v/>
      </c>
      <c r="AW72" s="203">
        <v>63</v>
      </c>
      <c r="AX72" s="195" t="str">
        <f t="shared" si="30"/>
        <v/>
      </c>
      <c r="AY72" s="195" t="str">
        <v/>
      </c>
      <c r="AZ72" s="205" t="str">
        <v/>
      </c>
      <c r="BA72" s="242"/>
      <c r="BB72" s="197" t="str">
        <f t="shared" si="19"/>
        <v/>
      </c>
      <c r="BC72" s="203">
        <v>63</v>
      </c>
      <c r="BD72" s="195" t="str">
        <f t="shared" si="31"/>
        <v/>
      </c>
      <c r="BE72" s="195" t="str">
        <v/>
      </c>
      <c r="BF72" s="205" t="str">
        <v/>
      </c>
      <c r="BG72" s="242"/>
      <c r="BH72" s="197" t="str">
        <f t="shared" si="20"/>
        <v/>
      </c>
      <c r="BI72" s="203">
        <v>63</v>
      </c>
      <c r="BJ72" s="195" t="str">
        <f t="shared" si="32"/>
        <v/>
      </c>
      <c r="BK72" s="195" t="str">
        <v/>
      </c>
      <c r="BL72" s="205" t="str">
        <v/>
      </c>
      <c r="BM72" s="242"/>
      <c r="BN72" s="197" t="str">
        <f t="shared" si="21"/>
        <v/>
      </c>
      <c r="BO72" s="203">
        <v>63</v>
      </c>
      <c r="BP72" s="195" t="str">
        <f t="shared" si="33"/>
        <v/>
      </c>
      <c r="BQ72" s="195" t="str">
        <v/>
      </c>
      <c r="BR72" s="205" t="str">
        <v/>
      </c>
      <c r="BS72" s="242"/>
      <c r="BT72" s="197" t="str">
        <f t="shared" si="22"/>
        <v/>
      </c>
    </row>
    <row r="73" spans="1:72">
      <c r="A73" s="203">
        <v>64</v>
      </c>
      <c r="B73" s="195" t="str">
        <f t="shared" si="23"/>
        <v/>
      </c>
      <c r="C73" s="195" t="str">
        <v/>
      </c>
      <c r="D73" s="205" t="str">
        <v/>
      </c>
      <c r="E73" s="213"/>
      <c r="F73" s="197" t="str">
        <f t="shared" si="11"/>
        <v/>
      </c>
      <c r="G73" s="203">
        <v>64</v>
      </c>
      <c r="H73" s="195" t="str">
        <f t="shared" si="24"/>
        <v/>
      </c>
      <c r="I73" s="195" t="str">
        <v/>
      </c>
      <c r="J73" s="205" t="str">
        <v/>
      </c>
      <c r="K73" s="242"/>
      <c r="L73" s="197" t="str">
        <f t="shared" si="12"/>
        <v/>
      </c>
      <c r="M73" s="203">
        <v>64</v>
      </c>
      <c r="N73" s="195" t="str">
        <f t="shared" si="25"/>
        <v/>
      </c>
      <c r="O73" s="195" t="str">
        <v/>
      </c>
      <c r="P73" s="205" t="str">
        <v/>
      </c>
      <c r="Q73" s="213"/>
      <c r="R73" s="197" t="str">
        <f t="shared" si="13"/>
        <v/>
      </c>
      <c r="S73" s="203">
        <v>64</v>
      </c>
      <c r="T73" s="195" t="str">
        <f t="shared" si="26"/>
        <v/>
      </c>
      <c r="U73" s="195" t="str">
        <v/>
      </c>
      <c r="V73" s="205" t="str">
        <v/>
      </c>
      <c r="W73" s="213"/>
      <c r="X73" s="197" t="str">
        <f t="shared" si="14"/>
        <v/>
      </c>
      <c r="Y73" s="203">
        <v>64</v>
      </c>
      <c r="Z73" s="195" t="str">
        <f t="shared" si="27"/>
        <v/>
      </c>
      <c r="AA73" s="195" t="str">
        <v/>
      </c>
      <c r="AB73" s="205" t="str">
        <v/>
      </c>
      <c r="AC73" s="213"/>
      <c r="AD73" s="197" t="str">
        <f t="shared" si="15"/>
        <v/>
      </c>
      <c r="AE73" s="203">
        <v>64</v>
      </c>
      <c r="AF73" s="195"/>
      <c r="AG73" s="195"/>
      <c r="AH73" s="205"/>
      <c r="AI73" s="213"/>
      <c r="AJ73" s="197" t="str">
        <f t="shared" si="16"/>
        <v/>
      </c>
      <c r="AK73" s="203">
        <v>64</v>
      </c>
      <c r="AL73" s="198" t="str">
        <f t="shared" si="28"/>
        <v/>
      </c>
      <c r="AM73" s="195" t="str">
        <v/>
      </c>
      <c r="AN73" s="196" t="str">
        <v/>
      </c>
      <c r="AO73" s="254"/>
      <c r="AP73" s="256" t="str">
        <f t="shared" si="17"/>
        <v/>
      </c>
      <c r="AQ73" s="203">
        <v>64</v>
      </c>
      <c r="AR73" s="195" t="str">
        <f t="shared" si="29"/>
        <v/>
      </c>
      <c r="AS73" s="195" t="str">
        <v/>
      </c>
      <c r="AT73" s="205" t="str">
        <v/>
      </c>
      <c r="AU73" s="213"/>
      <c r="AV73" s="197" t="str">
        <f t="shared" si="18"/>
        <v/>
      </c>
      <c r="AW73" s="203">
        <v>64</v>
      </c>
      <c r="AX73" s="195" t="str">
        <f t="shared" si="30"/>
        <v/>
      </c>
      <c r="AY73" s="195" t="str">
        <v/>
      </c>
      <c r="AZ73" s="205" t="str">
        <v/>
      </c>
      <c r="BA73" s="242"/>
      <c r="BB73" s="197" t="str">
        <f t="shared" si="19"/>
        <v/>
      </c>
      <c r="BC73" s="203">
        <v>64</v>
      </c>
      <c r="BD73" s="195" t="str">
        <f t="shared" si="31"/>
        <v/>
      </c>
      <c r="BE73" s="195" t="str">
        <v/>
      </c>
      <c r="BF73" s="205" t="str">
        <v/>
      </c>
      <c r="BG73" s="242"/>
      <c r="BH73" s="197" t="str">
        <f t="shared" si="20"/>
        <v/>
      </c>
      <c r="BI73" s="203">
        <v>64</v>
      </c>
      <c r="BJ73" s="195" t="str">
        <f t="shared" si="32"/>
        <v/>
      </c>
      <c r="BK73" s="195" t="str">
        <v/>
      </c>
      <c r="BL73" s="205" t="str">
        <v/>
      </c>
      <c r="BM73" s="242"/>
      <c r="BN73" s="197" t="str">
        <f t="shared" si="21"/>
        <v/>
      </c>
      <c r="BO73" s="203">
        <v>64</v>
      </c>
      <c r="BP73" s="195" t="str">
        <f t="shared" si="33"/>
        <v/>
      </c>
      <c r="BQ73" s="195" t="str">
        <v/>
      </c>
      <c r="BR73" s="205" t="str">
        <v/>
      </c>
      <c r="BS73" s="242"/>
      <c r="BT73" s="197" t="str">
        <f t="shared" si="22"/>
        <v/>
      </c>
    </row>
    <row r="74" spans="1:72">
      <c r="A74" s="203">
        <v>65</v>
      </c>
      <c r="B74" s="195" t="str">
        <f t="shared" ref="B74:B79" si="34">IF(C74="","",VLOOKUP(C74,Instruments.OIS.USD,6,0))</f>
        <v/>
      </c>
      <c r="C74" s="195" t="str">
        <v/>
      </c>
      <c r="D74" s="205" t="str">
        <v/>
      </c>
      <c r="E74" s="213"/>
      <c r="F74" s="197" t="str">
        <f t="shared" si="11"/>
        <v/>
      </c>
      <c r="G74" s="203">
        <v>65</v>
      </c>
      <c r="H74" s="195" t="str">
        <f t="shared" ref="H74:H79" si="35">IF(I74="","",VLOOKUP(I74,Instruments.OIS.USD,6,0))</f>
        <v/>
      </c>
      <c r="I74" s="195" t="str">
        <v/>
      </c>
      <c r="J74" s="205" t="str">
        <v/>
      </c>
      <c r="K74" s="242"/>
      <c r="L74" s="197" t="str">
        <f t="shared" si="12"/>
        <v/>
      </c>
      <c r="M74" s="203">
        <v>65</v>
      </c>
      <c r="N74" s="195" t="str">
        <f t="shared" ref="N74:N79" si="36">IF(O74="","",VLOOKUP(O74,Instruments.OIS.USD,6,0))</f>
        <v/>
      </c>
      <c r="O74" s="195" t="str">
        <v/>
      </c>
      <c r="P74" s="205" t="str">
        <v/>
      </c>
      <c r="Q74" s="213"/>
      <c r="R74" s="197" t="str">
        <f t="shared" si="13"/>
        <v/>
      </c>
      <c r="S74" s="203">
        <v>65</v>
      </c>
      <c r="T74" s="195" t="str">
        <f t="shared" ref="T74:T79" si="37">IF(U74="","",VLOOKUP(U74,Instruments.Swaps.USD,6,0))</f>
        <v/>
      </c>
      <c r="U74" s="195" t="str">
        <v/>
      </c>
      <c r="V74" s="205" t="str">
        <v/>
      </c>
      <c r="W74" s="213"/>
      <c r="X74" s="197" t="str">
        <f t="shared" si="14"/>
        <v/>
      </c>
      <c r="Y74" s="203">
        <v>65</v>
      </c>
      <c r="Z74" s="195" t="str">
        <f t="shared" ref="Z74:Z79" si="38">IF(AA74="","",VLOOKUP(AA74,Instruments.Swaps.USD,6,0))</f>
        <v/>
      </c>
      <c r="AA74" s="195" t="str">
        <v/>
      </c>
      <c r="AB74" s="205" t="str">
        <v/>
      </c>
      <c r="AC74" s="213"/>
      <c r="AD74" s="197" t="str">
        <f t="shared" si="15"/>
        <v/>
      </c>
      <c r="AE74" s="203">
        <v>65</v>
      </c>
      <c r="AF74" s="195"/>
      <c r="AG74" s="195"/>
      <c r="AH74" s="205"/>
      <c r="AI74" s="213"/>
      <c r="AJ74" s="197" t="str">
        <f t="shared" si="16"/>
        <v/>
      </c>
      <c r="AK74" s="203">
        <v>65</v>
      </c>
      <c r="AL74" s="198" t="str">
        <f t="shared" ref="AL74:AL79" si="39">IF(AM74="","",VLOOKUP(AM74,Instruments.Swaps.USD,6,0))</f>
        <v/>
      </c>
      <c r="AM74" s="195" t="str">
        <v/>
      </c>
      <c r="AN74" s="196" t="str">
        <v/>
      </c>
      <c r="AO74" s="254"/>
      <c r="AP74" s="256" t="str">
        <f t="shared" si="17"/>
        <v/>
      </c>
      <c r="AQ74" s="203">
        <v>65</v>
      </c>
      <c r="AR74" s="195" t="str">
        <f t="shared" ref="AR74:AR79" si="40">IF(AS74="","",VLOOKUP(AS74,Instruments.Swaps.USD,6,0))</f>
        <v/>
      </c>
      <c r="AS74" s="195" t="str">
        <v/>
      </c>
      <c r="AT74" s="205" t="str">
        <v/>
      </c>
      <c r="AU74" s="213"/>
      <c r="AV74" s="197" t="str">
        <f t="shared" si="18"/>
        <v/>
      </c>
      <c r="AW74" s="203">
        <v>65</v>
      </c>
      <c r="AX74" s="195" t="str">
        <f t="shared" ref="AX74:AX79" si="41">IF(AY74="","",VLOOKUP(AY74,Instruments.TenorBasis1.USD,6,0))</f>
        <v/>
      </c>
      <c r="AY74" s="195" t="str">
        <v/>
      </c>
      <c r="AZ74" s="205" t="str">
        <v/>
      </c>
      <c r="BA74" s="242"/>
      <c r="BB74" s="197" t="str">
        <f t="shared" si="19"/>
        <v/>
      </c>
      <c r="BC74" s="203">
        <v>65</v>
      </c>
      <c r="BD74" s="195" t="str">
        <f t="shared" ref="BD74:BD79" si="42">IF(BE74="","",VLOOKUP(BE74,Instruments.TenorBasis2.USD,6,0))</f>
        <v/>
      </c>
      <c r="BE74" s="195" t="str">
        <v/>
      </c>
      <c r="BF74" s="205" t="str">
        <v/>
      </c>
      <c r="BG74" s="242"/>
      <c r="BH74" s="197" t="str">
        <f t="shared" si="20"/>
        <v/>
      </c>
      <c r="BI74" s="203">
        <v>65</v>
      </c>
      <c r="BJ74" s="195" t="str">
        <f t="shared" ref="BJ74:BJ79" si="43">IF(BK74="","",VLOOKUP(BK74,Instruments.TenorBasis3.USD,6,0))</f>
        <v/>
      </c>
      <c r="BK74" s="195" t="str">
        <v/>
      </c>
      <c r="BL74" s="205" t="str">
        <v/>
      </c>
      <c r="BM74" s="242"/>
      <c r="BN74" s="197" t="str">
        <f t="shared" si="21"/>
        <v/>
      </c>
      <c r="BO74" s="203">
        <v>65</v>
      </c>
      <c r="BP74" s="195" t="str">
        <f t="shared" ref="BP74:BP79" si="44">IF(BQ74="","",VLOOKUP(BQ74,Instruments.XccyBasis.USD,6,0))</f>
        <v/>
      </c>
      <c r="BQ74" s="195" t="str">
        <v/>
      </c>
      <c r="BR74" s="205" t="str">
        <v/>
      </c>
      <c r="BS74" s="242"/>
      <c r="BT74" s="197" t="str">
        <f t="shared" si="22"/>
        <v/>
      </c>
    </row>
    <row r="75" spans="1:72">
      <c r="A75" s="203">
        <v>66</v>
      </c>
      <c r="B75" s="195" t="str">
        <f t="shared" si="34"/>
        <v/>
      </c>
      <c r="C75" s="195" t="str">
        <v/>
      </c>
      <c r="D75" s="205" t="str">
        <v/>
      </c>
      <c r="E75" s="213"/>
      <c r="F75" s="197" t="str">
        <f t="shared" ref="F75:F79" si="45">IF(D75="","",D75/100+E75+F$7)</f>
        <v/>
      </c>
      <c r="G75" s="203">
        <v>66</v>
      </c>
      <c r="H75" s="195" t="str">
        <f t="shared" si="35"/>
        <v/>
      </c>
      <c r="I75" s="195" t="str">
        <v/>
      </c>
      <c r="J75" s="205" t="str">
        <v/>
      </c>
      <c r="K75" s="242"/>
      <c r="L75" s="197" t="str">
        <f t="shared" ref="L75:L79" si="46">IF(J75="","",(J75+K75+L$7)/10000)</f>
        <v/>
      </c>
      <c r="M75" s="203">
        <v>66</v>
      </c>
      <c r="N75" s="195" t="str">
        <f t="shared" si="36"/>
        <v/>
      </c>
      <c r="O75" s="195" t="str">
        <v/>
      </c>
      <c r="P75" s="205" t="str">
        <v/>
      </c>
      <c r="Q75" s="213"/>
      <c r="R75" s="197" t="str">
        <f t="shared" ref="R75:R79" si="47">IF(P75="","",P75/100+Q75+R$7)</f>
        <v/>
      </c>
      <c r="S75" s="203">
        <v>66</v>
      </c>
      <c r="T75" s="195" t="str">
        <f t="shared" si="37"/>
        <v/>
      </c>
      <c r="U75" s="195" t="str">
        <v/>
      </c>
      <c r="V75" s="205" t="str">
        <v/>
      </c>
      <c r="W75" s="213"/>
      <c r="X75" s="197" t="str">
        <f t="shared" ref="X75:X79" si="48">IF(V75="","",V75/100+W75+X$7)</f>
        <v/>
      </c>
      <c r="Y75" s="203">
        <v>66</v>
      </c>
      <c r="Z75" s="195" t="str">
        <f t="shared" si="38"/>
        <v/>
      </c>
      <c r="AA75" s="195" t="str">
        <v/>
      </c>
      <c r="AB75" s="205" t="str">
        <v/>
      </c>
      <c r="AC75" s="213"/>
      <c r="AD75" s="197" t="str">
        <f t="shared" ref="AD75:AD79" si="49">IF(AB75="","",AB75/100+AC75+AD$7)</f>
        <v/>
      </c>
      <c r="AE75" s="203">
        <v>66</v>
      </c>
      <c r="AF75" s="195"/>
      <c r="AG75" s="195"/>
      <c r="AH75" s="205"/>
      <c r="AI75" s="213"/>
      <c r="AJ75" s="197" t="str">
        <f t="shared" ref="AJ75:AJ79" si="50">IF(AH75="","",AH75/100+AI75+AJ$7)</f>
        <v/>
      </c>
      <c r="AK75" s="203">
        <v>66</v>
      </c>
      <c r="AL75" s="198" t="str">
        <f t="shared" si="39"/>
        <v/>
      </c>
      <c r="AM75" s="195" t="str">
        <v/>
      </c>
      <c r="AN75" s="196" t="str">
        <v/>
      </c>
      <c r="AO75" s="254"/>
      <c r="AP75" s="256" t="str">
        <f t="shared" ref="AP75:AP79" si="51">IF(AN75="","",AN75+AO75+AP$7)</f>
        <v/>
      </c>
      <c r="AQ75" s="203">
        <v>66</v>
      </c>
      <c r="AR75" s="195" t="str">
        <f t="shared" si="40"/>
        <v/>
      </c>
      <c r="AS75" s="195" t="str">
        <v/>
      </c>
      <c r="AT75" s="205" t="str">
        <v/>
      </c>
      <c r="AU75" s="213"/>
      <c r="AV75" s="197" t="str">
        <f t="shared" ref="AV75:AV79" si="52">IF(AT75="","",AT75/100+AU75+AV$7)</f>
        <v/>
      </c>
      <c r="AW75" s="203">
        <v>66</v>
      </c>
      <c r="AX75" s="195" t="str">
        <f t="shared" si="41"/>
        <v/>
      </c>
      <c r="AY75" s="195" t="str">
        <v/>
      </c>
      <c r="AZ75" s="205" t="str">
        <v/>
      </c>
      <c r="BA75" s="242"/>
      <c r="BB75" s="197" t="str">
        <f t="shared" ref="BB75:BB79" si="53">IF(AZ75="","",(AZ75+BA75+BB$7)/10000)</f>
        <v/>
      </c>
      <c r="BC75" s="203">
        <v>66</v>
      </c>
      <c r="BD75" s="195" t="str">
        <f t="shared" si="42"/>
        <v/>
      </c>
      <c r="BE75" s="195" t="str">
        <v/>
      </c>
      <c r="BF75" s="205" t="str">
        <v/>
      </c>
      <c r="BG75" s="242"/>
      <c r="BH75" s="197" t="str">
        <f t="shared" ref="BH75:BH79" si="54">IF(BF75="","",(BF75+BG75+BH$7)/10000)</f>
        <v/>
      </c>
      <c r="BI75" s="203">
        <v>66</v>
      </c>
      <c r="BJ75" s="195" t="str">
        <f t="shared" si="43"/>
        <v/>
      </c>
      <c r="BK75" s="195" t="str">
        <v/>
      </c>
      <c r="BL75" s="205" t="str">
        <v/>
      </c>
      <c r="BM75" s="242"/>
      <c r="BN75" s="197" t="str">
        <f t="shared" ref="BN75:BN79" si="55">IF(BL75="","",(BL75+BM75+BN$7)/10000)</f>
        <v/>
      </c>
      <c r="BO75" s="203">
        <v>66</v>
      </c>
      <c r="BP75" s="195" t="str">
        <f t="shared" si="44"/>
        <v/>
      </c>
      <c r="BQ75" s="195" t="str">
        <v/>
      </c>
      <c r="BR75" s="205" t="str">
        <v/>
      </c>
      <c r="BS75" s="242"/>
      <c r="BT75" s="197" t="str">
        <f t="shared" ref="BT75:BT79" si="56">IF(BR75="","",(BR75+BS75+BT$7)/10000)</f>
        <v/>
      </c>
    </row>
    <row r="76" spans="1:72">
      <c r="A76" s="203">
        <v>67</v>
      </c>
      <c r="B76" s="195" t="str">
        <f t="shared" si="34"/>
        <v/>
      </c>
      <c r="C76" s="195" t="str">
        <v/>
      </c>
      <c r="D76" s="205" t="str">
        <v/>
      </c>
      <c r="E76" s="213"/>
      <c r="F76" s="197" t="str">
        <f t="shared" si="45"/>
        <v/>
      </c>
      <c r="G76" s="203">
        <v>67</v>
      </c>
      <c r="H76" s="195" t="str">
        <f t="shared" si="35"/>
        <v/>
      </c>
      <c r="I76" s="195" t="str">
        <v/>
      </c>
      <c r="J76" s="205" t="str">
        <v/>
      </c>
      <c r="K76" s="242"/>
      <c r="L76" s="197" t="str">
        <f t="shared" si="46"/>
        <v/>
      </c>
      <c r="M76" s="203">
        <v>67</v>
      </c>
      <c r="N76" s="195" t="str">
        <f t="shared" si="36"/>
        <v/>
      </c>
      <c r="O76" s="195" t="str">
        <v/>
      </c>
      <c r="P76" s="205" t="str">
        <v/>
      </c>
      <c r="Q76" s="213"/>
      <c r="R76" s="197" t="str">
        <f t="shared" si="47"/>
        <v/>
      </c>
      <c r="S76" s="203">
        <v>67</v>
      </c>
      <c r="T76" s="195" t="str">
        <f t="shared" si="37"/>
        <v/>
      </c>
      <c r="U76" s="195" t="str">
        <v/>
      </c>
      <c r="V76" s="205" t="str">
        <v/>
      </c>
      <c r="W76" s="213"/>
      <c r="X76" s="197" t="str">
        <f t="shared" si="48"/>
        <v/>
      </c>
      <c r="Y76" s="203">
        <v>67</v>
      </c>
      <c r="Z76" s="195" t="str">
        <f t="shared" si="38"/>
        <v/>
      </c>
      <c r="AA76" s="195" t="str">
        <v/>
      </c>
      <c r="AB76" s="205" t="str">
        <v/>
      </c>
      <c r="AC76" s="213"/>
      <c r="AD76" s="197" t="str">
        <f t="shared" si="49"/>
        <v/>
      </c>
      <c r="AE76" s="203">
        <v>67</v>
      </c>
      <c r="AF76" s="195"/>
      <c r="AG76" s="195"/>
      <c r="AH76" s="205"/>
      <c r="AI76" s="213"/>
      <c r="AJ76" s="197" t="str">
        <f t="shared" si="50"/>
        <v/>
      </c>
      <c r="AK76" s="203">
        <v>67</v>
      </c>
      <c r="AL76" s="198" t="str">
        <f t="shared" si="39"/>
        <v/>
      </c>
      <c r="AM76" s="195" t="str">
        <v/>
      </c>
      <c r="AN76" s="196" t="str">
        <v/>
      </c>
      <c r="AO76" s="254"/>
      <c r="AP76" s="256" t="str">
        <f t="shared" si="51"/>
        <v/>
      </c>
      <c r="AQ76" s="203">
        <v>67</v>
      </c>
      <c r="AR76" s="195" t="str">
        <f t="shared" si="40"/>
        <v/>
      </c>
      <c r="AS76" s="195" t="str">
        <v/>
      </c>
      <c r="AT76" s="205" t="str">
        <v/>
      </c>
      <c r="AU76" s="213"/>
      <c r="AV76" s="197" t="str">
        <f t="shared" si="52"/>
        <v/>
      </c>
      <c r="AW76" s="203">
        <v>67</v>
      </c>
      <c r="AX76" s="195" t="str">
        <f t="shared" si="41"/>
        <v/>
      </c>
      <c r="AY76" s="195" t="str">
        <v/>
      </c>
      <c r="AZ76" s="205" t="str">
        <v/>
      </c>
      <c r="BA76" s="242"/>
      <c r="BB76" s="197" t="str">
        <f t="shared" si="53"/>
        <v/>
      </c>
      <c r="BC76" s="203">
        <v>67</v>
      </c>
      <c r="BD76" s="195" t="str">
        <f t="shared" si="42"/>
        <v/>
      </c>
      <c r="BE76" s="195" t="str">
        <v/>
      </c>
      <c r="BF76" s="205" t="str">
        <v/>
      </c>
      <c r="BG76" s="242"/>
      <c r="BH76" s="197" t="str">
        <f t="shared" si="54"/>
        <v/>
      </c>
      <c r="BI76" s="203">
        <v>67</v>
      </c>
      <c r="BJ76" s="195" t="str">
        <f t="shared" si="43"/>
        <v/>
      </c>
      <c r="BK76" s="195" t="str">
        <v/>
      </c>
      <c r="BL76" s="205" t="str">
        <v/>
      </c>
      <c r="BM76" s="242"/>
      <c r="BN76" s="197" t="str">
        <f t="shared" si="55"/>
        <v/>
      </c>
      <c r="BO76" s="203">
        <v>67</v>
      </c>
      <c r="BP76" s="195" t="str">
        <f t="shared" si="44"/>
        <v/>
      </c>
      <c r="BQ76" s="195" t="str">
        <v/>
      </c>
      <c r="BR76" s="205" t="str">
        <v/>
      </c>
      <c r="BS76" s="242"/>
      <c r="BT76" s="197" t="str">
        <f t="shared" si="56"/>
        <v/>
      </c>
    </row>
    <row r="77" spans="1:72">
      <c r="A77" s="203">
        <v>68</v>
      </c>
      <c r="B77" s="195" t="str">
        <f t="shared" si="34"/>
        <v/>
      </c>
      <c r="C77" s="195" t="str">
        <v/>
      </c>
      <c r="D77" s="205" t="str">
        <v/>
      </c>
      <c r="E77" s="213"/>
      <c r="F77" s="197" t="str">
        <f t="shared" si="45"/>
        <v/>
      </c>
      <c r="G77" s="203">
        <v>68</v>
      </c>
      <c r="H77" s="195" t="str">
        <f t="shared" si="35"/>
        <v/>
      </c>
      <c r="I77" s="195" t="str">
        <v/>
      </c>
      <c r="J77" s="205" t="str">
        <v/>
      </c>
      <c r="K77" s="242"/>
      <c r="L77" s="197" t="str">
        <f t="shared" si="46"/>
        <v/>
      </c>
      <c r="M77" s="203">
        <v>68</v>
      </c>
      <c r="N77" s="195" t="str">
        <f t="shared" si="36"/>
        <v/>
      </c>
      <c r="O77" s="195" t="str">
        <v/>
      </c>
      <c r="P77" s="205" t="str">
        <v/>
      </c>
      <c r="Q77" s="213"/>
      <c r="R77" s="197" t="str">
        <f t="shared" si="47"/>
        <v/>
      </c>
      <c r="S77" s="203">
        <v>68</v>
      </c>
      <c r="T77" s="195" t="str">
        <f t="shared" si="37"/>
        <v/>
      </c>
      <c r="U77" s="195" t="str">
        <v/>
      </c>
      <c r="V77" s="205" t="str">
        <v/>
      </c>
      <c r="W77" s="213"/>
      <c r="X77" s="197" t="str">
        <f t="shared" si="48"/>
        <v/>
      </c>
      <c r="Y77" s="203">
        <v>68</v>
      </c>
      <c r="Z77" s="195" t="str">
        <f t="shared" si="38"/>
        <v/>
      </c>
      <c r="AA77" s="195" t="str">
        <v/>
      </c>
      <c r="AB77" s="205" t="str">
        <v/>
      </c>
      <c r="AC77" s="213"/>
      <c r="AD77" s="197" t="str">
        <f t="shared" si="49"/>
        <v/>
      </c>
      <c r="AE77" s="203">
        <v>68</v>
      </c>
      <c r="AF77" s="195"/>
      <c r="AG77" s="195"/>
      <c r="AH77" s="205"/>
      <c r="AI77" s="213"/>
      <c r="AJ77" s="197" t="str">
        <f t="shared" si="50"/>
        <v/>
      </c>
      <c r="AK77" s="203">
        <v>68</v>
      </c>
      <c r="AL77" s="198" t="str">
        <f t="shared" si="39"/>
        <v/>
      </c>
      <c r="AM77" s="195" t="str">
        <v/>
      </c>
      <c r="AN77" s="196" t="str">
        <v/>
      </c>
      <c r="AO77" s="254"/>
      <c r="AP77" s="256" t="str">
        <f t="shared" si="51"/>
        <v/>
      </c>
      <c r="AQ77" s="203">
        <v>68</v>
      </c>
      <c r="AR77" s="195" t="str">
        <f t="shared" si="40"/>
        <v/>
      </c>
      <c r="AS77" s="195" t="str">
        <v/>
      </c>
      <c r="AT77" s="205" t="str">
        <v/>
      </c>
      <c r="AU77" s="213"/>
      <c r="AV77" s="197" t="str">
        <f t="shared" si="52"/>
        <v/>
      </c>
      <c r="AW77" s="203">
        <v>68</v>
      </c>
      <c r="AX77" s="195" t="str">
        <f t="shared" si="41"/>
        <v/>
      </c>
      <c r="AY77" s="195" t="str">
        <v/>
      </c>
      <c r="AZ77" s="205" t="str">
        <v/>
      </c>
      <c r="BA77" s="242"/>
      <c r="BB77" s="197" t="str">
        <f t="shared" si="53"/>
        <v/>
      </c>
      <c r="BC77" s="203">
        <v>68</v>
      </c>
      <c r="BD77" s="195" t="str">
        <f t="shared" si="42"/>
        <v/>
      </c>
      <c r="BE77" s="195" t="str">
        <v/>
      </c>
      <c r="BF77" s="205" t="str">
        <v/>
      </c>
      <c r="BG77" s="242"/>
      <c r="BH77" s="197" t="str">
        <f t="shared" si="54"/>
        <v/>
      </c>
      <c r="BI77" s="203">
        <v>68</v>
      </c>
      <c r="BJ77" s="195" t="str">
        <f t="shared" si="43"/>
        <v/>
      </c>
      <c r="BK77" s="195" t="str">
        <v/>
      </c>
      <c r="BL77" s="205" t="str">
        <v/>
      </c>
      <c r="BM77" s="242"/>
      <c r="BN77" s="197" t="str">
        <f t="shared" si="55"/>
        <v/>
      </c>
      <c r="BO77" s="203">
        <v>68</v>
      </c>
      <c r="BP77" s="195" t="str">
        <f t="shared" si="44"/>
        <v/>
      </c>
      <c r="BQ77" s="195" t="str">
        <v/>
      </c>
      <c r="BR77" s="205" t="str">
        <v/>
      </c>
      <c r="BS77" s="242"/>
      <c r="BT77" s="197" t="str">
        <f t="shared" si="56"/>
        <v/>
      </c>
    </row>
    <row r="78" spans="1:72">
      <c r="A78" s="203">
        <v>69</v>
      </c>
      <c r="B78" s="195" t="str">
        <f t="shared" si="34"/>
        <v/>
      </c>
      <c r="C78" s="195" t="str">
        <v/>
      </c>
      <c r="D78" s="205" t="str">
        <v/>
      </c>
      <c r="E78" s="213"/>
      <c r="F78" s="197" t="str">
        <f t="shared" si="45"/>
        <v/>
      </c>
      <c r="G78" s="203">
        <v>69</v>
      </c>
      <c r="H78" s="195" t="str">
        <f t="shared" si="35"/>
        <v/>
      </c>
      <c r="I78" s="195" t="str">
        <v/>
      </c>
      <c r="J78" s="205" t="str">
        <v/>
      </c>
      <c r="K78" s="242"/>
      <c r="L78" s="197" t="str">
        <f t="shared" si="46"/>
        <v/>
      </c>
      <c r="M78" s="203">
        <v>69</v>
      </c>
      <c r="N78" s="195" t="str">
        <f t="shared" si="36"/>
        <v/>
      </c>
      <c r="O78" s="195" t="str">
        <v/>
      </c>
      <c r="P78" s="205" t="str">
        <v/>
      </c>
      <c r="Q78" s="213"/>
      <c r="R78" s="197" t="str">
        <f t="shared" si="47"/>
        <v/>
      </c>
      <c r="S78" s="203">
        <v>69</v>
      </c>
      <c r="T78" s="195" t="str">
        <f t="shared" si="37"/>
        <v/>
      </c>
      <c r="U78" s="195" t="str">
        <v/>
      </c>
      <c r="V78" s="205" t="str">
        <v/>
      </c>
      <c r="W78" s="213"/>
      <c r="X78" s="197" t="str">
        <f t="shared" si="48"/>
        <v/>
      </c>
      <c r="Y78" s="203">
        <v>69</v>
      </c>
      <c r="Z78" s="195" t="str">
        <f t="shared" si="38"/>
        <v/>
      </c>
      <c r="AA78" s="195" t="str">
        <v/>
      </c>
      <c r="AB78" s="205" t="str">
        <v/>
      </c>
      <c r="AC78" s="213"/>
      <c r="AD78" s="197" t="str">
        <f t="shared" si="49"/>
        <v/>
      </c>
      <c r="AE78" s="203">
        <v>69</v>
      </c>
      <c r="AF78" s="195"/>
      <c r="AG78" s="195"/>
      <c r="AH78" s="205"/>
      <c r="AI78" s="213"/>
      <c r="AJ78" s="197" t="str">
        <f t="shared" si="50"/>
        <v/>
      </c>
      <c r="AK78" s="203">
        <v>69</v>
      </c>
      <c r="AL78" s="198" t="str">
        <f t="shared" si="39"/>
        <v/>
      </c>
      <c r="AM78" s="195" t="str">
        <v/>
      </c>
      <c r="AN78" s="196" t="str">
        <v/>
      </c>
      <c r="AO78" s="254"/>
      <c r="AP78" s="256" t="str">
        <f t="shared" si="51"/>
        <v/>
      </c>
      <c r="AQ78" s="203">
        <v>69</v>
      </c>
      <c r="AR78" s="195" t="str">
        <f t="shared" si="40"/>
        <v/>
      </c>
      <c r="AS78" s="195" t="str">
        <v/>
      </c>
      <c r="AT78" s="205" t="str">
        <v/>
      </c>
      <c r="AU78" s="213"/>
      <c r="AV78" s="197" t="str">
        <f t="shared" si="52"/>
        <v/>
      </c>
      <c r="AW78" s="203">
        <v>69</v>
      </c>
      <c r="AX78" s="195" t="str">
        <f t="shared" si="41"/>
        <v/>
      </c>
      <c r="AY78" s="195" t="str">
        <v/>
      </c>
      <c r="AZ78" s="205" t="str">
        <v/>
      </c>
      <c r="BA78" s="242"/>
      <c r="BB78" s="197" t="str">
        <f t="shared" si="53"/>
        <v/>
      </c>
      <c r="BC78" s="203">
        <v>69</v>
      </c>
      <c r="BD78" s="195" t="str">
        <f t="shared" si="42"/>
        <v/>
      </c>
      <c r="BE78" s="195" t="str">
        <v/>
      </c>
      <c r="BF78" s="205" t="str">
        <v/>
      </c>
      <c r="BG78" s="242"/>
      <c r="BH78" s="197" t="str">
        <f t="shared" si="54"/>
        <v/>
      </c>
      <c r="BI78" s="203">
        <v>69</v>
      </c>
      <c r="BJ78" s="195" t="str">
        <f t="shared" si="43"/>
        <v/>
      </c>
      <c r="BK78" s="195" t="str">
        <v/>
      </c>
      <c r="BL78" s="205" t="str">
        <v/>
      </c>
      <c r="BM78" s="242"/>
      <c r="BN78" s="197" t="str">
        <f t="shared" si="55"/>
        <v/>
      </c>
      <c r="BO78" s="203">
        <v>69</v>
      </c>
      <c r="BP78" s="195" t="str">
        <f t="shared" si="44"/>
        <v/>
      </c>
      <c r="BQ78" s="195" t="str">
        <v/>
      </c>
      <c r="BR78" s="205" t="str">
        <v/>
      </c>
      <c r="BS78" s="242"/>
      <c r="BT78" s="197" t="str">
        <f t="shared" si="56"/>
        <v/>
      </c>
    </row>
    <row r="79" spans="1:72">
      <c r="A79" s="203">
        <v>70</v>
      </c>
      <c r="B79" s="200" t="str">
        <f t="shared" si="34"/>
        <v/>
      </c>
      <c r="C79" s="200" t="str">
        <v/>
      </c>
      <c r="D79" s="206" t="str">
        <v/>
      </c>
      <c r="E79" s="214"/>
      <c r="F79" s="202" t="str">
        <f t="shared" si="45"/>
        <v/>
      </c>
      <c r="G79" s="203">
        <v>70</v>
      </c>
      <c r="H79" s="200" t="str">
        <f t="shared" si="35"/>
        <v/>
      </c>
      <c r="I79" s="200" t="str">
        <v/>
      </c>
      <c r="J79" s="206" t="str">
        <v/>
      </c>
      <c r="K79" s="243"/>
      <c r="L79" s="202" t="str">
        <f t="shared" si="46"/>
        <v/>
      </c>
      <c r="M79" s="203">
        <v>70</v>
      </c>
      <c r="N79" s="200" t="str">
        <f t="shared" si="36"/>
        <v/>
      </c>
      <c r="O79" s="200" t="str">
        <v/>
      </c>
      <c r="P79" s="206" t="str">
        <v/>
      </c>
      <c r="Q79" s="214"/>
      <c r="R79" s="202" t="str">
        <f t="shared" si="47"/>
        <v/>
      </c>
      <c r="S79" s="203">
        <v>70</v>
      </c>
      <c r="T79" s="200" t="str">
        <f t="shared" si="37"/>
        <v/>
      </c>
      <c r="U79" s="200" t="str">
        <v/>
      </c>
      <c r="V79" s="206" t="str">
        <v/>
      </c>
      <c r="W79" s="214"/>
      <c r="X79" s="202" t="str">
        <f t="shared" si="48"/>
        <v/>
      </c>
      <c r="Y79" s="203">
        <v>70</v>
      </c>
      <c r="Z79" s="200" t="str">
        <f t="shared" si="38"/>
        <v/>
      </c>
      <c r="AA79" s="200" t="str">
        <v/>
      </c>
      <c r="AB79" s="206" t="str">
        <v/>
      </c>
      <c r="AC79" s="214"/>
      <c r="AD79" s="202" t="str">
        <f t="shared" si="49"/>
        <v/>
      </c>
      <c r="AE79" s="203">
        <v>70</v>
      </c>
      <c r="AF79" s="200"/>
      <c r="AG79" s="200"/>
      <c r="AH79" s="206"/>
      <c r="AI79" s="214"/>
      <c r="AJ79" s="202" t="str">
        <f t="shared" si="50"/>
        <v/>
      </c>
      <c r="AK79" s="203">
        <v>70</v>
      </c>
      <c r="AL79" s="199" t="str">
        <f t="shared" si="39"/>
        <v/>
      </c>
      <c r="AM79" s="200" t="str">
        <v/>
      </c>
      <c r="AN79" s="201" t="str">
        <v/>
      </c>
      <c r="AO79" s="255"/>
      <c r="AP79" s="257" t="str">
        <f t="shared" si="51"/>
        <v/>
      </c>
      <c r="AQ79" s="203">
        <v>70</v>
      </c>
      <c r="AR79" s="200" t="str">
        <f t="shared" si="40"/>
        <v/>
      </c>
      <c r="AS79" s="200" t="str">
        <v/>
      </c>
      <c r="AT79" s="206" t="str">
        <v/>
      </c>
      <c r="AU79" s="214"/>
      <c r="AV79" s="202" t="str">
        <f t="shared" si="52"/>
        <v/>
      </c>
      <c r="AW79" s="203">
        <v>70</v>
      </c>
      <c r="AX79" s="200" t="str">
        <f t="shared" si="41"/>
        <v/>
      </c>
      <c r="AY79" s="200" t="str">
        <v/>
      </c>
      <c r="AZ79" s="206" t="str">
        <v/>
      </c>
      <c r="BA79" s="243"/>
      <c r="BB79" s="202" t="str">
        <f t="shared" si="53"/>
        <v/>
      </c>
      <c r="BC79" s="203">
        <v>70</v>
      </c>
      <c r="BD79" s="200" t="str">
        <f t="shared" si="42"/>
        <v/>
      </c>
      <c r="BE79" s="200" t="str">
        <v/>
      </c>
      <c r="BF79" s="206" t="str">
        <v/>
      </c>
      <c r="BG79" s="243"/>
      <c r="BH79" s="202" t="str">
        <f t="shared" si="54"/>
        <v/>
      </c>
      <c r="BI79" s="203">
        <v>70</v>
      </c>
      <c r="BJ79" s="200" t="str">
        <f t="shared" si="43"/>
        <v/>
      </c>
      <c r="BK79" s="200" t="str">
        <v/>
      </c>
      <c r="BL79" s="206" t="str">
        <v/>
      </c>
      <c r="BM79" s="243"/>
      <c r="BN79" s="202" t="str">
        <f t="shared" si="55"/>
        <v/>
      </c>
      <c r="BO79" s="203">
        <v>70</v>
      </c>
      <c r="BP79" s="200" t="str">
        <f t="shared" si="44"/>
        <v/>
      </c>
      <c r="BQ79" s="200" t="str">
        <v/>
      </c>
      <c r="BR79" s="206" t="str">
        <v/>
      </c>
      <c r="BS79" s="243"/>
      <c r="BT79" s="202" t="str">
        <f t="shared" si="56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 tint="-0.249977111117893"/>
  </sheetPr>
  <dimension ref="A6:BT80"/>
  <sheetViews>
    <sheetView showGridLines="0" workbookViewId="0"/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si="0">IF(C10="","",VLOOKUP(C10,Instruments.OIS.GBP,6,0))</f>
        <v>ON</v>
      </c>
      <c r="C10" s="195" t="str">
        <f t="array" ref="C10:D79">getInstrumentData('Instrument Data'!Data.OIS.GBP,1,4,2,"Index","FWD SWAP","OVERNIGHT INDEXED SWAP")</f>
        <v>SONIO/N BGN Index</v>
      </c>
      <c r="D10" s="205">
        <v>0.45479999999999998</v>
      </c>
      <c r="E10" s="212"/>
      <c r="F10" s="197">
        <f>IF(D10="","",D10/100+E10+F$7)</f>
        <v>4.548E-3</v>
      </c>
      <c r="G10" s="203">
        <v>1</v>
      </c>
      <c r="H10" s="195" t="str">
        <f t="shared" ref="H10:H41" si="1">IF(I10="","",VLOOKUP(I10,Instruments.OIS.GBP,6,0))</f>
        <v/>
      </c>
      <c r="I10" s="195" t="str">
        <f t="array" ref="I10:J79">getInstrumentData('Instrument Data'!Data.OIS.GBP,1,4,2,"BASIS SWAP")</f>
        <v/>
      </c>
      <c r="J10" s="205" t="str">
        <v/>
      </c>
      <c r="K10" s="241"/>
      <c r="L10" s="197" t="str">
        <f>IF(J10="","",(J10+K10+L$7)/10000)</f>
        <v/>
      </c>
      <c r="M10" s="203">
        <v>1</v>
      </c>
      <c r="N10" s="195" t="str">
        <f t="shared" ref="N10:N41" si="2">IF(O10="","",VLOOKUP(O10,Instruments.OIS.GBP,6,0))</f>
        <v/>
      </c>
      <c r="O10" s="195" t="str">
        <f t="array" ref="O10:P79">getInstrumentData('Instrument Data'!Data.OIS.GBP,1,4,2,"SWAP")</f>
        <v/>
      </c>
      <c r="P10" s="205" t="str">
        <v/>
      </c>
      <c r="Q10" s="212"/>
      <c r="R10" s="197" t="str">
        <f>IF(P10="","",P10/100+Q10+R$7)</f>
        <v/>
      </c>
      <c r="S10" s="203">
        <v>1</v>
      </c>
      <c r="T10" s="195" t="str">
        <f t="shared" ref="T10:T41" si="3">IF(U10="","",VLOOKUP(U10,Instruments.Swaps.GBP,6,0))</f>
        <v>6M</v>
      </c>
      <c r="U10" s="195" t="str">
        <f t="array" ref="U10:V79">getInstrumentData('Instrument Data'!Data.Swaps.GBP,1,6,2,"Index",)</f>
        <v>BP0006M ICPL Index</v>
      </c>
      <c r="V10" s="205">
        <v>0.80937999999999999</v>
      </c>
      <c r="W10" s="212"/>
      <c r="X10" s="197">
        <f>IF(V10="","",V10/100+W10+X$7)</f>
        <v>8.0938E-3</v>
      </c>
      <c r="Y10" s="203">
        <v>1</v>
      </c>
      <c r="Z10" s="195"/>
      <c r="AA10" s="195"/>
      <c r="AB10" s="205"/>
      <c r="AC10" s="212"/>
      <c r="AD10" s="197" t="str">
        <f>IF(AB10="","",AB10/100+AC10+AD$7)</f>
        <v/>
      </c>
      <c r="AE10" s="203">
        <v>1</v>
      </c>
      <c r="AF10" s="195" t="str">
        <f t="shared" ref="AF10:AF41" si="4">IF(AG10="","",VLOOKUP(AG10,Instruments.Swaps.GBP,6,0))</f>
        <v>1X7</v>
      </c>
      <c r="AG10" s="195" t="str">
        <f t="array" ref="AG10:AH79">getInstrumentData('Instrument Data'!Data.Swaps.GBP,1,6,2,"FRA",)</f>
        <v>BPFR0AG ICPL Curncy</v>
      </c>
      <c r="AH10" s="205">
        <v>0.83899999999999997</v>
      </c>
      <c r="AI10" s="212"/>
      <c r="AJ10" s="197">
        <f>IF(AH10="","",AH10/100+AI10+AJ$7)</f>
        <v>8.3899999999999999E-3</v>
      </c>
      <c r="AK10" s="203">
        <v>1</v>
      </c>
      <c r="AL10" s="198"/>
      <c r="AM10" s="195"/>
      <c r="AN10" s="196"/>
      <c r="AO10" s="253"/>
      <c r="AP10" s="256" t="str">
        <f>IF(AN10="","",AN10+AO10+AP$7)</f>
        <v/>
      </c>
      <c r="AQ10" s="203">
        <v>1</v>
      </c>
      <c r="AR10" s="195" t="str">
        <f t="shared" ref="AR10:AR41" si="5">IF(AS10="","",VLOOKUP(AS10,Instruments.Swaps.GBP,6,0))</f>
        <v>2Y</v>
      </c>
      <c r="AS10" s="195" t="str">
        <f t="array" ref="AS10:AT79">getInstrumentData('Instrument Data'!Data.Swaps.GBP,1,6,2,"SWAP",)</f>
        <v>BPSW2 ICPL Curncy</v>
      </c>
      <c r="AT10" s="205">
        <v>1.0589999999999999</v>
      </c>
      <c r="AU10" s="212"/>
      <c r="AV10" s="197">
        <f>IF(AT10="","",AT10/100+AU10+AV$7)</f>
        <v>1.0589999999999999E-2</v>
      </c>
      <c r="AW10" s="203">
        <v>1</v>
      </c>
      <c r="AX10" s="195" t="str">
        <f t="shared" ref="AX10:AX41" si="6">IF(AY10="","",VLOOKUP(AY10,Instruments.TenorBasis1.GBP,6,0))</f>
        <v>1Y</v>
      </c>
      <c r="AY10" s="195" t="str">
        <f t="array" ref="AY10:AZ79">getInstrumentData('Instrument Data'!Data.TenorBasis1.GBP,1,4,2,"BASIS SWAP",)</f>
        <v>BPSFVC1 ICPL Curncy</v>
      </c>
      <c r="AZ10" s="205">
        <v>5.6</v>
      </c>
      <c r="BA10" s="241"/>
      <c r="BB10" s="197">
        <f>IF(AZ10="","",(AZ10+BA10+BB$7)/10000)</f>
        <v>5.5999999999999995E-4</v>
      </c>
      <c r="BC10" s="203">
        <v>1</v>
      </c>
      <c r="BD10" s="195" t="str">
        <f t="shared" ref="BD10:BD41" si="7">IF(BE10="","",VLOOKUP(BE10,Instruments.TenorBasis2.GBP,6,0))</f>
        <v>1Y</v>
      </c>
      <c r="BE10" s="195" t="str">
        <f t="array" ref="BE10:BF79">getInstrumentData('Instrument Data'!Data.TenorBasis2.GBP,1,4,2,"BASIS SWAP",)</f>
        <v>BPSFVA1 ICPL Curncy</v>
      </c>
      <c r="BF10" s="205">
        <v>16.2</v>
      </c>
      <c r="BG10" s="241"/>
      <c r="BH10" s="197">
        <f>IF(BF10="","",(BF10+BG10+BH$7)/10000)</f>
        <v>1.6199999999999999E-3</v>
      </c>
      <c r="BI10" s="203">
        <v>1</v>
      </c>
      <c r="BJ10" s="195" t="str">
        <f t="shared" ref="BJ10:BJ41" si="8">IF(BK10="","",VLOOKUP(BK10,Instruments.TenorBasis3.GBP,6,0))</f>
        <v>1Y</v>
      </c>
      <c r="BK10" s="195" t="str">
        <f t="array" ref="BK10:BL79">getInstrumentData('Instrument Data'!Data.TenorBasis3.GBP,1,4,2,"BASIS SWAP",)</f>
        <v>BPSIVF1 ICPL Curncy</v>
      </c>
      <c r="BL10" s="205">
        <v>7.2</v>
      </c>
      <c r="BM10" s="241"/>
      <c r="BN10" s="197">
        <f>IF(BL10="","",(BL10+BM10+BN$7)/10000)</f>
        <v>7.2000000000000005E-4</v>
      </c>
      <c r="BO10" s="203">
        <v>1</v>
      </c>
      <c r="BP10" s="195" t="str">
        <f t="shared" ref="BP10:BP41" si="9">IF(BQ10="","",VLOOKUP(BQ10,Instruments.XccyBasis.GBP,6,0))</f>
        <v>1Y</v>
      </c>
      <c r="BQ10" s="195" t="str">
        <f t="array" ref="BQ10:BR79">getInstrumentData([0]!Data.XccyBasis.GBP,1,4,2,"BASIS SWAP",)</f>
        <v>BPBS1 ICPL Curncy</v>
      </c>
      <c r="BR10" s="205">
        <v>-12.75</v>
      </c>
      <c r="BS10" s="241"/>
      <c r="BT10" s="197">
        <f>IF(BR10="","",(BR10+BS10+BT$7)/10000)</f>
        <v>-1.2750000000000001E-3</v>
      </c>
    </row>
    <row r="11" spans="1:72">
      <c r="A11" s="203">
        <v>2</v>
      </c>
      <c r="B11" s="195" t="str">
        <f t="shared" si="0"/>
        <v>1M</v>
      </c>
      <c r="C11" s="195" t="str">
        <v>BPSWSA BGN Curncy</v>
      </c>
      <c r="D11" s="205">
        <v>0.48499999999999999</v>
      </c>
      <c r="E11" s="213"/>
      <c r="F11" s="197">
        <f t="shared" ref="F11:F74" si="10">IF(D11="","",D11/100+E11+F$7)</f>
        <v>4.8500000000000001E-3</v>
      </c>
      <c r="G11" s="203">
        <v>2</v>
      </c>
      <c r="H11" s="195" t="str">
        <f t="shared" si="1"/>
        <v/>
      </c>
      <c r="I11" s="195" t="str">
        <v/>
      </c>
      <c r="J11" s="205" t="str">
        <v/>
      </c>
      <c r="K11" s="242"/>
      <c r="L11" s="197" t="str">
        <f t="shared" ref="L11:L74" si="11">IF(J11="","",(J11+K11+L$7)/10000)</f>
        <v/>
      </c>
      <c r="M11" s="203">
        <v>2</v>
      </c>
      <c r="N11" s="195" t="str">
        <f t="shared" si="2"/>
        <v/>
      </c>
      <c r="O11" s="195" t="str">
        <v/>
      </c>
      <c r="P11" s="205" t="str">
        <v/>
      </c>
      <c r="Q11" s="213"/>
      <c r="R11" s="197" t="str">
        <f t="shared" ref="R11:R74" si="12">IF(P11="","",P11/100+Q11+R$7)</f>
        <v/>
      </c>
      <c r="S11" s="203">
        <v>2</v>
      </c>
      <c r="T11" s="195" t="str">
        <f t="shared" si="3"/>
        <v/>
      </c>
      <c r="U11" s="195" t="str">
        <v/>
      </c>
      <c r="V11" s="205" t="str">
        <v/>
      </c>
      <c r="W11" s="213"/>
      <c r="X11" s="197" t="str">
        <f t="shared" ref="X11:X74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si="14">IF(AB11="","",AB11/100+AC11+AD$7)</f>
        <v/>
      </c>
      <c r="AE11" s="203">
        <v>2</v>
      </c>
      <c r="AF11" s="195" t="str">
        <f t="shared" si="4"/>
        <v>2X8</v>
      </c>
      <c r="AG11" s="195" t="str">
        <v>BPFR0BH ICPL Curncy</v>
      </c>
      <c r="AH11" s="205">
        <v>0.86199999999999999</v>
      </c>
      <c r="AI11" s="213"/>
      <c r="AJ11" s="197">
        <f t="shared" ref="AJ11:AJ74" si="15">IF(AH11="","",AH11/100+AI11+AJ$7)</f>
        <v>8.6199999999999992E-3</v>
      </c>
      <c r="AK11" s="203">
        <v>2</v>
      </c>
      <c r="AL11" s="198"/>
      <c r="AM11" s="195"/>
      <c r="AN11" s="196"/>
      <c r="AO11" s="254"/>
      <c r="AP11" s="256" t="str">
        <f t="shared" ref="AP11:AP74" si="16">IF(AN11="","",AN11+AO11+AP$7)</f>
        <v/>
      </c>
      <c r="AQ11" s="203">
        <v>2</v>
      </c>
      <c r="AR11" s="195" t="str">
        <f t="shared" si="5"/>
        <v>3Y</v>
      </c>
      <c r="AS11" s="195" t="str">
        <v>BPSW3 ICPL Curncy</v>
      </c>
      <c r="AT11" s="205">
        <v>1.1839999999999999</v>
      </c>
      <c r="AU11" s="213"/>
      <c r="AV11" s="197">
        <f t="shared" ref="AV11:AV74" si="17">IF(AT11="","",AT11/100+AU11+AV$7)</f>
        <v>1.184E-2</v>
      </c>
      <c r="AW11" s="203">
        <v>2</v>
      </c>
      <c r="AX11" s="195" t="str">
        <f t="shared" si="6"/>
        <v>2Y</v>
      </c>
      <c r="AY11" s="195" t="str">
        <v>BPSFVC2 ICPL Curncy</v>
      </c>
      <c r="AZ11" s="205">
        <v>5.6</v>
      </c>
      <c r="BA11" s="242"/>
      <c r="BB11" s="197">
        <f t="shared" ref="BB11:BB74" si="18">IF(AZ11="","",(AZ11+BA11+BB$7)/10000)</f>
        <v>5.5999999999999995E-4</v>
      </c>
      <c r="BC11" s="203">
        <v>2</v>
      </c>
      <c r="BD11" s="195" t="str">
        <f t="shared" si="7"/>
        <v>2Y</v>
      </c>
      <c r="BE11" s="195" t="str">
        <v>BPSFVA2 ICPL Curncy</v>
      </c>
      <c r="BF11" s="205">
        <v>15.6</v>
      </c>
      <c r="BG11" s="242"/>
      <c r="BH11" s="197">
        <f t="shared" ref="BH11:BH74" si="19">IF(BF11="","",(BF11+BG11+BH$7)/10000)</f>
        <v>1.56E-3</v>
      </c>
      <c r="BI11" s="203">
        <v>2</v>
      </c>
      <c r="BJ11" s="195" t="str">
        <f t="shared" si="8"/>
        <v>2Y</v>
      </c>
      <c r="BK11" s="195" t="str">
        <v>BPSIVF2 ICPL Curncy</v>
      </c>
      <c r="BL11" s="205">
        <v>12</v>
      </c>
      <c r="BM11" s="242"/>
      <c r="BN11" s="197">
        <f t="shared" ref="BN11:BN74" si="20">IF(BL11="","",(BL11+BM11+BN$7)/10000)</f>
        <v>1.1999999999999999E-3</v>
      </c>
      <c r="BO11" s="203">
        <v>2</v>
      </c>
      <c r="BP11" s="195" t="str">
        <f t="shared" si="9"/>
        <v>2Y</v>
      </c>
      <c r="BQ11" s="195" t="str">
        <v>BPBS2 ICPL Curncy</v>
      </c>
      <c r="BR11" s="205">
        <v>-9.5</v>
      </c>
      <c r="BS11" s="242"/>
      <c r="BT11" s="197">
        <f t="shared" ref="BT11:BT74" si="21">IF(BR11="","",(BR11+BS11+BT$7)/10000)</f>
        <v>-9.5E-4</v>
      </c>
    </row>
    <row r="12" spans="1:72">
      <c r="A12" s="203">
        <v>3</v>
      </c>
      <c r="B12" s="195" t="str">
        <f t="shared" si="0"/>
        <v>3M</v>
      </c>
      <c r="C12" s="195" t="str">
        <v>BPSWSC BGN Curncy</v>
      </c>
      <c r="D12" s="205">
        <v>0.5081</v>
      </c>
      <c r="E12" s="213"/>
      <c r="F12" s="197">
        <f t="shared" si="10"/>
        <v>5.0809999999999996E-3</v>
      </c>
      <c r="G12" s="203">
        <v>3</v>
      </c>
      <c r="H12" s="195" t="str">
        <f t="shared" si="1"/>
        <v/>
      </c>
      <c r="I12" s="195" t="str">
        <v/>
      </c>
      <c r="J12" s="205" t="str">
        <v/>
      </c>
      <c r="K12" s="242"/>
      <c r="L12" s="197" t="str">
        <f t="shared" si="11"/>
        <v/>
      </c>
      <c r="M12" s="203">
        <v>3</v>
      </c>
      <c r="N12" s="195" t="str">
        <f t="shared" si="2"/>
        <v/>
      </c>
      <c r="O12" s="195" t="str">
        <v/>
      </c>
      <c r="P12" s="205" t="str">
        <v/>
      </c>
      <c r="Q12" s="213"/>
      <c r="R12" s="197" t="str">
        <f t="shared" si="12"/>
        <v/>
      </c>
      <c r="S12" s="203">
        <v>3</v>
      </c>
      <c r="T12" s="195" t="str">
        <f t="shared" si="3"/>
        <v/>
      </c>
      <c r="U12" s="195" t="str">
        <v/>
      </c>
      <c r="V12" s="205" t="str">
        <v/>
      </c>
      <c r="W12" s="213"/>
      <c r="X12" s="197" t="str">
        <f t="shared" si="13"/>
        <v/>
      </c>
      <c r="Y12" s="203">
        <v>3</v>
      </c>
      <c r="Z12" s="195"/>
      <c r="AA12" s="195"/>
      <c r="AB12" s="205"/>
      <c r="AC12" s="213"/>
      <c r="AD12" s="197" t="str">
        <f t="shared" si="14"/>
        <v/>
      </c>
      <c r="AE12" s="203">
        <v>3</v>
      </c>
      <c r="AF12" s="195" t="str">
        <f t="shared" si="4"/>
        <v>3X9</v>
      </c>
      <c r="AG12" s="195" t="str">
        <v>BPFR0CI ICPL Curncy</v>
      </c>
      <c r="AH12" s="205">
        <v>0.89700000000000002</v>
      </c>
      <c r="AI12" s="213"/>
      <c r="AJ12" s="197">
        <f t="shared" si="15"/>
        <v>8.9700000000000005E-3</v>
      </c>
      <c r="AK12" s="203">
        <v>3</v>
      </c>
      <c r="AL12" s="198"/>
      <c r="AM12" s="195"/>
      <c r="AN12" s="196"/>
      <c r="AO12" s="254"/>
      <c r="AP12" s="256" t="str">
        <f t="shared" si="16"/>
        <v/>
      </c>
      <c r="AQ12" s="203">
        <v>3</v>
      </c>
      <c r="AR12" s="195" t="str">
        <f t="shared" si="5"/>
        <v>4Y</v>
      </c>
      <c r="AS12" s="195" t="str">
        <v>BPSW4 ICPL Curncy</v>
      </c>
      <c r="AT12" s="205">
        <v>1.2769999999999999</v>
      </c>
      <c r="AU12" s="213"/>
      <c r="AV12" s="197">
        <f t="shared" si="17"/>
        <v>1.2769999999999998E-2</v>
      </c>
      <c r="AW12" s="203">
        <v>3</v>
      </c>
      <c r="AX12" s="195" t="str">
        <f t="shared" si="6"/>
        <v>3Y</v>
      </c>
      <c r="AY12" s="195" t="str">
        <v>BPSFVC3 ICPL Curncy</v>
      </c>
      <c r="AZ12" s="205">
        <v>6.3</v>
      </c>
      <c r="BA12" s="242"/>
      <c r="BB12" s="197">
        <f t="shared" si="18"/>
        <v>6.3000000000000003E-4</v>
      </c>
      <c r="BC12" s="203">
        <v>3</v>
      </c>
      <c r="BD12" s="195" t="str">
        <f t="shared" si="7"/>
        <v>3Y</v>
      </c>
      <c r="BE12" s="195" t="str">
        <v>BPSFVA3 ICPL Curncy</v>
      </c>
      <c r="BF12" s="205">
        <v>16.2</v>
      </c>
      <c r="BG12" s="242"/>
      <c r="BH12" s="197">
        <f t="shared" si="19"/>
        <v>1.6199999999999999E-3</v>
      </c>
      <c r="BI12" s="203">
        <v>3</v>
      </c>
      <c r="BJ12" s="195" t="str">
        <f t="shared" si="8"/>
        <v>3Y</v>
      </c>
      <c r="BK12" s="195" t="str">
        <v>BPSIVF3 ICPL Curncy</v>
      </c>
      <c r="BL12" s="205">
        <v>13.1</v>
      </c>
      <c r="BM12" s="242"/>
      <c r="BN12" s="197">
        <f t="shared" si="20"/>
        <v>1.31E-3</v>
      </c>
      <c r="BO12" s="203">
        <v>3</v>
      </c>
      <c r="BP12" s="195" t="str">
        <f t="shared" si="9"/>
        <v>3Y</v>
      </c>
      <c r="BQ12" s="195" t="str">
        <v>BPBS3 ICPL Curncy</v>
      </c>
      <c r="BR12" s="205">
        <v>-6.5</v>
      </c>
      <c r="BS12" s="242"/>
      <c r="BT12" s="197">
        <f t="shared" si="21"/>
        <v>-6.4999999999999997E-4</v>
      </c>
    </row>
    <row r="13" spans="1:72">
      <c r="A13" s="203">
        <v>4</v>
      </c>
      <c r="B13" s="195" t="str">
        <f t="shared" si="0"/>
        <v>6M</v>
      </c>
      <c r="C13" s="195" t="str">
        <v>BPSWSF BGN Curncy</v>
      </c>
      <c r="D13" s="205">
        <v>0.56399999999999995</v>
      </c>
      <c r="E13" s="213"/>
      <c r="F13" s="197">
        <f t="shared" si="10"/>
        <v>5.6399999999999992E-3</v>
      </c>
      <c r="G13" s="203">
        <v>4</v>
      </c>
      <c r="H13" s="195" t="str">
        <f t="shared" si="1"/>
        <v/>
      </c>
      <c r="I13" s="195" t="str">
        <v/>
      </c>
      <c r="J13" s="205" t="str">
        <v/>
      </c>
      <c r="K13" s="242"/>
      <c r="L13" s="197" t="str">
        <f t="shared" si="11"/>
        <v/>
      </c>
      <c r="M13" s="203">
        <v>4</v>
      </c>
      <c r="N13" s="195" t="str">
        <f t="shared" si="2"/>
        <v/>
      </c>
      <c r="O13" s="195" t="str">
        <v/>
      </c>
      <c r="P13" s="205" t="str">
        <v/>
      </c>
      <c r="Q13" s="213"/>
      <c r="R13" s="197" t="str">
        <f t="shared" si="12"/>
        <v/>
      </c>
      <c r="S13" s="203">
        <v>4</v>
      </c>
      <c r="T13" s="195" t="str">
        <f t="shared" si="3"/>
        <v/>
      </c>
      <c r="U13" s="195" t="str">
        <v/>
      </c>
      <c r="V13" s="205" t="str">
        <v/>
      </c>
      <c r="W13" s="213"/>
      <c r="X13" s="197" t="str">
        <f t="shared" si="13"/>
        <v/>
      </c>
      <c r="Y13" s="203">
        <v>4</v>
      </c>
      <c r="Z13" s="195"/>
      <c r="AA13" s="195"/>
      <c r="AB13" s="205"/>
      <c r="AC13" s="213"/>
      <c r="AD13" s="197" t="str">
        <f t="shared" si="14"/>
        <v/>
      </c>
      <c r="AE13" s="203">
        <v>4</v>
      </c>
      <c r="AF13" s="195" t="str">
        <f t="shared" si="4"/>
        <v>4X10</v>
      </c>
      <c r="AG13" s="195" t="str">
        <v>BPFR0DJ ICPL Curncy</v>
      </c>
      <c r="AH13" s="205">
        <v>0.93300000000000005</v>
      </c>
      <c r="AI13" s="213"/>
      <c r="AJ13" s="197">
        <f t="shared" si="15"/>
        <v>9.3299999999999998E-3</v>
      </c>
      <c r="AK13" s="203">
        <v>4</v>
      </c>
      <c r="AL13" s="198"/>
      <c r="AM13" s="195"/>
      <c r="AN13" s="196"/>
      <c r="AO13" s="254"/>
      <c r="AP13" s="256" t="str">
        <f t="shared" si="16"/>
        <v/>
      </c>
      <c r="AQ13" s="203">
        <v>4</v>
      </c>
      <c r="AR13" s="195" t="str">
        <f t="shared" si="5"/>
        <v>5Y</v>
      </c>
      <c r="AS13" s="195" t="str">
        <v>BPSW5 ICPL Curncy</v>
      </c>
      <c r="AT13" s="205">
        <v>1.35</v>
      </c>
      <c r="AU13" s="213"/>
      <c r="AV13" s="197">
        <f t="shared" si="17"/>
        <v>1.3500000000000002E-2</v>
      </c>
      <c r="AW13" s="203">
        <v>4</v>
      </c>
      <c r="AX13" s="195" t="str">
        <f t="shared" si="6"/>
        <v>4Y</v>
      </c>
      <c r="AY13" s="195" t="str">
        <v>BPSFVC4 ICPL Curncy</v>
      </c>
      <c r="AZ13" s="205">
        <v>7</v>
      </c>
      <c r="BA13" s="242"/>
      <c r="BB13" s="197">
        <f t="shared" si="18"/>
        <v>6.9999999999999999E-4</v>
      </c>
      <c r="BC13" s="203">
        <v>4</v>
      </c>
      <c r="BD13" s="195" t="str">
        <f t="shared" si="7"/>
        <v>4Y</v>
      </c>
      <c r="BE13" s="195" t="str">
        <v>BPSFVA4 ICPL Curncy</v>
      </c>
      <c r="BF13" s="205">
        <v>16.8</v>
      </c>
      <c r="BG13" s="242"/>
      <c r="BH13" s="197">
        <f t="shared" si="19"/>
        <v>1.6800000000000001E-3</v>
      </c>
      <c r="BI13" s="203">
        <v>4</v>
      </c>
      <c r="BJ13" s="195" t="str">
        <f t="shared" si="8"/>
        <v>4Y</v>
      </c>
      <c r="BK13" s="195" t="str">
        <v>BPSIVF4 ICPL Curncy</v>
      </c>
      <c r="BL13" s="205">
        <v>13.1</v>
      </c>
      <c r="BM13" s="242"/>
      <c r="BN13" s="197">
        <f t="shared" si="20"/>
        <v>1.31E-3</v>
      </c>
      <c r="BO13" s="203">
        <v>4</v>
      </c>
      <c r="BP13" s="195" t="str">
        <f t="shared" si="9"/>
        <v>4Y</v>
      </c>
      <c r="BQ13" s="195" t="str">
        <v>BPBS4 ICPL Curncy</v>
      </c>
      <c r="BR13" s="205">
        <v>-3.75</v>
      </c>
      <c r="BS13" s="242"/>
      <c r="BT13" s="197">
        <f t="shared" si="21"/>
        <v>-3.7500000000000001E-4</v>
      </c>
    </row>
    <row r="14" spans="1:72">
      <c r="A14" s="203">
        <v>5</v>
      </c>
      <c r="B14" s="195" t="str">
        <f t="shared" si="0"/>
        <v>1Y</v>
      </c>
      <c r="C14" s="195" t="str">
        <v>BPSWS1 BGN Curncy</v>
      </c>
      <c r="D14" s="205">
        <v>0.65300000000000002</v>
      </c>
      <c r="E14" s="213"/>
      <c r="F14" s="197">
        <f t="shared" si="10"/>
        <v>6.5300000000000002E-3</v>
      </c>
      <c r="G14" s="203">
        <v>5</v>
      </c>
      <c r="H14" s="195" t="str">
        <f t="shared" si="1"/>
        <v/>
      </c>
      <c r="I14" s="195" t="str">
        <v/>
      </c>
      <c r="J14" s="205" t="str">
        <v/>
      </c>
      <c r="K14" s="242"/>
      <c r="L14" s="197" t="str">
        <f t="shared" si="11"/>
        <v/>
      </c>
      <c r="M14" s="203">
        <v>5</v>
      </c>
      <c r="N14" s="195" t="str">
        <f t="shared" si="2"/>
        <v/>
      </c>
      <c r="O14" s="195" t="str">
        <v/>
      </c>
      <c r="P14" s="205" t="str">
        <v/>
      </c>
      <c r="Q14" s="213"/>
      <c r="R14" s="197" t="str">
        <f t="shared" si="12"/>
        <v/>
      </c>
      <c r="S14" s="203">
        <v>5</v>
      </c>
      <c r="T14" s="195" t="str">
        <f t="shared" si="3"/>
        <v/>
      </c>
      <c r="U14" s="195" t="str">
        <v/>
      </c>
      <c r="V14" s="205" t="str">
        <v/>
      </c>
      <c r="W14" s="213"/>
      <c r="X14" s="197" t="str">
        <f t="shared" si="13"/>
        <v/>
      </c>
      <c r="Y14" s="203">
        <v>5</v>
      </c>
      <c r="Z14" s="195"/>
      <c r="AA14" s="195"/>
      <c r="AB14" s="205"/>
      <c r="AC14" s="213"/>
      <c r="AD14" s="197" t="str">
        <f t="shared" si="14"/>
        <v/>
      </c>
      <c r="AE14" s="203">
        <v>5</v>
      </c>
      <c r="AF14" s="195" t="str">
        <f t="shared" si="4"/>
        <v>5X11</v>
      </c>
      <c r="AG14" s="195" t="str">
        <v>BPFR0EK ICPL Curncy</v>
      </c>
      <c r="AH14" s="205">
        <v>0.96399999999999997</v>
      </c>
      <c r="AI14" s="213"/>
      <c r="AJ14" s="197">
        <f t="shared" si="15"/>
        <v>9.6399999999999993E-3</v>
      </c>
      <c r="AK14" s="203">
        <v>5</v>
      </c>
      <c r="AL14" s="198"/>
      <c r="AM14" s="195"/>
      <c r="AN14" s="196"/>
      <c r="AO14" s="254"/>
      <c r="AP14" s="256" t="str">
        <f t="shared" si="16"/>
        <v/>
      </c>
      <c r="AQ14" s="203">
        <v>5</v>
      </c>
      <c r="AR14" s="195" t="str">
        <f t="shared" si="5"/>
        <v>6Y</v>
      </c>
      <c r="AS14" s="195" t="str">
        <v>BPSW6 ICPL Curncy</v>
      </c>
      <c r="AT14" s="205">
        <v>1.405</v>
      </c>
      <c r="AU14" s="213"/>
      <c r="AV14" s="197">
        <f t="shared" si="17"/>
        <v>1.405E-2</v>
      </c>
      <c r="AW14" s="203">
        <v>5</v>
      </c>
      <c r="AX14" s="195" t="str">
        <f t="shared" si="6"/>
        <v>5Y</v>
      </c>
      <c r="AY14" s="195" t="str">
        <v>BPSFVC5 ICPL Curncy</v>
      </c>
      <c r="AZ14" s="205">
        <v>7.7</v>
      </c>
      <c r="BA14" s="242"/>
      <c r="BB14" s="197">
        <f t="shared" si="18"/>
        <v>7.7000000000000007E-4</v>
      </c>
      <c r="BC14" s="203">
        <v>5</v>
      </c>
      <c r="BD14" s="195" t="str">
        <f t="shared" si="7"/>
        <v>5Y</v>
      </c>
      <c r="BE14" s="195" t="str">
        <v>BPSFVA5 ICPL Curncy</v>
      </c>
      <c r="BF14" s="205">
        <v>17.5</v>
      </c>
      <c r="BG14" s="242"/>
      <c r="BH14" s="197">
        <f t="shared" si="19"/>
        <v>1.75E-3</v>
      </c>
      <c r="BI14" s="203">
        <v>5</v>
      </c>
      <c r="BJ14" s="195" t="str">
        <f t="shared" si="8"/>
        <v>5Y</v>
      </c>
      <c r="BK14" s="195" t="str">
        <v>BPSIVF5 ICPL Curncy</v>
      </c>
      <c r="BL14" s="205">
        <v>13.1</v>
      </c>
      <c r="BM14" s="242"/>
      <c r="BN14" s="197">
        <f t="shared" si="20"/>
        <v>1.31E-3</v>
      </c>
      <c r="BO14" s="203">
        <v>5</v>
      </c>
      <c r="BP14" s="195" t="str">
        <f t="shared" si="9"/>
        <v>5Y</v>
      </c>
      <c r="BQ14" s="195" t="str">
        <v>BPBS5 ICPL Curncy</v>
      </c>
      <c r="BR14" s="205">
        <v>-1.75</v>
      </c>
      <c r="BS14" s="242"/>
      <c r="BT14" s="197">
        <f t="shared" si="21"/>
        <v>-1.75E-4</v>
      </c>
    </row>
    <row r="15" spans="1:72">
      <c r="A15" s="203">
        <v>6</v>
      </c>
      <c r="B15" s="195" t="str">
        <f t="shared" si="0"/>
        <v>3Y</v>
      </c>
      <c r="C15" s="195" t="str">
        <v>BPSWS3 BGN Curncy</v>
      </c>
      <c r="D15" s="205">
        <v>0.91600000000000004</v>
      </c>
      <c r="E15" s="213"/>
      <c r="F15" s="197">
        <f t="shared" si="10"/>
        <v>9.1599999999999997E-3</v>
      </c>
      <c r="G15" s="203">
        <v>6</v>
      </c>
      <c r="H15" s="195" t="str">
        <f t="shared" si="1"/>
        <v/>
      </c>
      <c r="I15" s="195" t="str">
        <v/>
      </c>
      <c r="J15" s="205" t="str">
        <v/>
      </c>
      <c r="K15" s="242"/>
      <c r="L15" s="197" t="str">
        <f t="shared" si="11"/>
        <v/>
      </c>
      <c r="M15" s="203">
        <v>6</v>
      </c>
      <c r="N15" s="195" t="str">
        <f t="shared" si="2"/>
        <v/>
      </c>
      <c r="O15" s="195" t="str">
        <v/>
      </c>
      <c r="P15" s="205" t="str">
        <v/>
      </c>
      <c r="Q15" s="213"/>
      <c r="R15" s="197" t="str">
        <f t="shared" si="12"/>
        <v/>
      </c>
      <c r="S15" s="203">
        <v>6</v>
      </c>
      <c r="T15" s="195" t="str">
        <f t="shared" si="3"/>
        <v/>
      </c>
      <c r="U15" s="195" t="str">
        <v/>
      </c>
      <c r="V15" s="205" t="str">
        <v/>
      </c>
      <c r="W15" s="213"/>
      <c r="X15" s="197" t="str">
        <f t="shared" si="13"/>
        <v/>
      </c>
      <c r="Y15" s="203">
        <v>6</v>
      </c>
      <c r="Z15" s="195"/>
      <c r="AA15" s="195"/>
      <c r="AB15" s="205"/>
      <c r="AC15" s="213"/>
      <c r="AD15" s="197" t="str">
        <f t="shared" si="14"/>
        <v/>
      </c>
      <c r="AE15" s="203">
        <v>6</v>
      </c>
      <c r="AF15" s="195" t="str">
        <f t="shared" si="4"/>
        <v>6X12</v>
      </c>
      <c r="AG15" s="195" t="str">
        <v>BPFR0F1 ICPL Curncy</v>
      </c>
      <c r="AH15" s="205">
        <v>0.99</v>
      </c>
      <c r="AI15" s="213"/>
      <c r="AJ15" s="197">
        <f t="shared" si="15"/>
        <v>9.8999999999999991E-3</v>
      </c>
      <c r="AK15" s="203">
        <v>6</v>
      </c>
      <c r="AL15" s="198"/>
      <c r="AM15" s="195"/>
      <c r="AN15" s="196"/>
      <c r="AO15" s="254"/>
      <c r="AP15" s="256" t="str">
        <f t="shared" si="16"/>
        <v/>
      </c>
      <c r="AQ15" s="203">
        <v>6</v>
      </c>
      <c r="AR15" s="195" t="str">
        <f t="shared" si="5"/>
        <v>7Y</v>
      </c>
      <c r="AS15" s="195" t="str">
        <v>BPSW7 ICPL Curncy</v>
      </c>
      <c r="AT15" s="205">
        <v>1.4510000000000001</v>
      </c>
      <c r="AU15" s="213"/>
      <c r="AV15" s="197">
        <f t="shared" si="17"/>
        <v>1.451E-2</v>
      </c>
      <c r="AW15" s="203">
        <v>6</v>
      </c>
      <c r="AX15" s="195" t="str">
        <f t="shared" si="6"/>
        <v>6Y</v>
      </c>
      <c r="AY15" s="195" t="str">
        <v>BPSFVC6 ICPL Curncy</v>
      </c>
      <c r="AZ15" s="205">
        <v>8.1999999999999993</v>
      </c>
      <c r="BA15" s="242"/>
      <c r="BB15" s="197">
        <f t="shared" si="18"/>
        <v>8.1999999999999998E-4</v>
      </c>
      <c r="BC15" s="203">
        <v>6</v>
      </c>
      <c r="BD15" s="195" t="str">
        <f t="shared" si="7"/>
        <v>6Y</v>
      </c>
      <c r="BE15" s="195" t="str">
        <v>BPSFVA6 ICPL Curncy</v>
      </c>
      <c r="BF15" s="205">
        <v>18</v>
      </c>
      <c r="BG15" s="242"/>
      <c r="BH15" s="197">
        <f t="shared" si="19"/>
        <v>1.8E-3</v>
      </c>
      <c r="BI15" s="203">
        <v>6</v>
      </c>
      <c r="BJ15" s="195" t="str">
        <f t="shared" si="8"/>
        <v>6Y</v>
      </c>
      <c r="BK15" s="195" t="str">
        <v>BPSIVF6 ICPL Curncy</v>
      </c>
      <c r="BL15" s="205">
        <v>12.9</v>
      </c>
      <c r="BM15" s="242"/>
      <c r="BN15" s="197">
        <f t="shared" si="20"/>
        <v>1.2900000000000001E-3</v>
      </c>
      <c r="BO15" s="203">
        <v>6</v>
      </c>
      <c r="BP15" s="195" t="str">
        <f t="shared" si="9"/>
        <v>6Y</v>
      </c>
      <c r="BQ15" s="195" t="str">
        <v>BPBS6 ICPL Curncy</v>
      </c>
      <c r="BR15" s="205">
        <v>0.25</v>
      </c>
      <c r="BS15" s="242"/>
      <c r="BT15" s="197">
        <f t="shared" si="21"/>
        <v>2.5000000000000001E-5</v>
      </c>
    </row>
    <row r="16" spans="1:72">
      <c r="A16" s="203">
        <v>7</v>
      </c>
      <c r="B16" s="195" t="str">
        <f t="shared" si="0"/>
        <v>4Y</v>
      </c>
      <c r="C16" s="195" t="str">
        <v>BPSWS4 BGN Curncy</v>
      </c>
      <c r="D16" s="205">
        <v>0.99250000000000005</v>
      </c>
      <c r="E16" s="213"/>
      <c r="F16" s="197">
        <f t="shared" si="10"/>
        <v>9.9249999999999998E-3</v>
      </c>
      <c r="G16" s="203">
        <v>7</v>
      </c>
      <c r="H16" s="195" t="str">
        <f t="shared" si="1"/>
        <v/>
      </c>
      <c r="I16" s="195" t="str">
        <v/>
      </c>
      <c r="J16" s="205" t="str">
        <v/>
      </c>
      <c r="K16" s="242"/>
      <c r="L16" s="197" t="str">
        <f t="shared" si="11"/>
        <v/>
      </c>
      <c r="M16" s="203">
        <v>7</v>
      </c>
      <c r="N16" s="195" t="str">
        <f t="shared" si="2"/>
        <v/>
      </c>
      <c r="O16" s="195" t="str">
        <v/>
      </c>
      <c r="P16" s="205" t="str">
        <v/>
      </c>
      <c r="Q16" s="213"/>
      <c r="R16" s="197" t="str">
        <f t="shared" si="12"/>
        <v/>
      </c>
      <c r="S16" s="203">
        <v>7</v>
      </c>
      <c r="T16" s="195" t="str">
        <f t="shared" si="3"/>
        <v/>
      </c>
      <c r="U16" s="195" t="str">
        <v/>
      </c>
      <c r="V16" s="205" t="str">
        <v/>
      </c>
      <c r="W16" s="213"/>
      <c r="X16" s="197" t="str">
        <f t="shared" si="13"/>
        <v/>
      </c>
      <c r="Y16" s="203">
        <v>7</v>
      </c>
      <c r="Z16" s="195"/>
      <c r="AA16" s="195"/>
      <c r="AB16" s="205"/>
      <c r="AC16" s="213"/>
      <c r="AD16" s="197" t="str">
        <f t="shared" si="14"/>
        <v/>
      </c>
      <c r="AE16" s="203">
        <v>7</v>
      </c>
      <c r="AF16" s="195" t="str">
        <f t="shared" si="4"/>
        <v>9X15</v>
      </c>
      <c r="AG16" s="195" t="str">
        <v>BPFR0I1C ICPL Curncy</v>
      </c>
      <c r="AH16" s="205">
        <v>1.0680000000000001</v>
      </c>
      <c r="AI16" s="213"/>
      <c r="AJ16" s="197">
        <f t="shared" si="15"/>
        <v>1.068E-2</v>
      </c>
      <c r="AK16" s="203">
        <v>7</v>
      </c>
      <c r="AL16" s="198"/>
      <c r="AM16" s="195"/>
      <c r="AN16" s="196"/>
      <c r="AO16" s="254"/>
      <c r="AP16" s="256" t="str">
        <f t="shared" si="16"/>
        <v/>
      </c>
      <c r="AQ16" s="203">
        <v>7</v>
      </c>
      <c r="AR16" s="195" t="str">
        <f t="shared" si="5"/>
        <v>8Y</v>
      </c>
      <c r="AS16" s="195" t="str">
        <v>BPSW8 ICPL Curncy</v>
      </c>
      <c r="AT16" s="205">
        <v>1.492</v>
      </c>
      <c r="AU16" s="213"/>
      <c r="AV16" s="197">
        <f t="shared" si="17"/>
        <v>1.4919999999999999E-2</v>
      </c>
      <c r="AW16" s="203">
        <v>7</v>
      </c>
      <c r="AX16" s="195" t="str">
        <f t="shared" si="6"/>
        <v>7Y</v>
      </c>
      <c r="AY16" s="195" t="str">
        <v>BPSFVC7 ICPL Curncy</v>
      </c>
      <c r="AZ16" s="205">
        <v>8.3000000000000007</v>
      </c>
      <c r="BA16" s="242"/>
      <c r="BB16" s="197">
        <f t="shared" si="18"/>
        <v>8.3000000000000012E-4</v>
      </c>
      <c r="BC16" s="203">
        <v>7</v>
      </c>
      <c r="BD16" s="195" t="str">
        <f t="shared" si="7"/>
        <v>7Y</v>
      </c>
      <c r="BE16" s="195" t="str">
        <v>BPSFVA7 ICPL Curncy</v>
      </c>
      <c r="BF16" s="205">
        <v>18.100000000000001</v>
      </c>
      <c r="BG16" s="242"/>
      <c r="BH16" s="197">
        <f t="shared" si="19"/>
        <v>1.8100000000000002E-3</v>
      </c>
      <c r="BI16" s="203">
        <v>7</v>
      </c>
      <c r="BJ16" s="195" t="str">
        <f t="shared" si="8"/>
        <v>7Y</v>
      </c>
      <c r="BK16" s="195" t="str">
        <v>BPSIVF7 ICPL Curncy</v>
      </c>
      <c r="BL16" s="205">
        <v>12.6</v>
      </c>
      <c r="BM16" s="242"/>
      <c r="BN16" s="197">
        <f t="shared" si="20"/>
        <v>1.2600000000000001E-3</v>
      </c>
      <c r="BO16" s="203">
        <v>7</v>
      </c>
      <c r="BP16" s="195" t="str">
        <f t="shared" si="9"/>
        <v>7Y</v>
      </c>
      <c r="BQ16" s="195" t="str">
        <v>BPBS7 ICPL Curncy</v>
      </c>
      <c r="BR16" s="205">
        <v>2</v>
      </c>
      <c r="BS16" s="242"/>
      <c r="BT16" s="197">
        <f t="shared" si="21"/>
        <v>2.0000000000000001E-4</v>
      </c>
    </row>
    <row r="17" spans="1:72">
      <c r="A17" s="203">
        <v>8</v>
      </c>
      <c r="B17" s="195" t="str">
        <f t="shared" si="0"/>
        <v>5Y</v>
      </c>
      <c r="C17" s="195" t="str">
        <v>BPSWS5 BGN Curncy</v>
      </c>
      <c r="D17" s="205">
        <v>1.0505</v>
      </c>
      <c r="E17" s="213"/>
      <c r="F17" s="197">
        <f t="shared" si="10"/>
        <v>1.0505E-2</v>
      </c>
      <c r="G17" s="203">
        <v>8</v>
      </c>
      <c r="H17" s="195" t="str">
        <f t="shared" si="1"/>
        <v/>
      </c>
      <c r="I17" s="195" t="str">
        <v/>
      </c>
      <c r="J17" s="205" t="str">
        <v/>
      </c>
      <c r="K17" s="242"/>
      <c r="L17" s="197" t="str">
        <f t="shared" si="11"/>
        <v/>
      </c>
      <c r="M17" s="203">
        <v>8</v>
      </c>
      <c r="N17" s="195" t="str">
        <f t="shared" si="2"/>
        <v/>
      </c>
      <c r="O17" s="195" t="str">
        <v/>
      </c>
      <c r="P17" s="205" t="str">
        <v/>
      </c>
      <c r="Q17" s="213"/>
      <c r="R17" s="197" t="str">
        <f t="shared" si="12"/>
        <v/>
      </c>
      <c r="S17" s="203">
        <v>8</v>
      </c>
      <c r="T17" s="195" t="str">
        <f t="shared" si="3"/>
        <v/>
      </c>
      <c r="U17" s="195" t="str">
        <v/>
      </c>
      <c r="V17" s="205" t="str">
        <v/>
      </c>
      <c r="W17" s="213"/>
      <c r="X17" s="197" t="str">
        <f t="shared" si="13"/>
        <v/>
      </c>
      <c r="Y17" s="203">
        <v>8</v>
      </c>
      <c r="Z17" s="195"/>
      <c r="AA17" s="195"/>
      <c r="AB17" s="205"/>
      <c r="AC17" s="213"/>
      <c r="AD17" s="197" t="str">
        <f t="shared" si="14"/>
        <v/>
      </c>
      <c r="AE17" s="203">
        <v>8</v>
      </c>
      <c r="AF17" s="195" t="str">
        <f t="shared" si="4"/>
        <v>12X18</v>
      </c>
      <c r="AG17" s="195" t="str">
        <v>BPFR011F ICPL Curncy</v>
      </c>
      <c r="AH17" s="205">
        <v>1.1459999999999999</v>
      </c>
      <c r="AI17" s="213"/>
      <c r="AJ17" s="197">
        <f t="shared" si="15"/>
        <v>1.146E-2</v>
      </c>
      <c r="AK17" s="203">
        <v>8</v>
      </c>
      <c r="AL17" s="198"/>
      <c r="AM17" s="195"/>
      <c r="AN17" s="196"/>
      <c r="AO17" s="254"/>
      <c r="AP17" s="256" t="str">
        <f t="shared" si="16"/>
        <v/>
      </c>
      <c r="AQ17" s="203">
        <v>8</v>
      </c>
      <c r="AR17" s="195" t="str">
        <f t="shared" si="5"/>
        <v>9Y</v>
      </c>
      <c r="AS17" s="195" t="str">
        <v>BPSW9 ICPL Curncy</v>
      </c>
      <c r="AT17" s="205">
        <v>1.5289999999999999</v>
      </c>
      <c r="AU17" s="213"/>
      <c r="AV17" s="197">
        <f t="shared" si="17"/>
        <v>1.529E-2</v>
      </c>
      <c r="AW17" s="203">
        <v>8</v>
      </c>
      <c r="AX17" s="195" t="str">
        <f t="shared" si="6"/>
        <v>8Y</v>
      </c>
      <c r="AY17" s="195" t="str">
        <v>BPSFVC8 ICPL Curncy</v>
      </c>
      <c r="AZ17" s="205">
        <v>8.1999999999999993</v>
      </c>
      <c r="BA17" s="242"/>
      <c r="BB17" s="197">
        <f t="shared" si="18"/>
        <v>8.1999999999999998E-4</v>
      </c>
      <c r="BC17" s="203">
        <v>8</v>
      </c>
      <c r="BD17" s="195" t="str">
        <f t="shared" si="7"/>
        <v>8Y</v>
      </c>
      <c r="BE17" s="195" t="str">
        <v>BPSFVA8 ICPL Curncy</v>
      </c>
      <c r="BF17" s="205">
        <v>17.899999999999999</v>
      </c>
      <c r="BG17" s="242"/>
      <c r="BH17" s="197">
        <f t="shared" si="19"/>
        <v>1.7899999999999999E-3</v>
      </c>
      <c r="BI17" s="203">
        <v>8</v>
      </c>
      <c r="BJ17" s="195" t="str">
        <f t="shared" si="8"/>
        <v>8Y</v>
      </c>
      <c r="BK17" s="195" t="str">
        <v>BPSIVF8 ICPL Curncy</v>
      </c>
      <c r="BL17" s="205">
        <v>12.3</v>
      </c>
      <c r="BM17" s="242"/>
      <c r="BN17" s="197">
        <f t="shared" si="20"/>
        <v>1.23E-3</v>
      </c>
      <c r="BO17" s="203">
        <v>8</v>
      </c>
      <c r="BP17" s="195" t="str">
        <f t="shared" si="9"/>
        <v>8Y</v>
      </c>
      <c r="BQ17" s="195" t="str">
        <v>BPBS8 ICPL Curncy</v>
      </c>
      <c r="BR17" s="205">
        <v>3.75</v>
      </c>
      <c r="BS17" s="242"/>
      <c r="BT17" s="197">
        <f t="shared" si="21"/>
        <v>3.7500000000000001E-4</v>
      </c>
    </row>
    <row r="18" spans="1:72">
      <c r="A18" s="203">
        <v>9</v>
      </c>
      <c r="B18" s="195" t="str">
        <f t="shared" si="0"/>
        <v>6Y</v>
      </c>
      <c r="C18" s="195" t="str">
        <v>BPSWS6 BGN Curncy</v>
      </c>
      <c r="D18" s="205">
        <v>1.095</v>
      </c>
      <c r="E18" s="213"/>
      <c r="F18" s="197">
        <f t="shared" si="10"/>
        <v>1.095E-2</v>
      </c>
      <c r="G18" s="203">
        <v>9</v>
      </c>
      <c r="H18" s="195" t="str">
        <f t="shared" si="1"/>
        <v/>
      </c>
      <c r="I18" s="195" t="str">
        <v/>
      </c>
      <c r="J18" s="205" t="str">
        <v/>
      </c>
      <c r="K18" s="242"/>
      <c r="L18" s="197" t="str">
        <f t="shared" si="11"/>
        <v/>
      </c>
      <c r="M18" s="203">
        <v>9</v>
      </c>
      <c r="N18" s="195" t="str">
        <f t="shared" si="2"/>
        <v/>
      </c>
      <c r="O18" s="195" t="str">
        <v/>
      </c>
      <c r="P18" s="205" t="str">
        <v/>
      </c>
      <c r="Q18" s="213"/>
      <c r="R18" s="197" t="str">
        <f t="shared" si="12"/>
        <v/>
      </c>
      <c r="S18" s="203">
        <v>9</v>
      </c>
      <c r="T18" s="195" t="str">
        <f t="shared" si="3"/>
        <v/>
      </c>
      <c r="U18" s="195" t="str">
        <v/>
      </c>
      <c r="V18" s="205" t="str">
        <v/>
      </c>
      <c r="W18" s="213"/>
      <c r="X18" s="197" t="str">
        <f t="shared" si="13"/>
        <v/>
      </c>
      <c r="Y18" s="203">
        <v>9</v>
      </c>
      <c r="Z18" s="195"/>
      <c r="AA18" s="195"/>
      <c r="AB18" s="205"/>
      <c r="AC18" s="213"/>
      <c r="AD18" s="197" t="str">
        <f t="shared" si="14"/>
        <v/>
      </c>
      <c r="AE18" s="203">
        <v>9</v>
      </c>
      <c r="AF18" s="195" t="str">
        <f t="shared" si="4"/>
        <v/>
      </c>
      <c r="AG18" s="195" t="str">
        <v/>
      </c>
      <c r="AH18" s="205" t="str">
        <v/>
      </c>
      <c r="AI18" s="213"/>
      <c r="AJ18" s="197" t="str">
        <f t="shared" si="15"/>
        <v/>
      </c>
      <c r="AK18" s="203">
        <v>9</v>
      </c>
      <c r="AL18" s="198"/>
      <c r="AM18" s="195"/>
      <c r="AN18" s="196"/>
      <c r="AO18" s="254"/>
      <c r="AP18" s="256" t="str">
        <f t="shared" si="16"/>
        <v/>
      </c>
      <c r="AQ18" s="203">
        <v>9</v>
      </c>
      <c r="AR18" s="195" t="str">
        <f t="shared" si="5"/>
        <v>10Y</v>
      </c>
      <c r="AS18" s="195" t="str">
        <v>BPSW10 ICPL Curncy</v>
      </c>
      <c r="AT18" s="205">
        <v>1.5609999999999999</v>
      </c>
      <c r="AU18" s="213"/>
      <c r="AV18" s="197">
        <f t="shared" si="17"/>
        <v>1.5609999999999999E-2</v>
      </c>
      <c r="AW18" s="203">
        <v>9</v>
      </c>
      <c r="AX18" s="195" t="str">
        <f t="shared" si="6"/>
        <v>9Y</v>
      </c>
      <c r="AY18" s="195" t="str">
        <v>BPSFVC9 ICPL Curncy</v>
      </c>
      <c r="AZ18" s="205">
        <v>8</v>
      </c>
      <c r="BA18" s="242"/>
      <c r="BB18" s="197">
        <f t="shared" si="18"/>
        <v>8.0000000000000004E-4</v>
      </c>
      <c r="BC18" s="203">
        <v>9</v>
      </c>
      <c r="BD18" s="195" t="str">
        <f t="shared" si="7"/>
        <v>9Y</v>
      </c>
      <c r="BE18" s="195" t="str">
        <v>BPSFVA9 ICPL Curncy</v>
      </c>
      <c r="BF18" s="205">
        <v>17.5</v>
      </c>
      <c r="BG18" s="242"/>
      <c r="BH18" s="197">
        <f t="shared" si="19"/>
        <v>1.75E-3</v>
      </c>
      <c r="BI18" s="203">
        <v>9</v>
      </c>
      <c r="BJ18" s="195" t="str">
        <f t="shared" si="8"/>
        <v>9Y</v>
      </c>
      <c r="BK18" s="195" t="str">
        <v>BPSIVF9 ICPL Curncy</v>
      </c>
      <c r="BL18" s="205">
        <v>12</v>
      </c>
      <c r="BM18" s="242"/>
      <c r="BN18" s="197">
        <f t="shared" si="20"/>
        <v>1.1999999999999999E-3</v>
      </c>
      <c r="BO18" s="203">
        <v>9</v>
      </c>
      <c r="BP18" s="195" t="str">
        <f t="shared" si="9"/>
        <v>9Y</v>
      </c>
      <c r="BQ18" s="195" t="str">
        <v>BPBS9 ICPL Curncy</v>
      </c>
      <c r="BR18" s="205">
        <v>4.75</v>
      </c>
      <c r="BS18" s="242"/>
      <c r="BT18" s="197">
        <f t="shared" si="21"/>
        <v>4.75E-4</v>
      </c>
    </row>
    <row r="19" spans="1:72">
      <c r="A19" s="203">
        <v>10</v>
      </c>
      <c r="B19" s="195" t="str">
        <f t="shared" si="0"/>
        <v>7Y</v>
      </c>
      <c r="C19" s="195" t="str">
        <v>BPSWS7 BGN Curncy</v>
      </c>
      <c r="D19" s="205">
        <v>1.1325000000000001</v>
      </c>
      <c r="E19" s="213"/>
      <c r="F19" s="197">
        <f t="shared" si="10"/>
        <v>1.1325E-2</v>
      </c>
      <c r="G19" s="203">
        <v>10</v>
      </c>
      <c r="H19" s="195" t="str">
        <f t="shared" si="1"/>
        <v/>
      </c>
      <c r="I19" s="195" t="str">
        <v/>
      </c>
      <c r="J19" s="205" t="str">
        <v/>
      </c>
      <c r="K19" s="242"/>
      <c r="L19" s="197" t="str">
        <f t="shared" si="11"/>
        <v/>
      </c>
      <c r="M19" s="203">
        <v>10</v>
      </c>
      <c r="N19" s="195" t="str">
        <f t="shared" si="2"/>
        <v/>
      </c>
      <c r="O19" s="195" t="str">
        <v/>
      </c>
      <c r="P19" s="205" t="str">
        <v/>
      </c>
      <c r="Q19" s="213"/>
      <c r="R19" s="197" t="str">
        <f t="shared" si="12"/>
        <v/>
      </c>
      <c r="S19" s="203">
        <v>10</v>
      </c>
      <c r="T19" s="195" t="str">
        <f t="shared" si="3"/>
        <v/>
      </c>
      <c r="U19" s="195" t="str">
        <v/>
      </c>
      <c r="V19" s="205" t="str">
        <v/>
      </c>
      <c r="W19" s="213"/>
      <c r="X19" s="197" t="str">
        <f t="shared" si="13"/>
        <v/>
      </c>
      <c r="Y19" s="203">
        <v>10</v>
      </c>
      <c r="Z19" s="195"/>
      <c r="AA19" s="195"/>
      <c r="AB19" s="205"/>
      <c r="AC19" s="213"/>
      <c r="AD19" s="197" t="str">
        <f t="shared" si="14"/>
        <v/>
      </c>
      <c r="AE19" s="203">
        <v>10</v>
      </c>
      <c r="AF19" s="195" t="str">
        <f t="shared" si="4"/>
        <v/>
      </c>
      <c r="AG19" s="195" t="str">
        <v/>
      </c>
      <c r="AH19" s="205" t="str">
        <v/>
      </c>
      <c r="AI19" s="213"/>
      <c r="AJ19" s="197" t="str">
        <f t="shared" si="15"/>
        <v/>
      </c>
      <c r="AK19" s="203">
        <v>10</v>
      </c>
      <c r="AL19" s="198"/>
      <c r="AM19" s="195"/>
      <c r="AN19" s="196"/>
      <c r="AO19" s="254"/>
      <c r="AP19" s="256" t="str">
        <f t="shared" si="16"/>
        <v/>
      </c>
      <c r="AQ19" s="203">
        <v>10</v>
      </c>
      <c r="AR19" s="195" t="str">
        <f t="shared" si="5"/>
        <v>12Y</v>
      </c>
      <c r="AS19" s="195" t="str">
        <v>BPSW12 ICPL Curncy</v>
      </c>
      <c r="AT19" s="205">
        <v>1.613</v>
      </c>
      <c r="AU19" s="213"/>
      <c r="AV19" s="197">
        <f t="shared" si="17"/>
        <v>1.6129999999999999E-2</v>
      </c>
      <c r="AW19" s="203">
        <v>10</v>
      </c>
      <c r="AX19" s="195" t="str">
        <f t="shared" si="6"/>
        <v>10Y</v>
      </c>
      <c r="AY19" s="195" t="str">
        <v>BPSFVC10 ICPL Curncy</v>
      </c>
      <c r="AZ19" s="205">
        <v>7.8</v>
      </c>
      <c r="BA19" s="242"/>
      <c r="BB19" s="197">
        <f t="shared" si="18"/>
        <v>7.7999999999999999E-4</v>
      </c>
      <c r="BC19" s="203">
        <v>10</v>
      </c>
      <c r="BD19" s="195" t="str">
        <f t="shared" si="7"/>
        <v>10Y</v>
      </c>
      <c r="BE19" s="195" t="str">
        <v>BPSFVA10 ICPL Curncy</v>
      </c>
      <c r="BF19" s="205">
        <v>17.100000000000001</v>
      </c>
      <c r="BG19" s="242"/>
      <c r="BH19" s="197">
        <f t="shared" si="19"/>
        <v>1.7100000000000001E-3</v>
      </c>
      <c r="BI19" s="203">
        <v>10</v>
      </c>
      <c r="BJ19" s="195" t="str">
        <f t="shared" si="8"/>
        <v>10Y</v>
      </c>
      <c r="BK19" s="195" t="str">
        <v>BPSIVF10 ICPL Curncy</v>
      </c>
      <c r="BL19" s="205">
        <v>11.9</v>
      </c>
      <c r="BM19" s="242"/>
      <c r="BN19" s="197">
        <f t="shared" si="20"/>
        <v>1.1900000000000001E-3</v>
      </c>
      <c r="BO19" s="203">
        <v>10</v>
      </c>
      <c r="BP19" s="195" t="str">
        <f t="shared" si="9"/>
        <v>10Y</v>
      </c>
      <c r="BQ19" s="195" t="str">
        <v>BPBS10 ICPL Curncy</v>
      </c>
      <c r="BR19" s="205">
        <v>5.5</v>
      </c>
      <c r="BS19" s="242"/>
      <c r="BT19" s="197">
        <f t="shared" si="21"/>
        <v>5.5000000000000003E-4</v>
      </c>
    </row>
    <row r="20" spans="1:72">
      <c r="A20" s="203">
        <v>11</v>
      </c>
      <c r="B20" s="195" t="str">
        <f t="shared" si="0"/>
        <v>8Y</v>
      </c>
      <c r="C20" s="195" t="str">
        <v>BPSWS8 BGN Curncy</v>
      </c>
      <c r="D20" s="205">
        <v>1.1664000000000001</v>
      </c>
      <c r="E20" s="213"/>
      <c r="F20" s="197">
        <f t="shared" si="10"/>
        <v>1.1664000000000001E-2</v>
      </c>
      <c r="G20" s="203">
        <v>11</v>
      </c>
      <c r="H20" s="195" t="str">
        <f t="shared" si="1"/>
        <v/>
      </c>
      <c r="I20" s="195" t="str">
        <v/>
      </c>
      <c r="J20" s="205" t="str">
        <v/>
      </c>
      <c r="K20" s="242"/>
      <c r="L20" s="197" t="str">
        <f t="shared" si="11"/>
        <v/>
      </c>
      <c r="M20" s="203">
        <v>11</v>
      </c>
      <c r="N20" s="195" t="str">
        <f t="shared" si="2"/>
        <v/>
      </c>
      <c r="O20" s="195" t="str">
        <v/>
      </c>
      <c r="P20" s="205" t="str">
        <v/>
      </c>
      <c r="Q20" s="213"/>
      <c r="R20" s="197" t="str">
        <f t="shared" si="12"/>
        <v/>
      </c>
      <c r="S20" s="203">
        <v>11</v>
      </c>
      <c r="T20" s="195" t="str">
        <f t="shared" si="3"/>
        <v/>
      </c>
      <c r="U20" s="195" t="str">
        <v/>
      </c>
      <c r="V20" s="205" t="str">
        <v/>
      </c>
      <c r="W20" s="213"/>
      <c r="X20" s="197" t="str">
        <f t="shared" si="13"/>
        <v/>
      </c>
      <c r="Y20" s="203">
        <v>11</v>
      </c>
      <c r="Z20" s="195"/>
      <c r="AA20" s="195"/>
      <c r="AB20" s="205"/>
      <c r="AC20" s="213"/>
      <c r="AD20" s="197" t="str">
        <f t="shared" si="14"/>
        <v/>
      </c>
      <c r="AE20" s="203">
        <v>11</v>
      </c>
      <c r="AF20" s="195" t="str">
        <f t="shared" si="4"/>
        <v/>
      </c>
      <c r="AG20" s="195" t="str">
        <v/>
      </c>
      <c r="AH20" s="205" t="str">
        <v/>
      </c>
      <c r="AI20" s="213"/>
      <c r="AJ20" s="197" t="str">
        <f t="shared" si="15"/>
        <v/>
      </c>
      <c r="AK20" s="203">
        <v>11</v>
      </c>
      <c r="AL20" s="198"/>
      <c r="AM20" s="195"/>
      <c r="AN20" s="196"/>
      <c r="AO20" s="254"/>
      <c r="AP20" s="256" t="str">
        <f t="shared" si="16"/>
        <v/>
      </c>
      <c r="AQ20" s="203">
        <v>11</v>
      </c>
      <c r="AR20" s="195" t="str">
        <f t="shared" si="5"/>
        <v>15Y</v>
      </c>
      <c r="AS20" s="195" t="str">
        <v>BPSW15 ICPL Curncy</v>
      </c>
      <c r="AT20" s="205">
        <v>1.655</v>
      </c>
      <c r="AU20" s="213"/>
      <c r="AV20" s="197">
        <f t="shared" si="17"/>
        <v>1.6549999999999999E-2</v>
      </c>
      <c r="AW20" s="203">
        <v>11</v>
      </c>
      <c r="AX20" s="195" t="str">
        <f t="shared" si="6"/>
        <v>12Y</v>
      </c>
      <c r="AY20" s="195" t="str">
        <v>BPSFVC12 ICPL Curncy</v>
      </c>
      <c r="AZ20" s="205">
        <v>7.5</v>
      </c>
      <c r="BA20" s="242"/>
      <c r="BB20" s="197">
        <f t="shared" si="18"/>
        <v>7.5000000000000002E-4</v>
      </c>
      <c r="BC20" s="203">
        <v>11</v>
      </c>
      <c r="BD20" s="195" t="str">
        <f t="shared" si="7"/>
        <v>12Y</v>
      </c>
      <c r="BE20" s="195" t="str">
        <v>BPSFVA12 ICPL Curncy</v>
      </c>
      <c r="BF20" s="205">
        <v>16.3</v>
      </c>
      <c r="BG20" s="242"/>
      <c r="BH20" s="197">
        <f t="shared" si="19"/>
        <v>1.6300000000000002E-3</v>
      </c>
      <c r="BI20" s="203">
        <v>11</v>
      </c>
      <c r="BJ20" s="195" t="str">
        <f t="shared" si="8"/>
        <v>12Y</v>
      </c>
      <c r="BK20" s="195" t="str">
        <v>BPSIVF12 ICPL Curncy</v>
      </c>
      <c r="BL20" s="205">
        <v>11</v>
      </c>
      <c r="BM20" s="242"/>
      <c r="BN20" s="197">
        <f t="shared" si="20"/>
        <v>1.1000000000000001E-3</v>
      </c>
      <c r="BO20" s="203">
        <v>11</v>
      </c>
      <c r="BP20" s="195" t="str">
        <f t="shared" si="9"/>
        <v>12Y</v>
      </c>
      <c r="BQ20" s="195" t="str">
        <v>BPBS12 ICPL Curncy</v>
      </c>
      <c r="BR20" s="205">
        <v>6.5</v>
      </c>
      <c r="BS20" s="242"/>
      <c r="BT20" s="197">
        <f t="shared" si="21"/>
        <v>6.4999999999999997E-4</v>
      </c>
    </row>
    <row r="21" spans="1:72">
      <c r="A21" s="203">
        <v>12</v>
      </c>
      <c r="B21" s="195" t="str">
        <f t="shared" si="0"/>
        <v>9Y</v>
      </c>
      <c r="C21" s="195" t="str">
        <v>BPSWS9 BGN Curncy</v>
      </c>
      <c r="D21" s="205">
        <v>1.1996</v>
      </c>
      <c r="E21" s="213"/>
      <c r="F21" s="197">
        <f t="shared" si="10"/>
        <v>1.1996E-2</v>
      </c>
      <c r="G21" s="203">
        <v>12</v>
      </c>
      <c r="H21" s="195" t="str">
        <f t="shared" si="1"/>
        <v/>
      </c>
      <c r="I21" s="195" t="str">
        <v/>
      </c>
      <c r="J21" s="205" t="str">
        <v/>
      </c>
      <c r="K21" s="242"/>
      <c r="L21" s="197" t="str">
        <f t="shared" si="11"/>
        <v/>
      </c>
      <c r="M21" s="203">
        <v>12</v>
      </c>
      <c r="N21" s="195" t="str">
        <f t="shared" si="2"/>
        <v/>
      </c>
      <c r="O21" s="195" t="str">
        <v/>
      </c>
      <c r="P21" s="205" t="str">
        <v/>
      </c>
      <c r="Q21" s="213"/>
      <c r="R21" s="197" t="str">
        <f t="shared" si="12"/>
        <v/>
      </c>
      <c r="S21" s="203">
        <v>12</v>
      </c>
      <c r="T21" s="195" t="str">
        <f t="shared" si="3"/>
        <v/>
      </c>
      <c r="U21" s="195" t="str">
        <v/>
      </c>
      <c r="V21" s="205" t="str">
        <v/>
      </c>
      <c r="W21" s="213"/>
      <c r="X21" s="197" t="str">
        <f t="shared" si="13"/>
        <v/>
      </c>
      <c r="Y21" s="203">
        <v>12</v>
      </c>
      <c r="Z21" s="195"/>
      <c r="AA21" s="195"/>
      <c r="AB21" s="205"/>
      <c r="AC21" s="213"/>
      <c r="AD21" s="197" t="str">
        <f t="shared" si="14"/>
        <v/>
      </c>
      <c r="AE21" s="203">
        <v>12</v>
      </c>
      <c r="AF21" s="195" t="str">
        <f t="shared" si="4"/>
        <v/>
      </c>
      <c r="AG21" s="195" t="str">
        <v/>
      </c>
      <c r="AH21" s="205" t="str">
        <v/>
      </c>
      <c r="AI21" s="213"/>
      <c r="AJ21" s="197" t="str">
        <f t="shared" si="15"/>
        <v/>
      </c>
      <c r="AK21" s="203">
        <v>12</v>
      </c>
      <c r="AL21" s="198"/>
      <c r="AM21" s="195"/>
      <c r="AN21" s="196"/>
      <c r="AO21" s="254"/>
      <c r="AP21" s="256" t="str">
        <f t="shared" si="16"/>
        <v/>
      </c>
      <c r="AQ21" s="203">
        <v>12</v>
      </c>
      <c r="AR21" s="195" t="str">
        <f t="shared" si="5"/>
        <v>20Y</v>
      </c>
      <c r="AS21" s="195" t="str">
        <v>BPSW20 ICPL Curncy</v>
      </c>
      <c r="AT21" s="205">
        <v>1.68</v>
      </c>
      <c r="AU21" s="213"/>
      <c r="AV21" s="197">
        <f t="shared" si="17"/>
        <v>1.6799999999999999E-2</v>
      </c>
      <c r="AW21" s="203">
        <v>12</v>
      </c>
      <c r="AX21" s="195" t="str">
        <f t="shared" si="6"/>
        <v>15Y</v>
      </c>
      <c r="AY21" s="195" t="str">
        <v>BPSFVC15 ICPL Curncy</v>
      </c>
      <c r="AZ21" s="205">
        <v>7.2</v>
      </c>
      <c r="BA21" s="242"/>
      <c r="BB21" s="197">
        <f t="shared" si="18"/>
        <v>7.2000000000000005E-4</v>
      </c>
      <c r="BC21" s="203">
        <v>12</v>
      </c>
      <c r="BD21" s="195" t="str">
        <f t="shared" si="7"/>
        <v>15Y</v>
      </c>
      <c r="BE21" s="195" t="str">
        <v>BPSFVA15 ICPL Curncy</v>
      </c>
      <c r="BF21" s="205">
        <v>15.6</v>
      </c>
      <c r="BG21" s="242"/>
      <c r="BH21" s="197">
        <f t="shared" si="19"/>
        <v>1.56E-3</v>
      </c>
      <c r="BI21" s="203">
        <v>12</v>
      </c>
      <c r="BJ21" s="195" t="str">
        <f t="shared" si="8"/>
        <v>15Y</v>
      </c>
      <c r="BK21" s="195" t="str">
        <v>BPSIVF15 ICPL Curncy</v>
      </c>
      <c r="BL21" s="205">
        <v>9.8000000000000007</v>
      </c>
      <c r="BM21" s="242"/>
      <c r="BN21" s="197">
        <f t="shared" si="20"/>
        <v>9.7999999999999997E-4</v>
      </c>
      <c r="BO21" s="203">
        <v>12</v>
      </c>
      <c r="BP21" s="195" t="str">
        <f t="shared" si="9"/>
        <v>15Y</v>
      </c>
      <c r="BQ21" s="195" t="str">
        <v>BPBS15 ICPL Curncy</v>
      </c>
      <c r="BR21" s="205">
        <v>6.5</v>
      </c>
      <c r="BS21" s="242"/>
      <c r="BT21" s="197">
        <f t="shared" si="21"/>
        <v>6.4999999999999997E-4</v>
      </c>
    </row>
    <row r="22" spans="1:72">
      <c r="A22" s="203">
        <v>13</v>
      </c>
      <c r="B22" s="195" t="str">
        <f t="shared" si="0"/>
        <v>10Y</v>
      </c>
      <c r="C22" s="195" t="str">
        <v>BPSWS10 BGN Curncy</v>
      </c>
      <c r="D22" s="205">
        <v>1.2303999999999999</v>
      </c>
      <c r="E22" s="213"/>
      <c r="F22" s="197">
        <f t="shared" si="10"/>
        <v>1.2303999999999999E-2</v>
      </c>
      <c r="G22" s="203">
        <v>13</v>
      </c>
      <c r="H22" s="195" t="str">
        <f t="shared" si="1"/>
        <v/>
      </c>
      <c r="I22" s="195" t="str">
        <v/>
      </c>
      <c r="J22" s="205" t="str">
        <v/>
      </c>
      <c r="K22" s="242"/>
      <c r="L22" s="197" t="str">
        <f t="shared" si="11"/>
        <v/>
      </c>
      <c r="M22" s="203">
        <v>13</v>
      </c>
      <c r="N22" s="195" t="str">
        <f t="shared" si="2"/>
        <v/>
      </c>
      <c r="O22" s="195" t="str">
        <v/>
      </c>
      <c r="P22" s="205" t="str">
        <v/>
      </c>
      <c r="Q22" s="213"/>
      <c r="R22" s="197" t="str">
        <f t="shared" si="12"/>
        <v/>
      </c>
      <c r="S22" s="203">
        <v>13</v>
      </c>
      <c r="T22" s="195" t="str">
        <f t="shared" si="3"/>
        <v/>
      </c>
      <c r="U22" s="195" t="str">
        <v/>
      </c>
      <c r="V22" s="205" t="str">
        <v/>
      </c>
      <c r="W22" s="213"/>
      <c r="X22" s="197" t="str">
        <f t="shared" si="13"/>
        <v/>
      </c>
      <c r="Y22" s="203">
        <v>13</v>
      </c>
      <c r="Z22" s="195"/>
      <c r="AA22" s="195"/>
      <c r="AB22" s="205"/>
      <c r="AC22" s="213"/>
      <c r="AD22" s="197" t="str">
        <f t="shared" si="14"/>
        <v/>
      </c>
      <c r="AE22" s="203">
        <v>13</v>
      </c>
      <c r="AF22" s="195" t="str">
        <f t="shared" si="4"/>
        <v/>
      </c>
      <c r="AG22" s="195" t="str">
        <v/>
      </c>
      <c r="AH22" s="205" t="str">
        <v/>
      </c>
      <c r="AI22" s="213"/>
      <c r="AJ22" s="197" t="str">
        <f t="shared" si="15"/>
        <v/>
      </c>
      <c r="AK22" s="203">
        <v>13</v>
      </c>
      <c r="AL22" s="198"/>
      <c r="AM22" s="195"/>
      <c r="AN22" s="196"/>
      <c r="AO22" s="254"/>
      <c r="AP22" s="256" t="str">
        <f t="shared" si="16"/>
        <v/>
      </c>
      <c r="AQ22" s="203">
        <v>13</v>
      </c>
      <c r="AR22" s="195" t="str">
        <f t="shared" si="5"/>
        <v>25Y</v>
      </c>
      <c r="AS22" s="195" t="str">
        <v>BPSW25 ICPL Curncy</v>
      </c>
      <c r="AT22" s="205">
        <v>1.669</v>
      </c>
      <c r="AU22" s="213"/>
      <c r="AV22" s="197">
        <f t="shared" si="17"/>
        <v>1.669E-2</v>
      </c>
      <c r="AW22" s="203">
        <v>13</v>
      </c>
      <c r="AX22" s="195" t="str">
        <f t="shared" si="6"/>
        <v>20Y</v>
      </c>
      <c r="AY22" s="195" t="str">
        <v>BPSFVC20 ICPL Curncy</v>
      </c>
      <c r="AZ22" s="205">
        <v>6.8</v>
      </c>
      <c r="BA22" s="242"/>
      <c r="BB22" s="197">
        <f t="shared" si="18"/>
        <v>6.7999999999999994E-4</v>
      </c>
      <c r="BC22" s="203">
        <v>13</v>
      </c>
      <c r="BD22" s="195" t="str">
        <f t="shared" si="7"/>
        <v>20Y</v>
      </c>
      <c r="BE22" s="195" t="str">
        <v>BPSFVA20 ICPL Curncy</v>
      </c>
      <c r="BF22" s="205">
        <v>14.7</v>
      </c>
      <c r="BG22" s="242"/>
      <c r="BH22" s="197">
        <f t="shared" si="19"/>
        <v>1.47E-3</v>
      </c>
      <c r="BI22" s="203">
        <v>13</v>
      </c>
      <c r="BJ22" s="195" t="str">
        <f t="shared" si="8"/>
        <v>20Y</v>
      </c>
      <c r="BK22" s="195" t="str">
        <v>BPSIVF20 ICPL Curncy</v>
      </c>
      <c r="BL22" s="205">
        <v>8.5</v>
      </c>
      <c r="BM22" s="242"/>
      <c r="BN22" s="197">
        <f t="shared" si="20"/>
        <v>8.4999999999999995E-4</v>
      </c>
      <c r="BO22" s="203">
        <v>13</v>
      </c>
      <c r="BP22" s="195" t="str">
        <f t="shared" si="9"/>
        <v>20Y</v>
      </c>
      <c r="BQ22" s="195" t="str">
        <v>BPBS20 ICPL Curncy</v>
      </c>
      <c r="BR22" s="205">
        <v>6</v>
      </c>
      <c r="BS22" s="242"/>
      <c r="BT22" s="197">
        <f t="shared" si="21"/>
        <v>5.9999999999999995E-4</v>
      </c>
    </row>
    <row r="23" spans="1:72">
      <c r="A23" s="203">
        <v>14</v>
      </c>
      <c r="B23" s="195" t="str">
        <f t="shared" si="0"/>
        <v>12Y</v>
      </c>
      <c r="C23" s="195" t="str">
        <v>BPSWS12 BGN Curncy</v>
      </c>
      <c r="D23" s="205">
        <v>1.2725</v>
      </c>
      <c r="E23" s="213"/>
      <c r="F23" s="197">
        <f t="shared" si="10"/>
        <v>1.2725E-2</v>
      </c>
      <c r="G23" s="203">
        <v>14</v>
      </c>
      <c r="H23" s="195" t="str">
        <f t="shared" si="1"/>
        <v/>
      </c>
      <c r="I23" s="195" t="str">
        <v/>
      </c>
      <c r="J23" s="205" t="str">
        <v/>
      </c>
      <c r="K23" s="242"/>
      <c r="L23" s="197" t="str">
        <f t="shared" si="11"/>
        <v/>
      </c>
      <c r="M23" s="203">
        <v>14</v>
      </c>
      <c r="N23" s="195" t="str">
        <f t="shared" si="2"/>
        <v/>
      </c>
      <c r="O23" s="195" t="str">
        <v/>
      </c>
      <c r="P23" s="205" t="str">
        <v/>
      </c>
      <c r="Q23" s="213"/>
      <c r="R23" s="197" t="str">
        <f t="shared" si="12"/>
        <v/>
      </c>
      <c r="S23" s="203">
        <v>14</v>
      </c>
      <c r="T23" s="195" t="str">
        <f t="shared" si="3"/>
        <v/>
      </c>
      <c r="U23" s="195" t="str">
        <v/>
      </c>
      <c r="V23" s="205" t="str">
        <v/>
      </c>
      <c r="W23" s="213"/>
      <c r="X23" s="197" t="str">
        <f t="shared" si="13"/>
        <v/>
      </c>
      <c r="Y23" s="203">
        <v>14</v>
      </c>
      <c r="Z23" s="195"/>
      <c r="AA23" s="195"/>
      <c r="AB23" s="205"/>
      <c r="AC23" s="213"/>
      <c r="AD23" s="197" t="str">
        <f t="shared" si="14"/>
        <v/>
      </c>
      <c r="AE23" s="203">
        <v>14</v>
      </c>
      <c r="AF23" s="195" t="str">
        <f t="shared" si="4"/>
        <v/>
      </c>
      <c r="AG23" s="195" t="str">
        <v/>
      </c>
      <c r="AH23" s="205" t="str">
        <v/>
      </c>
      <c r="AI23" s="213"/>
      <c r="AJ23" s="197" t="str">
        <f t="shared" si="15"/>
        <v/>
      </c>
      <c r="AK23" s="203">
        <v>14</v>
      </c>
      <c r="AL23" s="198"/>
      <c r="AM23" s="195"/>
      <c r="AN23" s="196"/>
      <c r="AO23" s="254"/>
      <c r="AP23" s="256" t="str">
        <f t="shared" si="16"/>
        <v/>
      </c>
      <c r="AQ23" s="203">
        <v>14</v>
      </c>
      <c r="AR23" s="195" t="str">
        <f t="shared" si="5"/>
        <v>30Y</v>
      </c>
      <c r="AS23" s="195" t="str">
        <v>BPSW30 ICPL Curncy</v>
      </c>
      <c r="AT23" s="205">
        <v>1.65</v>
      </c>
      <c r="AU23" s="213"/>
      <c r="AV23" s="197">
        <f t="shared" si="17"/>
        <v>1.6500000000000001E-2</v>
      </c>
      <c r="AW23" s="203">
        <v>14</v>
      </c>
      <c r="AX23" s="195" t="str">
        <f t="shared" si="6"/>
        <v>25Y</v>
      </c>
      <c r="AY23" s="195" t="str">
        <v>BPSFVC25 ICPL Curncy</v>
      </c>
      <c r="AZ23" s="205">
        <v>6.5</v>
      </c>
      <c r="BA23" s="242"/>
      <c r="BB23" s="197">
        <f t="shared" si="18"/>
        <v>6.4999999999999997E-4</v>
      </c>
      <c r="BC23" s="203">
        <v>14</v>
      </c>
      <c r="BD23" s="195" t="str">
        <f t="shared" si="7"/>
        <v>25Y</v>
      </c>
      <c r="BE23" s="195" t="str">
        <v>BPSFVA25 ICPL Curncy</v>
      </c>
      <c r="BF23" s="205">
        <v>14.1</v>
      </c>
      <c r="BG23" s="242"/>
      <c r="BH23" s="197">
        <f t="shared" si="19"/>
        <v>1.41E-3</v>
      </c>
      <c r="BI23" s="203">
        <v>14</v>
      </c>
      <c r="BJ23" s="195" t="str">
        <f t="shared" si="8"/>
        <v>25Y</v>
      </c>
      <c r="BK23" s="195" t="str">
        <v>BPSIVF25 ICPL Curncy</v>
      </c>
      <c r="BL23" s="205">
        <v>7.4</v>
      </c>
      <c r="BM23" s="242"/>
      <c r="BN23" s="197">
        <f t="shared" si="20"/>
        <v>7.3999999999999999E-4</v>
      </c>
      <c r="BO23" s="203">
        <v>14</v>
      </c>
      <c r="BP23" s="195" t="str">
        <f t="shared" si="9"/>
        <v>25Y</v>
      </c>
      <c r="BQ23" s="195" t="str">
        <v>BPBS25 ICPL Curncy</v>
      </c>
      <c r="BR23" s="205">
        <v>6.75</v>
      </c>
      <c r="BS23" s="242"/>
      <c r="BT23" s="197">
        <f t="shared" si="21"/>
        <v>6.7500000000000004E-4</v>
      </c>
    </row>
    <row r="24" spans="1:72">
      <c r="A24" s="203">
        <v>15</v>
      </c>
      <c r="B24" s="195" t="str">
        <f t="shared" si="0"/>
        <v>15Y</v>
      </c>
      <c r="C24" s="195" t="str">
        <v>BPSWS15 BGN Curncy</v>
      </c>
      <c r="D24" s="205">
        <v>1.3149999999999999</v>
      </c>
      <c r="E24" s="213"/>
      <c r="F24" s="197">
        <f t="shared" si="10"/>
        <v>1.315E-2</v>
      </c>
      <c r="G24" s="203">
        <v>15</v>
      </c>
      <c r="H24" s="195" t="str">
        <f t="shared" si="1"/>
        <v/>
      </c>
      <c r="I24" s="195" t="str">
        <v/>
      </c>
      <c r="J24" s="205" t="str">
        <v/>
      </c>
      <c r="K24" s="242"/>
      <c r="L24" s="197" t="str">
        <f t="shared" si="11"/>
        <v/>
      </c>
      <c r="M24" s="203">
        <v>15</v>
      </c>
      <c r="N24" s="195" t="str">
        <f t="shared" si="2"/>
        <v/>
      </c>
      <c r="O24" s="195" t="str">
        <v/>
      </c>
      <c r="P24" s="205" t="str">
        <v/>
      </c>
      <c r="Q24" s="213"/>
      <c r="R24" s="197" t="str">
        <f t="shared" si="12"/>
        <v/>
      </c>
      <c r="S24" s="203">
        <v>15</v>
      </c>
      <c r="T24" s="195" t="str">
        <f t="shared" si="3"/>
        <v/>
      </c>
      <c r="U24" s="195" t="str">
        <v/>
      </c>
      <c r="V24" s="205" t="str">
        <v/>
      </c>
      <c r="W24" s="213"/>
      <c r="X24" s="197" t="str">
        <f t="shared" si="13"/>
        <v/>
      </c>
      <c r="Y24" s="203">
        <v>15</v>
      </c>
      <c r="Z24" s="195"/>
      <c r="AA24" s="195"/>
      <c r="AB24" s="205"/>
      <c r="AC24" s="213"/>
      <c r="AD24" s="197" t="str">
        <f t="shared" si="14"/>
        <v/>
      </c>
      <c r="AE24" s="203">
        <v>15</v>
      </c>
      <c r="AF24" s="195" t="str">
        <f t="shared" si="4"/>
        <v/>
      </c>
      <c r="AG24" s="195" t="str">
        <v/>
      </c>
      <c r="AH24" s="205" t="str">
        <v/>
      </c>
      <c r="AI24" s="213"/>
      <c r="AJ24" s="197" t="str">
        <f t="shared" si="15"/>
        <v/>
      </c>
      <c r="AK24" s="203">
        <v>15</v>
      </c>
      <c r="AL24" s="198"/>
      <c r="AM24" s="195"/>
      <c r="AN24" s="196"/>
      <c r="AO24" s="254"/>
      <c r="AP24" s="256" t="str">
        <f t="shared" si="16"/>
        <v/>
      </c>
      <c r="AQ24" s="203">
        <v>15</v>
      </c>
      <c r="AR24" s="195" t="str">
        <f t="shared" si="5"/>
        <v>40Y</v>
      </c>
      <c r="AS24" s="195" t="str">
        <v>BPSW40 ICPL Curncy</v>
      </c>
      <c r="AT24" s="205">
        <v>1.581</v>
      </c>
      <c r="AU24" s="213"/>
      <c r="AV24" s="197">
        <f t="shared" si="17"/>
        <v>1.5810000000000001E-2</v>
      </c>
      <c r="AW24" s="203">
        <v>15</v>
      </c>
      <c r="AX24" s="195" t="str">
        <f t="shared" si="6"/>
        <v>30Y</v>
      </c>
      <c r="AY24" s="195" t="str">
        <v>BPSFVC30 ICPL Curncy</v>
      </c>
      <c r="AZ24" s="205">
        <v>6.2</v>
      </c>
      <c r="BA24" s="242"/>
      <c r="BB24" s="197">
        <f t="shared" si="18"/>
        <v>6.2E-4</v>
      </c>
      <c r="BC24" s="203">
        <v>15</v>
      </c>
      <c r="BD24" s="195" t="str">
        <f t="shared" si="7"/>
        <v>30Y</v>
      </c>
      <c r="BE24" s="195" t="str">
        <v>BPSFVA30 ICPL Curncy</v>
      </c>
      <c r="BF24" s="205">
        <v>13.6</v>
      </c>
      <c r="BG24" s="242"/>
      <c r="BH24" s="197">
        <f t="shared" si="19"/>
        <v>1.3599999999999999E-3</v>
      </c>
      <c r="BI24" s="203">
        <v>15</v>
      </c>
      <c r="BJ24" s="195" t="str">
        <f t="shared" si="8"/>
        <v>30Y</v>
      </c>
      <c r="BK24" s="195" t="str">
        <v>BPSIVF30 ICPL Curncy</v>
      </c>
      <c r="BL24" s="205">
        <v>6.7</v>
      </c>
      <c r="BM24" s="242"/>
      <c r="BN24" s="197">
        <f t="shared" si="20"/>
        <v>6.7000000000000002E-4</v>
      </c>
      <c r="BO24" s="203">
        <v>15</v>
      </c>
      <c r="BP24" s="195" t="str">
        <f t="shared" si="9"/>
        <v>30Y</v>
      </c>
      <c r="BQ24" s="195" t="str">
        <v>BPBS30 ICPL Curncy</v>
      </c>
      <c r="BR24" s="205">
        <v>10.5</v>
      </c>
      <c r="BS24" s="242"/>
      <c r="BT24" s="197">
        <f t="shared" si="21"/>
        <v>1.0499999999999999E-3</v>
      </c>
    </row>
    <row r="25" spans="1:72">
      <c r="A25" s="203">
        <v>16</v>
      </c>
      <c r="B25" s="195" t="str">
        <f t="shared" si="0"/>
        <v>20Y</v>
      </c>
      <c r="C25" s="195" t="str">
        <v>BPSWS20 BGN Curncy</v>
      </c>
      <c r="D25" s="205">
        <v>1.329</v>
      </c>
      <c r="E25" s="213"/>
      <c r="F25" s="197">
        <f t="shared" si="10"/>
        <v>1.329E-2</v>
      </c>
      <c r="G25" s="203">
        <v>16</v>
      </c>
      <c r="H25" s="195" t="str">
        <f t="shared" si="1"/>
        <v/>
      </c>
      <c r="I25" s="195" t="str">
        <v/>
      </c>
      <c r="J25" s="205" t="str">
        <v/>
      </c>
      <c r="K25" s="242"/>
      <c r="L25" s="197" t="str">
        <f t="shared" si="11"/>
        <v/>
      </c>
      <c r="M25" s="203">
        <v>16</v>
      </c>
      <c r="N25" s="195" t="str">
        <f t="shared" si="2"/>
        <v/>
      </c>
      <c r="O25" s="195" t="str">
        <v/>
      </c>
      <c r="P25" s="205" t="str">
        <v/>
      </c>
      <c r="Q25" s="213"/>
      <c r="R25" s="197" t="str">
        <f t="shared" si="12"/>
        <v/>
      </c>
      <c r="S25" s="203">
        <v>16</v>
      </c>
      <c r="T25" s="195" t="str">
        <f t="shared" si="3"/>
        <v/>
      </c>
      <c r="U25" s="195" t="str">
        <v/>
      </c>
      <c r="V25" s="205" t="str">
        <v/>
      </c>
      <c r="W25" s="213"/>
      <c r="X25" s="197" t="str">
        <f t="shared" si="13"/>
        <v/>
      </c>
      <c r="Y25" s="203">
        <v>16</v>
      </c>
      <c r="Z25" s="195"/>
      <c r="AA25" s="195"/>
      <c r="AB25" s="205"/>
      <c r="AC25" s="213"/>
      <c r="AD25" s="197" t="str">
        <f t="shared" si="14"/>
        <v/>
      </c>
      <c r="AE25" s="203">
        <v>16</v>
      </c>
      <c r="AF25" s="195" t="str">
        <f t="shared" si="4"/>
        <v/>
      </c>
      <c r="AG25" s="195" t="str">
        <v/>
      </c>
      <c r="AH25" s="205" t="str">
        <v/>
      </c>
      <c r="AI25" s="213"/>
      <c r="AJ25" s="197" t="str">
        <f t="shared" si="15"/>
        <v/>
      </c>
      <c r="AK25" s="203">
        <v>16</v>
      </c>
      <c r="AL25" s="198"/>
      <c r="AM25" s="195"/>
      <c r="AN25" s="196"/>
      <c r="AO25" s="254"/>
      <c r="AP25" s="256" t="str">
        <f t="shared" si="16"/>
        <v/>
      </c>
      <c r="AQ25" s="203">
        <v>16</v>
      </c>
      <c r="AR25" s="195" t="str">
        <f t="shared" si="5"/>
        <v>50Y</v>
      </c>
      <c r="AS25" s="195" t="str">
        <v>BPSW50 ICPL Curncy</v>
      </c>
      <c r="AT25" s="205">
        <v>1.5229999999999999</v>
      </c>
      <c r="AU25" s="213"/>
      <c r="AV25" s="197">
        <f t="shared" si="17"/>
        <v>1.5229999999999999E-2</v>
      </c>
      <c r="AW25" s="203">
        <v>16</v>
      </c>
      <c r="AX25" s="195" t="str">
        <f t="shared" si="6"/>
        <v>40Y</v>
      </c>
      <c r="AY25" s="195" t="str">
        <v>BPSFVC40 ICPL Curncy</v>
      </c>
      <c r="AZ25" s="205">
        <v>5.9</v>
      </c>
      <c r="BA25" s="242"/>
      <c r="BB25" s="197">
        <f t="shared" si="18"/>
        <v>5.9000000000000003E-4</v>
      </c>
      <c r="BC25" s="203">
        <v>16</v>
      </c>
      <c r="BD25" s="195" t="str">
        <f t="shared" si="7"/>
        <v>40Y</v>
      </c>
      <c r="BE25" s="195" t="str">
        <v>BPSFVA40 ICPL Curncy</v>
      </c>
      <c r="BF25" s="205">
        <v>12.9</v>
      </c>
      <c r="BG25" s="242"/>
      <c r="BH25" s="197">
        <f t="shared" si="19"/>
        <v>1.2900000000000001E-3</v>
      </c>
      <c r="BI25" s="203">
        <v>16</v>
      </c>
      <c r="BJ25" s="195" t="str">
        <f t="shared" si="8"/>
        <v>40Y</v>
      </c>
      <c r="BK25" s="195" t="str">
        <v>BPSIVF40 ICPL Curncy</v>
      </c>
      <c r="BL25" s="205">
        <v>5.7</v>
      </c>
      <c r="BM25" s="242"/>
      <c r="BN25" s="197">
        <f t="shared" si="20"/>
        <v>5.6999999999999998E-4</v>
      </c>
      <c r="BO25" s="203">
        <v>16</v>
      </c>
      <c r="BP25" s="195" t="str">
        <f t="shared" si="9"/>
        <v/>
      </c>
      <c r="BQ25" s="195" t="str">
        <v/>
      </c>
      <c r="BR25" s="205" t="str">
        <v/>
      </c>
      <c r="BS25" s="242"/>
      <c r="BT25" s="197" t="str">
        <f t="shared" si="21"/>
        <v/>
      </c>
    </row>
    <row r="26" spans="1:72">
      <c r="A26" s="203">
        <v>17</v>
      </c>
      <c r="B26" s="195" t="str">
        <f t="shared" si="0"/>
        <v>25Y</v>
      </c>
      <c r="C26" s="195" t="str">
        <v>BPSWS25 BGN Curncy</v>
      </c>
      <c r="D26" s="205">
        <v>1.3156000000000001</v>
      </c>
      <c r="E26" s="213"/>
      <c r="F26" s="197">
        <f t="shared" si="10"/>
        <v>1.3156000000000001E-2</v>
      </c>
      <c r="G26" s="203">
        <v>17</v>
      </c>
      <c r="H26" s="195" t="str">
        <f t="shared" si="1"/>
        <v/>
      </c>
      <c r="I26" s="195" t="str">
        <v/>
      </c>
      <c r="J26" s="205" t="str">
        <v/>
      </c>
      <c r="K26" s="242"/>
      <c r="L26" s="197" t="str">
        <f t="shared" si="11"/>
        <v/>
      </c>
      <c r="M26" s="203">
        <v>17</v>
      </c>
      <c r="N26" s="195" t="str">
        <f t="shared" si="2"/>
        <v/>
      </c>
      <c r="O26" s="195" t="str">
        <v/>
      </c>
      <c r="P26" s="205" t="str">
        <v/>
      </c>
      <c r="Q26" s="213"/>
      <c r="R26" s="197" t="str">
        <f t="shared" si="12"/>
        <v/>
      </c>
      <c r="S26" s="203">
        <v>17</v>
      </c>
      <c r="T26" s="195" t="str">
        <f t="shared" si="3"/>
        <v/>
      </c>
      <c r="U26" s="195" t="str">
        <v/>
      </c>
      <c r="V26" s="205" t="str">
        <v/>
      </c>
      <c r="W26" s="213"/>
      <c r="X26" s="197" t="str">
        <f t="shared" si="13"/>
        <v/>
      </c>
      <c r="Y26" s="203">
        <v>17</v>
      </c>
      <c r="Z26" s="195"/>
      <c r="AA26" s="195"/>
      <c r="AB26" s="205"/>
      <c r="AC26" s="213"/>
      <c r="AD26" s="197" t="str">
        <f t="shared" si="14"/>
        <v/>
      </c>
      <c r="AE26" s="203">
        <v>17</v>
      </c>
      <c r="AF26" s="195" t="str">
        <f t="shared" si="4"/>
        <v/>
      </c>
      <c r="AG26" s="195" t="str">
        <v/>
      </c>
      <c r="AH26" s="205" t="str">
        <v/>
      </c>
      <c r="AI26" s="213"/>
      <c r="AJ26" s="197" t="str">
        <f t="shared" si="15"/>
        <v/>
      </c>
      <c r="AK26" s="203">
        <v>17</v>
      </c>
      <c r="AL26" s="198"/>
      <c r="AM26" s="195"/>
      <c r="AN26" s="196"/>
      <c r="AO26" s="254"/>
      <c r="AP26" s="256" t="str">
        <f t="shared" si="16"/>
        <v/>
      </c>
      <c r="AQ26" s="203">
        <v>17</v>
      </c>
      <c r="AR26" s="195" t="str">
        <f t="shared" si="5"/>
        <v/>
      </c>
      <c r="AS26" s="195" t="str">
        <v/>
      </c>
      <c r="AT26" s="205" t="str">
        <v/>
      </c>
      <c r="AU26" s="213"/>
      <c r="AV26" s="197" t="str">
        <f>IF(AT26="","",AT26/100+AU26+AV$7)</f>
        <v/>
      </c>
      <c r="AW26" s="203">
        <v>17</v>
      </c>
      <c r="AX26" s="195" t="str">
        <f t="shared" si="6"/>
        <v>50Y</v>
      </c>
      <c r="AY26" s="195" t="str">
        <v>BPSFVC50 ICPL Curncy</v>
      </c>
      <c r="AZ26" s="205">
        <v>5.6</v>
      </c>
      <c r="BA26" s="242"/>
      <c r="BB26" s="197">
        <f t="shared" si="18"/>
        <v>5.5999999999999995E-4</v>
      </c>
      <c r="BC26" s="203">
        <v>17</v>
      </c>
      <c r="BD26" s="195" t="str">
        <f t="shared" si="7"/>
        <v>50Y</v>
      </c>
      <c r="BE26" s="195" t="str">
        <v>BPSFVA50 ICPL Curncy</v>
      </c>
      <c r="BF26" s="205">
        <v>12.1</v>
      </c>
      <c r="BG26" s="242"/>
      <c r="BH26" s="197">
        <f t="shared" si="19"/>
        <v>1.2099999999999999E-3</v>
      </c>
      <c r="BI26" s="203">
        <v>17</v>
      </c>
      <c r="BJ26" s="195" t="str">
        <f t="shared" si="8"/>
        <v>50Y</v>
      </c>
      <c r="BK26" s="195" t="str">
        <v>BPSIVF50 ICPL Curncy</v>
      </c>
      <c r="BL26" s="205">
        <v>4.9000000000000004</v>
      </c>
      <c r="BM26" s="242"/>
      <c r="BN26" s="197">
        <f t="shared" si="20"/>
        <v>4.8999999999999998E-4</v>
      </c>
      <c r="BO26" s="203">
        <v>17</v>
      </c>
      <c r="BP26" s="195" t="str">
        <f t="shared" si="9"/>
        <v/>
      </c>
      <c r="BQ26" s="195" t="str">
        <v/>
      </c>
      <c r="BR26" s="205" t="str">
        <v/>
      </c>
      <c r="BS26" s="242"/>
      <c r="BT26" s="197" t="str">
        <f t="shared" si="21"/>
        <v/>
      </c>
    </row>
    <row r="27" spans="1:72">
      <c r="A27" s="203">
        <v>18</v>
      </c>
      <c r="B27" s="195" t="str">
        <f t="shared" si="0"/>
        <v>30Y</v>
      </c>
      <c r="C27" s="195" t="str">
        <v>BPSWS30 BGN Curncy</v>
      </c>
      <c r="D27" s="205">
        <v>1.2929999999999999</v>
      </c>
      <c r="E27" s="213"/>
      <c r="F27" s="197">
        <f>IF(D27="","",D27/100+E27+F$7)</f>
        <v>1.2929999999999999E-2</v>
      </c>
      <c r="G27" s="203">
        <v>18</v>
      </c>
      <c r="H27" s="195" t="str">
        <f t="shared" si="1"/>
        <v/>
      </c>
      <c r="I27" s="195" t="str">
        <v/>
      </c>
      <c r="J27" s="205" t="str">
        <v/>
      </c>
      <c r="K27" s="242"/>
      <c r="L27" s="197" t="str">
        <f t="shared" si="11"/>
        <v/>
      </c>
      <c r="M27" s="203">
        <v>18</v>
      </c>
      <c r="N27" s="195" t="str">
        <f t="shared" si="2"/>
        <v/>
      </c>
      <c r="O27" s="195" t="str">
        <v/>
      </c>
      <c r="P27" s="205" t="str">
        <v/>
      </c>
      <c r="Q27" s="213"/>
      <c r="R27" s="197" t="str">
        <f t="shared" si="12"/>
        <v/>
      </c>
      <c r="S27" s="203">
        <v>18</v>
      </c>
      <c r="T27" s="195" t="str">
        <f t="shared" si="3"/>
        <v/>
      </c>
      <c r="U27" s="195" t="str">
        <v/>
      </c>
      <c r="V27" s="205" t="str">
        <v/>
      </c>
      <c r="W27" s="213"/>
      <c r="X27" s="197" t="str">
        <f t="shared" si="13"/>
        <v/>
      </c>
      <c r="Y27" s="203">
        <v>18</v>
      </c>
      <c r="Z27" s="195"/>
      <c r="AA27" s="195"/>
      <c r="AB27" s="205"/>
      <c r="AC27" s="213"/>
      <c r="AD27" s="197" t="str">
        <f t="shared" si="14"/>
        <v/>
      </c>
      <c r="AE27" s="203">
        <v>18</v>
      </c>
      <c r="AF27" s="195" t="str">
        <f t="shared" si="4"/>
        <v/>
      </c>
      <c r="AG27" s="195" t="str">
        <v/>
      </c>
      <c r="AH27" s="205" t="str">
        <v/>
      </c>
      <c r="AI27" s="213"/>
      <c r="AJ27" s="197" t="str">
        <f t="shared" si="15"/>
        <v/>
      </c>
      <c r="AK27" s="203">
        <v>18</v>
      </c>
      <c r="AL27" s="198"/>
      <c r="AM27" s="195"/>
      <c r="AN27" s="196"/>
      <c r="AO27" s="254"/>
      <c r="AP27" s="256" t="str">
        <f t="shared" si="16"/>
        <v/>
      </c>
      <c r="AQ27" s="203">
        <v>18</v>
      </c>
      <c r="AR27" s="195" t="str">
        <f t="shared" si="5"/>
        <v/>
      </c>
      <c r="AS27" s="195" t="str">
        <v/>
      </c>
      <c r="AT27" s="205" t="str">
        <v/>
      </c>
      <c r="AU27" s="213"/>
      <c r="AV27" s="197" t="str">
        <f t="shared" si="17"/>
        <v/>
      </c>
      <c r="AW27" s="203">
        <v>18</v>
      </c>
      <c r="AX27" s="195" t="str">
        <f t="shared" si="6"/>
        <v/>
      </c>
      <c r="AY27" s="195" t="str">
        <v/>
      </c>
      <c r="AZ27" s="205" t="str">
        <v/>
      </c>
      <c r="BA27" s="242"/>
      <c r="BB27" s="197" t="str">
        <f t="shared" si="18"/>
        <v/>
      </c>
      <c r="BC27" s="203">
        <v>18</v>
      </c>
      <c r="BD27" s="195" t="str">
        <f t="shared" si="7"/>
        <v/>
      </c>
      <c r="BE27" s="195" t="str">
        <v/>
      </c>
      <c r="BF27" s="205" t="str">
        <v/>
      </c>
      <c r="BG27" s="242"/>
      <c r="BH27" s="197" t="str">
        <f t="shared" si="19"/>
        <v/>
      </c>
      <c r="BI27" s="203">
        <v>18</v>
      </c>
      <c r="BJ27" s="195" t="str">
        <f t="shared" si="8"/>
        <v/>
      </c>
      <c r="BK27" s="195" t="str">
        <v/>
      </c>
      <c r="BL27" s="205" t="str">
        <v/>
      </c>
      <c r="BM27" s="242"/>
      <c r="BN27" s="197" t="str">
        <f t="shared" si="20"/>
        <v/>
      </c>
      <c r="BO27" s="203">
        <v>18</v>
      </c>
      <c r="BP27" s="195" t="str">
        <f t="shared" si="9"/>
        <v/>
      </c>
      <c r="BQ27" s="195" t="str">
        <v/>
      </c>
      <c r="BR27" s="205" t="str">
        <v/>
      </c>
      <c r="BS27" s="242"/>
      <c r="BT27" s="197" t="str">
        <f t="shared" si="21"/>
        <v/>
      </c>
    </row>
    <row r="28" spans="1:72">
      <c r="A28" s="203">
        <v>19</v>
      </c>
      <c r="B28" s="195" t="str">
        <f t="shared" si="0"/>
        <v>40Y</v>
      </c>
      <c r="C28" s="195" t="str">
        <v>BPSWS40 BGN Curncy</v>
      </c>
      <c r="D28" s="205">
        <v>1.2250000000000001</v>
      </c>
      <c r="E28" s="213"/>
      <c r="F28" s="197">
        <f t="shared" si="10"/>
        <v>1.225E-2</v>
      </c>
      <c r="G28" s="203">
        <v>19</v>
      </c>
      <c r="H28" s="195" t="str">
        <f t="shared" si="1"/>
        <v/>
      </c>
      <c r="I28" s="195" t="str">
        <v/>
      </c>
      <c r="J28" s="205" t="str">
        <v/>
      </c>
      <c r="K28" s="242"/>
      <c r="L28" s="197" t="str">
        <f t="shared" si="11"/>
        <v/>
      </c>
      <c r="M28" s="203">
        <v>19</v>
      </c>
      <c r="N28" s="195" t="str">
        <f t="shared" si="2"/>
        <v/>
      </c>
      <c r="O28" s="195" t="str">
        <v/>
      </c>
      <c r="P28" s="205" t="str">
        <v/>
      </c>
      <c r="Q28" s="213"/>
      <c r="R28" s="197" t="str">
        <f t="shared" si="12"/>
        <v/>
      </c>
      <c r="S28" s="203">
        <v>19</v>
      </c>
      <c r="T28" s="195" t="str">
        <f t="shared" si="3"/>
        <v/>
      </c>
      <c r="U28" s="195" t="str">
        <v/>
      </c>
      <c r="V28" s="205" t="str">
        <v/>
      </c>
      <c r="W28" s="213"/>
      <c r="X28" s="197" t="str">
        <f t="shared" si="13"/>
        <v/>
      </c>
      <c r="Y28" s="203">
        <v>19</v>
      </c>
      <c r="Z28" s="195"/>
      <c r="AA28" s="195"/>
      <c r="AB28" s="205"/>
      <c r="AC28" s="213"/>
      <c r="AD28" s="197" t="str">
        <f t="shared" si="14"/>
        <v/>
      </c>
      <c r="AE28" s="203">
        <v>19</v>
      </c>
      <c r="AF28" s="195" t="str">
        <f t="shared" si="4"/>
        <v/>
      </c>
      <c r="AG28" s="195" t="str">
        <v/>
      </c>
      <c r="AH28" s="205" t="str">
        <v/>
      </c>
      <c r="AI28" s="213"/>
      <c r="AJ28" s="197" t="str">
        <f t="shared" si="15"/>
        <v/>
      </c>
      <c r="AK28" s="203">
        <v>19</v>
      </c>
      <c r="AL28" s="198"/>
      <c r="AM28" s="195"/>
      <c r="AN28" s="196"/>
      <c r="AO28" s="254"/>
      <c r="AP28" s="256" t="str">
        <f t="shared" si="16"/>
        <v/>
      </c>
      <c r="AQ28" s="203">
        <v>19</v>
      </c>
      <c r="AR28" s="195" t="str">
        <f t="shared" si="5"/>
        <v/>
      </c>
      <c r="AS28" s="195" t="str">
        <v/>
      </c>
      <c r="AT28" s="205" t="str">
        <v/>
      </c>
      <c r="AU28" s="213"/>
      <c r="AV28" s="197" t="str">
        <f t="shared" si="17"/>
        <v/>
      </c>
      <c r="AW28" s="203">
        <v>19</v>
      </c>
      <c r="AX28" s="195" t="str">
        <f t="shared" si="6"/>
        <v/>
      </c>
      <c r="AY28" s="195" t="str">
        <v/>
      </c>
      <c r="AZ28" s="205" t="str">
        <v/>
      </c>
      <c r="BA28" s="242"/>
      <c r="BB28" s="197" t="str">
        <f t="shared" si="18"/>
        <v/>
      </c>
      <c r="BC28" s="203">
        <v>19</v>
      </c>
      <c r="BD28" s="195" t="str">
        <f t="shared" si="7"/>
        <v/>
      </c>
      <c r="BE28" s="195" t="str">
        <v/>
      </c>
      <c r="BF28" s="205" t="str">
        <v/>
      </c>
      <c r="BG28" s="242"/>
      <c r="BH28" s="197" t="str">
        <f t="shared" si="19"/>
        <v/>
      </c>
      <c r="BI28" s="203">
        <v>19</v>
      </c>
      <c r="BJ28" s="195" t="str">
        <f t="shared" si="8"/>
        <v/>
      </c>
      <c r="BK28" s="195" t="str">
        <v/>
      </c>
      <c r="BL28" s="205" t="str">
        <v/>
      </c>
      <c r="BM28" s="242"/>
      <c r="BN28" s="197" t="str">
        <f t="shared" si="20"/>
        <v/>
      </c>
      <c r="BO28" s="203">
        <v>19</v>
      </c>
      <c r="BP28" s="195" t="str">
        <f t="shared" si="9"/>
        <v/>
      </c>
      <c r="BQ28" s="195" t="str">
        <v/>
      </c>
      <c r="BR28" s="205" t="str">
        <v/>
      </c>
      <c r="BS28" s="242"/>
      <c r="BT28" s="197" t="str">
        <f t="shared" si="21"/>
        <v/>
      </c>
    </row>
    <row r="29" spans="1:72">
      <c r="A29" s="203">
        <v>20</v>
      </c>
      <c r="B29" s="195" t="str">
        <f t="shared" si="0"/>
        <v>50Y</v>
      </c>
      <c r="C29" s="195" t="str">
        <v>BPSWS50 BGN Curncy</v>
      </c>
      <c r="D29" s="205">
        <v>1.173</v>
      </c>
      <c r="E29" s="213"/>
      <c r="F29" s="197">
        <f t="shared" si="10"/>
        <v>1.1730000000000001E-2</v>
      </c>
      <c r="G29" s="203">
        <v>20</v>
      </c>
      <c r="H29" s="195" t="str">
        <f t="shared" si="1"/>
        <v/>
      </c>
      <c r="I29" s="195" t="str">
        <v/>
      </c>
      <c r="J29" s="205" t="str">
        <v/>
      </c>
      <c r="K29" s="242"/>
      <c r="L29" s="197" t="str">
        <f t="shared" si="11"/>
        <v/>
      </c>
      <c r="M29" s="203">
        <v>20</v>
      </c>
      <c r="N29" s="195" t="str">
        <f t="shared" si="2"/>
        <v/>
      </c>
      <c r="O29" s="195" t="str">
        <v/>
      </c>
      <c r="P29" s="205" t="str">
        <v/>
      </c>
      <c r="Q29" s="213"/>
      <c r="R29" s="197" t="str">
        <f t="shared" si="12"/>
        <v/>
      </c>
      <c r="S29" s="203">
        <v>20</v>
      </c>
      <c r="T29" s="195" t="str">
        <f t="shared" si="3"/>
        <v/>
      </c>
      <c r="U29" s="195" t="str">
        <v/>
      </c>
      <c r="V29" s="205" t="str">
        <v/>
      </c>
      <c r="W29" s="213"/>
      <c r="X29" s="197" t="str">
        <f t="shared" si="13"/>
        <v/>
      </c>
      <c r="Y29" s="203">
        <v>20</v>
      </c>
      <c r="Z29" s="195"/>
      <c r="AA29" s="195"/>
      <c r="AB29" s="205"/>
      <c r="AC29" s="213"/>
      <c r="AD29" s="197" t="str">
        <f t="shared" si="14"/>
        <v/>
      </c>
      <c r="AE29" s="203">
        <v>20</v>
      </c>
      <c r="AF29" s="195" t="str">
        <f t="shared" si="4"/>
        <v/>
      </c>
      <c r="AG29" s="195" t="str">
        <v/>
      </c>
      <c r="AH29" s="205" t="str">
        <v/>
      </c>
      <c r="AI29" s="213"/>
      <c r="AJ29" s="197" t="str">
        <f t="shared" si="15"/>
        <v/>
      </c>
      <c r="AK29" s="203">
        <v>20</v>
      </c>
      <c r="AL29" s="198"/>
      <c r="AM29" s="195"/>
      <c r="AN29" s="196"/>
      <c r="AO29" s="254"/>
      <c r="AP29" s="256" t="str">
        <f t="shared" si="16"/>
        <v/>
      </c>
      <c r="AQ29" s="203">
        <v>20</v>
      </c>
      <c r="AR29" s="195" t="str">
        <f t="shared" si="5"/>
        <v/>
      </c>
      <c r="AS29" s="195" t="str">
        <v/>
      </c>
      <c r="AT29" s="205" t="str">
        <v/>
      </c>
      <c r="AU29" s="213"/>
      <c r="AV29" s="197" t="str">
        <f t="shared" si="17"/>
        <v/>
      </c>
      <c r="AW29" s="203">
        <v>20</v>
      </c>
      <c r="AX29" s="195" t="str">
        <f t="shared" si="6"/>
        <v/>
      </c>
      <c r="AY29" s="195" t="str">
        <v/>
      </c>
      <c r="AZ29" s="205" t="str">
        <v/>
      </c>
      <c r="BA29" s="242"/>
      <c r="BB29" s="197" t="str">
        <f t="shared" si="18"/>
        <v/>
      </c>
      <c r="BC29" s="203">
        <v>20</v>
      </c>
      <c r="BD29" s="195" t="str">
        <f t="shared" si="7"/>
        <v/>
      </c>
      <c r="BE29" s="195" t="str">
        <v/>
      </c>
      <c r="BF29" s="205" t="str">
        <v/>
      </c>
      <c r="BG29" s="242"/>
      <c r="BH29" s="197" t="str">
        <f t="shared" si="19"/>
        <v/>
      </c>
      <c r="BI29" s="203">
        <v>20</v>
      </c>
      <c r="BJ29" s="195" t="str">
        <f t="shared" si="8"/>
        <v/>
      </c>
      <c r="BK29" s="195" t="str">
        <v/>
      </c>
      <c r="BL29" s="205" t="str">
        <v/>
      </c>
      <c r="BM29" s="242"/>
      <c r="BN29" s="197" t="str">
        <f t="shared" si="20"/>
        <v/>
      </c>
      <c r="BO29" s="203">
        <v>20</v>
      </c>
      <c r="BP29" s="195" t="str">
        <f t="shared" si="9"/>
        <v/>
      </c>
      <c r="BQ29" s="195" t="str">
        <v/>
      </c>
      <c r="BR29" s="205" t="str">
        <v/>
      </c>
      <c r="BS29" s="242"/>
      <c r="BT29" s="197" t="str">
        <f t="shared" si="21"/>
        <v/>
      </c>
    </row>
    <row r="30" spans="1:72">
      <c r="A30" s="203">
        <v>21</v>
      </c>
      <c r="B30" s="195" t="str">
        <f t="shared" si="0"/>
        <v/>
      </c>
      <c r="C30" s="195" t="str">
        <v/>
      </c>
      <c r="D30" s="205" t="str">
        <v/>
      </c>
      <c r="E30" s="213"/>
      <c r="F30" s="197" t="str">
        <f t="shared" si="10"/>
        <v/>
      </c>
      <c r="G30" s="203">
        <v>21</v>
      </c>
      <c r="H30" s="195" t="str">
        <f t="shared" si="1"/>
        <v/>
      </c>
      <c r="I30" s="195" t="str">
        <v/>
      </c>
      <c r="J30" s="205" t="str">
        <v/>
      </c>
      <c r="K30" s="242"/>
      <c r="L30" s="197" t="str">
        <f t="shared" si="11"/>
        <v/>
      </c>
      <c r="M30" s="203">
        <v>21</v>
      </c>
      <c r="N30" s="195" t="str">
        <f t="shared" si="2"/>
        <v/>
      </c>
      <c r="O30" s="195" t="str">
        <v/>
      </c>
      <c r="P30" s="205" t="str">
        <v/>
      </c>
      <c r="Q30" s="213"/>
      <c r="R30" s="197" t="str">
        <f t="shared" si="12"/>
        <v/>
      </c>
      <c r="S30" s="203">
        <v>21</v>
      </c>
      <c r="T30" s="195" t="str">
        <f t="shared" si="3"/>
        <v/>
      </c>
      <c r="U30" s="195" t="str">
        <v/>
      </c>
      <c r="V30" s="205" t="str">
        <v/>
      </c>
      <c r="W30" s="213"/>
      <c r="X30" s="197" t="str">
        <f t="shared" si="13"/>
        <v/>
      </c>
      <c r="Y30" s="203">
        <v>21</v>
      </c>
      <c r="Z30" s="195"/>
      <c r="AA30" s="195"/>
      <c r="AB30" s="205"/>
      <c r="AC30" s="213"/>
      <c r="AD30" s="197" t="str">
        <f t="shared" si="14"/>
        <v/>
      </c>
      <c r="AE30" s="203">
        <v>21</v>
      </c>
      <c r="AF30" s="195" t="str">
        <f t="shared" si="4"/>
        <v/>
      </c>
      <c r="AG30" s="195" t="str">
        <v/>
      </c>
      <c r="AH30" s="205" t="str">
        <v/>
      </c>
      <c r="AI30" s="213"/>
      <c r="AJ30" s="197" t="str">
        <f t="shared" si="15"/>
        <v/>
      </c>
      <c r="AK30" s="203">
        <v>21</v>
      </c>
      <c r="AL30" s="198"/>
      <c r="AM30" s="195"/>
      <c r="AN30" s="196"/>
      <c r="AO30" s="254"/>
      <c r="AP30" s="256" t="str">
        <f t="shared" si="16"/>
        <v/>
      </c>
      <c r="AQ30" s="203">
        <v>21</v>
      </c>
      <c r="AR30" s="195" t="str">
        <f t="shared" si="5"/>
        <v/>
      </c>
      <c r="AS30" s="195" t="str">
        <v/>
      </c>
      <c r="AT30" s="205" t="str">
        <v/>
      </c>
      <c r="AU30" s="213"/>
      <c r="AV30" s="197" t="str">
        <f t="shared" si="17"/>
        <v/>
      </c>
      <c r="AW30" s="203">
        <v>21</v>
      </c>
      <c r="AX30" s="195" t="str">
        <f t="shared" si="6"/>
        <v/>
      </c>
      <c r="AY30" s="195" t="str">
        <v/>
      </c>
      <c r="AZ30" s="205" t="str">
        <v/>
      </c>
      <c r="BA30" s="242"/>
      <c r="BB30" s="197" t="str">
        <f t="shared" si="18"/>
        <v/>
      </c>
      <c r="BC30" s="203">
        <v>21</v>
      </c>
      <c r="BD30" s="195" t="str">
        <f t="shared" si="7"/>
        <v/>
      </c>
      <c r="BE30" s="195" t="str">
        <v/>
      </c>
      <c r="BF30" s="205" t="str">
        <v/>
      </c>
      <c r="BG30" s="242"/>
      <c r="BH30" s="197" t="str">
        <f t="shared" si="19"/>
        <v/>
      </c>
      <c r="BI30" s="203">
        <v>21</v>
      </c>
      <c r="BJ30" s="195" t="str">
        <f t="shared" si="8"/>
        <v/>
      </c>
      <c r="BK30" s="195" t="str">
        <v/>
      </c>
      <c r="BL30" s="205" t="str">
        <v/>
      </c>
      <c r="BM30" s="242"/>
      <c r="BN30" s="197" t="str">
        <f t="shared" si="20"/>
        <v/>
      </c>
      <c r="BO30" s="203">
        <v>21</v>
      </c>
      <c r="BP30" s="195" t="str">
        <f t="shared" si="9"/>
        <v/>
      </c>
      <c r="BQ30" s="195" t="str">
        <v/>
      </c>
      <c r="BR30" s="205" t="str">
        <v/>
      </c>
      <c r="BS30" s="242"/>
      <c r="BT30" s="197" t="str">
        <f t="shared" si="21"/>
        <v/>
      </c>
    </row>
    <row r="31" spans="1:72">
      <c r="A31" s="203">
        <v>22</v>
      </c>
      <c r="B31" s="195" t="str">
        <f t="shared" si="0"/>
        <v/>
      </c>
      <c r="C31" s="195" t="str">
        <v/>
      </c>
      <c r="D31" s="205" t="str">
        <v/>
      </c>
      <c r="E31" s="213"/>
      <c r="F31" s="197" t="str">
        <f t="shared" si="10"/>
        <v/>
      </c>
      <c r="G31" s="203">
        <v>22</v>
      </c>
      <c r="H31" s="195" t="str">
        <f t="shared" si="1"/>
        <v/>
      </c>
      <c r="I31" s="195" t="str">
        <v/>
      </c>
      <c r="J31" s="205" t="str">
        <v/>
      </c>
      <c r="K31" s="242"/>
      <c r="L31" s="197" t="str">
        <f t="shared" si="11"/>
        <v/>
      </c>
      <c r="M31" s="203">
        <v>22</v>
      </c>
      <c r="N31" s="195" t="str">
        <f t="shared" si="2"/>
        <v/>
      </c>
      <c r="O31" s="195" t="str">
        <v/>
      </c>
      <c r="P31" s="205" t="str">
        <v/>
      </c>
      <c r="Q31" s="213"/>
      <c r="R31" s="197" t="str">
        <f t="shared" si="12"/>
        <v/>
      </c>
      <c r="S31" s="203">
        <v>22</v>
      </c>
      <c r="T31" s="195" t="str">
        <f t="shared" si="3"/>
        <v/>
      </c>
      <c r="U31" s="195" t="str">
        <v/>
      </c>
      <c r="V31" s="205" t="str">
        <v/>
      </c>
      <c r="W31" s="213"/>
      <c r="X31" s="197" t="str">
        <f t="shared" si="13"/>
        <v/>
      </c>
      <c r="Y31" s="203">
        <v>22</v>
      </c>
      <c r="Z31" s="195"/>
      <c r="AA31" s="195"/>
      <c r="AB31" s="205"/>
      <c r="AC31" s="213"/>
      <c r="AD31" s="197" t="str">
        <f t="shared" si="14"/>
        <v/>
      </c>
      <c r="AE31" s="203">
        <v>22</v>
      </c>
      <c r="AF31" s="195" t="str">
        <f t="shared" si="4"/>
        <v/>
      </c>
      <c r="AG31" s="195" t="str">
        <v/>
      </c>
      <c r="AH31" s="205" t="str">
        <v/>
      </c>
      <c r="AI31" s="213"/>
      <c r="AJ31" s="197" t="str">
        <f t="shared" si="15"/>
        <v/>
      </c>
      <c r="AK31" s="203">
        <v>22</v>
      </c>
      <c r="AL31" s="198"/>
      <c r="AM31" s="195"/>
      <c r="AN31" s="196"/>
      <c r="AO31" s="254"/>
      <c r="AP31" s="256" t="str">
        <f t="shared" si="16"/>
        <v/>
      </c>
      <c r="AQ31" s="203">
        <v>22</v>
      </c>
      <c r="AR31" s="195" t="str">
        <f t="shared" si="5"/>
        <v/>
      </c>
      <c r="AS31" s="195" t="str">
        <v/>
      </c>
      <c r="AT31" s="205" t="str">
        <v/>
      </c>
      <c r="AU31" s="213"/>
      <c r="AV31" s="197" t="str">
        <f t="shared" si="17"/>
        <v/>
      </c>
      <c r="AW31" s="203">
        <v>22</v>
      </c>
      <c r="AX31" s="195" t="str">
        <f t="shared" si="6"/>
        <v/>
      </c>
      <c r="AY31" s="195" t="str">
        <v/>
      </c>
      <c r="AZ31" s="205" t="str">
        <v/>
      </c>
      <c r="BA31" s="242"/>
      <c r="BB31" s="197" t="str">
        <f t="shared" si="18"/>
        <v/>
      </c>
      <c r="BC31" s="203">
        <v>22</v>
      </c>
      <c r="BD31" s="195" t="str">
        <f t="shared" si="7"/>
        <v/>
      </c>
      <c r="BE31" s="195" t="str">
        <v/>
      </c>
      <c r="BF31" s="205" t="str">
        <v/>
      </c>
      <c r="BG31" s="242"/>
      <c r="BH31" s="197" t="str">
        <f t="shared" si="19"/>
        <v/>
      </c>
      <c r="BI31" s="203">
        <v>22</v>
      </c>
      <c r="BJ31" s="195" t="str">
        <f t="shared" si="8"/>
        <v/>
      </c>
      <c r="BK31" s="195" t="str">
        <v/>
      </c>
      <c r="BL31" s="205" t="str">
        <v/>
      </c>
      <c r="BM31" s="242"/>
      <c r="BN31" s="197" t="str">
        <f t="shared" si="20"/>
        <v/>
      </c>
      <c r="BO31" s="203">
        <v>22</v>
      </c>
      <c r="BP31" s="195" t="str">
        <f t="shared" si="9"/>
        <v/>
      </c>
      <c r="BQ31" s="195" t="str">
        <v/>
      </c>
      <c r="BR31" s="205" t="str">
        <v/>
      </c>
      <c r="BS31" s="242"/>
      <c r="BT31" s="197" t="str">
        <f t="shared" si="21"/>
        <v/>
      </c>
    </row>
    <row r="32" spans="1:72">
      <c r="A32" s="203">
        <v>23</v>
      </c>
      <c r="B32" s="195" t="str">
        <f t="shared" si="0"/>
        <v/>
      </c>
      <c r="C32" s="195" t="str">
        <v/>
      </c>
      <c r="D32" s="205" t="str">
        <v/>
      </c>
      <c r="E32" s="213"/>
      <c r="F32" s="197" t="str">
        <f t="shared" si="10"/>
        <v/>
      </c>
      <c r="G32" s="203">
        <v>23</v>
      </c>
      <c r="H32" s="195" t="str">
        <f t="shared" si="1"/>
        <v/>
      </c>
      <c r="I32" s="195" t="str">
        <v/>
      </c>
      <c r="J32" s="205" t="str">
        <v/>
      </c>
      <c r="K32" s="242"/>
      <c r="L32" s="197" t="str">
        <f t="shared" si="11"/>
        <v/>
      </c>
      <c r="M32" s="203">
        <v>23</v>
      </c>
      <c r="N32" s="195" t="str">
        <f t="shared" si="2"/>
        <v/>
      </c>
      <c r="O32" s="195" t="str">
        <v/>
      </c>
      <c r="P32" s="205" t="str">
        <v/>
      </c>
      <c r="Q32" s="213"/>
      <c r="R32" s="197" t="str">
        <f t="shared" si="12"/>
        <v/>
      </c>
      <c r="S32" s="203">
        <v>23</v>
      </c>
      <c r="T32" s="195" t="str">
        <f t="shared" si="3"/>
        <v/>
      </c>
      <c r="U32" s="195" t="str">
        <v/>
      </c>
      <c r="V32" s="205" t="str">
        <v/>
      </c>
      <c r="W32" s="213"/>
      <c r="X32" s="197" t="str">
        <f t="shared" si="13"/>
        <v/>
      </c>
      <c r="Y32" s="203">
        <v>23</v>
      </c>
      <c r="Z32" s="195"/>
      <c r="AA32" s="195"/>
      <c r="AB32" s="205"/>
      <c r="AC32" s="213"/>
      <c r="AD32" s="197" t="str">
        <f t="shared" si="14"/>
        <v/>
      </c>
      <c r="AE32" s="203">
        <v>23</v>
      </c>
      <c r="AF32" s="195" t="str">
        <f t="shared" si="4"/>
        <v/>
      </c>
      <c r="AG32" s="195" t="str">
        <v/>
      </c>
      <c r="AH32" s="205" t="str">
        <v/>
      </c>
      <c r="AI32" s="213"/>
      <c r="AJ32" s="197" t="str">
        <f t="shared" si="15"/>
        <v/>
      </c>
      <c r="AK32" s="203">
        <v>23</v>
      </c>
      <c r="AL32" s="198"/>
      <c r="AM32" s="195"/>
      <c r="AN32" s="196"/>
      <c r="AO32" s="254"/>
      <c r="AP32" s="256" t="str">
        <f t="shared" si="16"/>
        <v/>
      </c>
      <c r="AQ32" s="203">
        <v>23</v>
      </c>
      <c r="AR32" s="195" t="str">
        <f t="shared" si="5"/>
        <v/>
      </c>
      <c r="AS32" s="195" t="str">
        <v/>
      </c>
      <c r="AT32" s="205" t="str">
        <v/>
      </c>
      <c r="AU32" s="213"/>
      <c r="AV32" s="197" t="str">
        <f t="shared" si="17"/>
        <v/>
      </c>
      <c r="AW32" s="203">
        <v>23</v>
      </c>
      <c r="AX32" s="195" t="str">
        <f t="shared" si="6"/>
        <v/>
      </c>
      <c r="AY32" s="195" t="str">
        <v/>
      </c>
      <c r="AZ32" s="205" t="str">
        <v/>
      </c>
      <c r="BA32" s="242"/>
      <c r="BB32" s="197" t="str">
        <f t="shared" si="18"/>
        <v/>
      </c>
      <c r="BC32" s="203">
        <v>23</v>
      </c>
      <c r="BD32" s="195" t="str">
        <f t="shared" si="7"/>
        <v/>
      </c>
      <c r="BE32" s="195" t="str">
        <v/>
      </c>
      <c r="BF32" s="205" t="str">
        <v/>
      </c>
      <c r="BG32" s="242"/>
      <c r="BH32" s="197" t="str">
        <f t="shared" si="19"/>
        <v/>
      </c>
      <c r="BI32" s="203">
        <v>23</v>
      </c>
      <c r="BJ32" s="195" t="str">
        <f t="shared" si="8"/>
        <v/>
      </c>
      <c r="BK32" s="195" t="str">
        <v/>
      </c>
      <c r="BL32" s="205" t="str">
        <v/>
      </c>
      <c r="BM32" s="242"/>
      <c r="BN32" s="197" t="str">
        <f t="shared" si="20"/>
        <v/>
      </c>
      <c r="BO32" s="203">
        <v>23</v>
      </c>
      <c r="BP32" s="195" t="str">
        <f t="shared" si="9"/>
        <v/>
      </c>
      <c r="BQ32" s="195" t="str">
        <v/>
      </c>
      <c r="BR32" s="205" t="str">
        <v/>
      </c>
      <c r="BS32" s="242"/>
      <c r="BT32" s="197" t="str">
        <f t="shared" si="21"/>
        <v/>
      </c>
    </row>
    <row r="33" spans="1:72">
      <c r="A33" s="203">
        <v>24</v>
      </c>
      <c r="B33" s="195" t="str">
        <f t="shared" si="0"/>
        <v/>
      </c>
      <c r="C33" s="195" t="str">
        <v/>
      </c>
      <c r="D33" s="205" t="str">
        <v/>
      </c>
      <c r="E33" s="213"/>
      <c r="F33" s="197" t="str">
        <f t="shared" si="10"/>
        <v/>
      </c>
      <c r="G33" s="203">
        <v>24</v>
      </c>
      <c r="H33" s="195" t="str">
        <f t="shared" si="1"/>
        <v/>
      </c>
      <c r="I33" s="195" t="str">
        <v/>
      </c>
      <c r="J33" s="205" t="str">
        <v/>
      </c>
      <c r="K33" s="242"/>
      <c r="L33" s="197" t="str">
        <f t="shared" si="11"/>
        <v/>
      </c>
      <c r="M33" s="203">
        <v>24</v>
      </c>
      <c r="N33" s="195" t="str">
        <f t="shared" si="2"/>
        <v/>
      </c>
      <c r="O33" s="195" t="str">
        <v/>
      </c>
      <c r="P33" s="205" t="str">
        <v/>
      </c>
      <c r="Q33" s="213"/>
      <c r="R33" s="197" t="str">
        <f t="shared" si="12"/>
        <v/>
      </c>
      <c r="S33" s="203">
        <v>24</v>
      </c>
      <c r="T33" s="195" t="str">
        <f t="shared" si="3"/>
        <v/>
      </c>
      <c r="U33" s="195" t="str">
        <v/>
      </c>
      <c r="V33" s="205" t="str">
        <v/>
      </c>
      <c r="W33" s="213"/>
      <c r="X33" s="197" t="str">
        <f t="shared" si="13"/>
        <v/>
      </c>
      <c r="Y33" s="203">
        <v>24</v>
      </c>
      <c r="Z33" s="195"/>
      <c r="AA33" s="195"/>
      <c r="AB33" s="205"/>
      <c r="AC33" s="213"/>
      <c r="AD33" s="197" t="str">
        <f t="shared" si="14"/>
        <v/>
      </c>
      <c r="AE33" s="203">
        <v>24</v>
      </c>
      <c r="AF33" s="195" t="str">
        <f t="shared" si="4"/>
        <v/>
      </c>
      <c r="AG33" s="195" t="str">
        <v/>
      </c>
      <c r="AH33" s="205" t="str">
        <v/>
      </c>
      <c r="AI33" s="213"/>
      <c r="AJ33" s="197" t="str">
        <f t="shared" si="15"/>
        <v/>
      </c>
      <c r="AK33" s="203">
        <v>24</v>
      </c>
      <c r="AL33" s="198"/>
      <c r="AM33" s="195"/>
      <c r="AN33" s="196"/>
      <c r="AO33" s="254"/>
      <c r="AP33" s="256" t="str">
        <f t="shared" si="16"/>
        <v/>
      </c>
      <c r="AQ33" s="203">
        <v>24</v>
      </c>
      <c r="AR33" s="195" t="str">
        <f t="shared" si="5"/>
        <v/>
      </c>
      <c r="AS33" s="195" t="str">
        <v/>
      </c>
      <c r="AT33" s="205" t="str">
        <v/>
      </c>
      <c r="AU33" s="213"/>
      <c r="AV33" s="197" t="str">
        <f t="shared" si="17"/>
        <v/>
      </c>
      <c r="AW33" s="203">
        <v>24</v>
      </c>
      <c r="AX33" s="195" t="str">
        <f t="shared" si="6"/>
        <v/>
      </c>
      <c r="AY33" s="195" t="str">
        <v/>
      </c>
      <c r="AZ33" s="205" t="str">
        <v/>
      </c>
      <c r="BA33" s="242"/>
      <c r="BB33" s="197" t="str">
        <f t="shared" si="18"/>
        <v/>
      </c>
      <c r="BC33" s="203">
        <v>24</v>
      </c>
      <c r="BD33" s="195" t="str">
        <f t="shared" si="7"/>
        <v/>
      </c>
      <c r="BE33" s="195" t="str">
        <v/>
      </c>
      <c r="BF33" s="205" t="str">
        <v/>
      </c>
      <c r="BG33" s="242"/>
      <c r="BH33" s="197" t="str">
        <f t="shared" si="19"/>
        <v/>
      </c>
      <c r="BI33" s="203">
        <v>24</v>
      </c>
      <c r="BJ33" s="195" t="str">
        <f t="shared" si="8"/>
        <v/>
      </c>
      <c r="BK33" s="195" t="str">
        <v/>
      </c>
      <c r="BL33" s="205" t="str">
        <v/>
      </c>
      <c r="BM33" s="242"/>
      <c r="BN33" s="197" t="str">
        <f t="shared" si="20"/>
        <v/>
      </c>
      <c r="BO33" s="203">
        <v>24</v>
      </c>
      <c r="BP33" s="195" t="str">
        <f t="shared" si="9"/>
        <v/>
      </c>
      <c r="BQ33" s="195" t="str">
        <v/>
      </c>
      <c r="BR33" s="205" t="str">
        <v/>
      </c>
      <c r="BS33" s="242"/>
      <c r="BT33" s="197" t="str">
        <f t="shared" si="21"/>
        <v/>
      </c>
    </row>
    <row r="34" spans="1:72">
      <c r="A34" s="203">
        <v>25</v>
      </c>
      <c r="B34" s="195" t="str">
        <f t="shared" si="0"/>
        <v/>
      </c>
      <c r="C34" s="195" t="str">
        <v/>
      </c>
      <c r="D34" s="205" t="str">
        <v/>
      </c>
      <c r="E34" s="213"/>
      <c r="F34" s="197" t="str">
        <f t="shared" si="10"/>
        <v/>
      </c>
      <c r="G34" s="203">
        <v>25</v>
      </c>
      <c r="H34" s="195" t="str">
        <f t="shared" si="1"/>
        <v/>
      </c>
      <c r="I34" s="195" t="str">
        <v/>
      </c>
      <c r="J34" s="205" t="str">
        <v/>
      </c>
      <c r="K34" s="242"/>
      <c r="L34" s="197" t="str">
        <f t="shared" si="11"/>
        <v/>
      </c>
      <c r="M34" s="203">
        <v>25</v>
      </c>
      <c r="N34" s="195" t="str">
        <f t="shared" si="2"/>
        <v/>
      </c>
      <c r="O34" s="195" t="str">
        <v/>
      </c>
      <c r="P34" s="205" t="str">
        <v/>
      </c>
      <c r="Q34" s="213"/>
      <c r="R34" s="197" t="str">
        <f t="shared" si="12"/>
        <v/>
      </c>
      <c r="S34" s="203">
        <v>25</v>
      </c>
      <c r="T34" s="195" t="str">
        <f t="shared" si="3"/>
        <v/>
      </c>
      <c r="U34" s="195" t="str">
        <v/>
      </c>
      <c r="V34" s="205" t="str">
        <v/>
      </c>
      <c r="W34" s="213"/>
      <c r="X34" s="197" t="str">
        <f t="shared" si="13"/>
        <v/>
      </c>
      <c r="Y34" s="203">
        <v>25</v>
      </c>
      <c r="Z34" s="195"/>
      <c r="AA34" s="195"/>
      <c r="AB34" s="205"/>
      <c r="AC34" s="213"/>
      <c r="AD34" s="197" t="str">
        <f t="shared" si="14"/>
        <v/>
      </c>
      <c r="AE34" s="203">
        <v>25</v>
      </c>
      <c r="AF34" s="195" t="str">
        <f t="shared" si="4"/>
        <v/>
      </c>
      <c r="AG34" s="195" t="str">
        <v/>
      </c>
      <c r="AH34" s="205" t="str">
        <v/>
      </c>
      <c r="AI34" s="213"/>
      <c r="AJ34" s="197" t="str">
        <f t="shared" si="15"/>
        <v/>
      </c>
      <c r="AK34" s="203">
        <v>25</v>
      </c>
      <c r="AL34" s="198"/>
      <c r="AM34" s="195"/>
      <c r="AN34" s="196"/>
      <c r="AO34" s="254"/>
      <c r="AP34" s="256" t="str">
        <f t="shared" si="16"/>
        <v/>
      </c>
      <c r="AQ34" s="203">
        <v>25</v>
      </c>
      <c r="AR34" s="195" t="str">
        <f t="shared" si="5"/>
        <v/>
      </c>
      <c r="AS34" s="195" t="str">
        <v/>
      </c>
      <c r="AT34" s="205" t="str">
        <v/>
      </c>
      <c r="AU34" s="213"/>
      <c r="AV34" s="197" t="str">
        <f t="shared" si="17"/>
        <v/>
      </c>
      <c r="AW34" s="203">
        <v>25</v>
      </c>
      <c r="AX34" s="195" t="str">
        <f t="shared" si="6"/>
        <v/>
      </c>
      <c r="AY34" s="195" t="str">
        <v/>
      </c>
      <c r="AZ34" s="205" t="str">
        <v/>
      </c>
      <c r="BA34" s="242"/>
      <c r="BB34" s="197" t="str">
        <f t="shared" si="18"/>
        <v/>
      </c>
      <c r="BC34" s="203">
        <v>25</v>
      </c>
      <c r="BD34" s="195" t="str">
        <f t="shared" si="7"/>
        <v/>
      </c>
      <c r="BE34" s="195" t="str">
        <v/>
      </c>
      <c r="BF34" s="205" t="str">
        <v/>
      </c>
      <c r="BG34" s="242"/>
      <c r="BH34" s="197" t="str">
        <f t="shared" si="19"/>
        <v/>
      </c>
      <c r="BI34" s="203">
        <v>25</v>
      </c>
      <c r="BJ34" s="195" t="str">
        <f t="shared" si="8"/>
        <v/>
      </c>
      <c r="BK34" s="195" t="str">
        <v/>
      </c>
      <c r="BL34" s="205" t="str">
        <v/>
      </c>
      <c r="BM34" s="242"/>
      <c r="BN34" s="197" t="str">
        <f t="shared" si="20"/>
        <v/>
      </c>
      <c r="BO34" s="203">
        <v>25</v>
      </c>
      <c r="BP34" s="195" t="str">
        <f t="shared" si="9"/>
        <v/>
      </c>
      <c r="BQ34" s="195" t="str">
        <v/>
      </c>
      <c r="BR34" s="205" t="str">
        <v/>
      </c>
      <c r="BS34" s="242"/>
      <c r="BT34" s="197" t="str">
        <f t="shared" si="21"/>
        <v/>
      </c>
    </row>
    <row r="35" spans="1:72">
      <c r="A35" s="203">
        <v>26</v>
      </c>
      <c r="B35" s="195" t="str">
        <f t="shared" si="0"/>
        <v/>
      </c>
      <c r="C35" s="195" t="str">
        <v/>
      </c>
      <c r="D35" s="205" t="str">
        <v/>
      </c>
      <c r="E35" s="213"/>
      <c r="F35" s="197" t="str">
        <f t="shared" si="10"/>
        <v/>
      </c>
      <c r="G35" s="203">
        <v>26</v>
      </c>
      <c r="H35" s="195" t="str">
        <f t="shared" si="1"/>
        <v/>
      </c>
      <c r="I35" s="195" t="str">
        <v/>
      </c>
      <c r="J35" s="205" t="str">
        <v/>
      </c>
      <c r="K35" s="242"/>
      <c r="L35" s="197" t="str">
        <f t="shared" si="11"/>
        <v/>
      </c>
      <c r="M35" s="203">
        <v>26</v>
      </c>
      <c r="N35" s="195" t="str">
        <f t="shared" si="2"/>
        <v/>
      </c>
      <c r="O35" s="195" t="str">
        <v/>
      </c>
      <c r="P35" s="205" t="str">
        <v/>
      </c>
      <c r="Q35" s="213"/>
      <c r="R35" s="197" t="str">
        <f t="shared" si="12"/>
        <v/>
      </c>
      <c r="S35" s="203">
        <v>26</v>
      </c>
      <c r="T35" s="195" t="str">
        <f t="shared" si="3"/>
        <v/>
      </c>
      <c r="U35" s="195" t="str">
        <v/>
      </c>
      <c r="V35" s="205" t="str">
        <v/>
      </c>
      <c r="W35" s="213"/>
      <c r="X35" s="197" t="str">
        <f t="shared" si="13"/>
        <v/>
      </c>
      <c r="Y35" s="203">
        <v>26</v>
      </c>
      <c r="Z35" s="195"/>
      <c r="AA35" s="195"/>
      <c r="AB35" s="205"/>
      <c r="AC35" s="213"/>
      <c r="AD35" s="197" t="str">
        <f t="shared" si="14"/>
        <v/>
      </c>
      <c r="AE35" s="203">
        <v>26</v>
      </c>
      <c r="AF35" s="195" t="str">
        <f t="shared" si="4"/>
        <v/>
      </c>
      <c r="AG35" s="195" t="str">
        <v/>
      </c>
      <c r="AH35" s="205" t="str">
        <v/>
      </c>
      <c r="AI35" s="213"/>
      <c r="AJ35" s="197" t="str">
        <f t="shared" si="15"/>
        <v/>
      </c>
      <c r="AK35" s="203">
        <v>26</v>
      </c>
      <c r="AL35" s="198"/>
      <c r="AM35" s="195"/>
      <c r="AN35" s="196"/>
      <c r="AO35" s="254"/>
      <c r="AP35" s="256" t="str">
        <f t="shared" si="16"/>
        <v/>
      </c>
      <c r="AQ35" s="203">
        <v>26</v>
      </c>
      <c r="AR35" s="195" t="str">
        <f t="shared" si="5"/>
        <v/>
      </c>
      <c r="AS35" s="195" t="str">
        <v/>
      </c>
      <c r="AT35" s="205" t="str">
        <v/>
      </c>
      <c r="AU35" s="213"/>
      <c r="AV35" s="197" t="str">
        <f t="shared" si="17"/>
        <v/>
      </c>
      <c r="AW35" s="203">
        <v>26</v>
      </c>
      <c r="AX35" s="195" t="str">
        <f t="shared" si="6"/>
        <v/>
      </c>
      <c r="AY35" s="195" t="str">
        <v/>
      </c>
      <c r="AZ35" s="205" t="str">
        <v/>
      </c>
      <c r="BA35" s="242"/>
      <c r="BB35" s="197" t="str">
        <f t="shared" si="18"/>
        <v/>
      </c>
      <c r="BC35" s="203">
        <v>26</v>
      </c>
      <c r="BD35" s="195" t="str">
        <f t="shared" si="7"/>
        <v/>
      </c>
      <c r="BE35" s="195" t="str">
        <v/>
      </c>
      <c r="BF35" s="205" t="str">
        <v/>
      </c>
      <c r="BG35" s="242"/>
      <c r="BH35" s="197" t="str">
        <f t="shared" si="19"/>
        <v/>
      </c>
      <c r="BI35" s="203">
        <v>26</v>
      </c>
      <c r="BJ35" s="195" t="str">
        <f t="shared" si="8"/>
        <v/>
      </c>
      <c r="BK35" s="195" t="str">
        <v/>
      </c>
      <c r="BL35" s="205" t="str">
        <v/>
      </c>
      <c r="BM35" s="242"/>
      <c r="BN35" s="197" t="str">
        <f t="shared" si="20"/>
        <v/>
      </c>
      <c r="BO35" s="203">
        <v>26</v>
      </c>
      <c r="BP35" s="195" t="str">
        <f t="shared" si="9"/>
        <v/>
      </c>
      <c r="BQ35" s="195" t="str">
        <v/>
      </c>
      <c r="BR35" s="205" t="str">
        <v/>
      </c>
      <c r="BS35" s="242"/>
      <c r="BT35" s="197" t="str">
        <f t="shared" si="21"/>
        <v/>
      </c>
    </row>
    <row r="36" spans="1:72">
      <c r="A36" s="203">
        <v>27</v>
      </c>
      <c r="B36" s="195" t="str">
        <f t="shared" si="0"/>
        <v/>
      </c>
      <c r="C36" s="195" t="str">
        <v/>
      </c>
      <c r="D36" s="205" t="str">
        <v/>
      </c>
      <c r="E36" s="213"/>
      <c r="F36" s="197" t="str">
        <f t="shared" si="10"/>
        <v/>
      </c>
      <c r="G36" s="203">
        <v>27</v>
      </c>
      <c r="H36" s="195" t="str">
        <f t="shared" si="1"/>
        <v/>
      </c>
      <c r="I36" s="195" t="str">
        <v/>
      </c>
      <c r="J36" s="205" t="str">
        <v/>
      </c>
      <c r="K36" s="242"/>
      <c r="L36" s="197" t="str">
        <f t="shared" si="11"/>
        <v/>
      </c>
      <c r="M36" s="203">
        <v>27</v>
      </c>
      <c r="N36" s="195" t="str">
        <f t="shared" si="2"/>
        <v/>
      </c>
      <c r="O36" s="195" t="str">
        <v/>
      </c>
      <c r="P36" s="205" t="str">
        <v/>
      </c>
      <c r="Q36" s="213"/>
      <c r="R36" s="197" t="str">
        <f t="shared" si="12"/>
        <v/>
      </c>
      <c r="S36" s="203">
        <v>27</v>
      </c>
      <c r="T36" s="195" t="str">
        <f t="shared" si="3"/>
        <v/>
      </c>
      <c r="U36" s="195" t="str">
        <v/>
      </c>
      <c r="V36" s="205" t="str">
        <v/>
      </c>
      <c r="W36" s="213"/>
      <c r="X36" s="197" t="str">
        <f t="shared" si="13"/>
        <v/>
      </c>
      <c r="Y36" s="203">
        <v>27</v>
      </c>
      <c r="Z36" s="195"/>
      <c r="AA36" s="195"/>
      <c r="AB36" s="205"/>
      <c r="AC36" s="213"/>
      <c r="AD36" s="197" t="str">
        <f t="shared" si="14"/>
        <v/>
      </c>
      <c r="AE36" s="203">
        <v>27</v>
      </c>
      <c r="AF36" s="195" t="str">
        <f t="shared" si="4"/>
        <v/>
      </c>
      <c r="AG36" s="195" t="str">
        <v/>
      </c>
      <c r="AH36" s="205" t="str">
        <v/>
      </c>
      <c r="AI36" s="213"/>
      <c r="AJ36" s="197" t="str">
        <f t="shared" si="15"/>
        <v/>
      </c>
      <c r="AK36" s="203">
        <v>27</v>
      </c>
      <c r="AL36" s="198"/>
      <c r="AM36" s="195"/>
      <c r="AN36" s="196"/>
      <c r="AO36" s="254"/>
      <c r="AP36" s="256" t="str">
        <f t="shared" si="16"/>
        <v/>
      </c>
      <c r="AQ36" s="203">
        <v>27</v>
      </c>
      <c r="AR36" s="195" t="str">
        <f t="shared" si="5"/>
        <v/>
      </c>
      <c r="AS36" s="195" t="str">
        <v/>
      </c>
      <c r="AT36" s="205" t="str">
        <v/>
      </c>
      <c r="AU36" s="213"/>
      <c r="AV36" s="197" t="str">
        <f t="shared" si="17"/>
        <v/>
      </c>
      <c r="AW36" s="203">
        <v>27</v>
      </c>
      <c r="AX36" s="195" t="str">
        <f t="shared" si="6"/>
        <v/>
      </c>
      <c r="AY36" s="195" t="str">
        <v/>
      </c>
      <c r="AZ36" s="205" t="str">
        <v/>
      </c>
      <c r="BA36" s="242"/>
      <c r="BB36" s="197" t="str">
        <f t="shared" si="18"/>
        <v/>
      </c>
      <c r="BC36" s="203">
        <v>27</v>
      </c>
      <c r="BD36" s="195" t="str">
        <f t="shared" si="7"/>
        <v/>
      </c>
      <c r="BE36" s="195" t="str">
        <v/>
      </c>
      <c r="BF36" s="205" t="str">
        <v/>
      </c>
      <c r="BG36" s="242"/>
      <c r="BH36" s="197" t="str">
        <f t="shared" si="19"/>
        <v/>
      </c>
      <c r="BI36" s="203">
        <v>27</v>
      </c>
      <c r="BJ36" s="195" t="str">
        <f t="shared" si="8"/>
        <v/>
      </c>
      <c r="BK36" s="195" t="str">
        <v/>
      </c>
      <c r="BL36" s="205" t="str">
        <v/>
      </c>
      <c r="BM36" s="242"/>
      <c r="BN36" s="197" t="str">
        <f t="shared" si="20"/>
        <v/>
      </c>
      <c r="BO36" s="203">
        <v>27</v>
      </c>
      <c r="BP36" s="195" t="str">
        <f t="shared" si="9"/>
        <v/>
      </c>
      <c r="BQ36" s="195" t="str">
        <v/>
      </c>
      <c r="BR36" s="205" t="str">
        <v/>
      </c>
      <c r="BS36" s="242"/>
      <c r="BT36" s="197" t="str">
        <f t="shared" si="21"/>
        <v/>
      </c>
    </row>
    <row r="37" spans="1:72">
      <c r="A37" s="203">
        <v>28</v>
      </c>
      <c r="B37" s="195" t="str">
        <f t="shared" si="0"/>
        <v/>
      </c>
      <c r="C37" s="195" t="str">
        <v/>
      </c>
      <c r="D37" s="205" t="str">
        <v/>
      </c>
      <c r="E37" s="213"/>
      <c r="F37" s="197" t="str">
        <f t="shared" si="10"/>
        <v/>
      </c>
      <c r="G37" s="203">
        <v>28</v>
      </c>
      <c r="H37" s="195" t="str">
        <f t="shared" si="1"/>
        <v/>
      </c>
      <c r="I37" s="195" t="str">
        <v/>
      </c>
      <c r="J37" s="205" t="str">
        <v/>
      </c>
      <c r="K37" s="242"/>
      <c r="L37" s="197" t="str">
        <f t="shared" si="11"/>
        <v/>
      </c>
      <c r="M37" s="203">
        <v>28</v>
      </c>
      <c r="N37" s="195" t="str">
        <f t="shared" si="2"/>
        <v/>
      </c>
      <c r="O37" s="195" t="str">
        <v/>
      </c>
      <c r="P37" s="205" t="str">
        <v/>
      </c>
      <c r="Q37" s="213"/>
      <c r="R37" s="197" t="str">
        <f t="shared" si="12"/>
        <v/>
      </c>
      <c r="S37" s="203">
        <v>28</v>
      </c>
      <c r="T37" s="195" t="str">
        <f t="shared" si="3"/>
        <v/>
      </c>
      <c r="U37" s="195" t="str">
        <v/>
      </c>
      <c r="V37" s="205" t="str">
        <v/>
      </c>
      <c r="W37" s="213"/>
      <c r="X37" s="197" t="str">
        <f t="shared" si="13"/>
        <v/>
      </c>
      <c r="Y37" s="203">
        <v>28</v>
      </c>
      <c r="Z37" s="195"/>
      <c r="AA37" s="195"/>
      <c r="AB37" s="205"/>
      <c r="AC37" s="213"/>
      <c r="AD37" s="197" t="str">
        <f t="shared" si="14"/>
        <v/>
      </c>
      <c r="AE37" s="203">
        <v>28</v>
      </c>
      <c r="AF37" s="195" t="str">
        <f t="shared" si="4"/>
        <v/>
      </c>
      <c r="AG37" s="195" t="str">
        <v/>
      </c>
      <c r="AH37" s="205" t="str">
        <v/>
      </c>
      <c r="AI37" s="213"/>
      <c r="AJ37" s="197" t="str">
        <f t="shared" si="15"/>
        <v/>
      </c>
      <c r="AK37" s="203">
        <v>28</v>
      </c>
      <c r="AL37" s="198"/>
      <c r="AM37" s="195"/>
      <c r="AN37" s="196"/>
      <c r="AO37" s="254"/>
      <c r="AP37" s="256" t="str">
        <f t="shared" si="16"/>
        <v/>
      </c>
      <c r="AQ37" s="203">
        <v>28</v>
      </c>
      <c r="AR37" s="195" t="str">
        <f t="shared" si="5"/>
        <v/>
      </c>
      <c r="AS37" s="195" t="str">
        <v/>
      </c>
      <c r="AT37" s="205" t="str">
        <v/>
      </c>
      <c r="AU37" s="213"/>
      <c r="AV37" s="197" t="str">
        <f t="shared" si="17"/>
        <v/>
      </c>
      <c r="AW37" s="203">
        <v>28</v>
      </c>
      <c r="AX37" s="195" t="str">
        <f t="shared" si="6"/>
        <v/>
      </c>
      <c r="AY37" s="195" t="str">
        <v/>
      </c>
      <c r="AZ37" s="205" t="str">
        <v/>
      </c>
      <c r="BA37" s="242"/>
      <c r="BB37" s="197" t="str">
        <f t="shared" si="18"/>
        <v/>
      </c>
      <c r="BC37" s="203">
        <v>28</v>
      </c>
      <c r="BD37" s="195" t="str">
        <f t="shared" si="7"/>
        <v/>
      </c>
      <c r="BE37" s="195" t="str">
        <v/>
      </c>
      <c r="BF37" s="205" t="str">
        <v/>
      </c>
      <c r="BG37" s="242"/>
      <c r="BH37" s="197" t="str">
        <f t="shared" si="19"/>
        <v/>
      </c>
      <c r="BI37" s="203">
        <v>28</v>
      </c>
      <c r="BJ37" s="195" t="str">
        <f t="shared" si="8"/>
        <v/>
      </c>
      <c r="BK37" s="195" t="str">
        <v/>
      </c>
      <c r="BL37" s="205" t="str">
        <v/>
      </c>
      <c r="BM37" s="242"/>
      <c r="BN37" s="197" t="str">
        <f t="shared" si="20"/>
        <v/>
      </c>
      <c r="BO37" s="203">
        <v>28</v>
      </c>
      <c r="BP37" s="195" t="str">
        <f t="shared" si="9"/>
        <v/>
      </c>
      <c r="BQ37" s="195" t="str">
        <v/>
      </c>
      <c r="BR37" s="205" t="str">
        <v/>
      </c>
      <c r="BS37" s="242"/>
      <c r="BT37" s="197" t="str">
        <f t="shared" si="21"/>
        <v/>
      </c>
    </row>
    <row r="38" spans="1:72">
      <c r="A38" s="203">
        <v>29</v>
      </c>
      <c r="B38" s="195" t="str">
        <f t="shared" si="0"/>
        <v/>
      </c>
      <c r="C38" s="195" t="str">
        <v/>
      </c>
      <c r="D38" s="205" t="str">
        <v/>
      </c>
      <c r="E38" s="213"/>
      <c r="F38" s="197" t="str">
        <f t="shared" si="10"/>
        <v/>
      </c>
      <c r="G38" s="203">
        <v>29</v>
      </c>
      <c r="H38" s="195" t="str">
        <f t="shared" si="1"/>
        <v/>
      </c>
      <c r="I38" s="195" t="str">
        <v/>
      </c>
      <c r="J38" s="205" t="str">
        <v/>
      </c>
      <c r="K38" s="242"/>
      <c r="L38" s="197" t="str">
        <f t="shared" si="11"/>
        <v/>
      </c>
      <c r="M38" s="203">
        <v>29</v>
      </c>
      <c r="N38" s="195" t="str">
        <f t="shared" si="2"/>
        <v/>
      </c>
      <c r="O38" s="195" t="str">
        <v/>
      </c>
      <c r="P38" s="205" t="str">
        <v/>
      </c>
      <c r="Q38" s="213"/>
      <c r="R38" s="197" t="str">
        <f t="shared" si="12"/>
        <v/>
      </c>
      <c r="S38" s="203">
        <v>29</v>
      </c>
      <c r="T38" s="195" t="str">
        <f t="shared" si="3"/>
        <v/>
      </c>
      <c r="U38" s="195" t="str">
        <v/>
      </c>
      <c r="V38" s="205" t="str">
        <v/>
      </c>
      <c r="W38" s="213"/>
      <c r="X38" s="197" t="str">
        <f t="shared" si="13"/>
        <v/>
      </c>
      <c r="Y38" s="203">
        <v>29</v>
      </c>
      <c r="Z38" s="195"/>
      <c r="AA38" s="195"/>
      <c r="AB38" s="205"/>
      <c r="AC38" s="213"/>
      <c r="AD38" s="197" t="str">
        <f t="shared" si="14"/>
        <v/>
      </c>
      <c r="AE38" s="203">
        <v>29</v>
      </c>
      <c r="AF38" s="195" t="str">
        <f t="shared" si="4"/>
        <v/>
      </c>
      <c r="AG38" s="195" t="str">
        <v/>
      </c>
      <c r="AH38" s="205" t="str">
        <v/>
      </c>
      <c r="AI38" s="213"/>
      <c r="AJ38" s="197" t="str">
        <f t="shared" si="15"/>
        <v/>
      </c>
      <c r="AK38" s="203">
        <v>29</v>
      </c>
      <c r="AL38" s="198"/>
      <c r="AM38" s="195"/>
      <c r="AN38" s="196"/>
      <c r="AO38" s="254"/>
      <c r="AP38" s="256" t="str">
        <f t="shared" si="16"/>
        <v/>
      </c>
      <c r="AQ38" s="203">
        <v>29</v>
      </c>
      <c r="AR38" s="195" t="str">
        <f t="shared" si="5"/>
        <v/>
      </c>
      <c r="AS38" s="195" t="str">
        <v/>
      </c>
      <c r="AT38" s="205" t="str">
        <v/>
      </c>
      <c r="AU38" s="213"/>
      <c r="AV38" s="197" t="str">
        <f t="shared" si="17"/>
        <v/>
      </c>
      <c r="AW38" s="203">
        <v>29</v>
      </c>
      <c r="AX38" s="195" t="str">
        <f t="shared" si="6"/>
        <v/>
      </c>
      <c r="AY38" s="195" t="str">
        <v/>
      </c>
      <c r="AZ38" s="205" t="str">
        <v/>
      </c>
      <c r="BA38" s="242"/>
      <c r="BB38" s="197" t="str">
        <f t="shared" si="18"/>
        <v/>
      </c>
      <c r="BC38" s="203">
        <v>29</v>
      </c>
      <c r="BD38" s="195" t="str">
        <f t="shared" si="7"/>
        <v/>
      </c>
      <c r="BE38" s="195" t="str">
        <v/>
      </c>
      <c r="BF38" s="205" t="str">
        <v/>
      </c>
      <c r="BG38" s="242"/>
      <c r="BH38" s="197" t="str">
        <f t="shared" si="19"/>
        <v/>
      </c>
      <c r="BI38" s="203">
        <v>29</v>
      </c>
      <c r="BJ38" s="195" t="str">
        <f t="shared" si="8"/>
        <v/>
      </c>
      <c r="BK38" s="195" t="str">
        <v/>
      </c>
      <c r="BL38" s="205" t="str">
        <v/>
      </c>
      <c r="BM38" s="242"/>
      <c r="BN38" s="197" t="str">
        <f t="shared" si="20"/>
        <v/>
      </c>
      <c r="BO38" s="203">
        <v>29</v>
      </c>
      <c r="BP38" s="195" t="str">
        <f t="shared" si="9"/>
        <v/>
      </c>
      <c r="BQ38" s="195" t="str">
        <v/>
      </c>
      <c r="BR38" s="205" t="str">
        <v/>
      </c>
      <c r="BS38" s="242"/>
      <c r="BT38" s="197" t="str">
        <f t="shared" si="21"/>
        <v/>
      </c>
    </row>
    <row r="39" spans="1:72">
      <c r="A39" s="203">
        <v>30</v>
      </c>
      <c r="B39" s="195" t="str">
        <f t="shared" si="0"/>
        <v/>
      </c>
      <c r="C39" s="195" t="str">
        <v/>
      </c>
      <c r="D39" s="205" t="str">
        <v/>
      </c>
      <c r="E39" s="213"/>
      <c r="F39" s="197" t="str">
        <f t="shared" si="10"/>
        <v/>
      </c>
      <c r="G39" s="203">
        <v>30</v>
      </c>
      <c r="H39" s="195" t="str">
        <f t="shared" si="1"/>
        <v/>
      </c>
      <c r="I39" s="195" t="str">
        <v/>
      </c>
      <c r="J39" s="205" t="str">
        <v/>
      </c>
      <c r="K39" s="242"/>
      <c r="L39" s="197" t="str">
        <f t="shared" si="11"/>
        <v/>
      </c>
      <c r="M39" s="203">
        <v>30</v>
      </c>
      <c r="N39" s="195" t="str">
        <f t="shared" si="2"/>
        <v/>
      </c>
      <c r="O39" s="195" t="str">
        <v/>
      </c>
      <c r="P39" s="205" t="str">
        <v/>
      </c>
      <c r="Q39" s="213"/>
      <c r="R39" s="197" t="str">
        <f t="shared" si="12"/>
        <v/>
      </c>
      <c r="S39" s="203">
        <v>30</v>
      </c>
      <c r="T39" s="195" t="str">
        <f t="shared" si="3"/>
        <v/>
      </c>
      <c r="U39" s="195" t="str">
        <v/>
      </c>
      <c r="V39" s="205" t="str">
        <v/>
      </c>
      <c r="W39" s="213"/>
      <c r="X39" s="197" t="str">
        <f t="shared" si="13"/>
        <v/>
      </c>
      <c r="Y39" s="203">
        <v>30</v>
      </c>
      <c r="Z39" s="195"/>
      <c r="AA39" s="195"/>
      <c r="AB39" s="205"/>
      <c r="AC39" s="213"/>
      <c r="AD39" s="197" t="str">
        <f t="shared" si="14"/>
        <v/>
      </c>
      <c r="AE39" s="203">
        <v>30</v>
      </c>
      <c r="AF39" s="195" t="str">
        <f t="shared" si="4"/>
        <v/>
      </c>
      <c r="AG39" s="195" t="str">
        <v/>
      </c>
      <c r="AH39" s="205" t="str">
        <v/>
      </c>
      <c r="AI39" s="213"/>
      <c r="AJ39" s="197" t="str">
        <f t="shared" si="15"/>
        <v/>
      </c>
      <c r="AK39" s="203">
        <v>30</v>
      </c>
      <c r="AL39" s="198"/>
      <c r="AM39" s="195"/>
      <c r="AN39" s="196"/>
      <c r="AO39" s="254"/>
      <c r="AP39" s="256" t="str">
        <f t="shared" si="16"/>
        <v/>
      </c>
      <c r="AQ39" s="203">
        <v>30</v>
      </c>
      <c r="AR39" s="195" t="str">
        <f t="shared" si="5"/>
        <v/>
      </c>
      <c r="AS39" s="195" t="str">
        <v/>
      </c>
      <c r="AT39" s="205" t="str">
        <v/>
      </c>
      <c r="AU39" s="213"/>
      <c r="AV39" s="197" t="str">
        <f t="shared" si="17"/>
        <v/>
      </c>
      <c r="AW39" s="203">
        <v>30</v>
      </c>
      <c r="AX39" s="195" t="str">
        <f t="shared" si="6"/>
        <v/>
      </c>
      <c r="AY39" s="195" t="str">
        <v/>
      </c>
      <c r="AZ39" s="205" t="str">
        <v/>
      </c>
      <c r="BA39" s="242"/>
      <c r="BB39" s="197" t="str">
        <f t="shared" si="18"/>
        <v/>
      </c>
      <c r="BC39" s="203">
        <v>30</v>
      </c>
      <c r="BD39" s="195" t="str">
        <f t="shared" si="7"/>
        <v/>
      </c>
      <c r="BE39" s="195" t="str">
        <v/>
      </c>
      <c r="BF39" s="205" t="str">
        <v/>
      </c>
      <c r="BG39" s="242"/>
      <c r="BH39" s="197" t="str">
        <f t="shared" si="19"/>
        <v/>
      </c>
      <c r="BI39" s="203">
        <v>30</v>
      </c>
      <c r="BJ39" s="195" t="str">
        <f t="shared" si="8"/>
        <v/>
      </c>
      <c r="BK39" s="195" t="str">
        <v/>
      </c>
      <c r="BL39" s="205" t="str">
        <v/>
      </c>
      <c r="BM39" s="242"/>
      <c r="BN39" s="197" t="str">
        <f t="shared" si="20"/>
        <v/>
      </c>
      <c r="BO39" s="203">
        <v>30</v>
      </c>
      <c r="BP39" s="195" t="str">
        <f t="shared" si="9"/>
        <v/>
      </c>
      <c r="BQ39" s="195" t="str">
        <v/>
      </c>
      <c r="BR39" s="205" t="str">
        <v/>
      </c>
      <c r="BS39" s="242"/>
      <c r="BT39" s="197" t="str">
        <f t="shared" si="21"/>
        <v/>
      </c>
    </row>
    <row r="40" spans="1:72">
      <c r="A40" s="203">
        <v>31</v>
      </c>
      <c r="B40" s="195" t="str">
        <f t="shared" si="0"/>
        <v/>
      </c>
      <c r="C40" s="195" t="str">
        <v/>
      </c>
      <c r="D40" s="205" t="str">
        <v/>
      </c>
      <c r="E40" s="213"/>
      <c r="F40" s="197" t="str">
        <f t="shared" si="10"/>
        <v/>
      </c>
      <c r="G40" s="203">
        <v>31</v>
      </c>
      <c r="H40" s="195" t="str">
        <f t="shared" si="1"/>
        <v/>
      </c>
      <c r="I40" s="195" t="str">
        <v/>
      </c>
      <c r="J40" s="205" t="str">
        <v/>
      </c>
      <c r="K40" s="242"/>
      <c r="L40" s="197" t="str">
        <f t="shared" si="11"/>
        <v/>
      </c>
      <c r="M40" s="203">
        <v>31</v>
      </c>
      <c r="N40" s="195" t="str">
        <f t="shared" si="2"/>
        <v/>
      </c>
      <c r="O40" s="195" t="str">
        <v/>
      </c>
      <c r="P40" s="205" t="str">
        <v/>
      </c>
      <c r="Q40" s="213"/>
      <c r="R40" s="197" t="str">
        <f t="shared" si="12"/>
        <v/>
      </c>
      <c r="S40" s="203">
        <v>31</v>
      </c>
      <c r="T40" s="195" t="str">
        <f t="shared" si="3"/>
        <v/>
      </c>
      <c r="U40" s="195" t="str">
        <v/>
      </c>
      <c r="V40" s="205" t="str">
        <v/>
      </c>
      <c r="W40" s="213"/>
      <c r="X40" s="197" t="str">
        <f t="shared" si="13"/>
        <v/>
      </c>
      <c r="Y40" s="203">
        <v>31</v>
      </c>
      <c r="Z40" s="195"/>
      <c r="AA40" s="195"/>
      <c r="AB40" s="205"/>
      <c r="AC40" s="213"/>
      <c r="AD40" s="197" t="str">
        <f t="shared" si="14"/>
        <v/>
      </c>
      <c r="AE40" s="203">
        <v>31</v>
      </c>
      <c r="AF40" s="195" t="str">
        <f t="shared" si="4"/>
        <v/>
      </c>
      <c r="AG40" s="195" t="str">
        <v/>
      </c>
      <c r="AH40" s="205" t="str">
        <v/>
      </c>
      <c r="AI40" s="213"/>
      <c r="AJ40" s="197" t="str">
        <f t="shared" si="15"/>
        <v/>
      </c>
      <c r="AK40" s="203">
        <v>31</v>
      </c>
      <c r="AL40" s="198"/>
      <c r="AM40" s="195"/>
      <c r="AN40" s="196"/>
      <c r="AO40" s="254"/>
      <c r="AP40" s="256" t="str">
        <f t="shared" si="16"/>
        <v/>
      </c>
      <c r="AQ40" s="203">
        <v>31</v>
      </c>
      <c r="AR40" s="195" t="str">
        <f t="shared" si="5"/>
        <v/>
      </c>
      <c r="AS40" s="195" t="str">
        <v/>
      </c>
      <c r="AT40" s="205" t="str">
        <v/>
      </c>
      <c r="AU40" s="213"/>
      <c r="AV40" s="197" t="str">
        <f t="shared" si="17"/>
        <v/>
      </c>
      <c r="AW40" s="203">
        <v>31</v>
      </c>
      <c r="AX40" s="195" t="str">
        <f t="shared" si="6"/>
        <v/>
      </c>
      <c r="AY40" s="195" t="str">
        <v/>
      </c>
      <c r="AZ40" s="205" t="str">
        <v/>
      </c>
      <c r="BA40" s="242"/>
      <c r="BB40" s="197" t="str">
        <f t="shared" si="18"/>
        <v/>
      </c>
      <c r="BC40" s="203">
        <v>31</v>
      </c>
      <c r="BD40" s="195" t="str">
        <f t="shared" si="7"/>
        <v/>
      </c>
      <c r="BE40" s="195" t="str">
        <v/>
      </c>
      <c r="BF40" s="205" t="str">
        <v/>
      </c>
      <c r="BG40" s="242"/>
      <c r="BH40" s="197" t="str">
        <f t="shared" si="19"/>
        <v/>
      </c>
      <c r="BI40" s="203">
        <v>31</v>
      </c>
      <c r="BJ40" s="195" t="str">
        <f t="shared" si="8"/>
        <v/>
      </c>
      <c r="BK40" s="195" t="str">
        <v/>
      </c>
      <c r="BL40" s="205" t="str">
        <v/>
      </c>
      <c r="BM40" s="242"/>
      <c r="BN40" s="197" t="str">
        <f t="shared" si="20"/>
        <v/>
      </c>
      <c r="BO40" s="203">
        <v>31</v>
      </c>
      <c r="BP40" s="195" t="str">
        <f t="shared" si="9"/>
        <v/>
      </c>
      <c r="BQ40" s="195" t="str">
        <v/>
      </c>
      <c r="BR40" s="205" t="str">
        <v/>
      </c>
      <c r="BS40" s="242"/>
      <c r="BT40" s="197" t="str">
        <f t="shared" si="21"/>
        <v/>
      </c>
    </row>
    <row r="41" spans="1:72">
      <c r="A41" s="203">
        <v>32</v>
      </c>
      <c r="B41" s="195" t="str">
        <f t="shared" si="0"/>
        <v/>
      </c>
      <c r="C41" s="195" t="str">
        <v/>
      </c>
      <c r="D41" s="205" t="str">
        <v/>
      </c>
      <c r="E41" s="213"/>
      <c r="F41" s="197" t="str">
        <f t="shared" si="10"/>
        <v/>
      </c>
      <c r="G41" s="203">
        <v>32</v>
      </c>
      <c r="H41" s="195" t="str">
        <f t="shared" si="1"/>
        <v/>
      </c>
      <c r="I41" s="195" t="str">
        <v/>
      </c>
      <c r="J41" s="205" t="str">
        <v/>
      </c>
      <c r="K41" s="242"/>
      <c r="L41" s="197" t="str">
        <f t="shared" si="11"/>
        <v/>
      </c>
      <c r="M41" s="203">
        <v>32</v>
      </c>
      <c r="N41" s="195" t="str">
        <f t="shared" si="2"/>
        <v/>
      </c>
      <c r="O41" s="195" t="str">
        <v/>
      </c>
      <c r="P41" s="205" t="str">
        <v/>
      </c>
      <c r="Q41" s="213"/>
      <c r="R41" s="197" t="str">
        <f t="shared" si="12"/>
        <v/>
      </c>
      <c r="S41" s="203">
        <v>32</v>
      </c>
      <c r="T41" s="195" t="str">
        <f t="shared" si="3"/>
        <v/>
      </c>
      <c r="U41" s="195" t="str">
        <v/>
      </c>
      <c r="V41" s="205" t="str">
        <v/>
      </c>
      <c r="W41" s="213"/>
      <c r="X41" s="197" t="str">
        <f t="shared" si="13"/>
        <v/>
      </c>
      <c r="Y41" s="203">
        <v>32</v>
      </c>
      <c r="Z41" s="195"/>
      <c r="AA41" s="195"/>
      <c r="AB41" s="205"/>
      <c r="AC41" s="213"/>
      <c r="AD41" s="197" t="str">
        <f t="shared" si="14"/>
        <v/>
      </c>
      <c r="AE41" s="203">
        <v>32</v>
      </c>
      <c r="AF41" s="195" t="str">
        <f t="shared" si="4"/>
        <v/>
      </c>
      <c r="AG41" s="195" t="str">
        <v/>
      </c>
      <c r="AH41" s="205" t="str">
        <v/>
      </c>
      <c r="AI41" s="213"/>
      <c r="AJ41" s="197" t="str">
        <f t="shared" si="15"/>
        <v/>
      </c>
      <c r="AK41" s="203">
        <v>32</v>
      </c>
      <c r="AL41" s="198"/>
      <c r="AM41" s="195"/>
      <c r="AN41" s="196"/>
      <c r="AO41" s="254"/>
      <c r="AP41" s="256" t="str">
        <f t="shared" si="16"/>
        <v/>
      </c>
      <c r="AQ41" s="203">
        <v>32</v>
      </c>
      <c r="AR41" s="195" t="str">
        <f t="shared" si="5"/>
        <v/>
      </c>
      <c r="AS41" s="195" t="str">
        <v/>
      </c>
      <c r="AT41" s="205" t="str">
        <v/>
      </c>
      <c r="AU41" s="213"/>
      <c r="AV41" s="197" t="str">
        <f t="shared" si="17"/>
        <v/>
      </c>
      <c r="AW41" s="203">
        <v>32</v>
      </c>
      <c r="AX41" s="195" t="str">
        <f t="shared" si="6"/>
        <v/>
      </c>
      <c r="AY41" s="195" t="str">
        <v/>
      </c>
      <c r="AZ41" s="205" t="str">
        <v/>
      </c>
      <c r="BA41" s="242"/>
      <c r="BB41" s="197" t="str">
        <f t="shared" si="18"/>
        <v/>
      </c>
      <c r="BC41" s="203">
        <v>32</v>
      </c>
      <c r="BD41" s="195" t="str">
        <f t="shared" si="7"/>
        <v/>
      </c>
      <c r="BE41" s="195" t="str">
        <v/>
      </c>
      <c r="BF41" s="205" t="str">
        <v/>
      </c>
      <c r="BG41" s="242"/>
      <c r="BH41" s="197" t="str">
        <f t="shared" si="19"/>
        <v/>
      </c>
      <c r="BI41" s="203">
        <v>32</v>
      </c>
      <c r="BJ41" s="195" t="str">
        <f t="shared" si="8"/>
        <v/>
      </c>
      <c r="BK41" s="195" t="str">
        <v/>
      </c>
      <c r="BL41" s="205" t="str">
        <v/>
      </c>
      <c r="BM41" s="242"/>
      <c r="BN41" s="197" t="str">
        <f t="shared" si="20"/>
        <v/>
      </c>
      <c r="BO41" s="203">
        <v>32</v>
      </c>
      <c r="BP41" s="195" t="str">
        <f t="shared" si="9"/>
        <v/>
      </c>
      <c r="BQ41" s="195" t="str">
        <v/>
      </c>
      <c r="BR41" s="205" t="str">
        <v/>
      </c>
      <c r="BS41" s="242"/>
      <c r="BT41" s="197" t="str">
        <f t="shared" si="21"/>
        <v/>
      </c>
    </row>
    <row r="42" spans="1:72">
      <c r="A42" s="203">
        <v>33</v>
      </c>
      <c r="B42" s="195" t="str">
        <f t="shared" ref="B42:B73" si="22">IF(C42="","",VLOOKUP(C42,Instruments.OIS.GBP,6,0))</f>
        <v/>
      </c>
      <c r="C42" s="195" t="str">
        <v/>
      </c>
      <c r="D42" s="205" t="str">
        <v/>
      </c>
      <c r="E42" s="213"/>
      <c r="F42" s="197" t="str">
        <f t="shared" si="10"/>
        <v/>
      </c>
      <c r="G42" s="203">
        <v>33</v>
      </c>
      <c r="H42" s="195" t="str">
        <f t="shared" ref="H42:H73" si="23">IF(I42="","",VLOOKUP(I42,Instruments.OIS.GBP,6,0))</f>
        <v/>
      </c>
      <c r="I42" s="195" t="str">
        <v/>
      </c>
      <c r="J42" s="205" t="str">
        <v/>
      </c>
      <c r="K42" s="242"/>
      <c r="L42" s="197" t="str">
        <f t="shared" si="11"/>
        <v/>
      </c>
      <c r="M42" s="203">
        <v>33</v>
      </c>
      <c r="N42" s="195" t="str">
        <f t="shared" ref="N42:N73" si="24">IF(O42="","",VLOOKUP(O42,Instruments.OIS.GBP,6,0))</f>
        <v/>
      </c>
      <c r="O42" s="195" t="str">
        <v/>
      </c>
      <c r="P42" s="205" t="str">
        <v/>
      </c>
      <c r="Q42" s="213"/>
      <c r="R42" s="197" t="str">
        <f t="shared" si="12"/>
        <v/>
      </c>
      <c r="S42" s="203">
        <v>33</v>
      </c>
      <c r="T42" s="195" t="str">
        <f t="shared" ref="T42:T73" si="25">IF(U42="","",VLOOKUP(U42,Instruments.Swaps.GBP,6,0))</f>
        <v/>
      </c>
      <c r="U42" s="195" t="str">
        <v/>
      </c>
      <c r="V42" s="205" t="str">
        <v/>
      </c>
      <c r="W42" s="213"/>
      <c r="X42" s="197" t="str">
        <f t="shared" si="13"/>
        <v/>
      </c>
      <c r="Y42" s="203">
        <v>33</v>
      </c>
      <c r="Z42" s="195"/>
      <c r="AA42" s="195"/>
      <c r="AB42" s="205"/>
      <c r="AC42" s="213"/>
      <c r="AD42" s="197" t="str">
        <f t="shared" si="14"/>
        <v/>
      </c>
      <c r="AE42" s="203">
        <v>33</v>
      </c>
      <c r="AF42" s="195" t="str">
        <f t="shared" ref="AF42:AF73" si="26">IF(AG42="","",VLOOKUP(AG42,Instruments.Swaps.GBP,6,0))</f>
        <v/>
      </c>
      <c r="AG42" s="195" t="str">
        <v/>
      </c>
      <c r="AH42" s="205" t="str">
        <v/>
      </c>
      <c r="AI42" s="213"/>
      <c r="AJ42" s="197" t="str">
        <f t="shared" si="15"/>
        <v/>
      </c>
      <c r="AK42" s="203">
        <v>33</v>
      </c>
      <c r="AL42" s="198"/>
      <c r="AM42" s="195"/>
      <c r="AN42" s="196"/>
      <c r="AO42" s="254"/>
      <c r="AP42" s="256" t="str">
        <f t="shared" si="16"/>
        <v/>
      </c>
      <c r="AQ42" s="203">
        <v>33</v>
      </c>
      <c r="AR42" s="195" t="str">
        <f t="shared" ref="AR42:AR73" si="27">IF(AS42="","",VLOOKUP(AS42,Instruments.Swaps.GBP,6,0))</f>
        <v/>
      </c>
      <c r="AS42" s="195" t="str">
        <v/>
      </c>
      <c r="AT42" s="205" t="str">
        <v/>
      </c>
      <c r="AU42" s="213"/>
      <c r="AV42" s="197" t="str">
        <f t="shared" si="17"/>
        <v/>
      </c>
      <c r="AW42" s="203">
        <v>33</v>
      </c>
      <c r="AX42" s="195" t="str">
        <f t="shared" ref="AX42:AX73" si="28">IF(AY42="","",VLOOKUP(AY42,Instruments.TenorBasis1.GBP,6,0))</f>
        <v/>
      </c>
      <c r="AY42" s="195" t="str">
        <v/>
      </c>
      <c r="AZ42" s="205" t="str">
        <v/>
      </c>
      <c r="BA42" s="242"/>
      <c r="BB42" s="197" t="str">
        <f t="shared" si="18"/>
        <v/>
      </c>
      <c r="BC42" s="203">
        <v>33</v>
      </c>
      <c r="BD42" s="195" t="str">
        <f t="shared" ref="BD42:BD73" si="29">IF(BE42="","",VLOOKUP(BE42,Instruments.TenorBasis2.GBP,6,0))</f>
        <v/>
      </c>
      <c r="BE42" s="195" t="str">
        <v/>
      </c>
      <c r="BF42" s="205" t="str">
        <v/>
      </c>
      <c r="BG42" s="242"/>
      <c r="BH42" s="197" t="str">
        <f t="shared" si="19"/>
        <v/>
      </c>
      <c r="BI42" s="203">
        <v>33</v>
      </c>
      <c r="BJ42" s="195" t="str">
        <f t="shared" ref="BJ42:BJ73" si="30">IF(BK42="","",VLOOKUP(BK42,Instruments.TenorBasis3.GBP,6,0))</f>
        <v/>
      </c>
      <c r="BK42" s="195" t="str">
        <v/>
      </c>
      <c r="BL42" s="205" t="str">
        <v/>
      </c>
      <c r="BM42" s="242"/>
      <c r="BN42" s="197" t="str">
        <f t="shared" si="20"/>
        <v/>
      </c>
      <c r="BO42" s="203">
        <v>33</v>
      </c>
      <c r="BP42" s="195" t="str">
        <f t="shared" ref="BP42:BP73" si="31">IF(BQ42="","",VLOOKUP(BQ42,Instruments.XccyBasis.GBP,6,0))</f>
        <v/>
      </c>
      <c r="BQ42" s="195" t="str">
        <v/>
      </c>
      <c r="BR42" s="205" t="str">
        <v/>
      </c>
      <c r="BS42" s="242"/>
      <c r="BT42" s="197" t="str">
        <f t="shared" si="21"/>
        <v/>
      </c>
    </row>
    <row r="43" spans="1:72">
      <c r="A43" s="203">
        <v>34</v>
      </c>
      <c r="B43" s="195" t="str">
        <f t="shared" si="22"/>
        <v/>
      </c>
      <c r="C43" s="195" t="str">
        <v/>
      </c>
      <c r="D43" s="205" t="str">
        <v/>
      </c>
      <c r="E43" s="213"/>
      <c r="F43" s="197" t="str">
        <f t="shared" si="10"/>
        <v/>
      </c>
      <c r="G43" s="203">
        <v>34</v>
      </c>
      <c r="H43" s="195" t="str">
        <f t="shared" si="23"/>
        <v/>
      </c>
      <c r="I43" s="195" t="str">
        <v/>
      </c>
      <c r="J43" s="205" t="str">
        <v/>
      </c>
      <c r="K43" s="242"/>
      <c r="L43" s="197" t="str">
        <f t="shared" si="11"/>
        <v/>
      </c>
      <c r="M43" s="203">
        <v>34</v>
      </c>
      <c r="N43" s="195" t="str">
        <f t="shared" si="24"/>
        <v/>
      </c>
      <c r="O43" s="195" t="str">
        <v/>
      </c>
      <c r="P43" s="205" t="str">
        <v/>
      </c>
      <c r="Q43" s="213"/>
      <c r="R43" s="197" t="str">
        <f t="shared" si="12"/>
        <v/>
      </c>
      <c r="S43" s="203">
        <v>34</v>
      </c>
      <c r="T43" s="195" t="str">
        <f t="shared" si="25"/>
        <v/>
      </c>
      <c r="U43" s="195" t="str">
        <v/>
      </c>
      <c r="V43" s="205" t="str">
        <v/>
      </c>
      <c r="W43" s="213"/>
      <c r="X43" s="197" t="str">
        <f t="shared" si="13"/>
        <v/>
      </c>
      <c r="Y43" s="203">
        <v>34</v>
      </c>
      <c r="Z43" s="195"/>
      <c r="AA43" s="195"/>
      <c r="AB43" s="205"/>
      <c r="AC43" s="213"/>
      <c r="AD43" s="197" t="str">
        <f t="shared" si="14"/>
        <v/>
      </c>
      <c r="AE43" s="203">
        <v>34</v>
      </c>
      <c r="AF43" s="195" t="str">
        <f t="shared" si="26"/>
        <v/>
      </c>
      <c r="AG43" s="195" t="str">
        <v/>
      </c>
      <c r="AH43" s="205" t="str">
        <v/>
      </c>
      <c r="AI43" s="213"/>
      <c r="AJ43" s="197" t="str">
        <f t="shared" si="15"/>
        <v/>
      </c>
      <c r="AK43" s="203">
        <v>34</v>
      </c>
      <c r="AL43" s="198"/>
      <c r="AM43" s="195"/>
      <c r="AN43" s="196"/>
      <c r="AO43" s="254"/>
      <c r="AP43" s="256" t="str">
        <f t="shared" si="16"/>
        <v/>
      </c>
      <c r="AQ43" s="203">
        <v>34</v>
      </c>
      <c r="AR43" s="195" t="str">
        <f t="shared" si="27"/>
        <v/>
      </c>
      <c r="AS43" s="195" t="str">
        <v/>
      </c>
      <c r="AT43" s="205" t="str">
        <v/>
      </c>
      <c r="AU43" s="213"/>
      <c r="AV43" s="197" t="str">
        <f t="shared" si="17"/>
        <v/>
      </c>
      <c r="AW43" s="203">
        <v>34</v>
      </c>
      <c r="AX43" s="195" t="str">
        <f t="shared" si="28"/>
        <v/>
      </c>
      <c r="AY43" s="195" t="str">
        <v/>
      </c>
      <c r="AZ43" s="205" t="str">
        <v/>
      </c>
      <c r="BA43" s="242"/>
      <c r="BB43" s="197" t="str">
        <f t="shared" si="18"/>
        <v/>
      </c>
      <c r="BC43" s="203">
        <v>34</v>
      </c>
      <c r="BD43" s="195" t="str">
        <f t="shared" si="29"/>
        <v/>
      </c>
      <c r="BE43" s="195" t="str">
        <v/>
      </c>
      <c r="BF43" s="205" t="str">
        <v/>
      </c>
      <c r="BG43" s="242"/>
      <c r="BH43" s="197" t="str">
        <f t="shared" si="19"/>
        <v/>
      </c>
      <c r="BI43" s="203">
        <v>34</v>
      </c>
      <c r="BJ43" s="195" t="str">
        <f t="shared" si="30"/>
        <v/>
      </c>
      <c r="BK43" s="195" t="str">
        <v/>
      </c>
      <c r="BL43" s="205" t="str">
        <v/>
      </c>
      <c r="BM43" s="242"/>
      <c r="BN43" s="197" t="str">
        <f t="shared" si="20"/>
        <v/>
      </c>
      <c r="BO43" s="203">
        <v>34</v>
      </c>
      <c r="BP43" s="195" t="str">
        <f t="shared" si="31"/>
        <v/>
      </c>
      <c r="BQ43" s="195" t="str">
        <v/>
      </c>
      <c r="BR43" s="205" t="str">
        <v/>
      </c>
      <c r="BS43" s="242"/>
      <c r="BT43" s="197" t="str">
        <f t="shared" si="21"/>
        <v/>
      </c>
    </row>
    <row r="44" spans="1:72">
      <c r="A44" s="203">
        <v>35</v>
      </c>
      <c r="B44" s="195" t="str">
        <f t="shared" si="22"/>
        <v/>
      </c>
      <c r="C44" s="195" t="str">
        <v/>
      </c>
      <c r="D44" s="205" t="str">
        <v/>
      </c>
      <c r="E44" s="213"/>
      <c r="F44" s="197" t="str">
        <f t="shared" si="10"/>
        <v/>
      </c>
      <c r="G44" s="203">
        <v>35</v>
      </c>
      <c r="H44" s="195" t="str">
        <f t="shared" si="23"/>
        <v/>
      </c>
      <c r="I44" s="195" t="str">
        <v/>
      </c>
      <c r="J44" s="205" t="str">
        <v/>
      </c>
      <c r="K44" s="242"/>
      <c r="L44" s="197" t="str">
        <f t="shared" si="11"/>
        <v/>
      </c>
      <c r="M44" s="203">
        <v>35</v>
      </c>
      <c r="N44" s="195" t="str">
        <f t="shared" si="24"/>
        <v/>
      </c>
      <c r="O44" s="195" t="str">
        <v/>
      </c>
      <c r="P44" s="205" t="str">
        <v/>
      </c>
      <c r="Q44" s="213"/>
      <c r="R44" s="197" t="str">
        <f t="shared" si="12"/>
        <v/>
      </c>
      <c r="S44" s="203">
        <v>35</v>
      </c>
      <c r="T44" s="195" t="str">
        <f t="shared" si="25"/>
        <v/>
      </c>
      <c r="U44" s="195" t="str">
        <v/>
      </c>
      <c r="V44" s="205" t="str">
        <v/>
      </c>
      <c r="W44" s="213"/>
      <c r="X44" s="197" t="str">
        <f t="shared" si="13"/>
        <v/>
      </c>
      <c r="Y44" s="203">
        <v>35</v>
      </c>
      <c r="Z44" s="195"/>
      <c r="AA44" s="195"/>
      <c r="AB44" s="205"/>
      <c r="AC44" s="213"/>
      <c r="AD44" s="197" t="str">
        <f t="shared" si="14"/>
        <v/>
      </c>
      <c r="AE44" s="203">
        <v>35</v>
      </c>
      <c r="AF44" s="195" t="str">
        <f t="shared" si="26"/>
        <v/>
      </c>
      <c r="AG44" s="195" t="str">
        <v/>
      </c>
      <c r="AH44" s="205" t="str">
        <v/>
      </c>
      <c r="AI44" s="213"/>
      <c r="AJ44" s="197" t="str">
        <f t="shared" si="15"/>
        <v/>
      </c>
      <c r="AK44" s="203">
        <v>35</v>
      </c>
      <c r="AL44" s="198"/>
      <c r="AM44" s="195"/>
      <c r="AN44" s="196"/>
      <c r="AO44" s="254"/>
      <c r="AP44" s="256" t="str">
        <f t="shared" si="16"/>
        <v/>
      </c>
      <c r="AQ44" s="203">
        <v>35</v>
      </c>
      <c r="AR44" s="195" t="str">
        <f t="shared" si="27"/>
        <v/>
      </c>
      <c r="AS44" s="195" t="str">
        <v/>
      </c>
      <c r="AT44" s="205" t="str">
        <v/>
      </c>
      <c r="AU44" s="213"/>
      <c r="AV44" s="197" t="str">
        <f t="shared" si="17"/>
        <v/>
      </c>
      <c r="AW44" s="203">
        <v>35</v>
      </c>
      <c r="AX44" s="195" t="str">
        <f t="shared" si="28"/>
        <v/>
      </c>
      <c r="AY44" s="195" t="str">
        <v/>
      </c>
      <c r="AZ44" s="205" t="str">
        <v/>
      </c>
      <c r="BA44" s="242"/>
      <c r="BB44" s="197" t="str">
        <f t="shared" si="18"/>
        <v/>
      </c>
      <c r="BC44" s="203">
        <v>35</v>
      </c>
      <c r="BD44" s="195" t="str">
        <f t="shared" si="29"/>
        <v/>
      </c>
      <c r="BE44" s="195" t="str">
        <v/>
      </c>
      <c r="BF44" s="205" t="str">
        <v/>
      </c>
      <c r="BG44" s="242"/>
      <c r="BH44" s="197" t="str">
        <f t="shared" si="19"/>
        <v/>
      </c>
      <c r="BI44" s="203">
        <v>35</v>
      </c>
      <c r="BJ44" s="195" t="str">
        <f t="shared" si="30"/>
        <v/>
      </c>
      <c r="BK44" s="195" t="str">
        <v/>
      </c>
      <c r="BL44" s="205" t="str">
        <v/>
      </c>
      <c r="BM44" s="242"/>
      <c r="BN44" s="197" t="str">
        <f t="shared" si="20"/>
        <v/>
      </c>
      <c r="BO44" s="203">
        <v>35</v>
      </c>
      <c r="BP44" s="195" t="str">
        <f t="shared" si="31"/>
        <v/>
      </c>
      <c r="BQ44" s="195" t="str">
        <v/>
      </c>
      <c r="BR44" s="205" t="str">
        <v/>
      </c>
      <c r="BS44" s="242"/>
      <c r="BT44" s="197" t="str">
        <f t="shared" si="21"/>
        <v/>
      </c>
    </row>
    <row r="45" spans="1:72">
      <c r="A45" s="203">
        <v>36</v>
      </c>
      <c r="B45" s="195" t="str">
        <f t="shared" si="22"/>
        <v/>
      </c>
      <c r="C45" s="195" t="str">
        <v/>
      </c>
      <c r="D45" s="205" t="str">
        <v/>
      </c>
      <c r="E45" s="213"/>
      <c r="F45" s="197" t="str">
        <f t="shared" si="10"/>
        <v/>
      </c>
      <c r="G45" s="203">
        <v>36</v>
      </c>
      <c r="H45" s="195" t="str">
        <f t="shared" si="23"/>
        <v/>
      </c>
      <c r="I45" s="195" t="str">
        <v/>
      </c>
      <c r="J45" s="205" t="str">
        <v/>
      </c>
      <c r="K45" s="242"/>
      <c r="L45" s="197" t="str">
        <f t="shared" si="11"/>
        <v/>
      </c>
      <c r="M45" s="203">
        <v>36</v>
      </c>
      <c r="N45" s="195" t="str">
        <f t="shared" si="24"/>
        <v/>
      </c>
      <c r="O45" s="195" t="str">
        <v/>
      </c>
      <c r="P45" s="205" t="str">
        <v/>
      </c>
      <c r="Q45" s="213"/>
      <c r="R45" s="197" t="str">
        <f t="shared" si="12"/>
        <v/>
      </c>
      <c r="S45" s="203">
        <v>36</v>
      </c>
      <c r="T45" s="195" t="str">
        <f t="shared" si="25"/>
        <v/>
      </c>
      <c r="U45" s="195" t="str">
        <v/>
      </c>
      <c r="V45" s="205" t="str">
        <v/>
      </c>
      <c r="W45" s="213"/>
      <c r="X45" s="197" t="str">
        <f t="shared" si="13"/>
        <v/>
      </c>
      <c r="Y45" s="203">
        <v>36</v>
      </c>
      <c r="Z45" s="195"/>
      <c r="AA45" s="195"/>
      <c r="AB45" s="205"/>
      <c r="AC45" s="213"/>
      <c r="AD45" s="197" t="str">
        <f t="shared" si="14"/>
        <v/>
      </c>
      <c r="AE45" s="203">
        <v>36</v>
      </c>
      <c r="AF45" s="195" t="str">
        <f t="shared" si="26"/>
        <v/>
      </c>
      <c r="AG45" s="195" t="str">
        <v/>
      </c>
      <c r="AH45" s="205" t="str">
        <v/>
      </c>
      <c r="AI45" s="213"/>
      <c r="AJ45" s="197" t="str">
        <f t="shared" si="15"/>
        <v/>
      </c>
      <c r="AK45" s="203">
        <v>36</v>
      </c>
      <c r="AL45" s="198"/>
      <c r="AM45" s="195"/>
      <c r="AN45" s="196"/>
      <c r="AO45" s="254"/>
      <c r="AP45" s="256" t="str">
        <f t="shared" si="16"/>
        <v/>
      </c>
      <c r="AQ45" s="203">
        <v>36</v>
      </c>
      <c r="AR45" s="195" t="str">
        <f t="shared" si="27"/>
        <v/>
      </c>
      <c r="AS45" s="195" t="str">
        <v/>
      </c>
      <c r="AT45" s="205" t="str">
        <v/>
      </c>
      <c r="AU45" s="213"/>
      <c r="AV45" s="197" t="str">
        <f t="shared" si="17"/>
        <v/>
      </c>
      <c r="AW45" s="203">
        <v>36</v>
      </c>
      <c r="AX45" s="195" t="str">
        <f t="shared" si="28"/>
        <v/>
      </c>
      <c r="AY45" s="195" t="str">
        <v/>
      </c>
      <c r="AZ45" s="205" t="str">
        <v/>
      </c>
      <c r="BA45" s="242"/>
      <c r="BB45" s="197" t="str">
        <f t="shared" si="18"/>
        <v/>
      </c>
      <c r="BC45" s="203">
        <v>36</v>
      </c>
      <c r="BD45" s="195" t="str">
        <f t="shared" si="29"/>
        <v/>
      </c>
      <c r="BE45" s="195" t="str">
        <v/>
      </c>
      <c r="BF45" s="205" t="str">
        <v/>
      </c>
      <c r="BG45" s="242"/>
      <c r="BH45" s="197" t="str">
        <f t="shared" si="19"/>
        <v/>
      </c>
      <c r="BI45" s="203">
        <v>36</v>
      </c>
      <c r="BJ45" s="195" t="str">
        <f t="shared" si="30"/>
        <v/>
      </c>
      <c r="BK45" s="195" t="str">
        <v/>
      </c>
      <c r="BL45" s="205" t="str">
        <v/>
      </c>
      <c r="BM45" s="242"/>
      <c r="BN45" s="197" t="str">
        <f t="shared" si="20"/>
        <v/>
      </c>
      <c r="BO45" s="203">
        <v>36</v>
      </c>
      <c r="BP45" s="195" t="str">
        <f t="shared" si="31"/>
        <v/>
      </c>
      <c r="BQ45" s="195" t="str">
        <v/>
      </c>
      <c r="BR45" s="205" t="str">
        <v/>
      </c>
      <c r="BS45" s="242"/>
      <c r="BT45" s="197" t="str">
        <f t="shared" si="21"/>
        <v/>
      </c>
    </row>
    <row r="46" spans="1:72">
      <c r="A46" s="203">
        <v>37</v>
      </c>
      <c r="B46" s="195" t="str">
        <f t="shared" si="22"/>
        <v/>
      </c>
      <c r="C46" s="195" t="str">
        <v/>
      </c>
      <c r="D46" s="205" t="str">
        <v/>
      </c>
      <c r="E46" s="213"/>
      <c r="F46" s="197" t="str">
        <f t="shared" si="10"/>
        <v/>
      </c>
      <c r="G46" s="203">
        <v>37</v>
      </c>
      <c r="H46" s="195" t="str">
        <f t="shared" si="23"/>
        <v/>
      </c>
      <c r="I46" s="195" t="str">
        <v/>
      </c>
      <c r="J46" s="205" t="str">
        <v/>
      </c>
      <c r="K46" s="242"/>
      <c r="L46" s="197" t="str">
        <f t="shared" si="11"/>
        <v/>
      </c>
      <c r="M46" s="203">
        <v>37</v>
      </c>
      <c r="N46" s="195" t="str">
        <f t="shared" si="24"/>
        <v/>
      </c>
      <c r="O46" s="195" t="str">
        <v/>
      </c>
      <c r="P46" s="205" t="str">
        <v/>
      </c>
      <c r="Q46" s="213"/>
      <c r="R46" s="197" t="str">
        <f t="shared" si="12"/>
        <v/>
      </c>
      <c r="S46" s="203">
        <v>37</v>
      </c>
      <c r="T46" s="195" t="str">
        <f t="shared" si="25"/>
        <v/>
      </c>
      <c r="U46" s="195" t="str">
        <v/>
      </c>
      <c r="V46" s="205" t="str">
        <v/>
      </c>
      <c r="W46" s="213"/>
      <c r="X46" s="197" t="str">
        <f t="shared" si="13"/>
        <v/>
      </c>
      <c r="Y46" s="203">
        <v>37</v>
      </c>
      <c r="Z46" s="195"/>
      <c r="AA46" s="195"/>
      <c r="AB46" s="205"/>
      <c r="AC46" s="213"/>
      <c r="AD46" s="197" t="str">
        <f t="shared" si="14"/>
        <v/>
      </c>
      <c r="AE46" s="203">
        <v>37</v>
      </c>
      <c r="AF46" s="195" t="str">
        <f t="shared" si="26"/>
        <v/>
      </c>
      <c r="AG46" s="195" t="str">
        <v/>
      </c>
      <c r="AH46" s="205" t="str">
        <v/>
      </c>
      <c r="AI46" s="213"/>
      <c r="AJ46" s="197" t="str">
        <f t="shared" si="15"/>
        <v/>
      </c>
      <c r="AK46" s="203">
        <v>37</v>
      </c>
      <c r="AL46" s="198"/>
      <c r="AM46" s="195"/>
      <c r="AN46" s="196"/>
      <c r="AO46" s="254"/>
      <c r="AP46" s="256" t="str">
        <f t="shared" si="16"/>
        <v/>
      </c>
      <c r="AQ46" s="203">
        <v>37</v>
      </c>
      <c r="AR46" s="195" t="str">
        <f t="shared" si="27"/>
        <v/>
      </c>
      <c r="AS46" s="195" t="str">
        <v/>
      </c>
      <c r="AT46" s="205" t="str">
        <v/>
      </c>
      <c r="AU46" s="213"/>
      <c r="AV46" s="197" t="str">
        <f t="shared" si="17"/>
        <v/>
      </c>
      <c r="AW46" s="203">
        <v>37</v>
      </c>
      <c r="AX46" s="195" t="str">
        <f t="shared" si="28"/>
        <v/>
      </c>
      <c r="AY46" s="195" t="str">
        <v/>
      </c>
      <c r="AZ46" s="205" t="str">
        <v/>
      </c>
      <c r="BA46" s="242"/>
      <c r="BB46" s="197" t="str">
        <f t="shared" si="18"/>
        <v/>
      </c>
      <c r="BC46" s="203">
        <v>37</v>
      </c>
      <c r="BD46" s="195" t="str">
        <f t="shared" si="29"/>
        <v/>
      </c>
      <c r="BE46" s="195" t="str">
        <v/>
      </c>
      <c r="BF46" s="205" t="str">
        <v/>
      </c>
      <c r="BG46" s="242"/>
      <c r="BH46" s="197" t="str">
        <f t="shared" si="19"/>
        <v/>
      </c>
      <c r="BI46" s="203">
        <v>37</v>
      </c>
      <c r="BJ46" s="195" t="str">
        <f t="shared" si="30"/>
        <v/>
      </c>
      <c r="BK46" s="195" t="str">
        <v/>
      </c>
      <c r="BL46" s="205" t="str">
        <v/>
      </c>
      <c r="BM46" s="242"/>
      <c r="BN46" s="197" t="str">
        <f t="shared" si="20"/>
        <v/>
      </c>
      <c r="BO46" s="203">
        <v>37</v>
      </c>
      <c r="BP46" s="195" t="str">
        <f t="shared" si="31"/>
        <v/>
      </c>
      <c r="BQ46" s="195" t="str">
        <v/>
      </c>
      <c r="BR46" s="205" t="str">
        <v/>
      </c>
      <c r="BS46" s="242"/>
      <c r="BT46" s="197" t="str">
        <f t="shared" si="21"/>
        <v/>
      </c>
    </row>
    <row r="47" spans="1:72">
      <c r="A47" s="203">
        <v>38</v>
      </c>
      <c r="B47" s="195" t="str">
        <f t="shared" si="22"/>
        <v/>
      </c>
      <c r="C47" s="195" t="str">
        <v/>
      </c>
      <c r="D47" s="205" t="str">
        <v/>
      </c>
      <c r="E47" s="213"/>
      <c r="F47" s="197" t="str">
        <f t="shared" si="10"/>
        <v/>
      </c>
      <c r="G47" s="203">
        <v>38</v>
      </c>
      <c r="H47" s="195" t="str">
        <f t="shared" si="23"/>
        <v/>
      </c>
      <c r="I47" s="195" t="str">
        <v/>
      </c>
      <c r="J47" s="205" t="str">
        <v/>
      </c>
      <c r="K47" s="242"/>
      <c r="L47" s="197" t="str">
        <f t="shared" si="11"/>
        <v/>
      </c>
      <c r="M47" s="203">
        <v>38</v>
      </c>
      <c r="N47" s="195" t="str">
        <f t="shared" si="24"/>
        <v/>
      </c>
      <c r="O47" s="195" t="str">
        <v/>
      </c>
      <c r="P47" s="205" t="str">
        <v/>
      </c>
      <c r="Q47" s="213"/>
      <c r="R47" s="197" t="str">
        <f t="shared" si="12"/>
        <v/>
      </c>
      <c r="S47" s="203">
        <v>38</v>
      </c>
      <c r="T47" s="195" t="str">
        <f t="shared" si="25"/>
        <v/>
      </c>
      <c r="U47" s="195" t="str">
        <v/>
      </c>
      <c r="V47" s="205" t="str">
        <v/>
      </c>
      <c r="W47" s="213"/>
      <c r="X47" s="197" t="str">
        <f t="shared" si="13"/>
        <v/>
      </c>
      <c r="Y47" s="203">
        <v>38</v>
      </c>
      <c r="Z47" s="195"/>
      <c r="AA47" s="195"/>
      <c r="AB47" s="205"/>
      <c r="AC47" s="213"/>
      <c r="AD47" s="197" t="str">
        <f t="shared" si="14"/>
        <v/>
      </c>
      <c r="AE47" s="203">
        <v>38</v>
      </c>
      <c r="AF47" s="195" t="str">
        <f t="shared" si="26"/>
        <v/>
      </c>
      <c r="AG47" s="195" t="str">
        <v/>
      </c>
      <c r="AH47" s="205" t="str">
        <v/>
      </c>
      <c r="AI47" s="213"/>
      <c r="AJ47" s="197" t="str">
        <f t="shared" si="15"/>
        <v/>
      </c>
      <c r="AK47" s="203">
        <v>38</v>
      </c>
      <c r="AL47" s="198"/>
      <c r="AM47" s="195"/>
      <c r="AN47" s="196"/>
      <c r="AO47" s="254"/>
      <c r="AP47" s="256" t="str">
        <f t="shared" si="16"/>
        <v/>
      </c>
      <c r="AQ47" s="203">
        <v>38</v>
      </c>
      <c r="AR47" s="195" t="str">
        <f t="shared" si="27"/>
        <v/>
      </c>
      <c r="AS47" s="195" t="str">
        <v/>
      </c>
      <c r="AT47" s="205" t="str">
        <v/>
      </c>
      <c r="AU47" s="213"/>
      <c r="AV47" s="197" t="str">
        <f t="shared" si="17"/>
        <v/>
      </c>
      <c r="AW47" s="203">
        <v>38</v>
      </c>
      <c r="AX47" s="195" t="str">
        <f t="shared" si="28"/>
        <v/>
      </c>
      <c r="AY47" s="195" t="str">
        <v/>
      </c>
      <c r="AZ47" s="205" t="str">
        <v/>
      </c>
      <c r="BA47" s="242"/>
      <c r="BB47" s="197" t="str">
        <f t="shared" si="18"/>
        <v/>
      </c>
      <c r="BC47" s="203">
        <v>38</v>
      </c>
      <c r="BD47" s="195" t="str">
        <f t="shared" si="29"/>
        <v/>
      </c>
      <c r="BE47" s="195" t="str">
        <v/>
      </c>
      <c r="BF47" s="205" t="str">
        <v/>
      </c>
      <c r="BG47" s="242"/>
      <c r="BH47" s="197" t="str">
        <f t="shared" si="19"/>
        <v/>
      </c>
      <c r="BI47" s="203">
        <v>38</v>
      </c>
      <c r="BJ47" s="195" t="str">
        <f t="shared" si="30"/>
        <v/>
      </c>
      <c r="BK47" s="195" t="str">
        <v/>
      </c>
      <c r="BL47" s="205" t="str">
        <v/>
      </c>
      <c r="BM47" s="242"/>
      <c r="BN47" s="197" t="str">
        <f t="shared" si="20"/>
        <v/>
      </c>
      <c r="BO47" s="203">
        <v>38</v>
      </c>
      <c r="BP47" s="195" t="str">
        <f t="shared" si="31"/>
        <v/>
      </c>
      <c r="BQ47" s="195" t="str">
        <v/>
      </c>
      <c r="BR47" s="205" t="str">
        <v/>
      </c>
      <c r="BS47" s="242"/>
      <c r="BT47" s="197" t="str">
        <f t="shared" si="21"/>
        <v/>
      </c>
    </row>
    <row r="48" spans="1:72">
      <c r="A48" s="203">
        <v>39</v>
      </c>
      <c r="B48" s="195" t="str">
        <f t="shared" si="22"/>
        <v/>
      </c>
      <c r="C48" s="195" t="str">
        <v/>
      </c>
      <c r="D48" s="205" t="str">
        <v/>
      </c>
      <c r="E48" s="213"/>
      <c r="F48" s="197" t="str">
        <f t="shared" si="10"/>
        <v/>
      </c>
      <c r="G48" s="203">
        <v>39</v>
      </c>
      <c r="H48" s="195" t="str">
        <f t="shared" si="23"/>
        <v/>
      </c>
      <c r="I48" s="195" t="str">
        <v/>
      </c>
      <c r="J48" s="205" t="str">
        <v/>
      </c>
      <c r="K48" s="242"/>
      <c r="L48" s="197" t="str">
        <f t="shared" si="11"/>
        <v/>
      </c>
      <c r="M48" s="203">
        <v>39</v>
      </c>
      <c r="N48" s="195" t="str">
        <f t="shared" si="24"/>
        <v/>
      </c>
      <c r="O48" s="195" t="str">
        <v/>
      </c>
      <c r="P48" s="205" t="str">
        <v/>
      </c>
      <c r="Q48" s="213"/>
      <c r="R48" s="197" t="str">
        <f t="shared" si="12"/>
        <v/>
      </c>
      <c r="S48" s="203">
        <v>39</v>
      </c>
      <c r="T48" s="195" t="str">
        <f t="shared" si="25"/>
        <v/>
      </c>
      <c r="U48" s="195" t="str">
        <v/>
      </c>
      <c r="V48" s="205" t="str">
        <v/>
      </c>
      <c r="W48" s="213"/>
      <c r="X48" s="197" t="str">
        <f t="shared" si="13"/>
        <v/>
      </c>
      <c r="Y48" s="203">
        <v>39</v>
      </c>
      <c r="Z48" s="195"/>
      <c r="AA48" s="195"/>
      <c r="AB48" s="205"/>
      <c r="AC48" s="213"/>
      <c r="AD48" s="197" t="str">
        <f t="shared" si="14"/>
        <v/>
      </c>
      <c r="AE48" s="203">
        <v>39</v>
      </c>
      <c r="AF48" s="195" t="str">
        <f t="shared" si="26"/>
        <v/>
      </c>
      <c r="AG48" s="195" t="str">
        <v/>
      </c>
      <c r="AH48" s="205" t="str">
        <v/>
      </c>
      <c r="AI48" s="213"/>
      <c r="AJ48" s="197" t="str">
        <f t="shared" si="15"/>
        <v/>
      </c>
      <c r="AK48" s="203">
        <v>39</v>
      </c>
      <c r="AL48" s="198"/>
      <c r="AM48" s="195"/>
      <c r="AN48" s="196"/>
      <c r="AO48" s="254"/>
      <c r="AP48" s="256" t="str">
        <f t="shared" si="16"/>
        <v/>
      </c>
      <c r="AQ48" s="203">
        <v>39</v>
      </c>
      <c r="AR48" s="195" t="str">
        <f t="shared" si="27"/>
        <v/>
      </c>
      <c r="AS48" s="195" t="str">
        <v/>
      </c>
      <c r="AT48" s="205" t="str">
        <v/>
      </c>
      <c r="AU48" s="213"/>
      <c r="AV48" s="197" t="str">
        <f t="shared" si="17"/>
        <v/>
      </c>
      <c r="AW48" s="203">
        <v>39</v>
      </c>
      <c r="AX48" s="195" t="str">
        <f t="shared" si="28"/>
        <v/>
      </c>
      <c r="AY48" s="195" t="str">
        <v/>
      </c>
      <c r="AZ48" s="205" t="str">
        <v/>
      </c>
      <c r="BA48" s="242"/>
      <c r="BB48" s="197" t="str">
        <f t="shared" si="18"/>
        <v/>
      </c>
      <c r="BC48" s="203">
        <v>39</v>
      </c>
      <c r="BD48" s="195" t="str">
        <f t="shared" si="29"/>
        <v/>
      </c>
      <c r="BE48" s="195" t="str">
        <v/>
      </c>
      <c r="BF48" s="205" t="str">
        <v/>
      </c>
      <c r="BG48" s="242"/>
      <c r="BH48" s="197" t="str">
        <f t="shared" si="19"/>
        <v/>
      </c>
      <c r="BI48" s="203">
        <v>39</v>
      </c>
      <c r="BJ48" s="195" t="str">
        <f t="shared" si="30"/>
        <v/>
      </c>
      <c r="BK48" s="195" t="str">
        <v/>
      </c>
      <c r="BL48" s="205" t="str">
        <v/>
      </c>
      <c r="BM48" s="242"/>
      <c r="BN48" s="197" t="str">
        <f t="shared" si="20"/>
        <v/>
      </c>
      <c r="BO48" s="203">
        <v>39</v>
      </c>
      <c r="BP48" s="195" t="str">
        <f t="shared" si="31"/>
        <v/>
      </c>
      <c r="BQ48" s="195" t="str">
        <v/>
      </c>
      <c r="BR48" s="205" t="str">
        <v/>
      </c>
      <c r="BS48" s="242"/>
      <c r="BT48" s="197" t="str">
        <f t="shared" si="21"/>
        <v/>
      </c>
    </row>
    <row r="49" spans="1:72">
      <c r="A49" s="203">
        <v>40</v>
      </c>
      <c r="B49" s="195" t="str">
        <f t="shared" si="22"/>
        <v/>
      </c>
      <c r="C49" s="195" t="str">
        <v/>
      </c>
      <c r="D49" s="205" t="str">
        <v/>
      </c>
      <c r="E49" s="213"/>
      <c r="F49" s="197" t="str">
        <f t="shared" si="10"/>
        <v/>
      </c>
      <c r="G49" s="203">
        <v>40</v>
      </c>
      <c r="H49" s="195" t="str">
        <f t="shared" si="23"/>
        <v/>
      </c>
      <c r="I49" s="195" t="str">
        <v/>
      </c>
      <c r="J49" s="205" t="str">
        <v/>
      </c>
      <c r="K49" s="242"/>
      <c r="L49" s="197" t="str">
        <f t="shared" si="11"/>
        <v/>
      </c>
      <c r="M49" s="203">
        <v>40</v>
      </c>
      <c r="N49" s="195" t="str">
        <f t="shared" si="24"/>
        <v/>
      </c>
      <c r="O49" s="195" t="str">
        <v/>
      </c>
      <c r="P49" s="205" t="str">
        <v/>
      </c>
      <c r="Q49" s="213"/>
      <c r="R49" s="197" t="str">
        <f t="shared" si="12"/>
        <v/>
      </c>
      <c r="S49" s="203">
        <v>40</v>
      </c>
      <c r="T49" s="195" t="str">
        <f t="shared" si="25"/>
        <v/>
      </c>
      <c r="U49" s="195" t="str">
        <v/>
      </c>
      <c r="V49" s="205" t="str">
        <v/>
      </c>
      <c r="W49" s="213"/>
      <c r="X49" s="197" t="str">
        <f t="shared" si="13"/>
        <v/>
      </c>
      <c r="Y49" s="203">
        <v>40</v>
      </c>
      <c r="Z49" s="195"/>
      <c r="AA49" s="195"/>
      <c r="AB49" s="205"/>
      <c r="AC49" s="213"/>
      <c r="AD49" s="197" t="str">
        <f t="shared" si="14"/>
        <v/>
      </c>
      <c r="AE49" s="203">
        <v>40</v>
      </c>
      <c r="AF49" s="195" t="str">
        <f t="shared" si="26"/>
        <v/>
      </c>
      <c r="AG49" s="195" t="str">
        <v/>
      </c>
      <c r="AH49" s="205" t="str">
        <v/>
      </c>
      <c r="AI49" s="213"/>
      <c r="AJ49" s="197" t="str">
        <f t="shared" si="15"/>
        <v/>
      </c>
      <c r="AK49" s="203">
        <v>40</v>
      </c>
      <c r="AL49" s="198"/>
      <c r="AM49" s="195"/>
      <c r="AN49" s="196"/>
      <c r="AO49" s="254"/>
      <c r="AP49" s="256" t="str">
        <f t="shared" si="16"/>
        <v/>
      </c>
      <c r="AQ49" s="203">
        <v>40</v>
      </c>
      <c r="AR49" s="195" t="str">
        <f t="shared" si="27"/>
        <v/>
      </c>
      <c r="AS49" s="195" t="str">
        <v/>
      </c>
      <c r="AT49" s="205" t="str">
        <v/>
      </c>
      <c r="AU49" s="213"/>
      <c r="AV49" s="197" t="str">
        <f t="shared" si="17"/>
        <v/>
      </c>
      <c r="AW49" s="203">
        <v>40</v>
      </c>
      <c r="AX49" s="195" t="str">
        <f t="shared" si="28"/>
        <v/>
      </c>
      <c r="AY49" s="195" t="str">
        <v/>
      </c>
      <c r="AZ49" s="205" t="str">
        <v/>
      </c>
      <c r="BA49" s="242"/>
      <c r="BB49" s="197" t="str">
        <f t="shared" si="18"/>
        <v/>
      </c>
      <c r="BC49" s="203">
        <v>40</v>
      </c>
      <c r="BD49" s="195" t="str">
        <f t="shared" si="29"/>
        <v/>
      </c>
      <c r="BE49" s="195" t="str">
        <v/>
      </c>
      <c r="BF49" s="205" t="str">
        <v/>
      </c>
      <c r="BG49" s="242"/>
      <c r="BH49" s="197" t="str">
        <f t="shared" si="19"/>
        <v/>
      </c>
      <c r="BI49" s="203">
        <v>40</v>
      </c>
      <c r="BJ49" s="195" t="str">
        <f t="shared" si="30"/>
        <v/>
      </c>
      <c r="BK49" s="195" t="str">
        <v/>
      </c>
      <c r="BL49" s="205" t="str">
        <v/>
      </c>
      <c r="BM49" s="242"/>
      <c r="BN49" s="197" t="str">
        <f t="shared" si="20"/>
        <v/>
      </c>
      <c r="BO49" s="203">
        <v>40</v>
      </c>
      <c r="BP49" s="195" t="str">
        <f t="shared" si="31"/>
        <v/>
      </c>
      <c r="BQ49" s="195" t="str">
        <v/>
      </c>
      <c r="BR49" s="205" t="str">
        <v/>
      </c>
      <c r="BS49" s="242"/>
      <c r="BT49" s="197" t="str">
        <f t="shared" si="21"/>
        <v/>
      </c>
    </row>
    <row r="50" spans="1:72">
      <c r="A50" s="203">
        <v>41</v>
      </c>
      <c r="B50" s="195" t="str">
        <f t="shared" si="22"/>
        <v/>
      </c>
      <c r="C50" s="195" t="str">
        <v/>
      </c>
      <c r="D50" s="205" t="str">
        <v/>
      </c>
      <c r="E50" s="213"/>
      <c r="F50" s="197" t="str">
        <f t="shared" si="10"/>
        <v/>
      </c>
      <c r="G50" s="203">
        <v>41</v>
      </c>
      <c r="H50" s="195" t="str">
        <f t="shared" si="23"/>
        <v/>
      </c>
      <c r="I50" s="195" t="str">
        <v/>
      </c>
      <c r="J50" s="205" t="str">
        <v/>
      </c>
      <c r="K50" s="242"/>
      <c r="L50" s="197" t="str">
        <f t="shared" si="11"/>
        <v/>
      </c>
      <c r="M50" s="203">
        <v>41</v>
      </c>
      <c r="N50" s="195" t="str">
        <f t="shared" si="24"/>
        <v/>
      </c>
      <c r="O50" s="195" t="str">
        <v/>
      </c>
      <c r="P50" s="205" t="str">
        <v/>
      </c>
      <c r="Q50" s="213"/>
      <c r="R50" s="197" t="str">
        <f t="shared" si="12"/>
        <v/>
      </c>
      <c r="S50" s="203">
        <v>41</v>
      </c>
      <c r="T50" s="195" t="str">
        <f t="shared" si="25"/>
        <v/>
      </c>
      <c r="U50" s="195" t="str">
        <v/>
      </c>
      <c r="V50" s="205" t="str">
        <v/>
      </c>
      <c r="W50" s="213"/>
      <c r="X50" s="197" t="str">
        <f t="shared" si="13"/>
        <v/>
      </c>
      <c r="Y50" s="203">
        <v>41</v>
      </c>
      <c r="Z50" s="195"/>
      <c r="AA50" s="195"/>
      <c r="AB50" s="205"/>
      <c r="AC50" s="213"/>
      <c r="AD50" s="197" t="str">
        <f t="shared" si="14"/>
        <v/>
      </c>
      <c r="AE50" s="203">
        <v>41</v>
      </c>
      <c r="AF50" s="195" t="str">
        <f t="shared" si="26"/>
        <v/>
      </c>
      <c r="AG50" s="195" t="str">
        <v/>
      </c>
      <c r="AH50" s="205" t="str">
        <v/>
      </c>
      <c r="AI50" s="213"/>
      <c r="AJ50" s="197" t="str">
        <f t="shared" si="15"/>
        <v/>
      </c>
      <c r="AK50" s="203">
        <v>41</v>
      </c>
      <c r="AL50" s="198"/>
      <c r="AM50" s="195"/>
      <c r="AN50" s="196"/>
      <c r="AO50" s="254"/>
      <c r="AP50" s="256" t="str">
        <f t="shared" si="16"/>
        <v/>
      </c>
      <c r="AQ50" s="203">
        <v>41</v>
      </c>
      <c r="AR50" s="195" t="str">
        <f t="shared" si="27"/>
        <v/>
      </c>
      <c r="AS50" s="195" t="str">
        <v/>
      </c>
      <c r="AT50" s="205" t="str">
        <v/>
      </c>
      <c r="AU50" s="213"/>
      <c r="AV50" s="197" t="str">
        <f t="shared" si="17"/>
        <v/>
      </c>
      <c r="AW50" s="203">
        <v>41</v>
      </c>
      <c r="AX50" s="195" t="str">
        <f t="shared" si="28"/>
        <v/>
      </c>
      <c r="AY50" s="195" t="str">
        <v/>
      </c>
      <c r="AZ50" s="205" t="str">
        <v/>
      </c>
      <c r="BA50" s="242"/>
      <c r="BB50" s="197" t="str">
        <f t="shared" si="18"/>
        <v/>
      </c>
      <c r="BC50" s="203">
        <v>41</v>
      </c>
      <c r="BD50" s="195" t="str">
        <f t="shared" si="29"/>
        <v/>
      </c>
      <c r="BE50" s="195" t="str">
        <v/>
      </c>
      <c r="BF50" s="205" t="str">
        <v/>
      </c>
      <c r="BG50" s="242"/>
      <c r="BH50" s="197" t="str">
        <f t="shared" si="19"/>
        <v/>
      </c>
      <c r="BI50" s="203">
        <v>41</v>
      </c>
      <c r="BJ50" s="195" t="str">
        <f t="shared" si="30"/>
        <v/>
      </c>
      <c r="BK50" s="195" t="str">
        <v/>
      </c>
      <c r="BL50" s="205" t="str">
        <v/>
      </c>
      <c r="BM50" s="242"/>
      <c r="BN50" s="197" t="str">
        <f t="shared" si="20"/>
        <v/>
      </c>
      <c r="BO50" s="203">
        <v>41</v>
      </c>
      <c r="BP50" s="195" t="str">
        <f t="shared" si="31"/>
        <v/>
      </c>
      <c r="BQ50" s="195" t="str">
        <v/>
      </c>
      <c r="BR50" s="205" t="str">
        <v/>
      </c>
      <c r="BS50" s="242"/>
      <c r="BT50" s="197" t="str">
        <f t="shared" si="21"/>
        <v/>
      </c>
    </row>
    <row r="51" spans="1:72">
      <c r="A51" s="203">
        <v>42</v>
      </c>
      <c r="B51" s="195" t="str">
        <f t="shared" si="22"/>
        <v/>
      </c>
      <c r="C51" s="195" t="str">
        <v/>
      </c>
      <c r="D51" s="205" t="str">
        <v/>
      </c>
      <c r="E51" s="213"/>
      <c r="F51" s="197" t="str">
        <f t="shared" si="10"/>
        <v/>
      </c>
      <c r="G51" s="203">
        <v>42</v>
      </c>
      <c r="H51" s="195" t="str">
        <f t="shared" si="23"/>
        <v/>
      </c>
      <c r="I51" s="195" t="str">
        <v/>
      </c>
      <c r="J51" s="205" t="str">
        <v/>
      </c>
      <c r="K51" s="242"/>
      <c r="L51" s="197" t="str">
        <f t="shared" si="11"/>
        <v/>
      </c>
      <c r="M51" s="203">
        <v>42</v>
      </c>
      <c r="N51" s="195" t="str">
        <f t="shared" si="24"/>
        <v/>
      </c>
      <c r="O51" s="195" t="str">
        <v/>
      </c>
      <c r="P51" s="205" t="str">
        <v/>
      </c>
      <c r="Q51" s="213"/>
      <c r="R51" s="197" t="str">
        <f t="shared" si="12"/>
        <v/>
      </c>
      <c r="S51" s="203">
        <v>42</v>
      </c>
      <c r="T51" s="195" t="str">
        <f t="shared" si="25"/>
        <v/>
      </c>
      <c r="U51" s="195" t="str">
        <v/>
      </c>
      <c r="V51" s="205" t="str">
        <v/>
      </c>
      <c r="W51" s="213"/>
      <c r="X51" s="197" t="str">
        <f t="shared" si="13"/>
        <v/>
      </c>
      <c r="Y51" s="203">
        <v>42</v>
      </c>
      <c r="Z51" s="195"/>
      <c r="AA51" s="195"/>
      <c r="AB51" s="205"/>
      <c r="AC51" s="213"/>
      <c r="AD51" s="197" t="str">
        <f t="shared" si="14"/>
        <v/>
      </c>
      <c r="AE51" s="203">
        <v>42</v>
      </c>
      <c r="AF51" s="195" t="str">
        <f t="shared" si="26"/>
        <v/>
      </c>
      <c r="AG51" s="195" t="str">
        <v/>
      </c>
      <c r="AH51" s="205" t="str">
        <v/>
      </c>
      <c r="AI51" s="213"/>
      <c r="AJ51" s="197" t="str">
        <f t="shared" si="15"/>
        <v/>
      </c>
      <c r="AK51" s="203">
        <v>42</v>
      </c>
      <c r="AL51" s="198"/>
      <c r="AM51" s="195"/>
      <c r="AN51" s="196"/>
      <c r="AO51" s="254"/>
      <c r="AP51" s="256" t="str">
        <f t="shared" si="16"/>
        <v/>
      </c>
      <c r="AQ51" s="203">
        <v>42</v>
      </c>
      <c r="AR51" s="195" t="str">
        <f t="shared" si="27"/>
        <v/>
      </c>
      <c r="AS51" s="195" t="str">
        <v/>
      </c>
      <c r="AT51" s="205" t="str">
        <v/>
      </c>
      <c r="AU51" s="213"/>
      <c r="AV51" s="197" t="str">
        <f t="shared" si="17"/>
        <v/>
      </c>
      <c r="AW51" s="203">
        <v>42</v>
      </c>
      <c r="AX51" s="195" t="str">
        <f t="shared" si="28"/>
        <v/>
      </c>
      <c r="AY51" s="195" t="str">
        <v/>
      </c>
      <c r="AZ51" s="205" t="str">
        <v/>
      </c>
      <c r="BA51" s="242"/>
      <c r="BB51" s="197" t="str">
        <f t="shared" si="18"/>
        <v/>
      </c>
      <c r="BC51" s="203">
        <v>42</v>
      </c>
      <c r="BD51" s="195" t="str">
        <f t="shared" si="29"/>
        <v/>
      </c>
      <c r="BE51" s="195" t="str">
        <v/>
      </c>
      <c r="BF51" s="205" t="str">
        <v/>
      </c>
      <c r="BG51" s="242"/>
      <c r="BH51" s="197" t="str">
        <f t="shared" si="19"/>
        <v/>
      </c>
      <c r="BI51" s="203">
        <v>42</v>
      </c>
      <c r="BJ51" s="195" t="str">
        <f t="shared" si="30"/>
        <v/>
      </c>
      <c r="BK51" s="195" t="str">
        <v/>
      </c>
      <c r="BL51" s="205" t="str">
        <v/>
      </c>
      <c r="BM51" s="242"/>
      <c r="BN51" s="197" t="str">
        <f t="shared" si="20"/>
        <v/>
      </c>
      <c r="BO51" s="203">
        <v>42</v>
      </c>
      <c r="BP51" s="195" t="str">
        <f t="shared" si="31"/>
        <v/>
      </c>
      <c r="BQ51" s="195" t="str">
        <v/>
      </c>
      <c r="BR51" s="205" t="str">
        <v/>
      </c>
      <c r="BS51" s="242"/>
      <c r="BT51" s="197" t="str">
        <f t="shared" si="21"/>
        <v/>
      </c>
    </row>
    <row r="52" spans="1:72">
      <c r="A52" s="203">
        <v>43</v>
      </c>
      <c r="B52" s="195" t="str">
        <f t="shared" si="22"/>
        <v/>
      </c>
      <c r="C52" s="195" t="str">
        <v/>
      </c>
      <c r="D52" s="205" t="str">
        <v/>
      </c>
      <c r="E52" s="213"/>
      <c r="F52" s="197" t="str">
        <f t="shared" si="10"/>
        <v/>
      </c>
      <c r="G52" s="203">
        <v>43</v>
      </c>
      <c r="H52" s="195" t="str">
        <f t="shared" si="23"/>
        <v/>
      </c>
      <c r="I52" s="195" t="str">
        <v/>
      </c>
      <c r="J52" s="205" t="str">
        <v/>
      </c>
      <c r="K52" s="242"/>
      <c r="L52" s="197" t="str">
        <f t="shared" si="11"/>
        <v/>
      </c>
      <c r="M52" s="203">
        <v>43</v>
      </c>
      <c r="N52" s="195" t="str">
        <f t="shared" si="24"/>
        <v/>
      </c>
      <c r="O52" s="195" t="str">
        <v/>
      </c>
      <c r="P52" s="205" t="str">
        <v/>
      </c>
      <c r="Q52" s="213"/>
      <c r="R52" s="197" t="str">
        <f t="shared" si="12"/>
        <v/>
      </c>
      <c r="S52" s="203">
        <v>43</v>
      </c>
      <c r="T52" s="195" t="str">
        <f t="shared" si="25"/>
        <v/>
      </c>
      <c r="U52" s="195" t="str">
        <v/>
      </c>
      <c r="V52" s="205" t="str">
        <v/>
      </c>
      <c r="W52" s="213"/>
      <c r="X52" s="197" t="str">
        <f t="shared" si="13"/>
        <v/>
      </c>
      <c r="Y52" s="203">
        <v>43</v>
      </c>
      <c r="Z52" s="195"/>
      <c r="AA52" s="195"/>
      <c r="AB52" s="205"/>
      <c r="AC52" s="213"/>
      <c r="AD52" s="197" t="str">
        <f t="shared" si="14"/>
        <v/>
      </c>
      <c r="AE52" s="203">
        <v>43</v>
      </c>
      <c r="AF52" s="195" t="str">
        <f t="shared" si="26"/>
        <v/>
      </c>
      <c r="AG52" s="195" t="str">
        <v/>
      </c>
      <c r="AH52" s="205" t="str">
        <v/>
      </c>
      <c r="AI52" s="213"/>
      <c r="AJ52" s="197" t="str">
        <f t="shared" si="15"/>
        <v/>
      </c>
      <c r="AK52" s="203">
        <v>43</v>
      </c>
      <c r="AL52" s="198"/>
      <c r="AM52" s="195"/>
      <c r="AN52" s="196"/>
      <c r="AO52" s="254"/>
      <c r="AP52" s="256" t="str">
        <f t="shared" si="16"/>
        <v/>
      </c>
      <c r="AQ52" s="203">
        <v>43</v>
      </c>
      <c r="AR52" s="195" t="str">
        <f t="shared" si="27"/>
        <v/>
      </c>
      <c r="AS52" s="195" t="str">
        <v/>
      </c>
      <c r="AT52" s="205" t="str">
        <v/>
      </c>
      <c r="AU52" s="213"/>
      <c r="AV52" s="197" t="str">
        <f t="shared" si="17"/>
        <v/>
      </c>
      <c r="AW52" s="203">
        <v>43</v>
      </c>
      <c r="AX52" s="195" t="str">
        <f t="shared" si="28"/>
        <v/>
      </c>
      <c r="AY52" s="195" t="str">
        <v/>
      </c>
      <c r="AZ52" s="205" t="str">
        <v/>
      </c>
      <c r="BA52" s="242"/>
      <c r="BB52" s="197" t="str">
        <f t="shared" si="18"/>
        <v/>
      </c>
      <c r="BC52" s="203">
        <v>43</v>
      </c>
      <c r="BD52" s="195" t="str">
        <f t="shared" si="29"/>
        <v/>
      </c>
      <c r="BE52" s="195" t="str">
        <v/>
      </c>
      <c r="BF52" s="205" t="str">
        <v/>
      </c>
      <c r="BG52" s="242"/>
      <c r="BH52" s="197" t="str">
        <f t="shared" si="19"/>
        <v/>
      </c>
      <c r="BI52" s="203">
        <v>43</v>
      </c>
      <c r="BJ52" s="195" t="str">
        <f t="shared" si="30"/>
        <v/>
      </c>
      <c r="BK52" s="195" t="str">
        <v/>
      </c>
      <c r="BL52" s="205" t="str">
        <v/>
      </c>
      <c r="BM52" s="242"/>
      <c r="BN52" s="197" t="str">
        <f t="shared" si="20"/>
        <v/>
      </c>
      <c r="BO52" s="203">
        <v>43</v>
      </c>
      <c r="BP52" s="195" t="str">
        <f t="shared" si="31"/>
        <v/>
      </c>
      <c r="BQ52" s="195" t="str">
        <v/>
      </c>
      <c r="BR52" s="205" t="str">
        <v/>
      </c>
      <c r="BS52" s="242"/>
      <c r="BT52" s="197" t="str">
        <f t="shared" si="21"/>
        <v/>
      </c>
    </row>
    <row r="53" spans="1:72">
      <c r="A53" s="203">
        <v>44</v>
      </c>
      <c r="B53" s="195" t="str">
        <f t="shared" si="22"/>
        <v/>
      </c>
      <c r="C53" s="195" t="str">
        <v/>
      </c>
      <c r="D53" s="205" t="str">
        <v/>
      </c>
      <c r="E53" s="213"/>
      <c r="F53" s="197" t="str">
        <f t="shared" si="10"/>
        <v/>
      </c>
      <c r="G53" s="203">
        <v>44</v>
      </c>
      <c r="H53" s="195" t="str">
        <f t="shared" si="23"/>
        <v/>
      </c>
      <c r="I53" s="195" t="str">
        <v/>
      </c>
      <c r="J53" s="205" t="str">
        <v/>
      </c>
      <c r="K53" s="242"/>
      <c r="L53" s="197" t="str">
        <f t="shared" si="11"/>
        <v/>
      </c>
      <c r="M53" s="203">
        <v>44</v>
      </c>
      <c r="N53" s="195" t="str">
        <f t="shared" si="24"/>
        <v/>
      </c>
      <c r="O53" s="195" t="str">
        <v/>
      </c>
      <c r="P53" s="205" t="str">
        <v/>
      </c>
      <c r="Q53" s="213"/>
      <c r="R53" s="197" t="str">
        <f t="shared" si="12"/>
        <v/>
      </c>
      <c r="S53" s="203">
        <v>44</v>
      </c>
      <c r="T53" s="195" t="str">
        <f t="shared" si="25"/>
        <v/>
      </c>
      <c r="U53" s="195" t="str">
        <v/>
      </c>
      <c r="V53" s="205" t="str">
        <v/>
      </c>
      <c r="W53" s="213"/>
      <c r="X53" s="197" t="str">
        <f t="shared" si="13"/>
        <v/>
      </c>
      <c r="Y53" s="203">
        <v>44</v>
      </c>
      <c r="Z53" s="195"/>
      <c r="AA53" s="195"/>
      <c r="AB53" s="205"/>
      <c r="AC53" s="213"/>
      <c r="AD53" s="197" t="str">
        <f t="shared" si="14"/>
        <v/>
      </c>
      <c r="AE53" s="203">
        <v>44</v>
      </c>
      <c r="AF53" s="195" t="str">
        <f t="shared" si="26"/>
        <v/>
      </c>
      <c r="AG53" s="195" t="str">
        <v/>
      </c>
      <c r="AH53" s="205" t="str">
        <v/>
      </c>
      <c r="AI53" s="213"/>
      <c r="AJ53" s="197" t="str">
        <f t="shared" si="15"/>
        <v/>
      </c>
      <c r="AK53" s="203">
        <v>44</v>
      </c>
      <c r="AL53" s="198"/>
      <c r="AM53" s="195"/>
      <c r="AN53" s="196"/>
      <c r="AO53" s="254"/>
      <c r="AP53" s="256" t="str">
        <f t="shared" si="16"/>
        <v/>
      </c>
      <c r="AQ53" s="203">
        <v>44</v>
      </c>
      <c r="AR53" s="195" t="str">
        <f t="shared" si="27"/>
        <v/>
      </c>
      <c r="AS53" s="195" t="str">
        <v/>
      </c>
      <c r="AT53" s="205" t="str">
        <v/>
      </c>
      <c r="AU53" s="213"/>
      <c r="AV53" s="197" t="str">
        <f t="shared" si="17"/>
        <v/>
      </c>
      <c r="AW53" s="203">
        <v>44</v>
      </c>
      <c r="AX53" s="195" t="str">
        <f t="shared" si="28"/>
        <v/>
      </c>
      <c r="AY53" s="195" t="str">
        <v/>
      </c>
      <c r="AZ53" s="205" t="str">
        <v/>
      </c>
      <c r="BA53" s="242"/>
      <c r="BB53" s="197" t="str">
        <f t="shared" si="18"/>
        <v/>
      </c>
      <c r="BC53" s="203">
        <v>44</v>
      </c>
      <c r="BD53" s="195" t="str">
        <f t="shared" si="29"/>
        <v/>
      </c>
      <c r="BE53" s="195" t="str">
        <v/>
      </c>
      <c r="BF53" s="205" t="str">
        <v/>
      </c>
      <c r="BG53" s="242"/>
      <c r="BH53" s="197" t="str">
        <f t="shared" si="19"/>
        <v/>
      </c>
      <c r="BI53" s="203">
        <v>44</v>
      </c>
      <c r="BJ53" s="195" t="str">
        <f t="shared" si="30"/>
        <v/>
      </c>
      <c r="BK53" s="195" t="str">
        <v/>
      </c>
      <c r="BL53" s="205" t="str">
        <v/>
      </c>
      <c r="BM53" s="242"/>
      <c r="BN53" s="197" t="str">
        <f t="shared" si="20"/>
        <v/>
      </c>
      <c r="BO53" s="203">
        <v>44</v>
      </c>
      <c r="BP53" s="195" t="str">
        <f t="shared" si="31"/>
        <v/>
      </c>
      <c r="BQ53" s="195" t="str">
        <v/>
      </c>
      <c r="BR53" s="205" t="str">
        <v/>
      </c>
      <c r="BS53" s="242"/>
      <c r="BT53" s="197" t="str">
        <f t="shared" si="21"/>
        <v/>
      </c>
    </row>
    <row r="54" spans="1:72">
      <c r="A54" s="203">
        <v>45</v>
      </c>
      <c r="B54" s="195" t="str">
        <f t="shared" si="22"/>
        <v/>
      </c>
      <c r="C54" s="195" t="str">
        <v/>
      </c>
      <c r="D54" s="205" t="str">
        <v/>
      </c>
      <c r="E54" s="213"/>
      <c r="F54" s="197" t="str">
        <f t="shared" si="10"/>
        <v/>
      </c>
      <c r="G54" s="203">
        <v>45</v>
      </c>
      <c r="H54" s="195" t="str">
        <f t="shared" si="23"/>
        <v/>
      </c>
      <c r="I54" s="195" t="str">
        <v/>
      </c>
      <c r="J54" s="205" t="str">
        <v/>
      </c>
      <c r="K54" s="242"/>
      <c r="L54" s="197" t="str">
        <f t="shared" si="11"/>
        <v/>
      </c>
      <c r="M54" s="203">
        <v>45</v>
      </c>
      <c r="N54" s="195" t="str">
        <f t="shared" si="24"/>
        <v/>
      </c>
      <c r="O54" s="195" t="str">
        <v/>
      </c>
      <c r="P54" s="205" t="str">
        <v/>
      </c>
      <c r="Q54" s="213"/>
      <c r="R54" s="197" t="str">
        <f t="shared" si="12"/>
        <v/>
      </c>
      <c r="S54" s="203">
        <v>45</v>
      </c>
      <c r="T54" s="195" t="str">
        <f t="shared" si="25"/>
        <v/>
      </c>
      <c r="U54" s="195" t="str">
        <v/>
      </c>
      <c r="V54" s="205" t="str">
        <v/>
      </c>
      <c r="W54" s="213"/>
      <c r="X54" s="197" t="str">
        <f t="shared" si="13"/>
        <v/>
      </c>
      <c r="Y54" s="203">
        <v>45</v>
      </c>
      <c r="Z54" s="195"/>
      <c r="AA54" s="195"/>
      <c r="AB54" s="205"/>
      <c r="AC54" s="213"/>
      <c r="AD54" s="197" t="str">
        <f t="shared" si="14"/>
        <v/>
      </c>
      <c r="AE54" s="203">
        <v>45</v>
      </c>
      <c r="AF54" s="195" t="str">
        <f t="shared" si="26"/>
        <v/>
      </c>
      <c r="AG54" s="195" t="str">
        <v/>
      </c>
      <c r="AH54" s="205" t="str">
        <v/>
      </c>
      <c r="AI54" s="213"/>
      <c r="AJ54" s="197" t="str">
        <f t="shared" si="15"/>
        <v/>
      </c>
      <c r="AK54" s="203">
        <v>45</v>
      </c>
      <c r="AL54" s="198"/>
      <c r="AM54" s="195"/>
      <c r="AN54" s="196"/>
      <c r="AO54" s="254"/>
      <c r="AP54" s="256" t="str">
        <f t="shared" si="16"/>
        <v/>
      </c>
      <c r="AQ54" s="203">
        <v>45</v>
      </c>
      <c r="AR54" s="195" t="str">
        <f t="shared" si="27"/>
        <v/>
      </c>
      <c r="AS54" s="195" t="str">
        <v/>
      </c>
      <c r="AT54" s="205" t="str">
        <v/>
      </c>
      <c r="AU54" s="213"/>
      <c r="AV54" s="197" t="str">
        <f t="shared" si="17"/>
        <v/>
      </c>
      <c r="AW54" s="203">
        <v>45</v>
      </c>
      <c r="AX54" s="195" t="str">
        <f t="shared" si="28"/>
        <v/>
      </c>
      <c r="AY54" s="195" t="str">
        <v/>
      </c>
      <c r="AZ54" s="205" t="str">
        <v/>
      </c>
      <c r="BA54" s="242"/>
      <c r="BB54" s="197" t="str">
        <f t="shared" si="18"/>
        <v/>
      </c>
      <c r="BC54" s="203">
        <v>45</v>
      </c>
      <c r="BD54" s="195" t="str">
        <f t="shared" si="29"/>
        <v/>
      </c>
      <c r="BE54" s="195" t="str">
        <v/>
      </c>
      <c r="BF54" s="205" t="str">
        <v/>
      </c>
      <c r="BG54" s="242"/>
      <c r="BH54" s="197" t="str">
        <f t="shared" si="19"/>
        <v/>
      </c>
      <c r="BI54" s="203">
        <v>45</v>
      </c>
      <c r="BJ54" s="195" t="str">
        <f t="shared" si="30"/>
        <v/>
      </c>
      <c r="BK54" s="195" t="str">
        <v/>
      </c>
      <c r="BL54" s="205" t="str">
        <v/>
      </c>
      <c r="BM54" s="242"/>
      <c r="BN54" s="197" t="str">
        <f t="shared" si="20"/>
        <v/>
      </c>
      <c r="BO54" s="203">
        <v>45</v>
      </c>
      <c r="BP54" s="195" t="str">
        <f t="shared" si="31"/>
        <v/>
      </c>
      <c r="BQ54" s="195" t="str">
        <v/>
      </c>
      <c r="BR54" s="205" t="str">
        <v/>
      </c>
      <c r="BS54" s="242"/>
      <c r="BT54" s="197" t="str">
        <f t="shared" si="21"/>
        <v/>
      </c>
    </row>
    <row r="55" spans="1:72">
      <c r="A55" s="203">
        <v>46</v>
      </c>
      <c r="B55" s="195" t="str">
        <f t="shared" si="22"/>
        <v/>
      </c>
      <c r="C55" s="195" t="str">
        <v/>
      </c>
      <c r="D55" s="205" t="str">
        <v/>
      </c>
      <c r="E55" s="213"/>
      <c r="F55" s="197" t="str">
        <f t="shared" si="10"/>
        <v/>
      </c>
      <c r="G55" s="203">
        <v>46</v>
      </c>
      <c r="H55" s="195" t="str">
        <f t="shared" si="23"/>
        <v/>
      </c>
      <c r="I55" s="195" t="str">
        <v/>
      </c>
      <c r="J55" s="205" t="str">
        <v/>
      </c>
      <c r="K55" s="242"/>
      <c r="L55" s="197" t="str">
        <f t="shared" si="11"/>
        <v/>
      </c>
      <c r="M55" s="203">
        <v>46</v>
      </c>
      <c r="N55" s="195" t="str">
        <f t="shared" si="24"/>
        <v/>
      </c>
      <c r="O55" s="195" t="str">
        <v/>
      </c>
      <c r="P55" s="205" t="str">
        <v/>
      </c>
      <c r="Q55" s="213"/>
      <c r="R55" s="197" t="str">
        <f t="shared" si="12"/>
        <v/>
      </c>
      <c r="S55" s="203">
        <v>46</v>
      </c>
      <c r="T55" s="195" t="str">
        <f t="shared" si="25"/>
        <v/>
      </c>
      <c r="U55" s="195" t="str">
        <v/>
      </c>
      <c r="V55" s="205" t="str">
        <v/>
      </c>
      <c r="W55" s="213"/>
      <c r="X55" s="197" t="str">
        <f t="shared" si="13"/>
        <v/>
      </c>
      <c r="Y55" s="203">
        <v>46</v>
      </c>
      <c r="Z55" s="195"/>
      <c r="AA55" s="195"/>
      <c r="AB55" s="205"/>
      <c r="AC55" s="213"/>
      <c r="AD55" s="197" t="str">
        <f t="shared" si="14"/>
        <v/>
      </c>
      <c r="AE55" s="203">
        <v>46</v>
      </c>
      <c r="AF55" s="195" t="str">
        <f t="shared" si="26"/>
        <v/>
      </c>
      <c r="AG55" s="195" t="str">
        <v/>
      </c>
      <c r="AH55" s="205" t="str">
        <v/>
      </c>
      <c r="AI55" s="213"/>
      <c r="AJ55" s="197" t="str">
        <f t="shared" si="15"/>
        <v/>
      </c>
      <c r="AK55" s="203">
        <v>46</v>
      </c>
      <c r="AL55" s="198"/>
      <c r="AM55" s="195"/>
      <c r="AN55" s="196"/>
      <c r="AO55" s="254"/>
      <c r="AP55" s="256" t="str">
        <f t="shared" si="16"/>
        <v/>
      </c>
      <c r="AQ55" s="203">
        <v>46</v>
      </c>
      <c r="AR55" s="195" t="str">
        <f t="shared" si="27"/>
        <v/>
      </c>
      <c r="AS55" s="195" t="str">
        <v/>
      </c>
      <c r="AT55" s="205" t="str">
        <v/>
      </c>
      <c r="AU55" s="213"/>
      <c r="AV55" s="197" t="str">
        <f t="shared" si="17"/>
        <v/>
      </c>
      <c r="AW55" s="203">
        <v>46</v>
      </c>
      <c r="AX55" s="195" t="str">
        <f t="shared" si="28"/>
        <v/>
      </c>
      <c r="AY55" s="195" t="str">
        <v/>
      </c>
      <c r="AZ55" s="205" t="str">
        <v/>
      </c>
      <c r="BA55" s="242"/>
      <c r="BB55" s="197" t="str">
        <f t="shared" si="18"/>
        <v/>
      </c>
      <c r="BC55" s="203">
        <v>46</v>
      </c>
      <c r="BD55" s="195" t="str">
        <f t="shared" si="29"/>
        <v/>
      </c>
      <c r="BE55" s="195" t="str">
        <v/>
      </c>
      <c r="BF55" s="205" t="str">
        <v/>
      </c>
      <c r="BG55" s="242"/>
      <c r="BH55" s="197" t="str">
        <f t="shared" si="19"/>
        <v/>
      </c>
      <c r="BI55" s="203">
        <v>46</v>
      </c>
      <c r="BJ55" s="195" t="str">
        <f t="shared" si="30"/>
        <v/>
      </c>
      <c r="BK55" s="195" t="str">
        <v/>
      </c>
      <c r="BL55" s="205" t="str">
        <v/>
      </c>
      <c r="BM55" s="242"/>
      <c r="BN55" s="197" t="str">
        <f t="shared" si="20"/>
        <v/>
      </c>
      <c r="BO55" s="203">
        <v>46</v>
      </c>
      <c r="BP55" s="195" t="str">
        <f t="shared" si="31"/>
        <v/>
      </c>
      <c r="BQ55" s="195" t="str">
        <v/>
      </c>
      <c r="BR55" s="205" t="str">
        <v/>
      </c>
      <c r="BS55" s="242"/>
      <c r="BT55" s="197" t="str">
        <f t="shared" si="21"/>
        <v/>
      </c>
    </row>
    <row r="56" spans="1:72">
      <c r="A56" s="203">
        <v>47</v>
      </c>
      <c r="B56" s="195" t="str">
        <f t="shared" si="22"/>
        <v/>
      </c>
      <c r="C56" s="195" t="str">
        <v/>
      </c>
      <c r="D56" s="205" t="str">
        <v/>
      </c>
      <c r="E56" s="213"/>
      <c r="F56" s="197" t="str">
        <f t="shared" si="10"/>
        <v/>
      </c>
      <c r="G56" s="203">
        <v>47</v>
      </c>
      <c r="H56" s="195" t="str">
        <f t="shared" si="23"/>
        <v/>
      </c>
      <c r="I56" s="195" t="str">
        <v/>
      </c>
      <c r="J56" s="205" t="str">
        <v/>
      </c>
      <c r="K56" s="242"/>
      <c r="L56" s="197" t="str">
        <f t="shared" si="11"/>
        <v/>
      </c>
      <c r="M56" s="203">
        <v>47</v>
      </c>
      <c r="N56" s="195" t="str">
        <f t="shared" si="24"/>
        <v/>
      </c>
      <c r="O56" s="195" t="str">
        <v/>
      </c>
      <c r="P56" s="205" t="str">
        <v/>
      </c>
      <c r="Q56" s="213"/>
      <c r="R56" s="197" t="str">
        <f t="shared" si="12"/>
        <v/>
      </c>
      <c r="S56" s="203">
        <v>47</v>
      </c>
      <c r="T56" s="195" t="str">
        <f t="shared" si="25"/>
        <v/>
      </c>
      <c r="U56" s="195" t="str">
        <v/>
      </c>
      <c r="V56" s="205" t="str">
        <v/>
      </c>
      <c r="W56" s="213"/>
      <c r="X56" s="197" t="str">
        <f t="shared" si="13"/>
        <v/>
      </c>
      <c r="Y56" s="203">
        <v>47</v>
      </c>
      <c r="Z56" s="195"/>
      <c r="AA56" s="195"/>
      <c r="AB56" s="205"/>
      <c r="AC56" s="213"/>
      <c r="AD56" s="197" t="str">
        <f t="shared" si="14"/>
        <v/>
      </c>
      <c r="AE56" s="203">
        <v>47</v>
      </c>
      <c r="AF56" s="195" t="str">
        <f t="shared" si="26"/>
        <v/>
      </c>
      <c r="AG56" s="195" t="str">
        <v/>
      </c>
      <c r="AH56" s="205" t="str">
        <v/>
      </c>
      <c r="AI56" s="213"/>
      <c r="AJ56" s="197" t="str">
        <f t="shared" si="15"/>
        <v/>
      </c>
      <c r="AK56" s="203">
        <v>47</v>
      </c>
      <c r="AL56" s="198"/>
      <c r="AM56" s="195"/>
      <c r="AN56" s="196"/>
      <c r="AO56" s="254"/>
      <c r="AP56" s="256" t="str">
        <f t="shared" si="16"/>
        <v/>
      </c>
      <c r="AQ56" s="203">
        <v>47</v>
      </c>
      <c r="AR56" s="195" t="str">
        <f t="shared" si="27"/>
        <v/>
      </c>
      <c r="AS56" s="195" t="str">
        <v/>
      </c>
      <c r="AT56" s="205" t="str">
        <v/>
      </c>
      <c r="AU56" s="213"/>
      <c r="AV56" s="197" t="str">
        <f t="shared" si="17"/>
        <v/>
      </c>
      <c r="AW56" s="203">
        <v>47</v>
      </c>
      <c r="AX56" s="195" t="str">
        <f t="shared" si="28"/>
        <v/>
      </c>
      <c r="AY56" s="195" t="str">
        <v/>
      </c>
      <c r="AZ56" s="205" t="str">
        <v/>
      </c>
      <c r="BA56" s="242"/>
      <c r="BB56" s="197" t="str">
        <f t="shared" si="18"/>
        <v/>
      </c>
      <c r="BC56" s="203">
        <v>47</v>
      </c>
      <c r="BD56" s="195" t="str">
        <f t="shared" si="29"/>
        <v/>
      </c>
      <c r="BE56" s="195" t="str">
        <v/>
      </c>
      <c r="BF56" s="205" t="str">
        <v/>
      </c>
      <c r="BG56" s="242"/>
      <c r="BH56" s="197" t="str">
        <f t="shared" si="19"/>
        <v/>
      </c>
      <c r="BI56" s="203">
        <v>47</v>
      </c>
      <c r="BJ56" s="195" t="str">
        <f t="shared" si="30"/>
        <v/>
      </c>
      <c r="BK56" s="195" t="str">
        <v/>
      </c>
      <c r="BL56" s="205" t="str">
        <v/>
      </c>
      <c r="BM56" s="242"/>
      <c r="BN56" s="197" t="str">
        <f t="shared" si="20"/>
        <v/>
      </c>
      <c r="BO56" s="203">
        <v>47</v>
      </c>
      <c r="BP56" s="195" t="str">
        <f t="shared" si="31"/>
        <v/>
      </c>
      <c r="BQ56" s="195" t="str">
        <v/>
      </c>
      <c r="BR56" s="205" t="str">
        <v/>
      </c>
      <c r="BS56" s="242"/>
      <c r="BT56" s="197" t="str">
        <f t="shared" si="21"/>
        <v/>
      </c>
    </row>
    <row r="57" spans="1:72">
      <c r="A57" s="203">
        <v>48</v>
      </c>
      <c r="B57" s="195" t="str">
        <f t="shared" si="22"/>
        <v/>
      </c>
      <c r="C57" s="195" t="str">
        <v/>
      </c>
      <c r="D57" s="205" t="str">
        <v/>
      </c>
      <c r="E57" s="213"/>
      <c r="F57" s="197" t="str">
        <f t="shared" si="10"/>
        <v/>
      </c>
      <c r="G57" s="203">
        <v>48</v>
      </c>
      <c r="H57" s="195" t="str">
        <f t="shared" si="23"/>
        <v/>
      </c>
      <c r="I57" s="195" t="str">
        <v/>
      </c>
      <c r="J57" s="205" t="str">
        <v/>
      </c>
      <c r="K57" s="242"/>
      <c r="L57" s="197" t="str">
        <f t="shared" si="11"/>
        <v/>
      </c>
      <c r="M57" s="203">
        <v>48</v>
      </c>
      <c r="N57" s="195" t="str">
        <f t="shared" si="24"/>
        <v/>
      </c>
      <c r="O57" s="195" t="str">
        <v/>
      </c>
      <c r="P57" s="205" t="str">
        <v/>
      </c>
      <c r="Q57" s="213"/>
      <c r="R57" s="197" t="str">
        <f t="shared" si="12"/>
        <v/>
      </c>
      <c r="S57" s="203">
        <v>48</v>
      </c>
      <c r="T57" s="195" t="str">
        <f t="shared" si="25"/>
        <v/>
      </c>
      <c r="U57" s="195" t="str">
        <v/>
      </c>
      <c r="V57" s="205" t="str">
        <v/>
      </c>
      <c r="W57" s="213"/>
      <c r="X57" s="197" t="str">
        <f t="shared" si="13"/>
        <v/>
      </c>
      <c r="Y57" s="203">
        <v>48</v>
      </c>
      <c r="Z57" s="195"/>
      <c r="AA57" s="195"/>
      <c r="AB57" s="205"/>
      <c r="AC57" s="213"/>
      <c r="AD57" s="197" t="str">
        <f t="shared" si="14"/>
        <v/>
      </c>
      <c r="AE57" s="203">
        <v>48</v>
      </c>
      <c r="AF57" s="195" t="str">
        <f t="shared" si="26"/>
        <v/>
      </c>
      <c r="AG57" s="195" t="str">
        <v/>
      </c>
      <c r="AH57" s="205" t="str">
        <v/>
      </c>
      <c r="AI57" s="213"/>
      <c r="AJ57" s="197" t="str">
        <f t="shared" si="15"/>
        <v/>
      </c>
      <c r="AK57" s="203">
        <v>48</v>
      </c>
      <c r="AL57" s="198"/>
      <c r="AM57" s="195"/>
      <c r="AN57" s="196"/>
      <c r="AO57" s="254"/>
      <c r="AP57" s="256" t="str">
        <f t="shared" si="16"/>
        <v/>
      </c>
      <c r="AQ57" s="203">
        <v>48</v>
      </c>
      <c r="AR57" s="195" t="str">
        <f t="shared" si="27"/>
        <v/>
      </c>
      <c r="AS57" s="195" t="str">
        <v/>
      </c>
      <c r="AT57" s="205" t="str">
        <v/>
      </c>
      <c r="AU57" s="213"/>
      <c r="AV57" s="197" t="str">
        <f t="shared" si="17"/>
        <v/>
      </c>
      <c r="AW57" s="203">
        <v>48</v>
      </c>
      <c r="AX57" s="195" t="str">
        <f t="shared" si="28"/>
        <v/>
      </c>
      <c r="AY57" s="195" t="str">
        <v/>
      </c>
      <c r="AZ57" s="205" t="str">
        <v/>
      </c>
      <c r="BA57" s="242"/>
      <c r="BB57" s="197" t="str">
        <f t="shared" si="18"/>
        <v/>
      </c>
      <c r="BC57" s="203">
        <v>48</v>
      </c>
      <c r="BD57" s="195" t="str">
        <f t="shared" si="29"/>
        <v/>
      </c>
      <c r="BE57" s="195" t="str">
        <v/>
      </c>
      <c r="BF57" s="205" t="str">
        <v/>
      </c>
      <c r="BG57" s="242"/>
      <c r="BH57" s="197" t="str">
        <f t="shared" si="19"/>
        <v/>
      </c>
      <c r="BI57" s="203">
        <v>48</v>
      </c>
      <c r="BJ57" s="195" t="str">
        <f t="shared" si="30"/>
        <v/>
      </c>
      <c r="BK57" s="195" t="str">
        <v/>
      </c>
      <c r="BL57" s="205" t="str">
        <v/>
      </c>
      <c r="BM57" s="242"/>
      <c r="BN57" s="197" t="str">
        <f t="shared" si="20"/>
        <v/>
      </c>
      <c r="BO57" s="203">
        <v>48</v>
      </c>
      <c r="BP57" s="195" t="str">
        <f t="shared" si="31"/>
        <v/>
      </c>
      <c r="BQ57" s="195" t="str">
        <v/>
      </c>
      <c r="BR57" s="205" t="str">
        <v/>
      </c>
      <c r="BS57" s="242"/>
      <c r="BT57" s="197" t="str">
        <f t="shared" si="21"/>
        <v/>
      </c>
    </row>
    <row r="58" spans="1:72">
      <c r="A58" s="203">
        <v>49</v>
      </c>
      <c r="B58" s="195" t="str">
        <f t="shared" si="22"/>
        <v/>
      </c>
      <c r="C58" s="195" t="str">
        <v/>
      </c>
      <c r="D58" s="205" t="str">
        <v/>
      </c>
      <c r="E58" s="213"/>
      <c r="F58" s="197" t="str">
        <f t="shared" si="10"/>
        <v/>
      </c>
      <c r="G58" s="203">
        <v>49</v>
      </c>
      <c r="H58" s="195" t="str">
        <f t="shared" si="23"/>
        <v/>
      </c>
      <c r="I58" s="195" t="str">
        <v/>
      </c>
      <c r="J58" s="205" t="str">
        <v/>
      </c>
      <c r="K58" s="242"/>
      <c r="L58" s="197" t="str">
        <f t="shared" si="11"/>
        <v/>
      </c>
      <c r="M58" s="203">
        <v>49</v>
      </c>
      <c r="N58" s="195" t="str">
        <f t="shared" si="24"/>
        <v/>
      </c>
      <c r="O58" s="195" t="str">
        <v/>
      </c>
      <c r="P58" s="205" t="str">
        <v/>
      </c>
      <c r="Q58" s="213"/>
      <c r="R58" s="197" t="str">
        <f t="shared" si="12"/>
        <v/>
      </c>
      <c r="S58" s="203">
        <v>49</v>
      </c>
      <c r="T58" s="195" t="str">
        <f t="shared" si="25"/>
        <v/>
      </c>
      <c r="U58" s="195" t="str">
        <v/>
      </c>
      <c r="V58" s="205" t="str">
        <v/>
      </c>
      <c r="W58" s="213"/>
      <c r="X58" s="197" t="str">
        <f t="shared" si="13"/>
        <v/>
      </c>
      <c r="Y58" s="203">
        <v>49</v>
      </c>
      <c r="Z58" s="195"/>
      <c r="AA58" s="195"/>
      <c r="AB58" s="205"/>
      <c r="AC58" s="213"/>
      <c r="AD58" s="197" t="str">
        <f t="shared" si="14"/>
        <v/>
      </c>
      <c r="AE58" s="203">
        <v>49</v>
      </c>
      <c r="AF58" s="195" t="str">
        <f t="shared" si="26"/>
        <v/>
      </c>
      <c r="AG58" s="195" t="str">
        <v/>
      </c>
      <c r="AH58" s="205" t="str">
        <v/>
      </c>
      <c r="AI58" s="213"/>
      <c r="AJ58" s="197" t="str">
        <f t="shared" si="15"/>
        <v/>
      </c>
      <c r="AK58" s="203">
        <v>49</v>
      </c>
      <c r="AL58" s="198"/>
      <c r="AM58" s="195"/>
      <c r="AN58" s="196"/>
      <c r="AO58" s="254"/>
      <c r="AP58" s="256" t="str">
        <f t="shared" si="16"/>
        <v/>
      </c>
      <c r="AQ58" s="203">
        <v>49</v>
      </c>
      <c r="AR58" s="195" t="str">
        <f t="shared" si="27"/>
        <v/>
      </c>
      <c r="AS58" s="195" t="str">
        <v/>
      </c>
      <c r="AT58" s="205" t="str">
        <v/>
      </c>
      <c r="AU58" s="213"/>
      <c r="AV58" s="197" t="str">
        <f t="shared" si="17"/>
        <v/>
      </c>
      <c r="AW58" s="203">
        <v>49</v>
      </c>
      <c r="AX58" s="195" t="str">
        <f t="shared" si="28"/>
        <v/>
      </c>
      <c r="AY58" s="195" t="str">
        <v/>
      </c>
      <c r="AZ58" s="205" t="str">
        <v/>
      </c>
      <c r="BA58" s="242"/>
      <c r="BB58" s="197" t="str">
        <f t="shared" si="18"/>
        <v/>
      </c>
      <c r="BC58" s="203">
        <v>49</v>
      </c>
      <c r="BD58" s="195" t="str">
        <f t="shared" si="29"/>
        <v/>
      </c>
      <c r="BE58" s="195" t="str">
        <v/>
      </c>
      <c r="BF58" s="205" t="str">
        <v/>
      </c>
      <c r="BG58" s="242"/>
      <c r="BH58" s="197" t="str">
        <f t="shared" si="19"/>
        <v/>
      </c>
      <c r="BI58" s="203">
        <v>49</v>
      </c>
      <c r="BJ58" s="195" t="str">
        <f t="shared" si="30"/>
        <v/>
      </c>
      <c r="BK58" s="195" t="str">
        <v/>
      </c>
      <c r="BL58" s="205" t="str">
        <v/>
      </c>
      <c r="BM58" s="242"/>
      <c r="BN58" s="197" t="str">
        <f t="shared" si="20"/>
        <v/>
      </c>
      <c r="BO58" s="203">
        <v>49</v>
      </c>
      <c r="BP58" s="195" t="str">
        <f t="shared" si="31"/>
        <v/>
      </c>
      <c r="BQ58" s="195" t="str">
        <v/>
      </c>
      <c r="BR58" s="205" t="str">
        <v/>
      </c>
      <c r="BS58" s="242"/>
      <c r="BT58" s="197" t="str">
        <f t="shared" si="21"/>
        <v/>
      </c>
    </row>
    <row r="59" spans="1:72">
      <c r="A59" s="203">
        <v>50</v>
      </c>
      <c r="B59" s="195" t="str">
        <f t="shared" si="22"/>
        <v/>
      </c>
      <c r="C59" s="195" t="str">
        <v/>
      </c>
      <c r="D59" s="205" t="str">
        <v/>
      </c>
      <c r="E59" s="213"/>
      <c r="F59" s="197" t="str">
        <f t="shared" si="10"/>
        <v/>
      </c>
      <c r="G59" s="203">
        <v>50</v>
      </c>
      <c r="H59" s="195" t="str">
        <f t="shared" si="23"/>
        <v/>
      </c>
      <c r="I59" s="195" t="str">
        <v/>
      </c>
      <c r="J59" s="205" t="str">
        <v/>
      </c>
      <c r="K59" s="242"/>
      <c r="L59" s="197" t="str">
        <f t="shared" si="11"/>
        <v/>
      </c>
      <c r="M59" s="203">
        <v>50</v>
      </c>
      <c r="N59" s="195" t="str">
        <f t="shared" si="24"/>
        <v/>
      </c>
      <c r="O59" s="195" t="str">
        <v/>
      </c>
      <c r="P59" s="205" t="str">
        <v/>
      </c>
      <c r="Q59" s="213"/>
      <c r="R59" s="197" t="str">
        <f t="shared" si="12"/>
        <v/>
      </c>
      <c r="S59" s="203">
        <v>50</v>
      </c>
      <c r="T59" s="195" t="str">
        <f t="shared" si="25"/>
        <v/>
      </c>
      <c r="U59" s="195" t="str">
        <v/>
      </c>
      <c r="V59" s="205" t="str">
        <v/>
      </c>
      <c r="W59" s="213"/>
      <c r="X59" s="197" t="str">
        <f t="shared" si="13"/>
        <v/>
      </c>
      <c r="Y59" s="203">
        <v>50</v>
      </c>
      <c r="Z59" s="195"/>
      <c r="AA59" s="195"/>
      <c r="AB59" s="205"/>
      <c r="AC59" s="213"/>
      <c r="AD59" s="197" t="str">
        <f t="shared" si="14"/>
        <v/>
      </c>
      <c r="AE59" s="203">
        <v>50</v>
      </c>
      <c r="AF59" s="195" t="str">
        <f t="shared" si="26"/>
        <v/>
      </c>
      <c r="AG59" s="195" t="str">
        <v/>
      </c>
      <c r="AH59" s="205" t="str">
        <v/>
      </c>
      <c r="AI59" s="213"/>
      <c r="AJ59" s="197" t="str">
        <f t="shared" si="15"/>
        <v/>
      </c>
      <c r="AK59" s="203">
        <v>50</v>
      </c>
      <c r="AL59" s="198"/>
      <c r="AM59" s="195"/>
      <c r="AN59" s="196"/>
      <c r="AO59" s="254"/>
      <c r="AP59" s="256" t="str">
        <f t="shared" si="16"/>
        <v/>
      </c>
      <c r="AQ59" s="203">
        <v>50</v>
      </c>
      <c r="AR59" s="195" t="str">
        <f t="shared" si="27"/>
        <v/>
      </c>
      <c r="AS59" s="195" t="str">
        <v/>
      </c>
      <c r="AT59" s="205" t="str">
        <v/>
      </c>
      <c r="AU59" s="213"/>
      <c r="AV59" s="197" t="str">
        <f t="shared" si="17"/>
        <v/>
      </c>
      <c r="AW59" s="203">
        <v>50</v>
      </c>
      <c r="AX59" s="195" t="str">
        <f t="shared" si="28"/>
        <v/>
      </c>
      <c r="AY59" s="195" t="str">
        <v/>
      </c>
      <c r="AZ59" s="205" t="str">
        <v/>
      </c>
      <c r="BA59" s="242"/>
      <c r="BB59" s="197" t="str">
        <f t="shared" si="18"/>
        <v/>
      </c>
      <c r="BC59" s="203">
        <v>50</v>
      </c>
      <c r="BD59" s="195" t="str">
        <f t="shared" si="29"/>
        <v/>
      </c>
      <c r="BE59" s="195" t="str">
        <v/>
      </c>
      <c r="BF59" s="205" t="str">
        <v/>
      </c>
      <c r="BG59" s="242"/>
      <c r="BH59" s="197" t="str">
        <f t="shared" si="19"/>
        <v/>
      </c>
      <c r="BI59" s="203">
        <v>50</v>
      </c>
      <c r="BJ59" s="195" t="str">
        <f t="shared" si="30"/>
        <v/>
      </c>
      <c r="BK59" s="195" t="str">
        <v/>
      </c>
      <c r="BL59" s="205" t="str">
        <v/>
      </c>
      <c r="BM59" s="242"/>
      <c r="BN59" s="197" t="str">
        <f t="shared" si="20"/>
        <v/>
      </c>
      <c r="BO59" s="203">
        <v>50</v>
      </c>
      <c r="BP59" s="195" t="str">
        <f t="shared" si="31"/>
        <v/>
      </c>
      <c r="BQ59" s="195" t="str">
        <v/>
      </c>
      <c r="BR59" s="205" t="str">
        <v/>
      </c>
      <c r="BS59" s="242"/>
      <c r="BT59" s="197" t="str">
        <f t="shared" si="21"/>
        <v/>
      </c>
    </row>
    <row r="60" spans="1:72">
      <c r="A60" s="203">
        <v>51</v>
      </c>
      <c r="B60" s="195" t="str">
        <f t="shared" si="22"/>
        <v/>
      </c>
      <c r="C60" s="195" t="str">
        <v/>
      </c>
      <c r="D60" s="205" t="str">
        <v/>
      </c>
      <c r="E60" s="213"/>
      <c r="F60" s="197" t="str">
        <f t="shared" si="10"/>
        <v/>
      </c>
      <c r="G60" s="203">
        <v>51</v>
      </c>
      <c r="H60" s="195" t="str">
        <f t="shared" si="23"/>
        <v/>
      </c>
      <c r="I60" s="195" t="str">
        <v/>
      </c>
      <c r="J60" s="205" t="str">
        <v/>
      </c>
      <c r="K60" s="242"/>
      <c r="L60" s="197" t="str">
        <f t="shared" si="11"/>
        <v/>
      </c>
      <c r="M60" s="203">
        <v>51</v>
      </c>
      <c r="N60" s="195" t="str">
        <f t="shared" si="24"/>
        <v/>
      </c>
      <c r="O60" s="195" t="str">
        <v/>
      </c>
      <c r="P60" s="205" t="str">
        <v/>
      </c>
      <c r="Q60" s="213"/>
      <c r="R60" s="197" t="str">
        <f t="shared" si="12"/>
        <v/>
      </c>
      <c r="S60" s="203">
        <v>51</v>
      </c>
      <c r="T60" s="195" t="str">
        <f t="shared" si="25"/>
        <v/>
      </c>
      <c r="U60" s="195" t="str">
        <v/>
      </c>
      <c r="V60" s="205" t="str">
        <v/>
      </c>
      <c r="W60" s="213"/>
      <c r="X60" s="197" t="str">
        <f t="shared" si="13"/>
        <v/>
      </c>
      <c r="Y60" s="203">
        <v>51</v>
      </c>
      <c r="Z60" s="195"/>
      <c r="AA60" s="195"/>
      <c r="AB60" s="205"/>
      <c r="AC60" s="213"/>
      <c r="AD60" s="197" t="str">
        <f t="shared" si="14"/>
        <v/>
      </c>
      <c r="AE60" s="203">
        <v>51</v>
      </c>
      <c r="AF60" s="195" t="str">
        <f t="shared" si="26"/>
        <v/>
      </c>
      <c r="AG60" s="195" t="str">
        <v/>
      </c>
      <c r="AH60" s="205" t="str">
        <v/>
      </c>
      <c r="AI60" s="213"/>
      <c r="AJ60" s="197" t="str">
        <f t="shared" si="15"/>
        <v/>
      </c>
      <c r="AK60" s="203">
        <v>51</v>
      </c>
      <c r="AL60" s="198"/>
      <c r="AM60" s="195"/>
      <c r="AN60" s="196"/>
      <c r="AO60" s="254"/>
      <c r="AP60" s="256" t="str">
        <f t="shared" si="16"/>
        <v/>
      </c>
      <c r="AQ60" s="203">
        <v>51</v>
      </c>
      <c r="AR60" s="195" t="str">
        <f t="shared" si="27"/>
        <v/>
      </c>
      <c r="AS60" s="195" t="str">
        <v/>
      </c>
      <c r="AT60" s="205" t="str">
        <v/>
      </c>
      <c r="AU60" s="213"/>
      <c r="AV60" s="197" t="str">
        <f t="shared" si="17"/>
        <v/>
      </c>
      <c r="AW60" s="203">
        <v>51</v>
      </c>
      <c r="AX60" s="195" t="str">
        <f t="shared" si="28"/>
        <v/>
      </c>
      <c r="AY60" s="195" t="str">
        <v/>
      </c>
      <c r="AZ60" s="205" t="str">
        <v/>
      </c>
      <c r="BA60" s="242"/>
      <c r="BB60" s="197" t="str">
        <f t="shared" si="18"/>
        <v/>
      </c>
      <c r="BC60" s="203">
        <v>51</v>
      </c>
      <c r="BD60" s="195" t="str">
        <f t="shared" si="29"/>
        <v/>
      </c>
      <c r="BE60" s="195" t="str">
        <v/>
      </c>
      <c r="BF60" s="205" t="str">
        <v/>
      </c>
      <c r="BG60" s="242"/>
      <c r="BH60" s="197" t="str">
        <f t="shared" si="19"/>
        <v/>
      </c>
      <c r="BI60" s="203">
        <v>51</v>
      </c>
      <c r="BJ60" s="195" t="str">
        <f t="shared" si="30"/>
        <v/>
      </c>
      <c r="BK60" s="195" t="str">
        <v/>
      </c>
      <c r="BL60" s="205" t="str">
        <v/>
      </c>
      <c r="BM60" s="242"/>
      <c r="BN60" s="197" t="str">
        <f t="shared" si="20"/>
        <v/>
      </c>
      <c r="BO60" s="203">
        <v>51</v>
      </c>
      <c r="BP60" s="195" t="str">
        <f t="shared" si="31"/>
        <v/>
      </c>
      <c r="BQ60" s="195" t="str">
        <v/>
      </c>
      <c r="BR60" s="205" t="str">
        <v/>
      </c>
      <c r="BS60" s="242"/>
      <c r="BT60" s="197" t="str">
        <f t="shared" si="21"/>
        <v/>
      </c>
    </row>
    <row r="61" spans="1:72">
      <c r="A61" s="203">
        <v>52</v>
      </c>
      <c r="B61" s="195" t="str">
        <f t="shared" si="22"/>
        <v/>
      </c>
      <c r="C61" s="195" t="str">
        <v/>
      </c>
      <c r="D61" s="205" t="str">
        <v/>
      </c>
      <c r="E61" s="213"/>
      <c r="F61" s="197" t="str">
        <f t="shared" si="10"/>
        <v/>
      </c>
      <c r="G61" s="203">
        <v>52</v>
      </c>
      <c r="H61" s="195" t="str">
        <f t="shared" si="23"/>
        <v/>
      </c>
      <c r="I61" s="195" t="str">
        <v/>
      </c>
      <c r="J61" s="205" t="str">
        <v/>
      </c>
      <c r="K61" s="242"/>
      <c r="L61" s="197" t="str">
        <f t="shared" si="11"/>
        <v/>
      </c>
      <c r="M61" s="203">
        <v>52</v>
      </c>
      <c r="N61" s="195" t="str">
        <f t="shared" si="24"/>
        <v/>
      </c>
      <c r="O61" s="195" t="str">
        <v/>
      </c>
      <c r="P61" s="205" t="str">
        <v/>
      </c>
      <c r="Q61" s="213"/>
      <c r="R61" s="197" t="str">
        <f t="shared" si="12"/>
        <v/>
      </c>
      <c r="S61" s="203">
        <v>52</v>
      </c>
      <c r="T61" s="195" t="str">
        <f t="shared" si="25"/>
        <v/>
      </c>
      <c r="U61" s="195" t="str">
        <v/>
      </c>
      <c r="V61" s="205" t="str">
        <v/>
      </c>
      <c r="W61" s="213"/>
      <c r="X61" s="197" t="str">
        <f t="shared" si="13"/>
        <v/>
      </c>
      <c r="Y61" s="203">
        <v>52</v>
      </c>
      <c r="Z61" s="195"/>
      <c r="AA61" s="195"/>
      <c r="AB61" s="205"/>
      <c r="AC61" s="213"/>
      <c r="AD61" s="197" t="str">
        <f t="shared" si="14"/>
        <v/>
      </c>
      <c r="AE61" s="203">
        <v>52</v>
      </c>
      <c r="AF61" s="195" t="str">
        <f t="shared" si="26"/>
        <v/>
      </c>
      <c r="AG61" s="195" t="str">
        <v/>
      </c>
      <c r="AH61" s="205" t="str">
        <v/>
      </c>
      <c r="AI61" s="213"/>
      <c r="AJ61" s="197" t="str">
        <f t="shared" si="15"/>
        <v/>
      </c>
      <c r="AK61" s="203">
        <v>52</v>
      </c>
      <c r="AL61" s="198"/>
      <c r="AM61" s="195"/>
      <c r="AN61" s="196"/>
      <c r="AO61" s="254"/>
      <c r="AP61" s="256" t="str">
        <f t="shared" si="16"/>
        <v/>
      </c>
      <c r="AQ61" s="203">
        <v>52</v>
      </c>
      <c r="AR61" s="195" t="str">
        <f t="shared" si="27"/>
        <v/>
      </c>
      <c r="AS61" s="195" t="str">
        <v/>
      </c>
      <c r="AT61" s="205" t="str">
        <v/>
      </c>
      <c r="AU61" s="213"/>
      <c r="AV61" s="197" t="str">
        <f t="shared" si="17"/>
        <v/>
      </c>
      <c r="AW61" s="203">
        <v>52</v>
      </c>
      <c r="AX61" s="195" t="str">
        <f t="shared" si="28"/>
        <v/>
      </c>
      <c r="AY61" s="195" t="str">
        <v/>
      </c>
      <c r="AZ61" s="205" t="str">
        <v/>
      </c>
      <c r="BA61" s="242"/>
      <c r="BB61" s="197" t="str">
        <f t="shared" si="18"/>
        <v/>
      </c>
      <c r="BC61" s="203">
        <v>52</v>
      </c>
      <c r="BD61" s="195" t="str">
        <f t="shared" si="29"/>
        <v/>
      </c>
      <c r="BE61" s="195" t="str">
        <v/>
      </c>
      <c r="BF61" s="205" t="str">
        <v/>
      </c>
      <c r="BG61" s="242"/>
      <c r="BH61" s="197" t="str">
        <f t="shared" si="19"/>
        <v/>
      </c>
      <c r="BI61" s="203">
        <v>52</v>
      </c>
      <c r="BJ61" s="195" t="str">
        <f t="shared" si="30"/>
        <v/>
      </c>
      <c r="BK61" s="195" t="str">
        <v/>
      </c>
      <c r="BL61" s="205" t="str">
        <v/>
      </c>
      <c r="BM61" s="242"/>
      <c r="BN61" s="197" t="str">
        <f t="shared" si="20"/>
        <v/>
      </c>
      <c r="BO61" s="203">
        <v>52</v>
      </c>
      <c r="BP61" s="195" t="str">
        <f t="shared" si="31"/>
        <v/>
      </c>
      <c r="BQ61" s="195" t="str">
        <v/>
      </c>
      <c r="BR61" s="205" t="str">
        <v/>
      </c>
      <c r="BS61" s="242"/>
      <c r="BT61" s="197" t="str">
        <f t="shared" si="21"/>
        <v/>
      </c>
    </row>
    <row r="62" spans="1:72">
      <c r="A62" s="203">
        <v>53</v>
      </c>
      <c r="B62" s="195" t="str">
        <f t="shared" si="22"/>
        <v/>
      </c>
      <c r="C62" s="195" t="str">
        <v/>
      </c>
      <c r="D62" s="205" t="str">
        <v/>
      </c>
      <c r="E62" s="213"/>
      <c r="F62" s="197" t="str">
        <f t="shared" si="10"/>
        <v/>
      </c>
      <c r="G62" s="203">
        <v>53</v>
      </c>
      <c r="H62" s="195" t="str">
        <f t="shared" si="23"/>
        <v/>
      </c>
      <c r="I62" s="195" t="str">
        <v/>
      </c>
      <c r="J62" s="205" t="str">
        <v/>
      </c>
      <c r="K62" s="242"/>
      <c r="L62" s="197" t="str">
        <f t="shared" si="11"/>
        <v/>
      </c>
      <c r="M62" s="203">
        <v>53</v>
      </c>
      <c r="N62" s="195" t="str">
        <f t="shared" si="24"/>
        <v/>
      </c>
      <c r="O62" s="195" t="str">
        <v/>
      </c>
      <c r="P62" s="205" t="str">
        <v/>
      </c>
      <c r="Q62" s="213"/>
      <c r="R62" s="197" t="str">
        <f t="shared" si="12"/>
        <v/>
      </c>
      <c r="S62" s="203">
        <v>53</v>
      </c>
      <c r="T62" s="195" t="str">
        <f t="shared" si="25"/>
        <v/>
      </c>
      <c r="U62" s="195" t="str">
        <v/>
      </c>
      <c r="V62" s="205" t="str">
        <v/>
      </c>
      <c r="W62" s="213"/>
      <c r="X62" s="197" t="str">
        <f t="shared" si="13"/>
        <v/>
      </c>
      <c r="Y62" s="203">
        <v>53</v>
      </c>
      <c r="Z62" s="195"/>
      <c r="AA62" s="195"/>
      <c r="AB62" s="205"/>
      <c r="AC62" s="213"/>
      <c r="AD62" s="197" t="str">
        <f t="shared" si="14"/>
        <v/>
      </c>
      <c r="AE62" s="203">
        <v>53</v>
      </c>
      <c r="AF62" s="195" t="str">
        <f t="shared" si="26"/>
        <v/>
      </c>
      <c r="AG62" s="195" t="str">
        <v/>
      </c>
      <c r="AH62" s="205" t="str">
        <v/>
      </c>
      <c r="AI62" s="213"/>
      <c r="AJ62" s="197" t="str">
        <f t="shared" si="15"/>
        <v/>
      </c>
      <c r="AK62" s="203">
        <v>53</v>
      </c>
      <c r="AL62" s="198"/>
      <c r="AM62" s="195"/>
      <c r="AN62" s="196"/>
      <c r="AO62" s="254"/>
      <c r="AP62" s="256" t="str">
        <f t="shared" si="16"/>
        <v/>
      </c>
      <c r="AQ62" s="203">
        <v>53</v>
      </c>
      <c r="AR62" s="195" t="str">
        <f t="shared" si="27"/>
        <v/>
      </c>
      <c r="AS62" s="195" t="str">
        <v/>
      </c>
      <c r="AT62" s="205" t="str">
        <v/>
      </c>
      <c r="AU62" s="213"/>
      <c r="AV62" s="197" t="str">
        <f t="shared" si="17"/>
        <v/>
      </c>
      <c r="AW62" s="203">
        <v>53</v>
      </c>
      <c r="AX62" s="195" t="str">
        <f t="shared" si="28"/>
        <v/>
      </c>
      <c r="AY62" s="195" t="str">
        <v/>
      </c>
      <c r="AZ62" s="205" t="str">
        <v/>
      </c>
      <c r="BA62" s="242"/>
      <c r="BB62" s="197" t="str">
        <f t="shared" si="18"/>
        <v/>
      </c>
      <c r="BC62" s="203">
        <v>53</v>
      </c>
      <c r="BD62" s="195" t="str">
        <f t="shared" si="29"/>
        <v/>
      </c>
      <c r="BE62" s="195" t="str">
        <v/>
      </c>
      <c r="BF62" s="205" t="str">
        <v/>
      </c>
      <c r="BG62" s="242"/>
      <c r="BH62" s="197" t="str">
        <f t="shared" si="19"/>
        <v/>
      </c>
      <c r="BI62" s="203">
        <v>53</v>
      </c>
      <c r="BJ62" s="195" t="str">
        <f t="shared" si="30"/>
        <v/>
      </c>
      <c r="BK62" s="195" t="str">
        <v/>
      </c>
      <c r="BL62" s="205" t="str">
        <v/>
      </c>
      <c r="BM62" s="242"/>
      <c r="BN62" s="197" t="str">
        <f t="shared" si="20"/>
        <v/>
      </c>
      <c r="BO62" s="203">
        <v>53</v>
      </c>
      <c r="BP62" s="195" t="str">
        <f t="shared" si="31"/>
        <v/>
      </c>
      <c r="BQ62" s="195" t="str">
        <v/>
      </c>
      <c r="BR62" s="205" t="str">
        <v/>
      </c>
      <c r="BS62" s="242"/>
      <c r="BT62" s="197" t="str">
        <f t="shared" si="21"/>
        <v/>
      </c>
    </row>
    <row r="63" spans="1:72">
      <c r="A63" s="203">
        <v>54</v>
      </c>
      <c r="B63" s="195" t="str">
        <f t="shared" si="22"/>
        <v/>
      </c>
      <c r="C63" s="195" t="str">
        <v/>
      </c>
      <c r="D63" s="205" t="str">
        <v/>
      </c>
      <c r="E63" s="213"/>
      <c r="F63" s="197" t="str">
        <f t="shared" si="10"/>
        <v/>
      </c>
      <c r="G63" s="203">
        <v>54</v>
      </c>
      <c r="H63" s="195" t="str">
        <f t="shared" si="23"/>
        <v/>
      </c>
      <c r="I63" s="195" t="str">
        <v/>
      </c>
      <c r="J63" s="205" t="str">
        <v/>
      </c>
      <c r="K63" s="242"/>
      <c r="L63" s="197" t="str">
        <f t="shared" si="11"/>
        <v/>
      </c>
      <c r="M63" s="203">
        <v>54</v>
      </c>
      <c r="N63" s="195" t="str">
        <f t="shared" si="24"/>
        <v/>
      </c>
      <c r="O63" s="195" t="str">
        <v/>
      </c>
      <c r="P63" s="205" t="str">
        <v/>
      </c>
      <c r="Q63" s="213"/>
      <c r="R63" s="197" t="str">
        <f t="shared" si="12"/>
        <v/>
      </c>
      <c r="S63" s="203">
        <v>54</v>
      </c>
      <c r="T63" s="195" t="str">
        <f t="shared" si="25"/>
        <v/>
      </c>
      <c r="U63" s="195" t="str">
        <v/>
      </c>
      <c r="V63" s="205" t="str">
        <v/>
      </c>
      <c r="W63" s="213"/>
      <c r="X63" s="197" t="str">
        <f t="shared" si="13"/>
        <v/>
      </c>
      <c r="Y63" s="203">
        <v>54</v>
      </c>
      <c r="Z63" s="195"/>
      <c r="AA63" s="195"/>
      <c r="AB63" s="205"/>
      <c r="AC63" s="213"/>
      <c r="AD63" s="197" t="str">
        <f t="shared" si="14"/>
        <v/>
      </c>
      <c r="AE63" s="203">
        <v>54</v>
      </c>
      <c r="AF63" s="195" t="str">
        <f t="shared" si="26"/>
        <v/>
      </c>
      <c r="AG63" s="195" t="str">
        <v/>
      </c>
      <c r="AH63" s="205" t="str">
        <v/>
      </c>
      <c r="AI63" s="213"/>
      <c r="AJ63" s="197" t="str">
        <f t="shared" si="15"/>
        <v/>
      </c>
      <c r="AK63" s="203">
        <v>54</v>
      </c>
      <c r="AL63" s="198"/>
      <c r="AM63" s="195"/>
      <c r="AN63" s="196"/>
      <c r="AO63" s="254"/>
      <c r="AP63" s="256" t="str">
        <f t="shared" si="16"/>
        <v/>
      </c>
      <c r="AQ63" s="203">
        <v>54</v>
      </c>
      <c r="AR63" s="195" t="str">
        <f t="shared" si="27"/>
        <v/>
      </c>
      <c r="AS63" s="195" t="str">
        <v/>
      </c>
      <c r="AT63" s="205" t="str">
        <v/>
      </c>
      <c r="AU63" s="213"/>
      <c r="AV63" s="197" t="str">
        <f t="shared" si="17"/>
        <v/>
      </c>
      <c r="AW63" s="203">
        <v>54</v>
      </c>
      <c r="AX63" s="195" t="str">
        <f t="shared" si="28"/>
        <v/>
      </c>
      <c r="AY63" s="195" t="str">
        <v/>
      </c>
      <c r="AZ63" s="205" t="str">
        <v/>
      </c>
      <c r="BA63" s="242"/>
      <c r="BB63" s="197" t="str">
        <f t="shared" si="18"/>
        <v/>
      </c>
      <c r="BC63" s="203">
        <v>54</v>
      </c>
      <c r="BD63" s="195" t="str">
        <f t="shared" si="29"/>
        <v/>
      </c>
      <c r="BE63" s="195" t="str">
        <v/>
      </c>
      <c r="BF63" s="205" t="str">
        <v/>
      </c>
      <c r="BG63" s="242"/>
      <c r="BH63" s="197" t="str">
        <f t="shared" si="19"/>
        <v/>
      </c>
      <c r="BI63" s="203">
        <v>54</v>
      </c>
      <c r="BJ63" s="195" t="str">
        <f t="shared" si="30"/>
        <v/>
      </c>
      <c r="BK63" s="195" t="str">
        <v/>
      </c>
      <c r="BL63" s="205" t="str">
        <v/>
      </c>
      <c r="BM63" s="242"/>
      <c r="BN63" s="197" t="str">
        <f t="shared" si="20"/>
        <v/>
      </c>
      <c r="BO63" s="203">
        <v>54</v>
      </c>
      <c r="BP63" s="195" t="str">
        <f t="shared" si="31"/>
        <v/>
      </c>
      <c r="BQ63" s="195" t="str">
        <v/>
      </c>
      <c r="BR63" s="205" t="str">
        <v/>
      </c>
      <c r="BS63" s="242"/>
      <c r="BT63" s="197" t="str">
        <f t="shared" si="21"/>
        <v/>
      </c>
    </row>
    <row r="64" spans="1:72">
      <c r="A64" s="203">
        <v>55</v>
      </c>
      <c r="B64" s="195" t="str">
        <f t="shared" si="22"/>
        <v/>
      </c>
      <c r="C64" s="195" t="str">
        <v/>
      </c>
      <c r="D64" s="205" t="str">
        <v/>
      </c>
      <c r="E64" s="213"/>
      <c r="F64" s="197" t="str">
        <f t="shared" si="10"/>
        <v/>
      </c>
      <c r="G64" s="203">
        <v>55</v>
      </c>
      <c r="H64" s="195" t="str">
        <f t="shared" si="23"/>
        <v/>
      </c>
      <c r="I64" s="195" t="str">
        <v/>
      </c>
      <c r="J64" s="205" t="str">
        <v/>
      </c>
      <c r="K64" s="242"/>
      <c r="L64" s="197" t="str">
        <f t="shared" si="11"/>
        <v/>
      </c>
      <c r="M64" s="203">
        <v>55</v>
      </c>
      <c r="N64" s="195" t="str">
        <f t="shared" si="24"/>
        <v/>
      </c>
      <c r="O64" s="195" t="str">
        <v/>
      </c>
      <c r="P64" s="205" t="str">
        <v/>
      </c>
      <c r="Q64" s="213"/>
      <c r="R64" s="197" t="str">
        <f t="shared" si="12"/>
        <v/>
      </c>
      <c r="S64" s="203">
        <v>55</v>
      </c>
      <c r="T64" s="195" t="str">
        <f t="shared" si="25"/>
        <v/>
      </c>
      <c r="U64" s="195" t="str">
        <v/>
      </c>
      <c r="V64" s="205" t="str">
        <v/>
      </c>
      <c r="W64" s="213"/>
      <c r="X64" s="197" t="str">
        <f t="shared" si="13"/>
        <v/>
      </c>
      <c r="Y64" s="203">
        <v>55</v>
      </c>
      <c r="Z64" s="195"/>
      <c r="AA64" s="195"/>
      <c r="AB64" s="205"/>
      <c r="AC64" s="213"/>
      <c r="AD64" s="197" t="str">
        <f t="shared" si="14"/>
        <v/>
      </c>
      <c r="AE64" s="203">
        <v>55</v>
      </c>
      <c r="AF64" s="195" t="str">
        <f t="shared" si="26"/>
        <v/>
      </c>
      <c r="AG64" s="195" t="str">
        <v/>
      </c>
      <c r="AH64" s="205" t="str">
        <v/>
      </c>
      <c r="AI64" s="213"/>
      <c r="AJ64" s="197" t="str">
        <f t="shared" si="15"/>
        <v/>
      </c>
      <c r="AK64" s="203">
        <v>55</v>
      </c>
      <c r="AL64" s="198"/>
      <c r="AM64" s="195"/>
      <c r="AN64" s="196"/>
      <c r="AO64" s="254"/>
      <c r="AP64" s="256" t="str">
        <f t="shared" si="16"/>
        <v/>
      </c>
      <c r="AQ64" s="203">
        <v>55</v>
      </c>
      <c r="AR64" s="195" t="str">
        <f t="shared" si="27"/>
        <v/>
      </c>
      <c r="AS64" s="195" t="str">
        <v/>
      </c>
      <c r="AT64" s="205" t="str">
        <v/>
      </c>
      <c r="AU64" s="213"/>
      <c r="AV64" s="197" t="str">
        <f t="shared" si="17"/>
        <v/>
      </c>
      <c r="AW64" s="203">
        <v>55</v>
      </c>
      <c r="AX64" s="195" t="str">
        <f t="shared" si="28"/>
        <v/>
      </c>
      <c r="AY64" s="195" t="str">
        <v/>
      </c>
      <c r="AZ64" s="205" t="str">
        <v/>
      </c>
      <c r="BA64" s="242"/>
      <c r="BB64" s="197" t="str">
        <f t="shared" si="18"/>
        <v/>
      </c>
      <c r="BC64" s="203">
        <v>55</v>
      </c>
      <c r="BD64" s="195" t="str">
        <f t="shared" si="29"/>
        <v/>
      </c>
      <c r="BE64" s="195" t="str">
        <v/>
      </c>
      <c r="BF64" s="205" t="str">
        <v/>
      </c>
      <c r="BG64" s="242"/>
      <c r="BH64" s="197" t="str">
        <f t="shared" si="19"/>
        <v/>
      </c>
      <c r="BI64" s="203">
        <v>55</v>
      </c>
      <c r="BJ64" s="195" t="str">
        <f t="shared" si="30"/>
        <v/>
      </c>
      <c r="BK64" s="195" t="str">
        <v/>
      </c>
      <c r="BL64" s="205" t="str">
        <v/>
      </c>
      <c r="BM64" s="242"/>
      <c r="BN64" s="197" t="str">
        <f t="shared" si="20"/>
        <v/>
      </c>
      <c r="BO64" s="203">
        <v>55</v>
      </c>
      <c r="BP64" s="195" t="str">
        <f t="shared" si="31"/>
        <v/>
      </c>
      <c r="BQ64" s="195" t="str">
        <v/>
      </c>
      <c r="BR64" s="205" t="str">
        <v/>
      </c>
      <c r="BS64" s="242"/>
      <c r="BT64" s="197" t="str">
        <f t="shared" si="21"/>
        <v/>
      </c>
    </row>
    <row r="65" spans="1:72">
      <c r="A65" s="203">
        <v>56</v>
      </c>
      <c r="B65" s="195" t="str">
        <f t="shared" si="22"/>
        <v/>
      </c>
      <c r="C65" s="195" t="str">
        <v/>
      </c>
      <c r="D65" s="205" t="str">
        <v/>
      </c>
      <c r="E65" s="213"/>
      <c r="F65" s="197" t="str">
        <f t="shared" si="10"/>
        <v/>
      </c>
      <c r="G65" s="203">
        <v>56</v>
      </c>
      <c r="H65" s="195" t="str">
        <f t="shared" si="23"/>
        <v/>
      </c>
      <c r="I65" s="195" t="str">
        <v/>
      </c>
      <c r="J65" s="205" t="str">
        <v/>
      </c>
      <c r="K65" s="242"/>
      <c r="L65" s="197" t="str">
        <f t="shared" si="11"/>
        <v/>
      </c>
      <c r="M65" s="203">
        <v>56</v>
      </c>
      <c r="N65" s="195" t="str">
        <f t="shared" si="24"/>
        <v/>
      </c>
      <c r="O65" s="195" t="str">
        <v/>
      </c>
      <c r="P65" s="205" t="str">
        <v/>
      </c>
      <c r="Q65" s="213"/>
      <c r="R65" s="197" t="str">
        <f t="shared" si="12"/>
        <v/>
      </c>
      <c r="S65" s="203">
        <v>56</v>
      </c>
      <c r="T65" s="195" t="str">
        <f t="shared" si="25"/>
        <v/>
      </c>
      <c r="U65" s="195" t="str">
        <v/>
      </c>
      <c r="V65" s="205" t="str">
        <v/>
      </c>
      <c r="W65" s="213"/>
      <c r="X65" s="197" t="str">
        <f t="shared" si="13"/>
        <v/>
      </c>
      <c r="Y65" s="203">
        <v>56</v>
      </c>
      <c r="Z65" s="195"/>
      <c r="AA65" s="195"/>
      <c r="AB65" s="205"/>
      <c r="AC65" s="213"/>
      <c r="AD65" s="197" t="str">
        <f t="shared" si="14"/>
        <v/>
      </c>
      <c r="AE65" s="203">
        <v>56</v>
      </c>
      <c r="AF65" s="195" t="str">
        <f t="shared" si="26"/>
        <v/>
      </c>
      <c r="AG65" s="195" t="str">
        <v/>
      </c>
      <c r="AH65" s="205" t="str">
        <v/>
      </c>
      <c r="AI65" s="213"/>
      <c r="AJ65" s="197" t="str">
        <f t="shared" si="15"/>
        <v/>
      </c>
      <c r="AK65" s="203">
        <v>56</v>
      </c>
      <c r="AL65" s="198"/>
      <c r="AM65" s="195"/>
      <c r="AN65" s="196"/>
      <c r="AO65" s="254"/>
      <c r="AP65" s="256" t="str">
        <f t="shared" si="16"/>
        <v/>
      </c>
      <c r="AQ65" s="203">
        <v>56</v>
      </c>
      <c r="AR65" s="195" t="str">
        <f t="shared" si="27"/>
        <v/>
      </c>
      <c r="AS65" s="195" t="str">
        <v/>
      </c>
      <c r="AT65" s="205" t="str">
        <v/>
      </c>
      <c r="AU65" s="213"/>
      <c r="AV65" s="197" t="str">
        <f t="shared" si="17"/>
        <v/>
      </c>
      <c r="AW65" s="203">
        <v>56</v>
      </c>
      <c r="AX65" s="195" t="str">
        <f t="shared" si="28"/>
        <v/>
      </c>
      <c r="AY65" s="195" t="str">
        <v/>
      </c>
      <c r="AZ65" s="205" t="str">
        <v/>
      </c>
      <c r="BA65" s="242"/>
      <c r="BB65" s="197" t="str">
        <f t="shared" si="18"/>
        <v/>
      </c>
      <c r="BC65" s="203">
        <v>56</v>
      </c>
      <c r="BD65" s="195" t="str">
        <f t="shared" si="29"/>
        <v/>
      </c>
      <c r="BE65" s="195" t="str">
        <v/>
      </c>
      <c r="BF65" s="205" t="str">
        <v/>
      </c>
      <c r="BG65" s="242"/>
      <c r="BH65" s="197" t="str">
        <f t="shared" si="19"/>
        <v/>
      </c>
      <c r="BI65" s="203">
        <v>56</v>
      </c>
      <c r="BJ65" s="195" t="str">
        <f t="shared" si="30"/>
        <v/>
      </c>
      <c r="BK65" s="195" t="str">
        <v/>
      </c>
      <c r="BL65" s="205" t="str">
        <v/>
      </c>
      <c r="BM65" s="242"/>
      <c r="BN65" s="197" t="str">
        <f t="shared" si="20"/>
        <v/>
      </c>
      <c r="BO65" s="203">
        <v>56</v>
      </c>
      <c r="BP65" s="195" t="str">
        <f t="shared" si="31"/>
        <v/>
      </c>
      <c r="BQ65" s="195" t="str">
        <v/>
      </c>
      <c r="BR65" s="205" t="str">
        <v/>
      </c>
      <c r="BS65" s="242"/>
      <c r="BT65" s="197" t="str">
        <f t="shared" si="21"/>
        <v/>
      </c>
    </row>
    <row r="66" spans="1:72">
      <c r="A66" s="203">
        <v>57</v>
      </c>
      <c r="B66" s="195" t="str">
        <f t="shared" si="22"/>
        <v/>
      </c>
      <c r="C66" s="195" t="str">
        <v/>
      </c>
      <c r="D66" s="205" t="str">
        <v/>
      </c>
      <c r="E66" s="213"/>
      <c r="F66" s="197" t="str">
        <f t="shared" si="10"/>
        <v/>
      </c>
      <c r="G66" s="203">
        <v>57</v>
      </c>
      <c r="H66" s="195" t="str">
        <f t="shared" si="23"/>
        <v/>
      </c>
      <c r="I66" s="195" t="str">
        <v/>
      </c>
      <c r="J66" s="205" t="str">
        <v/>
      </c>
      <c r="K66" s="242"/>
      <c r="L66" s="197" t="str">
        <f t="shared" si="11"/>
        <v/>
      </c>
      <c r="M66" s="203">
        <v>57</v>
      </c>
      <c r="N66" s="195" t="str">
        <f t="shared" si="24"/>
        <v/>
      </c>
      <c r="O66" s="195" t="str">
        <v/>
      </c>
      <c r="P66" s="205" t="str">
        <v/>
      </c>
      <c r="Q66" s="213"/>
      <c r="R66" s="197" t="str">
        <f t="shared" si="12"/>
        <v/>
      </c>
      <c r="S66" s="203">
        <v>57</v>
      </c>
      <c r="T66" s="195" t="str">
        <f t="shared" si="25"/>
        <v/>
      </c>
      <c r="U66" s="195" t="str">
        <v/>
      </c>
      <c r="V66" s="205" t="str">
        <v/>
      </c>
      <c r="W66" s="213"/>
      <c r="X66" s="197" t="str">
        <f t="shared" si="13"/>
        <v/>
      </c>
      <c r="Y66" s="203">
        <v>57</v>
      </c>
      <c r="Z66" s="195"/>
      <c r="AA66" s="195"/>
      <c r="AB66" s="205"/>
      <c r="AC66" s="213"/>
      <c r="AD66" s="197" t="str">
        <f t="shared" si="14"/>
        <v/>
      </c>
      <c r="AE66" s="203">
        <v>57</v>
      </c>
      <c r="AF66" s="195" t="str">
        <f t="shared" si="26"/>
        <v/>
      </c>
      <c r="AG66" s="195" t="str">
        <v/>
      </c>
      <c r="AH66" s="205" t="str">
        <v/>
      </c>
      <c r="AI66" s="213"/>
      <c r="AJ66" s="197" t="str">
        <f t="shared" si="15"/>
        <v/>
      </c>
      <c r="AK66" s="203">
        <v>57</v>
      </c>
      <c r="AL66" s="198"/>
      <c r="AM66" s="195"/>
      <c r="AN66" s="196"/>
      <c r="AO66" s="254"/>
      <c r="AP66" s="256" t="str">
        <f t="shared" si="16"/>
        <v/>
      </c>
      <c r="AQ66" s="203">
        <v>57</v>
      </c>
      <c r="AR66" s="195" t="str">
        <f t="shared" si="27"/>
        <v/>
      </c>
      <c r="AS66" s="195" t="str">
        <v/>
      </c>
      <c r="AT66" s="205" t="str">
        <v/>
      </c>
      <c r="AU66" s="213"/>
      <c r="AV66" s="197" t="str">
        <f t="shared" si="17"/>
        <v/>
      </c>
      <c r="AW66" s="203">
        <v>57</v>
      </c>
      <c r="AX66" s="195" t="str">
        <f t="shared" si="28"/>
        <v/>
      </c>
      <c r="AY66" s="195" t="str">
        <v/>
      </c>
      <c r="AZ66" s="205" t="str">
        <v/>
      </c>
      <c r="BA66" s="242"/>
      <c r="BB66" s="197" t="str">
        <f t="shared" si="18"/>
        <v/>
      </c>
      <c r="BC66" s="203">
        <v>57</v>
      </c>
      <c r="BD66" s="195" t="str">
        <f t="shared" si="29"/>
        <v/>
      </c>
      <c r="BE66" s="195" t="str">
        <v/>
      </c>
      <c r="BF66" s="205" t="str">
        <v/>
      </c>
      <c r="BG66" s="242"/>
      <c r="BH66" s="197" t="str">
        <f t="shared" si="19"/>
        <v/>
      </c>
      <c r="BI66" s="203">
        <v>57</v>
      </c>
      <c r="BJ66" s="195" t="str">
        <f t="shared" si="30"/>
        <v/>
      </c>
      <c r="BK66" s="195" t="str">
        <v/>
      </c>
      <c r="BL66" s="205" t="str">
        <v/>
      </c>
      <c r="BM66" s="242"/>
      <c r="BN66" s="197" t="str">
        <f t="shared" si="20"/>
        <v/>
      </c>
      <c r="BO66" s="203">
        <v>57</v>
      </c>
      <c r="BP66" s="195" t="str">
        <f t="shared" si="31"/>
        <v/>
      </c>
      <c r="BQ66" s="195" t="str">
        <v/>
      </c>
      <c r="BR66" s="205" t="str">
        <v/>
      </c>
      <c r="BS66" s="242"/>
      <c r="BT66" s="197" t="str">
        <f t="shared" si="21"/>
        <v/>
      </c>
    </row>
    <row r="67" spans="1:72">
      <c r="A67" s="203">
        <v>58</v>
      </c>
      <c r="B67" s="195" t="str">
        <f t="shared" si="22"/>
        <v/>
      </c>
      <c r="C67" s="195" t="str">
        <v/>
      </c>
      <c r="D67" s="205" t="str">
        <v/>
      </c>
      <c r="E67" s="213"/>
      <c r="F67" s="197" t="str">
        <f t="shared" si="10"/>
        <v/>
      </c>
      <c r="G67" s="203">
        <v>58</v>
      </c>
      <c r="H67" s="195" t="str">
        <f t="shared" si="23"/>
        <v/>
      </c>
      <c r="I67" s="195" t="str">
        <v/>
      </c>
      <c r="J67" s="205" t="str">
        <v/>
      </c>
      <c r="K67" s="242"/>
      <c r="L67" s="197" t="str">
        <f t="shared" si="11"/>
        <v/>
      </c>
      <c r="M67" s="203">
        <v>58</v>
      </c>
      <c r="N67" s="195" t="str">
        <f t="shared" si="24"/>
        <v/>
      </c>
      <c r="O67" s="195" t="str">
        <v/>
      </c>
      <c r="P67" s="205" t="str">
        <v/>
      </c>
      <c r="Q67" s="213"/>
      <c r="R67" s="197" t="str">
        <f t="shared" si="12"/>
        <v/>
      </c>
      <c r="S67" s="203">
        <v>58</v>
      </c>
      <c r="T67" s="195" t="str">
        <f t="shared" si="25"/>
        <v/>
      </c>
      <c r="U67" s="195" t="str">
        <v/>
      </c>
      <c r="V67" s="205" t="str">
        <v/>
      </c>
      <c r="W67" s="213"/>
      <c r="X67" s="197" t="str">
        <f t="shared" si="13"/>
        <v/>
      </c>
      <c r="Y67" s="203">
        <v>58</v>
      </c>
      <c r="Z67" s="195"/>
      <c r="AA67" s="195"/>
      <c r="AB67" s="205"/>
      <c r="AC67" s="213"/>
      <c r="AD67" s="197" t="str">
        <f t="shared" si="14"/>
        <v/>
      </c>
      <c r="AE67" s="203">
        <v>58</v>
      </c>
      <c r="AF67" s="195" t="str">
        <f t="shared" si="26"/>
        <v/>
      </c>
      <c r="AG67" s="195" t="str">
        <v/>
      </c>
      <c r="AH67" s="205" t="str">
        <v/>
      </c>
      <c r="AI67" s="213"/>
      <c r="AJ67" s="197" t="str">
        <f t="shared" si="15"/>
        <v/>
      </c>
      <c r="AK67" s="203">
        <v>58</v>
      </c>
      <c r="AL67" s="198"/>
      <c r="AM67" s="195"/>
      <c r="AN67" s="196"/>
      <c r="AO67" s="254"/>
      <c r="AP67" s="256" t="str">
        <f t="shared" si="16"/>
        <v/>
      </c>
      <c r="AQ67" s="203">
        <v>58</v>
      </c>
      <c r="AR67" s="195" t="str">
        <f t="shared" si="27"/>
        <v/>
      </c>
      <c r="AS67" s="195" t="str">
        <v/>
      </c>
      <c r="AT67" s="205" t="str">
        <v/>
      </c>
      <c r="AU67" s="213"/>
      <c r="AV67" s="197" t="str">
        <f t="shared" si="17"/>
        <v/>
      </c>
      <c r="AW67" s="203">
        <v>58</v>
      </c>
      <c r="AX67" s="195" t="str">
        <f t="shared" si="28"/>
        <v/>
      </c>
      <c r="AY67" s="195" t="str">
        <v/>
      </c>
      <c r="AZ67" s="205" t="str">
        <v/>
      </c>
      <c r="BA67" s="242"/>
      <c r="BB67" s="197" t="str">
        <f t="shared" si="18"/>
        <v/>
      </c>
      <c r="BC67" s="203">
        <v>58</v>
      </c>
      <c r="BD67" s="195" t="str">
        <f t="shared" si="29"/>
        <v/>
      </c>
      <c r="BE67" s="195" t="str">
        <v/>
      </c>
      <c r="BF67" s="205" t="str">
        <v/>
      </c>
      <c r="BG67" s="242"/>
      <c r="BH67" s="197" t="str">
        <f t="shared" si="19"/>
        <v/>
      </c>
      <c r="BI67" s="203">
        <v>58</v>
      </c>
      <c r="BJ67" s="195" t="str">
        <f t="shared" si="30"/>
        <v/>
      </c>
      <c r="BK67" s="195" t="str">
        <v/>
      </c>
      <c r="BL67" s="205" t="str">
        <v/>
      </c>
      <c r="BM67" s="242"/>
      <c r="BN67" s="197" t="str">
        <f t="shared" si="20"/>
        <v/>
      </c>
      <c r="BO67" s="203">
        <v>58</v>
      </c>
      <c r="BP67" s="195" t="str">
        <f t="shared" si="31"/>
        <v/>
      </c>
      <c r="BQ67" s="195" t="str">
        <v/>
      </c>
      <c r="BR67" s="205" t="str">
        <v/>
      </c>
      <c r="BS67" s="242"/>
      <c r="BT67" s="197" t="str">
        <f t="shared" si="21"/>
        <v/>
      </c>
    </row>
    <row r="68" spans="1:72">
      <c r="A68" s="203">
        <v>59</v>
      </c>
      <c r="B68" s="195" t="str">
        <f t="shared" si="22"/>
        <v/>
      </c>
      <c r="C68" s="195" t="str">
        <v/>
      </c>
      <c r="D68" s="205" t="str">
        <v/>
      </c>
      <c r="E68" s="213"/>
      <c r="F68" s="197" t="str">
        <f t="shared" si="10"/>
        <v/>
      </c>
      <c r="G68" s="203">
        <v>59</v>
      </c>
      <c r="H68" s="195" t="str">
        <f t="shared" si="23"/>
        <v/>
      </c>
      <c r="I68" s="195" t="str">
        <v/>
      </c>
      <c r="J68" s="205" t="str">
        <v/>
      </c>
      <c r="K68" s="242"/>
      <c r="L68" s="197" t="str">
        <f t="shared" si="11"/>
        <v/>
      </c>
      <c r="M68" s="203">
        <v>59</v>
      </c>
      <c r="N68" s="195" t="str">
        <f t="shared" si="24"/>
        <v/>
      </c>
      <c r="O68" s="195" t="str">
        <v/>
      </c>
      <c r="P68" s="205" t="str">
        <v/>
      </c>
      <c r="Q68" s="213"/>
      <c r="R68" s="197" t="str">
        <f t="shared" si="12"/>
        <v/>
      </c>
      <c r="S68" s="203">
        <v>59</v>
      </c>
      <c r="T68" s="195" t="str">
        <f t="shared" si="25"/>
        <v/>
      </c>
      <c r="U68" s="195" t="str">
        <v/>
      </c>
      <c r="V68" s="205" t="str">
        <v/>
      </c>
      <c r="W68" s="213"/>
      <c r="X68" s="197" t="str">
        <f t="shared" si="13"/>
        <v/>
      </c>
      <c r="Y68" s="203">
        <v>59</v>
      </c>
      <c r="Z68" s="195"/>
      <c r="AA68" s="195"/>
      <c r="AB68" s="205"/>
      <c r="AC68" s="213"/>
      <c r="AD68" s="197" t="str">
        <f t="shared" si="14"/>
        <v/>
      </c>
      <c r="AE68" s="203">
        <v>59</v>
      </c>
      <c r="AF68" s="195" t="str">
        <f t="shared" si="26"/>
        <v/>
      </c>
      <c r="AG68" s="195" t="str">
        <v/>
      </c>
      <c r="AH68" s="205" t="str">
        <v/>
      </c>
      <c r="AI68" s="213"/>
      <c r="AJ68" s="197" t="str">
        <f t="shared" si="15"/>
        <v/>
      </c>
      <c r="AK68" s="203">
        <v>59</v>
      </c>
      <c r="AL68" s="198"/>
      <c r="AM68" s="195"/>
      <c r="AN68" s="196"/>
      <c r="AO68" s="254"/>
      <c r="AP68" s="256" t="str">
        <f t="shared" si="16"/>
        <v/>
      </c>
      <c r="AQ68" s="203">
        <v>59</v>
      </c>
      <c r="AR68" s="195" t="str">
        <f t="shared" si="27"/>
        <v/>
      </c>
      <c r="AS68" s="195" t="str">
        <v/>
      </c>
      <c r="AT68" s="205" t="str">
        <v/>
      </c>
      <c r="AU68" s="213"/>
      <c r="AV68" s="197" t="str">
        <f t="shared" si="17"/>
        <v/>
      </c>
      <c r="AW68" s="203">
        <v>59</v>
      </c>
      <c r="AX68" s="195" t="str">
        <f t="shared" si="28"/>
        <v/>
      </c>
      <c r="AY68" s="195" t="str">
        <v/>
      </c>
      <c r="AZ68" s="205" t="str">
        <v/>
      </c>
      <c r="BA68" s="242"/>
      <c r="BB68" s="197" t="str">
        <f t="shared" si="18"/>
        <v/>
      </c>
      <c r="BC68" s="203">
        <v>59</v>
      </c>
      <c r="BD68" s="195" t="str">
        <f t="shared" si="29"/>
        <v/>
      </c>
      <c r="BE68" s="195" t="str">
        <v/>
      </c>
      <c r="BF68" s="205" t="str">
        <v/>
      </c>
      <c r="BG68" s="242"/>
      <c r="BH68" s="197" t="str">
        <f t="shared" si="19"/>
        <v/>
      </c>
      <c r="BI68" s="203">
        <v>59</v>
      </c>
      <c r="BJ68" s="195" t="str">
        <f t="shared" si="30"/>
        <v/>
      </c>
      <c r="BK68" s="195" t="str">
        <v/>
      </c>
      <c r="BL68" s="205" t="str">
        <v/>
      </c>
      <c r="BM68" s="242"/>
      <c r="BN68" s="197" t="str">
        <f t="shared" si="20"/>
        <v/>
      </c>
      <c r="BO68" s="203">
        <v>59</v>
      </c>
      <c r="BP68" s="195" t="str">
        <f t="shared" si="31"/>
        <v/>
      </c>
      <c r="BQ68" s="195" t="str">
        <v/>
      </c>
      <c r="BR68" s="205" t="str">
        <v/>
      </c>
      <c r="BS68" s="242"/>
      <c r="BT68" s="197" t="str">
        <f t="shared" si="21"/>
        <v/>
      </c>
    </row>
    <row r="69" spans="1:72">
      <c r="A69" s="203">
        <v>60</v>
      </c>
      <c r="B69" s="195" t="str">
        <f t="shared" si="22"/>
        <v/>
      </c>
      <c r="C69" s="195" t="str">
        <v/>
      </c>
      <c r="D69" s="205" t="str">
        <v/>
      </c>
      <c r="E69" s="213"/>
      <c r="F69" s="197" t="str">
        <f t="shared" si="10"/>
        <v/>
      </c>
      <c r="G69" s="203">
        <v>60</v>
      </c>
      <c r="H69" s="195" t="str">
        <f t="shared" si="23"/>
        <v/>
      </c>
      <c r="I69" s="195" t="str">
        <v/>
      </c>
      <c r="J69" s="205" t="str">
        <v/>
      </c>
      <c r="K69" s="242"/>
      <c r="L69" s="197" t="str">
        <f t="shared" si="11"/>
        <v/>
      </c>
      <c r="M69" s="203">
        <v>60</v>
      </c>
      <c r="N69" s="195" t="str">
        <f t="shared" si="24"/>
        <v/>
      </c>
      <c r="O69" s="195" t="str">
        <v/>
      </c>
      <c r="P69" s="205" t="str">
        <v/>
      </c>
      <c r="Q69" s="213"/>
      <c r="R69" s="197" t="str">
        <f t="shared" si="12"/>
        <v/>
      </c>
      <c r="S69" s="203">
        <v>60</v>
      </c>
      <c r="T69" s="195" t="str">
        <f t="shared" si="25"/>
        <v/>
      </c>
      <c r="U69" s="195" t="str">
        <v/>
      </c>
      <c r="V69" s="205" t="str">
        <v/>
      </c>
      <c r="W69" s="213"/>
      <c r="X69" s="197" t="str">
        <f t="shared" si="13"/>
        <v/>
      </c>
      <c r="Y69" s="203">
        <v>60</v>
      </c>
      <c r="Z69" s="195"/>
      <c r="AA69" s="195"/>
      <c r="AB69" s="205"/>
      <c r="AC69" s="213"/>
      <c r="AD69" s="197" t="str">
        <f t="shared" si="14"/>
        <v/>
      </c>
      <c r="AE69" s="203">
        <v>60</v>
      </c>
      <c r="AF69" s="195" t="str">
        <f t="shared" si="26"/>
        <v/>
      </c>
      <c r="AG69" s="195" t="str">
        <v/>
      </c>
      <c r="AH69" s="205" t="str">
        <v/>
      </c>
      <c r="AI69" s="213"/>
      <c r="AJ69" s="197" t="str">
        <f t="shared" si="15"/>
        <v/>
      </c>
      <c r="AK69" s="203">
        <v>60</v>
      </c>
      <c r="AL69" s="198"/>
      <c r="AM69" s="195"/>
      <c r="AN69" s="196"/>
      <c r="AO69" s="254"/>
      <c r="AP69" s="256" t="str">
        <f t="shared" si="16"/>
        <v/>
      </c>
      <c r="AQ69" s="203">
        <v>60</v>
      </c>
      <c r="AR69" s="195" t="str">
        <f t="shared" si="27"/>
        <v/>
      </c>
      <c r="AS69" s="195" t="str">
        <v/>
      </c>
      <c r="AT69" s="205" t="str">
        <v/>
      </c>
      <c r="AU69" s="213"/>
      <c r="AV69" s="197" t="str">
        <f t="shared" si="17"/>
        <v/>
      </c>
      <c r="AW69" s="203">
        <v>60</v>
      </c>
      <c r="AX69" s="195" t="str">
        <f t="shared" si="28"/>
        <v/>
      </c>
      <c r="AY69" s="195" t="str">
        <v/>
      </c>
      <c r="AZ69" s="205" t="str">
        <v/>
      </c>
      <c r="BA69" s="242"/>
      <c r="BB69" s="197" t="str">
        <f t="shared" si="18"/>
        <v/>
      </c>
      <c r="BC69" s="203">
        <v>60</v>
      </c>
      <c r="BD69" s="195" t="str">
        <f t="shared" si="29"/>
        <v/>
      </c>
      <c r="BE69" s="195" t="str">
        <v/>
      </c>
      <c r="BF69" s="205" t="str">
        <v/>
      </c>
      <c r="BG69" s="242"/>
      <c r="BH69" s="197" t="str">
        <f t="shared" si="19"/>
        <v/>
      </c>
      <c r="BI69" s="203">
        <v>60</v>
      </c>
      <c r="BJ69" s="195" t="str">
        <f t="shared" si="30"/>
        <v/>
      </c>
      <c r="BK69" s="195" t="str">
        <v/>
      </c>
      <c r="BL69" s="205" t="str">
        <v/>
      </c>
      <c r="BM69" s="242"/>
      <c r="BN69" s="197" t="str">
        <f t="shared" si="20"/>
        <v/>
      </c>
      <c r="BO69" s="203">
        <v>60</v>
      </c>
      <c r="BP69" s="195" t="str">
        <f t="shared" si="31"/>
        <v/>
      </c>
      <c r="BQ69" s="195" t="str">
        <v/>
      </c>
      <c r="BR69" s="205" t="str">
        <v/>
      </c>
      <c r="BS69" s="242"/>
      <c r="BT69" s="197" t="str">
        <f t="shared" si="21"/>
        <v/>
      </c>
    </row>
    <row r="70" spans="1:72">
      <c r="A70" s="203">
        <v>61</v>
      </c>
      <c r="B70" s="195" t="str">
        <f t="shared" si="22"/>
        <v/>
      </c>
      <c r="C70" s="195" t="str">
        <v/>
      </c>
      <c r="D70" s="205" t="str">
        <v/>
      </c>
      <c r="E70" s="213"/>
      <c r="F70" s="197" t="str">
        <f t="shared" si="10"/>
        <v/>
      </c>
      <c r="G70" s="203">
        <v>61</v>
      </c>
      <c r="H70" s="195" t="str">
        <f t="shared" si="23"/>
        <v/>
      </c>
      <c r="I70" s="195" t="str">
        <v/>
      </c>
      <c r="J70" s="205" t="str">
        <v/>
      </c>
      <c r="K70" s="242"/>
      <c r="L70" s="197" t="str">
        <f t="shared" si="11"/>
        <v/>
      </c>
      <c r="M70" s="203">
        <v>61</v>
      </c>
      <c r="N70" s="195" t="str">
        <f t="shared" si="24"/>
        <v/>
      </c>
      <c r="O70" s="195" t="str">
        <v/>
      </c>
      <c r="P70" s="205" t="str">
        <v/>
      </c>
      <c r="Q70" s="213"/>
      <c r="R70" s="197" t="str">
        <f t="shared" si="12"/>
        <v/>
      </c>
      <c r="S70" s="203">
        <v>61</v>
      </c>
      <c r="T70" s="195" t="str">
        <f t="shared" si="25"/>
        <v/>
      </c>
      <c r="U70" s="195" t="str">
        <v/>
      </c>
      <c r="V70" s="205" t="str">
        <v/>
      </c>
      <c r="W70" s="213"/>
      <c r="X70" s="197" t="str">
        <f t="shared" si="13"/>
        <v/>
      </c>
      <c r="Y70" s="203">
        <v>61</v>
      </c>
      <c r="Z70" s="195"/>
      <c r="AA70" s="195"/>
      <c r="AB70" s="205"/>
      <c r="AC70" s="213"/>
      <c r="AD70" s="197" t="str">
        <f t="shared" si="14"/>
        <v/>
      </c>
      <c r="AE70" s="203">
        <v>61</v>
      </c>
      <c r="AF70" s="195" t="str">
        <f t="shared" si="26"/>
        <v/>
      </c>
      <c r="AG70" s="195" t="str">
        <v/>
      </c>
      <c r="AH70" s="205" t="str">
        <v/>
      </c>
      <c r="AI70" s="213"/>
      <c r="AJ70" s="197" t="str">
        <f t="shared" si="15"/>
        <v/>
      </c>
      <c r="AK70" s="203">
        <v>61</v>
      </c>
      <c r="AL70" s="198"/>
      <c r="AM70" s="195"/>
      <c r="AN70" s="196"/>
      <c r="AO70" s="254"/>
      <c r="AP70" s="256" t="str">
        <f t="shared" si="16"/>
        <v/>
      </c>
      <c r="AQ70" s="203">
        <v>61</v>
      </c>
      <c r="AR70" s="195" t="str">
        <f t="shared" si="27"/>
        <v/>
      </c>
      <c r="AS70" s="195" t="str">
        <v/>
      </c>
      <c r="AT70" s="205" t="str">
        <v/>
      </c>
      <c r="AU70" s="213"/>
      <c r="AV70" s="197" t="str">
        <f t="shared" si="17"/>
        <v/>
      </c>
      <c r="AW70" s="203">
        <v>61</v>
      </c>
      <c r="AX70" s="195" t="str">
        <f t="shared" si="28"/>
        <v/>
      </c>
      <c r="AY70" s="195" t="str">
        <v/>
      </c>
      <c r="AZ70" s="205" t="str">
        <v/>
      </c>
      <c r="BA70" s="242"/>
      <c r="BB70" s="197" t="str">
        <f t="shared" si="18"/>
        <v/>
      </c>
      <c r="BC70" s="203">
        <v>61</v>
      </c>
      <c r="BD70" s="195" t="str">
        <f t="shared" si="29"/>
        <v/>
      </c>
      <c r="BE70" s="195" t="str">
        <v/>
      </c>
      <c r="BF70" s="205" t="str">
        <v/>
      </c>
      <c r="BG70" s="242"/>
      <c r="BH70" s="197" t="str">
        <f t="shared" si="19"/>
        <v/>
      </c>
      <c r="BI70" s="203">
        <v>61</v>
      </c>
      <c r="BJ70" s="195" t="str">
        <f t="shared" si="30"/>
        <v/>
      </c>
      <c r="BK70" s="195" t="str">
        <v/>
      </c>
      <c r="BL70" s="205" t="str">
        <v/>
      </c>
      <c r="BM70" s="242"/>
      <c r="BN70" s="197" t="str">
        <f t="shared" si="20"/>
        <v/>
      </c>
      <c r="BO70" s="203">
        <v>61</v>
      </c>
      <c r="BP70" s="195" t="str">
        <f t="shared" si="31"/>
        <v/>
      </c>
      <c r="BQ70" s="195" t="str">
        <v/>
      </c>
      <c r="BR70" s="205" t="str">
        <v/>
      </c>
      <c r="BS70" s="242"/>
      <c r="BT70" s="197" t="str">
        <f t="shared" si="21"/>
        <v/>
      </c>
    </row>
    <row r="71" spans="1:72">
      <c r="A71" s="203">
        <v>62</v>
      </c>
      <c r="B71" s="195" t="str">
        <f t="shared" si="22"/>
        <v/>
      </c>
      <c r="C71" s="195" t="str">
        <v/>
      </c>
      <c r="D71" s="205" t="str">
        <v/>
      </c>
      <c r="E71" s="213"/>
      <c r="F71" s="197" t="str">
        <f t="shared" si="10"/>
        <v/>
      </c>
      <c r="G71" s="203">
        <v>62</v>
      </c>
      <c r="H71" s="195" t="str">
        <f t="shared" si="23"/>
        <v/>
      </c>
      <c r="I71" s="195" t="str">
        <v/>
      </c>
      <c r="J71" s="205" t="str">
        <v/>
      </c>
      <c r="K71" s="242"/>
      <c r="L71" s="197" t="str">
        <f t="shared" si="11"/>
        <v/>
      </c>
      <c r="M71" s="203">
        <v>62</v>
      </c>
      <c r="N71" s="195" t="str">
        <f t="shared" si="24"/>
        <v/>
      </c>
      <c r="O71" s="195" t="str">
        <v/>
      </c>
      <c r="P71" s="205" t="str">
        <v/>
      </c>
      <c r="Q71" s="213"/>
      <c r="R71" s="197" t="str">
        <f t="shared" si="12"/>
        <v/>
      </c>
      <c r="S71" s="203">
        <v>62</v>
      </c>
      <c r="T71" s="195" t="str">
        <f t="shared" si="25"/>
        <v/>
      </c>
      <c r="U71" s="195" t="str">
        <v/>
      </c>
      <c r="V71" s="205" t="str">
        <v/>
      </c>
      <c r="W71" s="213"/>
      <c r="X71" s="197" t="str">
        <f t="shared" si="13"/>
        <v/>
      </c>
      <c r="Y71" s="203">
        <v>62</v>
      </c>
      <c r="Z71" s="195"/>
      <c r="AA71" s="195"/>
      <c r="AB71" s="205"/>
      <c r="AC71" s="213"/>
      <c r="AD71" s="197" t="str">
        <f t="shared" si="14"/>
        <v/>
      </c>
      <c r="AE71" s="203">
        <v>62</v>
      </c>
      <c r="AF71" s="195" t="str">
        <f t="shared" si="26"/>
        <v/>
      </c>
      <c r="AG71" s="195" t="str">
        <v/>
      </c>
      <c r="AH71" s="205" t="str">
        <v/>
      </c>
      <c r="AI71" s="213"/>
      <c r="AJ71" s="197" t="str">
        <f t="shared" si="15"/>
        <v/>
      </c>
      <c r="AK71" s="203">
        <v>62</v>
      </c>
      <c r="AL71" s="198"/>
      <c r="AM71" s="195"/>
      <c r="AN71" s="196"/>
      <c r="AO71" s="254"/>
      <c r="AP71" s="256" t="str">
        <f t="shared" si="16"/>
        <v/>
      </c>
      <c r="AQ71" s="203">
        <v>62</v>
      </c>
      <c r="AR71" s="195" t="str">
        <f t="shared" si="27"/>
        <v/>
      </c>
      <c r="AS71" s="195" t="str">
        <v/>
      </c>
      <c r="AT71" s="205" t="str">
        <v/>
      </c>
      <c r="AU71" s="213"/>
      <c r="AV71" s="197" t="str">
        <f t="shared" si="17"/>
        <v/>
      </c>
      <c r="AW71" s="203">
        <v>62</v>
      </c>
      <c r="AX71" s="195" t="str">
        <f t="shared" si="28"/>
        <v/>
      </c>
      <c r="AY71" s="195" t="str">
        <v/>
      </c>
      <c r="AZ71" s="205" t="str">
        <v/>
      </c>
      <c r="BA71" s="242"/>
      <c r="BB71" s="197" t="str">
        <f t="shared" si="18"/>
        <v/>
      </c>
      <c r="BC71" s="203">
        <v>62</v>
      </c>
      <c r="BD71" s="195" t="str">
        <f t="shared" si="29"/>
        <v/>
      </c>
      <c r="BE71" s="195" t="str">
        <v/>
      </c>
      <c r="BF71" s="205" t="str">
        <v/>
      </c>
      <c r="BG71" s="242"/>
      <c r="BH71" s="197" t="str">
        <f t="shared" si="19"/>
        <v/>
      </c>
      <c r="BI71" s="203">
        <v>62</v>
      </c>
      <c r="BJ71" s="195" t="str">
        <f t="shared" si="30"/>
        <v/>
      </c>
      <c r="BK71" s="195" t="str">
        <v/>
      </c>
      <c r="BL71" s="205" t="str">
        <v/>
      </c>
      <c r="BM71" s="242"/>
      <c r="BN71" s="197" t="str">
        <f t="shared" si="20"/>
        <v/>
      </c>
      <c r="BO71" s="203">
        <v>62</v>
      </c>
      <c r="BP71" s="195" t="str">
        <f t="shared" si="31"/>
        <v/>
      </c>
      <c r="BQ71" s="195" t="str">
        <v/>
      </c>
      <c r="BR71" s="205" t="str">
        <v/>
      </c>
      <c r="BS71" s="242"/>
      <c r="BT71" s="197" t="str">
        <f t="shared" si="21"/>
        <v/>
      </c>
    </row>
    <row r="72" spans="1:72">
      <c r="A72" s="203">
        <v>63</v>
      </c>
      <c r="B72" s="195" t="str">
        <f t="shared" si="22"/>
        <v/>
      </c>
      <c r="C72" s="195" t="str">
        <v/>
      </c>
      <c r="D72" s="205" t="str">
        <v/>
      </c>
      <c r="E72" s="213"/>
      <c r="F72" s="197" t="str">
        <f t="shared" si="10"/>
        <v/>
      </c>
      <c r="G72" s="203">
        <v>63</v>
      </c>
      <c r="H72" s="195" t="str">
        <f t="shared" si="23"/>
        <v/>
      </c>
      <c r="I72" s="195" t="str">
        <v/>
      </c>
      <c r="J72" s="205" t="str">
        <v/>
      </c>
      <c r="K72" s="242"/>
      <c r="L72" s="197" t="str">
        <f t="shared" si="11"/>
        <v/>
      </c>
      <c r="M72" s="203">
        <v>63</v>
      </c>
      <c r="N72" s="195" t="str">
        <f t="shared" si="24"/>
        <v/>
      </c>
      <c r="O72" s="195" t="str">
        <v/>
      </c>
      <c r="P72" s="205" t="str">
        <v/>
      </c>
      <c r="Q72" s="213"/>
      <c r="R72" s="197" t="str">
        <f t="shared" si="12"/>
        <v/>
      </c>
      <c r="S72" s="203">
        <v>63</v>
      </c>
      <c r="T72" s="195" t="str">
        <f t="shared" si="25"/>
        <v/>
      </c>
      <c r="U72" s="195" t="str">
        <v/>
      </c>
      <c r="V72" s="205" t="str">
        <v/>
      </c>
      <c r="W72" s="213"/>
      <c r="X72" s="197" t="str">
        <f t="shared" si="13"/>
        <v/>
      </c>
      <c r="Y72" s="203">
        <v>63</v>
      </c>
      <c r="Z72" s="195"/>
      <c r="AA72" s="195"/>
      <c r="AB72" s="205"/>
      <c r="AC72" s="213"/>
      <c r="AD72" s="197" t="str">
        <f t="shared" si="14"/>
        <v/>
      </c>
      <c r="AE72" s="203">
        <v>63</v>
      </c>
      <c r="AF72" s="195" t="str">
        <f t="shared" si="26"/>
        <v/>
      </c>
      <c r="AG72" s="195" t="str">
        <v/>
      </c>
      <c r="AH72" s="205" t="str">
        <v/>
      </c>
      <c r="AI72" s="213"/>
      <c r="AJ72" s="197" t="str">
        <f t="shared" si="15"/>
        <v/>
      </c>
      <c r="AK72" s="203">
        <v>63</v>
      </c>
      <c r="AL72" s="198"/>
      <c r="AM72" s="195"/>
      <c r="AN72" s="196"/>
      <c r="AO72" s="254"/>
      <c r="AP72" s="256" t="str">
        <f t="shared" si="16"/>
        <v/>
      </c>
      <c r="AQ72" s="203">
        <v>63</v>
      </c>
      <c r="AR72" s="195" t="str">
        <f t="shared" si="27"/>
        <v/>
      </c>
      <c r="AS72" s="195" t="str">
        <v/>
      </c>
      <c r="AT72" s="205" t="str">
        <v/>
      </c>
      <c r="AU72" s="213"/>
      <c r="AV72" s="197" t="str">
        <f t="shared" si="17"/>
        <v/>
      </c>
      <c r="AW72" s="203">
        <v>63</v>
      </c>
      <c r="AX72" s="195" t="str">
        <f t="shared" si="28"/>
        <v/>
      </c>
      <c r="AY72" s="195" t="str">
        <v/>
      </c>
      <c r="AZ72" s="205" t="str">
        <v/>
      </c>
      <c r="BA72" s="242"/>
      <c r="BB72" s="197" t="str">
        <f t="shared" si="18"/>
        <v/>
      </c>
      <c r="BC72" s="203">
        <v>63</v>
      </c>
      <c r="BD72" s="195" t="str">
        <f t="shared" si="29"/>
        <v/>
      </c>
      <c r="BE72" s="195" t="str">
        <v/>
      </c>
      <c r="BF72" s="205" t="str">
        <v/>
      </c>
      <c r="BG72" s="242"/>
      <c r="BH72" s="197" t="str">
        <f t="shared" si="19"/>
        <v/>
      </c>
      <c r="BI72" s="203">
        <v>63</v>
      </c>
      <c r="BJ72" s="195" t="str">
        <f t="shared" si="30"/>
        <v/>
      </c>
      <c r="BK72" s="195" t="str">
        <v/>
      </c>
      <c r="BL72" s="205" t="str">
        <v/>
      </c>
      <c r="BM72" s="242"/>
      <c r="BN72" s="197" t="str">
        <f t="shared" si="20"/>
        <v/>
      </c>
      <c r="BO72" s="203">
        <v>63</v>
      </c>
      <c r="BP72" s="195" t="str">
        <f t="shared" si="31"/>
        <v/>
      </c>
      <c r="BQ72" s="195" t="str">
        <v/>
      </c>
      <c r="BR72" s="205" t="str">
        <v/>
      </c>
      <c r="BS72" s="242"/>
      <c r="BT72" s="197" t="str">
        <f t="shared" si="21"/>
        <v/>
      </c>
    </row>
    <row r="73" spans="1:72">
      <c r="A73" s="203">
        <v>64</v>
      </c>
      <c r="B73" s="195" t="str">
        <f t="shared" si="22"/>
        <v/>
      </c>
      <c r="C73" s="195" t="str">
        <v/>
      </c>
      <c r="D73" s="205" t="str">
        <v/>
      </c>
      <c r="E73" s="213"/>
      <c r="F73" s="197" t="str">
        <f t="shared" si="10"/>
        <v/>
      </c>
      <c r="G73" s="203">
        <v>64</v>
      </c>
      <c r="H73" s="195" t="str">
        <f t="shared" si="23"/>
        <v/>
      </c>
      <c r="I73" s="195" t="str">
        <v/>
      </c>
      <c r="J73" s="205" t="str">
        <v/>
      </c>
      <c r="K73" s="242"/>
      <c r="L73" s="197" t="str">
        <f t="shared" si="11"/>
        <v/>
      </c>
      <c r="M73" s="203">
        <v>64</v>
      </c>
      <c r="N73" s="195" t="str">
        <f t="shared" si="24"/>
        <v/>
      </c>
      <c r="O73" s="195" t="str">
        <v/>
      </c>
      <c r="P73" s="205" t="str">
        <v/>
      </c>
      <c r="Q73" s="213"/>
      <c r="R73" s="197" t="str">
        <f t="shared" si="12"/>
        <v/>
      </c>
      <c r="S73" s="203">
        <v>64</v>
      </c>
      <c r="T73" s="195" t="str">
        <f t="shared" si="25"/>
        <v/>
      </c>
      <c r="U73" s="195" t="str">
        <v/>
      </c>
      <c r="V73" s="205" t="str">
        <v/>
      </c>
      <c r="W73" s="213"/>
      <c r="X73" s="197" t="str">
        <f t="shared" si="13"/>
        <v/>
      </c>
      <c r="Y73" s="203">
        <v>64</v>
      </c>
      <c r="Z73" s="195"/>
      <c r="AA73" s="195"/>
      <c r="AB73" s="205"/>
      <c r="AC73" s="213"/>
      <c r="AD73" s="197" t="str">
        <f t="shared" si="14"/>
        <v/>
      </c>
      <c r="AE73" s="203">
        <v>64</v>
      </c>
      <c r="AF73" s="195" t="str">
        <f t="shared" si="26"/>
        <v/>
      </c>
      <c r="AG73" s="195" t="str">
        <v/>
      </c>
      <c r="AH73" s="205" t="str">
        <v/>
      </c>
      <c r="AI73" s="213"/>
      <c r="AJ73" s="197" t="str">
        <f t="shared" si="15"/>
        <v/>
      </c>
      <c r="AK73" s="203">
        <v>64</v>
      </c>
      <c r="AL73" s="198"/>
      <c r="AM73" s="195"/>
      <c r="AN73" s="196"/>
      <c r="AO73" s="254"/>
      <c r="AP73" s="256" t="str">
        <f t="shared" si="16"/>
        <v/>
      </c>
      <c r="AQ73" s="203">
        <v>64</v>
      </c>
      <c r="AR73" s="195" t="str">
        <f t="shared" si="27"/>
        <v/>
      </c>
      <c r="AS73" s="195" t="str">
        <v/>
      </c>
      <c r="AT73" s="205" t="str">
        <v/>
      </c>
      <c r="AU73" s="213"/>
      <c r="AV73" s="197" t="str">
        <f t="shared" si="17"/>
        <v/>
      </c>
      <c r="AW73" s="203">
        <v>64</v>
      </c>
      <c r="AX73" s="195" t="str">
        <f t="shared" si="28"/>
        <v/>
      </c>
      <c r="AY73" s="195" t="str">
        <v/>
      </c>
      <c r="AZ73" s="205" t="str">
        <v/>
      </c>
      <c r="BA73" s="242"/>
      <c r="BB73" s="197" t="str">
        <f t="shared" si="18"/>
        <v/>
      </c>
      <c r="BC73" s="203">
        <v>64</v>
      </c>
      <c r="BD73" s="195" t="str">
        <f t="shared" si="29"/>
        <v/>
      </c>
      <c r="BE73" s="195" t="str">
        <v/>
      </c>
      <c r="BF73" s="205" t="str">
        <v/>
      </c>
      <c r="BG73" s="242"/>
      <c r="BH73" s="197" t="str">
        <f t="shared" si="19"/>
        <v/>
      </c>
      <c r="BI73" s="203">
        <v>64</v>
      </c>
      <c r="BJ73" s="195" t="str">
        <f t="shared" si="30"/>
        <v/>
      </c>
      <c r="BK73" s="195" t="str">
        <v/>
      </c>
      <c r="BL73" s="205" t="str">
        <v/>
      </c>
      <c r="BM73" s="242"/>
      <c r="BN73" s="197" t="str">
        <f t="shared" si="20"/>
        <v/>
      </c>
      <c r="BO73" s="203">
        <v>64</v>
      </c>
      <c r="BP73" s="195" t="str">
        <f t="shared" si="31"/>
        <v/>
      </c>
      <c r="BQ73" s="195" t="str">
        <v/>
      </c>
      <c r="BR73" s="205" t="str">
        <v/>
      </c>
      <c r="BS73" s="242"/>
      <c r="BT73" s="197" t="str">
        <f t="shared" si="21"/>
        <v/>
      </c>
    </row>
    <row r="74" spans="1:72">
      <c r="A74" s="203">
        <v>65</v>
      </c>
      <c r="B74" s="195" t="str">
        <f t="shared" ref="B74:B79" si="32">IF(C74="","",VLOOKUP(C74,Instruments.OIS.GBP,6,0))</f>
        <v/>
      </c>
      <c r="C74" s="195" t="str">
        <v/>
      </c>
      <c r="D74" s="205" t="str">
        <v/>
      </c>
      <c r="E74" s="213"/>
      <c r="F74" s="197" t="str">
        <f t="shared" si="10"/>
        <v/>
      </c>
      <c r="G74" s="203">
        <v>65</v>
      </c>
      <c r="H74" s="195" t="str">
        <f t="shared" ref="H74:H79" si="33">IF(I74="","",VLOOKUP(I74,Instruments.OIS.GBP,6,0))</f>
        <v/>
      </c>
      <c r="I74" s="195" t="str">
        <v/>
      </c>
      <c r="J74" s="205" t="str">
        <v/>
      </c>
      <c r="K74" s="242"/>
      <c r="L74" s="197" t="str">
        <f t="shared" si="11"/>
        <v/>
      </c>
      <c r="M74" s="203">
        <v>65</v>
      </c>
      <c r="N74" s="195" t="str">
        <f t="shared" ref="N74:N79" si="34">IF(O74="","",VLOOKUP(O74,Instruments.OIS.GBP,6,0))</f>
        <v/>
      </c>
      <c r="O74" s="195" t="str">
        <v/>
      </c>
      <c r="P74" s="205" t="str">
        <v/>
      </c>
      <c r="Q74" s="213"/>
      <c r="R74" s="197" t="str">
        <f t="shared" si="12"/>
        <v/>
      </c>
      <c r="S74" s="203">
        <v>65</v>
      </c>
      <c r="T74" s="195" t="str">
        <f t="shared" ref="T74:T79" si="35">IF(U74="","",VLOOKUP(U74,Instruments.Swaps.GBP,6,0))</f>
        <v/>
      </c>
      <c r="U74" s="195" t="str">
        <v/>
      </c>
      <c r="V74" s="205" t="str">
        <v/>
      </c>
      <c r="W74" s="213"/>
      <c r="X74" s="197" t="str">
        <f t="shared" si="13"/>
        <v/>
      </c>
      <c r="Y74" s="203">
        <v>65</v>
      </c>
      <c r="Z74" s="195"/>
      <c r="AA74" s="195"/>
      <c r="AB74" s="205"/>
      <c r="AC74" s="213"/>
      <c r="AD74" s="197" t="str">
        <f t="shared" si="14"/>
        <v/>
      </c>
      <c r="AE74" s="203">
        <v>65</v>
      </c>
      <c r="AF74" s="195" t="str">
        <f t="shared" ref="AF74:AF79" si="36">IF(AG74="","",VLOOKUP(AG74,Instruments.Swaps.GBP,6,0))</f>
        <v/>
      </c>
      <c r="AG74" s="195" t="str">
        <v/>
      </c>
      <c r="AH74" s="205" t="str">
        <v/>
      </c>
      <c r="AI74" s="213"/>
      <c r="AJ74" s="197" t="str">
        <f t="shared" si="15"/>
        <v/>
      </c>
      <c r="AK74" s="203">
        <v>65</v>
      </c>
      <c r="AL74" s="198"/>
      <c r="AM74" s="195"/>
      <c r="AN74" s="196"/>
      <c r="AO74" s="254"/>
      <c r="AP74" s="256" t="str">
        <f t="shared" si="16"/>
        <v/>
      </c>
      <c r="AQ74" s="203">
        <v>65</v>
      </c>
      <c r="AR74" s="195" t="str">
        <f t="shared" ref="AR74:AR79" si="37">IF(AS74="","",VLOOKUP(AS74,Instruments.Swaps.GBP,6,0))</f>
        <v/>
      </c>
      <c r="AS74" s="195" t="str">
        <v/>
      </c>
      <c r="AT74" s="205" t="str">
        <v/>
      </c>
      <c r="AU74" s="213"/>
      <c r="AV74" s="197" t="str">
        <f t="shared" si="17"/>
        <v/>
      </c>
      <c r="AW74" s="203">
        <v>65</v>
      </c>
      <c r="AX74" s="195" t="str">
        <f t="shared" ref="AX74:AX79" si="38">IF(AY74="","",VLOOKUP(AY74,Instruments.TenorBasis1.GBP,6,0))</f>
        <v/>
      </c>
      <c r="AY74" s="195" t="str">
        <v/>
      </c>
      <c r="AZ74" s="205" t="str">
        <v/>
      </c>
      <c r="BA74" s="242"/>
      <c r="BB74" s="197" t="str">
        <f t="shared" si="18"/>
        <v/>
      </c>
      <c r="BC74" s="203">
        <v>65</v>
      </c>
      <c r="BD74" s="195" t="str">
        <f t="shared" ref="BD74:BD79" si="39">IF(BE74="","",VLOOKUP(BE74,Instruments.TenorBasis2.GBP,6,0))</f>
        <v/>
      </c>
      <c r="BE74" s="195" t="str">
        <v/>
      </c>
      <c r="BF74" s="205" t="str">
        <v/>
      </c>
      <c r="BG74" s="242"/>
      <c r="BH74" s="197" t="str">
        <f t="shared" si="19"/>
        <v/>
      </c>
      <c r="BI74" s="203">
        <v>65</v>
      </c>
      <c r="BJ74" s="195" t="str">
        <f t="shared" ref="BJ74:BJ79" si="40">IF(BK74="","",VLOOKUP(BK74,Instruments.TenorBasis3.GBP,6,0))</f>
        <v/>
      </c>
      <c r="BK74" s="195" t="str">
        <v/>
      </c>
      <c r="BL74" s="205" t="str">
        <v/>
      </c>
      <c r="BM74" s="242"/>
      <c r="BN74" s="197" t="str">
        <f t="shared" si="20"/>
        <v/>
      </c>
      <c r="BO74" s="203">
        <v>65</v>
      </c>
      <c r="BP74" s="195" t="str">
        <f t="shared" ref="BP74:BP79" si="41">IF(BQ74="","",VLOOKUP(BQ74,Instruments.XccyBasis.GBP,6,0))</f>
        <v/>
      </c>
      <c r="BQ74" s="195" t="str">
        <v/>
      </c>
      <c r="BR74" s="205" t="str">
        <v/>
      </c>
      <c r="BS74" s="242"/>
      <c r="BT74" s="197" t="str">
        <f t="shared" si="21"/>
        <v/>
      </c>
    </row>
    <row r="75" spans="1:72">
      <c r="A75" s="203">
        <v>66</v>
      </c>
      <c r="B75" s="195" t="str">
        <f t="shared" si="32"/>
        <v/>
      </c>
      <c r="C75" s="195" t="str">
        <v/>
      </c>
      <c r="D75" s="205" t="str">
        <v/>
      </c>
      <c r="E75" s="213"/>
      <c r="F75" s="197" t="str">
        <f t="shared" ref="F75:F79" si="42">IF(D75="","",D75/100+E75+F$7)</f>
        <v/>
      </c>
      <c r="G75" s="203">
        <v>66</v>
      </c>
      <c r="H75" s="195" t="str">
        <f t="shared" si="33"/>
        <v/>
      </c>
      <c r="I75" s="195" t="str">
        <v/>
      </c>
      <c r="J75" s="205" t="str">
        <v/>
      </c>
      <c r="K75" s="242"/>
      <c r="L75" s="197" t="str">
        <f t="shared" ref="L75:L79" si="43">IF(J75="","",(J75+K75+L$7)/10000)</f>
        <v/>
      </c>
      <c r="M75" s="203">
        <v>66</v>
      </c>
      <c r="N75" s="195" t="str">
        <f t="shared" si="34"/>
        <v/>
      </c>
      <c r="O75" s="195" t="str">
        <v/>
      </c>
      <c r="P75" s="205" t="str">
        <v/>
      </c>
      <c r="Q75" s="213"/>
      <c r="R75" s="197" t="str">
        <f t="shared" ref="R75:R79" si="44">IF(P75="","",P75/100+Q75+R$7)</f>
        <v/>
      </c>
      <c r="S75" s="203">
        <v>66</v>
      </c>
      <c r="T75" s="195" t="str">
        <f t="shared" si="35"/>
        <v/>
      </c>
      <c r="U75" s="195" t="str">
        <v/>
      </c>
      <c r="V75" s="205" t="str">
        <v/>
      </c>
      <c r="W75" s="213"/>
      <c r="X75" s="197" t="str">
        <f t="shared" ref="X75:X79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si="46">IF(AB75="","",AB75/100+AC75+AD$7)</f>
        <v/>
      </c>
      <c r="AE75" s="203">
        <v>66</v>
      </c>
      <c r="AF75" s="195" t="str">
        <f t="shared" si="36"/>
        <v/>
      </c>
      <c r="AG75" s="195" t="str">
        <v/>
      </c>
      <c r="AH75" s="205" t="str">
        <v/>
      </c>
      <c r="AI75" s="213"/>
      <c r="AJ75" s="197" t="str">
        <f t="shared" ref="AJ75:AJ79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si="48">IF(AN75="","",AN75+AO75+AP$7)</f>
        <v/>
      </c>
      <c r="AQ75" s="203">
        <v>66</v>
      </c>
      <c r="AR75" s="195" t="str">
        <f t="shared" si="37"/>
        <v/>
      </c>
      <c r="AS75" s="195" t="str">
        <v/>
      </c>
      <c r="AT75" s="205" t="str">
        <v/>
      </c>
      <c r="AU75" s="213"/>
      <c r="AV75" s="197" t="str">
        <f t="shared" ref="AV75:AV79" si="49">IF(AT75="","",AT75/100+AU75+AV$7)</f>
        <v/>
      </c>
      <c r="AW75" s="203">
        <v>66</v>
      </c>
      <c r="AX75" s="195" t="str">
        <f t="shared" si="38"/>
        <v/>
      </c>
      <c r="AY75" s="195" t="str">
        <v/>
      </c>
      <c r="AZ75" s="205" t="str">
        <v/>
      </c>
      <c r="BA75" s="242"/>
      <c r="BB75" s="197" t="str">
        <f t="shared" ref="BB75:BB79" si="50">IF(AZ75="","",(AZ75+BA75+BB$7)/10000)</f>
        <v/>
      </c>
      <c r="BC75" s="203">
        <v>66</v>
      </c>
      <c r="BD75" s="195" t="str">
        <f t="shared" si="39"/>
        <v/>
      </c>
      <c r="BE75" s="195" t="str">
        <v/>
      </c>
      <c r="BF75" s="205" t="str">
        <v/>
      </c>
      <c r="BG75" s="242"/>
      <c r="BH75" s="197" t="str">
        <f t="shared" ref="BH75:BH79" si="51">IF(BF75="","",(BF75+BG75+BH$7)/10000)</f>
        <v/>
      </c>
      <c r="BI75" s="203">
        <v>66</v>
      </c>
      <c r="BJ75" s="195" t="str">
        <f t="shared" si="40"/>
        <v/>
      </c>
      <c r="BK75" s="195" t="str">
        <v/>
      </c>
      <c r="BL75" s="205" t="str">
        <v/>
      </c>
      <c r="BM75" s="242"/>
      <c r="BN75" s="197" t="str">
        <f t="shared" ref="BN75:BN79" si="52">IF(BL75="","",(BL75+BM75+BN$7)/10000)</f>
        <v/>
      </c>
      <c r="BO75" s="203">
        <v>66</v>
      </c>
      <c r="BP75" s="195" t="str">
        <f t="shared" si="41"/>
        <v/>
      </c>
      <c r="BQ75" s="195" t="str">
        <v/>
      </c>
      <c r="BR75" s="205" t="str">
        <v/>
      </c>
      <c r="BS75" s="242"/>
      <c r="BT75" s="197" t="str">
        <f t="shared" ref="BT75:BT79" si="53">IF(BR75="","",(BR75+BS75+BT$7)/10000)</f>
        <v/>
      </c>
    </row>
    <row r="76" spans="1:72">
      <c r="A76" s="203">
        <v>67</v>
      </c>
      <c r="B76" s="195" t="str">
        <f t="shared" si="32"/>
        <v/>
      </c>
      <c r="C76" s="195" t="str">
        <v/>
      </c>
      <c r="D76" s="205" t="str">
        <v/>
      </c>
      <c r="E76" s="213"/>
      <c r="F76" s="197" t="str">
        <f t="shared" si="42"/>
        <v/>
      </c>
      <c r="G76" s="203">
        <v>67</v>
      </c>
      <c r="H76" s="195" t="str">
        <f t="shared" si="33"/>
        <v/>
      </c>
      <c r="I76" s="195" t="str">
        <v/>
      </c>
      <c r="J76" s="205" t="str">
        <v/>
      </c>
      <c r="K76" s="242"/>
      <c r="L76" s="197" t="str">
        <f t="shared" si="43"/>
        <v/>
      </c>
      <c r="M76" s="203">
        <v>67</v>
      </c>
      <c r="N76" s="195" t="str">
        <f t="shared" si="34"/>
        <v/>
      </c>
      <c r="O76" s="195" t="str">
        <v/>
      </c>
      <c r="P76" s="205" t="str">
        <v/>
      </c>
      <c r="Q76" s="213"/>
      <c r="R76" s="197" t="str">
        <f t="shared" si="44"/>
        <v/>
      </c>
      <c r="S76" s="203">
        <v>67</v>
      </c>
      <c r="T76" s="195" t="str">
        <f t="shared" si="35"/>
        <v/>
      </c>
      <c r="U76" s="195" t="str">
        <v/>
      </c>
      <c r="V76" s="205" t="str">
        <v/>
      </c>
      <c r="W76" s="213"/>
      <c r="X76" s="197" t="str">
        <f t="shared" si="45"/>
        <v/>
      </c>
      <c r="Y76" s="203">
        <v>67</v>
      </c>
      <c r="Z76" s="195"/>
      <c r="AA76" s="195"/>
      <c r="AB76" s="205"/>
      <c r="AC76" s="213"/>
      <c r="AD76" s="197" t="str">
        <f t="shared" si="46"/>
        <v/>
      </c>
      <c r="AE76" s="203">
        <v>67</v>
      </c>
      <c r="AF76" s="195" t="str">
        <f t="shared" si="36"/>
        <v/>
      </c>
      <c r="AG76" s="195" t="str">
        <v/>
      </c>
      <c r="AH76" s="205" t="str">
        <v/>
      </c>
      <c r="AI76" s="213"/>
      <c r="AJ76" s="197" t="str">
        <f t="shared" si="47"/>
        <v/>
      </c>
      <c r="AK76" s="203">
        <v>67</v>
      </c>
      <c r="AL76" s="198"/>
      <c r="AM76" s="195"/>
      <c r="AN76" s="196"/>
      <c r="AO76" s="254"/>
      <c r="AP76" s="256" t="str">
        <f t="shared" si="48"/>
        <v/>
      </c>
      <c r="AQ76" s="203">
        <v>67</v>
      </c>
      <c r="AR76" s="195" t="str">
        <f t="shared" si="37"/>
        <v/>
      </c>
      <c r="AS76" s="195" t="str">
        <v/>
      </c>
      <c r="AT76" s="205" t="str">
        <v/>
      </c>
      <c r="AU76" s="213"/>
      <c r="AV76" s="197" t="str">
        <f t="shared" si="49"/>
        <v/>
      </c>
      <c r="AW76" s="203">
        <v>67</v>
      </c>
      <c r="AX76" s="195" t="str">
        <f t="shared" si="38"/>
        <v/>
      </c>
      <c r="AY76" s="195" t="str">
        <v/>
      </c>
      <c r="AZ76" s="205" t="str">
        <v/>
      </c>
      <c r="BA76" s="242"/>
      <c r="BB76" s="197" t="str">
        <f t="shared" si="50"/>
        <v/>
      </c>
      <c r="BC76" s="203">
        <v>67</v>
      </c>
      <c r="BD76" s="195" t="str">
        <f t="shared" si="39"/>
        <v/>
      </c>
      <c r="BE76" s="195" t="str">
        <v/>
      </c>
      <c r="BF76" s="205" t="str">
        <v/>
      </c>
      <c r="BG76" s="242"/>
      <c r="BH76" s="197" t="str">
        <f t="shared" si="51"/>
        <v/>
      </c>
      <c r="BI76" s="203">
        <v>67</v>
      </c>
      <c r="BJ76" s="195" t="str">
        <f t="shared" si="40"/>
        <v/>
      </c>
      <c r="BK76" s="195" t="str">
        <v/>
      </c>
      <c r="BL76" s="205" t="str">
        <v/>
      </c>
      <c r="BM76" s="242"/>
      <c r="BN76" s="197" t="str">
        <f t="shared" si="52"/>
        <v/>
      </c>
      <c r="BO76" s="203">
        <v>67</v>
      </c>
      <c r="BP76" s="195" t="str">
        <f t="shared" si="41"/>
        <v/>
      </c>
      <c r="BQ76" s="195" t="str">
        <v/>
      </c>
      <c r="BR76" s="205" t="str">
        <v/>
      </c>
      <c r="BS76" s="242"/>
      <c r="BT76" s="197" t="str">
        <f t="shared" si="53"/>
        <v/>
      </c>
    </row>
    <row r="77" spans="1:72">
      <c r="A77" s="203">
        <v>68</v>
      </c>
      <c r="B77" s="195" t="str">
        <f t="shared" si="32"/>
        <v/>
      </c>
      <c r="C77" s="195" t="str">
        <v/>
      </c>
      <c r="D77" s="205" t="str">
        <v/>
      </c>
      <c r="E77" s="213"/>
      <c r="F77" s="197" t="str">
        <f t="shared" si="42"/>
        <v/>
      </c>
      <c r="G77" s="203">
        <v>68</v>
      </c>
      <c r="H77" s="195" t="str">
        <f t="shared" si="33"/>
        <v/>
      </c>
      <c r="I77" s="195" t="str">
        <v/>
      </c>
      <c r="J77" s="205" t="str">
        <v/>
      </c>
      <c r="K77" s="242"/>
      <c r="L77" s="197" t="str">
        <f t="shared" si="43"/>
        <v/>
      </c>
      <c r="M77" s="203">
        <v>68</v>
      </c>
      <c r="N77" s="195" t="str">
        <f t="shared" si="34"/>
        <v/>
      </c>
      <c r="O77" s="195" t="str">
        <v/>
      </c>
      <c r="P77" s="205" t="str">
        <v/>
      </c>
      <c r="Q77" s="213"/>
      <c r="R77" s="197" t="str">
        <f t="shared" si="44"/>
        <v/>
      </c>
      <c r="S77" s="203">
        <v>68</v>
      </c>
      <c r="T77" s="195" t="str">
        <f t="shared" si="35"/>
        <v/>
      </c>
      <c r="U77" s="195" t="str">
        <v/>
      </c>
      <c r="V77" s="205" t="str">
        <v/>
      </c>
      <c r="W77" s="213"/>
      <c r="X77" s="197" t="str">
        <f t="shared" si="45"/>
        <v/>
      </c>
      <c r="Y77" s="203">
        <v>68</v>
      </c>
      <c r="Z77" s="195"/>
      <c r="AA77" s="195"/>
      <c r="AB77" s="205"/>
      <c r="AC77" s="213"/>
      <c r="AD77" s="197" t="str">
        <f t="shared" si="46"/>
        <v/>
      </c>
      <c r="AE77" s="203">
        <v>68</v>
      </c>
      <c r="AF77" s="195" t="str">
        <f t="shared" si="36"/>
        <v/>
      </c>
      <c r="AG77" s="195" t="str">
        <v/>
      </c>
      <c r="AH77" s="205" t="str">
        <v/>
      </c>
      <c r="AI77" s="213"/>
      <c r="AJ77" s="197" t="str">
        <f t="shared" si="47"/>
        <v/>
      </c>
      <c r="AK77" s="203">
        <v>68</v>
      </c>
      <c r="AL77" s="198"/>
      <c r="AM77" s="195"/>
      <c r="AN77" s="196"/>
      <c r="AO77" s="254"/>
      <c r="AP77" s="256" t="str">
        <f t="shared" si="48"/>
        <v/>
      </c>
      <c r="AQ77" s="203">
        <v>68</v>
      </c>
      <c r="AR77" s="195" t="str">
        <f t="shared" si="37"/>
        <v/>
      </c>
      <c r="AS77" s="195" t="str">
        <v/>
      </c>
      <c r="AT77" s="205" t="str">
        <v/>
      </c>
      <c r="AU77" s="213"/>
      <c r="AV77" s="197" t="str">
        <f t="shared" si="49"/>
        <v/>
      </c>
      <c r="AW77" s="203">
        <v>68</v>
      </c>
      <c r="AX77" s="195" t="str">
        <f t="shared" si="38"/>
        <v/>
      </c>
      <c r="AY77" s="195" t="str">
        <v/>
      </c>
      <c r="AZ77" s="205" t="str">
        <v/>
      </c>
      <c r="BA77" s="242"/>
      <c r="BB77" s="197" t="str">
        <f t="shared" si="50"/>
        <v/>
      </c>
      <c r="BC77" s="203">
        <v>68</v>
      </c>
      <c r="BD77" s="195" t="str">
        <f t="shared" si="39"/>
        <v/>
      </c>
      <c r="BE77" s="195" t="str">
        <v/>
      </c>
      <c r="BF77" s="205" t="str">
        <v/>
      </c>
      <c r="BG77" s="242"/>
      <c r="BH77" s="197" t="str">
        <f t="shared" si="51"/>
        <v/>
      </c>
      <c r="BI77" s="203">
        <v>68</v>
      </c>
      <c r="BJ77" s="195" t="str">
        <f t="shared" si="40"/>
        <v/>
      </c>
      <c r="BK77" s="195" t="str">
        <v/>
      </c>
      <c r="BL77" s="205" t="str">
        <v/>
      </c>
      <c r="BM77" s="242"/>
      <c r="BN77" s="197" t="str">
        <f t="shared" si="52"/>
        <v/>
      </c>
      <c r="BO77" s="203">
        <v>68</v>
      </c>
      <c r="BP77" s="195" t="str">
        <f t="shared" si="41"/>
        <v/>
      </c>
      <c r="BQ77" s="195" t="str">
        <v/>
      </c>
      <c r="BR77" s="205" t="str">
        <v/>
      </c>
      <c r="BS77" s="242"/>
      <c r="BT77" s="197" t="str">
        <f t="shared" si="53"/>
        <v/>
      </c>
    </row>
    <row r="78" spans="1:72">
      <c r="A78" s="203">
        <v>69</v>
      </c>
      <c r="B78" s="195" t="str">
        <f t="shared" si="32"/>
        <v/>
      </c>
      <c r="C78" s="195" t="str">
        <v/>
      </c>
      <c r="D78" s="205" t="str">
        <v/>
      </c>
      <c r="E78" s="213"/>
      <c r="F78" s="197" t="str">
        <f t="shared" si="42"/>
        <v/>
      </c>
      <c r="G78" s="203">
        <v>69</v>
      </c>
      <c r="H78" s="195" t="str">
        <f t="shared" si="33"/>
        <v/>
      </c>
      <c r="I78" s="195" t="str">
        <v/>
      </c>
      <c r="J78" s="205" t="str">
        <v/>
      </c>
      <c r="K78" s="242"/>
      <c r="L78" s="197" t="str">
        <f t="shared" si="43"/>
        <v/>
      </c>
      <c r="M78" s="203">
        <v>69</v>
      </c>
      <c r="N78" s="195" t="str">
        <f t="shared" si="34"/>
        <v/>
      </c>
      <c r="O78" s="195" t="str">
        <v/>
      </c>
      <c r="P78" s="205" t="str">
        <v/>
      </c>
      <c r="Q78" s="213"/>
      <c r="R78" s="197" t="str">
        <f t="shared" si="44"/>
        <v/>
      </c>
      <c r="S78" s="203">
        <v>69</v>
      </c>
      <c r="T78" s="195" t="str">
        <f t="shared" si="35"/>
        <v/>
      </c>
      <c r="U78" s="195" t="str">
        <v/>
      </c>
      <c r="V78" s="205" t="str">
        <v/>
      </c>
      <c r="W78" s="213"/>
      <c r="X78" s="197" t="str">
        <f t="shared" si="45"/>
        <v/>
      </c>
      <c r="Y78" s="203">
        <v>69</v>
      </c>
      <c r="Z78" s="195"/>
      <c r="AA78" s="195"/>
      <c r="AB78" s="205"/>
      <c r="AC78" s="213"/>
      <c r="AD78" s="197" t="str">
        <f t="shared" si="46"/>
        <v/>
      </c>
      <c r="AE78" s="203">
        <v>69</v>
      </c>
      <c r="AF78" s="195" t="str">
        <f t="shared" si="36"/>
        <v/>
      </c>
      <c r="AG78" s="195" t="str">
        <v/>
      </c>
      <c r="AH78" s="205" t="str">
        <v/>
      </c>
      <c r="AI78" s="213"/>
      <c r="AJ78" s="197" t="str">
        <f t="shared" si="47"/>
        <v/>
      </c>
      <c r="AK78" s="203">
        <v>69</v>
      </c>
      <c r="AL78" s="198"/>
      <c r="AM78" s="195"/>
      <c r="AN78" s="196"/>
      <c r="AO78" s="254"/>
      <c r="AP78" s="256" t="str">
        <f t="shared" si="48"/>
        <v/>
      </c>
      <c r="AQ78" s="203">
        <v>69</v>
      </c>
      <c r="AR78" s="195" t="str">
        <f t="shared" si="37"/>
        <v/>
      </c>
      <c r="AS78" s="195" t="str">
        <v/>
      </c>
      <c r="AT78" s="205" t="str">
        <v/>
      </c>
      <c r="AU78" s="213"/>
      <c r="AV78" s="197" t="str">
        <f t="shared" si="49"/>
        <v/>
      </c>
      <c r="AW78" s="203">
        <v>69</v>
      </c>
      <c r="AX78" s="195" t="str">
        <f t="shared" si="38"/>
        <v/>
      </c>
      <c r="AY78" s="195" t="str">
        <v/>
      </c>
      <c r="AZ78" s="205" t="str">
        <v/>
      </c>
      <c r="BA78" s="242"/>
      <c r="BB78" s="197" t="str">
        <f t="shared" si="50"/>
        <v/>
      </c>
      <c r="BC78" s="203">
        <v>69</v>
      </c>
      <c r="BD78" s="195" t="str">
        <f t="shared" si="39"/>
        <v/>
      </c>
      <c r="BE78" s="195" t="str">
        <v/>
      </c>
      <c r="BF78" s="205" t="str">
        <v/>
      </c>
      <c r="BG78" s="242"/>
      <c r="BH78" s="197" t="str">
        <f t="shared" si="51"/>
        <v/>
      </c>
      <c r="BI78" s="203">
        <v>69</v>
      </c>
      <c r="BJ78" s="195" t="str">
        <f t="shared" si="40"/>
        <v/>
      </c>
      <c r="BK78" s="195" t="str">
        <v/>
      </c>
      <c r="BL78" s="205" t="str">
        <v/>
      </c>
      <c r="BM78" s="242"/>
      <c r="BN78" s="197" t="str">
        <f t="shared" si="52"/>
        <v/>
      </c>
      <c r="BO78" s="203">
        <v>69</v>
      </c>
      <c r="BP78" s="195" t="str">
        <f t="shared" si="41"/>
        <v/>
      </c>
      <c r="BQ78" s="195" t="str">
        <v/>
      </c>
      <c r="BR78" s="205" t="str">
        <v/>
      </c>
      <c r="BS78" s="242"/>
      <c r="BT78" s="197" t="str">
        <f t="shared" si="53"/>
        <v/>
      </c>
    </row>
    <row r="79" spans="1:72">
      <c r="A79" s="203">
        <v>70</v>
      </c>
      <c r="B79" s="200" t="str">
        <f t="shared" si="32"/>
        <v/>
      </c>
      <c r="C79" s="200" t="str">
        <v/>
      </c>
      <c r="D79" s="206" t="str">
        <v/>
      </c>
      <c r="E79" s="214"/>
      <c r="F79" s="202" t="str">
        <f t="shared" si="42"/>
        <v/>
      </c>
      <c r="G79" s="203">
        <v>70</v>
      </c>
      <c r="H79" s="200" t="str">
        <f t="shared" si="33"/>
        <v/>
      </c>
      <c r="I79" s="200" t="str">
        <v/>
      </c>
      <c r="J79" s="206" t="str">
        <v/>
      </c>
      <c r="K79" s="243"/>
      <c r="L79" s="202" t="str">
        <f t="shared" si="43"/>
        <v/>
      </c>
      <c r="M79" s="203">
        <v>70</v>
      </c>
      <c r="N79" s="200" t="str">
        <f t="shared" si="34"/>
        <v/>
      </c>
      <c r="O79" s="200" t="str">
        <v/>
      </c>
      <c r="P79" s="206" t="str">
        <v/>
      </c>
      <c r="Q79" s="214"/>
      <c r="R79" s="202" t="str">
        <f t="shared" si="44"/>
        <v/>
      </c>
      <c r="S79" s="203">
        <v>70</v>
      </c>
      <c r="T79" s="200" t="str">
        <f t="shared" si="35"/>
        <v/>
      </c>
      <c r="U79" s="200" t="str">
        <v/>
      </c>
      <c r="V79" s="206" t="str">
        <v/>
      </c>
      <c r="W79" s="214"/>
      <c r="X79" s="202" t="str">
        <f t="shared" si="45"/>
        <v/>
      </c>
      <c r="Y79" s="203">
        <v>70</v>
      </c>
      <c r="Z79" s="200"/>
      <c r="AA79" s="200"/>
      <c r="AB79" s="206"/>
      <c r="AC79" s="214"/>
      <c r="AD79" s="202" t="str">
        <f t="shared" si="46"/>
        <v/>
      </c>
      <c r="AE79" s="203">
        <v>70</v>
      </c>
      <c r="AF79" s="200" t="str">
        <f t="shared" si="36"/>
        <v/>
      </c>
      <c r="AG79" s="200" t="str">
        <v/>
      </c>
      <c r="AH79" s="206" t="str">
        <v/>
      </c>
      <c r="AI79" s="214"/>
      <c r="AJ79" s="202" t="str">
        <f t="shared" si="47"/>
        <v/>
      </c>
      <c r="AK79" s="203">
        <v>70</v>
      </c>
      <c r="AL79" s="199"/>
      <c r="AM79" s="200"/>
      <c r="AN79" s="201"/>
      <c r="AO79" s="255"/>
      <c r="AP79" s="257" t="str">
        <f t="shared" si="48"/>
        <v/>
      </c>
      <c r="AQ79" s="203">
        <v>70</v>
      </c>
      <c r="AR79" s="200" t="str">
        <f t="shared" si="37"/>
        <v/>
      </c>
      <c r="AS79" s="200" t="str">
        <v/>
      </c>
      <c r="AT79" s="206" t="str">
        <v/>
      </c>
      <c r="AU79" s="214"/>
      <c r="AV79" s="202" t="str">
        <f t="shared" si="49"/>
        <v/>
      </c>
      <c r="AW79" s="203">
        <v>70</v>
      </c>
      <c r="AX79" s="200" t="str">
        <f t="shared" si="38"/>
        <v/>
      </c>
      <c r="AY79" s="200" t="str">
        <v/>
      </c>
      <c r="AZ79" s="206" t="str">
        <v/>
      </c>
      <c r="BA79" s="243"/>
      <c r="BB79" s="202" t="str">
        <f t="shared" si="50"/>
        <v/>
      </c>
      <c r="BC79" s="203">
        <v>70</v>
      </c>
      <c r="BD79" s="200" t="str">
        <f t="shared" si="39"/>
        <v/>
      </c>
      <c r="BE79" s="200" t="str">
        <v/>
      </c>
      <c r="BF79" s="206" t="str">
        <v/>
      </c>
      <c r="BG79" s="243"/>
      <c r="BH79" s="202" t="str">
        <f t="shared" si="51"/>
        <v/>
      </c>
      <c r="BI79" s="203">
        <v>70</v>
      </c>
      <c r="BJ79" s="200" t="str">
        <f t="shared" si="40"/>
        <v/>
      </c>
      <c r="BK79" s="200" t="str">
        <v/>
      </c>
      <c r="BL79" s="206" t="str">
        <v/>
      </c>
      <c r="BM79" s="243"/>
      <c r="BN79" s="202" t="str">
        <f t="shared" si="52"/>
        <v/>
      </c>
      <c r="BO79" s="203">
        <v>70</v>
      </c>
      <c r="BP79" s="200" t="str">
        <f t="shared" si="41"/>
        <v/>
      </c>
      <c r="BQ79" s="200" t="str">
        <v/>
      </c>
      <c r="BR79" s="206" t="str">
        <v/>
      </c>
      <c r="BS79" s="243"/>
      <c r="BT79" s="202" t="str">
        <f t="shared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-0.249977111117893"/>
  </sheetPr>
  <dimension ref="A6:BT80"/>
  <sheetViews>
    <sheetView showGridLines="0" workbookViewId="0">
      <selection activeCell="I18" sqref="I18"/>
    </sheetView>
  </sheetViews>
  <sheetFormatPr defaultRowHeight="15"/>
  <cols>
    <col min="2" max="2" width="12.7109375" customWidth="1"/>
    <col min="3" max="3" width="20.7109375" customWidth="1"/>
    <col min="4" max="6" width="15.7109375" customWidth="1"/>
    <col min="8" max="8" width="12.7109375" customWidth="1"/>
    <col min="9" max="9" width="20.7109375" customWidth="1"/>
    <col min="10" max="10" width="15.7109375" customWidth="1"/>
    <col min="11" max="11" width="15.7109375" style="10" customWidth="1"/>
    <col min="12" max="12" width="15.7109375" customWidth="1"/>
    <col min="14" max="14" width="12.7109375" customWidth="1"/>
    <col min="15" max="15" width="20.7109375" customWidth="1"/>
    <col min="16" max="18" width="15.7109375" customWidth="1"/>
    <col min="20" max="20" width="12.7109375" customWidth="1"/>
    <col min="21" max="21" width="20.7109375" customWidth="1"/>
    <col min="22" max="24" width="15.7109375" customWidth="1"/>
    <col min="26" max="26" width="12.7109375" customWidth="1"/>
    <col min="27" max="27" width="20.7109375" customWidth="1"/>
    <col min="28" max="30" width="15.7109375" customWidth="1"/>
    <col min="32" max="32" width="12.7109375" customWidth="1"/>
    <col min="33" max="33" width="20.7109375" customWidth="1"/>
    <col min="34" max="36" width="15.7109375" customWidth="1"/>
    <col min="38" max="38" width="12.7109375" customWidth="1"/>
    <col min="39" max="39" width="20.7109375" customWidth="1"/>
    <col min="40" max="42" width="15.7109375" customWidth="1"/>
    <col min="44" max="44" width="12.7109375" customWidth="1"/>
    <col min="45" max="45" width="20.7109375" customWidth="1"/>
    <col min="46" max="48" width="15.7109375" customWidth="1"/>
    <col min="50" max="50" width="12.7109375" customWidth="1"/>
    <col min="51" max="51" width="20.7109375" customWidth="1"/>
    <col min="52" max="52" width="15.7109375" customWidth="1"/>
    <col min="53" max="53" width="15.7109375" style="10" customWidth="1"/>
    <col min="54" max="54" width="15.7109375" customWidth="1"/>
    <col min="56" max="56" width="12.7109375" customWidth="1"/>
    <col min="57" max="57" width="20.7109375" customWidth="1"/>
    <col min="58" max="58" width="15.7109375" customWidth="1"/>
    <col min="59" max="59" width="15.7109375" style="10" customWidth="1"/>
    <col min="60" max="60" width="15.7109375" customWidth="1"/>
    <col min="62" max="62" width="12.7109375" customWidth="1"/>
    <col min="63" max="63" width="20.7109375" customWidth="1"/>
    <col min="64" max="64" width="15.7109375" customWidth="1"/>
    <col min="65" max="65" width="15.7109375" style="10" customWidth="1"/>
    <col min="66" max="66" width="15.7109375" customWidth="1"/>
    <col min="68" max="68" width="12.7109375" customWidth="1"/>
    <col min="69" max="69" width="20.7109375" customWidth="1"/>
    <col min="70" max="70" width="15.7109375" customWidth="1"/>
    <col min="71" max="71" width="15.7109375" style="10" customWidth="1"/>
    <col min="72" max="72" width="15.7109375" customWidth="1"/>
  </cols>
  <sheetData>
    <row r="6" spans="1:72">
      <c r="B6" t="s">
        <v>10</v>
      </c>
      <c r="F6" s="210" t="s">
        <v>911</v>
      </c>
      <c r="H6" t="s">
        <v>10</v>
      </c>
      <c r="L6" s="210" t="s">
        <v>978</v>
      </c>
      <c r="N6" t="s">
        <v>10</v>
      </c>
      <c r="R6" s="210" t="s">
        <v>911</v>
      </c>
      <c r="T6" t="s">
        <v>897</v>
      </c>
      <c r="X6" s="210" t="s">
        <v>911</v>
      </c>
      <c r="Z6" t="s">
        <v>897</v>
      </c>
      <c r="AD6" s="210" t="s">
        <v>911</v>
      </c>
      <c r="AF6" t="s">
        <v>897</v>
      </c>
      <c r="AJ6" s="210" t="s">
        <v>911</v>
      </c>
      <c r="AL6" t="s">
        <v>897</v>
      </c>
      <c r="AP6" s="210" t="s">
        <v>911</v>
      </c>
      <c r="AR6" t="s">
        <v>897</v>
      </c>
      <c r="AV6" s="210" t="s">
        <v>911</v>
      </c>
      <c r="AX6" t="s">
        <v>904</v>
      </c>
      <c r="BB6" s="210" t="s">
        <v>978</v>
      </c>
      <c r="BD6" t="s">
        <v>905</v>
      </c>
      <c r="BH6" s="210" t="s">
        <v>978</v>
      </c>
      <c r="BJ6" t="s">
        <v>906</v>
      </c>
      <c r="BN6" s="210" t="s">
        <v>978</v>
      </c>
      <c r="BP6" t="s">
        <v>900</v>
      </c>
      <c r="BT6" s="210" t="s">
        <v>978</v>
      </c>
    </row>
    <row r="7" spans="1:72">
      <c r="F7" s="211"/>
      <c r="L7" s="247"/>
      <c r="R7" s="211"/>
      <c r="X7" s="211"/>
      <c r="AD7" s="211"/>
      <c r="AJ7" s="211"/>
      <c r="AP7" s="252"/>
      <c r="AV7" s="211"/>
      <c r="BB7" s="247"/>
      <c r="BH7" s="247"/>
      <c r="BN7" s="247"/>
      <c r="BT7" s="247"/>
    </row>
    <row r="8" spans="1:72">
      <c r="B8" t="s">
        <v>893</v>
      </c>
      <c r="H8" t="s">
        <v>894</v>
      </c>
      <c r="N8" t="s">
        <v>896</v>
      </c>
      <c r="T8" t="s">
        <v>898</v>
      </c>
      <c r="Z8" t="s">
        <v>902</v>
      </c>
      <c r="AF8" t="s">
        <v>903</v>
      </c>
      <c r="AL8" t="s">
        <v>899</v>
      </c>
      <c r="AR8" t="s">
        <v>895</v>
      </c>
      <c r="AX8" t="s">
        <v>901</v>
      </c>
      <c r="BD8" t="s">
        <v>901</v>
      </c>
      <c r="BJ8" t="s">
        <v>901</v>
      </c>
      <c r="BP8" t="s">
        <v>913</v>
      </c>
    </row>
    <row r="9" spans="1:72">
      <c r="B9" s="192" t="s">
        <v>890</v>
      </c>
      <c r="C9" s="193" t="s">
        <v>380</v>
      </c>
      <c r="D9" s="193" t="s">
        <v>891</v>
      </c>
      <c r="E9" s="193" t="s">
        <v>954</v>
      </c>
      <c r="F9" s="194" t="s">
        <v>955</v>
      </c>
      <c r="H9" s="192" t="s">
        <v>890</v>
      </c>
      <c r="I9" s="193" t="s">
        <v>380</v>
      </c>
      <c r="J9" s="193" t="s">
        <v>891</v>
      </c>
      <c r="K9" s="248" t="s">
        <v>956</v>
      </c>
      <c r="L9" s="194" t="s">
        <v>955</v>
      </c>
      <c r="N9" s="192" t="s">
        <v>890</v>
      </c>
      <c r="O9" s="193" t="s">
        <v>380</v>
      </c>
      <c r="P9" s="193" t="s">
        <v>891</v>
      </c>
      <c r="Q9" s="193" t="s">
        <v>954</v>
      </c>
      <c r="R9" s="194" t="s">
        <v>955</v>
      </c>
      <c r="T9" s="192" t="s">
        <v>890</v>
      </c>
      <c r="U9" s="193" t="s">
        <v>380</v>
      </c>
      <c r="V9" s="193" t="s">
        <v>891</v>
      </c>
      <c r="W9" s="193" t="s">
        <v>954</v>
      </c>
      <c r="X9" s="194" t="s">
        <v>955</v>
      </c>
      <c r="Z9" s="192" t="s">
        <v>890</v>
      </c>
      <c r="AA9" s="193" t="s">
        <v>380</v>
      </c>
      <c r="AB9" s="193" t="s">
        <v>891</v>
      </c>
      <c r="AC9" s="193" t="s">
        <v>954</v>
      </c>
      <c r="AD9" s="194" t="s">
        <v>955</v>
      </c>
      <c r="AF9" s="192" t="s">
        <v>890</v>
      </c>
      <c r="AG9" s="193" t="s">
        <v>380</v>
      </c>
      <c r="AH9" s="193" t="s">
        <v>891</v>
      </c>
      <c r="AI9" s="193" t="s">
        <v>954</v>
      </c>
      <c r="AJ9" s="194" t="s">
        <v>955</v>
      </c>
      <c r="AL9" s="192" t="s">
        <v>890</v>
      </c>
      <c r="AM9" s="193" t="s">
        <v>380</v>
      </c>
      <c r="AN9" s="193" t="s">
        <v>891</v>
      </c>
      <c r="AO9" s="193" t="s">
        <v>958</v>
      </c>
      <c r="AP9" s="194" t="s">
        <v>957</v>
      </c>
      <c r="AR9" s="192" t="s">
        <v>890</v>
      </c>
      <c r="AS9" s="193" t="s">
        <v>380</v>
      </c>
      <c r="AT9" s="193" t="s">
        <v>891</v>
      </c>
      <c r="AU9" s="193" t="s">
        <v>954</v>
      </c>
      <c r="AV9" s="194" t="s">
        <v>955</v>
      </c>
      <c r="AX9" s="192" t="s">
        <v>890</v>
      </c>
      <c r="AY9" s="193" t="s">
        <v>380</v>
      </c>
      <c r="AZ9" s="193" t="s">
        <v>891</v>
      </c>
      <c r="BA9" s="248" t="s">
        <v>956</v>
      </c>
      <c r="BB9" s="194" t="s">
        <v>955</v>
      </c>
      <c r="BD9" s="192" t="s">
        <v>890</v>
      </c>
      <c r="BE9" s="193" t="s">
        <v>380</v>
      </c>
      <c r="BF9" s="193" t="s">
        <v>891</v>
      </c>
      <c r="BG9" s="248" t="s">
        <v>956</v>
      </c>
      <c r="BH9" s="194" t="s">
        <v>955</v>
      </c>
      <c r="BJ9" s="192" t="s">
        <v>890</v>
      </c>
      <c r="BK9" s="193" t="s">
        <v>380</v>
      </c>
      <c r="BL9" s="193" t="s">
        <v>891</v>
      </c>
      <c r="BM9" s="248" t="s">
        <v>956</v>
      </c>
      <c r="BN9" s="194" t="s">
        <v>955</v>
      </c>
      <c r="BP9" s="192" t="s">
        <v>890</v>
      </c>
      <c r="BQ9" s="193" t="s">
        <v>380</v>
      </c>
      <c r="BR9" s="193" t="s">
        <v>891</v>
      </c>
      <c r="BS9" s="248" t="s">
        <v>956</v>
      </c>
      <c r="BT9" s="194" t="s">
        <v>955</v>
      </c>
    </row>
    <row r="10" spans="1:72">
      <c r="A10" s="203">
        <v>1</v>
      </c>
      <c r="B10" s="195" t="str">
        <f t="shared" ref="B10:B41" si="0">IF(C10="","",VLOOKUP(C10,Instruments.OIS.JPY,6,0))</f>
        <v>ON</v>
      </c>
      <c r="C10" s="195" t="str">
        <f t="array" ref="C10:D79">getInstrumentData('Instrument Data'!Data.OIS.JPY,1,4,2,"Index","FWD SWAP","OVERNIGHT INDEXED SWAP")</f>
        <v>MUTSCALM MTRT Index</v>
      </c>
      <c r="D10" s="205">
        <v>-6.8000000000000005E-2</v>
      </c>
      <c r="E10" s="212"/>
      <c r="F10" s="197">
        <f>IF(D10="","",D10/100+E10+F$7)</f>
        <v>-6.8000000000000005E-4</v>
      </c>
      <c r="G10" s="203">
        <v>1</v>
      </c>
      <c r="H10" s="195" t="str">
        <f t="shared" ref="H10:H41" si="1">IF(I10="","",VLOOKUP(I10,Instruments.OIS.JPY,6,0))</f>
        <v/>
      </c>
      <c r="I10" s="195" t="str">
        <f t="array" ref="I10:J79">getInstrumentData('Instrument Data'!Data.OIS.JPY,1,4,2,"BASIS SWAP")</f>
        <v/>
      </c>
      <c r="J10" s="205" t="str">
        <v/>
      </c>
      <c r="K10" s="241"/>
      <c r="L10" s="197" t="str">
        <f>IF(J10="","",(J10+K10+L$7)/10000)</f>
        <v/>
      </c>
      <c r="M10" s="203">
        <v>1</v>
      </c>
      <c r="N10" s="195" t="str">
        <f t="shared" ref="N10:N41" si="2">IF(O10="","",VLOOKUP(O10,Instruments.OIS.JPY,6,0))</f>
        <v/>
      </c>
      <c r="O10" s="195" t="str">
        <f t="array" ref="O10:P79">getInstrumentData('Instrument Data'!Data.OIS.JPY,1,4,2,"SWAP")</f>
        <v/>
      </c>
      <c r="P10" s="205" t="str">
        <v/>
      </c>
      <c r="Q10" s="212"/>
      <c r="R10" s="197" t="str">
        <f>IF(P10="","",P10/100+Q10+R$7)</f>
        <v/>
      </c>
      <c r="S10" s="203">
        <v>1</v>
      </c>
      <c r="T10" s="195" t="str">
        <f t="shared" ref="T10:T41" si="3">IF(U10="","",VLOOKUP(U10,Instruments.Swaps.JPY,6,0))</f>
        <v>6M</v>
      </c>
      <c r="U10" s="195" t="str">
        <f t="array" ref="U10:V79">getInstrumentData('Instrument Data'!Data.Swaps.JPY,1,6,2,"Index",)</f>
        <v>JY0006M MTRT Index</v>
      </c>
      <c r="V10" s="205">
        <v>2.2700000000000001E-2</v>
      </c>
      <c r="W10" s="212"/>
      <c r="X10" s="197">
        <f>IF(V10="","",V10/100+W10+X$7)</f>
        <v>2.2700000000000002E-4</v>
      </c>
      <c r="Y10" s="203">
        <v>1</v>
      </c>
      <c r="Z10" s="195"/>
      <c r="AA10" s="195"/>
      <c r="AB10" s="205"/>
      <c r="AC10" s="212"/>
      <c r="AD10" s="197" t="str">
        <f>IF(AB10="","",AB10/100+AC10+AD$7)</f>
        <v/>
      </c>
      <c r="AE10" s="203">
        <v>1</v>
      </c>
      <c r="AF10" s="195" t="str">
        <f t="shared" ref="AF10:AF41" si="4">IF(AG10="","",VLOOKUP(AG10,Instruments.Swaps.JPY,6,0))</f>
        <v>2X8</v>
      </c>
      <c r="AG10" s="195" t="str">
        <f t="array" ref="AG10:AH79">getInstrumentData('Instrument Data'!Data.Swaps.JPY,1,6,2,"FRA",)</f>
        <v>JYFR2/8 MTRT Curncy</v>
      </c>
      <c r="AH10" s="205">
        <v>0.03</v>
      </c>
      <c r="AI10" s="212"/>
      <c r="AJ10" s="197">
        <f>IF(AH10="","",AH10/100+AI10+AJ$7)</f>
        <v>2.9999999999999997E-4</v>
      </c>
      <c r="AK10" s="203">
        <v>1</v>
      </c>
      <c r="AL10" s="198"/>
      <c r="AM10" s="195"/>
      <c r="AN10" s="196"/>
      <c r="AO10" s="253"/>
      <c r="AP10" s="256" t="str">
        <f>IF(AN10="","",AN10+AO10+AP$7)</f>
        <v/>
      </c>
      <c r="AQ10" s="203">
        <v>1</v>
      </c>
      <c r="AR10" s="195" t="str">
        <f t="shared" ref="AR10:AR41" si="5">IF(AS10="","",VLOOKUP(AS10,Instruments.Swaps.JPY,6,0))</f>
        <v>2Y</v>
      </c>
      <c r="AS10" s="195" t="str">
        <f t="array" ref="AS10:AT79">getInstrumentData('Instrument Data'!Data.Swaps.JPY,1,6,2,"SWAP",)</f>
        <v>JYSWAP2 MTRT Curncy</v>
      </c>
      <c r="AT10" s="205">
        <v>5.3749999999999999E-2</v>
      </c>
      <c r="AU10" s="212"/>
      <c r="AV10" s="197">
        <f>IF(AT10="","",AT10/100+AU10+AV$7)</f>
        <v>5.375E-4</v>
      </c>
      <c r="AW10" s="203">
        <v>1</v>
      </c>
      <c r="AX10" s="195" t="str">
        <f t="shared" ref="AX10:AX41" si="6">IF(AY10="","",VLOOKUP(AY10,Instruments.TenorBasis1.JPY,6,0))</f>
        <v>1Y</v>
      </c>
      <c r="AY10" s="195" t="str">
        <f t="array" ref="AY10:AZ79">getInstrumentData('Instrument Data'!Data.TenorBasis1.JPY,1,4,2,"BASIS SWAP",)</f>
        <v>JYBC1 MTRT Curncy</v>
      </c>
      <c r="AZ10" s="205">
        <v>3.625</v>
      </c>
      <c r="BA10" s="241"/>
      <c r="BB10" s="197">
        <f>IF(AZ10="","",(AZ10+BA10+BB$7)/10000)</f>
        <v>3.6249999999999998E-4</v>
      </c>
      <c r="BC10" s="203">
        <v>1</v>
      </c>
      <c r="BD10" s="195" t="str">
        <f t="shared" ref="BD10:BD41" si="7">IF(BE10="","",VLOOKUP(BE10,Instruments.TenorBasis2.JPY,6,0))</f>
        <v>1Y</v>
      </c>
      <c r="BE10" s="195" t="str">
        <f t="array" ref="BE10:BF79">getInstrumentData('Instrument Data'!Data.TenorBasis2.JPY,1,4,2,"BASIS SWAP",)</f>
        <v>JYBB1 MTRT Curncy</v>
      </c>
      <c r="BF10" s="205">
        <v>5.375</v>
      </c>
      <c r="BG10" s="241"/>
      <c r="BH10" s="197">
        <f>IF(BF10="","",(BF10+BG10+BH$7)/10000)</f>
        <v>5.375E-4</v>
      </c>
      <c r="BI10" s="203">
        <v>1</v>
      </c>
      <c r="BJ10" s="195" t="str">
        <f t="shared" ref="BJ10:BJ41" si="8">IF(BK10="","",VLOOKUP(BK10,Instruments.TenorBasis3.JPY,6,0))</f>
        <v/>
      </c>
      <c r="BK10" s="195" t="str">
        <f t="array" ref="BK10:BL79">getInstrumentData('Instrument Data'!Data.TenorBasis3.JPY,1,4,2,"BASIS SWAP",)</f>
        <v/>
      </c>
      <c r="BL10" s="205" t="str">
        <v/>
      </c>
      <c r="BM10" s="241"/>
      <c r="BN10" s="197" t="str">
        <f>IF(BL10="","",(BL10+BM10+BN$7)/10000)</f>
        <v/>
      </c>
      <c r="BO10" s="203">
        <v>1</v>
      </c>
      <c r="BP10" s="195" t="str">
        <f t="shared" ref="BP10:BP41" si="9">IF(BQ10="","",VLOOKUP(BQ10,Instruments.XccyBasis.JPY,6,0))</f>
        <v>1Y</v>
      </c>
      <c r="BQ10" s="195" t="str">
        <f t="array" ref="BQ10:BR79">getInstrumentData([0]!Data.XccyBasis.JPY,1,4,2,"BASIS SWAP",)</f>
        <v>JYBS1 MTRT Curncy</v>
      </c>
      <c r="BR10" s="205">
        <v>-35.25</v>
      </c>
      <c r="BS10" s="241"/>
      <c r="BT10" s="197">
        <f>IF(BR10="","",(BR10+BS10+BT$7)/10000)</f>
        <v>-3.5249999999999999E-3</v>
      </c>
    </row>
    <row r="11" spans="1:72">
      <c r="A11" s="203">
        <v>2</v>
      </c>
      <c r="B11" s="195" t="str">
        <f t="shared" si="0"/>
        <v>1M</v>
      </c>
      <c r="C11" s="195" t="str">
        <v>JYSOA MTRT Curncy</v>
      </c>
      <c r="D11" s="205">
        <v>-5.5E-2</v>
      </c>
      <c r="E11" s="213"/>
      <c r="F11" s="197">
        <f t="shared" ref="F11:F74" si="10">IF(D11="","",D11/100+E11+F$7)</f>
        <v>-5.5000000000000003E-4</v>
      </c>
      <c r="G11" s="203">
        <v>2</v>
      </c>
      <c r="H11" s="195" t="str">
        <f t="shared" si="1"/>
        <v/>
      </c>
      <c r="I11" s="195" t="str">
        <v/>
      </c>
      <c r="J11" s="205" t="str">
        <v/>
      </c>
      <c r="K11" s="242"/>
      <c r="L11" s="197" t="str">
        <f t="shared" ref="L11:L74" si="11">IF(J11="","",(J11+K11+L$7)/10000)</f>
        <v/>
      </c>
      <c r="M11" s="203">
        <v>2</v>
      </c>
      <c r="N11" s="195" t="str">
        <f t="shared" si="2"/>
        <v/>
      </c>
      <c r="O11" s="195" t="str">
        <v/>
      </c>
      <c r="P11" s="205" t="str">
        <v/>
      </c>
      <c r="Q11" s="213"/>
      <c r="R11" s="197" t="str">
        <f t="shared" ref="R11:R74" si="12">IF(P11="","",P11/100+Q11+R$7)</f>
        <v/>
      </c>
      <c r="S11" s="203">
        <v>2</v>
      </c>
      <c r="T11" s="195" t="str">
        <f t="shared" si="3"/>
        <v/>
      </c>
      <c r="U11" s="195" t="str">
        <v/>
      </c>
      <c r="V11" s="205" t="str">
        <v/>
      </c>
      <c r="W11" s="213"/>
      <c r="X11" s="197" t="str">
        <f t="shared" ref="X11:X74" si="13">IF(V11="","",V11/100+W11+X$7)</f>
        <v/>
      </c>
      <c r="Y11" s="203">
        <v>2</v>
      </c>
      <c r="Z11" s="195"/>
      <c r="AA11" s="195"/>
      <c r="AB11" s="205"/>
      <c r="AC11" s="213"/>
      <c r="AD11" s="197" t="str">
        <f t="shared" ref="AD11:AD74" si="14">IF(AB11="","",AB11/100+AC11+AD$7)</f>
        <v/>
      </c>
      <c r="AE11" s="203">
        <v>2</v>
      </c>
      <c r="AF11" s="195" t="str">
        <f t="shared" si="4"/>
        <v>3X9</v>
      </c>
      <c r="AG11" s="195" t="str">
        <v>JYFR3/9 MTRT Curncy</v>
      </c>
      <c r="AH11" s="205">
        <v>3.2500000000000001E-2</v>
      </c>
      <c r="AI11" s="213"/>
      <c r="AJ11" s="197">
        <f t="shared" ref="AJ11:AJ74" si="15">IF(AH11="","",AH11/100+AI11+AJ$7)</f>
        <v>3.2499999999999999E-4</v>
      </c>
      <c r="AK11" s="203">
        <v>2</v>
      </c>
      <c r="AL11" s="198"/>
      <c r="AM11" s="195"/>
      <c r="AN11" s="196"/>
      <c r="AO11" s="254"/>
      <c r="AP11" s="256" t="str">
        <f t="shared" ref="AP11:AP74" si="16">IF(AN11="","",AN11+AO11+AP$7)</f>
        <v/>
      </c>
      <c r="AQ11" s="203">
        <v>2</v>
      </c>
      <c r="AR11" s="195" t="str">
        <f t="shared" si="5"/>
        <v>3Y</v>
      </c>
      <c r="AS11" s="195" t="str">
        <v>JYSWAP3 MTRT Curncy</v>
      </c>
      <c r="AT11" s="205">
        <v>7.0000000000000007E-2</v>
      </c>
      <c r="AU11" s="213"/>
      <c r="AV11" s="197">
        <f t="shared" ref="AV11:AV74" si="17">IF(AT11="","",AT11/100+AU11+AV$7)</f>
        <v>7.000000000000001E-4</v>
      </c>
      <c r="AW11" s="203">
        <v>2</v>
      </c>
      <c r="AX11" s="195" t="str">
        <f t="shared" si="6"/>
        <v>2Y</v>
      </c>
      <c r="AY11" s="195" t="str">
        <v>JYBC2 MTRT Curncy</v>
      </c>
      <c r="AZ11" s="205">
        <v>3</v>
      </c>
      <c r="BA11" s="242"/>
      <c r="BB11" s="197">
        <f t="shared" ref="BB11:BB74" si="18">IF(AZ11="","",(AZ11+BA11+BB$7)/10000)</f>
        <v>2.9999999999999997E-4</v>
      </c>
      <c r="BC11" s="203">
        <v>2</v>
      </c>
      <c r="BD11" s="195" t="str">
        <f t="shared" si="7"/>
        <v>2Y</v>
      </c>
      <c r="BE11" s="195" t="str">
        <v>JYBB2 MTRT Curncy</v>
      </c>
      <c r="BF11" s="205">
        <v>4.75</v>
      </c>
      <c r="BG11" s="242"/>
      <c r="BH11" s="197">
        <f t="shared" ref="BH11:BH74" si="19">IF(BF11="","",(BF11+BG11+BH$7)/10000)</f>
        <v>4.75E-4</v>
      </c>
      <c r="BI11" s="203">
        <v>2</v>
      </c>
      <c r="BJ11" s="195" t="str">
        <f t="shared" si="8"/>
        <v/>
      </c>
      <c r="BK11" s="195" t="str">
        <v/>
      </c>
      <c r="BL11" s="205" t="str">
        <v/>
      </c>
      <c r="BM11" s="242"/>
      <c r="BN11" s="197" t="str">
        <f t="shared" ref="BN11:BN74" si="20">IF(BL11="","",(BL11+BM11+BN$7)/10000)</f>
        <v/>
      </c>
      <c r="BO11" s="203">
        <v>2</v>
      </c>
      <c r="BP11" s="195" t="str">
        <f t="shared" si="9"/>
        <v>2Y</v>
      </c>
      <c r="BQ11" s="195" t="str">
        <v>JYBS2 MTRT Curncy</v>
      </c>
      <c r="BR11" s="205">
        <v>-40.875</v>
      </c>
      <c r="BS11" s="242"/>
      <c r="BT11" s="197">
        <f t="shared" ref="BT11:BT74" si="21">IF(BR11="","",(BR11+BS11+BT$7)/10000)</f>
        <v>-4.0875E-3</v>
      </c>
    </row>
    <row r="12" spans="1:72">
      <c r="A12" s="203">
        <v>3</v>
      </c>
      <c r="B12" s="195" t="str">
        <f t="shared" si="0"/>
        <v>3M</v>
      </c>
      <c r="C12" s="195" t="str">
        <v>JYSOC MTRT Curncy</v>
      </c>
      <c r="D12" s="205">
        <v>-5.3749999999999999E-2</v>
      </c>
      <c r="E12" s="213"/>
      <c r="F12" s="197">
        <f t="shared" si="10"/>
        <v>-5.375E-4</v>
      </c>
      <c r="G12" s="203">
        <v>3</v>
      </c>
      <c r="H12" s="195" t="str">
        <f t="shared" si="1"/>
        <v/>
      </c>
      <c r="I12" s="195" t="str">
        <v/>
      </c>
      <c r="J12" s="205" t="str">
        <v/>
      </c>
      <c r="K12" s="242"/>
      <c r="L12" s="197" t="str">
        <f t="shared" si="11"/>
        <v/>
      </c>
      <c r="M12" s="203">
        <v>3</v>
      </c>
      <c r="N12" s="195" t="str">
        <f t="shared" si="2"/>
        <v/>
      </c>
      <c r="O12" s="195" t="str">
        <v/>
      </c>
      <c r="P12" s="205" t="str">
        <v/>
      </c>
      <c r="Q12" s="213"/>
      <c r="R12" s="197" t="str">
        <f t="shared" si="12"/>
        <v/>
      </c>
      <c r="S12" s="203">
        <v>3</v>
      </c>
      <c r="T12" s="195" t="str">
        <f t="shared" si="3"/>
        <v/>
      </c>
      <c r="U12" s="195" t="str">
        <v/>
      </c>
      <c r="V12" s="205" t="str">
        <v/>
      </c>
      <c r="W12" s="213"/>
      <c r="X12" s="197" t="str">
        <f t="shared" si="13"/>
        <v/>
      </c>
      <c r="Y12" s="203">
        <v>3</v>
      </c>
      <c r="Z12" s="195"/>
      <c r="AA12" s="195"/>
      <c r="AB12" s="205"/>
      <c r="AC12" s="213"/>
      <c r="AD12" s="197" t="str">
        <f t="shared" si="14"/>
        <v/>
      </c>
      <c r="AE12" s="203">
        <v>3</v>
      </c>
      <c r="AF12" s="195" t="str">
        <f t="shared" si="4"/>
        <v>4X10</v>
      </c>
      <c r="AG12" s="195" t="str">
        <v>JYFR4/10 MTRT Curncy</v>
      </c>
      <c r="AH12" s="205">
        <v>3.5000000000000003E-2</v>
      </c>
      <c r="AI12" s="213"/>
      <c r="AJ12" s="197">
        <f t="shared" si="15"/>
        <v>3.5000000000000005E-4</v>
      </c>
      <c r="AK12" s="203">
        <v>3</v>
      </c>
      <c r="AL12" s="198"/>
      <c r="AM12" s="195"/>
      <c r="AN12" s="196"/>
      <c r="AO12" s="254"/>
      <c r="AP12" s="256" t="str">
        <f t="shared" si="16"/>
        <v/>
      </c>
      <c r="AQ12" s="203">
        <v>3</v>
      </c>
      <c r="AR12" s="195" t="str">
        <f t="shared" si="5"/>
        <v>4Y</v>
      </c>
      <c r="AS12" s="195" t="str">
        <v>JYSWAP4 MTRT Curncy</v>
      </c>
      <c r="AT12" s="205">
        <v>8.8749999999999996E-2</v>
      </c>
      <c r="AU12" s="213"/>
      <c r="AV12" s="197">
        <f t="shared" si="17"/>
        <v>8.8749999999999994E-4</v>
      </c>
      <c r="AW12" s="203">
        <v>3</v>
      </c>
      <c r="AX12" s="195" t="str">
        <f t="shared" si="6"/>
        <v>3Y</v>
      </c>
      <c r="AY12" s="195" t="str">
        <v>JYBC3 MTRT Curncy</v>
      </c>
      <c r="AZ12" s="205">
        <v>3</v>
      </c>
      <c r="BA12" s="242"/>
      <c r="BB12" s="197">
        <f t="shared" si="18"/>
        <v>2.9999999999999997E-4</v>
      </c>
      <c r="BC12" s="203">
        <v>3</v>
      </c>
      <c r="BD12" s="195" t="str">
        <f t="shared" si="7"/>
        <v>3Y</v>
      </c>
      <c r="BE12" s="195" t="str">
        <v>JYBB3 MTRT Curncy</v>
      </c>
      <c r="BF12" s="205">
        <v>4.625</v>
      </c>
      <c r="BG12" s="242"/>
      <c r="BH12" s="197">
        <f t="shared" si="19"/>
        <v>4.6250000000000002E-4</v>
      </c>
      <c r="BI12" s="203">
        <v>3</v>
      </c>
      <c r="BJ12" s="195" t="str">
        <f t="shared" si="8"/>
        <v/>
      </c>
      <c r="BK12" s="195" t="str">
        <v/>
      </c>
      <c r="BL12" s="205" t="str">
        <v/>
      </c>
      <c r="BM12" s="242"/>
      <c r="BN12" s="197" t="str">
        <f t="shared" si="20"/>
        <v/>
      </c>
      <c r="BO12" s="203">
        <v>3</v>
      </c>
      <c r="BP12" s="195" t="str">
        <f t="shared" si="9"/>
        <v>3Y</v>
      </c>
      <c r="BQ12" s="195" t="str">
        <v>JYBS3 MTRT Curncy</v>
      </c>
      <c r="BR12" s="205">
        <v>-44.375</v>
      </c>
      <c r="BS12" s="242"/>
      <c r="BT12" s="197">
        <f t="shared" si="21"/>
        <v>-4.4374999999999996E-3</v>
      </c>
    </row>
    <row r="13" spans="1:72">
      <c r="A13" s="203">
        <v>4</v>
      </c>
      <c r="B13" s="195" t="str">
        <f t="shared" si="0"/>
        <v>6M</v>
      </c>
      <c r="C13" s="195" t="str">
        <v>JYSOF MTRT Curncy</v>
      </c>
      <c r="D13" s="205">
        <v>-4.7500000000000001E-2</v>
      </c>
      <c r="E13" s="213"/>
      <c r="F13" s="197">
        <f t="shared" si="10"/>
        <v>-4.75E-4</v>
      </c>
      <c r="G13" s="203">
        <v>4</v>
      </c>
      <c r="H13" s="195" t="str">
        <f t="shared" si="1"/>
        <v/>
      </c>
      <c r="I13" s="195" t="str">
        <v/>
      </c>
      <c r="J13" s="205" t="str">
        <v/>
      </c>
      <c r="K13" s="242"/>
      <c r="L13" s="197" t="str">
        <f t="shared" si="11"/>
        <v/>
      </c>
      <c r="M13" s="203">
        <v>4</v>
      </c>
      <c r="N13" s="195" t="str">
        <f t="shared" si="2"/>
        <v/>
      </c>
      <c r="O13" s="195" t="str">
        <v/>
      </c>
      <c r="P13" s="205" t="str">
        <v/>
      </c>
      <c r="Q13" s="213"/>
      <c r="R13" s="197" t="str">
        <f t="shared" si="12"/>
        <v/>
      </c>
      <c r="S13" s="203">
        <v>4</v>
      </c>
      <c r="T13" s="195" t="str">
        <f t="shared" si="3"/>
        <v/>
      </c>
      <c r="U13" s="195" t="str">
        <v/>
      </c>
      <c r="V13" s="205" t="str">
        <v/>
      </c>
      <c r="W13" s="213"/>
      <c r="X13" s="197" t="str">
        <f t="shared" si="13"/>
        <v/>
      </c>
      <c r="Y13" s="203">
        <v>4</v>
      </c>
      <c r="Z13" s="195"/>
      <c r="AA13" s="195"/>
      <c r="AB13" s="205"/>
      <c r="AC13" s="213"/>
      <c r="AD13" s="197" t="str">
        <f t="shared" si="14"/>
        <v/>
      </c>
      <c r="AE13" s="203">
        <v>4</v>
      </c>
      <c r="AF13" s="195" t="str">
        <f t="shared" si="4"/>
        <v>5X11</v>
      </c>
      <c r="AG13" s="195" t="str">
        <v>JYFR5/11 MTRT Curncy</v>
      </c>
      <c r="AH13" s="205">
        <v>3.7499999999999999E-2</v>
      </c>
      <c r="AI13" s="213"/>
      <c r="AJ13" s="197">
        <f t="shared" si="15"/>
        <v>3.7500000000000001E-4</v>
      </c>
      <c r="AK13" s="203">
        <v>4</v>
      </c>
      <c r="AL13" s="198"/>
      <c r="AM13" s="195"/>
      <c r="AN13" s="196"/>
      <c r="AO13" s="254"/>
      <c r="AP13" s="256" t="str">
        <f t="shared" si="16"/>
        <v/>
      </c>
      <c r="AQ13" s="203">
        <v>4</v>
      </c>
      <c r="AR13" s="195" t="str">
        <f t="shared" si="5"/>
        <v>5Y</v>
      </c>
      <c r="AS13" s="195" t="str">
        <v>JYSWAP5 MTRT Curncy</v>
      </c>
      <c r="AT13" s="205">
        <v>0.11125</v>
      </c>
      <c r="AU13" s="213"/>
      <c r="AV13" s="197">
        <f t="shared" si="17"/>
        <v>1.1125E-3</v>
      </c>
      <c r="AW13" s="203">
        <v>4</v>
      </c>
      <c r="AX13" s="195" t="str">
        <f t="shared" si="6"/>
        <v>4Y</v>
      </c>
      <c r="AY13" s="195" t="str">
        <v>JYBC4 MTRT Curncy</v>
      </c>
      <c r="AZ13" s="205">
        <v>3.125</v>
      </c>
      <c r="BA13" s="242"/>
      <c r="BB13" s="197">
        <f t="shared" si="18"/>
        <v>3.1250000000000001E-4</v>
      </c>
      <c r="BC13" s="203">
        <v>4</v>
      </c>
      <c r="BD13" s="195" t="str">
        <f t="shared" si="7"/>
        <v>4Y</v>
      </c>
      <c r="BE13" s="195" t="str">
        <v>JYBB4 MTRT Curncy</v>
      </c>
      <c r="BF13" s="205">
        <v>4.75</v>
      </c>
      <c r="BG13" s="242"/>
      <c r="BH13" s="197">
        <f t="shared" si="19"/>
        <v>4.75E-4</v>
      </c>
      <c r="BI13" s="203">
        <v>4</v>
      </c>
      <c r="BJ13" s="195" t="str">
        <f t="shared" si="8"/>
        <v/>
      </c>
      <c r="BK13" s="195" t="str">
        <v/>
      </c>
      <c r="BL13" s="205" t="str">
        <v/>
      </c>
      <c r="BM13" s="242"/>
      <c r="BN13" s="197" t="str">
        <f t="shared" si="20"/>
        <v/>
      </c>
      <c r="BO13" s="203">
        <v>4</v>
      </c>
      <c r="BP13" s="195" t="str">
        <f t="shared" si="9"/>
        <v>4Y</v>
      </c>
      <c r="BQ13" s="195" t="str">
        <v>JYBS4 MTRT Curncy</v>
      </c>
      <c r="BR13" s="205">
        <v>-47</v>
      </c>
      <c r="BS13" s="242"/>
      <c r="BT13" s="197">
        <f t="shared" si="21"/>
        <v>-4.7000000000000002E-3</v>
      </c>
    </row>
    <row r="14" spans="1:72">
      <c r="A14" s="203">
        <v>5</v>
      </c>
      <c r="B14" s="195" t="str">
        <f t="shared" si="0"/>
        <v>12M</v>
      </c>
      <c r="C14" s="195" t="str">
        <v>JYSO1 MTRT Curncy</v>
      </c>
      <c r="D14" s="205">
        <v>-3.5000000000000003E-2</v>
      </c>
      <c r="E14" s="213"/>
      <c r="F14" s="197">
        <f t="shared" si="10"/>
        <v>-3.5000000000000005E-4</v>
      </c>
      <c r="G14" s="203">
        <v>5</v>
      </c>
      <c r="H14" s="195" t="str">
        <f t="shared" si="1"/>
        <v/>
      </c>
      <c r="I14" s="195" t="str">
        <v/>
      </c>
      <c r="J14" s="205" t="str">
        <v/>
      </c>
      <c r="K14" s="242"/>
      <c r="L14" s="197" t="str">
        <f t="shared" si="11"/>
        <v/>
      </c>
      <c r="M14" s="203">
        <v>5</v>
      </c>
      <c r="N14" s="195" t="str">
        <f t="shared" si="2"/>
        <v/>
      </c>
      <c r="O14" s="195" t="str">
        <v/>
      </c>
      <c r="P14" s="205" t="str">
        <v/>
      </c>
      <c r="Q14" s="213"/>
      <c r="R14" s="197" t="str">
        <f t="shared" si="12"/>
        <v/>
      </c>
      <c r="S14" s="203">
        <v>5</v>
      </c>
      <c r="T14" s="195" t="str">
        <f t="shared" si="3"/>
        <v/>
      </c>
      <c r="U14" s="195" t="str">
        <v/>
      </c>
      <c r="V14" s="205" t="str">
        <v/>
      </c>
      <c r="W14" s="213"/>
      <c r="X14" s="197" t="str">
        <f t="shared" si="13"/>
        <v/>
      </c>
      <c r="Y14" s="203">
        <v>5</v>
      </c>
      <c r="Z14" s="195"/>
      <c r="AA14" s="195"/>
      <c r="AB14" s="205"/>
      <c r="AC14" s="213"/>
      <c r="AD14" s="197" t="str">
        <f t="shared" si="14"/>
        <v/>
      </c>
      <c r="AE14" s="203">
        <v>5</v>
      </c>
      <c r="AF14" s="195" t="str">
        <f t="shared" si="4"/>
        <v>6X12</v>
      </c>
      <c r="AG14" s="195" t="str">
        <v>JYFR6/12 MTRT Curncy</v>
      </c>
      <c r="AH14" s="205">
        <v>4.1250000000000002E-2</v>
      </c>
      <c r="AI14" s="213"/>
      <c r="AJ14" s="197">
        <f t="shared" si="15"/>
        <v>4.125E-4</v>
      </c>
      <c r="AK14" s="203">
        <v>5</v>
      </c>
      <c r="AL14" s="198"/>
      <c r="AM14" s="195"/>
      <c r="AN14" s="196"/>
      <c r="AO14" s="254"/>
      <c r="AP14" s="256" t="str">
        <f t="shared" si="16"/>
        <v/>
      </c>
      <c r="AQ14" s="203">
        <v>5</v>
      </c>
      <c r="AR14" s="195" t="str">
        <f t="shared" si="5"/>
        <v>6Y</v>
      </c>
      <c r="AS14" s="195" t="str">
        <v>JYSWAP6 MTRT Curncy</v>
      </c>
      <c r="AT14" s="205">
        <v>0.13750000000000001</v>
      </c>
      <c r="AU14" s="213"/>
      <c r="AV14" s="197">
        <f t="shared" si="17"/>
        <v>1.3750000000000001E-3</v>
      </c>
      <c r="AW14" s="203">
        <v>5</v>
      </c>
      <c r="AX14" s="195" t="str">
        <f t="shared" si="6"/>
        <v>5Y</v>
      </c>
      <c r="AY14" s="195" t="str">
        <v>JYBC5 MTRT Curncy</v>
      </c>
      <c r="AZ14" s="205">
        <v>3.375</v>
      </c>
      <c r="BA14" s="242"/>
      <c r="BB14" s="197">
        <f t="shared" si="18"/>
        <v>3.3750000000000002E-4</v>
      </c>
      <c r="BC14" s="203">
        <v>5</v>
      </c>
      <c r="BD14" s="195" t="str">
        <f t="shared" si="7"/>
        <v>5Y</v>
      </c>
      <c r="BE14" s="195" t="str">
        <v>JYBB5 MTRT Curncy</v>
      </c>
      <c r="BF14" s="205">
        <v>5</v>
      </c>
      <c r="BG14" s="242"/>
      <c r="BH14" s="197">
        <f t="shared" si="19"/>
        <v>5.0000000000000001E-4</v>
      </c>
      <c r="BI14" s="203">
        <v>5</v>
      </c>
      <c r="BJ14" s="195" t="str">
        <f t="shared" si="8"/>
        <v/>
      </c>
      <c r="BK14" s="195" t="str">
        <v/>
      </c>
      <c r="BL14" s="205" t="str">
        <v/>
      </c>
      <c r="BM14" s="242"/>
      <c r="BN14" s="197" t="str">
        <f t="shared" si="20"/>
        <v/>
      </c>
      <c r="BO14" s="203">
        <v>5</v>
      </c>
      <c r="BP14" s="195" t="str">
        <f t="shared" si="9"/>
        <v>5Y</v>
      </c>
      <c r="BQ14" s="195" t="str">
        <v>JYBS5 MTRT Curncy</v>
      </c>
      <c r="BR14" s="205">
        <v>-48.875</v>
      </c>
      <c r="BS14" s="242"/>
      <c r="BT14" s="197">
        <f t="shared" si="21"/>
        <v>-4.8875000000000004E-3</v>
      </c>
    </row>
    <row r="15" spans="1:72">
      <c r="A15" s="203">
        <v>6</v>
      </c>
      <c r="B15" s="195" t="str">
        <f t="shared" si="0"/>
        <v>2Y</v>
      </c>
      <c r="C15" s="195" t="str">
        <v>JYSO2 MTRT Curncy</v>
      </c>
      <c r="D15" s="205">
        <v>-1.6250000000000001E-2</v>
      </c>
      <c r="E15" s="213"/>
      <c r="F15" s="197">
        <f t="shared" si="10"/>
        <v>-1.6249999999999999E-4</v>
      </c>
      <c r="G15" s="203">
        <v>6</v>
      </c>
      <c r="H15" s="195" t="str">
        <f t="shared" si="1"/>
        <v/>
      </c>
      <c r="I15" s="195" t="str">
        <v/>
      </c>
      <c r="J15" s="205" t="str">
        <v/>
      </c>
      <c r="K15" s="242"/>
      <c r="L15" s="197" t="str">
        <f t="shared" si="11"/>
        <v/>
      </c>
      <c r="M15" s="203">
        <v>6</v>
      </c>
      <c r="N15" s="195" t="str">
        <f t="shared" si="2"/>
        <v/>
      </c>
      <c r="O15" s="195" t="str">
        <v/>
      </c>
      <c r="P15" s="205" t="str">
        <v/>
      </c>
      <c r="Q15" s="213"/>
      <c r="R15" s="197" t="str">
        <f t="shared" si="12"/>
        <v/>
      </c>
      <c r="S15" s="203">
        <v>6</v>
      </c>
      <c r="T15" s="195" t="str">
        <f t="shared" si="3"/>
        <v/>
      </c>
      <c r="U15" s="195" t="str">
        <v/>
      </c>
      <c r="V15" s="205" t="str">
        <v/>
      </c>
      <c r="W15" s="213"/>
      <c r="X15" s="197" t="str">
        <f t="shared" si="13"/>
        <v/>
      </c>
      <c r="Y15" s="203">
        <v>6</v>
      </c>
      <c r="Z15" s="195"/>
      <c r="AA15" s="195"/>
      <c r="AB15" s="205"/>
      <c r="AC15" s="213"/>
      <c r="AD15" s="197" t="str">
        <f t="shared" si="14"/>
        <v/>
      </c>
      <c r="AE15" s="203">
        <v>6</v>
      </c>
      <c r="AF15" s="195" t="str">
        <f t="shared" si="4"/>
        <v/>
      </c>
      <c r="AG15" s="195" t="str">
        <v/>
      </c>
      <c r="AH15" s="205" t="str">
        <v/>
      </c>
      <c r="AI15" s="213"/>
      <c r="AJ15" s="197" t="str">
        <f t="shared" si="15"/>
        <v/>
      </c>
      <c r="AK15" s="203">
        <v>6</v>
      </c>
      <c r="AL15" s="198"/>
      <c r="AM15" s="195"/>
      <c r="AN15" s="196"/>
      <c r="AO15" s="254"/>
      <c r="AP15" s="256" t="str">
        <f t="shared" si="16"/>
        <v/>
      </c>
      <c r="AQ15" s="203">
        <v>6</v>
      </c>
      <c r="AR15" s="195" t="str">
        <f t="shared" si="5"/>
        <v>7Y</v>
      </c>
      <c r="AS15" s="195" t="str">
        <v>JYSWAP7 MTRT Curncy</v>
      </c>
      <c r="AT15" s="205">
        <v>0.16750000000000001</v>
      </c>
      <c r="AU15" s="213"/>
      <c r="AV15" s="197">
        <f t="shared" si="17"/>
        <v>1.6750000000000001E-3</v>
      </c>
      <c r="AW15" s="203">
        <v>6</v>
      </c>
      <c r="AX15" s="195" t="str">
        <f t="shared" si="6"/>
        <v>6Y</v>
      </c>
      <c r="AY15" s="195" t="str">
        <v>JYBC6 MTRT Curncy</v>
      </c>
      <c r="AZ15" s="205">
        <v>3.625</v>
      </c>
      <c r="BA15" s="242"/>
      <c r="BB15" s="197">
        <f t="shared" si="18"/>
        <v>3.6249999999999998E-4</v>
      </c>
      <c r="BC15" s="203">
        <v>6</v>
      </c>
      <c r="BD15" s="195" t="str">
        <f t="shared" si="7"/>
        <v>6Y</v>
      </c>
      <c r="BE15" s="195" t="str">
        <v>JYBB6 MTRT Curncy</v>
      </c>
      <c r="BF15" s="205">
        <v>5.25</v>
      </c>
      <c r="BG15" s="242"/>
      <c r="BH15" s="197">
        <f t="shared" si="19"/>
        <v>5.2499999999999997E-4</v>
      </c>
      <c r="BI15" s="203">
        <v>6</v>
      </c>
      <c r="BJ15" s="195" t="str">
        <f t="shared" si="8"/>
        <v/>
      </c>
      <c r="BK15" s="195" t="str">
        <v/>
      </c>
      <c r="BL15" s="205" t="str">
        <v/>
      </c>
      <c r="BM15" s="242"/>
      <c r="BN15" s="197" t="str">
        <f t="shared" si="20"/>
        <v/>
      </c>
      <c r="BO15" s="203">
        <v>6</v>
      </c>
      <c r="BP15" s="195" t="str">
        <f t="shared" si="9"/>
        <v>6Y</v>
      </c>
      <c r="BQ15" s="195" t="str">
        <v>JYBS6 MTRT Curncy</v>
      </c>
      <c r="BR15" s="205">
        <v>-50.25</v>
      </c>
      <c r="BS15" s="242"/>
      <c r="BT15" s="197">
        <f t="shared" si="21"/>
        <v>-5.025E-3</v>
      </c>
    </row>
    <row r="16" spans="1:72">
      <c r="A16" s="203">
        <v>7</v>
      </c>
      <c r="B16" s="195" t="str">
        <f t="shared" si="0"/>
        <v>3Y</v>
      </c>
      <c r="C16" s="195" t="str">
        <v>JYSO3 MTRT Curncy</v>
      </c>
      <c r="D16" s="205">
        <v>-3.7499999999999999E-3</v>
      </c>
      <c r="E16" s="213"/>
      <c r="F16" s="197">
        <f t="shared" si="10"/>
        <v>-3.7499999999999997E-5</v>
      </c>
      <c r="G16" s="203">
        <v>7</v>
      </c>
      <c r="H16" s="195" t="str">
        <f t="shared" si="1"/>
        <v/>
      </c>
      <c r="I16" s="195" t="str">
        <v/>
      </c>
      <c r="J16" s="205" t="str">
        <v/>
      </c>
      <c r="K16" s="242"/>
      <c r="L16" s="197" t="str">
        <f t="shared" si="11"/>
        <v/>
      </c>
      <c r="M16" s="203">
        <v>7</v>
      </c>
      <c r="N16" s="195" t="str">
        <f t="shared" si="2"/>
        <v/>
      </c>
      <c r="O16" s="195" t="str">
        <v/>
      </c>
      <c r="P16" s="205" t="str">
        <v/>
      </c>
      <c r="Q16" s="213"/>
      <c r="R16" s="197" t="str">
        <f t="shared" si="12"/>
        <v/>
      </c>
      <c r="S16" s="203">
        <v>7</v>
      </c>
      <c r="T16" s="195" t="str">
        <f t="shared" si="3"/>
        <v/>
      </c>
      <c r="U16" s="195" t="str">
        <v/>
      </c>
      <c r="V16" s="205" t="str">
        <v/>
      </c>
      <c r="W16" s="213"/>
      <c r="X16" s="197" t="str">
        <f t="shared" si="13"/>
        <v/>
      </c>
      <c r="Y16" s="203">
        <v>7</v>
      </c>
      <c r="Z16" s="195"/>
      <c r="AA16" s="195"/>
      <c r="AB16" s="205"/>
      <c r="AC16" s="213"/>
      <c r="AD16" s="197" t="str">
        <f t="shared" si="14"/>
        <v/>
      </c>
      <c r="AE16" s="203">
        <v>7</v>
      </c>
      <c r="AF16" s="195" t="str">
        <f t="shared" si="4"/>
        <v/>
      </c>
      <c r="AG16" s="195" t="str">
        <v/>
      </c>
      <c r="AH16" s="205" t="str">
        <v/>
      </c>
      <c r="AI16" s="213"/>
      <c r="AJ16" s="197" t="str">
        <f t="shared" si="15"/>
        <v/>
      </c>
      <c r="AK16" s="203">
        <v>7</v>
      </c>
      <c r="AL16" s="198"/>
      <c r="AM16" s="195"/>
      <c r="AN16" s="196"/>
      <c r="AO16" s="254"/>
      <c r="AP16" s="256" t="str">
        <f t="shared" si="16"/>
        <v/>
      </c>
      <c r="AQ16" s="203">
        <v>7</v>
      </c>
      <c r="AR16" s="195" t="str">
        <f t="shared" si="5"/>
        <v>8Y</v>
      </c>
      <c r="AS16" s="195" t="str">
        <v>JYSWAP8 MTRT Curncy</v>
      </c>
      <c r="AT16" s="205">
        <v>0.19875000000000001</v>
      </c>
      <c r="AU16" s="213"/>
      <c r="AV16" s="197">
        <f t="shared" si="17"/>
        <v>1.9875000000000001E-3</v>
      </c>
      <c r="AW16" s="203">
        <v>7</v>
      </c>
      <c r="AX16" s="195" t="str">
        <f t="shared" si="6"/>
        <v>7Y</v>
      </c>
      <c r="AY16" s="195" t="str">
        <v>JYBC7 MTRT Curncy</v>
      </c>
      <c r="AZ16" s="205">
        <v>4</v>
      </c>
      <c r="BA16" s="242"/>
      <c r="BB16" s="197">
        <f t="shared" si="18"/>
        <v>4.0000000000000002E-4</v>
      </c>
      <c r="BC16" s="203">
        <v>7</v>
      </c>
      <c r="BD16" s="195" t="str">
        <f t="shared" si="7"/>
        <v>7Y</v>
      </c>
      <c r="BE16" s="195" t="str">
        <v>JYBB7 MTRT Curncy</v>
      </c>
      <c r="BF16" s="205">
        <v>5.625</v>
      </c>
      <c r="BG16" s="242"/>
      <c r="BH16" s="197">
        <f t="shared" si="19"/>
        <v>5.6249999999999996E-4</v>
      </c>
      <c r="BI16" s="203">
        <v>7</v>
      </c>
      <c r="BJ16" s="195" t="str">
        <f t="shared" si="8"/>
        <v/>
      </c>
      <c r="BK16" s="195" t="str">
        <v/>
      </c>
      <c r="BL16" s="205" t="str">
        <v/>
      </c>
      <c r="BM16" s="242"/>
      <c r="BN16" s="197" t="str">
        <f t="shared" si="20"/>
        <v/>
      </c>
      <c r="BO16" s="203">
        <v>7</v>
      </c>
      <c r="BP16" s="195" t="str">
        <f t="shared" si="9"/>
        <v>7Y</v>
      </c>
      <c r="BQ16" s="195" t="str">
        <v>JYBS7 MTRT Curncy</v>
      </c>
      <c r="BR16" s="205">
        <v>-51.125</v>
      </c>
      <c r="BS16" s="242"/>
      <c r="BT16" s="197">
        <f t="shared" si="21"/>
        <v>-5.1124999999999999E-3</v>
      </c>
    </row>
    <row r="17" spans="1:72">
      <c r="A17" s="203">
        <v>8</v>
      </c>
      <c r="B17" s="195" t="str">
        <f t="shared" si="0"/>
        <v>4Y</v>
      </c>
      <c r="C17" s="195" t="str">
        <v>JYSO4 MTRT Curncy</v>
      </c>
      <c r="D17" s="205">
        <v>0.01</v>
      </c>
      <c r="E17" s="213"/>
      <c r="F17" s="197">
        <f t="shared" si="10"/>
        <v>1E-4</v>
      </c>
      <c r="G17" s="203">
        <v>8</v>
      </c>
      <c r="H17" s="195" t="str">
        <f t="shared" si="1"/>
        <v/>
      </c>
      <c r="I17" s="195" t="str">
        <v/>
      </c>
      <c r="J17" s="205" t="str">
        <v/>
      </c>
      <c r="K17" s="242"/>
      <c r="L17" s="197" t="str">
        <f t="shared" si="11"/>
        <v/>
      </c>
      <c r="M17" s="203">
        <v>8</v>
      </c>
      <c r="N17" s="195" t="str">
        <f t="shared" si="2"/>
        <v/>
      </c>
      <c r="O17" s="195" t="str">
        <v/>
      </c>
      <c r="P17" s="205" t="str">
        <v/>
      </c>
      <c r="Q17" s="213"/>
      <c r="R17" s="197" t="str">
        <f t="shared" si="12"/>
        <v/>
      </c>
      <c r="S17" s="203">
        <v>8</v>
      </c>
      <c r="T17" s="195" t="str">
        <f t="shared" si="3"/>
        <v/>
      </c>
      <c r="U17" s="195" t="str">
        <v/>
      </c>
      <c r="V17" s="205" t="str">
        <v/>
      </c>
      <c r="W17" s="213"/>
      <c r="X17" s="197" t="str">
        <f t="shared" si="13"/>
        <v/>
      </c>
      <c r="Y17" s="203">
        <v>8</v>
      </c>
      <c r="Z17" s="195"/>
      <c r="AA17" s="195"/>
      <c r="AB17" s="205"/>
      <c r="AC17" s="213"/>
      <c r="AD17" s="197" t="str">
        <f t="shared" si="14"/>
        <v/>
      </c>
      <c r="AE17" s="203">
        <v>8</v>
      </c>
      <c r="AF17" s="195" t="str">
        <f t="shared" si="4"/>
        <v/>
      </c>
      <c r="AG17" s="195" t="str">
        <v/>
      </c>
      <c r="AH17" s="205" t="str">
        <v/>
      </c>
      <c r="AI17" s="213"/>
      <c r="AJ17" s="197" t="str">
        <f t="shared" si="15"/>
        <v/>
      </c>
      <c r="AK17" s="203">
        <v>8</v>
      </c>
      <c r="AL17" s="198"/>
      <c r="AM17" s="195"/>
      <c r="AN17" s="196"/>
      <c r="AO17" s="254"/>
      <c r="AP17" s="256" t="str">
        <f t="shared" si="16"/>
        <v/>
      </c>
      <c r="AQ17" s="203">
        <v>8</v>
      </c>
      <c r="AR17" s="195" t="str">
        <f t="shared" si="5"/>
        <v>9Y</v>
      </c>
      <c r="AS17" s="195" t="str">
        <v>JYSWAP9 MTRT Curncy</v>
      </c>
      <c r="AT17" s="205">
        <v>0.23125000000000001</v>
      </c>
      <c r="AU17" s="213"/>
      <c r="AV17" s="197">
        <f t="shared" si="17"/>
        <v>2.3125000000000003E-3</v>
      </c>
      <c r="AW17" s="203">
        <v>8</v>
      </c>
      <c r="AX17" s="195" t="str">
        <f t="shared" si="6"/>
        <v>8Y</v>
      </c>
      <c r="AY17" s="195" t="str">
        <v>JYBC8 MTRT Curncy</v>
      </c>
      <c r="AZ17" s="205">
        <v>4.5</v>
      </c>
      <c r="BA17" s="242"/>
      <c r="BB17" s="197">
        <f t="shared" si="18"/>
        <v>4.4999999999999999E-4</v>
      </c>
      <c r="BC17" s="203">
        <v>8</v>
      </c>
      <c r="BD17" s="195" t="str">
        <f t="shared" si="7"/>
        <v>8Y</v>
      </c>
      <c r="BE17" s="195" t="str">
        <v>JYBB8 MTRT Curncy</v>
      </c>
      <c r="BF17" s="205">
        <v>6.125</v>
      </c>
      <c r="BG17" s="242"/>
      <c r="BH17" s="197">
        <f t="shared" si="19"/>
        <v>6.1249999999999998E-4</v>
      </c>
      <c r="BI17" s="203">
        <v>8</v>
      </c>
      <c r="BJ17" s="195" t="str">
        <f t="shared" si="8"/>
        <v/>
      </c>
      <c r="BK17" s="195" t="str">
        <v/>
      </c>
      <c r="BL17" s="205" t="str">
        <v/>
      </c>
      <c r="BM17" s="242"/>
      <c r="BN17" s="197" t="str">
        <f t="shared" si="20"/>
        <v/>
      </c>
      <c r="BO17" s="203">
        <v>8</v>
      </c>
      <c r="BP17" s="195" t="str">
        <f t="shared" si="9"/>
        <v>8Y</v>
      </c>
      <c r="BQ17" s="195" t="str">
        <v>JYBS8 MTRT Curncy</v>
      </c>
      <c r="BR17" s="205">
        <v>-51.625</v>
      </c>
      <c r="BS17" s="242"/>
      <c r="BT17" s="197">
        <f t="shared" si="21"/>
        <v>-5.1625000000000004E-3</v>
      </c>
    </row>
    <row r="18" spans="1:72">
      <c r="A18" s="203">
        <v>9</v>
      </c>
      <c r="B18" s="195" t="str">
        <f t="shared" si="0"/>
        <v>5Y</v>
      </c>
      <c r="C18" s="195" t="str">
        <v>JYSO5 MTRT Curncy</v>
      </c>
      <c r="D18" s="205">
        <v>2.75E-2</v>
      </c>
      <c r="E18" s="213"/>
      <c r="F18" s="197">
        <f t="shared" si="10"/>
        <v>2.7500000000000002E-4</v>
      </c>
      <c r="G18" s="203">
        <v>9</v>
      </c>
      <c r="H18" s="195" t="str">
        <f t="shared" si="1"/>
        <v/>
      </c>
      <c r="I18" s="195" t="str">
        <v/>
      </c>
      <c r="J18" s="205" t="str">
        <v/>
      </c>
      <c r="K18" s="242"/>
      <c r="L18" s="197" t="str">
        <f t="shared" si="11"/>
        <v/>
      </c>
      <c r="M18" s="203">
        <v>9</v>
      </c>
      <c r="N18" s="195" t="str">
        <f t="shared" si="2"/>
        <v/>
      </c>
      <c r="O18" s="195" t="str">
        <v/>
      </c>
      <c r="P18" s="205" t="str">
        <v/>
      </c>
      <c r="Q18" s="213"/>
      <c r="R18" s="197" t="str">
        <f t="shared" si="12"/>
        <v/>
      </c>
      <c r="S18" s="203">
        <v>9</v>
      </c>
      <c r="T18" s="195" t="str">
        <f t="shared" si="3"/>
        <v/>
      </c>
      <c r="U18" s="195" t="str">
        <v/>
      </c>
      <c r="V18" s="205" t="str">
        <v/>
      </c>
      <c r="W18" s="213"/>
      <c r="X18" s="197" t="str">
        <f t="shared" si="13"/>
        <v/>
      </c>
      <c r="Y18" s="203">
        <v>9</v>
      </c>
      <c r="Z18" s="195"/>
      <c r="AA18" s="195"/>
      <c r="AB18" s="205"/>
      <c r="AC18" s="213"/>
      <c r="AD18" s="197" t="str">
        <f t="shared" si="14"/>
        <v/>
      </c>
      <c r="AE18" s="203">
        <v>9</v>
      </c>
      <c r="AF18" s="195" t="str">
        <f t="shared" si="4"/>
        <v/>
      </c>
      <c r="AG18" s="195" t="str">
        <v/>
      </c>
      <c r="AH18" s="205" t="str">
        <v/>
      </c>
      <c r="AI18" s="213"/>
      <c r="AJ18" s="197" t="str">
        <f t="shared" si="15"/>
        <v/>
      </c>
      <c r="AK18" s="203">
        <v>9</v>
      </c>
      <c r="AL18" s="198"/>
      <c r="AM18" s="195"/>
      <c r="AN18" s="196"/>
      <c r="AO18" s="254"/>
      <c r="AP18" s="256" t="str">
        <f t="shared" si="16"/>
        <v/>
      </c>
      <c r="AQ18" s="203">
        <v>9</v>
      </c>
      <c r="AR18" s="195" t="str">
        <f t="shared" si="5"/>
        <v>10Y</v>
      </c>
      <c r="AS18" s="195" t="str">
        <v>JYSWAP10 MTRT Curncy</v>
      </c>
      <c r="AT18" s="205">
        <v>0.26750000000000002</v>
      </c>
      <c r="AU18" s="213"/>
      <c r="AV18" s="197">
        <f t="shared" si="17"/>
        <v>2.6750000000000003E-3</v>
      </c>
      <c r="AW18" s="203">
        <v>9</v>
      </c>
      <c r="AX18" s="195" t="str">
        <f t="shared" si="6"/>
        <v>9Y</v>
      </c>
      <c r="AY18" s="195" t="str">
        <v>JYBC9 MTRT Curncy</v>
      </c>
      <c r="AZ18" s="205">
        <v>5</v>
      </c>
      <c r="BA18" s="242"/>
      <c r="BB18" s="197">
        <f t="shared" si="18"/>
        <v>5.0000000000000001E-4</v>
      </c>
      <c r="BC18" s="203">
        <v>9</v>
      </c>
      <c r="BD18" s="195" t="str">
        <f t="shared" si="7"/>
        <v>9Y</v>
      </c>
      <c r="BE18" s="195" t="str">
        <v>JYBB9 MTRT Curncy</v>
      </c>
      <c r="BF18" s="205">
        <v>6.625</v>
      </c>
      <c r="BG18" s="242"/>
      <c r="BH18" s="197">
        <f t="shared" si="19"/>
        <v>6.625E-4</v>
      </c>
      <c r="BI18" s="203">
        <v>9</v>
      </c>
      <c r="BJ18" s="195" t="str">
        <f t="shared" si="8"/>
        <v/>
      </c>
      <c r="BK18" s="195" t="str">
        <v/>
      </c>
      <c r="BL18" s="205" t="str">
        <v/>
      </c>
      <c r="BM18" s="242"/>
      <c r="BN18" s="197" t="str">
        <f t="shared" si="20"/>
        <v/>
      </c>
      <c r="BO18" s="203">
        <v>9</v>
      </c>
      <c r="BP18" s="195" t="str">
        <f t="shared" si="9"/>
        <v>9Y</v>
      </c>
      <c r="BQ18" s="195" t="str">
        <v>JYBS9 MTRT Curncy</v>
      </c>
      <c r="BR18" s="205">
        <v>-51.75</v>
      </c>
      <c r="BS18" s="242"/>
      <c r="BT18" s="197">
        <f t="shared" si="21"/>
        <v>-5.1749999999999999E-3</v>
      </c>
    </row>
    <row r="19" spans="1:72">
      <c r="A19" s="203">
        <v>10</v>
      </c>
      <c r="B19" s="195" t="str">
        <f t="shared" si="0"/>
        <v>6Y</v>
      </c>
      <c r="C19" s="195" t="str">
        <v>JYSO6 MTRT Curncy</v>
      </c>
      <c r="D19" s="205">
        <v>4.8750000000000002E-2</v>
      </c>
      <c r="E19" s="213"/>
      <c r="F19" s="197">
        <f t="shared" si="10"/>
        <v>4.8750000000000003E-4</v>
      </c>
      <c r="G19" s="203">
        <v>10</v>
      </c>
      <c r="H19" s="195" t="str">
        <f t="shared" si="1"/>
        <v/>
      </c>
      <c r="I19" s="195" t="str">
        <v/>
      </c>
      <c r="J19" s="205" t="str">
        <v/>
      </c>
      <c r="K19" s="242"/>
      <c r="L19" s="197" t="str">
        <f t="shared" si="11"/>
        <v/>
      </c>
      <c r="M19" s="203">
        <v>10</v>
      </c>
      <c r="N19" s="195" t="str">
        <f t="shared" si="2"/>
        <v/>
      </c>
      <c r="O19" s="195" t="str">
        <v/>
      </c>
      <c r="P19" s="205" t="str">
        <v/>
      </c>
      <c r="Q19" s="213"/>
      <c r="R19" s="197" t="str">
        <f t="shared" si="12"/>
        <v/>
      </c>
      <c r="S19" s="203">
        <v>10</v>
      </c>
      <c r="T19" s="195" t="str">
        <f t="shared" si="3"/>
        <v/>
      </c>
      <c r="U19" s="195" t="str">
        <v/>
      </c>
      <c r="V19" s="205" t="str">
        <v/>
      </c>
      <c r="W19" s="213"/>
      <c r="X19" s="197" t="str">
        <f t="shared" si="13"/>
        <v/>
      </c>
      <c r="Y19" s="203">
        <v>10</v>
      </c>
      <c r="Z19" s="195"/>
      <c r="AA19" s="195"/>
      <c r="AB19" s="205"/>
      <c r="AC19" s="213"/>
      <c r="AD19" s="197" t="str">
        <f t="shared" si="14"/>
        <v/>
      </c>
      <c r="AE19" s="203">
        <v>10</v>
      </c>
      <c r="AF19" s="195" t="str">
        <f t="shared" si="4"/>
        <v/>
      </c>
      <c r="AG19" s="195" t="str">
        <v/>
      </c>
      <c r="AH19" s="205" t="str">
        <v/>
      </c>
      <c r="AI19" s="213"/>
      <c r="AJ19" s="197" t="str">
        <f t="shared" si="15"/>
        <v/>
      </c>
      <c r="AK19" s="203">
        <v>10</v>
      </c>
      <c r="AL19" s="198"/>
      <c r="AM19" s="195"/>
      <c r="AN19" s="196"/>
      <c r="AO19" s="254"/>
      <c r="AP19" s="256" t="str">
        <f t="shared" si="16"/>
        <v/>
      </c>
      <c r="AQ19" s="203">
        <v>10</v>
      </c>
      <c r="AR19" s="195" t="str">
        <f t="shared" si="5"/>
        <v>12Y</v>
      </c>
      <c r="AS19" s="195" t="str">
        <v>JYSWAP12 MTRT Curncy</v>
      </c>
      <c r="AT19" s="205">
        <v>0.34499999999999997</v>
      </c>
      <c r="AU19" s="213"/>
      <c r="AV19" s="197">
        <f t="shared" si="17"/>
        <v>3.4499999999999999E-3</v>
      </c>
      <c r="AW19" s="203">
        <v>10</v>
      </c>
      <c r="AX19" s="195" t="str">
        <f t="shared" si="6"/>
        <v>10Y</v>
      </c>
      <c r="AY19" s="195" t="str">
        <v>JYBC10 MTRT Curncy</v>
      </c>
      <c r="AZ19" s="205">
        <v>5.5</v>
      </c>
      <c r="BA19" s="242"/>
      <c r="BB19" s="197">
        <f t="shared" si="18"/>
        <v>5.5000000000000003E-4</v>
      </c>
      <c r="BC19" s="203">
        <v>10</v>
      </c>
      <c r="BD19" s="195" t="str">
        <f t="shared" si="7"/>
        <v>10Y</v>
      </c>
      <c r="BE19" s="195" t="str">
        <v>JYBB10 MTRT Curncy</v>
      </c>
      <c r="BF19" s="205">
        <v>7.125</v>
      </c>
      <c r="BG19" s="242"/>
      <c r="BH19" s="197">
        <f t="shared" si="19"/>
        <v>7.1250000000000003E-4</v>
      </c>
      <c r="BI19" s="203">
        <v>10</v>
      </c>
      <c r="BJ19" s="195" t="str">
        <f t="shared" si="8"/>
        <v/>
      </c>
      <c r="BK19" s="195" t="str">
        <v/>
      </c>
      <c r="BL19" s="205" t="str">
        <v/>
      </c>
      <c r="BM19" s="242"/>
      <c r="BN19" s="197" t="str">
        <f t="shared" si="20"/>
        <v/>
      </c>
      <c r="BO19" s="203">
        <v>10</v>
      </c>
      <c r="BP19" s="195" t="str">
        <f t="shared" si="9"/>
        <v>10Y</v>
      </c>
      <c r="BQ19" s="195" t="str">
        <v>JYBS10 MTRT Curncy</v>
      </c>
      <c r="BR19" s="205">
        <v>-51.5</v>
      </c>
      <c r="BS19" s="242"/>
      <c r="BT19" s="197">
        <f t="shared" si="21"/>
        <v>-5.1500000000000001E-3</v>
      </c>
    </row>
    <row r="20" spans="1:72">
      <c r="A20" s="203">
        <v>11</v>
      </c>
      <c r="B20" s="195" t="str">
        <f t="shared" si="0"/>
        <v>7Y</v>
      </c>
      <c r="C20" s="195" t="str">
        <v>JYSO7 MTRT Curncy</v>
      </c>
      <c r="D20" s="205">
        <v>7.2499999999999995E-2</v>
      </c>
      <c r="E20" s="213"/>
      <c r="F20" s="197">
        <f t="shared" si="10"/>
        <v>7.2499999999999995E-4</v>
      </c>
      <c r="G20" s="203">
        <v>11</v>
      </c>
      <c r="H20" s="195" t="str">
        <f t="shared" si="1"/>
        <v/>
      </c>
      <c r="I20" s="195" t="str">
        <v/>
      </c>
      <c r="J20" s="205" t="str">
        <v/>
      </c>
      <c r="K20" s="242"/>
      <c r="L20" s="197" t="str">
        <f t="shared" si="11"/>
        <v/>
      </c>
      <c r="M20" s="203">
        <v>11</v>
      </c>
      <c r="N20" s="195" t="str">
        <f t="shared" si="2"/>
        <v/>
      </c>
      <c r="O20" s="195" t="str">
        <v/>
      </c>
      <c r="P20" s="205" t="str">
        <v/>
      </c>
      <c r="Q20" s="213"/>
      <c r="R20" s="197" t="str">
        <f t="shared" si="12"/>
        <v/>
      </c>
      <c r="S20" s="203">
        <v>11</v>
      </c>
      <c r="T20" s="195" t="str">
        <f t="shared" si="3"/>
        <v/>
      </c>
      <c r="U20" s="195" t="str">
        <v/>
      </c>
      <c r="V20" s="205" t="str">
        <v/>
      </c>
      <c r="W20" s="213"/>
      <c r="X20" s="197" t="str">
        <f t="shared" si="13"/>
        <v/>
      </c>
      <c r="Y20" s="203">
        <v>11</v>
      </c>
      <c r="Z20" s="195"/>
      <c r="AA20" s="195"/>
      <c r="AB20" s="205"/>
      <c r="AC20" s="213"/>
      <c r="AD20" s="197" t="str">
        <f t="shared" si="14"/>
        <v/>
      </c>
      <c r="AE20" s="203">
        <v>11</v>
      </c>
      <c r="AF20" s="195" t="str">
        <f t="shared" si="4"/>
        <v/>
      </c>
      <c r="AG20" s="195" t="str">
        <v/>
      </c>
      <c r="AH20" s="205" t="str">
        <v/>
      </c>
      <c r="AI20" s="213"/>
      <c r="AJ20" s="197" t="str">
        <f t="shared" si="15"/>
        <v/>
      </c>
      <c r="AK20" s="203">
        <v>11</v>
      </c>
      <c r="AL20" s="198"/>
      <c r="AM20" s="195"/>
      <c r="AN20" s="196"/>
      <c r="AO20" s="254"/>
      <c r="AP20" s="256" t="str">
        <f t="shared" si="16"/>
        <v/>
      </c>
      <c r="AQ20" s="203">
        <v>11</v>
      </c>
      <c r="AR20" s="195" t="str">
        <f t="shared" si="5"/>
        <v>15Y</v>
      </c>
      <c r="AS20" s="195" t="str">
        <v>JYSW15 MTRT Curncy</v>
      </c>
      <c r="AT20" s="205">
        <v>0.46250000000000002</v>
      </c>
      <c r="AU20" s="213"/>
      <c r="AV20" s="197">
        <f t="shared" si="17"/>
        <v>4.6250000000000006E-3</v>
      </c>
      <c r="AW20" s="203">
        <v>11</v>
      </c>
      <c r="AX20" s="195" t="str">
        <f t="shared" si="6"/>
        <v>11Y</v>
      </c>
      <c r="AY20" s="195" t="str">
        <v>JYBC11 MTRT Curncy</v>
      </c>
      <c r="AZ20" s="205">
        <v>6</v>
      </c>
      <c r="BA20" s="242"/>
      <c r="BB20" s="197">
        <f t="shared" si="18"/>
        <v>5.9999999999999995E-4</v>
      </c>
      <c r="BC20" s="203">
        <v>11</v>
      </c>
      <c r="BD20" s="195" t="str">
        <f t="shared" si="7"/>
        <v>12Y</v>
      </c>
      <c r="BE20" s="195" t="str">
        <v>JYBB12 MTRT Curncy</v>
      </c>
      <c r="BF20" s="205">
        <v>8</v>
      </c>
      <c r="BG20" s="242"/>
      <c r="BH20" s="197">
        <f t="shared" si="19"/>
        <v>8.0000000000000004E-4</v>
      </c>
      <c r="BI20" s="203">
        <v>11</v>
      </c>
      <c r="BJ20" s="195" t="str">
        <f t="shared" si="8"/>
        <v/>
      </c>
      <c r="BK20" s="195" t="str">
        <v/>
      </c>
      <c r="BL20" s="205" t="str">
        <v/>
      </c>
      <c r="BM20" s="242"/>
      <c r="BN20" s="197" t="str">
        <f t="shared" si="20"/>
        <v/>
      </c>
      <c r="BO20" s="203">
        <v>11</v>
      </c>
      <c r="BP20" s="195" t="str">
        <f t="shared" si="9"/>
        <v>11Y</v>
      </c>
      <c r="BQ20" s="195" t="str">
        <v>JYBS11 MTRT Curncy</v>
      </c>
      <c r="BR20" s="205">
        <v>-51.25</v>
      </c>
      <c r="BS20" s="242"/>
      <c r="BT20" s="197">
        <f t="shared" si="21"/>
        <v>-5.1250000000000002E-3</v>
      </c>
    </row>
    <row r="21" spans="1:72">
      <c r="A21" s="203">
        <v>12</v>
      </c>
      <c r="B21" s="195" t="str">
        <f t="shared" si="0"/>
        <v>8Y</v>
      </c>
      <c r="C21" s="195" t="str">
        <v>JYSO8 MTRT Curncy</v>
      </c>
      <c r="D21" s="205">
        <v>9.6250000000000002E-2</v>
      </c>
      <c r="E21" s="213"/>
      <c r="F21" s="197">
        <f t="shared" si="10"/>
        <v>9.6250000000000003E-4</v>
      </c>
      <c r="G21" s="203">
        <v>12</v>
      </c>
      <c r="H21" s="195" t="str">
        <f t="shared" si="1"/>
        <v/>
      </c>
      <c r="I21" s="195" t="str">
        <v/>
      </c>
      <c r="J21" s="205" t="str">
        <v/>
      </c>
      <c r="K21" s="242"/>
      <c r="L21" s="197" t="str">
        <f t="shared" si="11"/>
        <v/>
      </c>
      <c r="M21" s="203">
        <v>12</v>
      </c>
      <c r="N21" s="195" t="str">
        <f t="shared" si="2"/>
        <v/>
      </c>
      <c r="O21" s="195" t="str">
        <v/>
      </c>
      <c r="P21" s="205" t="str">
        <v/>
      </c>
      <c r="Q21" s="213"/>
      <c r="R21" s="197" t="str">
        <f t="shared" si="12"/>
        <v/>
      </c>
      <c r="S21" s="203">
        <v>12</v>
      </c>
      <c r="T21" s="195" t="str">
        <f t="shared" si="3"/>
        <v/>
      </c>
      <c r="U21" s="195" t="str">
        <v/>
      </c>
      <c r="V21" s="205" t="str">
        <v/>
      </c>
      <c r="W21" s="213"/>
      <c r="X21" s="197" t="str">
        <f t="shared" si="13"/>
        <v/>
      </c>
      <c r="Y21" s="203">
        <v>12</v>
      </c>
      <c r="Z21" s="195"/>
      <c r="AA21" s="195"/>
      <c r="AB21" s="205"/>
      <c r="AC21" s="213"/>
      <c r="AD21" s="197" t="str">
        <f t="shared" si="14"/>
        <v/>
      </c>
      <c r="AE21" s="203">
        <v>12</v>
      </c>
      <c r="AF21" s="195" t="str">
        <f t="shared" si="4"/>
        <v/>
      </c>
      <c r="AG21" s="195" t="str">
        <v/>
      </c>
      <c r="AH21" s="205" t="str">
        <v/>
      </c>
      <c r="AI21" s="213"/>
      <c r="AJ21" s="197" t="str">
        <f t="shared" si="15"/>
        <v/>
      </c>
      <c r="AK21" s="203">
        <v>12</v>
      </c>
      <c r="AL21" s="198"/>
      <c r="AM21" s="195"/>
      <c r="AN21" s="196"/>
      <c r="AO21" s="254"/>
      <c r="AP21" s="256" t="str">
        <f t="shared" si="16"/>
        <v/>
      </c>
      <c r="AQ21" s="203">
        <v>12</v>
      </c>
      <c r="AR21" s="195" t="str">
        <f t="shared" si="5"/>
        <v>20Y</v>
      </c>
      <c r="AS21" s="195" t="str">
        <v>JYSW20 MTRT Curncy</v>
      </c>
      <c r="AT21" s="205">
        <v>0.63</v>
      </c>
      <c r="AU21" s="213"/>
      <c r="AV21" s="197">
        <f t="shared" si="17"/>
        <v>6.3E-3</v>
      </c>
      <c r="AW21" s="203">
        <v>12</v>
      </c>
      <c r="AX21" s="195" t="str">
        <f t="shared" si="6"/>
        <v>12Y</v>
      </c>
      <c r="AY21" s="195" t="str">
        <v>JYBC12 MTRT Curncy</v>
      </c>
      <c r="AZ21" s="205">
        <v>6.375</v>
      </c>
      <c r="BA21" s="242"/>
      <c r="BB21" s="197">
        <f t="shared" si="18"/>
        <v>6.3750000000000005E-4</v>
      </c>
      <c r="BC21" s="203">
        <v>12</v>
      </c>
      <c r="BD21" s="195" t="str">
        <f t="shared" si="7"/>
        <v>15Y</v>
      </c>
      <c r="BE21" s="195" t="str">
        <v>JYBB15 MTRT Curncy</v>
      </c>
      <c r="BF21" s="205">
        <v>8.75</v>
      </c>
      <c r="BG21" s="242"/>
      <c r="BH21" s="197">
        <f t="shared" si="19"/>
        <v>8.7500000000000002E-4</v>
      </c>
      <c r="BI21" s="203">
        <v>12</v>
      </c>
      <c r="BJ21" s="195" t="str">
        <f t="shared" si="8"/>
        <v/>
      </c>
      <c r="BK21" s="195" t="str">
        <v/>
      </c>
      <c r="BL21" s="205" t="str">
        <v/>
      </c>
      <c r="BM21" s="242"/>
      <c r="BN21" s="197" t="str">
        <f t="shared" si="20"/>
        <v/>
      </c>
      <c r="BO21" s="203">
        <v>12</v>
      </c>
      <c r="BP21" s="195" t="str">
        <f t="shared" si="9"/>
        <v>12Y</v>
      </c>
      <c r="BQ21" s="195" t="str">
        <v>JYBS12 MTRT Curncy</v>
      </c>
      <c r="BR21" s="205">
        <v>-51</v>
      </c>
      <c r="BS21" s="242"/>
      <c r="BT21" s="197">
        <f t="shared" si="21"/>
        <v>-5.1000000000000004E-3</v>
      </c>
    </row>
    <row r="22" spans="1:72">
      <c r="A22" s="203">
        <v>13</v>
      </c>
      <c r="B22" s="195" t="str">
        <f t="shared" si="0"/>
        <v>9Y</v>
      </c>
      <c r="C22" s="195" t="str">
        <v>JYSO9 MTRT Curncy</v>
      </c>
      <c r="D22" s="205">
        <v>0.1225</v>
      </c>
      <c r="E22" s="213"/>
      <c r="F22" s="197">
        <f t="shared" si="10"/>
        <v>1.225E-3</v>
      </c>
      <c r="G22" s="203">
        <v>13</v>
      </c>
      <c r="H22" s="195" t="str">
        <f t="shared" si="1"/>
        <v/>
      </c>
      <c r="I22" s="195" t="str">
        <v/>
      </c>
      <c r="J22" s="205" t="str">
        <v/>
      </c>
      <c r="K22" s="242"/>
      <c r="L22" s="197" t="str">
        <f t="shared" si="11"/>
        <v/>
      </c>
      <c r="M22" s="203">
        <v>13</v>
      </c>
      <c r="N22" s="195" t="str">
        <f t="shared" si="2"/>
        <v/>
      </c>
      <c r="O22" s="195" t="str">
        <v/>
      </c>
      <c r="P22" s="205" t="str">
        <v/>
      </c>
      <c r="Q22" s="213"/>
      <c r="R22" s="197" t="str">
        <f t="shared" si="12"/>
        <v/>
      </c>
      <c r="S22" s="203">
        <v>13</v>
      </c>
      <c r="T22" s="195" t="str">
        <f t="shared" si="3"/>
        <v/>
      </c>
      <c r="U22" s="195" t="str">
        <v/>
      </c>
      <c r="V22" s="205" t="str">
        <v/>
      </c>
      <c r="W22" s="213"/>
      <c r="X22" s="197" t="str">
        <f t="shared" si="13"/>
        <v/>
      </c>
      <c r="Y22" s="203">
        <v>13</v>
      </c>
      <c r="Z22" s="195"/>
      <c r="AA22" s="195"/>
      <c r="AB22" s="205"/>
      <c r="AC22" s="213"/>
      <c r="AD22" s="197" t="str">
        <f t="shared" si="14"/>
        <v/>
      </c>
      <c r="AE22" s="203">
        <v>13</v>
      </c>
      <c r="AF22" s="195" t="str">
        <f t="shared" si="4"/>
        <v/>
      </c>
      <c r="AG22" s="195" t="str">
        <v/>
      </c>
      <c r="AH22" s="205" t="str">
        <v/>
      </c>
      <c r="AI22" s="213"/>
      <c r="AJ22" s="197" t="str">
        <f t="shared" si="15"/>
        <v/>
      </c>
      <c r="AK22" s="203">
        <v>13</v>
      </c>
      <c r="AL22" s="198"/>
      <c r="AM22" s="195"/>
      <c r="AN22" s="196"/>
      <c r="AO22" s="254"/>
      <c r="AP22" s="256" t="str">
        <f t="shared" si="16"/>
        <v/>
      </c>
      <c r="AQ22" s="203">
        <v>13</v>
      </c>
      <c r="AR22" s="195" t="str">
        <f t="shared" si="5"/>
        <v>25Y</v>
      </c>
      <c r="AS22" s="195" t="str">
        <v>JYSW25 MTRT Curncy</v>
      </c>
      <c r="AT22" s="205">
        <v>0.73624999999999996</v>
      </c>
      <c r="AU22" s="213"/>
      <c r="AV22" s="197">
        <f t="shared" si="17"/>
        <v>7.3624999999999993E-3</v>
      </c>
      <c r="AW22" s="203">
        <v>13</v>
      </c>
      <c r="AX22" s="195" t="str">
        <f t="shared" si="6"/>
        <v>15Y</v>
      </c>
      <c r="AY22" s="195" t="str">
        <v>JYBC15 MTRT Curncy</v>
      </c>
      <c r="AZ22" s="205">
        <v>7.125</v>
      </c>
      <c r="BA22" s="242"/>
      <c r="BB22" s="197">
        <f t="shared" si="18"/>
        <v>7.1250000000000003E-4</v>
      </c>
      <c r="BC22" s="203">
        <v>13</v>
      </c>
      <c r="BD22" s="195" t="str">
        <f t="shared" si="7"/>
        <v>20Y</v>
      </c>
      <c r="BE22" s="195" t="str">
        <v>JYBB20 MTRT Curncy</v>
      </c>
      <c r="BF22" s="205">
        <v>9.5</v>
      </c>
      <c r="BG22" s="242"/>
      <c r="BH22" s="197">
        <f t="shared" si="19"/>
        <v>9.5E-4</v>
      </c>
      <c r="BI22" s="203">
        <v>13</v>
      </c>
      <c r="BJ22" s="195" t="str">
        <f t="shared" si="8"/>
        <v/>
      </c>
      <c r="BK22" s="195" t="str">
        <v/>
      </c>
      <c r="BL22" s="205" t="str">
        <v/>
      </c>
      <c r="BM22" s="242"/>
      <c r="BN22" s="197" t="str">
        <f t="shared" si="20"/>
        <v/>
      </c>
      <c r="BO22" s="203">
        <v>13</v>
      </c>
      <c r="BP22" s="195" t="str">
        <f t="shared" si="9"/>
        <v>15Y</v>
      </c>
      <c r="BQ22" s="195" t="str">
        <v>JYBS15 MTRT Curncy</v>
      </c>
      <c r="BR22" s="205">
        <v>-50.625</v>
      </c>
      <c r="BS22" s="242"/>
      <c r="BT22" s="197">
        <f t="shared" si="21"/>
        <v>-5.0625000000000002E-3</v>
      </c>
    </row>
    <row r="23" spans="1:72">
      <c r="A23" s="203">
        <v>14</v>
      </c>
      <c r="B23" s="195" t="str">
        <f t="shared" si="0"/>
        <v>10Y</v>
      </c>
      <c r="C23" s="195" t="str">
        <v>JYSO10 MTRT Curncy</v>
      </c>
      <c r="D23" s="205">
        <v>0.15125</v>
      </c>
      <c r="E23" s="213"/>
      <c r="F23" s="197">
        <f t="shared" si="10"/>
        <v>1.5125E-3</v>
      </c>
      <c r="G23" s="203">
        <v>14</v>
      </c>
      <c r="H23" s="195" t="str">
        <f t="shared" si="1"/>
        <v/>
      </c>
      <c r="I23" s="195" t="str">
        <v/>
      </c>
      <c r="J23" s="205" t="str">
        <v/>
      </c>
      <c r="K23" s="242"/>
      <c r="L23" s="197" t="str">
        <f t="shared" si="11"/>
        <v/>
      </c>
      <c r="M23" s="203">
        <v>14</v>
      </c>
      <c r="N23" s="195" t="str">
        <f t="shared" si="2"/>
        <v/>
      </c>
      <c r="O23" s="195" t="str">
        <v/>
      </c>
      <c r="P23" s="205" t="str">
        <v/>
      </c>
      <c r="Q23" s="213"/>
      <c r="R23" s="197" t="str">
        <f t="shared" si="12"/>
        <v/>
      </c>
      <c r="S23" s="203">
        <v>14</v>
      </c>
      <c r="T23" s="195" t="str">
        <f t="shared" si="3"/>
        <v/>
      </c>
      <c r="U23" s="195" t="str">
        <v/>
      </c>
      <c r="V23" s="205" t="str">
        <v/>
      </c>
      <c r="W23" s="213"/>
      <c r="X23" s="197" t="str">
        <f t="shared" si="13"/>
        <v/>
      </c>
      <c r="Y23" s="203">
        <v>14</v>
      </c>
      <c r="Z23" s="195"/>
      <c r="AA23" s="195"/>
      <c r="AB23" s="205"/>
      <c r="AC23" s="213"/>
      <c r="AD23" s="197" t="str">
        <f t="shared" si="14"/>
        <v/>
      </c>
      <c r="AE23" s="203">
        <v>14</v>
      </c>
      <c r="AF23" s="195" t="str">
        <f t="shared" si="4"/>
        <v/>
      </c>
      <c r="AG23" s="195" t="str">
        <v/>
      </c>
      <c r="AH23" s="205" t="str">
        <v/>
      </c>
      <c r="AI23" s="213"/>
      <c r="AJ23" s="197" t="str">
        <f t="shared" si="15"/>
        <v/>
      </c>
      <c r="AK23" s="203">
        <v>14</v>
      </c>
      <c r="AL23" s="198"/>
      <c r="AM23" s="195"/>
      <c r="AN23" s="196"/>
      <c r="AO23" s="254"/>
      <c r="AP23" s="256" t="str">
        <f t="shared" si="16"/>
        <v/>
      </c>
      <c r="AQ23" s="203">
        <v>14</v>
      </c>
      <c r="AR23" s="195" t="str">
        <f t="shared" si="5"/>
        <v>30Y</v>
      </c>
      <c r="AS23" s="195" t="str">
        <v>JYSW30 MTRT Curncy</v>
      </c>
      <c r="AT23" s="205">
        <v>0.80374999999999996</v>
      </c>
      <c r="AU23" s="213"/>
      <c r="AV23" s="197">
        <f t="shared" si="17"/>
        <v>8.0374999999999995E-3</v>
      </c>
      <c r="AW23" s="203">
        <v>14</v>
      </c>
      <c r="AX23" s="195" t="str">
        <f t="shared" si="6"/>
        <v>20Y</v>
      </c>
      <c r="AY23" s="195" t="str">
        <v>JYBC20 MTRT Curncy</v>
      </c>
      <c r="AZ23" s="205">
        <v>7.875</v>
      </c>
      <c r="BA23" s="242"/>
      <c r="BB23" s="197">
        <f t="shared" si="18"/>
        <v>7.8750000000000001E-4</v>
      </c>
      <c r="BC23" s="203">
        <v>14</v>
      </c>
      <c r="BD23" s="195" t="str">
        <f t="shared" si="7"/>
        <v>25Y</v>
      </c>
      <c r="BE23" s="195" t="str">
        <v>JYBB25 MTRT Curncy</v>
      </c>
      <c r="BF23" s="205">
        <v>9.875</v>
      </c>
      <c r="BG23" s="242"/>
      <c r="BH23" s="197">
        <f t="shared" si="19"/>
        <v>9.875000000000001E-4</v>
      </c>
      <c r="BI23" s="203">
        <v>14</v>
      </c>
      <c r="BJ23" s="195" t="str">
        <f t="shared" si="8"/>
        <v/>
      </c>
      <c r="BK23" s="195" t="str">
        <v/>
      </c>
      <c r="BL23" s="205" t="str">
        <v/>
      </c>
      <c r="BM23" s="242"/>
      <c r="BN23" s="197" t="str">
        <f t="shared" si="20"/>
        <v/>
      </c>
      <c r="BO23" s="203">
        <v>14</v>
      </c>
      <c r="BP23" s="195" t="str">
        <f t="shared" si="9"/>
        <v>20Y</v>
      </c>
      <c r="BQ23" s="195" t="str">
        <v>JYBS20 MTRT Curncy</v>
      </c>
      <c r="BR23" s="205">
        <v>-50.375</v>
      </c>
      <c r="BS23" s="242"/>
      <c r="BT23" s="197">
        <f t="shared" si="21"/>
        <v>-5.0375000000000003E-3</v>
      </c>
    </row>
    <row r="24" spans="1:72">
      <c r="A24" s="203">
        <v>15</v>
      </c>
      <c r="B24" s="195" t="str">
        <f t="shared" si="0"/>
        <v>11Y</v>
      </c>
      <c r="C24" s="195" t="str">
        <v>JYSO11 MTRT Curncy</v>
      </c>
      <c r="D24" s="205">
        <v>0.18375</v>
      </c>
      <c r="E24" s="213"/>
      <c r="F24" s="197">
        <f t="shared" si="10"/>
        <v>1.8374999999999999E-3</v>
      </c>
      <c r="G24" s="203">
        <v>15</v>
      </c>
      <c r="H24" s="195" t="str">
        <f t="shared" si="1"/>
        <v/>
      </c>
      <c r="I24" s="195" t="str">
        <v/>
      </c>
      <c r="J24" s="205" t="str">
        <v/>
      </c>
      <c r="K24" s="242"/>
      <c r="L24" s="197" t="str">
        <f t="shared" si="11"/>
        <v/>
      </c>
      <c r="M24" s="203">
        <v>15</v>
      </c>
      <c r="N24" s="195" t="str">
        <f t="shared" si="2"/>
        <v/>
      </c>
      <c r="O24" s="195" t="str">
        <v/>
      </c>
      <c r="P24" s="205" t="str">
        <v/>
      </c>
      <c r="Q24" s="213"/>
      <c r="R24" s="197" t="str">
        <f t="shared" si="12"/>
        <v/>
      </c>
      <c r="S24" s="203">
        <v>15</v>
      </c>
      <c r="T24" s="195" t="str">
        <f t="shared" si="3"/>
        <v/>
      </c>
      <c r="U24" s="195" t="str">
        <v/>
      </c>
      <c r="V24" s="205" t="str">
        <v/>
      </c>
      <c r="W24" s="213"/>
      <c r="X24" s="197" t="str">
        <f t="shared" si="13"/>
        <v/>
      </c>
      <c r="Y24" s="203">
        <v>15</v>
      </c>
      <c r="Z24" s="195"/>
      <c r="AA24" s="195"/>
      <c r="AB24" s="205"/>
      <c r="AC24" s="213"/>
      <c r="AD24" s="197" t="str">
        <f t="shared" si="14"/>
        <v/>
      </c>
      <c r="AE24" s="203">
        <v>15</v>
      </c>
      <c r="AF24" s="195" t="str">
        <f t="shared" si="4"/>
        <v/>
      </c>
      <c r="AG24" s="195" t="str">
        <v/>
      </c>
      <c r="AH24" s="205" t="str">
        <v/>
      </c>
      <c r="AI24" s="213"/>
      <c r="AJ24" s="197" t="str">
        <f t="shared" si="15"/>
        <v/>
      </c>
      <c r="AK24" s="203">
        <v>15</v>
      </c>
      <c r="AL24" s="198"/>
      <c r="AM24" s="195"/>
      <c r="AN24" s="196"/>
      <c r="AO24" s="254"/>
      <c r="AP24" s="256" t="str">
        <f t="shared" si="16"/>
        <v/>
      </c>
      <c r="AQ24" s="203">
        <v>15</v>
      </c>
      <c r="AR24" s="195" t="str">
        <f t="shared" si="5"/>
        <v>35Y</v>
      </c>
      <c r="AS24" s="195" t="str">
        <v>JYSW35 MTRT Curncy</v>
      </c>
      <c r="AT24" s="205">
        <v>0.85</v>
      </c>
      <c r="AU24" s="213"/>
      <c r="AV24" s="197">
        <f t="shared" si="17"/>
        <v>8.5000000000000006E-3</v>
      </c>
      <c r="AW24" s="203">
        <v>15</v>
      </c>
      <c r="AX24" s="195" t="str">
        <f t="shared" si="6"/>
        <v>25Y</v>
      </c>
      <c r="AY24" s="195" t="str">
        <v>JYBC25 MTRT Curncy</v>
      </c>
      <c r="AZ24" s="205">
        <v>8.25</v>
      </c>
      <c r="BA24" s="242"/>
      <c r="BB24" s="197">
        <f t="shared" si="18"/>
        <v>8.25E-4</v>
      </c>
      <c r="BC24" s="203">
        <v>15</v>
      </c>
      <c r="BD24" s="195" t="str">
        <f t="shared" si="7"/>
        <v>30Y</v>
      </c>
      <c r="BE24" s="195" t="str">
        <v>JYBB30 MTRT Curncy</v>
      </c>
      <c r="BF24" s="205">
        <v>10</v>
      </c>
      <c r="BG24" s="242"/>
      <c r="BH24" s="197">
        <f t="shared" si="19"/>
        <v>1E-3</v>
      </c>
      <c r="BI24" s="203">
        <v>15</v>
      </c>
      <c r="BJ24" s="195" t="str">
        <f t="shared" si="8"/>
        <v/>
      </c>
      <c r="BK24" s="195" t="str">
        <v/>
      </c>
      <c r="BL24" s="205" t="str">
        <v/>
      </c>
      <c r="BM24" s="242"/>
      <c r="BN24" s="197" t="str">
        <f t="shared" si="20"/>
        <v/>
      </c>
      <c r="BO24" s="203">
        <v>15</v>
      </c>
      <c r="BP24" s="195" t="str">
        <f t="shared" si="9"/>
        <v>25Y</v>
      </c>
      <c r="BQ24" s="195" t="str">
        <v>JYBS25 MTRT Curncy</v>
      </c>
      <c r="BR24" s="205">
        <v>-50.25</v>
      </c>
      <c r="BS24" s="242"/>
      <c r="BT24" s="197">
        <f t="shared" si="21"/>
        <v>-5.025E-3</v>
      </c>
    </row>
    <row r="25" spans="1:72">
      <c r="A25" s="203">
        <v>16</v>
      </c>
      <c r="B25" s="195" t="str">
        <f t="shared" si="0"/>
        <v>12Y</v>
      </c>
      <c r="C25" s="195" t="str">
        <v>JYSO12 MTRT Curncy</v>
      </c>
      <c r="D25" s="205">
        <v>0.2175</v>
      </c>
      <c r="E25" s="213"/>
      <c r="F25" s="197">
        <f t="shared" si="10"/>
        <v>2.1749999999999999E-3</v>
      </c>
      <c r="G25" s="203">
        <v>16</v>
      </c>
      <c r="H25" s="195" t="str">
        <f t="shared" si="1"/>
        <v/>
      </c>
      <c r="I25" s="195" t="str">
        <v/>
      </c>
      <c r="J25" s="205" t="str">
        <v/>
      </c>
      <c r="K25" s="242"/>
      <c r="L25" s="197" t="str">
        <f t="shared" si="11"/>
        <v/>
      </c>
      <c r="M25" s="203">
        <v>16</v>
      </c>
      <c r="N25" s="195" t="str">
        <f t="shared" si="2"/>
        <v/>
      </c>
      <c r="O25" s="195" t="str">
        <v/>
      </c>
      <c r="P25" s="205" t="str">
        <v/>
      </c>
      <c r="Q25" s="213"/>
      <c r="R25" s="197" t="str">
        <f t="shared" si="12"/>
        <v/>
      </c>
      <c r="S25" s="203">
        <v>16</v>
      </c>
      <c r="T25" s="195" t="str">
        <f t="shared" si="3"/>
        <v/>
      </c>
      <c r="U25" s="195" t="str">
        <v/>
      </c>
      <c r="V25" s="205" t="str">
        <v/>
      </c>
      <c r="W25" s="213"/>
      <c r="X25" s="197" t="str">
        <f t="shared" si="13"/>
        <v/>
      </c>
      <c r="Y25" s="203">
        <v>16</v>
      </c>
      <c r="Z25" s="195"/>
      <c r="AA25" s="195"/>
      <c r="AB25" s="205"/>
      <c r="AC25" s="213"/>
      <c r="AD25" s="197" t="str">
        <f t="shared" si="14"/>
        <v/>
      </c>
      <c r="AE25" s="203">
        <v>16</v>
      </c>
      <c r="AF25" s="195" t="str">
        <f t="shared" si="4"/>
        <v/>
      </c>
      <c r="AG25" s="195" t="str">
        <v/>
      </c>
      <c r="AH25" s="205" t="str">
        <v/>
      </c>
      <c r="AI25" s="213"/>
      <c r="AJ25" s="197" t="str">
        <f t="shared" si="15"/>
        <v/>
      </c>
      <c r="AK25" s="203">
        <v>16</v>
      </c>
      <c r="AL25" s="198"/>
      <c r="AM25" s="195"/>
      <c r="AN25" s="196"/>
      <c r="AO25" s="254"/>
      <c r="AP25" s="256" t="str">
        <f t="shared" si="16"/>
        <v/>
      </c>
      <c r="AQ25" s="203">
        <v>16</v>
      </c>
      <c r="AR25" s="195" t="str">
        <f t="shared" si="5"/>
        <v>40Y</v>
      </c>
      <c r="AS25" s="195" t="str">
        <v>JYSW40 MTRT Curncy</v>
      </c>
      <c r="AT25" s="205">
        <v>0.88875000000000004</v>
      </c>
      <c r="AU25" s="213"/>
      <c r="AV25" s="197">
        <f t="shared" si="17"/>
        <v>8.8874999999999996E-3</v>
      </c>
      <c r="AW25" s="203">
        <v>16</v>
      </c>
      <c r="AX25" s="195" t="str">
        <f t="shared" si="6"/>
        <v>30Y</v>
      </c>
      <c r="AY25" s="195" t="str">
        <v>JYBC30 MTRT Curncy</v>
      </c>
      <c r="AZ25" s="205">
        <v>8.5</v>
      </c>
      <c r="BA25" s="242"/>
      <c r="BB25" s="197">
        <f t="shared" si="18"/>
        <v>8.4999999999999995E-4</v>
      </c>
      <c r="BC25" s="203">
        <v>16</v>
      </c>
      <c r="BD25" s="195" t="str">
        <f t="shared" si="7"/>
        <v>40Y</v>
      </c>
      <c r="BE25" s="195" t="str">
        <v>JYBB40 MTRT Curncy</v>
      </c>
      <c r="BF25" s="205">
        <v>10</v>
      </c>
      <c r="BG25" s="242"/>
      <c r="BH25" s="197">
        <f t="shared" si="19"/>
        <v>1E-3</v>
      </c>
      <c r="BI25" s="203">
        <v>16</v>
      </c>
      <c r="BJ25" s="195" t="str">
        <f t="shared" si="8"/>
        <v/>
      </c>
      <c r="BK25" s="195" t="str">
        <v/>
      </c>
      <c r="BL25" s="205" t="str">
        <v/>
      </c>
      <c r="BM25" s="242"/>
      <c r="BN25" s="197" t="str">
        <f t="shared" si="20"/>
        <v/>
      </c>
      <c r="BO25" s="203">
        <v>16</v>
      </c>
      <c r="BP25" s="195" t="str">
        <f t="shared" si="9"/>
        <v>30Y</v>
      </c>
      <c r="BQ25" s="195" t="str">
        <v>JYBS30 MTRT Curncy</v>
      </c>
      <c r="BR25" s="205">
        <v>-50</v>
      </c>
      <c r="BS25" s="242"/>
      <c r="BT25" s="197">
        <f t="shared" si="21"/>
        <v>-5.0000000000000001E-3</v>
      </c>
    </row>
    <row r="26" spans="1:72">
      <c r="A26" s="203">
        <v>17</v>
      </c>
      <c r="B26" s="195" t="str">
        <f t="shared" si="0"/>
        <v>15Y</v>
      </c>
      <c r="C26" s="195" t="str">
        <v>JYSO15 MTRT Curncy</v>
      </c>
      <c r="D26" s="205">
        <v>0.32624999999999998</v>
      </c>
      <c r="E26" s="213"/>
      <c r="F26" s="197">
        <f t="shared" si="10"/>
        <v>3.2624999999999998E-3</v>
      </c>
      <c r="G26" s="203">
        <v>17</v>
      </c>
      <c r="H26" s="195" t="str">
        <f t="shared" si="1"/>
        <v/>
      </c>
      <c r="I26" s="195" t="str">
        <v/>
      </c>
      <c r="J26" s="205" t="str">
        <v/>
      </c>
      <c r="K26" s="242"/>
      <c r="L26" s="197" t="str">
        <f t="shared" si="11"/>
        <v/>
      </c>
      <c r="M26" s="203">
        <v>17</v>
      </c>
      <c r="N26" s="195" t="str">
        <f t="shared" si="2"/>
        <v/>
      </c>
      <c r="O26" s="195" t="str">
        <v/>
      </c>
      <c r="P26" s="205" t="str">
        <v/>
      </c>
      <c r="Q26" s="213"/>
      <c r="R26" s="197" t="str">
        <f t="shared" si="12"/>
        <v/>
      </c>
      <c r="S26" s="203">
        <v>17</v>
      </c>
      <c r="T26" s="195" t="str">
        <f t="shared" si="3"/>
        <v/>
      </c>
      <c r="U26" s="195" t="str">
        <v/>
      </c>
      <c r="V26" s="205" t="str">
        <v/>
      </c>
      <c r="W26" s="213"/>
      <c r="X26" s="197" t="str">
        <f t="shared" si="13"/>
        <v/>
      </c>
      <c r="Y26" s="203">
        <v>17</v>
      </c>
      <c r="Z26" s="195"/>
      <c r="AA26" s="195"/>
      <c r="AB26" s="205"/>
      <c r="AC26" s="213"/>
      <c r="AD26" s="197" t="str">
        <f t="shared" si="14"/>
        <v/>
      </c>
      <c r="AE26" s="203">
        <v>17</v>
      </c>
      <c r="AF26" s="195" t="str">
        <f t="shared" si="4"/>
        <v/>
      </c>
      <c r="AG26" s="195" t="str">
        <v/>
      </c>
      <c r="AH26" s="205" t="str">
        <v/>
      </c>
      <c r="AI26" s="213"/>
      <c r="AJ26" s="197" t="str">
        <f t="shared" si="15"/>
        <v/>
      </c>
      <c r="AK26" s="203">
        <v>17</v>
      </c>
      <c r="AL26" s="198"/>
      <c r="AM26" s="195"/>
      <c r="AN26" s="196"/>
      <c r="AO26" s="254"/>
      <c r="AP26" s="256" t="str">
        <f t="shared" si="16"/>
        <v/>
      </c>
      <c r="AQ26" s="203">
        <v>17</v>
      </c>
      <c r="AR26" s="195" t="str">
        <f t="shared" si="5"/>
        <v/>
      </c>
      <c r="AS26" s="195" t="str">
        <v/>
      </c>
      <c r="AT26" s="205" t="str">
        <v/>
      </c>
      <c r="AU26" s="213"/>
      <c r="AV26" s="197" t="str">
        <f t="shared" si="17"/>
        <v/>
      </c>
      <c r="AW26" s="203">
        <v>17</v>
      </c>
      <c r="AX26" s="195" t="str">
        <f t="shared" si="6"/>
        <v>40Y</v>
      </c>
      <c r="AY26" s="195" t="str">
        <v>JYBC40 MTRT Curncy</v>
      </c>
      <c r="AZ26" s="205">
        <v>8.75</v>
      </c>
      <c r="BA26" s="242"/>
      <c r="BB26" s="197">
        <f t="shared" si="18"/>
        <v>8.7500000000000002E-4</v>
      </c>
      <c r="BC26" s="203">
        <v>17</v>
      </c>
      <c r="BD26" s="195" t="str">
        <f t="shared" si="7"/>
        <v/>
      </c>
      <c r="BE26" s="195" t="str">
        <v/>
      </c>
      <c r="BF26" s="205" t="str">
        <v/>
      </c>
      <c r="BG26" s="242"/>
      <c r="BH26" s="197" t="str">
        <f t="shared" si="19"/>
        <v/>
      </c>
      <c r="BI26" s="203">
        <v>17</v>
      </c>
      <c r="BJ26" s="195" t="str">
        <f t="shared" si="8"/>
        <v/>
      </c>
      <c r="BK26" s="195" t="str">
        <v/>
      </c>
      <c r="BL26" s="205" t="str">
        <v/>
      </c>
      <c r="BM26" s="242"/>
      <c r="BN26" s="197" t="str">
        <f t="shared" si="20"/>
        <v/>
      </c>
      <c r="BO26" s="203">
        <v>17</v>
      </c>
      <c r="BP26" s="195" t="str">
        <f t="shared" si="9"/>
        <v/>
      </c>
      <c r="BQ26" s="195" t="str">
        <v/>
      </c>
      <c r="BR26" s="205" t="str">
        <v/>
      </c>
      <c r="BS26" s="242"/>
      <c r="BT26" s="197" t="str">
        <f t="shared" si="21"/>
        <v/>
      </c>
    </row>
    <row r="27" spans="1:72">
      <c r="A27" s="203">
        <v>18</v>
      </c>
      <c r="B27" s="195" t="str">
        <f t="shared" si="0"/>
        <v>20Y</v>
      </c>
      <c r="C27" s="195" t="str">
        <v>JYSO20 MTRT Curncy</v>
      </c>
      <c r="D27" s="205">
        <v>0.48375000000000001</v>
      </c>
      <c r="E27" s="213"/>
      <c r="F27" s="197">
        <f>IF(D27="","",D27/100+E27+F$7)</f>
        <v>4.8374999999999998E-3</v>
      </c>
      <c r="G27" s="203">
        <v>18</v>
      </c>
      <c r="H27" s="195" t="str">
        <f t="shared" si="1"/>
        <v/>
      </c>
      <c r="I27" s="195" t="str">
        <v/>
      </c>
      <c r="J27" s="205" t="str">
        <v/>
      </c>
      <c r="K27" s="242"/>
      <c r="L27" s="197" t="str">
        <f t="shared" si="11"/>
        <v/>
      </c>
      <c r="M27" s="203">
        <v>18</v>
      </c>
      <c r="N27" s="195" t="str">
        <f t="shared" si="2"/>
        <v/>
      </c>
      <c r="O27" s="195" t="str">
        <v/>
      </c>
      <c r="P27" s="205" t="str">
        <v/>
      </c>
      <c r="Q27" s="213"/>
      <c r="R27" s="197" t="str">
        <f t="shared" si="12"/>
        <v/>
      </c>
      <c r="S27" s="203">
        <v>18</v>
      </c>
      <c r="T27" s="195" t="str">
        <f t="shared" si="3"/>
        <v/>
      </c>
      <c r="U27" s="195" t="str">
        <v/>
      </c>
      <c r="V27" s="205" t="str">
        <v/>
      </c>
      <c r="W27" s="213"/>
      <c r="X27" s="197" t="str">
        <f t="shared" si="13"/>
        <v/>
      </c>
      <c r="Y27" s="203">
        <v>18</v>
      </c>
      <c r="Z27" s="195"/>
      <c r="AA27" s="195"/>
      <c r="AB27" s="205"/>
      <c r="AC27" s="213"/>
      <c r="AD27" s="197" t="str">
        <f t="shared" si="14"/>
        <v/>
      </c>
      <c r="AE27" s="203">
        <v>18</v>
      </c>
      <c r="AF27" s="195" t="str">
        <f t="shared" si="4"/>
        <v/>
      </c>
      <c r="AG27" s="195" t="str">
        <v/>
      </c>
      <c r="AH27" s="205" t="str">
        <v/>
      </c>
      <c r="AI27" s="213"/>
      <c r="AJ27" s="197" t="str">
        <f t="shared" si="15"/>
        <v/>
      </c>
      <c r="AK27" s="203">
        <v>18</v>
      </c>
      <c r="AL27" s="198"/>
      <c r="AM27" s="195"/>
      <c r="AN27" s="196"/>
      <c r="AO27" s="254"/>
      <c r="AP27" s="256" t="str">
        <f t="shared" si="16"/>
        <v/>
      </c>
      <c r="AQ27" s="203">
        <v>18</v>
      </c>
      <c r="AR27" s="195" t="str">
        <f t="shared" si="5"/>
        <v/>
      </c>
      <c r="AS27" s="195" t="str">
        <v/>
      </c>
      <c r="AT27" s="205" t="str">
        <v/>
      </c>
      <c r="AU27" s="213"/>
      <c r="AV27" s="197" t="str">
        <f t="shared" si="17"/>
        <v/>
      </c>
      <c r="AW27" s="203">
        <v>18</v>
      </c>
      <c r="AX27" s="195" t="str">
        <f t="shared" si="6"/>
        <v/>
      </c>
      <c r="AY27" s="195" t="str">
        <v/>
      </c>
      <c r="AZ27" s="205" t="str">
        <v/>
      </c>
      <c r="BA27" s="242"/>
      <c r="BB27" s="197" t="str">
        <f t="shared" si="18"/>
        <v/>
      </c>
      <c r="BC27" s="203">
        <v>18</v>
      </c>
      <c r="BD27" s="195" t="str">
        <f t="shared" si="7"/>
        <v/>
      </c>
      <c r="BE27" s="195" t="str">
        <v/>
      </c>
      <c r="BF27" s="205" t="str">
        <v/>
      </c>
      <c r="BG27" s="242"/>
      <c r="BH27" s="197" t="str">
        <f t="shared" si="19"/>
        <v/>
      </c>
      <c r="BI27" s="203">
        <v>18</v>
      </c>
      <c r="BJ27" s="195" t="str">
        <f t="shared" si="8"/>
        <v/>
      </c>
      <c r="BK27" s="195" t="str">
        <v/>
      </c>
      <c r="BL27" s="205" t="str">
        <v/>
      </c>
      <c r="BM27" s="242"/>
      <c r="BN27" s="197" t="str">
        <f t="shared" si="20"/>
        <v/>
      </c>
      <c r="BO27" s="203">
        <v>18</v>
      </c>
      <c r="BP27" s="195" t="str">
        <f t="shared" si="9"/>
        <v/>
      </c>
      <c r="BQ27" s="195" t="str">
        <v/>
      </c>
      <c r="BR27" s="205" t="str">
        <v/>
      </c>
      <c r="BS27" s="242"/>
      <c r="BT27" s="197" t="str">
        <f t="shared" si="21"/>
        <v/>
      </c>
    </row>
    <row r="28" spans="1:72">
      <c r="A28" s="203">
        <v>19</v>
      </c>
      <c r="B28" s="195" t="str">
        <f t="shared" si="0"/>
        <v>25Y</v>
      </c>
      <c r="C28" s="195" t="str">
        <v>JYSO25 MTRT Curncy</v>
      </c>
      <c r="D28" s="205">
        <v>0.58499999999999996</v>
      </c>
      <c r="E28" s="213"/>
      <c r="F28" s="197">
        <f t="shared" si="10"/>
        <v>5.8499999999999993E-3</v>
      </c>
      <c r="G28" s="203">
        <v>19</v>
      </c>
      <c r="H28" s="195" t="str">
        <f t="shared" si="1"/>
        <v/>
      </c>
      <c r="I28" s="195" t="str">
        <v/>
      </c>
      <c r="J28" s="205" t="str">
        <v/>
      </c>
      <c r="K28" s="242"/>
      <c r="L28" s="197" t="str">
        <f t="shared" si="11"/>
        <v/>
      </c>
      <c r="M28" s="203">
        <v>19</v>
      </c>
      <c r="N28" s="195" t="str">
        <f t="shared" si="2"/>
        <v/>
      </c>
      <c r="O28" s="195" t="str">
        <v/>
      </c>
      <c r="P28" s="205" t="str">
        <v/>
      </c>
      <c r="Q28" s="213"/>
      <c r="R28" s="197" t="str">
        <f t="shared" si="12"/>
        <v/>
      </c>
      <c r="S28" s="203">
        <v>19</v>
      </c>
      <c r="T28" s="195" t="str">
        <f t="shared" si="3"/>
        <v/>
      </c>
      <c r="U28" s="195" t="str">
        <v/>
      </c>
      <c r="V28" s="205" t="str">
        <v/>
      </c>
      <c r="W28" s="213"/>
      <c r="X28" s="197" t="str">
        <f t="shared" si="13"/>
        <v/>
      </c>
      <c r="Y28" s="203">
        <v>19</v>
      </c>
      <c r="Z28" s="195"/>
      <c r="AA28" s="195"/>
      <c r="AB28" s="205"/>
      <c r="AC28" s="213"/>
      <c r="AD28" s="197" t="str">
        <f t="shared" si="14"/>
        <v/>
      </c>
      <c r="AE28" s="203">
        <v>19</v>
      </c>
      <c r="AF28" s="195" t="str">
        <f t="shared" si="4"/>
        <v/>
      </c>
      <c r="AG28" s="195" t="str">
        <v/>
      </c>
      <c r="AH28" s="205" t="str">
        <v/>
      </c>
      <c r="AI28" s="213"/>
      <c r="AJ28" s="197" t="str">
        <f t="shared" si="15"/>
        <v/>
      </c>
      <c r="AK28" s="203">
        <v>19</v>
      </c>
      <c r="AL28" s="198"/>
      <c r="AM28" s="195"/>
      <c r="AN28" s="196"/>
      <c r="AO28" s="254"/>
      <c r="AP28" s="256" t="str">
        <f t="shared" si="16"/>
        <v/>
      </c>
      <c r="AQ28" s="203">
        <v>19</v>
      </c>
      <c r="AR28" s="195" t="str">
        <f t="shared" si="5"/>
        <v/>
      </c>
      <c r="AS28" s="195" t="str">
        <v/>
      </c>
      <c r="AT28" s="205" t="str">
        <v/>
      </c>
      <c r="AU28" s="213"/>
      <c r="AV28" s="197" t="str">
        <f t="shared" si="17"/>
        <v/>
      </c>
      <c r="AW28" s="203">
        <v>19</v>
      </c>
      <c r="AX28" s="195" t="str">
        <f t="shared" si="6"/>
        <v/>
      </c>
      <c r="AY28" s="195" t="str">
        <v/>
      </c>
      <c r="AZ28" s="205" t="str">
        <v/>
      </c>
      <c r="BA28" s="242"/>
      <c r="BB28" s="197" t="str">
        <f t="shared" si="18"/>
        <v/>
      </c>
      <c r="BC28" s="203">
        <v>19</v>
      </c>
      <c r="BD28" s="195" t="str">
        <f t="shared" si="7"/>
        <v/>
      </c>
      <c r="BE28" s="195" t="str">
        <v/>
      </c>
      <c r="BF28" s="205" t="str">
        <v/>
      </c>
      <c r="BG28" s="242"/>
      <c r="BH28" s="197" t="str">
        <f t="shared" si="19"/>
        <v/>
      </c>
      <c r="BI28" s="203">
        <v>19</v>
      </c>
      <c r="BJ28" s="195" t="str">
        <f t="shared" si="8"/>
        <v/>
      </c>
      <c r="BK28" s="195" t="str">
        <v/>
      </c>
      <c r="BL28" s="205" t="str">
        <v/>
      </c>
      <c r="BM28" s="242"/>
      <c r="BN28" s="197" t="str">
        <f t="shared" si="20"/>
        <v/>
      </c>
      <c r="BO28" s="203">
        <v>19</v>
      </c>
      <c r="BP28" s="195" t="str">
        <f t="shared" si="9"/>
        <v/>
      </c>
      <c r="BQ28" s="195" t="str">
        <v/>
      </c>
      <c r="BR28" s="205" t="str">
        <v/>
      </c>
      <c r="BS28" s="242"/>
      <c r="BT28" s="197" t="str">
        <f t="shared" si="21"/>
        <v/>
      </c>
    </row>
    <row r="29" spans="1:72">
      <c r="A29" s="203">
        <v>20</v>
      </c>
      <c r="B29" s="195" t="str">
        <f t="shared" si="0"/>
        <v>30Y</v>
      </c>
      <c r="C29" s="195" t="str">
        <v>JYSO30 MTRT Curncy</v>
      </c>
      <c r="D29" s="205">
        <v>0.64875000000000005</v>
      </c>
      <c r="E29" s="213"/>
      <c r="F29" s="197">
        <f t="shared" si="10"/>
        <v>6.4875000000000002E-3</v>
      </c>
      <c r="G29" s="203">
        <v>20</v>
      </c>
      <c r="H29" s="195" t="str">
        <f t="shared" si="1"/>
        <v/>
      </c>
      <c r="I29" s="195" t="str">
        <v/>
      </c>
      <c r="J29" s="205" t="str">
        <v/>
      </c>
      <c r="K29" s="242"/>
      <c r="L29" s="197" t="str">
        <f t="shared" si="11"/>
        <v/>
      </c>
      <c r="M29" s="203">
        <v>20</v>
      </c>
      <c r="N29" s="195" t="str">
        <f t="shared" si="2"/>
        <v/>
      </c>
      <c r="O29" s="195" t="str">
        <v/>
      </c>
      <c r="P29" s="205" t="str">
        <v/>
      </c>
      <c r="Q29" s="213"/>
      <c r="R29" s="197" t="str">
        <f t="shared" si="12"/>
        <v/>
      </c>
      <c r="S29" s="203">
        <v>20</v>
      </c>
      <c r="T29" s="195" t="str">
        <f t="shared" si="3"/>
        <v/>
      </c>
      <c r="U29" s="195" t="str">
        <v/>
      </c>
      <c r="V29" s="205" t="str">
        <v/>
      </c>
      <c r="W29" s="213"/>
      <c r="X29" s="197" t="str">
        <f t="shared" si="13"/>
        <v/>
      </c>
      <c r="Y29" s="203">
        <v>20</v>
      </c>
      <c r="Z29" s="195"/>
      <c r="AA29" s="195"/>
      <c r="AB29" s="205"/>
      <c r="AC29" s="213"/>
      <c r="AD29" s="197" t="str">
        <f t="shared" si="14"/>
        <v/>
      </c>
      <c r="AE29" s="203">
        <v>20</v>
      </c>
      <c r="AF29" s="195" t="str">
        <f t="shared" si="4"/>
        <v/>
      </c>
      <c r="AG29" s="195" t="str">
        <v/>
      </c>
      <c r="AH29" s="205" t="str">
        <v/>
      </c>
      <c r="AI29" s="213"/>
      <c r="AJ29" s="197" t="str">
        <f t="shared" si="15"/>
        <v/>
      </c>
      <c r="AK29" s="203">
        <v>20</v>
      </c>
      <c r="AL29" s="198"/>
      <c r="AM29" s="195"/>
      <c r="AN29" s="196"/>
      <c r="AO29" s="254"/>
      <c r="AP29" s="256" t="str">
        <f t="shared" si="16"/>
        <v/>
      </c>
      <c r="AQ29" s="203">
        <v>20</v>
      </c>
      <c r="AR29" s="195" t="str">
        <f t="shared" si="5"/>
        <v/>
      </c>
      <c r="AS29" s="195" t="str">
        <v/>
      </c>
      <c r="AT29" s="205" t="str">
        <v/>
      </c>
      <c r="AU29" s="213"/>
      <c r="AV29" s="197" t="str">
        <f t="shared" si="17"/>
        <v/>
      </c>
      <c r="AW29" s="203">
        <v>20</v>
      </c>
      <c r="AX29" s="195" t="str">
        <f t="shared" si="6"/>
        <v/>
      </c>
      <c r="AY29" s="195" t="str">
        <v/>
      </c>
      <c r="AZ29" s="205" t="str">
        <v/>
      </c>
      <c r="BA29" s="242"/>
      <c r="BB29" s="197" t="str">
        <f t="shared" si="18"/>
        <v/>
      </c>
      <c r="BC29" s="203">
        <v>20</v>
      </c>
      <c r="BD29" s="195" t="str">
        <f t="shared" si="7"/>
        <v/>
      </c>
      <c r="BE29" s="195" t="str">
        <v/>
      </c>
      <c r="BF29" s="205" t="str">
        <v/>
      </c>
      <c r="BG29" s="242"/>
      <c r="BH29" s="197" t="str">
        <f t="shared" si="19"/>
        <v/>
      </c>
      <c r="BI29" s="203">
        <v>20</v>
      </c>
      <c r="BJ29" s="195" t="str">
        <f t="shared" si="8"/>
        <v/>
      </c>
      <c r="BK29" s="195" t="str">
        <v/>
      </c>
      <c r="BL29" s="205" t="str">
        <v/>
      </c>
      <c r="BM29" s="242"/>
      <c r="BN29" s="197" t="str">
        <f t="shared" si="20"/>
        <v/>
      </c>
      <c r="BO29" s="203">
        <v>20</v>
      </c>
      <c r="BP29" s="195" t="str">
        <f t="shared" si="9"/>
        <v/>
      </c>
      <c r="BQ29" s="195" t="str">
        <v/>
      </c>
      <c r="BR29" s="205" t="str">
        <v/>
      </c>
      <c r="BS29" s="242"/>
      <c r="BT29" s="197" t="str">
        <f t="shared" si="21"/>
        <v/>
      </c>
    </row>
    <row r="30" spans="1:72">
      <c r="A30" s="203">
        <v>21</v>
      </c>
      <c r="B30" s="195" t="str">
        <f t="shared" si="0"/>
        <v/>
      </c>
      <c r="C30" s="195" t="str">
        <v/>
      </c>
      <c r="D30" s="205" t="str">
        <v/>
      </c>
      <c r="E30" s="213"/>
      <c r="F30" s="197" t="str">
        <f t="shared" si="10"/>
        <v/>
      </c>
      <c r="G30" s="203">
        <v>21</v>
      </c>
      <c r="H30" s="195" t="str">
        <f t="shared" si="1"/>
        <v/>
      </c>
      <c r="I30" s="195" t="str">
        <v/>
      </c>
      <c r="J30" s="205" t="str">
        <v/>
      </c>
      <c r="K30" s="242"/>
      <c r="L30" s="197" t="str">
        <f t="shared" si="11"/>
        <v/>
      </c>
      <c r="M30" s="203">
        <v>21</v>
      </c>
      <c r="N30" s="195" t="str">
        <f t="shared" si="2"/>
        <v/>
      </c>
      <c r="O30" s="195" t="str">
        <v/>
      </c>
      <c r="P30" s="205" t="str">
        <v/>
      </c>
      <c r="Q30" s="213"/>
      <c r="R30" s="197" t="str">
        <f t="shared" si="12"/>
        <v/>
      </c>
      <c r="S30" s="203">
        <v>21</v>
      </c>
      <c r="T30" s="195" t="str">
        <f t="shared" si="3"/>
        <v/>
      </c>
      <c r="U30" s="195" t="str">
        <v/>
      </c>
      <c r="V30" s="205" t="str">
        <v/>
      </c>
      <c r="W30" s="213"/>
      <c r="X30" s="197" t="str">
        <f t="shared" si="13"/>
        <v/>
      </c>
      <c r="Y30" s="203">
        <v>21</v>
      </c>
      <c r="Z30" s="195"/>
      <c r="AA30" s="195"/>
      <c r="AB30" s="205"/>
      <c r="AC30" s="213"/>
      <c r="AD30" s="197" t="str">
        <f t="shared" si="14"/>
        <v/>
      </c>
      <c r="AE30" s="203">
        <v>21</v>
      </c>
      <c r="AF30" s="195" t="str">
        <f t="shared" si="4"/>
        <v/>
      </c>
      <c r="AG30" s="195" t="str">
        <v/>
      </c>
      <c r="AH30" s="205" t="str">
        <v/>
      </c>
      <c r="AI30" s="213"/>
      <c r="AJ30" s="197" t="str">
        <f t="shared" si="15"/>
        <v/>
      </c>
      <c r="AK30" s="203">
        <v>21</v>
      </c>
      <c r="AL30" s="198"/>
      <c r="AM30" s="195"/>
      <c r="AN30" s="196"/>
      <c r="AO30" s="254"/>
      <c r="AP30" s="256" t="str">
        <f t="shared" si="16"/>
        <v/>
      </c>
      <c r="AQ30" s="203">
        <v>21</v>
      </c>
      <c r="AR30" s="195" t="str">
        <f t="shared" si="5"/>
        <v/>
      </c>
      <c r="AS30" s="195" t="str">
        <v/>
      </c>
      <c r="AT30" s="205" t="str">
        <v/>
      </c>
      <c r="AU30" s="213"/>
      <c r="AV30" s="197" t="str">
        <f t="shared" si="17"/>
        <v/>
      </c>
      <c r="AW30" s="203">
        <v>21</v>
      </c>
      <c r="AX30" s="195" t="str">
        <f t="shared" si="6"/>
        <v/>
      </c>
      <c r="AY30" s="195" t="str">
        <v/>
      </c>
      <c r="AZ30" s="205" t="str">
        <v/>
      </c>
      <c r="BA30" s="242"/>
      <c r="BB30" s="197" t="str">
        <f t="shared" si="18"/>
        <v/>
      </c>
      <c r="BC30" s="203">
        <v>21</v>
      </c>
      <c r="BD30" s="195" t="str">
        <f t="shared" si="7"/>
        <v/>
      </c>
      <c r="BE30" s="195" t="str">
        <v/>
      </c>
      <c r="BF30" s="205" t="str">
        <v/>
      </c>
      <c r="BG30" s="242"/>
      <c r="BH30" s="197" t="str">
        <f t="shared" si="19"/>
        <v/>
      </c>
      <c r="BI30" s="203">
        <v>21</v>
      </c>
      <c r="BJ30" s="195" t="str">
        <f t="shared" si="8"/>
        <v/>
      </c>
      <c r="BK30" s="195" t="str">
        <v/>
      </c>
      <c r="BL30" s="205" t="str">
        <v/>
      </c>
      <c r="BM30" s="242"/>
      <c r="BN30" s="197" t="str">
        <f t="shared" si="20"/>
        <v/>
      </c>
      <c r="BO30" s="203">
        <v>21</v>
      </c>
      <c r="BP30" s="195" t="str">
        <f t="shared" si="9"/>
        <v/>
      </c>
      <c r="BQ30" s="195" t="str">
        <v/>
      </c>
      <c r="BR30" s="205" t="str">
        <v/>
      </c>
      <c r="BS30" s="242"/>
      <c r="BT30" s="197" t="str">
        <f t="shared" si="21"/>
        <v/>
      </c>
    </row>
    <row r="31" spans="1:72">
      <c r="A31" s="203">
        <v>22</v>
      </c>
      <c r="B31" s="195" t="str">
        <f t="shared" si="0"/>
        <v/>
      </c>
      <c r="C31" s="195" t="str">
        <v/>
      </c>
      <c r="D31" s="205" t="str">
        <v/>
      </c>
      <c r="E31" s="213"/>
      <c r="F31" s="197" t="str">
        <f t="shared" si="10"/>
        <v/>
      </c>
      <c r="G31" s="203">
        <v>22</v>
      </c>
      <c r="H31" s="195" t="str">
        <f t="shared" si="1"/>
        <v/>
      </c>
      <c r="I31" s="195" t="str">
        <v/>
      </c>
      <c r="J31" s="205" t="str">
        <v/>
      </c>
      <c r="K31" s="242"/>
      <c r="L31" s="197" t="str">
        <f t="shared" si="11"/>
        <v/>
      </c>
      <c r="M31" s="203">
        <v>22</v>
      </c>
      <c r="N31" s="195" t="str">
        <f t="shared" si="2"/>
        <v/>
      </c>
      <c r="O31" s="195" t="str">
        <v/>
      </c>
      <c r="P31" s="205" t="str">
        <v/>
      </c>
      <c r="Q31" s="213"/>
      <c r="R31" s="197" t="str">
        <f t="shared" si="12"/>
        <v/>
      </c>
      <c r="S31" s="203">
        <v>22</v>
      </c>
      <c r="T31" s="195" t="str">
        <f t="shared" si="3"/>
        <v/>
      </c>
      <c r="U31" s="195" t="str">
        <v/>
      </c>
      <c r="V31" s="205" t="str">
        <v/>
      </c>
      <c r="W31" s="213"/>
      <c r="X31" s="197" t="str">
        <f t="shared" si="13"/>
        <v/>
      </c>
      <c r="Y31" s="203">
        <v>22</v>
      </c>
      <c r="Z31" s="195"/>
      <c r="AA31" s="195"/>
      <c r="AB31" s="205"/>
      <c r="AC31" s="213"/>
      <c r="AD31" s="197" t="str">
        <f t="shared" si="14"/>
        <v/>
      </c>
      <c r="AE31" s="203">
        <v>22</v>
      </c>
      <c r="AF31" s="195" t="str">
        <f t="shared" si="4"/>
        <v/>
      </c>
      <c r="AG31" s="195" t="str">
        <v/>
      </c>
      <c r="AH31" s="205" t="str">
        <v/>
      </c>
      <c r="AI31" s="213"/>
      <c r="AJ31" s="197" t="str">
        <f t="shared" si="15"/>
        <v/>
      </c>
      <c r="AK31" s="203">
        <v>22</v>
      </c>
      <c r="AL31" s="198"/>
      <c r="AM31" s="195"/>
      <c r="AN31" s="196"/>
      <c r="AO31" s="254"/>
      <c r="AP31" s="256" t="str">
        <f t="shared" si="16"/>
        <v/>
      </c>
      <c r="AQ31" s="203">
        <v>22</v>
      </c>
      <c r="AR31" s="195" t="str">
        <f t="shared" si="5"/>
        <v/>
      </c>
      <c r="AS31" s="195" t="str">
        <v/>
      </c>
      <c r="AT31" s="205" t="str">
        <v/>
      </c>
      <c r="AU31" s="213"/>
      <c r="AV31" s="197" t="str">
        <f t="shared" si="17"/>
        <v/>
      </c>
      <c r="AW31" s="203">
        <v>22</v>
      </c>
      <c r="AX31" s="195" t="str">
        <f t="shared" si="6"/>
        <v/>
      </c>
      <c r="AY31" s="195" t="str">
        <v/>
      </c>
      <c r="AZ31" s="205" t="str">
        <v/>
      </c>
      <c r="BA31" s="242"/>
      <c r="BB31" s="197" t="str">
        <f t="shared" si="18"/>
        <v/>
      </c>
      <c r="BC31" s="203">
        <v>22</v>
      </c>
      <c r="BD31" s="195" t="str">
        <f t="shared" si="7"/>
        <v/>
      </c>
      <c r="BE31" s="195" t="str">
        <v/>
      </c>
      <c r="BF31" s="205" t="str">
        <v/>
      </c>
      <c r="BG31" s="242"/>
      <c r="BH31" s="197" t="str">
        <f t="shared" si="19"/>
        <v/>
      </c>
      <c r="BI31" s="203">
        <v>22</v>
      </c>
      <c r="BJ31" s="195" t="str">
        <f t="shared" si="8"/>
        <v/>
      </c>
      <c r="BK31" s="195" t="str">
        <v/>
      </c>
      <c r="BL31" s="205" t="str">
        <v/>
      </c>
      <c r="BM31" s="242"/>
      <c r="BN31" s="197" t="str">
        <f t="shared" si="20"/>
        <v/>
      </c>
      <c r="BO31" s="203">
        <v>22</v>
      </c>
      <c r="BP31" s="195" t="str">
        <f t="shared" si="9"/>
        <v/>
      </c>
      <c r="BQ31" s="195" t="str">
        <v/>
      </c>
      <c r="BR31" s="205" t="str">
        <v/>
      </c>
      <c r="BS31" s="242"/>
      <c r="BT31" s="197" t="str">
        <f t="shared" si="21"/>
        <v/>
      </c>
    </row>
    <row r="32" spans="1:72">
      <c r="A32" s="203">
        <v>23</v>
      </c>
      <c r="B32" s="195" t="str">
        <f t="shared" si="0"/>
        <v/>
      </c>
      <c r="C32" s="195" t="str">
        <v/>
      </c>
      <c r="D32" s="205" t="str">
        <v/>
      </c>
      <c r="E32" s="213"/>
      <c r="F32" s="197" t="str">
        <f t="shared" si="10"/>
        <v/>
      </c>
      <c r="G32" s="203">
        <v>23</v>
      </c>
      <c r="H32" s="195" t="str">
        <f t="shared" si="1"/>
        <v/>
      </c>
      <c r="I32" s="195" t="str">
        <v/>
      </c>
      <c r="J32" s="205" t="str">
        <v/>
      </c>
      <c r="K32" s="242"/>
      <c r="L32" s="197" t="str">
        <f t="shared" si="11"/>
        <v/>
      </c>
      <c r="M32" s="203">
        <v>23</v>
      </c>
      <c r="N32" s="195" t="str">
        <f t="shared" si="2"/>
        <v/>
      </c>
      <c r="O32" s="195" t="str">
        <v/>
      </c>
      <c r="P32" s="205" t="str">
        <v/>
      </c>
      <c r="Q32" s="213"/>
      <c r="R32" s="197" t="str">
        <f t="shared" si="12"/>
        <v/>
      </c>
      <c r="S32" s="203">
        <v>23</v>
      </c>
      <c r="T32" s="195" t="str">
        <f t="shared" si="3"/>
        <v/>
      </c>
      <c r="U32" s="195" t="str">
        <v/>
      </c>
      <c r="V32" s="205" t="str">
        <v/>
      </c>
      <c r="W32" s="213"/>
      <c r="X32" s="197" t="str">
        <f t="shared" si="13"/>
        <v/>
      </c>
      <c r="Y32" s="203">
        <v>23</v>
      </c>
      <c r="Z32" s="195"/>
      <c r="AA32" s="195"/>
      <c r="AB32" s="205"/>
      <c r="AC32" s="213"/>
      <c r="AD32" s="197" t="str">
        <f t="shared" si="14"/>
        <v/>
      </c>
      <c r="AE32" s="203">
        <v>23</v>
      </c>
      <c r="AF32" s="195" t="str">
        <f t="shared" si="4"/>
        <v/>
      </c>
      <c r="AG32" s="195" t="str">
        <v/>
      </c>
      <c r="AH32" s="205" t="str">
        <v/>
      </c>
      <c r="AI32" s="213"/>
      <c r="AJ32" s="197" t="str">
        <f t="shared" si="15"/>
        <v/>
      </c>
      <c r="AK32" s="203">
        <v>23</v>
      </c>
      <c r="AL32" s="198"/>
      <c r="AM32" s="195"/>
      <c r="AN32" s="196"/>
      <c r="AO32" s="254"/>
      <c r="AP32" s="256" t="str">
        <f t="shared" si="16"/>
        <v/>
      </c>
      <c r="AQ32" s="203">
        <v>23</v>
      </c>
      <c r="AR32" s="195" t="str">
        <f t="shared" si="5"/>
        <v/>
      </c>
      <c r="AS32" s="195" t="str">
        <v/>
      </c>
      <c r="AT32" s="205" t="str">
        <v/>
      </c>
      <c r="AU32" s="213"/>
      <c r="AV32" s="197" t="str">
        <f t="shared" si="17"/>
        <v/>
      </c>
      <c r="AW32" s="203">
        <v>23</v>
      </c>
      <c r="AX32" s="195" t="str">
        <f t="shared" si="6"/>
        <v/>
      </c>
      <c r="AY32" s="195" t="str">
        <v/>
      </c>
      <c r="AZ32" s="205" t="str">
        <v/>
      </c>
      <c r="BA32" s="242"/>
      <c r="BB32" s="197" t="str">
        <f t="shared" si="18"/>
        <v/>
      </c>
      <c r="BC32" s="203">
        <v>23</v>
      </c>
      <c r="BD32" s="195" t="str">
        <f t="shared" si="7"/>
        <v/>
      </c>
      <c r="BE32" s="195" t="str">
        <v/>
      </c>
      <c r="BF32" s="205" t="str">
        <v/>
      </c>
      <c r="BG32" s="242"/>
      <c r="BH32" s="197" t="str">
        <f t="shared" si="19"/>
        <v/>
      </c>
      <c r="BI32" s="203">
        <v>23</v>
      </c>
      <c r="BJ32" s="195" t="str">
        <f t="shared" si="8"/>
        <v/>
      </c>
      <c r="BK32" s="195" t="str">
        <v/>
      </c>
      <c r="BL32" s="205" t="str">
        <v/>
      </c>
      <c r="BM32" s="242"/>
      <c r="BN32" s="197" t="str">
        <f t="shared" si="20"/>
        <v/>
      </c>
      <c r="BO32" s="203">
        <v>23</v>
      </c>
      <c r="BP32" s="195" t="str">
        <f t="shared" si="9"/>
        <v/>
      </c>
      <c r="BQ32" s="195" t="str">
        <v/>
      </c>
      <c r="BR32" s="205" t="str">
        <v/>
      </c>
      <c r="BS32" s="242"/>
      <c r="BT32" s="197" t="str">
        <f t="shared" si="21"/>
        <v/>
      </c>
    </row>
    <row r="33" spans="1:72">
      <c r="A33" s="203">
        <v>24</v>
      </c>
      <c r="B33" s="195" t="str">
        <f t="shared" si="0"/>
        <v/>
      </c>
      <c r="C33" s="195" t="str">
        <v/>
      </c>
      <c r="D33" s="205" t="str">
        <v/>
      </c>
      <c r="E33" s="213"/>
      <c r="F33" s="197" t="str">
        <f t="shared" si="10"/>
        <v/>
      </c>
      <c r="G33" s="203">
        <v>24</v>
      </c>
      <c r="H33" s="195" t="str">
        <f t="shared" si="1"/>
        <v/>
      </c>
      <c r="I33" s="195" t="str">
        <v/>
      </c>
      <c r="J33" s="205" t="str">
        <v/>
      </c>
      <c r="K33" s="242"/>
      <c r="L33" s="197" t="str">
        <f t="shared" si="11"/>
        <v/>
      </c>
      <c r="M33" s="203">
        <v>24</v>
      </c>
      <c r="N33" s="195" t="str">
        <f t="shared" si="2"/>
        <v/>
      </c>
      <c r="O33" s="195" t="str">
        <v/>
      </c>
      <c r="P33" s="205" t="str">
        <v/>
      </c>
      <c r="Q33" s="213"/>
      <c r="R33" s="197" t="str">
        <f t="shared" si="12"/>
        <v/>
      </c>
      <c r="S33" s="203">
        <v>24</v>
      </c>
      <c r="T33" s="195" t="str">
        <f t="shared" si="3"/>
        <v/>
      </c>
      <c r="U33" s="195" t="str">
        <v/>
      </c>
      <c r="V33" s="205" t="str">
        <v/>
      </c>
      <c r="W33" s="213"/>
      <c r="X33" s="197" t="str">
        <f t="shared" si="13"/>
        <v/>
      </c>
      <c r="Y33" s="203">
        <v>24</v>
      </c>
      <c r="Z33" s="195"/>
      <c r="AA33" s="195"/>
      <c r="AB33" s="205"/>
      <c r="AC33" s="213"/>
      <c r="AD33" s="197" t="str">
        <f t="shared" si="14"/>
        <v/>
      </c>
      <c r="AE33" s="203">
        <v>24</v>
      </c>
      <c r="AF33" s="195" t="str">
        <f t="shared" si="4"/>
        <v/>
      </c>
      <c r="AG33" s="195" t="str">
        <v/>
      </c>
      <c r="AH33" s="205" t="str">
        <v/>
      </c>
      <c r="AI33" s="213"/>
      <c r="AJ33" s="197" t="str">
        <f t="shared" si="15"/>
        <v/>
      </c>
      <c r="AK33" s="203">
        <v>24</v>
      </c>
      <c r="AL33" s="198"/>
      <c r="AM33" s="195"/>
      <c r="AN33" s="196"/>
      <c r="AO33" s="254"/>
      <c r="AP33" s="256" t="str">
        <f t="shared" si="16"/>
        <v/>
      </c>
      <c r="AQ33" s="203">
        <v>24</v>
      </c>
      <c r="AR33" s="195" t="str">
        <f t="shared" si="5"/>
        <v/>
      </c>
      <c r="AS33" s="195" t="str">
        <v/>
      </c>
      <c r="AT33" s="205" t="str">
        <v/>
      </c>
      <c r="AU33" s="213"/>
      <c r="AV33" s="197" t="str">
        <f t="shared" si="17"/>
        <v/>
      </c>
      <c r="AW33" s="203">
        <v>24</v>
      </c>
      <c r="AX33" s="195" t="str">
        <f t="shared" si="6"/>
        <v/>
      </c>
      <c r="AY33" s="195" t="str">
        <v/>
      </c>
      <c r="AZ33" s="205" t="str">
        <v/>
      </c>
      <c r="BA33" s="242"/>
      <c r="BB33" s="197" t="str">
        <f t="shared" si="18"/>
        <v/>
      </c>
      <c r="BC33" s="203">
        <v>24</v>
      </c>
      <c r="BD33" s="195" t="str">
        <f t="shared" si="7"/>
        <v/>
      </c>
      <c r="BE33" s="195" t="str">
        <v/>
      </c>
      <c r="BF33" s="205" t="str">
        <v/>
      </c>
      <c r="BG33" s="242"/>
      <c r="BH33" s="197" t="str">
        <f t="shared" si="19"/>
        <v/>
      </c>
      <c r="BI33" s="203">
        <v>24</v>
      </c>
      <c r="BJ33" s="195" t="str">
        <f t="shared" si="8"/>
        <v/>
      </c>
      <c r="BK33" s="195" t="str">
        <v/>
      </c>
      <c r="BL33" s="205" t="str">
        <v/>
      </c>
      <c r="BM33" s="242"/>
      <c r="BN33" s="197" t="str">
        <f t="shared" si="20"/>
        <v/>
      </c>
      <c r="BO33" s="203">
        <v>24</v>
      </c>
      <c r="BP33" s="195" t="str">
        <f t="shared" si="9"/>
        <v/>
      </c>
      <c r="BQ33" s="195" t="str">
        <v/>
      </c>
      <c r="BR33" s="205" t="str">
        <v/>
      </c>
      <c r="BS33" s="242"/>
      <c r="BT33" s="197" t="str">
        <f t="shared" si="21"/>
        <v/>
      </c>
    </row>
    <row r="34" spans="1:72">
      <c r="A34" s="203">
        <v>25</v>
      </c>
      <c r="B34" s="195" t="str">
        <f t="shared" si="0"/>
        <v/>
      </c>
      <c r="C34" s="195" t="str">
        <v/>
      </c>
      <c r="D34" s="205" t="str">
        <v/>
      </c>
      <c r="E34" s="213"/>
      <c r="F34" s="197" t="str">
        <f t="shared" si="10"/>
        <v/>
      </c>
      <c r="G34" s="203">
        <v>25</v>
      </c>
      <c r="H34" s="195" t="str">
        <f t="shared" si="1"/>
        <v/>
      </c>
      <c r="I34" s="195" t="str">
        <v/>
      </c>
      <c r="J34" s="205" t="str">
        <v/>
      </c>
      <c r="K34" s="242"/>
      <c r="L34" s="197" t="str">
        <f t="shared" si="11"/>
        <v/>
      </c>
      <c r="M34" s="203">
        <v>25</v>
      </c>
      <c r="N34" s="195" t="str">
        <f t="shared" si="2"/>
        <v/>
      </c>
      <c r="O34" s="195" t="str">
        <v/>
      </c>
      <c r="P34" s="205" t="str">
        <v/>
      </c>
      <c r="Q34" s="213"/>
      <c r="R34" s="197" t="str">
        <f t="shared" si="12"/>
        <v/>
      </c>
      <c r="S34" s="203">
        <v>25</v>
      </c>
      <c r="T34" s="195" t="str">
        <f t="shared" si="3"/>
        <v/>
      </c>
      <c r="U34" s="195" t="str">
        <v/>
      </c>
      <c r="V34" s="205" t="str">
        <v/>
      </c>
      <c r="W34" s="213"/>
      <c r="X34" s="197" t="str">
        <f t="shared" si="13"/>
        <v/>
      </c>
      <c r="Y34" s="203">
        <v>25</v>
      </c>
      <c r="Z34" s="195"/>
      <c r="AA34" s="195"/>
      <c r="AB34" s="205"/>
      <c r="AC34" s="213"/>
      <c r="AD34" s="197" t="str">
        <f t="shared" si="14"/>
        <v/>
      </c>
      <c r="AE34" s="203">
        <v>25</v>
      </c>
      <c r="AF34" s="195" t="str">
        <f t="shared" si="4"/>
        <v/>
      </c>
      <c r="AG34" s="195" t="str">
        <v/>
      </c>
      <c r="AH34" s="205" t="str">
        <v/>
      </c>
      <c r="AI34" s="213"/>
      <c r="AJ34" s="197" t="str">
        <f t="shared" si="15"/>
        <v/>
      </c>
      <c r="AK34" s="203">
        <v>25</v>
      </c>
      <c r="AL34" s="198"/>
      <c r="AM34" s="195"/>
      <c r="AN34" s="196"/>
      <c r="AO34" s="254"/>
      <c r="AP34" s="256" t="str">
        <f t="shared" si="16"/>
        <v/>
      </c>
      <c r="AQ34" s="203">
        <v>25</v>
      </c>
      <c r="AR34" s="195" t="str">
        <f t="shared" si="5"/>
        <v/>
      </c>
      <c r="AS34" s="195" t="str">
        <v/>
      </c>
      <c r="AT34" s="205" t="str">
        <v/>
      </c>
      <c r="AU34" s="213"/>
      <c r="AV34" s="197" t="str">
        <f t="shared" si="17"/>
        <v/>
      </c>
      <c r="AW34" s="203">
        <v>25</v>
      </c>
      <c r="AX34" s="195" t="str">
        <f t="shared" si="6"/>
        <v/>
      </c>
      <c r="AY34" s="195" t="str">
        <v/>
      </c>
      <c r="AZ34" s="205" t="str">
        <v/>
      </c>
      <c r="BA34" s="242"/>
      <c r="BB34" s="197" t="str">
        <f t="shared" si="18"/>
        <v/>
      </c>
      <c r="BC34" s="203">
        <v>25</v>
      </c>
      <c r="BD34" s="195" t="str">
        <f t="shared" si="7"/>
        <v/>
      </c>
      <c r="BE34" s="195" t="str">
        <v/>
      </c>
      <c r="BF34" s="205" t="str">
        <v/>
      </c>
      <c r="BG34" s="242"/>
      <c r="BH34" s="197" t="str">
        <f t="shared" si="19"/>
        <v/>
      </c>
      <c r="BI34" s="203">
        <v>25</v>
      </c>
      <c r="BJ34" s="195" t="str">
        <f t="shared" si="8"/>
        <v/>
      </c>
      <c r="BK34" s="195" t="str">
        <v/>
      </c>
      <c r="BL34" s="205" t="str">
        <v/>
      </c>
      <c r="BM34" s="242"/>
      <c r="BN34" s="197" t="str">
        <f t="shared" si="20"/>
        <v/>
      </c>
      <c r="BO34" s="203">
        <v>25</v>
      </c>
      <c r="BP34" s="195" t="str">
        <f t="shared" si="9"/>
        <v/>
      </c>
      <c r="BQ34" s="195" t="str">
        <v/>
      </c>
      <c r="BR34" s="205" t="str">
        <v/>
      </c>
      <c r="BS34" s="242"/>
      <c r="BT34" s="197" t="str">
        <f t="shared" si="21"/>
        <v/>
      </c>
    </row>
    <row r="35" spans="1:72">
      <c r="A35" s="203">
        <v>26</v>
      </c>
      <c r="B35" s="195" t="str">
        <f t="shared" si="0"/>
        <v/>
      </c>
      <c r="C35" s="195" t="str">
        <v/>
      </c>
      <c r="D35" s="205" t="str">
        <v/>
      </c>
      <c r="E35" s="213"/>
      <c r="F35" s="197" t="str">
        <f t="shared" si="10"/>
        <v/>
      </c>
      <c r="G35" s="203">
        <v>26</v>
      </c>
      <c r="H35" s="195" t="str">
        <f t="shared" si="1"/>
        <v/>
      </c>
      <c r="I35" s="195" t="str">
        <v/>
      </c>
      <c r="J35" s="205" t="str">
        <v/>
      </c>
      <c r="K35" s="242"/>
      <c r="L35" s="197" t="str">
        <f t="shared" si="11"/>
        <v/>
      </c>
      <c r="M35" s="203">
        <v>26</v>
      </c>
      <c r="N35" s="195" t="str">
        <f t="shared" si="2"/>
        <v/>
      </c>
      <c r="O35" s="195" t="str">
        <v/>
      </c>
      <c r="P35" s="205" t="str">
        <v/>
      </c>
      <c r="Q35" s="213"/>
      <c r="R35" s="197" t="str">
        <f t="shared" si="12"/>
        <v/>
      </c>
      <c r="S35" s="203">
        <v>26</v>
      </c>
      <c r="T35" s="195" t="str">
        <f t="shared" si="3"/>
        <v/>
      </c>
      <c r="U35" s="195" t="str">
        <v/>
      </c>
      <c r="V35" s="205" t="str">
        <v/>
      </c>
      <c r="W35" s="213"/>
      <c r="X35" s="197" t="str">
        <f t="shared" si="13"/>
        <v/>
      </c>
      <c r="Y35" s="203">
        <v>26</v>
      </c>
      <c r="Z35" s="195"/>
      <c r="AA35" s="195"/>
      <c r="AB35" s="205"/>
      <c r="AC35" s="213"/>
      <c r="AD35" s="197" t="str">
        <f t="shared" si="14"/>
        <v/>
      </c>
      <c r="AE35" s="203">
        <v>26</v>
      </c>
      <c r="AF35" s="195" t="str">
        <f t="shared" si="4"/>
        <v/>
      </c>
      <c r="AG35" s="195" t="str">
        <v/>
      </c>
      <c r="AH35" s="205" t="str">
        <v/>
      </c>
      <c r="AI35" s="213"/>
      <c r="AJ35" s="197" t="str">
        <f t="shared" si="15"/>
        <v/>
      </c>
      <c r="AK35" s="203">
        <v>26</v>
      </c>
      <c r="AL35" s="198"/>
      <c r="AM35" s="195"/>
      <c r="AN35" s="196"/>
      <c r="AO35" s="254"/>
      <c r="AP35" s="256" t="str">
        <f t="shared" si="16"/>
        <v/>
      </c>
      <c r="AQ35" s="203">
        <v>26</v>
      </c>
      <c r="AR35" s="195" t="str">
        <f t="shared" si="5"/>
        <v/>
      </c>
      <c r="AS35" s="195" t="str">
        <v/>
      </c>
      <c r="AT35" s="205" t="str">
        <v/>
      </c>
      <c r="AU35" s="213"/>
      <c r="AV35" s="197" t="str">
        <f t="shared" si="17"/>
        <v/>
      </c>
      <c r="AW35" s="203">
        <v>26</v>
      </c>
      <c r="AX35" s="195" t="str">
        <f t="shared" si="6"/>
        <v/>
      </c>
      <c r="AY35" s="195" t="str">
        <v/>
      </c>
      <c r="AZ35" s="205" t="str">
        <v/>
      </c>
      <c r="BA35" s="242"/>
      <c r="BB35" s="197" t="str">
        <f t="shared" si="18"/>
        <v/>
      </c>
      <c r="BC35" s="203">
        <v>26</v>
      </c>
      <c r="BD35" s="195" t="str">
        <f t="shared" si="7"/>
        <v/>
      </c>
      <c r="BE35" s="195" t="str">
        <v/>
      </c>
      <c r="BF35" s="205" t="str">
        <v/>
      </c>
      <c r="BG35" s="242"/>
      <c r="BH35" s="197" t="str">
        <f t="shared" si="19"/>
        <v/>
      </c>
      <c r="BI35" s="203">
        <v>26</v>
      </c>
      <c r="BJ35" s="195" t="str">
        <f t="shared" si="8"/>
        <v/>
      </c>
      <c r="BK35" s="195" t="str">
        <v/>
      </c>
      <c r="BL35" s="205" t="str">
        <v/>
      </c>
      <c r="BM35" s="242"/>
      <c r="BN35" s="197" t="str">
        <f t="shared" si="20"/>
        <v/>
      </c>
      <c r="BO35" s="203">
        <v>26</v>
      </c>
      <c r="BP35" s="195" t="str">
        <f t="shared" si="9"/>
        <v/>
      </c>
      <c r="BQ35" s="195" t="str">
        <v/>
      </c>
      <c r="BR35" s="205" t="str">
        <v/>
      </c>
      <c r="BS35" s="242"/>
      <c r="BT35" s="197" t="str">
        <f t="shared" si="21"/>
        <v/>
      </c>
    </row>
    <row r="36" spans="1:72">
      <c r="A36" s="203">
        <v>27</v>
      </c>
      <c r="B36" s="195" t="str">
        <f t="shared" si="0"/>
        <v/>
      </c>
      <c r="C36" s="195" t="str">
        <v/>
      </c>
      <c r="D36" s="205" t="str">
        <v/>
      </c>
      <c r="E36" s="213"/>
      <c r="F36" s="197" t="str">
        <f t="shared" si="10"/>
        <v/>
      </c>
      <c r="G36" s="203">
        <v>27</v>
      </c>
      <c r="H36" s="195" t="str">
        <f t="shared" si="1"/>
        <v/>
      </c>
      <c r="I36" s="195" t="str">
        <v/>
      </c>
      <c r="J36" s="205" t="str">
        <v/>
      </c>
      <c r="K36" s="242"/>
      <c r="L36" s="197" t="str">
        <f t="shared" si="11"/>
        <v/>
      </c>
      <c r="M36" s="203">
        <v>27</v>
      </c>
      <c r="N36" s="195" t="str">
        <f t="shared" si="2"/>
        <v/>
      </c>
      <c r="O36" s="195" t="str">
        <v/>
      </c>
      <c r="P36" s="205" t="str">
        <v/>
      </c>
      <c r="Q36" s="213"/>
      <c r="R36" s="197" t="str">
        <f t="shared" si="12"/>
        <v/>
      </c>
      <c r="S36" s="203">
        <v>27</v>
      </c>
      <c r="T36" s="195" t="str">
        <f t="shared" si="3"/>
        <v/>
      </c>
      <c r="U36" s="195" t="str">
        <v/>
      </c>
      <c r="V36" s="205" t="str">
        <v/>
      </c>
      <c r="W36" s="213"/>
      <c r="X36" s="197" t="str">
        <f t="shared" si="13"/>
        <v/>
      </c>
      <c r="Y36" s="203">
        <v>27</v>
      </c>
      <c r="Z36" s="195"/>
      <c r="AA36" s="195"/>
      <c r="AB36" s="205"/>
      <c r="AC36" s="213"/>
      <c r="AD36" s="197" t="str">
        <f t="shared" si="14"/>
        <v/>
      </c>
      <c r="AE36" s="203">
        <v>27</v>
      </c>
      <c r="AF36" s="195" t="str">
        <f t="shared" si="4"/>
        <v/>
      </c>
      <c r="AG36" s="195" t="str">
        <v/>
      </c>
      <c r="AH36" s="205" t="str">
        <v/>
      </c>
      <c r="AI36" s="213"/>
      <c r="AJ36" s="197" t="str">
        <f t="shared" si="15"/>
        <v/>
      </c>
      <c r="AK36" s="203">
        <v>27</v>
      </c>
      <c r="AL36" s="198"/>
      <c r="AM36" s="195"/>
      <c r="AN36" s="196"/>
      <c r="AO36" s="254"/>
      <c r="AP36" s="256" t="str">
        <f t="shared" si="16"/>
        <v/>
      </c>
      <c r="AQ36" s="203">
        <v>27</v>
      </c>
      <c r="AR36" s="195" t="str">
        <f t="shared" si="5"/>
        <v/>
      </c>
      <c r="AS36" s="195" t="str">
        <v/>
      </c>
      <c r="AT36" s="205" t="str">
        <v/>
      </c>
      <c r="AU36" s="213"/>
      <c r="AV36" s="197" t="str">
        <f t="shared" si="17"/>
        <v/>
      </c>
      <c r="AW36" s="203">
        <v>27</v>
      </c>
      <c r="AX36" s="195" t="str">
        <f t="shared" si="6"/>
        <v/>
      </c>
      <c r="AY36" s="195" t="str">
        <v/>
      </c>
      <c r="AZ36" s="205" t="str">
        <v/>
      </c>
      <c r="BA36" s="242"/>
      <c r="BB36" s="197" t="str">
        <f t="shared" si="18"/>
        <v/>
      </c>
      <c r="BC36" s="203">
        <v>27</v>
      </c>
      <c r="BD36" s="195" t="str">
        <f t="shared" si="7"/>
        <v/>
      </c>
      <c r="BE36" s="195" t="str">
        <v/>
      </c>
      <c r="BF36" s="205" t="str">
        <v/>
      </c>
      <c r="BG36" s="242"/>
      <c r="BH36" s="197" t="str">
        <f t="shared" si="19"/>
        <v/>
      </c>
      <c r="BI36" s="203">
        <v>27</v>
      </c>
      <c r="BJ36" s="195" t="str">
        <f t="shared" si="8"/>
        <v/>
      </c>
      <c r="BK36" s="195" t="str">
        <v/>
      </c>
      <c r="BL36" s="205" t="str">
        <v/>
      </c>
      <c r="BM36" s="242"/>
      <c r="BN36" s="197" t="str">
        <f t="shared" si="20"/>
        <v/>
      </c>
      <c r="BO36" s="203">
        <v>27</v>
      </c>
      <c r="BP36" s="195" t="str">
        <f t="shared" si="9"/>
        <v/>
      </c>
      <c r="BQ36" s="195" t="str">
        <v/>
      </c>
      <c r="BR36" s="205" t="str">
        <v/>
      </c>
      <c r="BS36" s="242"/>
      <c r="BT36" s="197" t="str">
        <f t="shared" si="21"/>
        <v/>
      </c>
    </row>
    <row r="37" spans="1:72">
      <c r="A37" s="203">
        <v>28</v>
      </c>
      <c r="B37" s="195" t="str">
        <f t="shared" si="0"/>
        <v/>
      </c>
      <c r="C37" s="195" t="str">
        <v/>
      </c>
      <c r="D37" s="205" t="str">
        <v/>
      </c>
      <c r="E37" s="213"/>
      <c r="F37" s="197" t="str">
        <f t="shared" si="10"/>
        <v/>
      </c>
      <c r="G37" s="203">
        <v>28</v>
      </c>
      <c r="H37" s="195" t="str">
        <f t="shared" si="1"/>
        <v/>
      </c>
      <c r="I37" s="195" t="str">
        <v/>
      </c>
      <c r="J37" s="205" t="str">
        <v/>
      </c>
      <c r="K37" s="242"/>
      <c r="L37" s="197" t="str">
        <f t="shared" si="11"/>
        <v/>
      </c>
      <c r="M37" s="203">
        <v>28</v>
      </c>
      <c r="N37" s="195" t="str">
        <f t="shared" si="2"/>
        <v/>
      </c>
      <c r="O37" s="195" t="str">
        <v/>
      </c>
      <c r="P37" s="205" t="str">
        <v/>
      </c>
      <c r="Q37" s="213"/>
      <c r="R37" s="197" t="str">
        <f t="shared" si="12"/>
        <v/>
      </c>
      <c r="S37" s="203">
        <v>28</v>
      </c>
      <c r="T37" s="195" t="str">
        <f t="shared" si="3"/>
        <v/>
      </c>
      <c r="U37" s="195" t="str">
        <v/>
      </c>
      <c r="V37" s="205" t="str">
        <v/>
      </c>
      <c r="W37" s="213"/>
      <c r="X37" s="197" t="str">
        <f t="shared" si="13"/>
        <v/>
      </c>
      <c r="Y37" s="203">
        <v>28</v>
      </c>
      <c r="Z37" s="195"/>
      <c r="AA37" s="195"/>
      <c r="AB37" s="205"/>
      <c r="AC37" s="213"/>
      <c r="AD37" s="197" t="str">
        <f t="shared" si="14"/>
        <v/>
      </c>
      <c r="AE37" s="203">
        <v>28</v>
      </c>
      <c r="AF37" s="195" t="str">
        <f t="shared" si="4"/>
        <v/>
      </c>
      <c r="AG37" s="195" t="str">
        <v/>
      </c>
      <c r="AH37" s="205" t="str">
        <v/>
      </c>
      <c r="AI37" s="213"/>
      <c r="AJ37" s="197" t="str">
        <f t="shared" si="15"/>
        <v/>
      </c>
      <c r="AK37" s="203">
        <v>28</v>
      </c>
      <c r="AL37" s="198"/>
      <c r="AM37" s="195"/>
      <c r="AN37" s="196"/>
      <c r="AO37" s="254"/>
      <c r="AP37" s="256" t="str">
        <f t="shared" si="16"/>
        <v/>
      </c>
      <c r="AQ37" s="203">
        <v>28</v>
      </c>
      <c r="AR37" s="195" t="str">
        <f t="shared" si="5"/>
        <v/>
      </c>
      <c r="AS37" s="195" t="str">
        <v/>
      </c>
      <c r="AT37" s="205" t="str">
        <v/>
      </c>
      <c r="AU37" s="213"/>
      <c r="AV37" s="197" t="str">
        <f t="shared" si="17"/>
        <v/>
      </c>
      <c r="AW37" s="203">
        <v>28</v>
      </c>
      <c r="AX37" s="195" t="str">
        <f t="shared" si="6"/>
        <v/>
      </c>
      <c r="AY37" s="195" t="str">
        <v/>
      </c>
      <c r="AZ37" s="205" t="str">
        <v/>
      </c>
      <c r="BA37" s="242"/>
      <c r="BB37" s="197" t="str">
        <f t="shared" si="18"/>
        <v/>
      </c>
      <c r="BC37" s="203">
        <v>28</v>
      </c>
      <c r="BD37" s="195" t="str">
        <f t="shared" si="7"/>
        <v/>
      </c>
      <c r="BE37" s="195" t="str">
        <v/>
      </c>
      <c r="BF37" s="205" t="str">
        <v/>
      </c>
      <c r="BG37" s="242"/>
      <c r="BH37" s="197" t="str">
        <f t="shared" si="19"/>
        <v/>
      </c>
      <c r="BI37" s="203">
        <v>28</v>
      </c>
      <c r="BJ37" s="195" t="str">
        <f t="shared" si="8"/>
        <v/>
      </c>
      <c r="BK37" s="195" t="str">
        <v/>
      </c>
      <c r="BL37" s="205" t="str">
        <v/>
      </c>
      <c r="BM37" s="242"/>
      <c r="BN37" s="197" t="str">
        <f t="shared" si="20"/>
        <v/>
      </c>
      <c r="BO37" s="203">
        <v>28</v>
      </c>
      <c r="BP37" s="195" t="str">
        <f t="shared" si="9"/>
        <v/>
      </c>
      <c r="BQ37" s="195" t="str">
        <v/>
      </c>
      <c r="BR37" s="205" t="str">
        <v/>
      </c>
      <c r="BS37" s="242"/>
      <c r="BT37" s="197" t="str">
        <f t="shared" si="21"/>
        <v/>
      </c>
    </row>
    <row r="38" spans="1:72">
      <c r="A38" s="203">
        <v>29</v>
      </c>
      <c r="B38" s="195" t="str">
        <f t="shared" si="0"/>
        <v/>
      </c>
      <c r="C38" s="195" t="str">
        <v/>
      </c>
      <c r="D38" s="205" t="str">
        <v/>
      </c>
      <c r="E38" s="213"/>
      <c r="F38" s="197" t="str">
        <f t="shared" si="10"/>
        <v/>
      </c>
      <c r="G38" s="203">
        <v>29</v>
      </c>
      <c r="H38" s="195" t="str">
        <f t="shared" si="1"/>
        <v/>
      </c>
      <c r="I38" s="195" t="str">
        <v/>
      </c>
      <c r="J38" s="205" t="str">
        <v/>
      </c>
      <c r="K38" s="242"/>
      <c r="L38" s="197" t="str">
        <f t="shared" si="11"/>
        <v/>
      </c>
      <c r="M38" s="203">
        <v>29</v>
      </c>
      <c r="N38" s="195" t="str">
        <f t="shared" si="2"/>
        <v/>
      </c>
      <c r="O38" s="195" t="str">
        <v/>
      </c>
      <c r="P38" s="205" t="str">
        <v/>
      </c>
      <c r="Q38" s="213"/>
      <c r="R38" s="197" t="str">
        <f t="shared" si="12"/>
        <v/>
      </c>
      <c r="S38" s="203">
        <v>29</v>
      </c>
      <c r="T38" s="195" t="str">
        <f t="shared" si="3"/>
        <v/>
      </c>
      <c r="U38" s="195" t="str">
        <v/>
      </c>
      <c r="V38" s="205" t="str">
        <v/>
      </c>
      <c r="W38" s="213"/>
      <c r="X38" s="197" t="str">
        <f t="shared" si="13"/>
        <v/>
      </c>
      <c r="Y38" s="203">
        <v>29</v>
      </c>
      <c r="Z38" s="195"/>
      <c r="AA38" s="195"/>
      <c r="AB38" s="205"/>
      <c r="AC38" s="213"/>
      <c r="AD38" s="197" t="str">
        <f t="shared" si="14"/>
        <v/>
      </c>
      <c r="AE38" s="203">
        <v>29</v>
      </c>
      <c r="AF38" s="195" t="str">
        <f t="shared" si="4"/>
        <v/>
      </c>
      <c r="AG38" s="195" t="str">
        <v/>
      </c>
      <c r="AH38" s="205" t="str">
        <v/>
      </c>
      <c r="AI38" s="213"/>
      <c r="AJ38" s="197" t="str">
        <f t="shared" si="15"/>
        <v/>
      </c>
      <c r="AK38" s="203">
        <v>29</v>
      </c>
      <c r="AL38" s="198"/>
      <c r="AM38" s="195"/>
      <c r="AN38" s="196"/>
      <c r="AO38" s="254"/>
      <c r="AP38" s="256" t="str">
        <f t="shared" si="16"/>
        <v/>
      </c>
      <c r="AQ38" s="203">
        <v>29</v>
      </c>
      <c r="AR38" s="195" t="str">
        <f t="shared" si="5"/>
        <v/>
      </c>
      <c r="AS38" s="195" t="str">
        <v/>
      </c>
      <c r="AT38" s="205" t="str">
        <v/>
      </c>
      <c r="AU38" s="213"/>
      <c r="AV38" s="197" t="str">
        <f t="shared" si="17"/>
        <v/>
      </c>
      <c r="AW38" s="203">
        <v>29</v>
      </c>
      <c r="AX38" s="195" t="str">
        <f t="shared" si="6"/>
        <v/>
      </c>
      <c r="AY38" s="195" t="str">
        <v/>
      </c>
      <c r="AZ38" s="205" t="str">
        <v/>
      </c>
      <c r="BA38" s="242"/>
      <c r="BB38" s="197" t="str">
        <f t="shared" si="18"/>
        <v/>
      </c>
      <c r="BC38" s="203">
        <v>29</v>
      </c>
      <c r="BD38" s="195" t="str">
        <f t="shared" si="7"/>
        <v/>
      </c>
      <c r="BE38" s="195" t="str">
        <v/>
      </c>
      <c r="BF38" s="205" t="str">
        <v/>
      </c>
      <c r="BG38" s="242"/>
      <c r="BH38" s="197" t="str">
        <f t="shared" si="19"/>
        <v/>
      </c>
      <c r="BI38" s="203">
        <v>29</v>
      </c>
      <c r="BJ38" s="195" t="str">
        <f t="shared" si="8"/>
        <v/>
      </c>
      <c r="BK38" s="195" t="str">
        <v/>
      </c>
      <c r="BL38" s="205" t="str">
        <v/>
      </c>
      <c r="BM38" s="242"/>
      <c r="BN38" s="197" t="str">
        <f t="shared" si="20"/>
        <v/>
      </c>
      <c r="BO38" s="203">
        <v>29</v>
      </c>
      <c r="BP38" s="195" t="str">
        <f t="shared" si="9"/>
        <v/>
      </c>
      <c r="BQ38" s="195" t="str">
        <v/>
      </c>
      <c r="BR38" s="205" t="str">
        <v/>
      </c>
      <c r="BS38" s="242"/>
      <c r="BT38" s="197" t="str">
        <f t="shared" si="21"/>
        <v/>
      </c>
    </row>
    <row r="39" spans="1:72">
      <c r="A39" s="203">
        <v>30</v>
      </c>
      <c r="B39" s="195" t="str">
        <f t="shared" si="0"/>
        <v/>
      </c>
      <c r="C39" s="195" t="str">
        <v/>
      </c>
      <c r="D39" s="205" t="str">
        <v/>
      </c>
      <c r="E39" s="213"/>
      <c r="F39" s="197" t="str">
        <f t="shared" si="10"/>
        <v/>
      </c>
      <c r="G39" s="203">
        <v>30</v>
      </c>
      <c r="H39" s="195" t="str">
        <f t="shared" si="1"/>
        <v/>
      </c>
      <c r="I39" s="195" t="str">
        <v/>
      </c>
      <c r="J39" s="205" t="str">
        <v/>
      </c>
      <c r="K39" s="242"/>
      <c r="L39" s="197" t="str">
        <f t="shared" si="11"/>
        <v/>
      </c>
      <c r="M39" s="203">
        <v>30</v>
      </c>
      <c r="N39" s="195" t="str">
        <f t="shared" si="2"/>
        <v/>
      </c>
      <c r="O39" s="195" t="str">
        <v/>
      </c>
      <c r="P39" s="205" t="str">
        <v/>
      </c>
      <c r="Q39" s="213"/>
      <c r="R39" s="197" t="str">
        <f t="shared" si="12"/>
        <v/>
      </c>
      <c r="S39" s="203">
        <v>30</v>
      </c>
      <c r="T39" s="195" t="str">
        <f t="shared" si="3"/>
        <v/>
      </c>
      <c r="U39" s="195" t="str">
        <v/>
      </c>
      <c r="V39" s="205" t="str">
        <v/>
      </c>
      <c r="W39" s="213"/>
      <c r="X39" s="197" t="str">
        <f t="shared" si="13"/>
        <v/>
      </c>
      <c r="Y39" s="203">
        <v>30</v>
      </c>
      <c r="Z39" s="195"/>
      <c r="AA39" s="195"/>
      <c r="AB39" s="205"/>
      <c r="AC39" s="213"/>
      <c r="AD39" s="197" t="str">
        <f t="shared" si="14"/>
        <v/>
      </c>
      <c r="AE39" s="203">
        <v>30</v>
      </c>
      <c r="AF39" s="195" t="str">
        <f t="shared" si="4"/>
        <v/>
      </c>
      <c r="AG39" s="195" t="str">
        <v/>
      </c>
      <c r="AH39" s="205" t="str">
        <v/>
      </c>
      <c r="AI39" s="213"/>
      <c r="AJ39" s="197" t="str">
        <f t="shared" si="15"/>
        <v/>
      </c>
      <c r="AK39" s="203">
        <v>30</v>
      </c>
      <c r="AL39" s="198"/>
      <c r="AM39" s="195"/>
      <c r="AN39" s="196"/>
      <c r="AO39" s="254"/>
      <c r="AP39" s="256" t="str">
        <f t="shared" si="16"/>
        <v/>
      </c>
      <c r="AQ39" s="203">
        <v>30</v>
      </c>
      <c r="AR39" s="195" t="str">
        <f t="shared" si="5"/>
        <v/>
      </c>
      <c r="AS39" s="195" t="str">
        <v/>
      </c>
      <c r="AT39" s="205" t="str">
        <v/>
      </c>
      <c r="AU39" s="213"/>
      <c r="AV39" s="197" t="str">
        <f t="shared" si="17"/>
        <v/>
      </c>
      <c r="AW39" s="203">
        <v>30</v>
      </c>
      <c r="AX39" s="195" t="str">
        <f t="shared" si="6"/>
        <v/>
      </c>
      <c r="AY39" s="195" t="str">
        <v/>
      </c>
      <c r="AZ39" s="205" t="str">
        <v/>
      </c>
      <c r="BA39" s="242"/>
      <c r="BB39" s="197" t="str">
        <f t="shared" si="18"/>
        <v/>
      </c>
      <c r="BC39" s="203">
        <v>30</v>
      </c>
      <c r="BD39" s="195" t="str">
        <f t="shared" si="7"/>
        <v/>
      </c>
      <c r="BE39" s="195" t="str">
        <v/>
      </c>
      <c r="BF39" s="205" t="str">
        <v/>
      </c>
      <c r="BG39" s="242"/>
      <c r="BH39" s="197" t="str">
        <f t="shared" si="19"/>
        <v/>
      </c>
      <c r="BI39" s="203">
        <v>30</v>
      </c>
      <c r="BJ39" s="195" t="str">
        <f t="shared" si="8"/>
        <v/>
      </c>
      <c r="BK39" s="195" t="str">
        <v/>
      </c>
      <c r="BL39" s="205" t="str">
        <v/>
      </c>
      <c r="BM39" s="242"/>
      <c r="BN39" s="197" t="str">
        <f t="shared" si="20"/>
        <v/>
      </c>
      <c r="BO39" s="203">
        <v>30</v>
      </c>
      <c r="BP39" s="195" t="str">
        <f t="shared" si="9"/>
        <v/>
      </c>
      <c r="BQ39" s="195" t="str">
        <v/>
      </c>
      <c r="BR39" s="205" t="str">
        <v/>
      </c>
      <c r="BS39" s="242"/>
      <c r="BT39" s="197" t="str">
        <f t="shared" si="21"/>
        <v/>
      </c>
    </row>
    <row r="40" spans="1:72">
      <c r="A40" s="203">
        <v>31</v>
      </c>
      <c r="B40" s="195" t="str">
        <f t="shared" si="0"/>
        <v/>
      </c>
      <c r="C40" s="195" t="str">
        <v/>
      </c>
      <c r="D40" s="205" t="str">
        <v/>
      </c>
      <c r="E40" s="213"/>
      <c r="F40" s="197" t="str">
        <f t="shared" si="10"/>
        <v/>
      </c>
      <c r="G40" s="203">
        <v>31</v>
      </c>
      <c r="H40" s="195" t="str">
        <f t="shared" si="1"/>
        <v/>
      </c>
      <c r="I40" s="195" t="str">
        <v/>
      </c>
      <c r="J40" s="205" t="str">
        <v/>
      </c>
      <c r="K40" s="242"/>
      <c r="L40" s="197" t="str">
        <f t="shared" si="11"/>
        <v/>
      </c>
      <c r="M40" s="203">
        <v>31</v>
      </c>
      <c r="N40" s="195" t="str">
        <f t="shared" si="2"/>
        <v/>
      </c>
      <c r="O40" s="195" t="str">
        <v/>
      </c>
      <c r="P40" s="205" t="str">
        <v/>
      </c>
      <c r="Q40" s="213"/>
      <c r="R40" s="197" t="str">
        <f t="shared" si="12"/>
        <v/>
      </c>
      <c r="S40" s="203">
        <v>31</v>
      </c>
      <c r="T40" s="195" t="str">
        <f t="shared" si="3"/>
        <v/>
      </c>
      <c r="U40" s="195" t="str">
        <v/>
      </c>
      <c r="V40" s="205" t="str">
        <v/>
      </c>
      <c r="W40" s="213"/>
      <c r="X40" s="197" t="str">
        <f t="shared" si="13"/>
        <v/>
      </c>
      <c r="Y40" s="203">
        <v>31</v>
      </c>
      <c r="Z40" s="195"/>
      <c r="AA40" s="195"/>
      <c r="AB40" s="205"/>
      <c r="AC40" s="213"/>
      <c r="AD40" s="197" t="str">
        <f t="shared" si="14"/>
        <v/>
      </c>
      <c r="AE40" s="203">
        <v>31</v>
      </c>
      <c r="AF40" s="195" t="str">
        <f t="shared" si="4"/>
        <v/>
      </c>
      <c r="AG40" s="195" t="str">
        <v/>
      </c>
      <c r="AH40" s="205" t="str">
        <v/>
      </c>
      <c r="AI40" s="213"/>
      <c r="AJ40" s="197" t="str">
        <f t="shared" si="15"/>
        <v/>
      </c>
      <c r="AK40" s="203">
        <v>31</v>
      </c>
      <c r="AL40" s="198"/>
      <c r="AM40" s="195"/>
      <c r="AN40" s="196"/>
      <c r="AO40" s="254"/>
      <c r="AP40" s="256" t="str">
        <f t="shared" si="16"/>
        <v/>
      </c>
      <c r="AQ40" s="203">
        <v>31</v>
      </c>
      <c r="AR40" s="195" t="str">
        <f t="shared" si="5"/>
        <v/>
      </c>
      <c r="AS40" s="195" t="str">
        <v/>
      </c>
      <c r="AT40" s="205" t="str">
        <v/>
      </c>
      <c r="AU40" s="213"/>
      <c r="AV40" s="197" t="str">
        <f t="shared" si="17"/>
        <v/>
      </c>
      <c r="AW40" s="203">
        <v>31</v>
      </c>
      <c r="AX40" s="195" t="str">
        <f t="shared" si="6"/>
        <v/>
      </c>
      <c r="AY40" s="195" t="str">
        <v/>
      </c>
      <c r="AZ40" s="205" t="str">
        <v/>
      </c>
      <c r="BA40" s="242"/>
      <c r="BB40" s="197" t="str">
        <f t="shared" si="18"/>
        <v/>
      </c>
      <c r="BC40" s="203">
        <v>31</v>
      </c>
      <c r="BD40" s="195" t="str">
        <f t="shared" si="7"/>
        <v/>
      </c>
      <c r="BE40" s="195" t="str">
        <v/>
      </c>
      <c r="BF40" s="205" t="str">
        <v/>
      </c>
      <c r="BG40" s="242"/>
      <c r="BH40" s="197" t="str">
        <f t="shared" si="19"/>
        <v/>
      </c>
      <c r="BI40" s="203">
        <v>31</v>
      </c>
      <c r="BJ40" s="195" t="str">
        <f t="shared" si="8"/>
        <v/>
      </c>
      <c r="BK40" s="195" t="str">
        <v/>
      </c>
      <c r="BL40" s="205" t="str">
        <v/>
      </c>
      <c r="BM40" s="242"/>
      <c r="BN40" s="197" t="str">
        <f t="shared" si="20"/>
        <v/>
      </c>
      <c r="BO40" s="203">
        <v>31</v>
      </c>
      <c r="BP40" s="195" t="str">
        <f t="shared" si="9"/>
        <v/>
      </c>
      <c r="BQ40" s="195" t="str">
        <v/>
      </c>
      <c r="BR40" s="205" t="str">
        <v/>
      </c>
      <c r="BS40" s="242"/>
      <c r="BT40" s="197" t="str">
        <f t="shared" si="21"/>
        <v/>
      </c>
    </row>
    <row r="41" spans="1:72">
      <c r="A41" s="203">
        <v>32</v>
      </c>
      <c r="B41" s="195" t="str">
        <f t="shared" si="0"/>
        <v/>
      </c>
      <c r="C41" s="195" t="str">
        <v/>
      </c>
      <c r="D41" s="205" t="str">
        <v/>
      </c>
      <c r="E41" s="213"/>
      <c r="F41" s="197" t="str">
        <f t="shared" si="10"/>
        <v/>
      </c>
      <c r="G41" s="203">
        <v>32</v>
      </c>
      <c r="H41" s="195" t="str">
        <f t="shared" si="1"/>
        <v/>
      </c>
      <c r="I41" s="195" t="str">
        <v/>
      </c>
      <c r="J41" s="205" t="str">
        <v/>
      </c>
      <c r="K41" s="242"/>
      <c r="L41" s="197" t="str">
        <f t="shared" si="11"/>
        <v/>
      </c>
      <c r="M41" s="203">
        <v>32</v>
      </c>
      <c r="N41" s="195" t="str">
        <f t="shared" si="2"/>
        <v/>
      </c>
      <c r="O41" s="195" t="str">
        <v/>
      </c>
      <c r="P41" s="205" t="str">
        <v/>
      </c>
      <c r="Q41" s="213"/>
      <c r="R41" s="197" t="str">
        <f t="shared" si="12"/>
        <v/>
      </c>
      <c r="S41" s="203">
        <v>32</v>
      </c>
      <c r="T41" s="195" t="str">
        <f t="shared" si="3"/>
        <v/>
      </c>
      <c r="U41" s="195" t="str">
        <v/>
      </c>
      <c r="V41" s="205" t="str">
        <v/>
      </c>
      <c r="W41" s="213"/>
      <c r="X41" s="197" t="str">
        <f t="shared" si="13"/>
        <v/>
      </c>
      <c r="Y41" s="203">
        <v>32</v>
      </c>
      <c r="Z41" s="195"/>
      <c r="AA41" s="195"/>
      <c r="AB41" s="205"/>
      <c r="AC41" s="213"/>
      <c r="AD41" s="197" t="str">
        <f t="shared" si="14"/>
        <v/>
      </c>
      <c r="AE41" s="203">
        <v>32</v>
      </c>
      <c r="AF41" s="195" t="str">
        <f t="shared" si="4"/>
        <v/>
      </c>
      <c r="AG41" s="195" t="str">
        <v/>
      </c>
      <c r="AH41" s="205" t="str">
        <v/>
      </c>
      <c r="AI41" s="213"/>
      <c r="AJ41" s="197" t="str">
        <f t="shared" si="15"/>
        <v/>
      </c>
      <c r="AK41" s="203">
        <v>32</v>
      </c>
      <c r="AL41" s="198"/>
      <c r="AM41" s="195"/>
      <c r="AN41" s="196"/>
      <c r="AO41" s="254"/>
      <c r="AP41" s="256" t="str">
        <f t="shared" si="16"/>
        <v/>
      </c>
      <c r="AQ41" s="203">
        <v>32</v>
      </c>
      <c r="AR41" s="195" t="str">
        <f t="shared" si="5"/>
        <v/>
      </c>
      <c r="AS41" s="195" t="str">
        <v/>
      </c>
      <c r="AT41" s="205" t="str">
        <v/>
      </c>
      <c r="AU41" s="213"/>
      <c r="AV41" s="197" t="str">
        <f t="shared" si="17"/>
        <v/>
      </c>
      <c r="AW41" s="203">
        <v>32</v>
      </c>
      <c r="AX41" s="195" t="str">
        <f t="shared" si="6"/>
        <v/>
      </c>
      <c r="AY41" s="195" t="str">
        <v/>
      </c>
      <c r="AZ41" s="205" t="str">
        <v/>
      </c>
      <c r="BA41" s="242"/>
      <c r="BB41" s="197" t="str">
        <f t="shared" si="18"/>
        <v/>
      </c>
      <c r="BC41" s="203">
        <v>32</v>
      </c>
      <c r="BD41" s="195" t="str">
        <f t="shared" si="7"/>
        <v/>
      </c>
      <c r="BE41" s="195" t="str">
        <v/>
      </c>
      <c r="BF41" s="205" t="str">
        <v/>
      </c>
      <c r="BG41" s="242"/>
      <c r="BH41" s="197" t="str">
        <f t="shared" si="19"/>
        <v/>
      </c>
      <c r="BI41" s="203">
        <v>32</v>
      </c>
      <c r="BJ41" s="195" t="str">
        <f t="shared" si="8"/>
        <v/>
      </c>
      <c r="BK41" s="195" t="str">
        <v/>
      </c>
      <c r="BL41" s="205" t="str">
        <v/>
      </c>
      <c r="BM41" s="242"/>
      <c r="BN41" s="197" t="str">
        <f t="shared" si="20"/>
        <v/>
      </c>
      <c r="BO41" s="203">
        <v>32</v>
      </c>
      <c r="BP41" s="195" t="str">
        <f t="shared" si="9"/>
        <v/>
      </c>
      <c r="BQ41" s="195" t="str">
        <v/>
      </c>
      <c r="BR41" s="205" t="str">
        <v/>
      </c>
      <c r="BS41" s="242"/>
      <c r="BT41" s="197" t="str">
        <f t="shared" si="21"/>
        <v/>
      </c>
    </row>
    <row r="42" spans="1:72">
      <c r="A42" s="203">
        <v>33</v>
      </c>
      <c r="B42" s="195" t="str">
        <f t="shared" ref="B42:B73" si="22">IF(C42="","",VLOOKUP(C42,Instruments.OIS.JPY,6,0))</f>
        <v/>
      </c>
      <c r="C42" s="195" t="str">
        <v/>
      </c>
      <c r="D42" s="205" t="str">
        <v/>
      </c>
      <c r="E42" s="213"/>
      <c r="F42" s="197" t="str">
        <f t="shared" si="10"/>
        <v/>
      </c>
      <c r="G42" s="203">
        <v>33</v>
      </c>
      <c r="H42" s="195" t="str">
        <f t="shared" ref="H42:H73" si="23">IF(I42="","",VLOOKUP(I42,Instruments.OIS.JPY,6,0))</f>
        <v/>
      </c>
      <c r="I42" s="195" t="str">
        <v/>
      </c>
      <c r="J42" s="205" t="str">
        <v/>
      </c>
      <c r="K42" s="242"/>
      <c r="L42" s="197" t="str">
        <f t="shared" si="11"/>
        <v/>
      </c>
      <c r="M42" s="203">
        <v>33</v>
      </c>
      <c r="N42" s="195" t="str">
        <f t="shared" ref="N42:N73" si="24">IF(O42="","",VLOOKUP(O42,Instruments.OIS.JPY,6,0))</f>
        <v/>
      </c>
      <c r="O42" s="195" t="str">
        <v/>
      </c>
      <c r="P42" s="205" t="str">
        <v/>
      </c>
      <c r="Q42" s="213"/>
      <c r="R42" s="197" t="str">
        <f t="shared" si="12"/>
        <v/>
      </c>
      <c r="S42" s="203">
        <v>33</v>
      </c>
      <c r="T42" s="195" t="str">
        <f t="shared" ref="T42:T73" si="25">IF(U42="","",VLOOKUP(U42,Instruments.Swaps.JPY,6,0))</f>
        <v/>
      </c>
      <c r="U42" s="195" t="str">
        <v/>
      </c>
      <c r="V42" s="205" t="str">
        <v/>
      </c>
      <c r="W42" s="213"/>
      <c r="X42" s="197" t="str">
        <f t="shared" si="13"/>
        <v/>
      </c>
      <c r="Y42" s="203">
        <v>33</v>
      </c>
      <c r="Z42" s="195"/>
      <c r="AA42" s="195"/>
      <c r="AB42" s="205"/>
      <c r="AC42" s="213"/>
      <c r="AD42" s="197" t="str">
        <f t="shared" si="14"/>
        <v/>
      </c>
      <c r="AE42" s="203">
        <v>33</v>
      </c>
      <c r="AF42" s="195" t="str">
        <f t="shared" ref="AF42:AF73" si="26">IF(AG42="","",VLOOKUP(AG42,Instruments.Swaps.JPY,6,0))</f>
        <v/>
      </c>
      <c r="AG42" s="195" t="str">
        <v/>
      </c>
      <c r="AH42" s="205" t="str">
        <v/>
      </c>
      <c r="AI42" s="213"/>
      <c r="AJ42" s="197" t="str">
        <f t="shared" si="15"/>
        <v/>
      </c>
      <c r="AK42" s="203">
        <v>33</v>
      </c>
      <c r="AL42" s="198"/>
      <c r="AM42" s="195"/>
      <c r="AN42" s="196"/>
      <c r="AO42" s="254"/>
      <c r="AP42" s="256" t="str">
        <f t="shared" si="16"/>
        <v/>
      </c>
      <c r="AQ42" s="203">
        <v>33</v>
      </c>
      <c r="AR42" s="195" t="str">
        <f t="shared" ref="AR42:AR73" si="27">IF(AS42="","",VLOOKUP(AS42,Instruments.Swaps.JPY,6,0))</f>
        <v/>
      </c>
      <c r="AS42" s="195" t="str">
        <v/>
      </c>
      <c r="AT42" s="205" t="str">
        <v/>
      </c>
      <c r="AU42" s="213"/>
      <c r="AV42" s="197" t="str">
        <f t="shared" si="17"/>
        <v/>
      </c>
      <c r="AW42" s="203">
        <v>33</v>
      </c>
      <c r="AX42" s="195" t="str">
        <f t="shared" ref="AX42:AX73" si="28">IF(AY42="","",VLOOKUP(AY42,Instruments.TenorBasis1.JPY,6,0))</f>
        <v/>
      </c>
      <c r="AY42" s="195" t="str">
        <v/>
      </c>
      <c r="AZ42" s="205" t="str">
        <v/>
      </c>
      <c r="BA42" s="242"/>
      <c r="BB42" s="197" t="str">
        <f t="shared" si="18"/>
        <v/>
      </c>
      <c r="BC42" s="203">
        <v>33</v>
      </c>
      <c r="BD42" s="195" t="str">
        <f t="shared" ref="BD42:BD73" si="29">IF(BE42="","",VLOOKUP(BE42,Instruments.TenorBasis2.JPY,6,0))</f>
        <v/>
      </c>
      <c r="BE42" s="195" t="str">
        <v/>
      </c>
      <c r="BF42" s="205" t="str">
        <v/>
      </c>
      <c r="BG42" s="242"/>
      <c r="BH42" s="197" t="str">
        <f t="shared" si="19"/>
        <v/>
      </c>
      <c r="BI42" s="203">
        <v>33</v>
      </c>
      <c r="BJ42" s="195" t="str">
        <f t="shared" ref="BJ42:BJ73" si="30">IF(BK42="","",VLOOKUP(BK42,Instruments.TenorBasis3.JPY,6,0))</f>
        <v/>
      </c>
      <c r="BK42" s="195" t="str">
        <v/>
      </c>
      <c r="BL42" s="205" t="str">
        <v/>
      </c>
      <c r="BM42" s="242"/>
      <c r="BN42" s="197" t="str">
        <f t="shared" si="20"/>
        <v/>
      </c>
      <c r="BO42" s="203">
        <v>33</v>
      </c>
      <c r="BP42" s="195" t="str">
        <f t="shared" ref="BP42:BP73" si="31">IF(BQ42="","",VLOOKUP(BQ42,Instruments.XccyBasis.JPY,6,0))</f>
        <v/>
      </c>
      <c r="BQ42" s="195" t="str">
        <v/>
      </c>
      <c r="BR42" s="205" t="str">
        <v/>
      </c>
      <c r="BS42" s="242"/>
      <c r="BT42" s="197" t="str">
        <f t="shared" si="21"/>
        <v/>
      </c>
    </row>
    <row r="43" spans="1:72">
      <c r="A43" s="203">
        <v>34</v>
      </c>
      <c r="B43" s="195" t="str">
        <f t="shared" si="22"/>
        <v/>
      </c>
      <c r="C43" s="195" t="str">
        <v/>
      </c>
      <c r="D43" s="205" t="str">
        <v/>
      </c>
      <c r="E43" s="213"/>
      <c r="F43" s="197" t="str">
        <f t="shared" si="10"/>
        <v/>
      </c>
      <c r="G43" s="203">
        <v>34</v>
      </c>
      <c r="H43" s="195" t="str">
        <f t="shared" si="23"/>
        <v/>
      </c>
      <c r="I43" s="195" t="str">
        <v/>
      </c>
      <c r="J43" s="205" t="str">
        <v/>
      </c>
      <c r="K43" s="242"/>
      <c r="L43" s="197" t="str">
        <f t="shared" si="11"/>
        <v/>
      </c>
      <c r="M43" s="203">
        <v>34</v>
      </c>
      <c r="N43" s="195" t="str">
        <f t="shared" si="24"/>
        <v/>
      </c>
      <c r="O43" s="195" t="str">
        <v/>
      </c>
      <c r="P43" s="205" t="str">
        <v/>
      </c>
      <c r="Q43" s="213"/>
      <c r="R43" s="197" t="str">
        <f t="shared" si="12"/>
        <v/>
      </c>
      <c r="S43" s="203">
        <v>34</v>
      </c>
      <c r="T43" s="195" t="str">
        <f t="shared" si="25"/>
        <v/>
      </c>
      <c r="U43" s="195" t="str">
        <v/>
      </c>
      <c r="V43" s="205" t="str">
        <v/>
      </c>
      <c r="W43" s="213"/>
      <c r="X43" s="197" t="str">
        <f t="shared" si="13"/>
        <v/>
      </c>
      <c r="Y43" s="203">
        <v>34</v>
      </c>
      <c r="Z43" s="195"/>
      <c r="AA43" s="195"/>
      <c r="AB43" s="205"/>
      <c r="AC43" s="213"/>
      <c r="AD43" s="197" t="str">
        <f t="shared" si="14"/>
        <v/>
      </c>
      <c r="AE43" s="203">
        <v>34</v>
      </c>
      <c r="AF43" s="195" t="str">
        <f t="shared" si="26"/>
        <v/>
      </c>
      <c r="AG43" s="195" t="str">
        <v/>
      </c>
      <c r="AH43" s="205" t="str">
        <v/>
      </c>
      <c r="AI43" s="213"/>
      <c r="AJ43" s="197" t="str">
        <f t="shared" si="15"/>
        <v/>
      </c>
      <c r="AK43" s="203">
        <v>34</v>
      </c>
      <c r="AL43" s="198"/>
      <c r="AM43" s="195"/>
      <c r="AN43" s="196"/>
      <c r="AO43" s="254"/>
      <c r="AP43" s="256" t="str">
        <f t="shared" si="16"/>
        <v/>
      </c>
      <c r="AQ43" s="203">
        <v>34</v>
      </c>
      <c r="AR43" s="195" t="str">
        <f t="shared" si="27"/>
        <v/>
      </c>
      <c r="AS43" s="195" t="str">
        <v/>
      </c>
      <c r="AT43" s="205" t="str">
        <v/>
      </c>
      <c r="AU43" s="213"/>
      <c r="AV43" s="197" t="str">
        <f t="shared" si="17"/>
        <v/>
      </c>
      <c r="AW43" s="203">
        <v>34</v>
      </c>
      <c r="AX43" s="195" t="str">
        <f t="shared" si="28"/>
        <v/>
      </c>
      <c r="AY43" s="195" t="str">
        <v/>
      </c>
      <c r="AZ43" s="205" t="str">
        <v/>
      </c>
      <c r="BA43" s="242"/>
      <c r="BB43" s="197" t="str">
        <f t="shared" si="18"/>
        <v/>
      </c>
      <c r="BC43" s="203">
        <v>34</v>
      </c>
      <c r="BD43" s="195" t="str">
        <f t="shared" si="29"/>
        <v/>
      </c>
      <c r="BE43" s="195" t="str">
        <v/>
      </c>
      <c r="BF43" s="205" t="str">
        <v/>
      </c>
      <c r="BG43" s="242"/>
      <c r="BH43" s="197" t="str">
        <f t="shared" si="19"/>
        <v/>
      </c>
      <c r="BI43" s="203">
        <v>34</v>
      </c>
      <c r="BJ43" s="195" t="str">
        <f t="shared" si="30"/>
        <v/>
      </c>
      <c r="BK43" s="195" t="str">
        <v/>
      </c>
      <c r="BL43" s="205" t="str">
        <v/>
      </c>
      <c r="BM43" s="242"/>
      <c r="BN43" s="197" t="str">
        <f t="shared" si="20"/>
        <v/>
      </c>
      <c r="BO43" s="203">
        <v>34</v>
      </c>
      <c r="BP43" s="195" t="str">
        <f t="shared" si="31"/>
        <v/>
      </c>
      <c r="BQ43" s="195" t="str">
        <v/>
      </c>
      <c r="BR43" s="205" t="str">
        <v/>
      </c>
      <c r="BS43" s="242"/>
      <c r="BT43" s="197" t="str">
        <f t="shared" si="21"/>
        <v/>
      </c>
    </row>
    <row r="44" spans="1:72">
      <c r="A44" s="203">
        <v>35</v>
      </c>
      <c r="B44" s="195" t="str">
        <f t="shared" si="22"/>
        <v/>
      </c>
      <c r="C44" s="195" t="str">
        <v/>
      </c>
      <c r="D44" s="205" t="str">
        <v/>
      </c>
      <c r="E44" s="213"/>
      <c r="F44" s="197" t="str">
        <f t="shared" si="10"/>
        <v/>
      </c>
      <c r="G44" s="203">
        <v>35</v>
      </c>
      <c r="H44" s="195" t="str">
        <f t="shared" si="23"/>
        <v/>
      </c>
      <c r="I44" s="195" t="str">
        <v/>
      </c>
      <c r="J44" s="205" t="str">
        <v/>
      </c>
      <c r="K44" s="242"/>
      <c r="L44" s="197" t="str">
        <f t="shared" si="11"/>
        <v/>
      </c>
      <c r="M44" s="203">
        <v>35</v>
      </c>
      <c r="N44" s="195" t="str">
        <f t="shared" si="24"/>
        <v/>
      </c>
      <c r="O44" s="195" t="str">
        <v/>
      </c>
      <c r="P44" s="205" t="str">
        <v/>
      </c>
      <c r="Q44" s="213"/>
      <c r="R44" s="197" t="str">
        <f t="shared" si="12"/>
        <v/>
      </c>
      <c r="S44" s="203">
        <v>35</v>
      </c>
      <c r="T44" s="195" t="str">
        <f t="shared" si="25"/>
        <v/>
      </c>
      <c r="U44" s="195" t="str">
        <v/>
      </c>
      <c r="V44" s="205" t="str">
        <v/>
      </c>
      <c r="W44" s="213"/>
      <c r="X44" s="197" t="str">
        <f t="shared" si="13"/>
        <v/>
      </c>
      <c r="Y44" s="203">
        <v>35</v>
      </c>
      <c r="Z44" s="195"/>
      <c r="AA44" s="195"/>
      <c r="AB44" s="205"/>
      <c r="AC44" s="213"/>
      <c r="AD44" s="197" t="str">
        <f t="shared" si="14"/>
        <v/>
      </c>
      <c r="AE44" s="203">
        <v>35</v>
      </c>
      <c r="AF44" s="195" t="str">
        <f t="shared" si="26"/>
        <v/>
      </c>
      <c r="AG44" s="195" t="str">
        <v/>
      </c>
      <c r="AH44" s="205" t="str">
        <v/>
      </c>
      <c r="AI44" s="213"/>
      <c r="AJ44" s="197" t="str">
        <f t="shared" si="15"/>
        <v/>
      </c>
      <c r="AK44" s="203">
        <v>35</v>
      </c>
      <c r="AL44" s="198"/>
      <c r="AM44" s="195"/>
      <c r="AN44" s="196"/>
      <c r="AO44" s="254"/>
      <c r="AP44" s="256" t="str">
        <f t="shared" si="16"/>
        <v/>
      </c>
      <c r="AQ44" s="203">
        <v>35</v>
      </c>
      <c r="AR44" s="195" t="str">
        <f t="shared" si="27"/>
        <v/>
      </c>
      <c r="AS44" s="195" t="str">
        <v/>
      </c>
      <c r="AT44" s="205" t="str">
        <v/>
      </c>
      <c r="AU44" s="213"/>
      <c r="AV44" s="197" t="str">
        <f t="shared" si="17"/>
        <v/>
      </c>
      <c r="AW44" s="203">
        <v>35</v>
      </c>
      <c r="AX44" s="195" t="str">
        <f t="shared" si="28"/>
        <v/>
      </c>
      <c r="AY44" s="195" t="str">
        <v/>
      </c>
      <c r="AZ44" s="205" t="str">
        <v/>
      </c>
      <c r="BA44" s="242"/>
      <c r="BB44" s="197" t="str">
        <f t="shared" si="18"/>
        <v/>
      </c>
      <c r="BC44" s="203">
        <v>35</v>
      </c>
      <c r="BD44" s="195" t="str">
        <f t="shared" si="29"/>
        <v/>
      </c>
      <c r="BE44" s="195" t="str">
        <v/>
      </c>
      <c r="BF44" s="205" t="str">
        <v/>
      </c>
      <c r="BG44" s="242"/>
      <c r="BH44" s="197" t="str">
        <f t="shared" si="19"/>
        <v/>
      </c>
      <c r="BI44" s="203">
        <v>35</v>
      </c>
      <c r="BJ44" s="195" t="str">
        <f t="shared" si="30"/>
        <v/>
      </c>
      <c r="BK44" s="195" t="str">
        <v/>
      </c>
      <c r="BL44" s="205" t="str">
        <v/>
      </c>
      <c r="BM44" s="242"/>
      <c r="BN44" s="197" t="str">
        <f t="shared" si="20"/>
        <v/>
      </c>
      <c r="BO44" s="203">
        <v>35</v>
      </c>
      <c r="BP44" s="195" t="str">
        <f t="shared" si="31"/>
        <v/>
      </c>
      <c r="BQ44" s="195" t="str">
        <v/>
      </c>
      <c r="BR44" s="205" t="str">
        <v/>
      </c>
      <c r="BS44" s="242"/>
      <c r="BT44" s="197" t="str">
        <f t="shared" si="21"/>
        <v/>
      </c>
    </row>
    <row r="45" spans="1:72">
      <c r="A45" s="203">
        <v>36</v>
      </c>
      <c r="B45" s="195" t="str">
        <f t="shared" si="22"/>
        <v/>
      </c>
      <c r="C45" s="195" t="str">
        <v/>
      </c>
      <c r="D45" s="205" t="str">
        <v/>
      </c>
      <c r="E45" s="213"/>
      <c r="F45" s="197" t="str">
        <f t="shared" si="10"/>
        <v/>
      </c>
      <c r="G45" s="203">
        <v>36</v>
      </c>
      <c r="H45" s="195" t="str">
        <f t="shared" si="23"/>
        <v/>
      </c>
      <c r="I45" s="195" t="str">
        <v/>
      </c>
      <c r="J45" s="205" t="str">
        <v/>
      </c>
      <c r="K45" s="242"/>
      <c r="L45" s="197" t="str">
        <f t="shared" si="11"/>
        <v/>
      </c>
      <c r="M45" s="203">
        <v>36</v>
      </c>
      <c r="N45" s="195" t="str">
        <f t="shared" si="24"/>
        <v/>
      </c>
      <c r="O45" s="195" t="str">
        <v/>
      </c>
      <c r="P45" s="205" t="str">
        <v/>
      </c>
      <c r="Q45" s="213"/>
      <c r="R45" s="197" t="str">
        <f t="shared" si="12"/>
        <v/>
      </c>
      <c r="S45" s="203">
        <v>36</v>
      </c>
      <c r="T45" s="195" t="str">
        <f t="shared" si="25"/>
        <v/>
      </c>
      <c r="U45" s="195" t="str">
        <v/>
      </c>
      <c r="V45" s="205" t="str">
        <v/>
      </c>
      <c r="W45" s="213"/>
      <c r="X45" s="197" t="str">
        <f t="shared" si="13"/>
        <v/>
      </c>
      <c r="Y45" s="203">
        <v>36</v>
      </c>
      <c r="Z45" s="195"/>
      <c r="AA45" s="195"/>
      <c r="AB45" s="205"/>
      <c r="AC45" s="213"/>
      <c r="AD45" s="197" t="str">
        <f t="shared" si="14"/>
        <v/>
      </c>
      <c r="AE45" s="203">
        <v>36</v>
      </c>
      <c r="AF45" s="195" t="str">
        <f t="shared" si="26"/>
        <v/>
      </c>
      <c r="AG45" s="195" t="str">
        <v/>
      </c>
      <c r="AH45" s="205" t="str">
        <v/>
      </c>
      <c r="AI45" s="213"/>
      <c r="AJ45" s="197" t="str">
        <f t="shared" si="15"/>
        <v/>
      </c>
      <c r="AK45" s="203">
        <v>36</v>
      </c>
      <c r="AL45" s="198"/>
      <c r="AM45" s="195"/>
      <c r="AN45" s="196"/>
      <c r="AO45" s="254"/>
      <c r="AP45" s="256" t="str">
        <f t="shared" si="16"/>
        <v/>
      </c>
      <c r="AQ45" s="203">
        <v>36</v>
      </c>
      <c r="AR45" s="195" t="str">
        <f t="shared" si="27"/>
        <v/>
      </c>
      <c r="AS45" s="195" t="str">
        <v/>
      </c>
      <c r="AT45" s="205" t="str">
        <v/>
      </c>
      <c r="AU45" s="213"/>
      <c r="AV45" s="197" t="str">
        <f t="shared" si="17"/>
        <v/>
      </c>
      <c r="AW45" s="203">
        <v>36</v>
      </c>
      <c r="AX45" s="195" t="str">
        <f t="shared" si="28"/>
        <v/>
      </c>
      <c r="AY45" s="195" t="str">
        <v/>
      </c>
      <c r="AZ45" s="205" t="str">
        <v/>
      </c>
      <c r="BA45" s="242"/>
      <c r="BB45" s="197" t="str">
        <f t="shared" si="18"/>
        <v/>
      </c>
      <c r="BC45" s="203">
        <v>36</v>
      </c>
      <c r="BD45" s="195" t="str">
        <f t="shared" si="29"/>
        <v/>
      </c>
      <c r="BE45" s="195" t="str">
        <v/>
      </c>
      <c r="BF45" s="205" t="str">
        <v/>
      </c>
      <c r="BG45" s="242"/>
      <c r="BH45" s="197" t="str">
        <f t="shared" si="19"/>
        <v/>
      </c>
      <c r="BI45" s="203">
        <v>36</v>
      </c>
      <c r="BJ45" s="195" t="str">
        <f t="shared" si="30"/>
        <v/>
      </c>
      <c r="BK45" s="195" t="str">
        <v/>
      </c>
      <c r="BL45" s="205" t="str">
        <v/>
      </c>
      <c r="BM45" s="242"/>
      <c r="BN45" s="197" t="str">
        <f t="shared" si="20"/>
        <v/>
      </c>
      <c r="BO45" s="203">
        <v>36</v>
      </c>
      <c r="BP45" s="195" t="str">
        <f t="shared" si="31"/>
        <v/>
      </c>
      <c r="BQ45" s="195" t="str">
        <v/>
      </c>
      <c r="BR45" s="205" t="str">
        <v/>
      </c>
      <c r="BS45" s="242"/>
      <c r="BT45" s="197" t="str">
        <f t="shared" si="21"/>
        <v/>
      </c>
    </row>
    <row r="46" spans="1:72">
      <c r="A46" s="203">
        <v>37</v>
      </c>
      <c r="B46" s="195" t="str">
        <f t="shared" si="22"/>
        <v/>
      </c>
      <c r="C46" s="195" t="str">
        <v/>
      </c>
      <c r="D46" s="205" t="str">
        <v/>
      </c>
      <c r="E46" s="213"/>
      <c r="F46" s="197" t="str">
        <f t="shared" si="10"/>
        <v/>
      </c>
      <c r="G46" s="203">
        <v>37</v>
      </c>
      <c r="H46" s="195" t="str">
        <f t="shared" si="23"/>
        <v/>
      </c>
      <c r="I46" s="195" t="str">
        <v/>
      </c>
      <c r="J46" s="205" t="str">
        <v/>
      </c>
      <c r="K46" s="242"/>
      <c r="L46" s="197" t="str">
        <f t="shared" si="11"/>
        <v/>
      </c>
      <c r="M46" s="203">
        <v>37</v>
      </c>
      <c r="N46" s="195" t="str">
        <f t="shared" si="24"/>
        <v/>
      </c>
      <c r="O46" s="195" t="str">
        <v/>
      </c>
      <c r="P46" s="205" t="str">
        <v/>
      </c>
      <c r="Q46" s="213"/>
      <c r="R46" s="197" t="str">
        <f t="shared" si="12"/>
        <v/>
      </c>
      <c r="S46" s="203">
        <v>37</v>
      </c>
      <c r="T46" s="195" t="str">
        <f t="shared" si="25"/>
        <v/>
      </c>
      <c r="U46" s="195" t="str">
        <v/>
      </c>
      <c r="V46" s="205" t="str">
        <v/>
      </c>
      <c r="W46" s="213"/>
      <c r="X46" s="197" t="str">
        <f t="shared" si="13"/>
        <v/>
      </c>
      <c r="Y46" s="203">
        <v>37</v>
      </c>
      <c r="Z46" s="195"/>
      <c r="AA46" s="195"/>
      <c r="AB46" s="205"/>
      <c r="AC46" s="213"/>
      <c r="AD46" s="197" t="str">
        <f t="shared" si="14"/>
        <v/>
      </c>
      <c r="AE46" s="203">
        <v>37</v>
      </c>
      <c r="AF46" s="195" t="str">
        <f t="shared" si="26"/>
        <v/>
      </c>
      <c r="AG46" s="195" t="str">
        <v/>
      </c>
      <c r="AH46" s="205" t="str">
        <v/>
      </c>
      <c r="AI46" s="213"/>
      <c r="AJ46" s="197" t="str">
        <f t="shared" si="15"/>
        <v/>
      </c>
      <c r="AK46" s="203">
        <v>37</v>
      </c>
      <c r="AL46" s="198"/>
      <c r="AM46" s="195"/>
      <c r="AN46" s="196"/>
      <c r="AO46" s="254"/>
      <c r="AP46" s="256" t="str">
        <f t="shared" si="16"/>
        <v/>
      </c>
      <c r="AQ46" s="203">
        <v>37</v>
      </c>
      <c r="AR46" s="195" t="str">
        <f t="shared" si="27"/>
        <v/>
      </c>
      <c r="AS46" s="195" t="str">
        <v/>
      </c>
      <c r="AT46" s="205" t="str">
        <v/>
      </c>
      <c r="AU46" s="213"/>
      <c r="AV46" s="197" t="str">
        <f t="shared" si="17"/>
        <v/>
      </c>
      <c r="AW46" s="203">
        <v>37</v>
      </c>
      <c r="AX46" s="195" t="str">
        <f t="shared" si="28"/>
        <v/>
      </c>
      <c r="AY46" s="195" t="str">
        <v/>
      </c>
      <c r="AZ46" s="205" t="str">
        <v/>
      </c>
      <c r="BA46" s="242"/>
      <c r="BB46" s="197" t="str">
        <f t="shared" si="18"/>
        <v/>
      </c>
      <c r="BC46" s="203">
        <v>37</v>
      </c>
      <c r="BD46" s="195" t="str">
        <f t="shared" si="29"/>
        <v/>
      </c>
      <c r="BE46" s="195" t="str">
        <v/>
      </c>
      <c r="BF46" s="205" t="str">
        <v/>
      </c>
      <c r="BG46" s="242"/>
      <c r="BH46" s="197" t="str">
        <f t="shared" si="19"/>
        <v/>
      </c>
      <c r="BI46" s="203">
        <v>37</v>
      </c>
      <c r="BJ46" s="195" t="str">
        <f t="shared" si="30"/>
        <v/>
      </c>
      <c r="BK46" s="195" t="str">
        <v/>
      </c>
      <c r="BL46" s="205" t="str">
        <v/>
      </c>
      <c r="BM46" s="242"/>
      <c r="BN46" s="197" t="str">
        <f t="shared" si="20"/>
        <v/>
      </c>
      <c r="BO46" s="203">
        <v>37</v>
      </c>
      <c r="BP46" s="195" t="str">
        <f t="shared" si="31"/>
        <v/>
      </c>
      <c r="BQ46" s="195" t="str">
        <v/>
      </c>
      <c r="BR46" s="205" t="str">
        <v/>
      </c>
      <c r="BS46" s="242"/>
      <c r="BT46" s="197" t="str">
        <f t="shared" si="21"/>
        <v/>
      </c>
    </row>
    <row r="47" spans="1:72">
      <c r="A47" s="203">
        <v>38</v>
      </c>
      <c r="B47" s="195" t="str">
        <f t="shared" si="22"/>
        <v/>
      </c>
      <c r="C47" s="195" t="str">
        <v/>
      </c>
      <c r="D47" s="205" t="str">
        <v/>
      </c>
      <c r="E47" s="213"/>
      <c r="F47" s="197" t="str">
        <f t="shared" si="10"/>
        <v/>
      </c>
      <c r="G47" s="203">
        <v>38</v>
      </c>
      <c r="H47" s="195" t="str">
        <f t="shared" si="23"/>
        <v/>
      </c>
      <c r="I47" s="195" t="str">
        <v/>
      </c>
      <c r="J47" s="205" t="str">
        <v/>
      </c>
      <c r="K47" s="242"/>
      <c r="L47" s="197" t="str">
        <f t="shared" si="11"/>
        <v/>
      </c>
      <c r="M47" s="203">
        <v>38</v>
      </c>
      <c r="N47" s="195" t="str">
        <f t="shared" si="24"/>
        <v/>
      </c>
      <c r="O47" s="195" t="str">
        <v/>
      </c>
      <c r="P47" s="205" t="str">
        <v/>
      </c>
      <c r="Q47" s="213"/>
      <c r="R47" s="197" t="str">
        <f t="shared" si="12"/>
        <v/>
      </c>
      <c r="S47" s="203">
        <v>38</v>
      </c>
      <c r="T47" s="195" t="str">
        <f t="shared" si="25"/>
        <v/>
      </c>
      <c r="U47" s="195" t="str">
        <v/>
      </c>
      <c r="V47" s="205" t="str">
        <v/>
      </c>
      <c r="W47" s="213"/>
      <c r="X47" s="197" t="str">
        <f t="shared" si="13"/>
        <v/>
      </c>
      <c r="Y47" s="203">
        <v>38</v>
      </c>
      <c r="Z47" s="195"/>
      <c r="AA47" s="195"/>
      <c r="AB47" s="205"/>
      <c r="AC47" s="213"/>
      <c r="AD47" s="197" t="str">
        <f t="shared" si="14"/>
        <v/>
      </c>
      <c r="AE47" s="203">
        <v>38</v>
      </c>
      <c r="AF47" s="195" t="str">
        <f t="shared" si="26"/>
        <v/>
      </c>
      <c r="AG47" s="195" t="str">
        <v/>
      </c>
      <c r="AH47" s="205" t="str">
        <v/>
      </c>
      <c r="AI47" s="213"/>
      <c r="AJ47" s="197" t="str">
        <f t="shared" si="15"/>
        <v/>
      </c>
      <c r="AK47" s="203">
        <v>38</v>
      </c>
      <c r="AL47" s="198"/>
      <c r="AM47" s="195"/>
      <c r="AN47" s="196"/>
      <c r="AO47" s="254"/>
      <c r="AP47" s="256" t="str">
        <f t="shared" si="16"/>
        <v/>
      </c>
      <c r="AQ47" s="203">
        <v>38</v>
      </c>
      <c r="AR47" s="195" t="str">
        <f t="shared" si="27"/>
        <v/>
      </c>
      <c r="AS47" s="195" t="str">
        <v/>
      </c>
      <c r="AT47" s="205" t="str">
        <v/>
      </c>
      <c r="AU47" s="213"/>
      <c r="AV47" s="197" t="str">
        <f t="shared" si="17"/>
        <v/>
      </c>
      <c r="AW47" s="203">
        <v>38</v>
      </c>
      <c r="AX47" s="195" t="str">
        <f t="shared" si="28"/>
        <v/>
      </c>
      <c r="AY47" s="195" t="str">
        <v/>
      </c>
      <c r="AZ47" s="205" t="str">
        <v/>
      </c>
      <c r="BA47" s="242"/>
      <c r="BB47" s="197" t="str">
        <f t="shared" si="18"/>
        <v/>
      </c>
      <c r="BC47" s="203">
        <v>38</v>
      </c>
      <c r="BD47" s="195" t="str">
        <f t="shared" si="29"/>
        <v/>
      </c>
      <c r="BE47" s="195" t="str">
        <v/>
      </c>
      <c r="BF47" s="205" t="str">
        <v/>
      </c>
      <c r="BG47" s="242"/>
      <c r="BH47" s="197" t="str">
        <f t="shared" si="19"/>
        <v/>
      </c>
      <c r="BI47" s="203">
        <v>38</v>
      </c>
      <c r="BJ47" s="195" t="str">
        <f t="shared" si="30"/>
        <v/>
      </c>
      <c r="BK47" s="195" t="str">
        <v/>
      </c>
      <c r="BL47" s="205" t="str">
        <v/>
      </c>
      <c r="BM47" s="242"/>
      <c r="BN47" s="197" t="str">
        <f t="shared" si="20"/>
        <v/>
      </c>
      <c r="BO47" s="203">
        <v>38</v>
      </c>
      <c r="BP47" s="195" t="str">
        <f t="shared" si="31"/>
        <v/>
      </c>
      <c r="BQ47" s="195" t="str">
        <v/>
      </c>
      <c r="BR47" s="205" t="str">
        <v/>
      </c>
      <c r="BS47" s="242"/>
      <c r="BT47" s="197" t="str">
        <f t="shared" si="21"/>
        <v/>
      </c>
    </row>
    <row r="48" spans="1:72">
      <c r="A48" s="203">
        <v>39</v>
      </c>
      <c r="B48" s="195" t="str">
        <f t="shared" si="22"/>
        <v/>
      </c>
      <c r="C48" s="195" t="str">
        <v/>
      </c>
      <c r="D48" s="205" t="str">
        <v/>
      </c>
      <c r="E48" s="213"/>
      <c r="F48" s="197" t="str">
        <f t="shared" si="10"/>
        <v/>
      </c>
      <c r="G48" s="203">
        <v>39</v>
      </c>
      <c r="H48" s="195" t="str">
        <f t="shared" si="23"/>
        <v/>
      </c>
      <c r="I48" s="195" t="str">
        <v/>
      </c>
      <c r="J48" s="205" t="str">
        <v/>
      </c>
      <c r="K48" s="242"/>
      <c r="L48" s="197" t="str">
        <f t="shared" si="11"/>
        <v/>
      </c>
      <c r="M48" s="203">
        <v>39</v>
      </c>
      <c r="N48" s="195" t="str">
        <f t="shared" si="24"/>
        <v/>
      </c>
      <c r="O48" s="195" t="str">
        <v/>
      </c>
      <c r="P48" s="205" t="str">
        <v/>
      </c>
      <c r="Q48" s="213"/>
      <c r="R48" s="197" t="str">
        <f t="shared" si="12"/>
        <v/>
      </c>
      <c r="S48" s="203">
        <v>39</v>
      </c>
      <c r="T48" s="195" t="str">
        <f t="shared" si="25"/>
        <v/>
      </c>
      <c r="U48" s="195" t="str">
        <v/>
      </c>
      <c r="V48" s="205" t="str">
        <v/>
      </c>
      <c r="W48" s="213"/>
      <c r="X48" s="197" t="str">
        <f t="shared" si="13"/>
        <v/>
      </c>
      <c r="Y48" s="203">
        <v>39</v>
      </c>
      <c r="Z48" s="195"/>
      <c r="AA48" s="195"/>
      <c r="AB48" s="205"/>
      <c r="AC48" s="213"/>
      <c r="AD48" s="197" t="str">
        <f t="shared" si="14"/>
        <v/>
      </c>
      <c r="AE48" s="203">
        <v>39</v>
      </c>
      <c r="AF48" s="195" t="str">
        <f t="shared" si="26"/>
        <v/>
      </c>
      <c r="AG48" s="195" t="str">
        <v/>
      </c>
      <c r="AH48" s="205" t="str">
        <v/>
      </c>
      <c r="AI48" s="213"/>
      <c r="AJ48" s="197" t="str">
        <f t="shared" si="15"/>
        <v/>
      </c>
      <c r="AK48" s="203">
        <v>39</v>
      </c>
      <c r="AL48" s="198"/>
      <c r="AM48" s="195"/>
      <c r="AN48" s="196"/>
      <c r="AO48" s="254"/>
      <c r="AP48" s="256" t="str">
        <f t="shared" si="16"/>
        <v/>
      </c>
      <c r="AQ48" s="203">
        <v>39</v>
      </c>
      <c r="AR48" s="195" t="str">
        <f t="shared" si="27"/>
        <v/>
      </c>
      <c r="AS48" s="195" t="str">
        <v/>
      </c>
      <c r="AT48" s="205" t="str">
        <v/>
      </c>
      <c r="AU48" s="213"/>
      <c r="AV48" s="197" t="str">
        <f t="shared" si="17"/>
        <v/>
      </c>
      <c r="AW48" s="203">
        <v>39</v>
      </c>
      <c r="AX48" s="195" t="str">
        <f t="shared" si="28"/>
        <v/>
      </c>
      <c r="AY48" s="195" t="str">
        <v/>
      </c>
      <c r="AZ48" s="205" t="str">
        <v/>
      </c>
      <c r="BA48" s="242"/>
      <c r="BB48" s="197" t="str">
        <f t="shared" si="18"/>
        <v/>
      </c>
      <c r="BC48" s="203">
        <v>39</v>
      </c>
      <c r="BD48" s="195" t="str">
        <f t="shared" si="29"/>
        <v/>
      </c>
      <c r="BE48" s="195" t="str">
        <v/>
      </c>
      <c r="BF48" s="205" t="str">
        <v/>
      </c>
      <c r="BG48" s="242"/>
      <c r="BH48" s="197" t="str">
        <f t="shared" si="19"/>
        <v/>
      </c>
      <c r="BI48" s="203">
        <v>39</v>
      </c>
      <c r="BJ48" s="195" t="str">
        <f t="shared" si="30"/>
        <v/>
      </c>
      <c r="BK48" s="195" t="str">
        <v/>
      </c>
      <c r="BL48" s="205" t="str">
        <v/>
      </c>
      <c r="BM48" s="242"/>
      <c r="BN48" s="197" t="str">
        <f t="shared" si="20"/>
        <v/>
      </c>
      <c r="BO48" s="203">
        <v>39</v>
      </c>
      <c r="BP48" s="195" t="str">
        <f t="shared" si="31"/>
        <v/>
      </c>
      <c r="BQ48" s="195" t="str">
        <v/>
      </c>
      <c r="BR48" s="205" t="str">
        <v/>
      </c>
      <c r="BS48" s="242"/>
      <c r="BT48" s="197" t="str">
        <f t="shared" si="21"/>
        <v/>
      </c>
    </row>
    <row r="49" spans="1:72">
      <c r="A49" s="203">
        <v>40</v>
      </c>
      <c r="B49" s="195" t="str">
        <f t="shared" si="22"/>
        <v/>
      </c>
      <c r="C49" s="195" t="str">
        <v/>
      </c>
      <c r="D49" s="205" t="str">
        <v/>
      </c>
      <c r="E49" s="213"/>
      <c r="F49" s="197" t="str">
        <f t="shared" si="10"/>
        <v/>
      </c>
      <c r="G49" s="203">
        <v>40</v>
      </c>
      <c r="H49" s="195" t="str">
        <f t="shared" si="23"/>
        <v/>
      </c>
      <c r="I49" s="195" t="str">
        <v/>
      </c>
      <c r="J49" s="205" t="str">
        <v/>
      </c>
      <c r="K49" s="242"/>
      <c r="L49" s="197" t="str">
        <f t="shared" si="11"/>
        <v/>
      </c>
      <c r="M49" s="203">
        <v>40</v>
      </c>
      <c r="N49" s="195" t="str">
        <f t="shared" si="24"/>
        <v/>
      </c>
      <c r="O49" s="195" t="str">
        <v/>
      </c>
      <c r="P49" s="205" t="str">
        <v/>
      </c>
      <c r="Q49" s="213"/>
      <c r="R49" s="197" t="str">
        <f t="shared" si="12"/>
        <v/>
      </c>
      <c r="S49" s="203">
        <v>40</v>
      </c>
      <c r="T49" s="195" t="str">
        <f t="shared" si="25"/>
        <v/>
      </c>
      <c r="U49" s="195" t="str">
        <v/>
      </c>
      <c r="V49" s="205" t="str">
        <v/>
      </c>
      <c r="W49" s="213"/>
      <c r="X49" s="197" t="str">
        <f t="shared" si="13"/>
        <v/>
      </c>
      <c r="Y49" s="203">
        <v>40</v>
      </c>
      <c r="Z49" s="195"/>
      <c r="AA49" s="195"/>
      <c r="AB49" s="205"/>
      <c r="AC49" s="213"/>
      <c r="AD49" s="197" t="str">
        <f t="shared" si="14"/>
        <v/>
      </c>
      <c r="AE49" s="203">
        <v>40</v>
      </c>
      <c r="AF49" s="195" t="str">
        <f t="shared" si="26"/>
        <v/>
      </c>
      <c r="AG49" s="195" t="str">
        <v/>
      </c>
      <c r="AH49" s="205" t="str">
        <v/>
      </c>
      <c r="AI49" s="213"/>
      <c r="AJ49" s="197" t="str">
        <f t="shared" si="15"/>
        <v/>
      </c>
      <c r="AK49" s="203">
        <v>40</v>
      </c>
      <c r="AL49" s="198"/>
      <c r="AM49" s="195"/>
      <c r="AN49" s="196"/>
      <c r="AO49" s="254"/>
      <c r="AP49" s="256" t="str">
        <f t="shared" si="16"/>
        <v/>
      </c>
      <c r="AQ49" s="203">
        <v>40</v>
      </c>
      <c r="AR49" s="195" t="str">
        <f t="shared" si="27"/>
        <v/>
      </c>
      <c r="AS49" s="195" t="str">
        <v/>
      </c>
      <c r="AT49" s="205" t="str">
        <v/>
      </c>
      <c r="AU49" s="213"/>
      <c r="AV49" s="197" t="str">
        <f t="shared" si="17"/>
        <v/>
      </c>
      <c r="AW49" s="203">
        <v>40</v>
      </c>
      <c r="AX49" s="195" t="str">
        <f t="shared" si="28"/>
        <v/>
      </c>
      <c r="AY49" s="195" t="str">
        <v/>
      </c>
      <c r="AZ49" s="205" t="str">
        <v/>
      </c>
      <c r="BA49" s="242"/>
      <c r="BB49" s="197" t="str">
        <f t="shared" si="18"/>
        <v/>
      </c>
      <c r="BC49" s="203">
        <v>40</v>
      </c>
      <c r="BD49" s="195" t="str">
        <f t="shared" si="29"/>
        <v/>
      </c>
      <c r="BE49" s="195" t="str">
        <v/>
      </c>
      <c r="BF49" s="205" t="str">
        <v/>
      </c>
      <c r="BG49" s="242"/>
      <c r="BH49" s="197" t="str">
        <f t="shared" si="19"/>
        <v/>
      </c>
      <c r="BI49" s="203">
        <v>40</v>
      </c>
      <c r="BJ49" s="195" t="str">
        <f t="shared" si="30"/>
        <v/>
      </c>
      <c r="BK49" s="195" t="str">
        <v/>
      </c>
      <c r="BL49" s="205" t="str">
        <v/>
      </c>
      <c r="BM49" s="242"/>
      <c r="BN49" s="197" t="str">
        <f t="shared" si="20"/>
        <v/>
      </c>
      <c r="BO49" s="203">
        <v>40</v>
      </c>
      <c r="BP49" s="195" t="str">
        <f t="shared" si="31"/>
        <v/>
      </c>
      <c r="BQ49" s="195" t="str">
        <v/>
      </c>
      <c r="BR49" s="205" t="str">
        <v/>
      </c>
      <c r="BS49" s="242"/>
      <c r="BT49" s="197" t="str">
        <f t="shared" si="21"/>
        <v/>
      </c>
    </row>
    <row r="50" spans="1:72">
      <c r="A50" s="203">
        <v>41</v>
      </c>
      <c r="B50" s="195" t="str">
        <f t="shared" si="22"/>
        <v/>
      </c>
      <c r="C50" s="195" t="str">
        <v/>
      </c>
      <c r="D50" s="205" t="str">
        <v/>
      </c>
      <c r="E50" s="213"/>
      <c r="F50" s="197" t="str">
        <f t="shared" si="10"/>
        <v/>
      </c>
      <c r="G50" s="203">
        <v>41</v>
      </c>
      <c r="H50" s="195" t="str">
        <f t="shared" si="23"/>
        <v/>
      </c>
      <c r="I50" s="195" t="str">
        <v/>
      </c>
      <c r="J50" s="205" t="str">
        <v/>
      </c>
      <c r="K50" s="242"/>
      <c r="L50" s="197" t="str">
        <f t="shared" si="11"/>
        <v/>
      </c>
      <c r="M50" s="203">
        <v>41</v>
      </c>
      <c r="N50" s="195" t="str">
        <f t="shared" si="24"/>
        <v/>
      </c>
      <c r="O50" s="195" t="str">
        <v/>
      </c>
      <c r="P50" s="205" t="str">
        <v/>
      </c>
      <c r="Q50" s="213"/>
      <c r="R50" s="197" t="str">
        <f t="shared" si="12"/>
        <v/>
      </c>
      <c r="S50" s="203">
        <v>41</v>
      </c>
      <c r="T50" s="195" t="str">
        <f t="shared" si="25"/>
        <v/>
      </c>
      <c r="U50" s="195" t="str">
        <v/>
      </c>
      <c r="V50" s="205" t="str">
        <v/>
      </c>
      <c r="W50" s="213"/>
      <c r="X50" s="197" t="str">
        <f t="shared" si="13"/>
        <v/>
      </c>
      <c r="Y50" s="203">
        <v>41</v>
      </c>
      <c r="Z50" s="195"/>
      <c r="AA50" s="195"/>
      <c r="AB50" s="205"/>
      <c r="AC50" s="213"/>
      <c r="AD50" s="197" t="str">
        <f t="shared" si="14"/>
        <v/>
      </c>
      <c r="AE50" s="203">
        <v>41</v>
      </c>
      <c r="AF50" s="195" t="str">
        <f t="shared" si="26"/>
        <v/>
      </c>
      <c r="AG50" s="195" t="str">
        <v/>
      </c>
      <c r="AH50" s="205" t="str">
        <v/>
      </c>
      <c r="AI50" s="213"/>
      <c r="AJ50" s="197" t="str">
        <f t="shared" si="15"/>
        <v/>
      </c>
      <c r="AK50" s="203">
        <v>41</v>
      </c>
      <c r="AL50" s="198"/>
      <c r="AM50" s="195"/>
      <c r="AN50" s="196"/>
      <c r="AO50" s="254"/>
      <c r="AP50" s="256" t="str">
        <f t="shared" si="16"/>
        <v/>
      </c>
      <c r="AQ50" s="203">
        <v>41</v>
      </c>
      <c r="AR50" s="195" t="str">
        <f t="shared" si="27"/>
        <v/>
      </c>
      <c r="AS50" s="195" t="str">
        <v/>
      </c>
      <c r="AT50" s="205" t="str">
        <v/>
      </c>
      <c r="AU50" s="213"/>
      <c r="AV50" s="197" t="str">
        <f t="shared" si="17"/>
        <v/>
      </c>
      <c r="AW50" s="203">
        <v>41</v>
      </c>
      <c r="AX50" s="195" t="str">
        <f t="shared" si="28"/>
        <v/>
      </c>
      <c r="AY50" s="195" t="str">
        <v/>
      </c>
      <c r="AZ50" s="205" t="str">
        <v/>
      </c>
      <c r="BA50" s="242"/>
      <c r="BB50" s="197" t="str">
        <f t="shared" si="18"/>
        <v/>
      </c>
      <c r="BC50" s="203">
        <v>41</v>
      </c>
      <c r="BD50" s="195" t="str">
        <f t="shared" si="29"/>
        <v/>
      </c>
      <c r="BE50" s="195" t="str">
        <v/>
      </c>
      <c r="BF50" s="205" t="str">
        <v/>
      </c>
      <c r="BG50" s="242"/>
      <c r="BH50" s="197" t="str">
        <f t="shared" si="19"/>
        <v/>
      </c>
      <c r="BI50" s="203">
        <v>41</v>
      </c>
      <c r="BJ50" s="195" t="str">
        <f t="shared" si="30"/>
        <v/>
      </c>
      <c r="BK50" s="195" t="str">
        <v/>
      </c>
      <c r="BL50" s="205" t="str">
        <v/>
      </c>
      <c r="BM50" s="242"/>
      <c r="BN50" s="197" t="str">
        <f t="shared" si="20"/>
        <v/>
      </c>
      <c r="BO50" s="203">
        <v>41</v>
      </c>
      <c r="BP50" s="195" t="str">
        <f t="shared" si="31"/>
        <v/>
      </c>
      <c r="BQ50" s="195" t="str">
        <v/>
      </c>
      <c r="BR50" s="205" t="str">
        <v/>
      </c>
      <c r="BS50" s="242"/>
      <c r="BT50" s="197" t="str">
        <f t="shared" si="21"/>
        <v/>
      </c>
    </row>
    <row r="51" spans="1:72">
      <c r="A51" s="203">
        <v>42</v>
      </c>
      <c r="B51" s="195" t="str">
        <f t="shared" si="22"/>
        <v/>
      </c>
      <c r="C51" s="195" t="str">
        <v/>
      </c>
      <c r="D51" s="205" t="str">
        <v/>
      </c>
      <c r="E51" s="213"/>
      <c r="F51" s="197" t="str">
        <f t="shared" si="10"/>
        <v/>
      </c>
      <c r="G51" s="203">
        <v>42</v>
      </c>
      <c r="H51" s="195" t="str">
        <f t="shared" si="23"/>
        <v/>
      </c>
      <c r="I51" s="195" t="str">
        <v/>
      </c>
      <c r="J51" s="205" t="str">
        <v/>
      </c>
      <c r="K51" s="242"/>
      <c r="L51" s="197" t="str">
        <f t="shared" si="11"/>
        <v/>
      </c>
      <c r="M51" s="203">
        <v>42</v>
      </c>
      <c r="N51" s="195" t="str">
        <f t="shared" si="24"/>
        <v/>
      </c>
      <c r="O51" s="195" t="str">
        <v/>
      </c>
      <c r="P51" s="205" t="str">
        <v/>
      </c>
      <c r="Q51" s="213"/>
      <c r="R51" s="197" t="str">
        <f t="shared" si="12"/>
        <v/>
      </c>
      <c r="S51" s="203">
        <v>42</v>
      </c>
      <c r="T51" s="195" t="str">
        <f t="shared" si="25"/>
        <v/>
      </c>
      <c r="U51" s="195" t="str">
        <v/>
      </c>
      <c r="V51" s="205" t="str">
        <v/>
      </c>
      <c r="W51" s="213"/>
      <c r="X51" s="197" t="str">
        <f t="shared" si="13"/>
        <v/>
      </c>
      <c r="Y51" s="203">
        <v>42</v>
      </c>
      <c r="Z51" s="195"/>
      <c r="AA51" s="195"/>
      <c r="AB51" s="205"/>
      <c r="AC51" s="213"/>
      <c r="AD51" s="197" t="str">
        <f t="shared" si="14"/>
        <v/>
      </c>
      <c r="AE51" s="203">
        <v>42</v>
      </c>
      <c r="AF51" s="195" t="str">
        <f t="shared" si="26"/>
        <v/>
      </c>
      <c r="AG51" s="195" t="str">
        <v/>
      </c>
      <c r="AH51" s="205" t="str">
        <v/>
      </c>
      <c r="AI51" s="213"/>
      <c r="AJ51" s="197" t="str">
        <f t="shared" si="15"/>
        <v/>
      </c>
      <c r="AK51" s="203">
        <v>42</v>
      </c>
      <c r="AL51" s="198"/>
      <c r="AM51" s="195"/>
      <c r="AN51" s="196"/>
      <c r="AO51" s="254"/>
      <c r="AP51" s="256" t="str">
        <f t="shared" si="16"/>
        <v/>
      </c>
      <c r="AQ51" s="203">
        <v>42</v>
      </c>
      <c r="AR51" s="195" t="str">
        <f t="shared" si="27"/>
        <v/>
      </c>
      <c r="AS51" s="195" t="str">
        <v/>
      </c>
      <c r="AT51" s="205" t="str">
        <v/>
      </c>
      <c r="AU51" s="213"/>
      <c r="AV51" s="197" t="str">
        <f t="shared" si="17"/>
        <v/>
      </c>
      <c r="AW51" s="203">
        <v>42</v>
      </c>
      <c r="AX51" s="195" t="str">
        <f t="shared" si="28"/>
        <v/>
      </c>
      <c r="AY51" s="195" t="str">
        <v/>
      </c>
      <c r="AZ51" s="205" t="str">
        <v/>
      </c>
      <c r="BA51" s="242"/>
      <c r="BB51" s="197" t="str">
        <f t="shared" si="18"/>
        <v/>
      </c>
      <c r="BC51" s="203">
        <v>42</v>
      </c>
      <c r="BD51" s="195" t="str">
        <f t="shared" si="29"/>
        <v/>
      </c>
      <c r="BE51" s="195" t="str">
        <v/>
      </c>
      <c r="BF51" s="205" t="str">
        <v/>
      </c>
      <c r="BG51" s="242"/>
      <c r="BH51" s="197" t="str">
        <f t="shared" si="19"/>
        <v/>
      </c>
      <c r="BI51" s="203">
        <v>42</v>
      </c>
      <c r="BJ51" s="195" t="str">
        <f t="shared" si="30"/>
        <v/>
      </c>
      <c r="BK51" s="195" t="str">
        <v/>
      </c>
      <c r="BL51" s="205" t="str">
        <v/>
      </c>
      <c r="BM51" s="242"/>
      <c r="BN51" s="197" t="str">
        <f t="shared" si="20"/>
        <v/>
      </c>
      <c r="BO51" s="203">
        <v>42</v>
      </c>
      <c r="BP51" s="195" t="str">
        <f t="shared" si="31"/>
        <v/>
      </c>
      <c r="BQ51" s="195" t="str">
        <v/>
      </c>
      <c r="BR51" s="205" t="str">
        <v/>
      </c>
      <c r="BS51" s="242"/>
      <c r="BT51" s="197" t="str">
        <f t="shared" si="21"/>
        <v/>
      </c>
    </row>
    <row r="52" spans="1:72">
      <c r="A52" s="203">
        <v>43</v>
      </c>
      <c r="B52" s="195" t="str">
        <f t="shared" si="22"/>
        <v/>
      </c>
      <c r="C52" s="195" t="str">
        <v/>
      </c>
      <c r="D52" s="205" t="str">
        <v/>
      </c>
      <c r="E52" s="213"/>
      <c r="F52" s="197" t="str">
        <f t="shared" si="10"/>
        <v/>
      </c>
      <c r="G52" s="203">
        <v>43</v>
      </c>
      <c r="H52" s="195" t="str">
        <f t="shared" si="23"/>
        <v/>
      </c>
      <c r="I52" s="195" t="str">
        <v/>
      </c>
      <c r="J52" s="205" t="str">
        <v/>
      </c>
      <c r="K52" s="242"/>
      <c r="L52" s="197" t="str">
        <f t="shared" si="11"/>
        <v/>
      </c>
      <c r="M52" s="203">
        <v>43</v>
      </c>
      <c r="N52" s="195" t="str">
        <f t="shared" si="24"/>
        <v/>
      </c>
      <c r="O52" s="195" t="str">
        <v/>
      </c>
      <c r="P52" s="205" t="str">
        <v/>
      </c>
      <c r="Q52" s="213"/>
      <c r="R52" s="197" t="str">
        <f t="shared" si="12"/>
        <v/>
      </c>
      <c r="S52" s="203">
        <v>43</v>
      </c>
      <c r="T52" s="195" t="str">
        <f t="shared" si="25"/>
        <v/>
      </c>
      <c r="U52" s="195" t="str">
        <v/>
      </c>
      <c r="V52" s="205" t="str">
        <v/>
      </c>
      <c r="W52" s="213"/>
      <c r="X52" s="197" t="str">
        <f t="shared" si="13"/>
        <v/>
      </c>
      <c r="Y52" s="203">
        <v>43</v>
      </c>
      <c r="Z52" s="195"/>
      <c r="AA52" s="195"/>
      <c r="AB52" s="205"/>
      <c r="AC52" s="213"/>
      <c r="AD52" s="197" t="str">
        <f t="shared" si="14"/>
        <v/>
      </c>
      <c r="AE52" s="203">
        <v>43</v>
      </c>
      <c r="AF52" s="195" t="str">
        <f t="shared" si="26"/>
        <v/>
      </c>
      <c r="AG52" s="195" t="str">
        <v/>
      </c>
      <c r="AH52" s="205" t="str">
        <v/>
      </c>
      <c r="AI52" s="213"/>
      <c r="AJ52" s="197" t="str">
        <f t="shared" si="15"/>
        <v/>
      </c>
      <c r="AK52" s="203">
        <v>43</v>
      </c>
      <c r="AL52" s="198"/>
      <c r="AM52" s="195"/>
      <c r="AN52" s="196"/>
      <c r="AO52" s="254"/>
      <c r="AP52" s="256" t="str">
        <f t="shared" si="16"/>
        <v/>
      </c>
      <c r="AQ52" s="203">
        <v>43</v>
      </c>
      <c r="AR52" s="195" t="str">
        <f t="shared" si="27"/>
        <v/>
      </c>
      <c r="AS52" s="195" t="str">
        <v/>
      </c>
      <c r="AT52" s="205" t="str">
        <v/>
      </c>
      <c r="AU52" s="213"/>
      <c r="AV52" s="197" t="str">
        <f t="shared" si="17"/>
        <v/>
      </c>
      <c r="AW52" s="203">
        <v>43</v>
      </c>
      <c r="AX52" s="195" t="str">
        <f t="shared" si="28"/>
        <v/>
      </c>
      <c r="AY52" s="195" t="str">
        <v/>
      </c>
      <c r="AZ52" s="205" t="str">
        <v/>
      </c>
      <c r="BA52" s="242"/>
      <c r="BB52" s="197" t="str">
        <f t="shared" si="18"/>
        <v/>
      </c>
      <c r="BC52" s="203">
        <v>43</v>
      </c>
      <c r="BD52" s="195" t="str">
        <f t="shared" si="29"/>
        <v/>
      </c>
      <c r="BE52" s="195" t="str">
        <v/>
      </c>
      <c r="BF52" s="205" t="str">
        <v/>
      </c>
      <c r="BG52" s="242"/>
      <c r="BH52" s="197" t="str">
        <f t="shared" si="19"/>
        <v/>
      </c>
      <c r="BI52" s="203">
        <v>43</v>
      </c>
      <c r="BJ52" s="195" t="str">
        <f t="shared" si="30"/>
        <v/>
      </c>
      <c r="BK52" s="195" t="str">
        <v/>
      </c>
      <c r="BL52" s="205" t="str">
        <v/>
      </c>
      <c r="BM52" s="242"/>
      <c r="BN52" s="197" t="str">
        <f t="shared" si="20"/>
        <v/>
      </c>
      <c r="BO52" s="203">
        <v>43</v>
      </c>
      <c r="BP52" s="195" t="str">
        <f t="shared" si="31"/>
        <v/>
      </c>
      <c r="BQ52" s="195" t="str">
        <v/>
      </c>
      <c r="BR52" s="205" t="str">
        <v/>
      </c>
      <c r="BS52" s="242"/>
      <c r="BT52" s="197" t="str">
        <f t="shared" si="21"/>
        <v/>
      </c>
    </row>
    <row r="53" spans="1:72">
      <c r="A53" s="203">
        <v>44</v>
      </c>
      <c r="B53" s="195" t="str">
        <f t="shared" si="22"/>
        <v/>
      </c>
      <c r="C53" s="195" t="str">
        <v/>
      </c>
      <c r="D53" s="205" t="str">
        <v/>
      </c>
      <c r="E53" s="213"/>
      <c r="F53" s="197" t="str">
        <f t="shared" si="10"/>
        <v/>
      </c>
      <c r="G53" s="203">
        <v>44</v>
      </c>
      <c r="H53" s="195" t="str">
        <f t="shared" si="23"/>
        <v/>
      </c>
      <c r="I53" s="195" t="str">
        <v/>
      </c>
      <c r="J53" s="205" t="str">
        <v/>
      </c>
      <c r="K53" s="242"/>
      <c r="L53" s="197" t="str">
        <f t="shared" si="11"/>
        <v/>
      </c>
      <c r="M53" s="203">
        <v>44</v>
      </c>
      <c r="N53" s="195" t="str">
        <f t="shared" si="24"/>
        <v/>
      </c>
      <c r="O53" s="195" t="str">
        <v/>
      </c>
      <c r="P53" s="205" t="str">
        <v/>
      </c>
      <c r="Q53" s="213"/>
      <c r="R53" s="197" t="str">
        <f t="shared" si="12"/>
        <v/>
      </c>
      <c r="S53" s="203">
        <v>44</v>
      </c>
      <c r="T53" s="195" t="str">
        <f t="shared" si="25"/>
        <v/>
      </c>
      <c r="U53" s="195" t="str">
        <v/>
      </c>
      <c r="V53" s="205" t="str">
        <v/>
      </c>
      <c r="W53" s="213"/>
      <c r="X53" s="197" t="str">
        <f t="shared" si="13"/>
        <v/>
      </c>
      <c r="Y53" s="203">
        <v>44</v>
      </c>
      <c r="Z53" s="195"/>
      <c r="AA53" s="195"/>
      <c r="AB53" s="205"/>
      <c r="AC53" s="213"/>
      <c r="AD53" s="197" t="str">
        <f t="shared" si="14"/>
        <v/>
      </c>
      <c r="AE53" s="203">
        <v>44</v>
      </c>
      <c r="AF53" s="195" t="str">
        <f t="shared" si="26"/>
        <v/>
      </c>
      <c r="AG53" s="195" t="str">
        <v/>
      </c>
      <c r="AH53" s="205" t="str">
        <v/>
      </c>
      <c r="AI53" s="213"/>
      <c r="AJ53" s="197" t="str">
        <f t="shared" si="15"/>
        <v/>
      </c>
      <c r="AK53" s="203">
        <v>44</v>
      </c>
      <c r="AL53" s="198"/>
      <c r="AM53" s="195"/>
      <c r="AN53" s="196"/>
      <c r="AO53" s="254"/>
      <c r="AP53" s="256" t="str">
        <f t="shared" si="16"/>
        <v/>
      </c>
      <c r="AQ53" s="203">
        <v>44</v>
      </c>
      <c r="AR53" s="195" t="str">
        <f t="shared" si="27"/>
        <v/>
      </c>
      <c r="AS53" s="195" t="str">
        <v/>
      </c>
      <c r="AT53" s="205" t="str">
        <v/>
      </c>
      <c r="AU53" s="213"/>
      <c r="AV53" s="197" t="str">
        <f t="shared" si="17"/>
        <v/>
      </c>
      <c r="AW53" s="203">
        <v>44</v>
      </c>
      <c r="AX53" s="195" t="str">
        <f t="shared" si="28"/>
        <v/>
      </c>
      <c r="AY53" s="195" t="str">
        <v/>
      </c>
      <c r="AZ53" s="205" t="str">
        <v/>
      </c>
      <c r="BA53" s="242"/>
      <c r="BB53" s="197" t="str">
        <f t="shared" si="18"/>
        <v/>
      </c>
      <c r="BC53" s="203">
        <v>44</v>
      </c>
      <c r="BD53" s="195" t="str">
        <f t="shared" si="29"/>
        <v/>
      </c>
      <c r="BE53" s="195" t="str">
        <v/>
      </c>
      <c r="BF53" s="205" t="str">
        <v/>
      </c>
      <c r="BG53" s="242"/>
      <c r="BH53" s="197" t="str">
        <f t="shared" si="19"/>
        <v/>
      </c>
      <c r="BI53" s="203">
        <v>44</v>
      </c>
      <c r="BJ53" s="195" t="str">
        <f t="shared" si="30"/>
        <v/>
      </c>
      <c r="BK53" s="195" t="str">
        <v/>
      </c>
      <c r="BL53" s="205" t="str">
        <v/>
      </c>
      <c r="BM53" s="242"/>
      <c r="BN53" s="197" t="str">
        <f t="shared" si="20"/>
        <v/>
      </c>
      <c r="BO53" s="203">
        <v>44</v>
      </c>
      <c r="BP53" s="195" t="str">
        <f t="shared" si="31"/>
        <v/>
      </c>
      <c r="BQ53" s="195" t="str">
        <v/>
      </c>
      <c r="BR53" s="205" t="str">
        <v/>
      </c>
      <c r="BS53" s="242"/>
      <c r="BT53" s="197" t="str">
        <f t="shared" si="21"/>
        <v/>
      </c>
    </row>
    <row r="54" spans="1:72">
      <c r="A54" s="203">
        <v>45</v>
      </c>
      <c r="B54" s="195" t="str">
        <f t="shared" si="22"/>
        <v/>
      </c>
      <c r="C54" s="195" t="str">
        <v/>
      </c>
      <c r="D54" s="205" t="str">
        <v/>
      </c>
      <c r="E54" s="213"/>
      <c r="F54" s="197" t="str">
        <f t="shared" si="10"/>
        <v/>
      </c>
      <c r="G54" s="203">
        <v>45</v>
      </c>
      <c r="H54" s="195" t="str">
        <f t="shared" si="23"/>
        <v/>
      </c>
      <c r="I54" s="195" t="str">
        <v/>
      </c>
      <c r="J54" s="205" t="str">
        <v/>
      </c>
      <c r="K54" s="242"/>
      <c r="L54" s="197" t="str">
        <f t="shared" si="11"/>
        <v/>
      </c>
      <c r="M54" s="203">
        <v>45</v>
      </c>
      <c r="N54" s="195" t="str">
        <f t="shared" si="24"/>
        <v/>
      </c>
      <c r="O54" s="195" t="str">
        <v/>
      </c>
      <c r="P54" s="205" t="str">
        <v/>
      </c>
      <c r="Q54" s="213"/>
      <c r="R54" s="197" t="str">
        <f t="shared" si="12"/>
        <v/>
      </c>
      <c r="S54" s="203">
        <v>45</v>
      </c>
      <c r="T54" s="195" t="str">
        <f t="shared" si="25"/>
        <v/>
      </c>
      <c r="U54" s="195" t="str">
        <v/>
      </c>
      <c r="V54" s="205" t="str">
        <v/>
      </c>
      <c r="W54" s="213"/>
      <c r="X54" s="197" t="str">
        <f t="shared" si="13"/>
        <v/>
      </c>
      <c r="Y54" s="203">
        <v>45</v>
      </c>
      <c r="Z54" s="195"/>
      <c r="AA54" s="195"/>
      <c r="AB54" s="205"/>
      <c r="AC54" s="213"/>
      <c r="AD54" s="197" t="str">
        <f t="shared" si="14"/>
        <v/>
      </c>
      <c r="AE54" s="203">
        <v>45</v>
      </c>
      <c r="AF54" s="195" t="str">
        <f t="shared" si="26"/>
        <v/>
      </c>
      <c r="AG54" s="195" t="str">
        <v/>
      </c>
      <c r="AH54" s="205" t="str">
        <v/>
      </c>
      <c r="AI54" s="213"/>
      <c r="AJ54" s="197" t="str">
        <f t="shared" si="15"/>
        <v/>
      </c>
      <c r="AK54" s="203">
        <v>45</v>
      </c>
      <c r="AL54" s="198"/>
      <c r="AM54" s="195"/>
      <c r="AN54" s="196"/>
      <c r="AO54" s="254"/>
      <c r="AP54" s="256" t="str">
        <f t="shared" si="16"/>
        <v/>
      </c>
      <c r="AQ54" s="203">
        <v>45</v>
      </c>
      <c r="AR54" s="195" t="str">
        <f t="shared" si="27"/>
        <v/>
      </c>
      <c r="AS54" s="195" t="str">
        <v/>
      </c>
      <c r="AT54" s="205" t="str">
        <v/>
      </c>
      <c r="AU54" s="213"/>
      <c r="AV54" s="197" t="str">
        <f t="shared" si="17"/>
        <v/>
      </c>
      <c r="AW54" s="203">
        <v>45</v>
      </c>
      <c r="AX54" s="195" t="str">
        <f t="shared" si="28"/>
        <v/>
      </c>
      <c r="AY54" s="195" t="str">
        <v/>
      </c>
      <c r="AZ54" s="205" t="str">
        <v/>
      </c>
      <c r="BA54" s="242"/>
      <c r="BB54" s="197" t="str">
        <f t="shared" si="18"/>
        <v/>
      </c>
      <c r="BC54" s="203">
        <v>45</v>
      </c>
      <c r="BD54" s="195" t="str">
        <f t="shared" si="29"/>
        <v/>
      </c>
      <c r="BE54" s="195" t="str">
        <v/>
      </c>
      <c r="BF54" s="205" t="str">
        <v/>
      </c>
      <c r="BG54" s="242"/>
      <c r="BH54" s="197" t="str">
        <f t="shared" si="19"/>
        <v/>
      </c>
      <c r="BI54" s="203">
        <v>45</v>
      </c>
      <c r="BJ54" s="195" t="str">
        <f t="shared" si="30"/>
        <v/>
      </c>
      <c r="BK54" s="195" t="str">
        <v/>
      </c>
      <c r="BL54" s="205" t="str">
        <v/>
      </c>
      <c r="BM54" s="242"/>
      <c r="BN54" s="197" t="str">
        <f t="shared" si="20"/>
        <v/>
      </c>
      <c r="BO54" s="203">
        <v>45</v>
      </c>
      <c r="BP54" s="195" t="str">
        <f t="shared" si="31"/>
        <v/>
      </c>
      <c r="BQ54" s="195" t="str">
        <v/>
      </c>
      <c r="BR54" s="205" t="str">
        <v/>
      </c>
      <c r="BS54" s="242"/>
      <c r="BT54" s="197" t="str">
        <f t="shared" si="21"/>
        <v/>
      </c>
    </row>
    <row r="55" spans="1:72">
      <c r="A55" s="203">
        <v>46</v>
      </c>
      <c r="B55" s="195" t="str">
        <f t="shared" si="22"/>
        <v/>
      </c>
      <c r="C55" s="195" t="str">
        <v/>
      </c>
      <c r="D55" s="205" t="str">
        <v/>
      </c>
      <c r="E55" s="213"/>
      <c r="F55" s="197" t="str">
        <f t="shared" si="10"/>
        <v/>
      </c>
      <c r="G55" s="203">
        <v>46</v>
      </c>
      <c r="H55" s="195" t="str">
        <f t="shared" si="23"/>
        <v/>
      </c>
      <c r="I55" s="195" t="str">
        <v/>
      </c>
      <c r="J55" s="205" t="str">
        <v/>
      </c>
      <c r="K55" s="242"/>
      <c r="L55" s="197" t="str">
        <f t="shared" si="11"/>
        <v/>
      </c>
      <c r="M55" s="203">
        <v>46</v>
      </c>
      <c r="N55" s="195" t="str">
        <f t="shared" si="24"/>
        <v/>
      </c>
      <c r="O55" s="195" t="str">
        <v/>
      </c>
      <c r="P55" s="205" t="str">
        <v/>
      </c>
      <c r="Q55" s="213"/>
      <c r="R55" s="197" t="str">
        <f t="shared" si="12"/>
        <v/>
      </c>
      <c r="S55" s="203">
        <v>46</v>
      </c>
      <c r="T55" s="195" t="str">
        <f t="shared" si="25"/>
        <v/>
      </c>
      <c r="U55" s="195" t="str">
        <v/>
      </c>
      <c r="V55" s="205" t="str">
        <v/>
      </c>
      <c r="W55" s="213"/>
      <c r="X55" s="197" t="str">
        <f t="shared" si="13"/>
        <v/>
      </c>
      <c r="Y55" s="203">
        <v>46</v>
      </c>
      <c r="Z55" s="195"/>
      <c r="AA55" s="195"/>
      <c r="AB55" s="205"/>
      <c r="AC55" s="213"/>
      <c r="AD55" s="197" t="str">
        <f t="shared" si="14"/>
        <v/>
      </c>
      <c r="AE55" s="203">
        <v>46</v>
      </c>
      <c r="AF55" s="195" t="str">
        <f t="shared" si="26"/>
        <v/>
      </c>
      <c r="AG55" s="195" t="str">
        <v/>
      </c>
      <c r="AH55" s="205" t="str">
        <v/>
      </c>
      <c r="AI55" s="213"/>
      <c r="AJ55" s="197" t="str">
        <f t="shared" si="15"/>
        <v/>
      </c>
      <c r="AK55" s="203">
        <v>46</v>
      </c>
      <c r="AL55" s="198"/>
      <c r="AM55" s="195"/>
      <c r="AN55" s="196"/>
      <c r="AO55" s="254"/>
      <c r="AP55" s="256" t="str">
        <f t="shared" si="16"/>
        <v/>
      </c>
      <c r="AQ55" s="203">
        <v>46</v>
      </c>
      <c r="AR55" s="195" t="str">
        <f t="shared" si="27"/>
        <v/>
      </c>
      <c r="AS55" s="195" t="str">
        <v/>
      </c>
      <c r="AT55" s="205" t="str">
        <v/>
      </c>
      <c r="AU55" s="213"/>
      <c r="AV55" s="197" t="str">
        <f t="shared" si="17"/>
        <v/>
      </c>
      <c r="AW55" s="203">
        <v>46</v>
      </c>
      <c r="AX55" s="195" t="str">
        <f t="shared" si="28"/>
        <v/>
      </c>
      <c r="AY55" s="195" t="str">
        <v/>
      </c>
      <c r="AZ55" s="205" t="str">
        <v/>
      </c>
      <c r="BA55" s="242"/>
      <c r="BB55" s="197" t="str">
        <f t="shared" si="18"/>
        <v/>
      </c>
      <c r="BC55" s="203">
        <v>46</v>
      </c>
      <c r="BD55" s="195" t="str">
        <f t="shared" si="29"/>
        <v/>
      </c>
      <c r="BE55" s="195" t="str">
        <v/>
      </c>
      <c r="BF55" s="205" t="str">
        <v/>
      </c>
      <c r="BG55" s="242"/>
      <c r="BH55" s="197" t="str">
        <f t="shared" si="19"/>
        <v/>
      </c>
      <c r="BI55" s="203">
        <v>46</v>
      </c>
      <c r="BJ55" s="195" t="str">
        <f t="shared" si="30"/>
        <v/>
      </c>
      <c r="BK55" s="195" t="str">
        <v/>
      </c>
      <c r="BL55" s="205" t="str">
        <v/>
      </c>
      <c r="BM55" s="242"/>
      <c r="BN55" s="197" t="str">
        <f t="shared" si="20"/>
        <v/>
      </c>
      <c r="BO55" s="203">
        <v>46</v>
      </c>
      <c r="BP55" s="195" t="str">
        <f t="shared" si="31"/>
        <v/>
      </c>
      <c r="BQ55" s="195" t="str">
        <v/>
      </c>
      <c r="BR55" s="205" t="str">
        <v/>
      </c>
      <c r="BS55" s="242"/>
      <c r="BT55" s="197" t="str">
        <f t="shared" si="21"/>
        <v/>
      </c>
    </row>
    <row r="56" spans="1:72">
      <c r="A56" s="203">
        <v>47</v>
      </c>
      <c r="B56" s="195" t="str">
        <f t="shared" si="22"/>
        <v/>
      </c>
      <c r="C56" s="195" t="str">
        <v/>
      </c>
      <c r="D56" s="205" t="str">
        <v/>
      </c>
      <c r="E56" s="213"/>
      <c r="F56" s="197" t="str">
        <f t="shared" si="10"/>
        <v/>
      </c>
      <c r="G56" s="203">
        <v>47</v>
      </c>
      <c r="H56" s="195" t="str">
        <f t="shared" si="23"/>
        <v/>
      </c>
      <c r="I56" s="195" t="str">
        <v/>
      </c>
      <c r="J56" s="205" t="str">
        <v/>
      </c>
      <c r="K56" s="242"/>
      <c r="L56" s="197" t="str">
        <f t="shared" si="11"/>
        <v/>
      </c>
      <c r="M56" s="203">
        <v>47</v>
      </c>
      <c r="N56" s="195" t="str">
        <f t="shared" si="24"/>
        <v/>
      </c>
      <c r="O56" s="195" t="str">
        <v/>
      </c>
      <c r="P56" s="205" t="str">
        <v/>
      </c>
      <c r="Q56" s="213"/>
      <c r="R56" s="197" t="str">
        <f t="shared" si="12"/>
        <v/>
      </c>
      <c r="S56" s="203">
        <v>47</v>
      </c>
      <c r="T56" s="195" t="str">
        <f t="shared" si="25"/>
        <v/>
      </c>
      <c r="U56" s="195" t="str">
        <v/>
      </c>
      <c r="V56" s="205" t="str">
        <v/>
      </c>
      <c r="W56" s="213"/>
      <c r="X56" s="197" t="str">
        <f t="shared" si="13"/>
        <v/>
      </c>
      <c r="Y56" s="203">
        <v>47</v>
      </c>
      <c r="Z56" s="195"/>
      <c r="AA56" s="195"/>
      <c r="AB56" s="205"/>
      <c r="AC56" s="213"/>
      <c r="AD56" s="197" t="str">
        <f t="shared" si="14"/>
        <v/>
      </c>
      <c r="AE56" s="203">
        <v>47</v>
      </c>
      <c r="AF56" s="195" t="str">
        <f t="shared" si="26"/>
        <v/>
      </c>
      <c r="AG56" s="195" t="str">
        <v/>
      </c>
      <c r="AH56" s="205" t="str">
        <v/>
      </c>
      <c r="AI56" s="213"/>
      <c r="AJ56" s="197" t="str">
        <f t="shared" si="15"/>
        <v/>
      </c>
      <c r="AK56" s="203">
        <v>47</v>
      </c>
      <c r="AL56" s="198"/>
      <c r="AM56" s="195"/>
      <c r="AN56" s="196"/>
      <c r="AO56" s="254"/>
      <c r="AP56" s="256" t="str">
        <f t="shared" si="16"/>
        <v/>
      </c>
      <c r="AQ56" s="203">
        <v>47</v>
      </c>
      <c r="AR56" s="195" t="str">
        <f t="shared" si="27"/>
        <v/>
      </c>
      <c r="AS56" s="195" t="str">
        <v/>
      </c>
      <c r="AT56" s="205" t="str">
        <v/>
      </c>
      <c r="AU56" s="213"/>
      <c r="AV56" s="197" t="str">
        <f t="shared" si="17"/>
        <v/>
      </c>
      <c r="AW56" s="203">
        <v>47</v>
      </c>
      <c r="AX56" s="195" t="str">
        <f t="shared" si="28"/>
        <v/>
      </c>
      <c r="AY56" s="195" t="str">
        <v/>
      </c>
      <c r="AZ56" s="205" t="str">
        <v/>
      </c>
      <c r="BA56" s="242"/>
      <c r="BB56" s="197" t="str">
        <f t="shared" si="18"/>
        <v/>
      </c>
      <c r="BC56" s="203">
        <v>47</v>
      </c>
      <c r="BD56" s="195" t="str">
        <f t="shared" si="29"/>
        <v/>
      </c>
      <c r="BE56" s="195" t="str">
        <v/>
      </c>
      <c r="BF56" s="205" t="str">
        <v/>
      </c>
      <c r="BG56" s="242"/>
      <c r="BH56" s="197" t="str">
        <f t="shared" si="19"/>
        <v/>
      </c>
      <c r="BI56" s="203">
        <v>47</v>
      </c>
      <c r="BJ56" s="195" t="str">
        <f t="shared" si="30"/>
        <v/>
      </c>
      <c r="BK56" s="195" t="str">
        <v/>
      </c>
      <c r="BL56" s="205" t="str">
        <v/>
      </c>
      <c r="BM56" s="242"/>
      <c r="BN56" s="197" t="str">
        <f t="shared" si="20"/>
        <v/>
      </c>
      <c r="BO56" s="203">
        <v>47</v>
      </c>
      <c r="BP56" s="195" t="str">
        <f t="shared" si="31"/>
        <v/>
      </c>
      <c r="BQ56" s="195" t="str">
        <v/>
      </c>
      <c r="BR56" s="205" t="str">
        <v/>
      </c>
      <c r="BS56" s="242"/>
      <c r="BT56" s="197" t="str">
        <f t="shared" si="21"/>
        <v/>
      </c>
    </row>
    <row r="57" spans="1:72">
      <c r="A57" s="203">
        <v>48</v>
      </c>
      <c r="B57" s="195" t="str">
        <f t="shared" si="22"/>
        <v/>
      </c>
      <c r="C57" s="195" t="str">
        <v/>
      </c>
      <c r="D57" s="205" t="str">
        <v/>
      </c>
      <c r="E57" s="213"/>
      <c r="F57" s="197" t="str">
        <f t="shared" si="10"/>
        <v/>
      </c>
      <c r="G57" s="203">
        <v>48</v>
      </c>
      <c r="H57" s="195" t="str">
        <f t="shared" si="23"/>
        <v/>
      </c>
      <c r="I57" s="195" t="str">
        <v/>
      </c>
      <c r="J57" s="205" t="str">
        <v/>
      </c>
      <c r="K57" s="242"/>
      <c r="L57" s="197" t="str">
        <f t="shared" si="11"/>
        <v/>
      </c>
      <c r="M57" s="203">
        <v>48</v>
      </c>
      <c r="N57" s="195" t="str">
        <f t="shared" si="24"/>
        <v/>
      </c>
      <c r="O57" s="195" t="str">
        <v/>
      </c>
      <c r="P57" s="205" t="str">
        <v/>
      </c>
      <c r="Q57" s="213"/>
      <c r="R57" s="197" t="str">
        <f t="shared" si="12"/>
        <v/>
      </c>
      <c r="S57" s="203">
        <v>48</v>
      </c>
      <c r="T57" s="195" t="str">
        <f t="shared" si="25"/>
        <v/>
      </c>
      <c r="U57" s="195" t="str">
        <v/>
      </c>
      <c r="V57" s="205" t="str">
        <v/>
      </c>
      <c r="W57" s="213"/>
      <c r="X57" s="197" t="str">
        <f t="shared" si="13"/>
        <v/>
      </c>
      <c r="Y57" s="203">
        <v>48</v>
      </c>
      <c r="Z57" s="195"/>
      <c r="AA57" s="195"/>
      <c r="AB57" s="205"/>
      <c r="AC57" s="213"/>
      <c r="AD57" s="197" t="str">
        <f t="shared" si="14"/>
        <v/>
      </c>
      <c r="AE57" s="203">
        <v>48</v>
      </c>
      <c r="AF57" s="195" t="str">
        <f t="shared" si="26"/>
        <v/>
      </c>
      <c r="AG57" s="195" t="str">
        <v/>
      </c>
      <c r="AH57" s="205" t="str">
        <v/>
      </c>
      <c r="AI57" s="213"/>
      <c r="AJ57" s="197" t="str">
        <f t="shared" si="15"/>
        <v/>
      </c>
      <c r="AK57" s="203">
        <v>48</v>
      </c>
      <c r="AL57" s="198"/>
      <c r="AM57" s="195"/>
      <c r="AN57" s="196"/>
      <c r="AO57" s="254"/>
      <c r="AP57" s="256" t="str">
        <f t="shared" si="16"/>
        <v/>
      </c>
      <c r="AQ57" s="203">
        <v>48</v>
      </c>
      <c r="AR57" s="195" t="str">
        <f t="shared" si="27"/>
        <v/>
      </c>
      <c r="AS57" s="195" t="str">
        <v/>
      </c>
      <c r="AT57" s="205" t="str">
        <v/>
      </c>
      <c r="AU57" s="213"/>
      <c r="AV57" s="197" t="str">
        <f t="shared" si="17"/>
        <v/>
      </c>
      <c r="AW57" s="203">
        <v>48</v>
      </c>
      <c r="AX57" s="195" t="str">
        <f t="shared" si="28"/>
        <v/>
      </c>
      <c r="AY57" s="195" t="str">
        <v/>
      </c>
      <c r="AZ57" s="205" t="str">
        <v/>
      </c>
      <c r="BA57" s="242"/>
      <c r="BB57" s="197" t="str">
        <f t="shared" si="18"/>
        <v/>
      </c>
      <c r="BC57" s="203">
        <v>48</v>
      </c>
      <c r="BD57" s="195" t="str">
        <f t="shared" si="29"/>
        <v/>
      </c>
      <c r="BE57" s="195" t="str">
        <v/>
      </c>
      <c r="BF57" s="205" t="str">
        <v/>
      </c>
      <c r="BG57" s="242"/>
      <c r="BH57" s="197" t="str">
        <f t="shared" si="19"/>
        <v/>
      </c>
      <c r="BI57" s="203">
        <v>48</v>
      </c>
      <c r="BJ57" s="195" t="str">
        <f t="shared" si="30"/>
        <v/>
      </c>
      <c r="BK57" s="195" t="str">
        <v/>
      </c>
      <c r="BL57" s="205" t="str">
        <v/>
      </c>
      <c r="BM57" s="242"/>
      <c r="BN57" s="197" t="str">
        <f t="shared" si="20"/>
        <v/>
      </c>
      <c r="BO57" s="203">
        <v>48</v>
      </c>
      <c r="BP57" s="195" t="str">
        <f t="shared" si="31"/>
        <v/>
      </c>
      <c r="BQ57" s="195" t="str">
        <v/>
      </c>
      <c r="BR57" s="205" t="str">
        <v/>
      </c>
      <c r="BS57" s="242"/>
      <c r="BT57" s="197" t="str">
        <f t="shared" si="21"/>
        <v/>
      </c>
    </row>
    <row r="58" spans="1:72">
      <c r="A58" s="203">
        <v>49</v>
      </c>
      <c r="B58" s="195" t="str">
        <f t="shared" si="22"/>
        <v/>
      </c>
      <c r="C58" s="195" t="str">
        <v/>
      </c>
      <c r="D58" s="205" t="str">
        <v/>
      </c>
      <c r="E58" s="213"/>
      <c r="F58" s="197" t="str">
        <f t="shared" si="10"/>
        <v/>
      </c>
      <c r="G58" s="203">
        <v>49</v>
      </c>
      <c r="H58" s="195" t="str">
        <f t="shared" si="23"/>
        <v/>
      </c>
      <c r="I58" s="195" t="str">
        <v/>
      </c>
      <c r="J58" s="205" t="str">
        <v/>
      </c>
      <c r="K58" s="242"/>
      <c r="L58" s="197" t="str">
        <f t="shared" si="11"/>
        <v/>
      </c>
      <c r="M58" s="203">
        <v>49</v>
      </c>
      <c r="N58" s="195" t="str">
        <f t="shared" si="24"/>
        <v/>
      </c>
      <c r="O58" s="195" t="str">
        <v/>
      </c>
      <c r="P58" s="205" t="str">
        <v/>
      </c>
      <c r="Q58" s="213"/>
      <c r="R58" s="197" t="str">
        <f t="shared" si="12"/>
        <v/>
      </c>
      <c r="S58" s="203">
        <v>49</v>
      </c>
      <c r="T58" s="195" t="str">
        <f t="shared" si="25"/>
        <v/>
      </c>
      <c r="U58" s="195" t="str">
        <v/>
      </c>
      <c r="V58" s="205" t="str">
        <v/>
      </c>
      <c r="W58" s="213"/>
      <c r="X58" s="197" t="str">
        <f t="shared" si="13"/>
        <v/>
      </c>
      <c r="Y58" s="203">
        <v>49</v>
      </c>
      <c r="Z58" s="195"/>
      <c r="AA58" s="195"/>
      <c r="AB58" s="205"/>
      <c r="AC58" s="213"/>
      <c r="AD58" s="197" t="str">
        <f t="shared" si="14"/>
        <v/>
      </c>
      <c r="AE58" s="203">
        <v>49</v>
      </c>
      <c r="AF58" s="195" t="str">
        <f t="shared" si="26"/>
        <v/>
      </c>
      <c r="AG58" s="195" t="str">
        <v/>
      </c>
      <c r="AH58" s="205" t="str">
        <v/>
      </c>
      <c r="AI58" s="213"/>
      <c r="AJ58" s="197" t="str">
        <f t="shared" si="15"/>
        <v/>
      </c>
      <c r="AK58" s="203">
        <v>49</v>
      </c>
      <c r="AL58" s="198"/>
      <c r="AM58" s="195"/>
      <c r="AN58" s="196"/>
      <c r="AO58" s="254"/>
      <c r="AP58" s="256" t="str">
        <f t="shared" si="16"/>
        <v/>
      </c>
      <c r="AQ58" s="203">
        <v>49</v>
      </c>
      <c r="AR58" s="195" t="str">
        <f t="shared" si="27"/>
        <v/>
      </c>
      <c r="AS58" s="195" t="str">
        <v/>
      </c>
      <c r="AT58" s="205" t="str">
        <v/>
      </c>
      <c r="AU58" s="213"/>
      <c r="AV58" s="197" t="str">
        <f t="shared" si="17"/>
        <v/>
      </c>
      <c r="AW58" s="203">
        <v>49</v>
      </c>
      <c r="AX58" s="195" t="str">
        <f t="shared" si="28"/>
        <v/>
      </c>
      <c r="AY58" s="195" t="str">
        <v/>
      </c>
      <c r="AZ58" s="205" t="str">
        <v/>
      </c>
      <c r="BA58" s="242"/>
      <c r="BB58" s="197" t="str">
        <f t="shared" si="18"/>
        <v/>
      </c>
      <c r="BC58" s="203">
        <v>49</v>
      </c>
      <c r="BD58" s="195" t="str">
        <f t="shared" si="29"/>
        <v/>
      </c>
      <c r="BE58" s="195" t="str">
        <v/>
      </c>
      <c r="BF58" s="205" t="str">
        <v/>
      </c>
      <c r="BG58" s="242"/>
      <c r="BH58" s="197" t="str">
        <f t="shared" si="19"/>
        <v/>
      </c>
      <c r="BI58" s="203">
        <v>49</v>
      </c>
      <c r="BJ58" s="195" t="str">
        <f t="shared" si="30"/>
        <v/>
      </c>
      <c r="BK58" s="195" t="str">
        <v/>
      </c>
      <c r="BL58" s="205" t="str">
        <v/>
      </c>
      <c r="BM58" s="242"/>
      <c r="BN58" s="197" t="str">
        <f t="shared" si="20"/>
        <v/>
      </c>
      <c r="BO58" s="203">
        <v>49</v>
      </c>
      <c r="BP58" s="195" t="str">
        <f t="shared" si="31"/>
        <v/>
      </c>
      <c r="BQ58" s="195" t="str">
        <v/>
      </c>
      <c r="BR58" s="205" t="str">
        <v/>
      </c>
      <c r="BS58" s="242"/>
      <c r="BT58" s="197" t="str">
        <f t="shared" si="21"/>
        <v/>
      </c>
    </row>
    <row r="59" spans="1:72">
      <c r="A59" s="203">
        <v>50</v>
      </c>
      <c r="B59" s="195" t="str">
        <f t="shared" si="22"/>
        <v/>
      </c>
      <c r="C59" s="195" t="str">
        <v/>
      </c>
      <c r="D59" s="205" t="str">
        <v/>
      </c>
      <c r="E59" s="213"/>
      <c r="F59" s="197" t="str">
        <f t="shared" si="10"/>
        <v/>
      </c>
      <c r="G59" s="203">
        <v>50</v>
      </c>
      <c r="H59" s="195" t="str">
        <f t="shared" si="23"/>
        <v/>
      </c>
      <c r="I59" s="195" t="str">
        <v/>
      </c>
      <c r="J59" s="205" t="str">
        <v/>
      </c>
      <c r="K59" s="242"/>
      <c r="L59" s="197" t="str">
        <f t="shared" si="11"/>
        <v/>
      </c>
      <c r="M59" s="203">
        <v>50</v>
      </c>
      <c r="N59" s="195" t="str">
        <f t="shared" si="24"/>
        <v/>
      </c>
      <c r="O59" s="195" t="str">
        <v/>
      </c>
      <c r="P59" s="205" t="str">
        <v/>
      </c>
      <c r="Q59" s="213"/>
      <c r="R59" s="197" t="str">
        <f t="shared" si="12"/>
        <v/>
      </c>
      <c r="S59" s="203">
        <v>50</v>
      </c>
      <c r="T59" s="195" t="str">
        <f t="shared" si="25"/>
        <v/>
      </c>
      <c r="U59" s="195" t="str">
        <v/>
      </c>
      <c r="V59" s="205" t="str">
        <v/>
      </c>
      <c r="W59" s="213"/>
      <c r="X59" s="197" t="str">
        <f t="shared" si="13"/>
        <v/>
      </c>
      <c r="Y59" s="203">
        <v>50</v>
      </c>
      <c r="Z59" s="195"/>
      <c r="AA59" s="195"/>
      <c r="AB59" s="205"/>
      <c r="AC59" s="213"/>
      <c r="AD59" s="197" t="str">
        <f t="shared" si="14"/>
        <v/>
      </c>
      <c r="AE59" s="203">
        <v>50</v>
      </c>
      <c r="AF59" s="195" t="str">
        <f t="shared" si="26"/>
        <v/>
      </c>
      <c r="AG59" s="195" t="str">
        <v/>
      </c>
      <c r="AH59" s="205" t="str">
        <v/>
      </c>
      <c r="AI59" s="213"/>
      <c r="AJ59" s="197" t="str">
        <f t="shared" si="15"/>
        <v/>
      </c>
      <c r="AK59" s="203">
        <v>50</v>
      </c>
      <c r="AL59" s="198"/>
      <c r="AM59" s="195"/>
      <c r="AN59" s="196"/>
      <c r="AO59" s="254"/>
      <c r="AP59" s="256" t="str">
        <f t="shared" si="16"/>
        <v/>
      </c>
      <c r="AQ59" s="203">
        <v>50</v>
      </c>
      <c r="AR59" s="195" t="str">
        <f t="shared" si="27"/>
        <v/>
      </c>
      <c r="AS59" s="195" t="str">
        <v/>
      </c>
      <c r="AT59" s="205" t="str">
        <v/>
      </c>
      <c r="AU59" s="213"/>
      <c r="AV59" s="197" t="str">
        <f t="shared" si="17"/>
        <v/>
      </c>
      <c r="AW59" s="203">
        <v>50</v>
      </c>
      <c r="AX59" s="195" t="str">
        <f t="shared" si="28"/>
        <v/>
      </c>
      <c r="AY59" s="195" t="str">
        <v/>
      </c>
      <c r="AZ59" s="205" t="str">
        <v/>
      </c>
      <c r="BA59" s="242"/>
      <c r="BB59" s="197" t="str">
        <f t="shared" si="18"/>
        <v/>
      </c>
      <c r="BC59" s="203">
        <v>50</v>
      </c>
      <c r="BD59" s="195" t="str">
        <f t="shared" si="29"/>
        <v/>
      </c>
      <c r="BE59" s="195" t="str">
        <v/>
      </c>
      <c r="BF59" s="205" t="str">
        <v/>
      </c>
      <c r="BG59" s="242"/>
      <c r="BH59" s="197" t="str">
        <f t="shared" si="19"/>
        <v/>
      </c>
      <c r="BI59" s="203">
        <v>50</v>
      </c>
      <c r="BJ59" s="195" t="str">
        <f t="shared" si="30"/>
        <v/>
      </c>
      <c r="BK59" s="195" t="str">
        <v/>
      </c>
      <c r="BL59" s="205" t="str">
        <v/>
      </c>
      <c r="BM59" s="242"/>
      <c r="BN59" s="197" t="str">
        <f t="shared" si="20"/>
        <v/>
      </c>
      <c r="BO59" s="203">
        <v>50</v>
      </c>
      <c r="BP59" s="195" t="str">
        <f t="shared" si="31"/>
        <v/>
      </c>
      <c r="BQ59" s="195" t="str">
        <v/>
      </c>
      <c r="BR59" s="205" t="str">
        <v/>
      </c>
      <c r="BS59" s="242"/>
      <c r="BT59" s="197" t="str">
        <f t="shared" si="21"/>
        <v/>
      </c>
    </row>
    <row r="60" spans="1:72">
      <c r="A60" s="203">
        <v>51</v>
      </c>
      <c r="B60" s="195" t="str">
        <f t="shared" si="22"/>
        <v/>
      </c>
      <c r="C60" s="195" t="str">
        <v/>
      </c>
      <c r="D60" s="205" t="str">
        <v/>
      </c>
      <c r="E60" s="213"/>
      <c r="F60" s="197" t="str">
        <f t="shared" si="10"/>
        <v/>
      </c>
      <c r="G60" s="203">
        <v>51</v>
      </c>
      <c r="H60" s="195" t="str">
        <f t="shared" si="23"/>
        <v/>
      </c>
      <c r="I60" s="195" t="str">
        <v/>
      </c>
      <c r="J60" s="205" t="str">
        <v/>
      </c>
      <c r="K60" s="242"/>
      <c r="L60" s="197" t="str">
        <f t="shared" si="11"/>
        <v/>
      </c>
      <c r="M60" s="203">
        <v>51</v>
      </c>
      <c r="N60" s="195" t="str">
        <f t="shared" si="24"/>
        <v/>
      </c>
      <c r="O60" s="195" t="str">
        <v/>
      </c>
      <c r="P60" s="205" t="str">
        <v/>
      </c>
      <c r="Q60" s="213"/>
      <c r="R60" s="197" t="str">
        <f t="shared" si="12"/>
        <v/>
      </c>
      <c r="S60" s="203">
        <v>51</v>
      </c>
      <c r="T60" s="195" t="str">
        <f t="shared" si="25"/>
        <v/>
      </c>
      <c r="U60" s="195" t="str">
        <v/>
      </c>
      <c r="V60" s="205" t="str">
        <v/>
      </c>
      <c r="W60" s="213"/>
      <c r="X60" s="197" t="str">
        <f t="shared" si="13"/>
        <v/>
      </c>
      <c r="Y60" s="203">
        <v>51</v>
      </c>
      <c r="Z60" s="195"/>
      <c r="AA60" s="195"/>
      <c r="AB60" s="205"/>
      <c r="AC60" s="213"/>
      <c r="AD60" s="197" t="str">
        <f t="shared" si="14"/>
        <v/>
      </c>
      <c r="AE60" s="203">
        <v>51</v>
      </c>
      <c r="AF60" s="195" t="str">
        <f t="shared" si="26"/>
        <v/>
      </c>
      <c r="AG60" s="195" t="str">
        <v/>
      </c>
      <c r="AH60" s="205" t="str">
        <v/>
      </c>
      <c r="AI60" s="213"/>
      <c r="AJ60" s="197" t="str">
        <f t="shared" si="15"/>
        <v/>
      </c>
      <c r="AK60" s="203">
        <v>51</v>
      </c>
      <c r="AL60" s="198"/>
      <c r="AM60" s="195"/>
      <c r="AN60" s="196"/>
      <c r="AO60" s="254"/>
      <c r="AP60" s="256" t="str">
        <f t="shared" si="16"/>
        <v/>
      </c>
      <c r="AQ60" s="203">
        <v>51</v>
      </c>
      <c r="AR60" s="195" t="str">
        <f t="shared" si="27"/>
        <v/>
      </c>
      <c r="AS60" s="195" t="str">
        <v/>
      </c>
      <c r="AT60" s="205" t="str">
        <v/>
      </c>
      <c r="AU60" s="213"/>
      <c r="AV60" s="197" t="str">
        <f t="shared" si="17"/>
        <v/>
      </c>
      <c r="AW60" s="203">
        <v>51</v>
      </c>
      <c r="AX60" s="195" t="str">
        <f t="shared" si="28"/>
        <v/>
      </c>
      <c r="AY60" s="195" t="str">
        <v/>
      </c>
      <c r="AZ60" s="205" t="str">
        <v/>
      </c>
      <c r="BA60" s="242"/>
      <c r="BB60" s="197" t="str">
        <f t="shared" si="18"/>
        <v/>
      </c>
      <c r="BC60" s="203">
        <v>51</v>
      </c>
      <c r="BD60" s="195" t="str">
        <f t="shared" si="29"/>
        <v/>
      </c>
      <c r="BE60" s="195" t="str">
        <v/>
      </c>
      <c r="BF60" s="205" t="str">
        <v/>
      </c>
      <c r="BG60" s="242"/>
      <c r="BH60" s="197" t="str">
        <f t="shared" si="19"/>
        <v/>
      </c>
      <c r="BI60" s="203">
        <v>51</v>
      </c>
      <c r="BJ60" s="195" t="str">
        <f t="shared" si="30"/>
        <v/>
      </c>
      <c r="BK60" s="195" t="str">
        <v/>
      </c>
      <c r="BL60" s="205" t="str">
        <v/>
      </c>
      <c r="BM60" s="242"/>
      <c r="BN60" s="197" t="str">
        <f t="shared" si="20"/>
        <v/>
      </c>
      <c r="BO60" s="203">
        <v>51</v>
      </c>
      <c r="BP60" s="195" t="str">
        <f t="shared" si="31"/>
        <v/>
      </c>
      <c r="BQ60" s="195" t="str">
        <v/>
      </c>
      <c r="BR60" s="205" t="str">
        <v/>
      </c>
      <c r="BS60" s="242"/>
      <c r="BT60" s="197" t="str">
        <f t="shared" si="21"/>
        <v/>
      </c>
    </row>
    <row r="61" spans="1:72">
      <c r="A61" s="203">
        <v>52</v>
      </c>
      <c r="B61" s="195" t="str">
        <f t="shared" si="22"/>
        <v/>
      </c>
      <c r="C61" s="195" t="str">
        <v/>
      </c>
      <c r="D61" s="205" t="str">
        <v/>
      </c>
      <c r="E61" s="213"/>
      <c r="F61" s="197" t="str">
        <f t="shared" si="10"/>
        <v/>
      </c>
      <c r="G61" s="203">
        <v>52</v>
      </c>
      <c r="H61" s="195" t="str">
        <f t="shared" si="23"/>
        <v/>
      </c>
      <c r="I61" s="195" t="str">
        <v/>
      </c>
      <c r="J61" s="205" t="str">
        <v/>
      </c>
      <c r="K61" s="242"/>
      <c r="L61" s="197" t="str">
        <f t="shared" si="11"/>
        <v/>
      </c>
      <c r="M61" s="203">
        <v>52</v>
      </c>
      <c r="N61" s="195" t="str">
        <f t="shared" si="24"/>
        <v/>
      </c>
      <c r="O61" s="195" t="str">
        <v/>
      </c>
      <c r="P61" s="205" t="str">
        <v/>
      </c>
      <c r="Q61" s="213"/>
      <c r="R61" s="197" t="str">
        <f t="shared" si="12"/>
        <v/>
      </c>
      <c r="S61" s="203">
        <v>52</v>
      </c>
      <c r="T61" s="195" t="str">
        <f t="shared" si="25"/>
        <v/>
      </c>
      <c r="U61" s="195" t="str">
        <v/>
      </c>
      <c r="V61" s="205" t="str">
        <v/>
      </c>
      <c r="W61" s="213"/>
      <c r="X61" s="197" t="str">
        <f t="shared" si="13"/>
        <v/>
      </c>
      <c r="Y61" s="203">
        <v>52</v>
      </c>
      <c r="Z61" s="195"/>
      <c r="AA61" s="195"/>
      <c r="AB61" s="205"/>
      <c r="AC61" s="213"/>
      <c r="AD61" s="197" t="str">
        <f t="shared" si="14"/>
        <v/>
      </c>
      <c r="AE61" s="203">
        <v>52</v>
      </c>
      <c r="AF61" s="195" t="str">
        <f t="shared" si="26"/>
        <v/>
      </c>
      <c r="AG61" s="195" t="str">
        <v/>
      </c>
      <c r="AH61" s="205" t="str">
        <v/>
      </c>
      <c r="AI61" s="213"/>
      <c r="AJ61" s="197" t="str">
        <f t="shared" si="15"/>
        <v/>
      </c>
      <c r="AK61" s="203">
        <v>52</v>
      </c>
      <c r="AL61" s="198"/>
      <c r="AM61" s="195"/>
      <c r="AN61" s="196"/>
      <c r="AO61" s="254"/>
      <c r="AP61" s="256" t="str">
        <f t="shared" si="16"/>
        <v/>
      </c>
      <c r="AQ61" s="203">
        <v>52</v>
      </c>
      <c r="AR61" s="195" t="str">
        <f t="shared" si="27"/>
        <v/>
      </c>
      <c r="AS61" s="195" t="str">
        <v/>
      </c>
      <c r="AT61" s="205" t="str">
        <v/>
      </c>
      <c r="AU61" s="213"/>
      <c r="AV61" s="197" t="str">
        <f t="shared" si="17"/>
        <v/>
      </c>
      <c r="AW61" s="203">
        <v>52</v>
      </c>
      <c r="AX61" s="195" t="str">
        <f t="shared" si="28"/>
        <v/>
      </c>
      <c r="AY61" s="195" t="str">
        <v/>
      </c>
      <c r="AZ61" s="205" t="str">
        <v/>
      </c>
      <c r="BA61" s="242"/>
      <c r="BB61" s="197" t="str">
        <f t="shared" si="18"/>
        <v/>
      </c>
      <c r="BC61" s="203">
        <v>52</v>
      </c>
      <c r="BD61" s="195" t="str">
        <f t="shared" si="29"/>
        <v/>
      </c>
      <c r="BE61" s="195" t="str">
        <v/>
      </c>
      <c r="BF61" s="205" t="str">
        <v/>
      </c>
      <c r="BG61" s="242"/>
      <c r="BH61" s="197" t="str">
        <f t="shared" si="19"/>
        <v/>
      </c>
      <c r="BI61" s="203">
        <v>52</v>
      </c>
      <c r="BJ61" s="195" t="str">
        <f t="shared" si="30"/>
        <v/>
      </c>
      <c r="BK61" s="195" t="str">
        <v/>
      </c>
      <c r="BL61" s="205" t="str">
        <v/>
      </c>
      <c r="BM61" s="242"/>
      <c r="BN61" s="197" t="str">
        <f t="shared" si="20"/>
        <v/>
      </c>
      <c r="BO61" s="203">
        <v>52</v>
      </c>
      <c r="BP61" s="195" t="str">
        <f t="shared" si="31"/>
        <v/>
      </c>
      <c r="BQ61" s="195" t="str">
        <v/>
      </c>
      <c r="BR61" s="205" t="str">
        <v/>
      </c>
      <c r="BS61" s="242"/>
      <c r="BT61" s="197" t="str">
        <f t="shared" si="21"/>
        <v/>
      </c>
    </row>
    <row r="62" spans="1:72">
      <c r="A62" s="203">
        <v>53</v>
      </c>
      <c r="B62" s="195" t="str">
        <f t="shared" si="22"/>
        <v/>
      </c>
      <c r="C62" s="195" t="str">
        <v/>
      </c>
      <c r="D62" s="205" t="str">
        <v/>
      </c>
      <c r="E62" s="213"/>
      <c r="F62" s="197" t="str">
        <f t="shared" si="10"/>
        <v/>
      </c>
      <c r="G62" s="203">
        <v>53</v>
      </c>
      <c r="H62" s="195" t="str">
        <f t="shared" si="23"/>
        <v/>
      </c>
      <c r="I62" s="195" t="str">
        <v/>
      </c>
      <c r="J62" s="205" t="str">
        <v/>
      </c>
      <c r="K62" s="242"/>
      <c r="L62" s="197" t="str">
        <f t="shared" si="11"/>
        <v/>
      </c>
      <c r="M62" s="203">
        <v>53</v>
      </c>
      <c r="N62" s="195" t="str">
        <f t="shared" si="24"/>
        <v/>
      </c>
      <c r="O62" s="195" t="str">
        <v/>
      </c>
      <c r="P62" s="205" t="str">
        <v/>
      </c>
      <c r="Q62" s="213"/>
      <c r="R62" s="197" t="str">
        <f t="shared" si="12"/>
        <v/>
      </c>
      <c r="S62" s="203">
        <v>53</v>
      </c>
      <c r="T62" s="195" t="str">
        <f t="shared" si="25"/>
        <v/>
      </c>
      <c r="U62" s="195" t="str">
        <v/>
      </c>
      <c r="V62" s="205" t="str">
        <v/>
      </c>
      <c r="W62" s="213"/>
      <c r="X62" s="197" t="str">
        <f t="shared" si="13"/>
        <v/>
      </c>
      <c r="Y62" s="203">
        <v>53</v>
      </c>
      <c r="Z62" s="195"/>
      <c r="AA62" s="195"/>
      <c r="AB62" s="205"/>
      <c r="AC62" s="213"/>
      <c r="AD62" s="197" t="str">
        <f t="shared" si="14"/>
        <v/>
      </c>
      <c r="AE62" s="203">
        <v>53</v>
      </c>
      <c r="AF62" s="195" t="str">
        <f t="shared" si="26"/>
        <v/>
      </c>
      <c r="AG62" s="195" t="str">
        <v/>
      </c>
      <c r="AH62" s="205" t="str">
        <v/>
      </c>
      <c r="AI62" s="213"/>
      <c r="AJ62" s="197" t="str">
        <f t="shared" si="15"/>
        <v/>
      </c>
      <c r="AK62" s="203">
        <v>53</v>
      </c>
      <c r="AL62" s="198"/>
      <c r="AM62" s="195"/>
      <c r="AN62" s="196"/>
      <c r="AO62" s="254"/>
      <c r="AP62" s="256" t="str">
        <f t="shared" si="16"/>
        <v/>
      </c>
      <c r="AQ62" s="203">
        <v>53</v>
      </c>
      <c r="AR62" s="195" t="str">
        <f t="shared" si="27"/>
        <v/>
      </c>
      <c r="AS62" s="195" t="str">
        <v/>
      </c>
      <c r="AT62" s="205" t="str">
        <v/>
      </c>
      <c r="AU62" s="213"/>
      <c r="AV62" s="197" t="str">
        <f t="shared" si="17"/>
        <v/>
      </c>
      <c r="AW62" s="203">
        <v>53</v>
      </c>
      <c r="AX62" s="195" t="str">
        <f t="shared" si="28"/>
        <v/>
      </c>
      <c r="AY62" s="195" t="str">
        <v/>
      </c>
      <c r="AZ62" s="205" t="str">
        <v/>
      </c>
      <c r="BA62" s="242"/>
      <c r="BB62" s="197" t="str">
        <f t="shared" si="18"/>
        <v/>
      </c>
      <c r="BC62" s="203">
        <v>53</v>
      </c>
      <c r="BD62" s="195" t="str">
        <f t="shared" si="29"/>
        <v/>
      </c>
      <c r="BE62" s="195" t="str">
        <v/>
      </c>
      <c r="BF62" s="205" t="str">
        <v/>
      </c>
      <c r="BG62" s="242"/>
      <c r="BH62" s="197" t="str">
        <f t="shared" si="19"/>
        <v/>
      </c>
      <c r="BI62" s="203">
        <v>53</v>
      </c>
      <c r="BJ62" s="195" t="str">
        <f t="shared" si="30"/>
        <v/>
      </c>
      <c r="BK62" s="195" t="str">
        <v/>
      </c>
      <c r="BL62" s="205" t="str">
        <v/>
      </c>
      <c r="BM62" s="242"/>
      <c r="BN62" s="197" t="str">
        <f t="shared" si="20"/>
        <v/>
      </c>
      <c r="BO62" s="203">
        <v>53</v>
      </c>
      <c r="BP62" s="195" t="str">
        <f t="shared" si="31"/>
        <v/>
      </c>
      <c r="BQ62" s="195" t="str">
        <v/>
      </c>
      <c r="BR62" s="205" t="str">
        <v/>
      </c>
      <c r="BS62" s="242"/>
      <c r="BT62" s="197" t="str">
        <f t="shared" si="21"/>
        <v/>
      </c>
    </row>
    <row r="63" spans="1:72">
      <c r="A63" s="203">
        <v>54</v>
      </c>
      <c r="B63" s="195" t="str">
        <f t="shared" si="22"/>
        <v/>
      </c>
      <c r="C63" s="195" t="str">
        <v/>
      </c>
      <c r="D63" s="205" t="str">
        <v/>
      </c>
      <c r="E63" s="213"/>
      <c r="F63" s="197" t="str">
        <f t="shared" si="10"/>
        <v/>
      </c>
      <c r="G63" s="203">
        <v>54</v>
      </c>
      <c r="H63" s="195" t="str">
        <f t="shared" si="23"/>
        <v/>
      </c>
      <c r="I63" s="195" t="str">
        <v/>
      </c>
      <c r="J63" s="205" t="str">
        <v/>
      </c>
      <c r="K63" s="242"/>
      <c r="L63" s="197" t="str">
        <f t="shared" si="11"/>
        <v/>
      </c>
      <c r="M63" s="203">
        <v>54</v>
      </c>
      <c r="N63" s="195" t="str">
        <f t="shared" si="24"/>
        <v/>
      </c>
      <c r="O63" s="195" t="str">
        <v/>
      </c>
      <c r="P63" s="205" t="str">
        <v/>
      </c>
      <c r="Q63" s="213"/>
      <c r="R63" s="197" t="str">
        <f t="shared" si="12"/>
        <v/>
      </c>
      <c r="S63" s="203">
        <v>54</v>
      </c>
      <c r="T63" s="195" t="str">
        <f t="shared" si="25"/>
        <v/>
      </c>
      <c r="U63" s="195" t="str">
        <v/>
      </c>
      <c r="V63" s="205" t="str">
        <v/>
      </c>
      <c r="W63" s="213"/>
      <c r="X63" s="197" t="str">
        <f t="shared" si="13"/>
        <v/>
      </c>
      <c r="Y63" s="203">
        <v>54</v>
      </c>
      <c r="Z63" s="195"/>
      <c r="AA63" s="195"/>
      <c r="AB63" s="205"/>
      <c r="AC63" s="213"/>
      <c r="AD63" s="197" t="str">
        <f t="shared" si="14"/>
        <v/>
      </c>
      <c r="AE63" s="203">
        <v>54</v>
      </c>
      <c r="AF63" s="195" t="str">
        <f t="shared" si="26"/>
        <v/>
      </c>
      <c r="AG63" s="195" t="str">
        <v/>
      </c>
      <c r="AH63" s="205" t="str">
        <v/>
      </c>
      <c r="AI63" s="213"/>
      <c r="AJ63" s="197" t="str">
        <f t="shared" si="15"/>
        <v/>
      </c>
      <c r="AK63" s="203">
        <v>54</v>
      </c>
      <c r="AL63" s="198"/>
      <c r="AM63" s="195"/>
      <c r="AN63" s="196"/>
      <c r="AO63" s="254"/>
      <c r="AP63" s="256" t="str">
        <f t="shared" si="16"/>
        <v/>
      </c>
      <c r="AQ63" s="203">
        <v>54</v>
      </c>
      <c r="AR63" s="195" t="str">
        <f t="shared" si="27"/>
        <v/>
      </c>
      <c r="AS63" s="195" t="str">
        <v/>
      </c>
      <c r="AT63" s="205" t="str">
        <v/>
      </c>
      <c r="AU63" s="213"/>
      <c r="AV63" s="197" t="str">
        <f t="shared" si="17"/>
        <v/>
      </c>
      <c r="AW63" s="203">
        <v>54</v>
      </c>
      <c r="AX63" s="195" t="str">
        <f t="shared" si="28"/>
        <v/>
      </c>
      <c r="AY63" s="195" t="str">
        <v/>
      </c>
      <c r="AZ63" s="205" t="str">
        <v/>
      </c>
      <c r="BA63" s="242"/>
      <c r="BB63" s="197" t="str">
        <f t="shared" si="18"/>
        <v/>
      </c>
      <c r="BC63" s="203">
        <v>54</v>
      </c>
      <c r="BD63" s="195" t="str">
        <f t="shared" si="29"/>
        <v/>
      </c>
      <c r="BE63" s="195" t="str">
        <v/>
      </c>
      <c r="BF63" s="205" t="str">
        <v/>
      </c>
      <c r="BG63" s="242"/>
      <c r="BH63" s="197" t="str">
        <f t="shared" si="19"/>
        <v/>
      </c>
      <c r="BI63" s="203">
        <v>54</v>
      </c>
      <c r="BJ63" s="195" t="str">
        <f t="shared" si="30"/>
        <v/>
      </c>
      <c r="BK63" s="195" t="str">
        <v/>
      </c>
      <c r="BL63" s="205" t="str">
        <v/>
      </c>
      <c r="BM63" s="242"/>
      <c r="BN63" s="197" t="str">
        <f t="shared" si="20"/>
        <v/>
      </c>
      <c r="BO63" s="203">
        <v>54</v>
      </c>
      <c r="BP63" s="195" t="str">
        <f t="shared" si="31"/>
        <v/>
      </c>
      <c r="BQ63" s="195" t="str">
        <v/>
      </c>
      <c r="BR63" s="205" t="str">
        <v/>
      </c>
      <c r="BS63" s="242"/>
      <c r="BT63" s="197" t="str">
        <f t="shared" si="21"/>
        <v/>
      </c>
    </row>
    <row r="64" spans="1:72">
      <c r="A64" s="203">
        <v>55</v>
      </c>
      <c r="B64" s="195" t="str">
        <f t="shared" si="22"/>
        <v/>
      </c>
      <c r="C64" s="195" t="str">
        <v/>
      </c>
      <c r="D64" s="205" t="str">
        <v/>
      </c>
      <c r="E64" s="213"/>
      <c r="F64" s="197" t="str">
        <f t="shared" si="10"/>
        <v/>
      </c>
      <c r="G64" s="203">
        <v>55</v>
      </c>
      <c r="H64" s="195" t="str">
        <f t="shared" si="23"/>
        <v/>
      </c>
      <c r="I64" s="195" t="str">
        <v/>
      </c>
      <c r="J64" s="205" t="str">
        <v/>
      </c>
      <c r="K64" s="242"/>
      <c r="L64" s="197" t="str">
        <f t="shared" si="11"/>
        <v/>
      </c>
      <c r="M64" s="203">
        <v>55</v>
      </c>
      <c r="N64" s="195" t="str">
        <f t="shared" si="24"/>
        <v/>
      </c>
      <c r="O64" s="195" t="str">
        <v/>
      </c>
      <c r="P64" s="205" t="str">
        <v/>
      </c>
      <c r="Q64" s="213"/>
      <c r="R64" s="197" t="str">
        <f t="shared" si="12"/>
        <v/>
      </c>
      <c r="S64" s="203">
        <v>55</v>
      </c>
      <c r="T64" s="195" t="str">
        <f t="shared" si="25"/>
        <v/>
      </c>
      <c r="U64" s="195" t="str">
        <v/>
      </c>
      <c r="V64" s="205" t="str">
        <v/>
      </c>
      <c r="W64" s="213"/>
      <c r="X64" s="197" t="str">
        <f t="shared" si="13"/>
        <v/>
      </c>
      <c r="Y64" s="203">
        <v>55</v>
      </c>
      <c r="Z64" s="195"/>
      <c r="AA64" s="195"/>
      <c r="AB64" s="205"/>
      <c r="AC64" s="213"/>
      <c r="AD64" s="197" t="str">
        <f t="shared" si="14"/>
        <v/>
      </c>
      <c r="AE64" s="203">
        <v>55</v>
      </c>
      <c r="AF64" s="195" t="str">
        <f t="shared" si="26"/>
        <v/>
      </c>
      <c r="AG64" s="195" t="str">
        <v/>
      </c>
      <c r="AH64" s="205" t="str">
        <v/>
      </c>
      <c r="AI64" s="213"/>
      <c r="AJ64" s="197" t="str">
        <f t="shared" si="15"/>
        <v/>
      </c>
      <c r="AK64" s="203">
        <v>55</v>
      </c>
      <c r="AL64" s="198"/>
      <c r="AM64" s="195"/>
      <c r="AN64" s="196"/>
      <c r="AO64" s="254"/>
      <c r="AP64" s="256" t="str">
        <f t="shared" si="16"/>
        <v/>
      </c>
      <c r="AQ64" s="203">
        <v>55</v>
      </c>
      <c r="AR64" s="195" t="str">
        <f t="shared" si="27"/>
        <v/>
      </c>
      <c r="AS64" s="195" t="str">
        <v/>
      </c>
      <c r="AT64" s="205" t="str">
        <v/>
      </c>
      <c r="AU64" s="213"/>
      <c r="AV64" s="197" t="str">
        <f t="shared" si="17"/>
        <v/>
      </c>
      <c r="AW64" s="203">
        <v>55</v>
      </c>
      <c r="AX64" s="195" t="str">
        <f t="shared" si="28"/>
        <v/>
      </c>
      <c r="AY64" s="195" t="str">
        <v/>
      </c>
      <c r="AZ64" s="205" t="str">
        <v/>
      </c>
      <c r="BA64" s="242"/>
      <c r="BB64" s="197" t="str">
        <f t="shared" si="18"/>
        <v/>
      </c>
      <c r="BC64" s="203">
        <v>55</v>
      </c>
      <c r="BD64" s="195" t="str">
        <f t="shared" si="29"/>
        <v/>
      </c>
      <c r="BE64" s="195" t="str">
        <v/>
      </c>
      <c r="BF64" s="205" t="str">
        <v/>
      </c>
      <c r="BG64" s="242"/>
      <c r="BH64" s="197" t="str">
        <f t="shared" si="19"/>
        <v/>
      </c>
      <c r="BI64" s="203">
        <v>55</v>
      </c>
      <c r="BJ64" s="195" t="str">
        <f t="shared" si="30"/>
        <v/>
      </c>
      <c r="BK64" s="195" t="str">
        <v/>
      </c>
      <c r="BL64" s="205" t="str">
        <v/>
      </c>
      <c r="BM64" s="242"/>
      <c r="BN64" s="197" t="str">
        <f t="shared" si="20"/>
        <v/>
      </c>
      <c r="BO64" s="203">
        <v>55</v>
      </c>
      <c r="BP64" s="195" t="str">
        <f t="shared" si="31"/>
        <v/>
      </c>
      <c r="BQ64" s="195" t="str">
        <v/>
      </c>
      <c r="BR64" s="205" t="str">
        <v/>
      </c>
      <c r="BS64" s="242"/>
      <c r="BT64" s="197" t="str">
        <f t="shared" si="21"/>
        <v/>
      </c>
    </row>
    <row r="65" spans="1:72">
      <c r="A65" s="203">
        <v>56</v>
      </c>
      <c r="B65" s="195" t="str">
        <f t="shared" si="22"/>
        <v/>
      </c>
      <c r="C65" s="195" t="str">
        <v/>
      </c>
      <c r="D65" s="205" t="str">
        <v/>
      </c>
      <c r="E65" s="213"/>
      <c r="F65" s="197" t="str">
        <f t="shared" si="10"/>
        <v/>
      </c>
      <c r="G65" s="203">
        <v>56</v>
      </c>
      <c r="H65" s="195" t="str">
        <f t="shared" si="23"/>
        <v/>
      </c>
      <c r="I65" s="195" t="str">
        <v/>
      </c>
      <c r="J65" s="205" t="str">
        <v/>
      </c>
      <c r="K65" s="242"/>
      <c r="L65" s="197" t="str">
        <f t="shared" si="11"/>
        <v/>
      </c>
      <c r="M65" s="203">
        <v>56</v>
      </c>
      <c r="N65" s="195" t="str">
        <f t="shared" si="24"/>
        <v/>
      </c>
      <c r="O65" s="195" t="str">
        <v/>
      </c>
      <c r="P65" s="205" t="str">
        <v/>
      </c>
      <c r="Q65" s="213"/>
      <c r="R65" s="197" t="str">
        <f t="shared" si="12"/>
        <v/>
      </c>
      <c r="S65" s="203">
        <v>56</v>
      </c>
      <c r="T65" s="195" t="str">
        <f t="shared" si="25"/>
        <v/>
      </c>
      <c r="U65" s="195" t="str">
        <v/>
      </c>
      <c r="V65" s="205" t="str">
        <v/>
      </c>
      <c r="W65" s="213"/>
      <c r="X65" s="197" t="str">
        <f t="shared" si="13"/>
        <v/>
      </c>
      <c r="Y65" s="203">
        <v>56</v>
      </c>
      <c r="Z65" s="195"/>
      <c r="AA65" s="195"/>
      <c r="AB65" s="205"/>
      <c r="AC65" s="213"/>
      <c r="AD65" s="197" t="str">
        <f t="shared" si="14"/>
        <v/>
      </c>
      <c r="AE65" s="203">
        <v>56</v>
      </c>
      <c r="AF65" s="195" t="str">
        <f t="shared" si="26"/>
        <v/>
      </c>
      <c r="AG65" s="195" t="str">
        <v/>
      </c>
      <c r="AH65" s="205" t="str">
        <v/>
      </c>
      <c r="AI65" s="213"/>
      <c r="AJ65" s="197" t="str">
        <f t="shared" si="15"/>
        <v/>
      </c>
      <c r="AK65" s="203">
        <v>56</v>
      </c>
      <c r="AL65" s="198"/>
      <c r="AM65" s="195"/>
      <c r="AN65" s="196"/>
      <c r="AO65" s="254"/>
      <c r="AP65" s="256" t="str">
        <f t="shared" si="16"/>
        <v/>
      </c>
      <c r="AQ65" s="203">
        <v>56</v>
      </c>
      <c r="AR65" s="195" t="str">
        <f t="shared" si="27"/>
        <v/>
      </c>
      <c r="AS65" s="195" t="str">
        <v/>
      </c>
      <c r="AT65" s="205" t="str">
        <v/>
      </c>
      <c r="AU65" s="213"/>
      <c r="AV65" s="197" t="str">
        <f t="shared" si="17"/>
        <v/>
      </c>
      <c r="AW65" s="203">
        <v>56</v>
      </c>
      <c r="AX65" s="195" t="str">
        <f t="shared" si="28"/>
        <v/>
      </c>
      <c r="AY65" s="195" t="str">
        <v/>
      </c>
      <c r="AZ65" s="205" t="str">
        <v/>
      </c>
      <c r="BA65" s="242"/>
      <c r="BB65" s="197" t="str">
        <f t="shared" si="18"/>
        <v/>
      </c>
      <c r="BC65" s="203">
        <v>56</v>
      </c>
      <c r="BD65" s="195" t="str">
        <f t="shared" si="29"/>
        <v/>
      </c>
      <c r="BE65" s="195" t="str">
        <v/>
      </c>
      <c r="BF65" s="205" t="str">
        <v/>
      </c>
      <c r="BG65" s="242"/>
      <c r="BH65" s="197" t="str">
        <f t="shared" si="19"/>
        <v/>
      </c>
      <c r="BI65" s="203">
        <v>56</v>
      </c>
      <c r="BJ65" s="195" t="str">
        <f t="shared" si="30"/>
        <v/>
      </c>
      <c r="BK65" s="195" t="str">
        <v/>
      </c>
      <c r="BL65" s="205" t="str">
        <v/>
      </c>
      <c r="BM65" s="242"/>
      <c r="BN65" s="197" t="str">
        <f t="shared" si="20"/>
        <v/>
      </c>
      <c r="BO65" s="203">
        <v>56</v>
      </c>
      <c r="BP65" s="195" t="str">
        <f t="shared" si="31"/>
        <v/>
      </c>
      <c r="BQ65" s="195" t="str">
        <v/>
      </c>
      <c r="BR65" s="205" t="str">
        <v/>
      </c>
      <c r="BS65" s="242"/>
      <c r="BT65" s="197" t="str">
        <f t="shared" si="21"/>
        <v/>
      </c>
    </row>
    <row r="66" spans="1:72">
      <c r="A66" s="203">
        <v>57</v>
      </c>
      <c r="B66" s="195" t="str">
        <f t="shared" si="22"/>
        <v/>
      </c>
      <c r="C66" s="195" t="str">
        <v/>
      </c>
      <c r="D66" s="205" t="str">
        <v/>
      </c>
      <c r="E66" s="213"/>
      <c r="F66" s="197" t="str">
        <f t="shared" si="10"/>
        <v/>
      </c>
      <c r="G66" s="203">
        <v>57</v>
      </c>
      <c r="H66" s="195" t="str">
        <f t="shared" si="23"/>
        <v/>
      </c>
      <c r="I66" s="195" t="str">
        <v/>
      </c>
      <c r="J66" s="205" t="str">
        <v/>
      </c>
      <c r="K66" s="242"/>
      <c r="L66" s="197" t="str">
        <f t="shared" si="11"/>
        <v/>
      </c>
      <c r="M66" s="203">
        <v>57</v>
      </c>
      <c r="N66" s="195" t="str">
        <f t="shared" si="24"/>
        <v/>
      </c>
      <c r="O66" s="195" t="str">
        <v/>
      </c>
      <c r="P66" s="205" t="str">
        <v/>
      </c>
      <c r="Q66" s="213"/>
      <c r="R66" s="197" t="str">
        <f t="shared" si="12"/>
        <v/>
      </c>
      <c r="S66" s="203">
        <v>57</v>
      </c>
      <c r="T66" s="195" t="str">
        <f t="shared" si="25"/>
        <v/>
      </c>
      <c r="U66" s="195" t="str">
        <v/>
      </c>
      <c r="V66" s="205" t="str">
        <v/>
      </c>
      <c r="W66" s="213"/>
      <c r="X66" s="197" t="str">
        <f t="shared" si="13"/>
        <v/>
      </c>
      <c r="Y66" s="203">
        <v>57</v>
      </c>
      <c r="Z66" s="195"/>
      <c r="AA66" s="195"/>
      <c r="AB66" s="205"/>
      <c r="AC66" s="213"/>
      <c r="AD66" s="197" t="str">
        <f t="shared" si="14"/>
        <v/>
      </c>
      <c r="AE66" s="203">
        <v>57</v>
      </c>
      <c r="AF66" s="195" t="str">
        <f t="shared" si="26"/>
        <v/>
      </c>
      <c r="AG66" s="195" t="str">
        <v/>
      </c>
      <c r="AH66" s="205" t="str">
        <v/>
      </c>
      <c r="AI66" s="213"/>
      <c r="AJ66" s="197" t="str">
        <f t="shared" si="15"/>
        <v/>
      </c>
      <c r="AK66" s="203">
        <v>57</v>
      </c>
      <c r="AL66" s="198"/>
      <c r="AM66" s="195"/>
      <c r="AN66" s="196"/>
      <c r="AO66" s="254"/>
      <c r="AP66" s="256" t="str">
        <f t="shared" si="16"/>
        <v/>
      </c>
      <c r="AQ66" s="203">
        <v>57</v>
      </c>
      <c r="AR66" s="195" t="str">
        <f t="shared" si="27"/>
        <v/>
      </c>
      <c r="AS66" s="195" t="str">
        <v/>
      </c>
      <c r="AT66" s="205" t="str">
        <v/>
      </c>
      <c r="AU66" s="213"/>
      <c r="AV66" s="197" t="str">
        <f t="shared" si="17"/>
        <v/>
      </c>
      <c r="AW66" s="203">
        <v>57</v>
      </c>
      <c r="AX66" s="195" t="str">
        <f t="shared" si="28"/>
        <v/>
      </c>
      <c r="AY66" s="195" t="str">
        <v/>
      </c>
      <c r="AZ66" s="205" t="str">
        <v/>
      </c>
      <c r="BA66" s="242"/>
      <c r="BB66" s="197" t="str">
        <f t="shared" si="18"/>
        <v/>
      </c>
      <c r="BC66" s="203">
        <v>57</v>
      </c>
      <c r="BD66" s="195" t="str">
        <f t="shared" si="29"/>
        <v/>
      </c>
      <c r="BE66" s="195" t="str">
        <v/>
      </c>
      <c r="BF66" s="205" t="str">
        <v/>
      </c>
      <c r="BG66" s="242"/>
      <c r="BH66" s="197" t="str">
        <f t="shared" si="19"/>
        <v/>
      </c>
      <c r="BI66" s="203">
        <v>57</v>
      </c>
      <c r="BJ66" s="195" t="str">
        <f t="shared" si="30"/>
        <v/>
      </c>
      <c r="BK66" s="195" t="str">
        <v/>
      </c>
      <c r="BL66" s="205" t="str">
        <v/>
      </c>
      <c r="BM66" s="242"/>
      <c r="BN66" s="197" t="str">
        <f t="shared" si="20"/>
        <v/>
      </c>
      <c r="BO66" s="203">
        <v>57</v>
      </c>
      <c r="BP66" s="195" t="str">
        <f t="shared" si="31"/>
        <v/>
      </c>
      <c r="BQ66" s="195" t="str">
        <v/>
      </c>
      <c r="BR66" s="205" t="str">
        <v/>
      </c>
      <c r="BS66" s="242"/>
      <c r="BT66" s="197" t="str">
        <f t="shared" si="21"/>
        <v/>
      </c>
    </row>
    <row r="67" spans="1:72">
      <c r="A67" s="203">
        <v>58</v>
      </c>
      <c r="B67" s="195" t="str">
        <f t="shared" si="22"/>
        <v/>
      </c>
      <c r="C67" s="195" t="str">
        <v/>
      </c>
      <c r="D67" s="205" t="str">
        <v/>
      </c>
      <c r="E67" s="213"/>
      <c r="F67" s="197" t="str">
        <f t="shared" si="10"/>
        <v/>
      </c>
      <c r="G67" s="203">
        <v>58</v>
      </c>
      <c r="H67" s="195" t="str">
        <f t="shared" si="23"/>
        <v/>
      </c>
      <c r="I67" s="195" t="str">
        <v/>
      </c>
      <c r="J67" s="205" t="str">
        <v/>
      </c>
      <c r="K67" s="242"/>
      <c r="L67" s="197" t="str">
        <f t="shared" si="11"/>
        <v/>
      </c>
      <c r="M67" s="203">
        <v>58</v>
      </c>
      <c r="N67" s="195" t="str">
        <f t="shared" si="24"/>
        <v/>
      </c>
      <c r="O67" s="195" t="str">
        <v/>
      </c>
      <c r="P67" s="205" t="str">
        <v/>
      </c>
      <c r="Q67" s="213"/>
      <c r="R67" s="197" t="str">
        <f t="shared" si="12"/>
        <v/>
      </c>
      <c r="S67" s="203">
        <v>58</v>
      </c>
      <c r="T67" s="195" t="str">
        <f t="shared" si="25"/>
        <v/>
      </c>
      <c r="U67" s="195" t="str">
        <v/>
      </c>
      <c r="V67" s="205" t="str">
        <v/>
      </c>
      <c r="W67" s="213"/>
      <c r="X67" s="197" t="str">
        <f t="shared" si="13"/>
        <v/>
      </c>
      <c r="Y67" s="203">
        <v>58</v>
      </c>
      <c r="Z67" s="195"/>
      <c r="AA67" s="195"/>
      <c r="AB67" s="205"/>
      <c r="AC67" s="213"/>
      <c r="AD67" s="197" t="str">
        <f t="shared" si="14"/>
        <v/>
      </c>
      <c r="AE67" s="203">
        <v>58</v>
      </c>
      <c r="AF67" s="195" t="str">
        <f t="shared" si="26"/>
        <v/>
      </c>
      <c r="AG67" s="195" t="str">
        <v/>
      </c>
      <c r="AH67" s="205" t="str">
        <v/>
      </c>
      <c r="AI67" s="213"/>
      <c r="AJ67" s="197" t="str">
        <f t="shared" si="15"/>
        <v/>
      </c>
      <c r="AK67" s="203">
        <v>58</v>
      </c>
      <c r="AL67" s="198"/>
      <c r="AM67" s="195"/>
      <c r="AN67" s="196"/>
      <c r="AO67" s="254"/>
      <c r="AP67" s="256" t="str">
        <f t="shared" si="16"/>
        <v/>
      </c>
      <c r="AQ67" s="203">
        <v>58</v>
      </c>
      <c r="AR67" s="195" t="str">
        <f t="shared" si="27"/>
        <v/>
      </c>
      <c r="AS67" s="195" t="str">
        <v/>
      </c>
      <c r="AT67" s="205" t="str">
        <v/>
      </c>
      <c r="AU67" s="213"/>
      <c r="AV67" s="197" t="str">
        <f t="shared" si="17"/>
        <v/>
      </c>
      <c r="AW67" s="203">
        <v>58</v>
      </c>
      <c r="AX67" s="195" t="str">
        <f t="shared" si="28"/>
        <v/>
      </c>
      <c r="AY67" s="195" t="str">
        <v/>
      </c>
      <c r="AZ67" s="205" t="str">
        <v/>
      </c>
      <c r="BA67" s="242"/>
      <c r="BB67" s="197" t="str">
        <f t="shared" si="18"/>
        <v/>
      </c>
      <c r="BC67" s="203">
        <v>58</v>
      </c>
      <c r="BD67" s="195" t="str">
        <f t="shared" si="29"/>
        <v/>
      </c>
      <c r="BE67" s="195" t="str">
        <v/>
      </c>
      <c r="BF67" s="205" t="str">
        <v/>
      </c>
      <c r="BG67" s="242"/>
      <c r="BH67" s="197" t="str">
        <f t="shared" si="19"/>
        <v/>
      </c>
      <c r="BI67" s="203">
        <v>58</v>
      </c>
      <c r="BJ67" s="195" t="str">
        <f t="shared" si="30"/>
        <v/>
      </c>
      <c r="BK67" s="195" t="str">
        <v/>
      </c>
      <c r="BL67" s="205" t="str">
        <v/>
      </c>
      <c r="BM67" s="242"/>
      <c r="BN67" s="197" t="str">
        <f t="shared" si="20"/>
        <v/>
      </c>
      <c r="BO67" s="203">
        <v>58</v>
      </c>
      <c r="BP67" s="195" t="str">
        <f t="shared" si="31"/>
        <v/>
      </c>
      <c r="BQ67" s="195" t="str">
        <v/>
      </c>
      <c r="BR67" s="205" t="str">
        <v/>
      </c>
      <c r="BS67" s="242"/>
      <c r="BT67" s="197" t="str">
        <f t="shared" si="21"/>
        <v/>
      </c>
    </row>
    <row r="68" spans="1:72">
      <c r="A68" s="203">
        <v>59</v>
      </c>
      <c r="B68" s="195" t="str">
        <f t="shared" si="22"/>
        <v/>
      </c>
      <c r="C68" s="195" t="str">
        <v/>
      </c>
      <c r="D68" s="205" t="str">
        <v/>
      </c>
      <c r="E68" s="213"/>
      <c r="F68" s="197" t="str">
        <f t="shared" si="10"/>
        <v/>
      </c>
      <c r="G68" s="203">
        <v>59</v>
      </c>
      <c r="H68" s="195" t="str">
        <f t="shared" si="23"/>
        <v/>
      </c>
      <c r="I68" s="195" t="str">
        <v/>
      </c>
      <c r="J68" s="205" t="str">
        <v/>
      </c>
      <c r="K68" s="242"/>
      <c r="L68" s="197" t="str">
        <f t="shared" si="11"/>
        <v/>
      </c>
      <c r="M68" s="203">
        <v>59</v>
      </c>
      <c r="N68" s="195" t="str">
        <f t="shared" si="24"/>
        <v/>
      </c>
      <c r="O68" s="195" t="str">
        <v/>
      </c>
      <c r="P68" s="205" t="str">
        <v/>
      </c>
      <c r="Q68" s="213"/>
      <c r="R68" s="197" t="str">
        <f t="shared" si="12"/>
        <v/>
      </c>
      <c r="S68" s="203">
        <v>59</v>
      </c>
      <c r="T68" s="195" t="str">
        <f t="shared" si="25"/>
        <v/>
      </c>
      <c r="U68" s="195" t="str">
        <v/>
      </c>
      <c r="V68" s="205" t="str">
        <v/>
      </c>
      <c r="W68" s="213"/>
      <c r="X68" s="197" t="str">
        <f t="shared" si="13"/>
        <v/>
      </c>
      <c r="Y68" s="203">
        <v>59</v>
      </c>
      <c r="Z68" s="195"/>
      <c r="AA68" s="195"/>
      <c r="AB68" s="205"/>
      <c r="AC68" s="213"/>
      <c r="AD68" s="197" t="str">
        <f t="shared" si="14"/>
        <v/>
      </c>
      <c r="AE68" s="203">
        <v>59</v>
      </c>
      <c r="AF68" s="195" t="str">
        <f t="shared" si="26"/>
        <v/>
      </c>
      <c r="AG68" s="195" t="str">
        <v/>
      </c>
      <c r="AH68" s="205" t="str">
        <v/>
      </c>
      <c r="AI68" s="213"/>
      <c r="AJ68" s="197" t="str">
        <f t="shared" si="15"/>
        <v/>
      </c>
      <c r="AK68" s="203">
        <v>59</v>
      </c>
      <c r="AL68" s="198"/>
      <c r="AM68" s="195"/>
      <c r="AN68" s="196"/>
      <c r="AO68" s="254"/>
      <c r="AP68" s="256" t="str">
        <f t="shared" si="16"/>
        <v/>
      </c>
      <c r="AQ68" s="203">
        <v>59</v>
      </c>
      <c r="AR68" s="195" t="str">
        <f t="shared" si="27"/>
        <v/>
      </c>
      <c r="AS68" s="195" t="str">
        <v/>
      </c>
      <c r="AT68" s="205" t="str">
        <v/>
      </c>
      <c r="AU68" s="213"/>
      <c r="AV68" s="197" t="str">
        <f t="shared" si="17"/>
        <v/>
      </c>
      <c r="AW68" s="203">
        <v>59</v>
      </c>
      <c r="AX68" s="195" t="str">
        <f t="shared" si="28"/>
        <v/>
      </c>
      <c r="AY68" s="195" t="str">
        <v/>
      </c>
      <c r="AZ68" s="205" t="str">
        <v/>
      </c>
      <c r="BA68" s="242"/>
      <c r="BB68" s="197" t="str">
        <f t="shared" si="18"/>
        <v/>
      </c>
      <c r="BC68" s="203">
        <v>59</v>
      </c>
      <c r="BD68" s="195" t="str">
        <f t="shared" si="29"/>
        <v/>
      </c>
      <c r="BE68" s="195" t="str">
        <v/>
      </c>
      <c r="BF68" s="205" t="str">
        <v/>
      </c>
      <c r="BG68" s="242"/>
      <c r="BH68" s="197" t="str">
        <f t="shared" si="19"/>
        <v/>
      </c>
      <c r="BI68" s="203">
        <v>59</v>
      </c>
      <c r="BJ68" s="195" t="str">
        <f t="shared" si="30"/>
        <v/>
      </c>
      <c r="BK68" s="195" t="str">
        <v/>
      </c>
      <c r="BL68" s="205" t="str">
        <v/>
      </c>
      <c r="BM68" s="242"/>
      <c r="BN68" s="197" t="str">
        <f t="shared" si="20"/>
        <v/>
      </c>
      <c r="BO68" s="203">
        <v>59</v>
      </c>
      <c r="BP68" s="195" t="str">
        <f t="shared" si="31"/>
        <v/>
      </c>
      <c r="BQ68" s="195" t="str">
        <v/>
      </c>
      <c r="BR68" s="205" t="str">
        <v/>
      </c>
      <c r="BS68" s="242"/>
      <c r="BT68" s="197" t="str">
        <f t="shared" si="21"/>
        <v/>
      </c>
    </row>
    <row r="69" spans="1:72">
      <c r="A69" s="203">
        <v>60</v>
      </c>
      <c r="B69" s="195" t="str">
        <f t="shared" si="22"/>
        <v/>
      </c>
      <c r="C69" s="195" t="str">
        <v/>
      </c>
      <c r="D69" s="205" t="str">
        <v/>
      </c>
      <c r="E69" s="213"/>
      <c r="F69" s="197" t="str">
        <f t="shared" si="10"/>
        <v/>
      </c>
      <c r="G69" s="203">
        <v>60</v>
      </c>
      <c r="H69" s="195" t="str">
        <f t="shared" si="23"/>
        <v/>
      </c>
      <c r="I69" s="195" t="str">
        <v/>
      </c>
      <c r="J69" s="205" t="str">
        <v/>
      </c>
      <c r="K69" s="242"/>
      <c r="L69" s="197" t="str">
        <f t="shared" si="11"/>
        <v/>
      </c>
      <c r="M69" s="203">
        <v>60</v>
      </c>
      <c r="N69" s="195" t="str">
        <f t="shared" si="24"/>
        <v/>
      </c>
      <c r="O69" s="195" t="str">
        <v/>
      </c>
      <c r="P69" s="205" t="str">
        <v/>
      </c>
      <c r="Q69" s="213"/>
      <c r="R69" s="197" t="str">
        <f t="shared" si="12"/>
        <v/>
      </c>
      <c r="S69" s="203">
        <v>60</v>
      </c>
      <c r="T69" s="195" t="str">
        <f t="shared" si="25"/>
        <v/>
      </c>
      <c r="U69" s="195" t="str">
        <v/>
      </c>
      <c r="V69" s="205" t="str">
        <v/>
      </c>
      <c r="W69" s="213"/>
      <c r="X69" s="197" t="str">
        <f t="shared" si="13"/>
        <v/>
      </c>
      <c r="Y69" s="203">
        <v>60</v>
      </c>
      <c r="Z69" s="195"/>
      <c r="AA69" s="195"/>
      <c r="AB69" s="205"/>
      <c r="AC69" s="213"/>
      <c r="AD69" s="197" t="str">
        <f t="shared" si="14"/>
        <v/>
      </c>
      <c r="AE69" s="203">
        <v>60</v>
      </c>
      <c r="AF69" s="195" t="str">
        <f t="shared" si="26"/>
        <v/>
      </c>
      <c r="AG69" s="195" t="str">
        <v/>
      </c>
      <c r="AH69" s="205" t="str">
        <v/>
      </c>
      <c r="AI69" s="213"/>
      <c r="AJ69" s="197" t="str">
        <f t="shared" si="15"/>
        <v/>
      </c>
      <c r="AK69" s="203">
        <v>60</v>
      </c>
      <c r="AL69" s="198"/>
      <c r="AM69" s="195"/>
      <c r="AN69" s="196"/>
      <c r="AO69" s="254"/>
      <c r="AP69" s="256" t="str">
        <f t="shared" si="16"/>
        <v/>
      </c>
      <c r="AQ69" s="203">
        <v>60</v>
      </c>
      <c r="AR69" s="195" t="str">
        <f t="shared" si="27"/>
        <v/>
      </c>
      <c r="AS69" s="195" t="str">
        <v/>
      </c>
      <c r="AT69" s="205" t="str">
        <v/>
      </c>
      <c r="AU69" s="213"/>
      <c r="AV69" s="197" t="str">
        <f t="shared" si="17"/>
        <v/>
      </c>
      <c r="AW69" s="203">
        <v>60</v>
      </c>
      <c r="AX69" s="195" t="str">
        <f t="shared" si="28"/>
        <v/>
      </c>
      <c r="AY69" s="195" t="str">
        <v/>
      </c>
      <c r="AZ69" s="205" t="str">
        <v/>
      </c>
      <c r="BA69" s="242"/>
      <c r="BB69" s="197" t="str">
        <f t="shared" si="18"/>
        <v/>
      </c>
      <c r="BC69" s="203">
        <v>60</v>
      </c>
      <c r="BD69" s="195" t="str">
        <f t="shared" si="29"/>
        <v/>
      </c>
      <c r="BE69" s="195" t="str">
        <v/>
      </c>
      <c r="BF69" s="205" t="str">
        <v/>
      </c>
      <c r="BG69" s="242"/>
      <c r="BH69" s="197" t="str">
        <f t="shared" si="19"/>
        <v/>
      </c>
      <c r="BI69" s="203">
        <v>60</v>
      </c>
      <c r="BJ69" s="195" t="str">
        <f t="shared" si="30"/>
        <v/>
      </c>
      <c r="BK69" s="195" t="str">
        <v/>
      </c>
      <c r="BL69" s="205" t="str">
        <v/>
      </c>
      <c r="BM69" s="242"/>
      <c r="BN69" s="197" t="str">
        <f t="shared" si="20"/>
        <v/>
      </c>
      <c r="BO69" s="203">
        <v>60</v>
      </c>
      <c r="BP69" s="195" t="str">
        <f t="shared" si="31"/>
        <v/>
      </c>
      <c r="BQ69" s="195" t="str">
        <v/>
      </c>
      <c r="BR69" s="205" t="str">
        <v/>
      </c>
      <c r="BS69" s="242"/>
      <c r="BT69" s="197" t="str">
        <f t="shared" si="21"/>
        <v/>
      </c>
    </row>
    <row r="70" spans="1:72">
      <c r="A70" s="203">
        <v>61</v>
      </c>
      <c r="B70" s="195" t="str">
        <f t="shared" si="22"/>
        <v/>
      </c>
      <c r="C70" s="195" t="str">
        <v/>
      </c>
      <c r="D70" s="205" t="str">
        <v/>
      </c>
      <c r="E70" s="213"/>
      <c r="F70" s="197" t="str">
        <f t="shared" si="10"/>
        <v/>
      </c>
      <c r="G70" s="203">
        <v>61</v>
      </c>
      <c r="H70" s="195" t="str">
        <f t="shared" si="23"/>
        <v/>
      </c>
      <c r="I70" s="195" t="str">
        <v/>
      </c>
      <c r="J70" s="205" t="str">
        <v/>
      </c>
      <c r="K70" s="242"/>
      <c r="L70" s="197" t="str">
        <f t="shared" si="11"/>
        <v/>
      </c>
      <c r="M70" s="203">
        <v>61</v>
      </c>
      <c r="N70" s="195" t="str">
        <f t="shared" si="24"/>
        <v/>
      </c>
      <c r="O70" s="195" t="str">
        <v/>
      </c>
      <c r="P70" s="205" t="str">
        <v/>
      </c>
      <c r="Q70" s="213"/>
      <c r="R70" s="197" t="str">
        <f t="shared" si="12"/>
        <v/>
      </c>
      <c r="S70" s="203">
        <v>61</v>
      </c>
      <c r="T70" s="195" t="str">
        <f t="shared" si="25"/>
        <v/>
      </c>
      <c r="U70" s="195" t="str">
        <v/>
      </c>
      <c r="V70" s="205" t="str">
        <v/>
      </c>
      <c r="W70" s="213"/>
      <c r="X70" s="197" t="str">
        <f t="shared" si="13"/>
        <v/>
      </c>
      <c r="Y70" s="203">
        <v>61</v>
      </c>
      <c r="Z70" s="195"/>
      <c r="AA70" s="195"/>
      <c r="AB70" s="205"/>
      <c r="AC70" s="213"/>
      <c r="AD70" s="197" t="str">
        <f t="shared" si="14"/>
        <v/>
      </c>
      <c r="AE70" s="203">
        <v>61</v>
      </c>
      <c r="AF70" s="195" t="str">
        <f t="shared" si="26"/>
        <v/>
      </c>
      <c r="AG70" s="195" t="str">
        <v/>
      </c>
      <c r="AH70" s="205" t="str">
        <v/>
      </c>
      <c r="AI70" s="213"/>
      <c r="AJ70" s="197" t="str">
        <f t="shared" si="15"/>
        <v/>
      </c>
      <c r="AK70" s="203">
        <v>61</v>
      </c>
      <c r="AL70" s="198"/>
      <c r="AM70" s="195"/>
      <c r="AN70" s="196"/>
      <c r="AO70" s="254"/>
      <c r="AP70" s="256" t="str">
        <f t="shared" si="16"/>
        <v/>
      </c>
      <c r="AQ70" s="203">
        <v>61</v>
      </c>
      <c r="AR70" s="195" t="str">
        <f t="shared" si="27"/>
        <v/>
      </c>
      <c r="AS70" s="195" t="str">
        <v/>
      </c>
      <c r="AT70" s="205" t="str">
        <v/>
      </c>
      <c r="AU70" s="213"/>
      <c r="AV70" s="197" t="str">
        <f t="shared" si="17"/>
        <v/>
      </c>
      <c r="AW70" s="203">
        <v>61</v>
      </c>
      <c r="AX70" s="195" t="str">
        <f t="shared" si="28"/>
        <v/>
      </c>
      <c r="AY70" s="195" t="str">
        <v/>
      </c>
      <c r="AZ70" s="205" t="str">
        <v/>
      </c>
      <c r="BA70" s="242"/>
      <c r="BB70" s="197" t="str">
        <f t="shared" si="18"/>
        <v/>
      </c>
      <c r="BC70" s="203">
        <v>61</v>
      </c>
      <c r="BD70" s="195" t="str">
        <f t="shared" si="29"/>
        <v/>
      </c>
      <c r="BE70" s="195" t="str">
        <v/>
      </c>
      <c r="BF70" s="205" t="str">
        <v/>
      </c>
      <c r="BG70" s="242"/>
      <c r="BH70" s="197" t="str">
        <f t="shared" si="19"/>
        <v/>
      </c>
      <c r="BI70" s="203">
        <v>61</v>
      </c>
      <c r="BJ70" s="195" t="str">
        <f t="shared" si="30"/>
        <v/>
      </c>
      <c r="BK70" s="195" t="str">
        <v/>
      </c>
      <c r="BL70" s="205" t="str">
        <v/>
      </c>
      <c r="BM70" s="242"/>
      <c r="BN70" s="197" t="str">
        <f t="shared" si="20"/>
        <v/>
      </c>
      <c r="BO70" s="203">
        <v>61</v>
      </c>
      <c r="BP70" s="195" t="str">
        <f t="shared" si="31"/>
        <v/>
      </c>
      <c r="BQ70" s="195" t="str">
        <v/>
      </c>
      <c r="BR70" s="205" t="str">
        <v/>
      </c>
      <c r="BS70" s="242"/>
      <c r="BT70" s="197" t="str">
        <f t="shared" si="21"/>
        <v/>
      </c>
    </row>
    <row r="71" spans="1:72">
      <c r="A71" s="203">
        <v>62</v>
      </c>
      <c r="B71" s="195" t="str">
        <f t="shared" si="22"/>
        <v/>
      </c>
      <c r="C71" s="195" t="str">
        <v/>
      </c>
      <c r="D71" s="205" t="str">
        <v/>
      </c>
      <c r="E71" s="213"/>
      <c r="F71" s="197" t="str">
        <f t="shared" si="10"/>
        <v/>
      </c>
      <c r="G71" s="203">
        <v>62</v>
      </c>
      <c r="H71" s="195" t="str">
        <f t="shared" si="23"/>
        <v/>
      </c>
      <c r="I71" s="195" t="str">
        <v/>
      </c>
      <c r="J71" s="205" t="str">
        <v/>
      </c>
      <c r="K71" s="242"/>
      <c r="L71" s="197" t="str">
        <f t="shared" si="11"/>
        <v/>
      </c>
      <c r="M71" s="203">
        <v>62</v>
      </c>
      <c r="N71" s="195" t="str">
        <f t="shared" si="24"/>
        <v/>
      </c>
      <c r="O71" s="195" t="str">
        <v/>
      </c>
      <c r="P71" s="205" t="str">
        <v/>
      </c>
      <c r="Q71" s="213"/>
      <c r="R71" s="197" t="str">
        <f t="shared" si="12"/>
        <v/>
      </c>
      <c r="S71" s="203">
        <v>62</v>
      </c>
      <c r="T71" s="195" t="str">
        <f t="shared" si="25"/>
        <v/>
      </c>
      <c r="U71" s="195" t="str">
        <v/>
      </c>
      <c r="V71" s="205" t="str">
        <v/>
      </c>
      <c r="W71" s="213"/>
      <c r="X71" s="197" t="str">
        <f t="shared" si="13"/>
        <v/>
      </c>
      <c r="Y71" s="203">
        <v>62</v>
      </c>
      <c r="Z71" s="195"/>
      <c r="AA71" s="195"/>
      <c r="AB71" s="205"/>
      <c r="AC71" s="213"/>
      <c r="AD71" s="197" t="str">
        <f t="shared" si="14"/>
        <v/>
      </c>
      <c r="AE71" s="203">
        <v>62</v>
      </c>
      <c r="AF71" s="195" t="str">
        <f t="shared" si="26"/>
        <v/>
      </c>
      <c r="AG71" s="195" t="str">
        <v/>
      </c>
      <c r="AH71" s="205" t="str">
        <v/>
      </c>
      <c r="AI71" s="213"/>
      <c r="AJ71" s="197" t="str">
        <f t="shared" si="15"/>
        <v/>
      </c>
      <c r="AK71" s="203">
        <v>62</v>
      </c>
      <c r="AL71" s="198"/>
      <c r="AM71" s="195"/>
      <c r="AN71" s="196"/>
      <c r="AO71" s="254"/>
      <c r="AP71" s="256" t="str">
        <f t="shared" si="16"/>
        <v/>
      </c>
      <c r="AQ71" s="203">
        <v>62</v>
      </c>
      <c r="AR71" s="195" t="str">
        <f t="shared" si="27"/>
        <v/>
      </c>
      <c r="AS71" s="195" t="str">
        <v/>
      </c>
      <c r="AT71" s="205" t="str">
        <v/>
      </c>
      <c r="AU71" s="213"/>
      <c r="AV71" s="197" t="str">
        <f t="shared" si="17"/>
        <v/>
      </c>
      <c r="AW71" s="203">
        <v>62</v>
      </c>
      <c r="AX71" s="195" t="str">
        <f t="shared" si="28"/>
        <v/>
      </c>
      <c r="AY71" s="195" t="str">
        <v/>
      </c>
      <c r="AZ71" s="205" t="str">
        <v/>
      </c>
      <c r="BA71" s="242"/>
      <c r="BB71" s="197" t="str">
        <f t="shared" si="18"/>
        <v/>
      </c>
      <c r="BC71" s="203">
        <v>62</v>
      </c>
      <c r="BD71" s="195" t="str">
        <f t="shared" si="29"/>
        <v/>
      </c>
      <c r="BE71" s="195" t="str">
        <v/>
      </c>
      <c r="BF71" s="205" t="str">
        <v/>
      </c>
      <c r="BG71" s="242"/>
      <c r="BH71" s="197" t="str">
        <f t="shared" si="19"/>
        <v/>
      </c>
      <c r="BI71" s="203">
        <v>62</v>
      </c>
      <c r="BJ71" s="195" t="str">
        <f t="shared" si="30"/>
        <v/>
      </c>
      <c r="BK71" s="195" t="str">
        <v/>
      </c>
      <c r="BL71" s="205" t="str">
        <v/>
      </c>
      <c r="BM71" s="242"/>
      <c r="BN71" s="197" t="str">
        <f t="shared" si="20"/>
        <v/>
      </c>
      <c r="BO71" s="203">
        <v>62</v>
      </c>
      <c r="BP71" s="195" t="str">
        <f t="shared" si="31"/>
        <v/>
      </c>
      <c r="BQ71" s="195" t="str">
        <v/>
      </c>
      <c r="BR71" s="205" t="str">
        <v/>
      </c>
      <c r="BS71" s="242"/>
      <c r="BT71" s="197" t="str">
        <f t="shared" si="21"/>
        <v/>
      </c>
    </row>
    <row r="72" spans="1:72">
      <c r="A72" s="203">
        <v>63</v>
      </c>
      <c r="B72" s="195" t="str">
        <f t="shared" si="22"/>
        <v/>
      </c>
      <c r="C72" s="195" t="str">
        <v/>
      </c>
      <c r="D72" s="205" t="str">
        <v/>
      </c>
      <c r="E72" s="213"/>
      <c r="F72" s="197" t="str">
        <f t="shared" si="10"/>
        <v/>
      </c>
      <c r="G72" s="203">
        <v>63</v>
      </c>
      <c r="H72" s="195" t="str">
        <f t="shared" si="23"/>
        <v/>
      </c>
      <c r="I72" s="195" t="str">
        <v/>
      </c>
      <c r="J72" s="205" t="str">
        <v/>
      </c>
      <c r="K72" s="242"/>
      <c r="L72" s="197" t="str">
        <f t="shared" si="11"/>
        <v/>
      </c>
      <c r="M72" s="203">
        <v>63</v>
      </c>
      <c r="N72" s="195" t="str">
        <f t="shared" si="24"/>
        <v/>
      </c>
      <c r="O72" s="195" t="str">
        <v/>
      </c>
      <c r="P72" s="205" t="str">
        <v/>
      </c>
      <c r="Q72" s="213"/>
      <c r="R72" s="197" t="str">
        <f t="shared" si="12"/>
        <v/>
      </c>
      <c r="S72" s="203">
        <v>63</v>
      </c>
      <c r="T72" s="195" t="str">
        <f t="shared" si="25"/>
        <v/>
      </c>
      <c r="U72" s="195" t="str">
        <v/>
      </c>
      <c r="V72" s="205" t="str">
        <v/>
      </c>
      <c r="W72" s="213"/>
      <c r="X72" s="197" t="str">
        <f t="shared" si="13"/>
        <v/>
      </c>
      <c r="Y72" s="203">
        <v>63</v>
      </c>
      <c r="Z72" s="195"/>
      <c r="AA72" s="195"/>
      <c r="AB72" s="205"/>
      <c r="AC72" s="213"/>
      <c r="AD72" s="197" t="str">
        <f t="shared" si="14"/>
        <v/>
      </c>
      <c r="AE72" s="203">
        <v>63</v>
      </c>
      <c r="AF72" s="195" t="str">
        <f t="shared" si="26"/>
        <v/>
      </c>
      <c r="AG72" s="195" t="str">
        <v/>
      </c>
      <c r="AH72" s="205" t="str">
        <v/>
      </c>
      <c r="AI72" s="213"/>
      <c r="AJ72" s="197" t="str">
        <f t="shared" si="15"/>
        <v/>
      </c>
      <c r="AK72" s="203">
        <v>63</v>
      </c>
      <c r="AL72" s="198"/>
      <c r="AM72" s="195"/>
      <c r="AN72" s="196"/>
      <c r="AO72" s="254"/>
      <c r="AP72" s="256" t="str">
        <f t="shared" si="16"/>
        <v/>
      </c>
      <c r="AQ72" s="203">
        <v>63</v>
      </c>
      <c r="AR72" s="195" t="str">
        <f t="shared" si="27"/>
        <v/>
      </c>
      <c r="AS72" s="195" t="str">
        <v/>
      </c>
      <c r="AT72" s="205" t="str">
        <v/>
      </c>
      <c r="AU72" s="213"/>
      <c r="AV72" s="197" t="str">
        <f t="shared" si="17"/>
        <v/>
      </c>
      <c r="AW72" s="203">
        <v>63</v>
      </c>
      <c r="AX72" s="195" t="str">
        <f t="shared" si="28"/>
        <v/>
      </c>
      <c r="AY72" s="195" t="str">
        <v/>
      </c>
      <c r="AZ72" s="205" t="str">
        <v/>
      </c>
      <c r="BA72" s="242"/>
      <c r="BB72" s="197" t="str">
        <f t="shared" si="18"/>
        <v/>
      </c>
      <c r="BC72" s="203">
        <v>63</v>
      </c>
      <c r="BD72" s="195" t="str">
        <f t="shared" si="29"/>
        <v/>
      </c>
      <c r="BE72" s="195" t="str">
        <v/>
      </c>
      <c r="BF72" s="205" t="str">
        <v/>
      </c>
      <c r="BG72" s="242"/>
      <c r="BH72" s="197" t="str">
        <f t="shared" si="19"/>
        <v/>
      </c>
      <c r="BI72" s="203">
        <v>63</v>
      </c>
      <c r="BJ72" s="195" t="str">
        <f t="shared" si="30"/>
        <v/>
      </c>
      <c r="BK72" s="195" t="str">
        <v/>
      </c>
      <c r="BL72" s="205" t="str">
        <v/>
      </c>
      <c r="BM72" s="242"/>
      <c r="BN72" s="197" t="str">
        <f t="shared" si="20"/>
        <v/>
      </c>
      <c r="BO72" s="203">
        <v>63</v>
      </c>
      <c r="BP72" s="195" t="str">
        <f t="shared" si="31"/>
        <v/>
      </c>
      <c r="BQ72" s="195" t="str">
        <v/>
      </c>
      <c r="BR72" s="205" t="str">
        <v/>
      </c>
      <c r="BS72" s="242"/>
      <c r="BT72" s="197" t="str">
        <f t="shared" si="21"/>
        <v/>
      </c>
    </row>
    <row r="73" spans="1:72">
      <c r="A73" s="203">
        <v>64</v>
      </c>
      <c r="B73" s="195" t="str">
        <f t="shared" si="22"/>
        <v/>
      </c>
      <c r="C73" s="195" t="str">
        <v/>
      </c>
      <c r="D73" s="205" t="str">
        <v/>
      </c>
      <c r="E73" s="213"/>
      <c r="F73" s="197" t="str">
        <f t="shared" si="10"/>
        <v/>
      </c>
      <c r="G73" s="203">
        <v>64</v>
      </c>
      <c r="H73" s="195" t="str">
        <f t="shared" si="23"/>
        <v/>
      </c>
      <c r="I73" s="195" t="str">
        <v/>
      </c>
      <c r="J73" s="205" t="str">
        <v/>
      </c>
      <c r="K73" s="242"/>
      <c r="L73" s="197" t="str">
        <f t="shared" si="11"/>
        <v/>
      </c>
      <c r="M73" s="203">
        <v>64</v>
      </c>
      <c r="N73" s="195" t="str">
        <f t="shared" si="24"/>
        <v/>
      </c>
      <c r="O73" s="195" t="str">
        <v/>
      </c>
      <c r="P73" s="205" t="str">
        <v/>
      </c>
      <c r="Q73" s="213"/>
      <c r="R73" s="197" t="str">
        <f t="shared" si="12"/>
        <v/>
      </c>
      <c r="S73" s="203">
        <v>64</v>
      </c>
      <c r="T73" s="195" t="str">
        <f t="shared" si="25"/>
        <v/>
      </c>
      <c r="U73" s="195" t="str">
        <v/>
      </c>
      <c r="V73" s="205" t="str">
        <v/>
      </c>
      <c r="W73" s="213"/>
      <c r="X73" s="197" t="str">
        <f t="shared" si="13"/>
        <v/>
      </c>
      <c r="Y73" s="203">
        <v>64</v>
      </c>
      <c r="Z73" s="195"/>
      <c r="AA73" s="195"/>
      <c r="AB73" s="205"/>
      <c r="AC73" s="213"/>
      <c r="AD73" s="197" t="str">
        <f t="shared" si="14"/>
        <v/>
      </c>
      <c r="AE73" s="203">
        <v>64</v>
      </c>
      <c r="AF73" s="195" t="str">
        <f t="shared" si="26"/>
        <v/>
      </c>
      <c r="AG73" s="195" t="str">
        <v/>
      </c>
      <c r="AH73" s="205" t="str">
        <v/>
      </c>
      <c r="AI73" s="213"/>
      <c r="AJ73" s="197" t="str">
        <f t="shared" si="15"/>
        <v/>
      </c>
      <c r="AK73" s="203">
        <v>64</v>
      </c>
      <c r="AL73" s="198"/>
      <c r="AM73" s="195"/>
      <c r="AN73" s="196"/>
      <c r="AO73" s="254"/>
      <c r="AP73" s="256" t="str">
        <f t="shared" si="16"/>
        <v/>
      </c>
      <c r="AQ73" s="203">
        <v>64</v>
      </c>
      <c r="AR73" s="195" t="str">
        <f t="shared" si="27"/>
        <v/>
      </c>
      <c r="AS73" s="195" t="str">
        <v/>
      </c>
      <c r="AT73" s="205" t="str">
        <v/>
      </c>
      <c r="AU73" s="213"/>
      <c r="AV73" s="197" t="str">
        <f t="shared" si="17"/>
        <v/>
      </c>
      <c r="AW73" s="203">
        <v>64</v>
      </c>
      <c r="AX73" s="195" t="str">
        <f t="shared" si="28"/>
        <v/>
      </c>
      <c r="AY73" s="195" t="str">
        <v/>
      </c>
      <c r="AZ73" s="205" t="str">
        <v/>
      </c>
      <c r="BA73" s="242"/>
      <c r="BB73" s="197" t="str">
        <f t="shared" si="18"/>
        <v/>
      </c>
      <c r="BC73" s="203">
        <v>64</v>
      </c>
      <c r="BD73" s="195" t="str">
        <f t="shared" si="29"/>
        <v/>
      </c>
      <c r="BE73" s="195" t="str">
        <v/>
      </c>
      <c r="BF73" s="205" t="str">
        <v/>
      </c>
      <c r="BG73" s="242"/>
      <c r="BH73" s="197" t="str">
        <f t="shared" si="19"/>
        <v/>
      </c>
      <c r="BI73" s="203">
        <v>64</v>
      </c>
      <c r="BJ73" s="195" t="str">
        <f t="shared" si="30"/>
        <v/>
      </c>
      <c r="BK73" s="195" t="str">
        <v/>
      </c>
      <c r="BL73" s="205" t="str">
        <v/>
      </c>
      <c r="BM73" s="242"/>
      <c r="BN73" s="197" t="str">
        <f t="shared" si="20"/>
        <v/>
      </c>
      <c r="BO73" s="203">
        <v>64</v>
      </c>
      <c r="BP73" s="195" t="str">
        <f t="shared" si="31"/>
        <v/>
      </c>
      <c r="BQ73" s="195" t="str">
        <v/>
      </c>
      <c r="BR73" s="205" t="str">
        <v/>
      </c>
      <c r="BS73" s="242"/>
      <c r="BT73" s="197" t="str">
        <f t="shared" si="21"/>
        <v/>
      </c>
    </row>
    <row r="74" spans="1:72">
      <c r="A74" s="203">
        <v>65</v>
      </c>
      <c r="B74" s="195" t="str">
        <f t="shared" ref="B74:B79" si="32">IF(C74="","",VLOOKUP(C74,Instruments.OIS.JPY,6,0))</f>
        <v/>
      </c>
      <c r="C74" s="195" t="str">
        <v/>
      </c>
      <c r="D74" s="205" t="str">
        <v/>
      </c>
      <c r="E74" s="213"/>
      <c r="F74" s="197" t="str">
        <f t="shared" si="10"/>
        <v/>
      </c>
      <c r="G74" s="203">
        <v>65</v>
      </c>
      <c r="H74" s="195" t="str">
        <f t="shared" ref="H74:H79" si="33">IF(I74="","",VLOOKUP(I74,Instruments.OIS.JPY,6,0))</f>
        <v/>
      </c>
      <c r="I74" s="195" t="str">
        <v/>
      </c>
      <c r="J74" s="205" t="str">
        <v/>
      </c>
      <c r="K74" s="242"/>
      <c r="L74" s="197" t="str">
        <f t="shared" si="11"/>
        <v/>
      </c>
      <c r="M74" s="203">
        <v>65</v>
      </c>
      <c r="N74" s="195" t="str">
        <f t="shared" ref="N74:N79" si="34">IF(O74="","",VLOOKUP(O74,Instruments.OIS.JPY,6,0))</f>
        <v/>
      </c>
      <c r="O74" s="195" t="str">
        <v/>
      </c>
      <c r="P74" s="205" t="str">
        <v/>
      </c>
      <c r="Q74" s="213"/>
      <c r="R74" s="197" t="str">
        <f t="shared" si="12"/>
        <v/>
      </c>
      <c r="S74" s="203">
        <v>65</v>
      </c>
      <c r="T74" s="195" t="str">
        <f t="shared" ref="T74:T79" si="35">IF(U74="","",VLOOKUP(U74,Instruments.Swaps.JPY,6,0))</f>
        <v/>
      </c>
      <c r="U74" s="195" t="str">
        <v/>
      </c>
      <c r="V74" s="205" t="str">
        <v/>
      </c>
      <c r="W74" s="213"/>
      <c r="X74" s="197" t="str">
        <f t="shared" si="13"/>
        <v/>
      </c>
      <c r="Y74" s="203">
        <v>65</v>
      </c>
      <c r="Z74" s="195"/>
      <c r="AA74" s="195"/>
      <c r="AB74" s="205"/>
      <c r="AC74" s="213"/>
      <c r="AD74" s="197" t="str">
        <f t="shared" si="14"/>
        <v/>
      </c>
      <c r="AE74" s="203">
        <v>65</v>
      </c>
      <c r="AF74" s="195" t="str">
        <f t="shared" ref="AF74:AF79" si="36">IF(AG74="","",VLOOKUP(AG74,Instruments.Swaps.JPY,6,0))</f>
        <v/>
      </c>
      <c r="AG74" s="195" t="str">
        <v/>
      </c>
      <c r="AH74" s="205" t="str">
        <v/>
      </c>
      <c r="AI74" s="213"/>
      <c r="AJ74" s="197" t="str">
        <f t="shared" si="15"/>
        <v/>
      </c>
      <c r="AK74" s="203">
        <v>65</v>
      </c>
      <c r="AL74" s="198"/>
      <c r="AM74" s="195"/>
      <c r="AN74" s="196"/>
      <c r="AO74" s="254"/>
      <c r="AP74" s="256" t="str">
        <f t="shared" si="16"/>
        <v/>
      </c>
      <c r="AQ74" s="203">
        <v>65</v>
      </c>
      <c r="AR74" s="195" t="str">
        <f t="shared" ref="AR74:AR79" si="37">IF(AS74="","",VLOOKUP(AS74,Instruments.Swaps.JPY,6,0))</f>
        <v/>
      </c>
      <c r="AS74" s="195" t="str">
        <v/>
      </c>
      <c r="AT74" s="205" t="str">
        <v/>
      </c>
      <c r="AU74" s="213"/>
      <c r="AV74" s="197" t="str">
        <f t="shared" si="17"/>
        <v/>
      </c>
      <c r="AW74" s="203">
        <v>65</v>
      </c>
      <c r="AX74" s="195" t="str">
        <f t="shared" ref="AX74:AX79" si="38">IF(AY74="","",VLOOKUP(AY74,Instruments.TenorBasis1.JPY,6,0))</f>
        <v/>
      </c>
      <c r="AY74" s="195" t="str">
        <v/>
      </c>
      <c r="AZ74" s="205" t="str">
        <v/>
      </c>
      <c r="BA74" s="242"/>
      <c r="BB74" s="197" t="str">
        <f t="shared" si="18"/>
        <v/>
      </c>
      <c r="BC74" s="203">
        <v>65</v>
      </c>
      <c r="BD74" s="195" t="str">
        <f t="shared" ref="BD74:BD79" si="39">IF(BE74="","",VLOOKUP(BE74,Instruments.TenorBasis2.JPY,6,0))</f>
        <v/>
      </c>
      <c r="BE74" s="195" t="str">
        <v/>
      </c>
      <c r="BF74" s="205" t="str">
        <v/>
      </c>
      <c r="BG74" s="242"/>
      <c r="BH74" s="197" t="str">
        <f t="shared" si="19"/>
        <v/>
      </c>
      <c r="BI74" s="203">
        <v>65</v>
      </c>
      <c r="BJ74" s="195" t="str">
        <f t="shared" ref="BJ74:BJ79" si="40">IF(BK74="","",VLOOKUP(BK74,Instruments.TenorBasis3.JPY,6,0))</f>
        <v/>
      </c>
      <c r="BK74" s="195" t="str">
        <v/>
      </c>
      <c r="BL74" s="205" t="str">
        <v/>
      </c>
      <c r="BM74" s="242"/>
      <c r="BN74" s="197" t="str">
        <f t="shared" si="20"/>
        <v/>
      </c>
      <c r="BO74" s="203">
        <v>65</v>
      </c>
      <c r="BP74" s="195" t="str">
        <f t="shared" ref="BP74:BP79" si="41">IF(BQ74="","",VLOOKUP(BQ74,Instruments.XccyBasis.JPY,6,0))</f>
        <v/>
      </c>
      <c r="BQ74" s="195" t="str">
        <v/>
      </c>
      <c r="BR74" s="205" t="str">
        <v/>
      </c>
      <c r="BS74" s="242"/>
      <c r="BT74" s="197" t="str">
        <f t="shared" si="21"/>
        <v/>
      </c>
    </row>
    <row r="75" spans="1:72">
      <c r="A75" s="203">
        <v>66</v>
      </c>
      <c r="B75" s="195" t="str">
        <f t="shared" si="32"/>
        <v/>
      </c>
      <c r="C75" s="195" t="str">
        <v/>
      </c>
      <c r="D75" s="205" t="str">
        <v/>
      </c>
      <c r="E75" s="213"/>
      <c r="F75" s="197" t="str">
        <f t="shared" ref="F75:F79" si="42">IF(D75="","",D75/100+E75+F$7)</f>
        <v/>
      </c>
      <c r="G75" s="203">
        <v>66</v>
      </c>
      <c r="H75" s="195" t="str">
        <f t="shared" si="33"/>
        <v/>
      </c>
      <c r="I75" s="195" t="str">
        <v/>
      </c>
      <c r="J75" s="205" t="str">
        <v/>
      </c>
      <c r="K75" s="242"/>
      <c r="L75" s="197" t="str">
        <f t="shared" ref="L75:L79" si="43">IF(J75="","",(J75+K75+L$7)/10000)</f>
        <v/>
      </c>
      <c r="M75" s="203">
        <v>66</v>
      </c>
      <c r="N75" s="195" t="str">
        <f t="shared" si="34"/>
        <v/>
      </c>
      <c r="O75" s="195" t="str">
        <v/>
      </c>
      <c r="P75" s="205" t="str">
        <v/>
      </c>
      <c r="Q75" s="213"/>
      <c r="R75" s="197" t="str">
        <f t="shared" ref="R75:R79" si="44">IF(P75="","",P75/100+Q75+R$7)</f>
        <v/>
      </c>
      <c r="S75" s="203">
        <v>66</v>
      </c>
      <c r="T75" s="195" t="str">
        <f t="shared" si="35"/>
        <v/>
      </c>
      <c r="U75" s="195" t="str">
        <v/>
      </c>
      <c r="V75" s="205" t="str">
        <v/>
      </c>
      <c r="W75" s="213"/>
      <c r="X75" s="197" t="str">
        <f t="shared" ref="X75:X79" si="45">IF(V75="","",V75/100+W75+X$7)</f>
        <v/>
      </c>
      <c r="Y75" s="203">
        <v>66</v>
      </c>
      <c r="Z75" s="195"/>
      <c r="AA75" s="195"/>
      <c r="AB75" s="205"/>
      <c r="AC75" s="213"/>
      <c r="AD75" s="197" t="str">
        <f t="shared" ref="AD75:AD79" si="46">IF(AB75="","",AB75/100+AC75+AD$7)</f>
        <v/>
      </c>
      <c r="AE75" s="203">
        <v>66</v>
      </c>
      <c r="AF75" s="195" t="str">
        <f t="shared" si="36"/>
        <v/>
      </c>
      <c r="AG75" s="195" t="str">
        <v/>
      </c>
      <c r="AH75" s="205" t="str">
        <v/>
      </c>
      <c r="AI75" s="213"/>
      <c r="AJ75" s="197" t="str">
        <f t="shared" ref="AJ75:AJ79" si="47">IF(AH75="","",AH75/100+AI75+AJ$7)</f>
        <v/>
      </c>
      <c r="AK75" s="203">
        <v>66</v>
      </c>
      <c r="AL75" s="198"/>
      <c r="AM75" s="195"/>
      <c r="AN75" s="196"/>
      <c r="AO75" s="254"/>
      <c r="AP75" s="256" t="str">
        <f t="shared" ref="AP75:AP79" si="48">IF(AN75="","",AN75+AO75+AP$7)</f>
        <v/>
      </c>
      <c r="AQ75" s="203">
        <v>66</v>
      </c>
      <c r="AR75" s="195" t="str">
        <f t="shared" si="37"/>
        <v/>
      </c>
      <c r="AS75" s="195" t="str">
        <v/>
      </c>
      <c r="AT75" s="205" t="str">
        <v/>
      </c>
      <c r="AU75" s="213"/>
      <c r="AV75" s="197" t="str">
        <f t="shared" ref="AV75:AV79" si="49">IF(AT75="","",AT75/100+AU75+AV$7)</f>
        <v/>
      </c>
      <c r="AW75" s="203">
        <v>66</v>
      </c>
      <c r="AX75" s="195" t="str">
        <f t="shared" si="38"/>
        <v/>
      </c>
      <c r="AY75" s="195" t="str">
        <v/>
      </c>
      <c r="AZ75" s="205" t="str">
        <v/>
      </c>
      <c r="BA75" s="242"/>
      <c r="BB75" s="197" t="str">
        <f t="shared" ref="BB75:BB79" si="50">IF(AZ75="","",(AZ75+BA75+BB$7)/10000)</f>
        <v/>
      </c>
      <c r="BC75" s="203">
        <v>66</v>
      </c>
      <c r="BD75" s="195" t="str">
        <f t="shared" si="39"/>
        <v/>
      </c>
      <c r="BE75" s="195" t="str">
        <v/>
      </c>
      <c r="BF75" s="205" t="str">
        <v/>
      </c>
      <c r="BG75" s="242"/>
      <c r="BH75" s="197" t="str">
        <f t="shared" ref="BH75:BH79" si="51">IF(BF75="","",(BF75+BG75+BH$7)/10000)</f>
        <v/>
      </c>
      <c r="BI75" s="203">
        <v>66</v>
      </c>
      <c r="BJ75" s="195" t="str">
        <f t="shared" si="40"/>
        <v/>
      </c>
      <c r="BK75" s="195" t="str">
        <v/>
      </c>
      <c r="BL75" s="205" t="str">
        <v/>
      </c>
      <c r="BM75" s="242"/>
      <c r="BN75" s="197" t="str">
        <f t="shared" ref="BN75:BN79" si="52">IF(BL75="","",(BL75+BM75+BN$7)/10000)</f>
        <v/>
      </c>
      <c r="BO75" s="203">
        <v>66</v>
      </c>
      <c r="BP75" s="195" t="str">
        <f t="shared" si="41"/>
        <v/>
      </c>
      <c r="BQ75" s="195" t="str">
        <v/>
      </c>
      <c r="BR75" s="205" t="str">
        <v/>
      </c>
      <c r="BS75" s="242"/>
      <c r="BT75" s="197" t="str">
        <f t="shared" ref="BT75:BT79" si="53">IF(BR75="","",(BR75+BS75+BT$7)/10000)</f>
        <v/>
      </c>
    </row>
    <row r="76" spans="1:72">
      <c r="A76" s="203">
        <v>67</v>
      </c>
      <c r="B76" s="195" t="str">
        <f t="shared" si="32"/>
        <v/>
      </c>
      <c r="C76" s="195" t="str">
        <v/>
      </c>
      <c r="D76" s="205" t="str">
        <v/>
      </c>
      <c r="E76" s="213"/>
      <c r="F76" s="197" t="str">
        <f t="shared" si="42"/>
        <v/>
      </c>
      <c r="G76" s="203">
        <v>67</v>
      </c>
      <c r="H76" s="195" t="str">
        <f t="shared" si="33"/>
        <v/>
      </c>
      <c r="I76" s="195" t="str">
        <v/>
      </c>
      <c r="J76" s="205" t="str">
        <v/>
      </c>
      <c r="K76" s="242"/>
      <c r="L76" s="197" t="str">
        <f t="shared" si="43"/>
        <v/>
      </c>
      <c r="M76" s="203">
        <v>67</v>
      </c>
      <c r="N76" s="195" t="str">
        <f t="shared" si="34"/>
        <v/>
      </c>
      <c r="O76" s="195" t="str">
        <v/>
      </c>
      <c r="P76" s="205" t="str">
        <v/>
      </c>
      <c r="Q76" s="213"/>
      <c r="R76" s="197" t="str">
        <f t="shared" si="44"/>
        <v/>
      </c>
      <c r="S76" s="203">
        <v>67</v>
      </c>
      <c r="T76" s="195" t="str">
        <f t="shared" si="35"/>
        <v/>
      </c>
      <c r="U76" s="195" t="str">
        <v/>
      </c>
      <c r="V76" s="205" t="str">
        <v/>
      </c>
      <c r="W76" s="213"/>
      <c r="X76" s="197" t="str">
        <f t="shared" si="45"/>
        <v/>
      </c>
      <c r="Y76" s="203">
        <v>67</v>
      </c>
      <c r="Z76" s="195"/>
      <c r="AA76" s="195"/>
      <c r="AB76" s="205"/>
      <c r="AC76" s="213"/>
      <c r="AD76" s="197" t="str">
        <f t="shared" si="46"/>
        <v/>
      </c>
      <c r="AE76" s="203">
        <v>67</v>
      </c>
      <c r="AF76" s="195" t="str">
        <f t="shared" si="36"/>
        <v/>
      </c>
      <c r="AG76" s="195" t="str">
        <v/>
      </c>
      <c r="AH76" s="205" t="str">
        <v/>
      </c>
      <c r="AI76" s="213"/>
      <c r="AJ76" s="197" t="str">
        <f t="shared" si="47"/>
        <v/>
      </c>
      <c r="AK76" s="203">
        <v>67</v>
      </c>
      <c r="AL76" s="198"/>
      <c r="AM76" s="195"/>
      <c r="AN76" s="196"/>
      <c r="AO76" s="254"/>
      <c r="AP76" s="256" t="str">
        <f t="shared" si="48"/>
        <v/>
      </c>
      <c r="AQ76" s="203">
        <v>67</v>
      </c>
      <c r="AR76" s="195" t="str">
        <f t="shared" si="37"/>
        <v/>
      </c>
      <c r="AS76" s="195" t="str">
        <v/>
      </c>
      <c r="AT76" s="205" t="str">
        <v/>
      </c>
      <c r="AU76" s="213"/>
      <c r="AV76" s="197" t="str">
        <f t="shared" si="49"/>
        <v/>
      </c>
      <c r="AW76" s="203">
        <v>67</v>
      </c>
      <c r="AX76" s="195" t="str">
        <f t="shared" si="38"/>
        <v/>
      </c>
      <c r="AY76" s="195" t="str">
        <v/>
      </c>
      <c r="AZ76" s="205" t="str">
        <v/>
      </c>
      <c r="BA76" s="242"/>
      <c r="BB76" s="197" t="str">
        <f t="shared" si="50"/>
        <v/>
      </c>
      <c r="BC76" s="203">
        <v>67</v>
      </c>
      <c r="BD76" s="195" t="str">
        <f t="shared" si="39"/>
        <v/>
      </c>
      <c r="BE76" s="195" t="str">
        <v/>
      </c>
      <c r="BF76" s="205" t="str">
        <v/>
      </c>
      <c r="BG76" s="242"/>
      <c r="BH76" s="197" t="str">
        <f t="shared" si="51"/>
        <v/>
      </c>
      <c r="BI76" s="203">
        <v>67</v>
      </c>
      <c r="BJ76" s="195" t="str">
        <f t="shared" si="40"/>
        <v/>
      </c>
      <c r="BK76" s="195" t="str">
        <v/>
      </c>
      <c r="BL76" s="205" t="str">
        <v/>
      </c>
      <c r="BM76" s="242"/>
      <c r="BN76" s="197" t="str">
        <f t="shared" si="52"/>
        <v/>
      </c>
      <c r="BO76" s="203">
        <v>67</v>
      </c>
      <c r="BP76" s="195" t="str">
        <f t="shared" si="41"/>
        <v/>
      </c>
      <c r="BQ76" s="195" t="str">
        <v/>
      </c>
      <c r="BR76" s="205" t="str">
        <v/>
      </c>
      <c r="BS76" s="242"/>
      <c r="BT76" s="197" t="str">
        <f t="shared" si="53"/>
        <v/>
      </c>
    </row>
    <row r="77" spans="1:72">
      <c r="A77" s="203">
        <v>68</v>
      </c>
      <c r="B77" s="195" t="str">
        <f t="shared" si="32"/>
        <v/>
      </c>
      <c r="C77" s="195" t="str">
        <v/>
      </c>
      <c r="D77" s="205" t="str">
        <v/>
      </c>
      <c r="E77" s="213"/>
      <c r="F77" s="197" t="str">
        <f t="shared" si="42"/>
        <v/>
      </c>
      <c r="G77" s="203">
        <v>68</v>
      </c>
      <c r="H77" s="195" t="str">
        <f t="shared" si="33"/>
        <v/>
      </c>
      <c r="I77" s="195" t="str">
        <v/>
      </c>
      <c r="J77" s="205" t="str">
        <v/>
      </c>
      <c r="K77" s="242"/>
      <c r="L77" s="197" t="str">
        <f t="shared" si="43"/>
        <v/>
      </c>
      <c r="M77" s="203">
        <v>68</v>
      </c>
      <c r="N77" s="195" t="str">
        <f t="shared" si="34"/>
        <v/>
      </c>
      <c r="O77" s="195" t="str">
        <v/>
      </c>
      <c r="P77" s="205" t="str">
        <v/>
      </c>
      <c r="Q77" s="213"/>
      <c r="R77" s="197" t="str">
        <f t="shared" si="44"/>
        <v/>
      </c>
      <c r="S77" s="203">
        <v>68</v>
      </c>
      <c r="T77" s="195" t="str">
        <f t="shared" si="35"/>
        <v/>
      </c>
      <c r="U77" s="195" t="str">
        <v/>
      </c>
      <c r="V77" s="205" t="str">
        <v/>
      </c>
      <c r="W77" s="213"/>
      <c r="X77" s="197" t="str">
        <f t="shared" si="45"/>
        <v/>
      </c>
      <c r="Y77" s="203">
        <v>68</v>
      </c>
      <c r="Z77" s="195"/>
      <c r="AA77" s="195"/>
      <c r="AB77" s="205"/>
      <c r="AC77" s="213"/>
      <c r="AD77" s="197" t="str">
        <f t="shared" si="46"/>
        <v/>
      </c>
      <c r="AE77" s="203">
        <v>68</v>
      </c>
      <c r="AF77" s="195" t="str">
        <f t="shared" si="36"/>
        <v/>
      </c>
      <c r="AG77" s="195" t="str">
        <v/>
      </c>
      <c r="AH77" s="205" t="str">
        <v/>
      </c>
      <c r="AI77" s="213"/>
      <c r="AJ77" s="197" t="str">
        <f t="shared" si="47"/>
        <v/>
      </c>
      <c r="AK77" s="203">
        <v>68</v>
      </c>
      <c r="AL77" s="198"/>
      <c r="AM77" s="195"/>
      <c r="AN77" s="196"/>
      <c r="AO77" s="254"/>
      <c r="AP77" s="256" t="str">
        <f t="shared" si="48"/>
        <v/>
      </c>
      <c r="AQ77" s="203">
        <v>68</v>
      </c>
      <c r="AR77" s="195" t="str">
        <f t="shared" si="37"/>
        <v/>
      </c>
      <c r="AS77" s="195" t="str">
        <v/>
      </c>
      <c r="AT77" s="205" t="str">
        <v/>
      </c>
      <c r="AU77" s="213"/>
      <c r="AV77" s="197" t="str">
        <f t="shared" si="49"/>
        <v/>
      </c>
      <c r="AW77" s="203">
        <v>68</v>
      </c>
      <c r="AX77" s="195" t="str">
        <f t="shared" si="38"/>
        <v/>
      </c>
      <c r="AY77" s="195" t="str">
        <v/>
      </c>
      <c r="AZ77" s="205" t="str">
        <v/>
      </c>
      <c r="BA77" s="242"/>
      <c r="BB77" s="197" t="str">
        <f t="shared" si="50"/>
        <v/>
      </c>
      <c r="BC77" s="203">
        <v>68</v>
      </c>
      <c r="BD77" s="195" t="str">
        <f t="shared" si="39"/>
        <v/>
      </c>
      <c r="BE77" s="195" t="str">
        <v/>
      </c>
      <c r="BF77" s="205" t="str">
        <v/>
      </c>
      <c r="BG77" s="242"/>
      <c r="BH77" s="197" t="str">
        <f t="shared" si="51"/>
        <v/>
      </c>
      <c r="BI77" s="203">
        <v>68</v>
      </c>
      <c r="BJ77" s="195" t="str">
        <f t="shared" si="40"/>
        <v/>
      </c>
      <c r="BK77" s="195" t="str">
        <v/>
      </c>
      <c r="BL77" s="205" t="str">
        <v/>
      </c>
      <c r="BM77" s="242"/>
      <c r="BN77" s="197" t="str">
        <f t="shared" si="52"/>
        <v/>
      </c>
      <c r="BO77" s="203">
        <v>68</v>
      </c>
      <c r="BP77" s="195" t="str">
        <f t="shared" si="41"/>
        <v/>
      </c>
      <c r="BQ77" s="195" t="str">
        <v/>
      </c>
      <c r="BR77" s="205" t="str">
        <v/>
      </c>
      <c r="BS77" s="242"/>
      <c r="BT77" s="197" t="str">
        <f t="shared" si="53"/>
        <v/>
      </c>
    </row>
    <row r="78" spans="1:72">
      <c r="A78" s="203">
        <v>69</v>
      </c>
      <c r="B78" s="195" t="str">
        <f t="shared" si="32"/>
        <v/>
      </c>
      <c r="C78" s="195" t="str">
        <v/>
      </c>
      <c r="D78" s="205" t="str">
        <v/>
      </c>
      <c r="E78" s="213"/>
      <c r="F78" s="197" t="str">
        <f t="shared" si="42"/>
        <v/>
      </c>
      <c r="G78" s="203">
        <v>69</v>
      </c>
      <c r="H78" s="195" t="str">
        <f t="shared" si="33"/>
        <v/>
      </c>
      <c r="I78" s="195" t="str">
        <v/>
      </c>
      <c r="J78" s="205" t="str">
        <v/>
      </c>
      <c r="K78" s="242"/>
      <c r="L78" s="197" t="str">
        <f t="shared" si="43"/>
        <v/>
      </c>
      <c r="M78" s="203">
        <v>69</v>
      </c>
      <c r="N78" s="195" t="str">
        <f t="shared" si="34"/>
        <v/>
      </c>
      <c r="O78" s="195" t="str">
        <v/>
      </c>
      <c r="P78" s="205" t="str">
        <v/>
      </c>
      <c r="Q78" s="213"/>
      <c r="R78" s="197" t="str">
        <f t="shared" si="44"/>
        <v/>
      </c>
      <c r="S78" s="203">
        <v>69</v>
      </c>
      <c r="T78" s="195" t="str">
        <f t="shared" si="35"/>
        <v/>
      </c>
      <c r="U78" s="195" t="str">
        <v/>
      </c>
      <c r="V78" s="205" t="str">
        <v/>
      </c>
      <c r="W78" s="213"/>
      <c r="X78" s="197" t="str">
        <f t="shared" si="45"/>
        <v/>
      </c>
      <c r="Y78" s="203">
        <v>69</v>
      </c>
      <c r="Z78" s="195"/>
      <c r="AA78" s="195"/>
      <c r="AB78" s="205"/>
      <c r="AC78" s="213"/>
      <c r="AD78" s="197" t="str">
        <f t="shared" si="46"/>
        <v/>
      </c>
      <c r="AE78" s="203">
        <v>69</v>
      </c>
      <c r="AF78" s="195" t="str">
        <f t="shared" si="36"/>
        <v/>
      </c>
      <c r="AG78" s="195" t="str">
        <v/>
      </c>
      <c r="AH78" s="205" t="str">
        <v/>
      </c>
      <c r="AI78" s="213"/>
      <c r="AJ78" s="197" t="str">
        <f t="shared" si="47"/>
        <v/>
      </c>
      <c r="AK78" s="203">
        <v>69</v>
      </c>
      <c r="AL78" s="198"/>
      <c r="AM78" s="195"/>
      <c r="AN78" s="196"/>
      <c r="AO78" s="254"/>
      <c r="AP78" s="256" t="str">
        <f t="shared" si="48"/>
        <v/>
      </c>
      <c r="AQ78" s="203">
        <v>69</v>
      </c>
      <c r="AR78" s="195" t="str">
        <f t="shared" si="37"/>
        <v/>
      </c>
      <c r="AS78" s="195" t="str">
        <v/>
      </c>
      <c r="AT78" s="205" t="str">
        <v/>
      </c>
      <c r="AU78" s="213"/>
      <c r="AV78" s="197" t="str">
        <f t="shared" si="49"/>
        <v/>
      </c>
      <c r="AW78" s="203">
        <v>69</v>
      </c>
      <c r="AX78" s="195" t="str">
        <f t="shared" si="38"/>
        <v/>
      </c>
      <c r="AY78" s="195" t="str">
        <v/>
      </c>
      <c r="AZ78" s="205" t="str">
        <v/>
      </c>
      <c r="BA78" s="242"/>
      <c r="BB78" s="197" t="str">
        <f t="shared" si="50"/>
        <v/>
      </c>
      <c r="BC78" s="203">
        <v>69</v>
      </c>
      <c r="BD78" s="195" t="str">
        <f t="shared" si="39"/>
        <v/>
      </c>
      <c r="BE78" s="195" t="str">
        <v/>
      </c>
      <c r="BF78" s="205" t="str">
        <v/>
      </c>
      <c r="BG78" s="242"/>
      <c r="BH78" s="197" t="str">
        <f t="shared" si="51"/>
        <v/>
      </c>
      <c r="BI78" s="203">
        <v>69</v>
      </c>
      <c r="BJ78" s="195" t="str">
        <f t="shared" si="40"/>
        <v/>
      </c>
      <c r="BK78" s="195" t="str">
        <v/>
      </c>
      <c r="BL78" s="205" t="str">
        <v/>
      </c>
      <c r="BM78" s="242"/>
      <c r="BN78" s="197" t="str">
        <f t="shared" si="52"/>
        <v/>
      </c>
      <c r="BO78" s="203">
        <v>69</v>
      </c>
      <c r="BP78" s="195" t="str">
        <f t="shared" si="41"/>
        <v/>
      </c>
      <c r="BQ78" s="195" t="str">
        <v/>
      </c>
      <c r="BR78" s="205" t="str">
        <v/>
      </c>
      <c r="BS78" s="242"/>
      <c r="BT78" s="197" t="str">
        <f t="shared" si="53"/>
        <v/>
      </c>
    </row>
    <row r="79" spans="1:72">
      <c r="A79" s="203">
        <v>70</v>
      </c>
      <c r="B79" s="200" t="str">
        <f t="shared" si="32"/>
        <v/>
      </c>
      <c r="C79" s="200" t="str">
        <v/>
      </c>
      <c r="D79" s="206" t="str">
        <v/>
      </c>
      <c r="E79" s="214"/>
      <c r="F79" s="202" t="str">
        <f t="shared" si="42"/>
        <v/>
      </c>
      <c r="G79" s="203">
        <v>70</v>
      </c>
      <c r="H79" s="200" t="str">
        <f t="shared" si="33"/>
        <v/>
      </c>
      <c r="I79" s="200" t="str">
        <v/>
      </c>
      <c r="J79" s="206" t="str">
        <v/>
      </c>
      <c r="K79" s="243"/>
      <c r="L79" s="202" t="str">
        <f t="shared" si="43"/>
        <v/>
      </c>
      <c r="M79" s="203">
        <v>70</v>
      </c>
      <c r="N79" s="200" t="str">
        <f t="shared" si="34"/>
        <v/>
      </c>
      <c r="O79" s="200" t="str">
        <v/>
      </c>
      <c r="P79" s="206" t="str">
        <v/>
      </c>
      <c r="Q79" s="214"/>
      <c r="R79" s="202" t="str">
        <f t="shared" si="44"/>
        <v/>
      </c>
      <c r="S79" s="203">
        <v>70</v>
      </c>
      <c r="T79" s="200" t="str">
        <f t="shared" si="35"/>
        <v/>
      </c>
      <c r="U79" s="200" t="str">
        <v/>
      </c>
      <c r="V79" s="206" t="str">
        <v/>
      </c>
      <c r="W79" s="214"/>
      <c r="X79" s="202" t="str">
        <f t="shared" si="45"/>
        <v/>
      </c>
      <c r="Y79" s="203">
        <v>70</v>
      </c>
      <c r="Z79" s="200"/>
      <c r="AA79" s="200"/>
      <c r="AB79" s="206"/>
      <c r="AC79" s="214"/>
      <c r="AD79" s="202" t="str">
        <f t="shared" si="46"/>
        <v/>
      </c>
      <c r="AE79" s="203">
        <v>70</v>
      </c>
      <c r="AF79" s="200" t="str">
        <f t="shared" si="36"/>
        <v/>
      </c>
      <c r="AG79" s="200" t="str">
        <v/>
      </c>
      <c r="AH79" s="206" t="str">
        <v/>
      </c>
      <c r="AI79" s="214"/>
      <c r="AJ79" s="202" t="str">
        <f t="shared" si="47"/>
        <v/>
      </c>
      <c r="AK79" s="203">
        <v>70</v>
      </c>
      <c r="AL79" s="199"/>
      <c r="AM79" s="200"/>
      <c r="AN79" s="201"/>
      <c r="AO79" s="255"/>
      <c r="AP79" s="257" t="str">
        <f t="shared" si="48"/>
        <v/>
      </c>
      <c r="AQ79" s="203">
        <v>70</v>
      </c>
      <c r="AR79" s="200" t="str">
        <f t="shared" si="37"/>
        <v/>
      </c>
      <c r="AS79" s="200" t="str">
        <v/>
      </c>
      <c r="AT79" s="206" t="str">
        <v/>
      </c>
      <c r="AU79" s="214"/>
      <c r="AV79" s="202" t="str">
        <f t="shared" si="49"/>
        <v/>
      </c>
      <c r="AW79" s="203">
        <v>70</v>
      </c>
      <c r="AX79" s="200" t="str">
        <f t="shared" si="38"/>
        <v/>
      </c>
      <c r="AY79" s="200" t="str">
        <v/>
      </c>
      <c r="AZ79" s="206" t="str">
        <v/>
      </c>
      <c r="BA79" s="243"/>
      <c r="BB79" s="202" t="str">
        <f t="shared" si="50"/>
        <v/>
      </c>
      <c r="BC79" s="203">
        <v>70</v>
      </c>
      <c r="BD79" s="200" t="str">
        <f t="shared" si="39"/>
        <v/>
      </c>
      <c r="BE79" s="200" t="str">
        <v/>
      </c>
      <c r="BF79" s="206" t="str">
        <v/>
      </c>
      <c r="BG79" s="243"/>
      <c r="BH79" s="202" t="str">
        <f t="shared" si="51"/>
        <v/>
      </c>
      <c r="BI79" s="203">
        <v>70</v>
      </c>
      <c r="BJ79" s="200" t="str">
        <f t="shared" si="40"/>
        <v/>
      </c>
      <c r="BK79" s="200" t="str">
        <v/>
      </c>
      <c r="BL79" s="206" t="str">
        <v/>
      </c>
      <c r="BM79" s="243"/>
      <c r="BN79" s="202" t="str">
        <f t="shared" si="52"/>
        <v/>
      </c>
      <c r="BO79" s="203">
        <v>70</v>
      </c>
      <c r="BP79" s="200" t="str">
        <f t="shared" si="41"/>
        <v/>
      </c>
      <c r="BQ79" s="200" t="str">
        <v/>
      </c>
      <c r="BR79" s="206" t="str">
        <v/>
      </c>
      <c r="BS79" s="243"/>
      <c r="BT79" s="202" t="str">
        <f t="shared" si="53"/>
        <v/>
      </c>
    </row>
    <row r="80" spans="1:72">
      <c r="A80" t="s">
        <v>12</v>
      </c>
      <c r="B80" t="s">
        <v>12</v>
      </c>
      <c r="C80" t="s">
        <v>12</v>
      </c>
      <c r="D80" t="s">
        <v>12</v>
      </c>
      <c r="E80" t="s">
        <v>12</v>
      </c>
      <c r="F80" t="s">
        <v>12</v>
      </c>
      <c r="G80" t="s">
        <v>12</v>
      </c>
      <c r="H80" t="s">
        <v>12</v>
      </c>
      <c r="I80" t="s">
        <v>12</v>
      </c>
      <c r="J80" t="s">
        <v>12</v>
      </c>
      <c r="K80" t="s">
        <v>12</v>
      </c>
      <c r="L80" t="s">
        <v>12</v>
      </c>
      <c r="M80" t="s">
        <v>12</v>
      </c>
      <c r="N80" t="s">
        <v>12</v>
      </c>
      <c r="O80" t="s">
        <v>12</v>
      </c>
      <c r="P80" t="s">
        <v>12</v>
      </c>
      <c r="Q80" t="s">
        <v>12</v>
      </c>
      <c r="R80" t="s">
        <v>12</v>
      </c>
      <c r="S80" t="s">
        <v>12</v>
      </c>
      <c r="T80" t="s">
        <v>12</v>
      </c>
      <c r="U80" t="s">
        <v>12</v>
      </c>
      <c r="V80" t="s">
        <v>12</v>
      </c>
      <c r="W80" t="s">
        <v>12</v>
      </c>
      <c r="X80" t="s">
        <v>12</v>
      </c>
      <c r="Y80" t="s">
        <v>12</v>
      </c>
      <c r="Z80" t="s">
        <v>12</v>
      </c>
      <c r="AA80" t="s">
        <v>12</v>
      </c>
      <c r="AB80" t="s">
        <v>12</v>
      </c>
      <c r="AC80" t="s">
        <v>12</v>
      </c>
      <c r="AD80" t="s">
        <v>12</v>
      </c>
      <c r="AE80" t="s">
        <v>12</v>
      </c>
      <c r="AF80" t="s">
        <v>12</v>
      </c>
      <c r="AG80" t="s">
        <v>12</v>
      </c>
      <c r="AH80" t="s">
        <v>12</v>
      </c>
      <c r="AI80" t="s">
        <v>12</v>
      </c>
      <c r="AJ80" t="s">
        <v>12</v>
      </c>
      <c r="AK80" t="s">
        <v>12</v>
      </c>
      <c r="AL80" t="s">
        <v>12</v>
      </c>
      <c r="AM80" t="s">
        <v>12</v>
      </c>
      <c r="AN80" t="s">
        <v>12</v>
      </c>
      <c r="AO80" t="s">
        <v>12</v>
      </c>
      <c r="AP80" t="s">
        <v>12</v>
      </c>
      <c r="AQ80" t="s">
        <v>12</v>
      </c>
      <c r="AR80" t="s">
        <v>12</v>
      </c>
      <c r="AS80" t="s">
        <v>12</v>
      </c>
      <c r="AT80" t="s">
        <v>12</v>
      </c>
      <c r="AU80" t="s">
        <v>12</v>
      </c>
      <c r="AV80" t="s">
        <v>12</v>
      </c>
      <c r="AW80" t="s">
        <v>12</v>
      </c>
      <c r="AX80" t="s">
        <v>12</v>
      </c>
      <c r="AY80" t="s">
        <v>12</v>
      </c>
      <c r="AZ80" t="s">
        <v>12</v>
      </c>
      <c r="BA80" t="s">
        <v>12</v>
      </c>
      <c r="BB80" t="s">
        <v>12</v>
      </c>
      <c r="BC80" t="s">
        <v>12</v>
      </c>
      <c r="BD80" t="s">
        <v>12</v>
      </c>
      <c r="BE80" t="s">
        <v>12</v>
      </c>
      <c r="BF80" t="s">
        <v>12</v>
      </c>
      <c r="BG80" t="s">
        <v>12</v>
      </c>
      <c r="BH80" t="s">
        <v>12</v>
      </c>
      <c r="BI80" t="s">
        <v>12</v>
      </c>
      <c r="BJ80" t="s">
        <v>12</v>
      </c>
      <c r="BK80" t="s">
        <v>12</v>
      </c>
      <c r="BL80" t="s">
        <v>12</v>
      </c>
      <c r="BM80" t="s">
        <v>12</v>
      </c>
      <c r="BN80" t="s">
        <v>12</v>
      </c>
      <c r="BO80" t="s">
        <v>12</v>
      </c>
      <c r="BP80" t="s">
        <v>12</v>
      </c>
      <c r="BQ80" t="s">
        <v>12</v>
      </c>
      <c r="BR80" t="s">
        <v>12</v>
      </c>
      <c r="BS80" t="s">
        <v>12</v>
      </c>
      <c r="BT80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9" tint="-0.249977111117893"/>
  </sheetPr>
  <dimension ref="A1:DC104"/>
  <sheetViews>
    <sheetView showGridLines="0" zoomScaleNormal="10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5.1406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5.1406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5.1406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5.140625" customWidth="1"/>
    <col min="58" max="58" width="2.7109375" customWidth="1"/>
    <col min="59" max="59" width="31" customWidth="1"/>
    <col min="60" max="60" width="25.1406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5.1406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5.1406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5.140625" customWidth="1"/>
    <col min="79" max="79" width="2.7109375" customWidth="1"/>
    <col min="80" max="80" width="27" customWidth="1"/>
    <col min="81" max="81" width="25.140625" customWidth="1"/>
    <col min="82" max="82" width="2.7109375" customWidth="1"/>
    <col min="83" max="83" width="27" customWidth="1"/>
    <col min="84" max="84" width="25.14062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5.14062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210"/>
    </row>
    <row r="2" spans="2:105">
      <c r="B2" s="1"/>
      <c r="N2" s="244"/>
      <c r="O2" s="244"/>
      <c r="P2" s="244"/>
    </row>
    <row r="3" spans="2:105">
      <c r="N3" s="244"/>
      <c r="O3" s="244"/>
      <c r="P3" s="244"/>
    </row>
    <row r="4" spans="2:105">
      <c r="N4" s="244"/>
      <c r="O4" s="244"/>
      <c r="P4" s="244"/>
    </row>
    <row r="5" spans="2:105" s="126" customFormat="1" ht="23.25">
      <c r="B5" s="125" t="s">
        <v>7</v>
      </c>
      <c r="G5" s="125" t="s">
        <v>10</v>
      </c>
      <c r="J5"/>
      <c r="K5"/>
      <c r="M5"/>
      <c r="N5" s="244"/>
      <c r="O5" s="244"/>
      <c r="P5" s="244"/>
      <c r="AH5" s="125" t="s">
        <v>271</v>
      </c>
      <c r="AK5"/>
      <c r="AL5"/>
      <c r="AM5"/>
      <c r="AN5" s="2" t="s">
        <v>179</v>
      </c>
      <c r="AO5"/>
      <c r="AQ5" s="2" t="s">
        <v>178</v>
      </c>
      <c r="AR5"/>
      <c r="AS5"/>
      <c r="AT5"/>
      <c r="AU5"/>
      <c r="AV5"/>
      <c r="AW5"/>
      <c r="AX5"/>
      <c r="AY5"/>
      <c r="BA5" s="127"/>
      <c r="BD5" s="125" t="s">
        <v>11</v>
      </c>
      <c r="BG5" s="125" t="s">
        <v>277</v>
      </c>
      <c r="BK5" s="127"/>
      <c r="BM5" s="125" t="s">
        <v>278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113</v>
      </c>
      <c r="AO6" s="31" t="s">
        <v>0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3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1817</v>
      </c>
      <c r="D8" s="113"/>
      <c r="E8" s="114"/>
      <c r="F8" t="s">
        <v>12</v>
      </c>
      <c r="G8" s="52" t="s">
        <v>164</v>
      </c>
      <c r="H8" s="105">
        <f ca="1">COB</f>
        <v>43224</v>
      </c>
      <c r="J8" s="69" t="s">
        <v>167</v>
      </c>
      <c r="K8" s="31" t="s">
        <v>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0</v>
      </c>
      <c r="Y8" s="64" t="s">
        <v>74</v>
      </c>
      <c r="Z8" s="65" t="s">
        <v>73</v>
      </c>
      <c r="AB8" s="69" t="s">
        <v>167</v>
      </c>
      <c r="AC8" s="31" t="s">
        <v>0</v>
      </c>
      <c r="AE8" s="64" t="s">
        <v>74</v>
      </c>
      <c r="AF8" s="65" t="s">
        <v>73</v>
      </c>
      <c r="AH8" s="52" t="s">
        <v>164</v>
      </c>
      <c r="AI8" s="105">
        <f ca="1">COB</f>
        <v>43224</v>
      </c>
      <c r="AK8" s="52" t="s">
        <v>113</v>
      </c>
      <c r="AL8" s="31" t="s">
        <v>0</v>
      </c>
      <c r="AN8" s="12" t="s">
        <v>159</v>
      </c>
      <c r="AO8" s="16">
        <v>2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0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43224</v>
      </c>
      <c r="BG8" s="74" t="s">
        <v>165</v>
      </c>
      <c r="BH8" s="96" t="s">
        <v>2071</v>
      </c>
      <c r="BJ8" s="64" t="s">
        <v>74</v>
      </c>
      <c r="BK8" s="66" t="s">
        <v>73</v>
      </c>
      <c r="BM8" s="74" t="s">
        <v>165</v>
      </c>
      <c r="BN8" s="96" t="s">
        <v>2072</v>
      </c>
      <c r="BP8" s="64" t="s">
        <v>74</v>
      </c>
      <c r="BQ8" s="66" t="s">
        <v>73</v>
      </c>
      <c r="BS8" s="74" t="s">
        <v>165</v>
      </c>
      <c r="BT8" s="96" t="s">
        <v>2073</v>
      </c>
      <c r="BV8" s="64" t="s">
        <v>74</v>
      </c>
      <c r="BW8" s="66" t="s">
        <v>73</v>
      </c>
      <c r="BY8" s="52" t="s">
        <v>164</v>
      </c>
      <c r="BZ8" s="105">
        <f ca="1">COB</f>
        <v>43224</v>
      </c>
      <c r="CB8" s="74" t="s">
        <v>165</v>
      </c>
      <c r="CC8" s="96" t="s">
        <v>196</v>
      </c>
      <c r="CE8" s="74" t="s">
        <v>165</v>
      </c>
      <c r="CF8" s="96" t="s">
        <v>196</v>
      </c>
      <c r="CH8" s="74" t="s">
        <v>165</v>
      </c>
      <c r="CI8" s="96" t="s">
        <v>196</v>
      </c>
      <c r="CK8" s="74" t="s">
        <v>165</v>
      </c>
      <c r="CL8" s="96" t="s">
        <v>196</v>
      </c>
      <c r="CN8" s="71" t="s">
        <v>74</v>
      </c>
      <c r="CO8" s="73" t="s">
        <v>73</v>
      </c>
      <c r="CQ8" s="52" t="s">
        <v>164</v>
      </c>
      <c r="CR8" s="105">
        <f ca="1">COB</f>
        <v>43224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980</v>
      </c>
      <c r="D9" s="116"/>
      <c r="E9" s="117"/>
      <c r="F9" t="s">
        <v>12</v>
      </c>
      <c r="G9" s="53" t="s">
        <v>156</v>
      </c>
      <c r="H9" s="83" t="s">
        <v>2</v>
      </c>
      <c r="J9" s="70" t="s">
        <v>126</v>
      </c>
      <c r="K9" s="16" t="s">
        <v>3</v>
      </c>
      <c r="L9" s="203"/>
      <c r="M9" s="223" t="str">
        <f>'EUR Market Data'!B10</f>
        <v>ON</v>
      </c>
      <c r="N9" s="224">
        <f>'EUR Market Data'!F10</f>
        <v>-3.5499999999999998E-3</v>
      </c>
      <c r="O9" s="258" t="str">
        <f>IF(LEFT($M9,3)="EUS",_xll.meDateECBSwapStart(IF(ISNUMBER($O8),$O8,COB)),"")</f>
        <v/>
      </c>
      <c r="P9" s="258" t="str">
        <f>IF(LEFT($M9,3)="EUS",_xll.meDateECBSwapEnd(IF(ISNUMBER($O8),$O8,COB)),"")</f>
        <v/>
      </c>
      <c r="Q9" s="86" t="b">
        <f t="shared" ref="Q9:Q40" si="0">IF(M9="",FALSE,TRUE)</f>
        <v>1</v>
      </c>
      <c r="S9" s="90"/>
      <c r="T9" s="91"/>
      <c r="V9" s="70" t="s">
        <v>120</v>
      </c>
      <c r="W9" s="16" t="s">
        <v>3</v>
      </c>
      <c r="Y9" s="227" t="str">
        <f>'EUR Market Data'!H10</f>
        <v>2Y</v>
      </c>
      <c r="Z9" s="238">
        <f>IF('EUR Market Data'!L10="","",'EUR Market Data'!L10)</f>
        <v>5.6999999999999998E-4</v>
      </c>
      <c r="AB9" s="70" t="s">
        <v>252</v>
      </c>
      <c r="AC9" s="16" t="s">
        <v>157</v>
      </c>
      <c r="AE9" s="227" t="str">
        <f>'EUR Market Data'!N10</f>
        <v>2Y</v>
      </c>
      <c r="AF9" s="228">
        <f>'EUR Market Data'!R10</f>
        <v>-2.0660000000000001E-3</v>
      </c>
      <c r="AH9" s="53" t="s">
        <v>156</v>
      </c>
      <c r="AI9" s="83" t="s">
        <v>2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>'EUR Market Data'!AR10</f>
        <v>2Y</v>
      </c>
      <c r="BA9" s="79">
        <f>'EUR Market Data'!AV10</f>
        <v>-1.431E-3</v>
      </c>
      <c r="BB9" s="80" t="b">
        <f t="shared" ref="BB9:BB73" si="1">IF(BA9="",FALSE,TRUE)</f>
        <v>1</v>
      </c>
      <c r="BC9" s="6"/>
      <c r="BD9" s="53" t="s">
        <v>156</v>
      </c>
      <c r="BE9" s="83" t="s">
        <v>2</v>
      </c>
      <c r="BG9" s="75" t="s">
        <v>163</v>
      </c>
      <c r="BH9" s="97" t="b">
        <v>0</v>
      </c>
      <c r="BJ9" s="223" t="str">
        <f>'EUR Market Data'!AX10</f>
        <v>1Y</v>
      </c>
      <c r="BK9" s="263">
        <f>'EUR Market Data'!BB10</f>
        <v>5.9000000000000003E-4</v>
      </c>
      <c r="BM9" s="75" t="s">
        <v>163</v>
      </c>
      <c r="BN9" s="97" t="b">
        <v>0</v>
      </c>
      <c r="BP9" s="223" t="str">
        <f>'EUR Market Data'!BD10</f>
        <v>1Y</v>
      </c>
      <c r="BQ9" s="263">
        <f>'EUR Market Data'!BH10</f>
        <v>4.3499999999999995E-4</v>
      </c>
      <c r="BS9" s="75" t="s">
        <v>163</v>
      </c>
      <c r="BT9" s="97" t="b">
        <v>0</v>
      </c>
      <c r="BV9" s="223" t="str">
        <f>'EUR Market Data'!BJ10</f>
        <v>1Y</v>
      </c>
      <c r="BW9" s="263">
        <f>'EUR Market Data'!BN10</f>
        <v>6.4999999999999997E-4</v>
      </c>
      <c r="BY9" s="53" t="s">
        <v>156</v>
      </c>
      <c r="BZ9" s="83" t="s">
        <v>2</v>
      </c>
      <c r="CB9" s="75" t="s">
        <v>243</v>
      </c>
      <c r="CC9" s="97" t="s">
        <v>2261</v>
      </c>
      <c r="CE9" s="75" t="s">
        <v>243</v>
      </c>
      <c r="CF9" s="97" t="s">
        <v>2261</v>
      </c>
      <c r="CH9" s="75" t="s">
        <v>243</v>
      </c>
      <c r="CI9" s="97" t="s">
        <v>2261</v>
      </c>
      <c r="CK9" s="75" t="s">
        <v>243</v>
      </c>
      <c r="CL9" s="97" t="s">
        <v>2261</v>
      </c>
      <c r="CN9" s="223" t="str">
        <f>'EUR Market Data'!BP10</f>
        <v>1Y</v>
      </c>
      <c r="CO9" s="263">
        <f>'EUR Market Data'!BT10</f>
        <v>-2.4125000000000001E-3</v>
      </c>
      <c r="CQ9" s="53" t="s">
        <v>156</v>
      </c>
      <c r="CR9" s="83" t="s">
        <v>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981</v>
      </c>
      <c r="D10" s="119"/>
      <c r="E10" s="120"/>
      <c r="F10" t="s">
        <v>12</v>
      </c>
      <c r="G10" s="53" t="s">
        <v>97</v>
      </c>
      <c r="H10" s="83" t="s">
        <v>2261</v>
      </c>
      <c r="J10" s="70" t="s">
        <v>118</v>
      </c>
      <c r="K10" s="16" t="s">
        <v>2030</v>
      </c>
      <c r="L10" s="203"/>
      <c r="M10" s="223" t="str">
        <f>'EUR Market Data'!B11</f>
        <v>EUSF1A</v>
      </c>
      <c r="N10" s="224">
        <f>'EUR Market Data'!F11</f>
        <v>-3.62E-3</v>
      </c>
      <c r="O10" s="258">
        <f ca="1">IF(LEFT($M10,3)="EUS",_xll.meDateECBSwapStart(IF(ISNUMBER($O9),$O9,COB)),"")</f>
        <v>43271</v>
      </c>
      <c r="P10" s="258">
        <f ca="1">IF(LEFT($M10,3)="EUS",_xll.meDateECBSwapEnd(IF(ISNUMBER($O9),$O9,COB)),"")</f>
        <v>43312</v>
      </c>
      <c r="Q10" s="86" t="b">
        <f t="shared" si="0"/>
        <v>1</v>
      </c>
      <c r="S10" s="92"/>
      <c r="T10" s="93"/>
      <c r="V10" s="70" t="s">
        <v>1</v>
      </c>
      <c r="W10" s="16" t="s">
        <v>1996</v>
      </c>
      <c r="Y10" s="229" t="str">
        <f>'EUR Market Data'!H11</f>
        <v>3Y</v>
      </c>
      <c r="Z10" s="239">
        <f>IF('EUR Market Data'!L11="","",'EUR Market Data'!L11)</f>
        <v>7.0999999999999991E-4</v>
      </c>
      <c r="AB10" s="70" t="s">
        <v>977</v>
      </c>
      <c r="AC10" s="16" t="s">
        <v>2030</v>
      </c>
      <c r="AE10" s="229" t="str">
        <f>'EUR Market Data'!N11</f>
        <v>3Y</v>
      </c>
      <c r="AF10" s="230">
        <f>'EUR Market Data'!R11</f>
        <v>-3.4200000000000002E-4</v>
      </c>
      <c r="AH10" s="12" t="s">
        <v>1</v>
      </c>
      <c r="AI10" s="83" t="s">
        <v>2034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157</v>
      </c>
      <c r="AZ10" s="68" t="str">
        <f>'EUR Market Data'!AR11</f>
        <v>3Y</v>
      </c>
      <c r="BA10" s="79">
        <f>'EUR Market Data'!AV11</f>
        <v>3.48E-4</v>
      </c>
      <c r="BB10" s="80" t="b">
        <f t="shared" si="1"/>
        <v>1</v>
      </c>
      <c r="BC10" s="6"/>
      <c r="BD10" s="53" t="s">
        <v>153</v>
      </c>
      <c r="BE10" s="83" t="s">
        <v>2261</v>
      </c>
      <c r="BF10" t="s">
        <v>12</v>
      </c>
      <c r="BG10" s="53" t="s">
        <v>155</v>
      </c>
      <c r="BH10" s="16" t="s">
        <v>0</v>
      </c>
      <c r="BJ10" s="223" t="str">
        <f>'EUR Market Data'!AX11</f>
        <v>2Y</v>
      </c>
      <c r="BK10" s="263">
        <f>'EUR Market Data'!BB11</f>
        <v>6.2750000000000002E-4</v>
      </c>
      <c r="BM10" s="53" t="s">
        <v>155</v>
      </c>
      <c r="BN10" s="16" t="s">
        <v>0</v>
      </c>
      <c r="BP10" s="223" t="str">
        <f>'EUR Market Data'!BD11</f>
        <v>2Y</v>
      </c>
      <c r="BQ10" s="263">
        <f>'EUR Market Data'!BH11</f>
        <v>4.8999999999999998E-4</v>
      </c>
      <c r="BS10" s="53" t="s">
        <v>155</v>
      </c>
      <c r="BT10" s="16" t="s">
        <v>0</v>
      </c>
      <c r="BV10" s="223" t="str">
        <f>'EUR Market Data'!BJ11</f>
        <v>2Y</v>
      </c>
      <c r="BW10" s="263">
        <f>'EUR Market Data'!BN11</f>
        <v>5.9000000000000003E-4</v>
      </c>
      <c r="BY10" s="53" t="s">
        <v>153</v>
      </c>
      <c r="BZ10" s="83" t="s">
        <v>2261</v>
      </c>
      <c r="CA10" t="s">
        <v>12</v>
      </c>
      <c r="CB10" s="53" t="s">
        <v>244</v>
      </c>
      <c r="CC10" s="100" t="b">
        <v>1</v>
      </c>
      <c r="CE10" s="53" t="s">
        <v>244</v>
      </c>
      <c r="CF10" s="100" t="b">
        <v>1</v>
      </c>
      <c r="CH10" s="53" t="s">
        <v>244</v>
      </c>
      <c r="CI10" s="100" t="b">
        <v>1</v>
      </c>
      <c r="CK10" s="53" t="s">
        <v>244</v>
      </c>
      <c r="CL10" s="100" t="b">
        <v>1</v>
      </c>
      <c r="CN10" s="223" t="str">
        <f>'EUR Market Data'!BP11</f>
        <v>2Y</v>
      </c>
      <c r="CO10" s="263">
        <f>'EUR Market Data'!BT11</f>
        <v>-2.4250000000000001E-3</v>
      </c>
      <c r="CQ10" s="53" t="s">
        <v>153</v>
      </c>
      <c r="CR10" s="83" t="s">
        <v>2261</v>
      </c>
      <c r="CT10" s="53" t="s">
        <v>2037</v>
      </c>
      <c r="CU10" s="128" t="s">
        <v>196</v>
      </c>
      <c r="CW10" s="53" t="s">
        <v>2037</v>
      </c>
      <c r="CX10" s="128" t="s">
        <v>196</v>
      </c>
      <c r="CZ10" s="53" t="s">
        <v>2037</v>
      </c>
      <c r="DA10" s="128" t="s">
        <v>196</v>
      </c>
    </row>
    <row r="11" spans="2:105">
      <c r="B11" s="53" t="s">
        <v>195</v>
      </c>
      <c r="C11" s="118" t="s">
        <v>982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>'EUR Market Data'!B12</f>
        <v>EUSF2A</v>
      </c>
      <c r="N11" s="224">
        <f>'EUR Market Data'!F12</f>
        <v>-3.6099999999999999E-3</v>
      </c>
      <c r="O11" s="258">
        <f ca="1">IF(LEFT($M11,3)="EUS",_xll.meDateECBSwapStart(IF(ISNUMBER($O10),$O10,COB)),"")</f>
        <v>43313</v>
      </c>
      <c r="P11" s="258">
        <f ca="1">IF(LEFT($M11,3)="EUS",_xll.meDateECBSwapEnd(IF(ISNUMBER($O10),$O10,COB)),"")</f>
        <v>43361</v>
      </c>
      <c r="Q11" s="86" t="b">
        <f t="shared" si="0"/>
        <v>1</v>
      </c>
      <c r="S11" s="92"/>
      <c r="T11" s="93"/>
      <c r="V11" s="70" t="s">
        <v>88</v>
      </c>
      <c r="W11" s="16" t="s">
        <v>38</v>
      </c>
      <c r="Y11" s="229" t="str">
        <f>'EUR Market Data'!H12</f>
        <v>4Y</v>
      </c>
      <c r="Z11" s="239">
        <f>IF('EUR Market Data'!L12="","",'EUR Market Data'!L12)</f>
        <v>8.0000000000000004E-4</v>
      </c>
      <c r="AB11" s="70" t="s">
        <v>111</v>
      </c>
      <c r="AC11" s="16" t="s">
        <v>38</v>
      </c>
      <c r="AE11" s="229" t="str">
        <f>'EUR Market Data'!N12</f>
        <v>4Y</v>
      </c>
      <c r="AF11" s="230">
        <f>'EUR Market Data'!R12</f>
        <v>1.4649999999999999E-3</v>
      </c>
      <c r="AH11" s="53" t="s">
        <v>151</v>
      </c>
      <c r="AI11" s="134" t="s">
        <v>2263</v>
      </c>
      <c r="AJ11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152</v>
      </c>
      <c r="AX11" s="83" t="s">
        <v>3</v>
      </c>
      <c r="AZ11" s="68" t="str">
        <f>'EUR Market Data'!AR12</f>
        <v>4Y</v>
      </c>
      <c r="BA11" s="79">
        <f>'EUR Market Data'!AV12</f>
        <v>2.2100000000000002E-3</v>
      </c>
      <c r="BB11" s="80" t="b">
        <f t="shared" si="1"/>
        <v>1</v>
      </c>
      <c r="BC11" s="6"/>
      <c r="BD11" s="53" t="s">
        <v>126</v>
      </c>
      <c r="BE11" s="83" t="s">
        <v>2029</v>
      </c>
      <c r="BG11" s="53" t="s">
        <v>148</v>
      </c>
      <c r="BH11" s="16" t="s">
        <v>3</v>
      </c>
      <c r="BJ11" s="223" t="str">
        <f>'EUR Market Data'!AX12</f>
        <v>3Y</v>
      </c>
      <c r="BK11" s="263">
        <f>'EUR Market Data'!BB12</f>
        <v>6.8250000000000006E-4</v>
      </c>
      <c r="BM11" s="53" t="s">
        <v>148</v>
      </c>
      <c r="BN11" s="16" t="s">
        <v>3</v>
      </c>
      <c r="BP11" s="223" t="str">
        <f>'EUR Market Data'!BD12</f>
        <v>3Y</v>
      </c>
      <c r="BQ11" s="263">
        <f>'EUR Market Data'!BH12</f>
        <v>5.4500000000000002E-4</v>
      </c>
      <c r="BS11" s="53" t="s">
        <v>148</v>
      </c>
      <c r="BT11" s="16" t="s">
        <v>3</v>
      </c>
      <c r="BV11" s="223" t="str">
        <f>'EUR Market Data'!BJ12</f>
        <v>3Y</v>
      </c>
      <c r="BW11" s="263">
        <f>'EUR Market Data'!BN12</f>
        <v>5.9999999999999995E-4</v>
      </c>
      <c r="BY11" s="53" t="s">
        <v>147</v>
      </c>
      <c r="BZ11" s="83" t="s">
        <v>2074</v>
      </c>
      <c r="CB11" s="53" t="s">
        <v>206</v>
      </c>
      <c r="CC11" s="83" t="s">
        <v>2036</v>
      </c>
      <c r="CE11" s="53" t="s">
        <v>206</v>
      </c>
      <c r="CF11" s="83" t="s">
        <v>2036</v>
      </c>
      <c r="CH11" s="53" t="s">
        <v>206</v>
      </c>
      <c r="CI11" s="83" t="s">
        <v>2036</v>
      </c>
      <c r="CK11" s="53" t="s">
        <v>206</v>
      </c>
      <c r="CL11" s="83" t="s">
        <v>2036</v>
      </c>
      <c r="CN11" s="223" t="str">
        <f>'EUR Market Data'!BP12</f>
        <v>3Y</v>
      </c>
      <c r="CO11" s="263">
        <f>'EUR Market Data'!BT12</f>
        <v>-2.4250000000000001E-3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983</v>
      </c>
      <c r="D12" s="119"/>
      <c r="E12" s="120"/>
      <c r="F12" t="s">
        <v>12</v>
      </c>
      <c r="G12" s="53"/>
      <c r="H12" s="83"/>
      <c r="J12" s="70" t="s">
        <v>130</v>
      </c>
      <c r="K12" s="16" t="s">
        <v>361</v>
      </c>
      <c r="L12" s="203"/>
      <c r="M12" s="223" t="str">
        <f>'EUR Market Data'!B13</f>
        <v>EUSF3A</v>
      </c>
      <c r="N12" s="224">
        <f>'EUR Market Data'!F13</f>
        <v>-3.5899999999999999E-3</v>
      </c>
      <c r="O12" s="258">
        <f ca="1">IF(LEFT($M12,3)="EUS",_xll.meDateECBSwapStart(IF(ISNUMBER($O11),$O11,COB)),"")</f>
        <v>43362</v>
      </c>
      <c r="P12" s="258">
        <f ca="1">IF(LEFT($M12,3)="EUS",_xll.meDateECBSwapEnd(IF(ISNUMBER($O11),$O11,COB)),"")</f>
        <v>43403</v>
      </c>
      <c r="Q12" s="86" t="b">
        <f t="shared" si="0"/>
        <v>1</v>
      </c>
      <c r="S12" s="92"/>
      <c r="T12" s="93"/>
      <c r="V12" s="70"/>
      <c r="W12" s="16"/>
      <c r="Y12" s="229" t="str">
        <f>'EUR Market Data'!H13</f>
        <v>5Y</v>
      </c>
      <c r="Z12" s="239">
        <f>IF('EUR Market Data'!L13="","",'EUR Market Data'!L13)</f>
        <v>8.8000000000000003E-4</v>
      </c>
      <c r="AB12" s="70"/>
      <c r="AC12" s="16"/>
      <c r="AE12" s="229" t="str">
        <f>'EUR Market Data'!N13</f>
        <v>5Y</v>
      </c>
      <c r="AF12" s="230">
        <f>'EUR Market Data'!R13</f>
        <v>3.0899999999999999E-3</v>
      </c>
      <c r="AH12" s="53" t="s">
        <v>97</v>
      </c>
      <c r="AI12" s="134" t="s">
        <v>2263</v>
      </c>
      <c r="AJ12" t="s">
        <v>12</v>
      </c>
      <c r="AK12" s="59"/>
      <c r="AL12" s="17"/>
      <c r="AN12" s="60" t="s">
        <v>1477</v>
      </c>
      <c r="AO12" s="17">
        <f>ForwardCharts.TensionGap</f>
        <v>2</v>
      </c>
      <c r="AQ12" s="60" t="s">
        <v>1477</v>
      </c>
      <c r="AR12" s="415"/>
      <c r="AS12" s="24"/>
      <c r="AT12" s="24"/>
      <c r="AU12" s="25"/>
      <c r="AW12" s="53" t="s">
        <v>1</v>
      </c>
      <c r="AX12" s="83" t="s">
        <v>146</v>
      </c>
      <c r="AZ12" s="68" t="str">
        <f>'EUR Market Data'!AR13</f>
        <v>5Y</v>
      </c>
      <c r="BA12" s="79">
        <f>'EUR Market Data'!AV13</f>
        <v>3.8800000000000002E-3</v>
      </c>
      <c r="BB12" s="80" t="b">
        <f t="shared" si="1"/>
        <v>1</v>
      </c>
      <c r="BC12" s="6"/>
      <c r="BD12" s="53" t="s">
        <v>151</v>
      </c>
      <c r="BE12" s="83" t="s">
        <v>2261</v>
      </c>
      <c r="BF12" t="s">
        <v>12</v>
      </c>
      <c r="BG12" s="53" t="s">
        <v>145</v>
      </c>
      <c r="BH12" s="16" t="s">
        <v>995</v>
      </c>
      <c r="BJ12" s="223" t="str">
        <f>'EUR Market Data'!AX13</f>
        <v>4Y</v>
      </c>
      <c r="BK12" s="263">
        <f>'EUR Market Data'!BB13</f>
        <v>7.3749999999999998E-4</v>
      </c>
      <c r="BM12" s="53" t="s">
        <v>145</v>
      </c>
      <c r="BN12" s="16" t="s">
        <v>1996</v>
      </c>
      <c r="BP12" s="223" t="str">
        <f>'EUR Market Data'!BD13</f>
        <v>4Y</v>
      </c>
      <c r="BQ12" s="263">
        <f>'EUR Market Data'!BH13</f>
        <v>5.9000000000000003E-4</v>
      </c>
      <c r="BS12" s="53" t="s">
        <v>145</v>
      </c>
      <c r="BT12" s="16" t="s">
        <v>146</v>
      </c>
      <c r="BV12" s="223" t="str">
        <f>'EUR Market Data'!BJ13</f>
        <v>4Y</v>
      </c>
      <c r="BW12" s="263">
        <f>'EUR Market Data'!BN13</f>
        <v>6.3000000000000003E-4</v>
      </c>
      <c r="BY12" s="53" t="s">
        <v>126</v>
      </c>
      <c r="BZ12" s="83" t="s">
        <v>2029</v>
      </c>
      <c r="CB12" s="53" t="s">
        <v>211</v>
      </c>
      <c r="CC12" s="83" t="s">
        <v>3</v>
      </c>
      <c r="CE12" s="53" t="s">
        <v>211</v>
      </c>
      <c r="CF12" s="83" t="s">
        <v>3</v>
      </c>
      <c r="CH12" s="53" t="s">
        <v>211</v>
      </c>
      <c r="CI12" s="83" t="s">
        <v>3</v>
      </c>
      <c r="CK12" s="53" t="s">
        <v>211</v>
      </c>
      <c r="CL12" s="83" t="s">
        <v>3</v>
      </c>
      <c r="CN12" s="223" t="str">
        <f>'EUR Market Data'!BP13</f>
        <v>4Y</v>
      </c>
      <c r="CO12" s="263">
        <f>'EUR Market Data'!BT13</f>
        <v>-2.4499999999999999E-3</v>
      </c>
      <c r="CQ12" s="53" t="s">
        <v>126</v>
      </c>
      <c r="CR12" s="83" t="s">
        <v>2029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1035</v>
      </c>
      <c r="D13" s="119"/>
      <c r="E13" s="120"/>
      <c r="F13" t="s">
        <v>12</v>
      </c>
      <c r="G13" s="53"/>
      <c r="H13" s="83"/>
      <c r="J13" s="70" t="s">
        <v>150</v>
      </c>
      <c r="K13" s="16" t="s">
        <v>149</v>
      </c>
      <c r="L13" s="203"/>
      <c r="M13" s="223" t="str">
        <f>'EUR Market Data'!B14</f>
        <v>EUSF4A</v>
      </c>
      <c r="N13" s="224">
        <f>'EUR Market Data'!F14</f>
        <v>-3.5799999999999998E-3</v>
      </c>
      <c r="O13" s="258">
        <f ca="1">IF(LEFT($M13,3)="EUS",_xll.meDateECBSwapStart(IF(ISNUMBER($O12),$O12,COB)),"")</f>
        <v>43404</v>
      </c>
      <c r="P13" s="258">
        <f ca="1">IF(LEFT($M13,3)="EUS",_xll.meDateECBSwapEnd(IF(ISNUMBER($O12),$O12,COB)),"")</f>
        <v>43452</v>
      </c>
      <c r="Q13" s="86" t="b">
        <f t="shared" si="0"/>
        <v>1</v>
      </c>
      <c r="S13" s="92"/>
      <c r="T13" s="93"/>
      <c r="V13" s="70"/>
      <c r="W13" s="16"/>
      <c r="Y13" s="229" t="str">
        <f>'EUR Market Data'!H14</f>
        <v>6Y</v>
      </c>
      <c r="Z13" s="239">
        <f>IF('EUR Market Data'!L14="","",'EUR Market Data'!L14)</f>
        <v>9.5E-4</v>
      </c>
      <c r="AB13" s="70"/>
      <c r="AC13" s="16"/>
      <c r="AE13" s="229" t="str">
        <f>'EUR Market Data'!N14</f>
        <v>6Y</v>
      </c>
      <c r="AF13" s="230">
        <f>'EUR Market Data'!R14</f>
        <v>4.5539999999999999E-3</v>
      </c>
      <c r="AH13" s="12" t="s">
        <v>223</v>
      </c>
      <c r="AI13" s="83" t="b">
        <v>1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68" t="str">
        <f>'EUR Market Data'!AR14</f>
        <v>6Y</v>
      </c>
      <c r="BA13" s="79">
        <f>'EUR Market Data'!AV14</f>
        <v>5.3740000000000003E-3</v>
      </c>
      <c r="BB13" s="80" t="b">
        <f t="shared" si="1"/>
        <v>1</v>
      </c>
      <c r="BC13" s="6"/>
      <c r="BD13" s="53" t="s">
        <v>97</v>
      </c>
      <c r="BE13" s="83" t="s">
        <v>2261</v>
      </c>
      <c r="BF13" t="s">
        <v>12</v>
      </c>
      <c r="BG13" s="53" t="s">
        <v>142</v>
      </c>
      <c r="BH13" s="16" t="s">
        <v>38</v>
      </c>
      <c r="BJ13" s="223" t="str">
        <f>'EUR Market Data'!AX14</f>
        <v>5Y</v>
      </c>
      <c r="BK13" s="263">
        <f>'EUR Market Data'!BB14</f>
        <v>7.7750000000000009E-4</v>
      </c>
      <c r="BM13" s="53" t="s">
        <v>142</v>
      </c>
      <c r="BN13" s="16" t="s">
        <v>38</v>
      </c>
      <c r="BP13" s="223" t="str">
        <f>'EUR Market Data'!BD14</f>
        <v>5Y</v>
      </c>
      <c r="BQ13" s="263">
        <f>'EUR Market Data'!BH14</f>
        <v>6.4999999999999997E-4</v>
      </c>
      <c r="BS13" s="53" t="s">
        <v>142</v>
      </c>
      <c r="BT13" s="16" t="s">
        <v>38</v>
      </c>
      <c r="BV13" s="223" t="str">
        <f>'EUR Market Data'!BJ14</f>
        <v>5Y</v>
      </c>
      <c r="BW13" s="263">
        <f>'EUR Market Data'!BN14</f>
        <v>6.6E-4</v>
      </c>
      <c r="BY13" s="53" t="s">
        <v>118</v>
      </c>
      <c r="BZ13" s="83" t="s">
        <v>2034</v>
      </c>
      <c r="CB13" s="53" t="s">
        <v>213</v>
      </c>
      <c r="CC13" s="83" t="s">
        <v>1996</v>
      </c>
      <c r="CE13" s="53" t="s">
        <v>213</v>
      </c>
      <c r="CF13" s="83" t="s">
        <v>1996</v>
      </c>
      <c r="CH13" s="53" t="s">
        <v>213</v>
      </c>
      <c r="CI13" s="83" t="s">
        <v>1996</v>
      </c>
      <c r="CK13" s="53" t="s">
        <v>213</v>
      </c>
      <c r="CL13" s="83" t="s">
        <v>1996</v>
      </c>
      <c r="CN13" s="223" t="str">
        <f>'EUR Market Data'!BP14</f>
        <v>5Y</v>
      </c>
      <c r="CO13" s="263">
        <f>'EUR Market Data'!BT14</f>
        <v>-2.5000000000000001E-3</v>
      </c>
      <c r="CQ13" s="53" t="s">
        <v>118</v>
      </c>
      <c r="CR13" s="83" t="s">
        <v>2034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292" t="s">
        <v>6</v>
      </c>
      <c r="D14" s="119"/>
      <c r="E14" s="120"/>
      <c r="F14" t="s">
        <v>12</v>
      </c>
      <c r="G14" s="53"/>
      <c r="H14" s="83"/>
      <c r="J14" s="70" t="s">
        <v>111</v>
      </c>
      <c r="K14" s="16" t="s">
        <v>38</v>
      </c>
      <c r="L14" s="203"/>
      <c r="M14" s="223" t="str">
        <f>'EUR Market Data'!B15</f>
        <v>12M</v>
      </c>
      <c r="N14" s="224">
        <f>'EUR Market Data'!F15</f>
        <v>-3.5299999999999997E-3</v>
      </c>
      <c r="O14" s="258" t="str">
        <f>IF(LEFT($M14,3)="EUS",_xll.meDateECBSwapStart(IF(ISNUMBER($O13),$O13,COB)),"")</f>
        <v/>
      </c>
      <c r="P14" s="258" t="str">
        <f>IF(LEFT($M14,3)="EUS",_xll.meDateECBSwapEnd(IF(ISNUMBER($O13),$O13,COB)),"")</f>
        <v/>
      </c>
      <c r="Q14" s="86" t="b">
        <f t="shared" si="0"/>
        <v>1</v>
      </c>
      <c r="S14" s="92"/>
      <c r="T14" s="93"/>
      <c r="V14" s="70"/>
      <c r="W14" s="16"/>
      <c r="Y14" s="229" t="str">
        <f>'EUR Market Data'!H15</f>
        <v>7Y</v>
      </c>
      <c r="Z14" s="239">
        <f>IF('EUR Market Data'!L15="","",'EUR Market Data'!L15)</f>
        <v>9.8999999999999999E-4</v>
      </c>
      <c r="AB14" s="70"/>
      <c r="AC14" s="16"/>
      <c r="AE14" s="229" t="str">
        <f>'EUR Market Data'!N15</f>
        <v>7Y</v>
      </c>
      <c r="AF14" s="230">
        <f>'EUR Market Data'!R15</f>
        <v>5.8709999999999995E-3</v>
      </c>
      <c r="AH14" s="12" t="s">
        <v>220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246</v>
      </c>
      <c r="AX14" s="83" t="s">
        <v>76</v>
      </c>
      <c r="AZ14" s="68" t="str">
        <f>'EUR Market Data'!AR15</f>
        <v>7Y</v>
      </c>
      <c r="BA14" s="79">
        <f>'EUR Market Data'!AV15</f>
        <v>6.711E-3</v>
      </c>
      <c r="BB14" s="80" t="b">
        <f t="shared" si="1"/>
        <v>1</v>
      </c>
      <c r="BC14" s="6"/>
      <c r="BD14" s="12" t="s">
        <v>2075</v>
      </c>
      <c r="BE14" s="83" t="s">
        <v>2261</v>
      </c>
      <c r="BF14" t="s">
        <v>12</v>
      </c>
      <c r="BG14" s="53" t="s">
        <v>136</v>
      </c>
      <c r="BH14" s="16" t="s">
        <v>41</v>
      </c>
      <c r="BJ14" s="223" t="str">
        <f>'EUR Market Data'!AX15</f>
        <v>6Y</v>
      </c>
      <c r="BK14" s="263">
        <f>'EUR Market Data'!BB15</f>
        <v>8.0749999999999995E-4</v>
      </c>
      <c r="BM14" s="53" t="s">
        <v>136</v>
      </c>
      <c r="BN14" s="16" t="s">
        <v>41</v>
      </c>
      <c r="BP14" s="223" t="str">
        <f>'EUR Market Data'!BD15</f>
        <v>6Y</v>
      </c>
      <c r="BQ14" s="263">
        <f>'EUR Market Data'!BH15</f>
        <v>6.6E-4</v>
      </c>
      <c r="BS14" s="53" t="s">
        <v>136</v>
      </c>
      <c r="BT14" s="16" t="s">
        <v>41</v>
      </c>
      <c r="BV14" s="223" t="str">
        <f>'EUR Market Data'!BJ15</f>
        <v>6Y</v>
      </c>
      <c r="BW14" s="263">
        <f>'EUR Market Data'!BN15</f>
        <v>6.7999999999999994E-4</v>
      </c>
      <c r="BY14" s="53" t="s">
        <v>151</v>
      </c>
      <c r="BZ14" s="83" t="s">
        <v>2261</v>
      </c>
      <c r="CA14" t="s">
        <v>12</v>
      </c>
      <c r="CB14" s="53" t="s">
        <v>216</v>
      </c>
      <c r="CC14" s="83" t="s">
        <v>38</v>
      </c>
      <c r="CE14" s="53" t="s">
        <v>216</v>
      </c>
      <c r="CF14" s="83" t="s">
        <v>38</v>
      </c>
      <c r="CH14" s="53" t="s">
        <v>216</v>
      </c>
      <c r="CI14" s="83" t="s">
        <v>38</v>
      </c>
      <c r="CK14" s="53" t="s">
        <v>216</v>
      </c>
      <c r="CL14" s="83" t="s">
        <v>38</v>
      </c>
      <c r="CN14" s="223" t="str">
        <f>'EUR Market Data'!BP15</f>
        <v>6Y</v>
      </c>
      <c r="CO14" s="263">
        <f>'EUR Market Data'!BT15</f>
        <v>-2.5625000000000001E-3</v>
      </c>
      <c r="CQ14" s="53" t="s">
        <v>151</v>
      </c>
      <c r="CR14" s="83" t="s">
        <v>2261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984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>'EUR Market Data'!B16</f>
        <v>18M</v>
      </c>
      <c r="N15" s="224">
        <f>'EUR Market Data'!F16</f>
        <v>-3.1800000000000001E-3</v>
      </c>
      <c r="O15" s="258" t="str">
        <f>IF(LEFT($M15,3)="EUS",_xll.meDateECBSwapStart(IF(ISNUMBER($O14),$O14,COB)),"")</f>
        <v/>
      </c>
      <c r="P15" s="258" t="str">
        <f>IF(LEFT($M15,3)="EUS",_xll.meDateECBSwapEnd(IF(ISNUMBER($O14),$O14,COB)),"")</f>
        <v/>
      </c>
      <c r="Q15" s="86" t="b">
        <f t="shared" si="0"/>
        <v>1</v>
      </c>
      <c r="S15" s="92"/>
      <c r="T15" s="93"/>
      <c r="V15" s="70"/>
      <c r="W15" s="16"/>
      <c r="Y15" s="229" t="str">
        <f>'EUR Market Data'!H16</f>
        <v>8Y</v>
      </c>
      <c r="Z15" s="239">
        <f>IF('EUR Market Data'!L16="","",'EUR Market Data'!L16)</f>
        <v>1.01E-3</v>
      </c>
      <c r="AB15" s="70"/>
      <c r="AC15" s="16"/>
      <c r="AE15" s="229" t="str">
        <f>'EUR Market Data'!N16</f>
        <v>8Y</v>
      </c>
      <c r="AF15" s="230">
        <f>'EUR Market Data'!R16</f>
        <v>7.0520000000000001E-3</v>
      </c>
      <c r="AH15" s="12" t="s">
        <v>79</v>
      </c>
      <c r="AI15" s="83" t="s">
        <v>189</v>
      </c>
      <c r="AK15" s="11" t="s">
        <v>113</v>
      </c>
      <c r="AL15" s="32" t="s">
        <v>0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4</v>
      </c>
      <c r="AX15" s="83" t="s">
        <v>2261</v>
      </c>
      <c r="AY15" t="s">
        <v>12</v>
      </c>
      <c r="AZ15" s="68" t="str">
        <f>'EUR Market Data'!AR16</f>
        <v>8Y</v>
      </c>
      <c r="BA15" s="79">
        <f>'EUR Market Data'!AV16</f>
        <v>7.9069999999999991E-3</v>
      </c>
      <c r="BB15" s="80" t="b">
        <f t="shared" si="1"/>
        <v>1</v>
      </c>
      <c r="BC15" s="6"/>
      <c r="BD15" s="12" t="s">
        <v>2079</v>
      </c>
      <c r="BE15" s="83" t="s">
        <v>2261</v>
      </c>
      <c r="BF15" t="s">
        <v>12</v>
      </c>
      <c r="BG15" s="53" t="s">
        <v>128</v>
      </c>
      <c r="BH15" s="28" t="s">
        <v>189</v>
      </c>
      <c r="BJ15" s="223" t="str">
        <f>'EUR Market Data'!AX16</f>
        <v>7Y</v>
      </c>
      <c r="BK15" s="263">
        <f>'EUR Market Data'!BB16</f>
        <v>8.275E-4</v>
      </c>
      <c r="BM15" s="53" t="s">
        <v>128</v>
      </c>
      <c r="BN15" s="28" t="s">
        <v>189</v>
      </c>
      <c r="BP15" s="223" t="str">
        <f>'EUR Market Data'!BD16</f>
        <v>7Y</v>
      </c>
      <c r="BQ15" s="263">
        <f>'EUR Market Data'!BH16</f>
        <v>6.5499999999999998E-4</v>
      </c>
      <c r="BS15" s="53" t="s">
        <v>128</v>
      </c>
      <c r="BT15" s="28" t="s">
        <v>189</v>
      </c>
      <c r="BV15" s="223" t="str">
        <f>'EUR Market Data'!BJ16</f>
        <v>7Y</v>
      </c>
      <c r="BW15" s="263">
        <f>'EUR Market Data'!BN16</f>
        <v>6.9000000000000008E-4</v>
      </c>
      <c r="BY15" s="53" t="s">
        <v>218</v>
      </c>
      <c r="BZ15" s="83" t="b">
        <v>0</v>
      </c>
      <c r="CB15" s="53" t="s">
        <v>219</v>
      </c>
      <c r="CC15" s="83" t="s">
        <v>361</v>
      </c>
      <c r="CE15" s="53" t="s">
        <v>219</v>
      </c>
      <c r="CF15" s="83" t="s">
        <v>361</v>
      </c>
      <c r="CH15" s="53" t="s">
        <v>219</v>
      </c>
      <c r="CI15" s="83" t="s">
        <v>361</v>
      </c>
      <c r="CK15" s="53" t="s">
        <v>219</v>
      </c>
      <c r="CL15" s="83" t="s">
        <v>361</v>
      </c>
      <c r="CN15" s="223" t="str">
        <f>'EUR Market Data'!BP16</f>
        <v>7Y</v>
      </c>
      <c r="CO15" s="263">
        <f>'EUR Market Data'!BT16</f>
        <v>-2.5999999999999999E-3</v>
      </c>
      <c r="CQ15" s="53" t="s">
        <v>218</v>
      </c>
      <c r="CR15" s="83" t="b">
        <v>0</v>
      </c>
      <c r="CT15" s="53"/>
      <c r="CU15" s="83"/>
      <c r="CW15" s="133"/>
      <c r="CX15" s="134"/>
      <c r="CZ15" s="53"/>
      <c r="DA15" s="83"/>
    </row>
    <row r="16" spans="2:105">
      <c r="B16" s="53" t="s">
        <v>197</v>
      </c>
      <c r="C16" s="118" t="s">
        <v>985</v>
      </c>
      <c r="D16" s="119"/>
      <c r="E16" s="120"/>
      <c r="F16" t="s">
        <v>12</v>
      </c>
      <c r="G16" s="53"/>
      <c r="H16" s="83"/>
      <c r="J16" s="70" t="s">
        <v>926</v>
      </c>
      <c r="K16" s="215" t="s">
        <v>959</v>
      </c>
      <c r="L16" s="203"/>
      <c r="M16" s="223" t="str">
        <f>'EUR Market Data'!B17</f>
        <v>2Y</v>
      </c>
      <c r="N16" s="224">
        <f>'EUR Market Data'!F17</f>
        <v>-2.5900000000000003E-3</v>
      </c>
      <c r="O16" s="258" t="str">
        <f>IF(LEFT($M16,3)="EUS",_xll.meDateECBSwapStart(IF(ISNUMBER($O15),$O15,COB)),"")</f>
        <v/>
      </c>
      <c r="P16" s="258" t="str">
        <f>IF(LEFT($M16,3)="EUS",_xll.meDateECBSwapEnd(IF(ISNUMBER($O15),$O15,COB)),"")</f>
        <v/>
      </c>
      <c r="Q16" s="86" t="b">
        <f t="shared" si="0"/>
        <v>1</v>
      </c>
      <c r="S16" s="92"/>
      <c r="T16" s="93"/>
      <c r="V16" s="70"/>
      <c r="W16" s="16"/>
      <c r="Y16" s="229" t="str">
        <f>'EUR Market Data'!H17</f>
        <v>9Y</v>
      </c>
      <c r="Z16" s="239">
        <f>IF('EUR Market Data'!L17="","",'EUR Market Data'!L17)</f>
        <v>1.0300000000000001E-3</v>
      </c>
      <c r="AB16" s="70"/>
      <c r="AC16" s="16"/>
      <c r="AE16" s="229" t="str">
        <f>'EUR Market Data'!N17</f>
        <v>9Y</v>
      </c>
      <c r="AF16" s="230">
        <f>'EUR Market Data'!R17</f>
        <v>8.1180000000000002E-3</v>
      </c>
      <c r="AH16" s="12" t="s">
        <v>2230</v>
      </c>
      <c r="AI16" s="83" t="b">
        <v>1</v>
      </c>
      <c r="AK16" s="12" t="s">
        <v>120</v>
      </c>
      <c r="AL16" s="16" t="s">
        <v>3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119</v>
      </c>
      <c r="AX16" s="83" t="b">
        <v>1</v>
      </c>
      <c r="AZ16" s="68" t="str">
        <f>'EUR Market Data'!AR17</f>
        <v>9Y</v>
      </c>
      <c r="BA16" s="79">
        <f>'EUR Market Data'!AV17</f>
        <v>8.9779999999999999E-3</v>
      </c>
      <c r="BB16" s="80" t="b">
        <f t="shared" si="1"/>
        <v>1</v>
      </c>
      <c r="BC16" s="6"/>
      <c r="BD16" s="12" t="s">
        <v>79</v>
      </c>
      <c r="BE16" s="83" t="s">
        <v>189</v>
      </c>
      <c r="BG16" s="53" t="s">
        <v>122</v>
      </c>
      <c r="BH16" s="28" t="s">
        <v>61</v>
      </c>
      <c r="BJ16" s="223" t="str">
        <f>'EUR Market Data'!AX17</f>
        <v>8Y</v>
      </c>
      <c r="BK16" s="263">
        <f>'EUR Market Data'!BB17</f>
        <v>8.3750000000000003E-4</v>
      </c>
      <c r="BM16" s="53" t="s">
        <v>122</v>
      </c>
      <c r="BN16" s="104" t="s">
        <v>1031</v>
      </c>
      <c r="BP16" s="223" t="str">
        <f>'EUR Market Data'!BD17</f>
        <v>8Y</v>
      </c>
      <c r="BQ16" s="263">
        <f>'EUR Market Data'!BH17</f>
        <v>6.4999999999999997E-4</v>
      </c>
      <c r="BS16" s="53" t="s">
        <v>122</v>
      </c>
      <c r="BT16" s="28" t="s">
        <v>61</v>
      </c>
      <c r="BV16" s="223" t="str">
        <f>'EUR Market Data'!BJ17</f>
        <v>8Y</v>
      </c>
      <c r="BW16" s="263">
        <f>'EUR Market Data'!BN17</f>
        <v>6.9000000000000008E-4</v>
      </c>
      <c r="BY16" s="53" t="s">
        <v>106</v>
      </c>
      <c r="BZ16" s="83" t="b">
        <v>0</v>
      </c>
      <c r="CB16" s="53" t="s">
        <v>204</v>
      </c>
      <c r="CC16" s="28" t="s">
        <v>189</v>
      </c>
      <c r="CE16" s="53" t="s">
        <v>204</v>
      </c>
      <c r="CF16" s="28" t="s">
        <v>189</v>
      </c>
      <c r="CH16" s="53" t="s">
        <v>204</v>
      </c>
      <c r="CI16" s="28" t="s">
        <v>189</v>
      </c>
      <c r="CK16" s="53" t="s">
        <v>204</v>
      </c>
      <c r="CL16" s="28" t="s">
        <v>189</v>
      </c>
      <c r="CN16" s="223" t="str">
        <f>'EUR Market Data'!BP17</f>
        <v>8Y</v>
      </c>
      <c r="CO16" s="263">
        <f>'EUR Market Data'!BT17</f>
        <v>-2.6124999999999998E-3</v>
      </c>
      <c r="CQ16" s="53" t="s">
        <v>106</v>
      </c>
      <c r="CR16" s="83" t="b">
        <v>0</v>
      </c>
      <c r="CT16" s="53"/>
      <c r="CU16" s="83"/>
      <c r="CW16" s="133"/>
      <c r="CX16" s="134"/>
      <c r="CZ16" s="53"/>
      <c r="DA16" s="83"/>
    </row>
    <row r="17" spans="2:107">
      <c r="B17" s="59"/>
      <c r="C17" s="121"/>
      <c r="D17" s="122"/>
      <c r="E17" s="123"/>
      <c r="F17" t="s">
        <v>12</v>
      </c>
      <c r="G17" s="53"/>
      <c r="H17" s="83"/>
      <c r="J17" s="70" t="s">
        <v>927</v>
      </c>
      <c r="K17" s="215" t="s">
        <v>37</v>
      </c>
      <c r="L17" s="203"/>
      <c r="M17" s="223" t="str">
        <f>'EUR Market Data'!B18</f>
        <v>3Y</v>
      </c>
      <c r="N17" s="224">
        <f>'EUR Market Data'!F18</f>
        <v>-1.0499999999999999E-3</v>
      </c>
      <c r="O17" s="258" t="str">
        <f>IF(LEFT($M17,3)="EUS",_xll.meDateECBSwapStart(IF(ISNUMBER($O16),$O16,COB)),"")</f>
        <v/>
      </c>
      <c r="P17" s="258" t="str">
        <f>IF(LEFT($M17,3)="EUS",_xll.meDateECBSwapEnd(IF(ISNUMBER($O16),$O16,COB)),"")</f>
        <v/>
      </c>
      <c r="Q17" s="86" t="b">
        <f t="shared" si="0"/>
        <v>1</v>
      </c>
      <c r="S17" s="92"/>
      <c r="T17" s="93"/>
      <c r="V17" s="70"/>
      <c r="W17" s="16"/>
      <c r="Y17" s="229" t="str">
        <f>'EUR Market Data'!H18</f>
        <v>10Y</v>
      </c>
      <c r="Z17" s="239">
        <f>IF('EUR Market Data'!L18="","",'EUR Market Data'!L18)</f>
        <v>1.0300000000000001E-3</v>
      </c>
      <c r="AB17" s="70"/>
      <c r="AC17" s="16"/>
      <c r="AE17" s="229" t="str">
        <f>'EUR Market Data'!N18</f>
        <v>10Y</v>
      </c>
      <c r="AF17" s="230">
        <f>'EUR Market Data'!R18</f>
        <v>9.0790000000000003E-3</v>
      </c>
      <c r="AH17" s="12" t="s">
        <v>135</v>
      </c>
      <c r="AI17" s="134" t="s">
        <v>2263</v>
      </c>
      <c r="AJ17" t="s">
        <v>12</v>
      </c>
      <c r="AK17" s="12" t="s">
        <v>1</v>
      </c>
      <c r="AL17" s="16" t="s">
        <v>2034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107</v>
      </c>
      <c r="AX17" s="83" t="b">
        <v>1</v>
      </c>
      <c r="AZ17" s="68" t="str">
        <f>'EUR Market Data'!AR18</f>
        <v>10Y</v>
      </c>
      <c r="BA17" s="79">
        <f>'EUR Market Data'!AV18</f>
        <v>9.9389999999999999E-3</v>
      </c>
      <c r="BB17" s="80" t="b">
        <f t="shared" si="1"/>
        <v>1</v>
      </c>
      <c r="BC17" s="6"/>
      <c r="BD17" s="12"/>
      <c r="BE17" s="83"/>
      <c r="BG17" s="53" t="s">
        <v>116</v>
      </c>
      <c r="BH17" s="104" t="s">
        <v>22</v>
      </c>
      <c r="BJ17" s="223" t="str">
        <f>'EUR Market Data'!AX18</f>
        <v>9Y</v>
      </c>
      <c r="BK17" s="263">
        <f>'EUR Market Data'!BB18</f>
        <v>8.4250000000000004E-4</v>
      </c>
      <c r="BM17" s="53" t="s">
        <v>116</v>
      </c>
      <c r="BN17" s="104" t="s">
        <v>51</v>
      </c>
      <c r="BP17" s="223" t="str">
        <f>'EUR Market Data'!BD18</f>
        <v>9Y</v>
      </c>
      <c r="BQ17" s="263">
        <f>'EUR Market Data'!BH18</f>
        <v>6.4500000000000007E-4</v>
      </c>
      <c r="BS17" s="53" t="s">
        <v>116</v>
      </c>
      <c r="BT17" s="104" t="s">
        <v>250</v>
      </c>
      <c r="BV17" s="223" t="str">
        <f>'EUR Market Data'!BJ18</f>
        <v>9Y</v>
      </c>
      <c r="BW17" s="263">
        <f>'EUR Market Data'!BN18</f>
        <v>6.9999999999999999E-4</v>
      </c>
      <c r="BY17" s="53" t="s">
        <v>103</v>
      </c>
      <c r="BZ17" s="83" t="b">
        <v>0</v>
      </c>
      <c r="CB17" s="53" t="s">
        <v>208</v>
      </c>
      <c r="CC17" s="28" t="s">
        <v>1031</v>
      </c>
      <c r="CE17" s="53" t="s">
        <v>208</v>
      </c>
      <c r="CF17" s="28" t="s">
        <v>1031</v>
      </c>
      <c r="CH17" s="53" t="s">
        <v>208</v>
      </c>
      <c r="CI17" s="28" t="s">
        <v>1031</v>
      </c>
      <c r="CK17" s="53" t="s">
        <v>208</v>
      </c>
      <c r="CL17" s="28" t="s">
        <v>1031</v>
      </c>
      <c r="CN17" s="223" t="str">
        <f>'EUR Market Data'!BP18</f>
        <v>9Y</v>
      </c>
      <c r="CO17" s="263">
        <f>'EUR Market Data'!BT18</f>
        <v>-2.5999999999999999E-3</v>
      </c>
      <c r="CQ17" s="53" t="s">
        <v>103</v>
      </c>
      <c r="CR17" s="83" t="b">
        <v>0</v>
      </c>
      <c r="CT17" s="53"/>
      <c r="CU17" s="83"/>
      <c r="CW17" s="133"/>
      <c r="CX17" s="134"/>
      <c r="CZ17" s="53"/>
      <c r="DA17" s="83"/>
    </row>
    <row r="18" spans="2:107">
      <c r="F18" t="s">
        <v>12</v>
      </c>
      <c r="G18" s="53"/>
      <c r="H18" s="83"/>
      <c r="J18" s="53" t="s">
        <v>1448</v>
      </c>
      <c r="K18" s="215" t="s">
        <v>1449</v>
      </c>
      <c r="L18" s="203"/>
      <c r="M18" s="223" t="str">
        <f>'EUR Market Data'!B19</f>
        <v>4Y</v>
      </c>
      <c r="N18" s="224">
        <f>'EUR Market Data'!F19</f>
        <v>6.3000000000000003E-4</v>
      </c>
      <c r="O18" s="258" t="str">
        <f>IF(LEFT($M18,3)="EUS",_xll.meDateECBSwapStart(IF(ISNUMBER($O17),$O17,COB)),"")</f>
        <v/>
      </c>
      <c r="P18" s="258" t="str">
        <f>IF(LEFT($M18,3)="EUS",_xll.meDateECBSwapEnd(IF(ISNUMBER($O17),$O17,COB)),"")</f>
        <v/>
      </c>
      <c r="Q18" s="86" t="b">
        <f t="shared" si="0"/>
        <v>1</v>
      </c>
      <c r="S18" s="92"/>
      <c r="T18" s="93"/>
      <c r="V18" s="53"/>
      <c r="W18" s="16"/>
      <c r="Y18" s="229" t="str">
        <f>'EUR Market Data'!H19</f>
        <v>11Y</v>
      </c>
      <c r="Z18" s="239">
        <f>IF('EUR Market Data'!L19="","",'EUR Market Data'!L19)</f>
        <v>1.0300000000000001E-3</v>
      </c>
      <c r="AB18" s="53"/>
      <c r="AC18" s="16"/>
      <c r="AE18" s="229" t="str">
        <f>'EUR Market Data'!N19</f>
        <v>11Y</v>
      </c>
      <c r="AF18" s="230">
        <f>'EUR Market Data'!R19</f>
        <v>9.9399999999999992E-3</v>
      </c>
      <c r="AH18" s="12"/>
      <c r="AI18" s="83"/>
      <c r="AK18" s="12" t="s">
        <v>92</v>
      </c>
      <c r="AL18" s="16">
        <v>2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99</v>
      </c>
      <c r="AX18" s="83" t="b">
        <v>1</v>
      </c>
      <c r="AZ18" s="68" t="str">
        <f>'EUR Market Data'!AR19</f>
        <v>11Y</v>
      </c>
      <c r="BA18" s="79">
        <f>'EUR Market Data'!AV19</f>
        <v>1.0794999999999999E-2</v>
      </c>
      <c r="BB18" s="80" t="b">
        <f t="shared" si="1"/>
        <v>1</v>
      </c>
      <c r="BC18" s="6"/>
      <c r="BD18" s="12"/>
      <c r="BE18" s="83"/>
      <c r="BG18" s="53" t="s">
        <v>110</v>
      </c>
      <c r="BH18" s="16" t="s">
        <v>3</v>
      </c>
      <c r="BJ18" s="223" t="str">
        <f>'EUR Market Data'!AX19</f>
        <v>10Y</v>
      </c>
      <c r="BK18" s="263">
        <f>'EUR Market Data'!BB19</f>
        <v>8.4749999999999995E-4</v>
      </c>
      <c r="BM18" s="53" t="s">
        <v>110</v>
      </c>
      <c r="BN18" s="16" t="s">
        <v>3</v>
      </c>
      <c r="BP18" s="223" t="str">
        <f>'EUR Market Data'!BD19</f>
        <v>10Y</v>
      </c>
      <c r="BQ18" s="263">
        <f>'EUR Market Data'!BH19</f>
        <v>6.4000000000000005E-4</v>
      </c>
      <c r="BS18" s="53" t="s">
        <v>110</v>
      </c>
      <c r="BT18" s="16" t="s">
        <v>3</v>
      </c>
      <c r="BV18" s="223" t="str">
        <f>'EUR Market Data'!BJ19</f>
        <v>10Y</v>
      </c>
      <c r="BW18" s="263">
        <f>'EUR Market Data'!BN19</f>
        <v>6.9999999999999999E-4</v>
      </c>
      <c r="BY18" s="53" t="s">
        <v>111</v>
      </c>
      <c r="BZ18" s="83" t="s">
        <v>2031</v>
      </c>
      <c r="CB18" s="53" t="s">
        <v>221</v>
      </c>
      <c r="CC18" s="83" t="s">
        <v>51</v>
      </c>
      <c r="CE18" s="53" t="s">
        <v>221</v>
      </c>
      <c r="CF18" s="83" t="s">
        <v>51</v>
      </c>
      <c r="CH18" s="53" t="s">
        <v>221</v>
      </c>
      <c r="CI18" s="83" t="s">
        <v>51</v>
      </c>
      <c r="CK18" s="53" t="s">
        <v>221</v>
      </c>
      <c r="CL18" s="83" t="s">
        <v>51</v>
      </c>
      <c r="CN18" s="223" t="str">
        <f>'EUR Market Data'!BP19</f>
        <v>10Y</v>
      </c>
      <c r="CO18" s="263">
        <f>'EUR Market Data'!BT19</f>
        <v>-2.575E-3</v>
      </c>
      <c r="CQ18" s="53" t="s">
        <v>111</v>
      </c>
      <c r="CR18" s="83" t="s">
        <v>2031</v>
      </c>
      <c r="CT18" s="53"/>
      <c r="CU18" s="83"/>
      <c r="CW18" s="133"/>
      <c r="CX18" s="134"/>
      <c r="CZ18" s="53"/>
      <c r="DA18" s="83"/>
    </row>
    <row r="19" spans="2:107">
      <c r="B19" s="2" t="s">
        <v>345</v>
      </c>
      <c r="C19" s="9"/>
      <c r="F19" t="s">
        <v>12</v>
      </c>
      <c r="G19" s="53"/>
      <c r="H19" s="83"/>
      <c r="J19" s="53" t="s">
        <v>1754</v>
      </c>
      <c r="K19" s="14" t="b">
        <v>1</v>
      </c>
      <c r="L19" s="203"/>
      <c r="M19" s="223" t="str">
        <f>'EUR Market Data'!B20</f>
        <v>5Y</v>
      </c>
      <c r="N19" s="224">
        <f>'EUR Market Data'!F20</f>
        <v>2.16E-3</v>
      </c>
      <c r="O19" s="85" t="str">
        <f>IF(LEFT($M19,3)="EUS",_xll.meDateECBSwapStart(IF(ISNUMBER($O18),$O18,COB)),"")</f>
        <v/>
      </c>
      <c r="P19" s="85" t="str">
        <f>IF(LEFT($M19,3)="EUS",_xll.meDateECBSwapEnd(IF(ISNUMBER($O18),$O18,COB)),"")</f>
        <v/>
      </c>
      <c r="Q19" s="86" t="b">
        <f t="shared" si="0"/>
        <v>1</v>
      </c>
      <c r="S19" s="92"/>
      <c r="T19" s="93"/>
      <c r="V19" s="53"/>
      <c r="W19" s="16"/>
      <c r="Y19" s="229" t="str">
        <f>'EUR Market Data'!H20</f>
        <v>12Y</v>
      </c>
      <c r="Z19" s="239">
        <f>IF('EUR Market Data'!L20="","",'EUR Market Data'!L20)</f>
        <v>1.0300000000000001E-3</v>
      </c>
      <c r="AB19" s="53"/>
      <c r="AC19" s="16"/>
      <c r="AE19" s="229" t="str">
        <f>'EUR Market Data'!N20</f>
        <v>12Y</v>
      </c>
      <c r="AF19" s="230">
        <f>'EUR Market Data'!R20</f>
        <v>1.0703000000000001E-2</v>
      </c>
      <c r="AH19" s="12"/>
      <c r="AI19" s="83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159</v>
      </c>
      <c r="AX19" s="83">
        <v>2</v>
      </c>
      <c r="AZ19" s="68" t="str">
        <f>'EUR Market Data'!AR20</f>
        <v>12Y</v>
      </c>
      <c r="BA19" s="79">
        <f>'EUR Market Data'!AV20</f>
        <v>1.1548000000000001E-2</v>
      </c>
      <c r="BB19" s="80" t="b">
        <f t="shared" si="1"/>
        <v>1</v>
      </c>
      <c r="BC19" s="6"/>
      <c r="BD19" s="12"/>
      <c r="BE19" s="83"/>
      <c r="BG19" s="53" t="s">
        <v>105</v>
      </c>
      <c r="BH19" s="16" t="s">
        <v>0</v>
      </c>
      <c r="BJ19" s="223" t="str">
        <f>'EUR Market Data'!AX20</f>
        <v>11Y</v>
      </c>
      <c r="BK19" s="263">
        <f>'EUR Market Data'!BB20</f>
        <v>8.4250000000000004E-4</v>
      </c>
      <c r="BM19" s="53" t="s">
        <v>105</v>
      </c>
      <c r="BN19" s="16" t="s">
        <v>0</v>
      </c>
      <c r="BP19" s="223" t="str">
        <f>'EUR Market Data'!BD20</f>
        <v>15Y</v>
      </c>
      <c r="BQ19" s="263">
        <f>'EUR Market Data'!BH20</f>
        <v>6.6500000000000001E-4</v>
      </c>
      <c r="BS19" s="53" t="s">
        <v>105</v>
      </c>
      <c r="BT19" s="16" t="s">
        <v>0</v>
      </c>
      <c r="BV19" s="223" t="str">
        <f>'EUR Market Data'!BJ20</f>
        <v>11Y</v>
      </c>
      <c r="BW19" s="263">
        <f>'EUR Market Data'!BN20</f>
        <v>6.9000000000000008E-4</v>
      </c>
      <c r="BY19" s="53" t="s">
        <v>97</v>
      </c>
      <c r="BZ19" s="83" t="s">
        <v>2261</v>
      </c>
      <c r="CA19" t="s">
        <v>12</v>
      </c>
      <c r="CB19" s="53" t="s">
        <v>222</v>
      </c>
      <c r="CC19" s="83" t="s">
        <v>3</v>
      </c>
      <c r="CE19" s="53" t="s">
        <v>222</v>
      </c>
      <c r="CF19" s="83" t="s">
        <v>3</v>
      </c>
      <c r="CH19" s="53" t="s">
        <v>222</v>
      </c>
      <c r="CI19" s="83" t="s">
        <v>3</v>
      </c>
      <c r="CK19" s="53" t="s">
        <v>222</v>
      </c>
      <c r="CL19" s="83" t="s">
        <v>3</v>
      </c>
      <c r="CN19" s="223" t="str">
        <f>'EUR Market Data'!BP20</f>
        <v>12Y</v>
      </c>
      <c r="CO19" s="263">
        <f>'EUR Market Data'!BT20</f>
        <v>-2.4375E-3</v>
      </c>
      <c r="CQ19" s="53" t="s">
        <v>97</v>
      </c>
      <c r="CR19" s="83" t="s">
        <v>2261</v>
      </c>
      <c r="CT19" s="53"/>
      <c r="CU19" s="83"/>
      <c r="CW19" s="133"/>
      <c r="CX19" s="134"/>
      <c r="CZ19" s="53"/>
      <c r="DA19" s="83"/>
    </row>
    <row r="20" spans="2:107">
      <c r="B20" s="52" t="s">
        <v>189</v>
      </c>
      <c r="C20" s="112" t="s">
        <v>293</v>
      </c>
      <c r="D20" s="113"/>
      <c r="E20" s="114"/>
      <c r="F20" t="s">
        <v>12</v>
      </c>
      <c r="G20" s="53"/>
      <c r="H20" s="83"/>
      <c r="J20" s="53" t="s">
        <v>2032</v>
      </c>
      <c r="K20" s="16" t="s">
        <v>2033</v>
      </c>
      <c r="L20" s="203"/>
      <c r="M20" s="223" t="str">
        <f>'EUR Market Data'!B21</f>
        <v>6Y</v>
      </c>
      <c r="N20" s="224">
        <f>'EUR Market Data'!F21</f>
        <v>3.5299999999999997E-3</v>
      </c>
      <c r="O20" s="85" t="str">
        <f>IF(LEFT($M20,3)="EUS",_xll.meDateECBSwapStart(IF(ISNUMBER($O19),$O19,COB)),"")</f>
        <v/>
      </c>
      <c r="P20" s="85" t="str">
        <f>IF(LEFT($M20,3)="EUS",_xll.meDateECBSwapEnd(IF(ISNUMBER($O19),$O19,COB)),"")</f>
        <v/>
      </c>
      <c r="Q20" s="86" t="b">
        <f t="shared" si="0"/>
        <v>1</v>
      </c>
      <c r="S20" s="92"/>
      <c r="T20" s="93"/>
      <c r="V20" s="53"/>
      <c r="W20" s="14"/>
      <c r="Y20" s="229" t="str">
        <f>'EUR Market Data'!H21</f>
        <v>15Y</v>
      </c>
      <c r="Z20" s="239">
        <f>IF('EUR Market Data'!L21="","",'EUR Market Data'!L21)</f>
        <v>1.0300000000000001E-3</v>
      </c>
      <c r="AB20" s="53"/>
      <c r="AC20" s="14"/>
      <c r="AE20" s="229" t="str">
        <f>'EUR Market Data'!N21</f>
        <v>15Y</v>
      </c>
      <c r="AF20" s="230">
        <f>'EUR Market Data'!R21</f>
        <v>1.2484E-2</v>
      </c>
      <c r="AH20" s="12"/>
      <c r="AI20" s="83"/>
      <c r="AK20" s="54" t="s">
        <v>119</v>
      </c>
      <c r="AL20" s="16" t="b">
        <v>1</v>
      </c>
      <c r="AN20" s="51"/>
      <c r="AO20" s="33"/>
      <c r="AQ20" s="42"/>
      <c r="AR20" s="43"/>
      <c r="AS20" s="43"/>
      <c r="AT20" s="44"/>
      <c r="AU20" s="141" t="s">
        <v>86</v>
      </c>
      <c r="AW20" s="53" t="s">
        <v>88</v>
      </c>
      <c r="AX20" s="83" t="s">
        <v>38</v>
      </c>
      <c r="AZ20" s="68" t="str">
        <f>'EUR Market Data'!AR21</f>
        <v>15Y</v>
      </c>
      <c r="BA20" s="79">
        <f>'EUR Market Data'!AV21</f>
        <v>1.3279000000000001E-2</v>
      </c>
      <c r="BB20" s="80" t="b">
        <f t="shared" si="1"/>
        <v>1</v>
      </c>
      <c r="BC20" s="6"/>
      <c r="BD20" s="12"/>
      <c r="BE20" s="83"/>
      <c r="BG20" s="53" t="s">
        <v>102</v>
      </c>
      <c r="BH20" s="16" t="s">
        <v>2034</v>
      </c>
      <c r="BJ20" s="223" t="str">
        <f>'EUR Market Data'!AX21</f>
        <v>12Y</v>
      </c>
      <c r="BK20" s="263">
        <f>'EUR Market Data'!BB21</f>
        <v>8.275E-4</v>
      </c>
      <c r="BM20" s="53" t="s">
        <v>102</v>
      </c>
      <c r="BN20" s="16" t="s">
        <v>2034</v>
      </c>
      <c r="BP20" s="223" t="str">
        <f>'EUR Market Data'!BD21</f>
        <v>20Y</v>
      </c>
      <c r="BQ20" s="263">
        <f>'EUR Market Data'!BH21</f>
        <v>6.4000000000000005E-4</v>
      </c>
      <c r="BS20" s="53" t="s">
        <v>102</v>
      </c>
      <c r="BT20" s="16" t="s">
        <v>2034</v>
      </c>
      <c r="BV20" s="223" t="str">
        <f>'EUR Market Data'!BJ21</f>
        <v>12Y</v>
      </c>
      <c r="BW20" s="263">
        <f>'EUR Market Data'!BN21</f>
        <v>6.7999999999999994E-4</v>
      </c>
      <c r="BY20" s="12" t="s">
        <v>2075</v>
      </c>
      <c r="BZ20" s="83" t="s">
        <v>2261</v>
      </c>
      <c r="CA20" t="s">
        <v>12</v>
      </c>
      <c r="CB20" s="53" t="s">
        <v>224</v>
      </c>
      <c r="CC20" s="83" t="s">
        <v>2036</v>
      </c>
      <c r="CE20" s="53" t="s">
        <v>224</v>
      </c>
      <c r="CF20" s="83" t="s">
        <v>2036</v>
      </c>
      <c r="CH20" s="53" t="s">
        <v>224</v>
      </c>
      <c r="CI20" s="83" t="s">
        <v>2036</v>
      </c>
      <c r="CK20" s="53" t="s">
        <v>224</v>
      </c>
      <c r="CL20" s="83" t="s">
        <v>2036</v>
      </c>
      <c r="CN20" s="223" t="str">
        <f>'EUR Market Data'!BP21</f>
        <v>15Y</v>
      </c>
      <c r="CO20" s="263">
        <f>'EUR Market Data'!BT21</f>
        <v>-2.1124999999999998E-3</v>
      </c>
      <c r="CQ20" s="12" t="s">
        <v>2075</v>
      </c>
      <c r="CR20" s="83" t="s">
        <v>2261</v>
      </c>
      <c r="CT20" s="53"/>
      <c r="CU20" s="83"/>
      <c r="CW20" s="53"/>
      <c r="CX20" s="83"/>
      <c r="CZ20" s="53"/>
      <c r="DA20" s="83"/>
    </row>
    <row r="21" spans="2:107">
      <c r="B21" s="53" t="s">
        <v>61</v>
      </c>
      <c r="C21" s="115" t="s">
        <v>279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>'EUR Market Data'!B22</f>
        <v>7Y</v>
      </c>
      <c r="N21" s="224">
        <f>'EUR Market Data'!F22</f>
        <v>4.79E-3</v>
      </c>
      <c r="O21" s="85" t="str">
        <f>IF(LEFT($M21,3)="EUS",_xll.meDateECBSwapStart(IF(ISNUMBER($O20),$O20,COB)),"")</f>
        <v/>
      </c>
      <c r="P21" s="85" t="str">
        <f>IF(LEFT($M21,3)="EUS",_xll.meDateECBSwapEnd(IF(ISNUMBER($O20),$O20,COB)),"")</f>
        <v/>
      </c>
      <c r="Q21" s="86" t="b">
        <f t="shared" si="0"/>
        <v>1</v>
      </c>
      <c r="S21" s="92"/>
      <c r="T21" s="93"/>
      <c r="V21" s="53"/>
      <c r="W21" s="14"/>
      <c r="Y21" s="229" t="str">
        <f>'EUR Market Data'!H22</f>
        <v>20Y</v>
      </c>
      <c r="Z21" s="239">
        <f>IF('EUR Market Data'!L22="","",'EUR Market Data'!L22)</f>
        <v>1E-3</v>
      </c>
      <c r="AB21" s="53"/>
      <c r="AC21" s="14"/>
      <c r="AE21" s="229" t="str">
        <f>'EUR Market Data'!N22</f>
        <v>20Y</v>
      </c>
      <c r="AF21" s="230">
        <f>'EUR Market Data'!R22</f>
        <v>1.4097E-2</v>
      </c>
      <c r="AH21" s="12"/>
      <c r="AI21" s="83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 t="s">
        <v>32</v>
      </c>
      <c r="AX21" s="83" t="b">
        <v>1</v>
      </c>
      <c r="AZ21" s="68" t="str">
        <f>'EUR Market Data'!AR22</f>
        <v>20Y</v>
      </c>
      <c r="BA21" s="79">
        <f>'EUR Market Data'!AV22</f>
        <v>1.4761999999999999E-2</v>
      </c>
      <c r="BB21" s="80" t="b">
        <f t="shared" si="1"/>
        <v>1</v>
      </c>
      <c r="BC21" s="6"/>
      <c r="BD21" s="12"/>
      <c r="BE21" s="83"/>
      <c r="BG21" s="53" t="s">
        <v>98</v>
      </c>
      <c r="BH21" s="16" t="s">
        <v>0</v>
      </c>
      <c r="BJ21" s="223" t="str">
        <f>'EUR Market Data'!AX22</f>
        <v>15Y</v>
      </c>
      <c r="BK21" s="263">
        <f>'EUR Market Data'!BB22</f>
        <v>7.7249999999999997E-4</v>
      </c>
      <c r="BM21" s="53" t="s">
        <v>98</v>
      </c>
      <c r="BN21" s="16" t="s">
        <v>0</v>
      </c>
      <c r="BP21" s="223" t="str">
        <f>'EUR Market Data'!BD22</f>
        <v>25Y</v>
      </c>
      <c r="BQ21" s="263">
        <f>'EUR Market Data'!BH22</f>
        <v>5.9000000000000003E-4</v>
      </c>
      <c r="BS21" s="53" t="s">
        <v>98</v>
      </c>
      <c r="BT21" s="16" t="s">
        <v>0</v>
      </c>
      <c r="BV21" s="223" t="str">
        <f>'EUR Market Data'!BJ22</f>
        <v>15Y</v>
      </c>
      <c r="BW21" s="263">
        <f>'EUR Market Data'!BN22</f>
        <v>6.4999999999999997E-4</v>
      </c>
      <c r="BY21" s="12" t="s">
        <v>2079</v>
      </c>
      <c r="BZ21" s="83" t="s">
        <v>2261</v>
      </c>
      <c r="CA21" t="s">
        <v>12</v>
      </c>
      <c r="CB21" s="53" t="s">
        <v>225</v>
      </c>
      <c r="CC21" s="83" t="s">
        <v>2034</v>
      </c>
      <c r="CE21" s="53" t="s">
        <v>225</v>
      </c>
      <c r="CF21" s="83" t="s">
        <v>2034</v>
      </c>
      <c r="CH21" s="53" t="s">
        <v>225</v>
      </c>
      <c r="CI21" s="83" t="s">
        <v>2034</v>
      </c>
      <c r="CK21" s="53" t="s">
        <v>225</v>
      </c>
      <c r="CL21" s="83" t="s">
        <v>2034</v>
      </c>
      <c r="CN21" s="223" t="str">
        <f>'EUR Market Data'!BP22</f>
        <v>20Y</v>
      </c>
      <c r="CO21" s="263">
        <f>'EUR Market Data'!BT22</f>
        <v>-1.475E-3</v>
      </c>
      <c r="CQ21" s="12" t="s">
        <v>2079</v>
      </c>
      <c r="CR21" s="83" t="s">
        <v>2261</v>
      </c>
      <c r="CT21" s="53"/>
      <c r="CU21" s="83"/>
      <c r="CW21" s="53"/>
      <c r="CX21" s="83"/>
      <c r="CZ21" s="53"/>
      <c r="DA21" s="83"/>
    </row>
    <row r="22" spans="2:107">
      <c r="B22" s="53" t="s">
        <v>194</v>
      </c>
      <c r="C22" s="115" t="s">
        <v>274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>'EUR Market Data'!B23</f>
        <v>8Y</v>
      </c>
      <c r="N22" s="224">
        <f>'EUR Market Data'!F23</f>
        <v>5.9099999999999995E-3</v>
      </c>
      <c r="O22" s="85" t="str">
        <f>IF(LEFT($M22,3)="EUS",_xll.meDateECBSwapStart(IF(ISNUMBER($O21),$O21,COB)),"")</f>
        <v/>
      </c>
      <c r="P22" s="85" t="str">
        <f>IF(LEFT($M22,3)="EUS",_xll.meDateECBSwapEnd(IF(ISNUMBER($O21),$O21,COB)),"")</f>
        <v/>
      </c>
      <c r="Q22" s="86" t="b">
        <f t="shared" si="0"/>
        <v>1</v>
      </c>
      <c r="S22" s="92"/>
      <c r="T22" s="93"/>
      <c r="V22" s="53"/>
      <c r="W22" s="16"/>
      <c r="Y22" s="229" t="str">
        <f>'EUR Market Data'!H23</f>
        <v>25Y</v>
      </c>
      <c r="Z22" s="239">
        <f>IF('EUR Market Data'!L23="","",'EUR Market Data'!L23)</f>
        <v>9.5999999999999992E-4</v>
      </c>
      <c r="AB22" s="53"/>
      <c r="AC22" s="16"/>
      <c r="AE22" s="229" t="str">
        <f>'EUR Market Data'!N23</f>
        <v>25Y</v>
      </c>
      <c r="AF22" s="230">
        <f>'EUR Market Data'!R23</f>
        <v>1.4612E-2</v>
      </c>
      <c r="AH22" s="12"/>
      <c r="AI22" s="83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68" t="str">
        <f>'EUR Market Data'!AR23</f>
        <v>25Y</v>
      </c>
      <c r="BA22" s="79">
        <f>'EUR Market Data'!AV23</f>
        <v>1.5181999999999999E-2</v>
      </c>
      <c r="BB22" s="80" t="b">
        <f t="shared" si="1"/>
        <v>1</v>
      </c>
      <c r="BC22" s="6"/>
      <c r="BD22" s="12"/>
      <c r="BE22" s="83"/>
      <c r="BG22" s="53" t="s">
        <v>93</v>
      </c>
      <c r="BH22" s="16" t="s">
        <v>41</v>
      </c>
      <c r="BJ22" s="223" t="str">
        <f>'EUR Market Data'!AX23</f>
        <v>20Y</v>
      </c>
      <c r="BK22" s="263">
        <f>'EUR Market Data'!BB23</f>
        <v>6.5749999999999999E-4</v>
      </c>
      <c r="BM22" s="53" t="s">
        <v>93</v>
      </c>
      <c r="BN22" s="16" t="s">
        <v>41</v>
      </c>
      <c r="BP22" s="223" t="str">
        <f>'EUR Market Data'!BD23</f>
        <v>30Y</v>
      </c>
      <c r="BQ22" s="263">
        <f>'EUR Market Data'!BH23</f>
        <v>5.4500000000000002E-4</v>
      </c>
      <c r="BS22" s="53" t="s">
        <v>93</v>
      </c>
      <c r="BT22" s="16" t="s">
        <v>41</v>
      </c>
      <c r="BV22" s="223" t="str">
        <f>'EUR Market Data'!BJ23</f>
        <v>20Y</v>
      </c>
      <c r="BW22" s="263">
        <f>'EUR Market Data'!BN23</f>
        <v>5.9999999999999995E-4</v>
      </c>
      <c r="BY22" s="12" t="s">
        <v>248</v>
      </c>
      <c r="BZ22" s="83" t="b">
        <v>1</v>
      </c>
      <c r="CB22" s="53" t="s">
        <v>226</v>
      </c>
      <c r="CC22" s="83" t="s">
        <v>2036</v>
      </c>
      <c r="CE22" s="53" t="s">
        <v>226</v>
      </c>
      <c r="CF22" s="83" t="s">
        <v>2036</v>
      </c>
      <c r="CH22" s="53" t="s">
        <v>226</v>
      </c>
      <c r="CI22" s="83" t="s">
        <v>2036</v>
      </c>
      <c r="CK22" s="53" t="s">
        <v>226</v>
      </c>
      <c r="CL22" s="83" t="s">
        <v>2036</v>
      </c>
      <c r="CN22" s="223" t="str">
        <f>'EUR Market Data'!BP23</f>
        <v>25Y</v>
      </c>
      <c r="CO22" s="263">
        <f>'EUR Market Data'!BT23</f>
        <v>-1E-3</v>
      </c>
      <c r="CQ22" s="12" t="s">
        <v>248</v>
      </c>
      <c r="CR22" s="83" t="b">
        <v>1</v>
      </c>
      <c r="CT22" s="53"/>
      <c r="CU22" s="83"/>
      <c r="CW22" s="53"/>
      <c r="CX22" s="83"/>
      <c r="CZ22" s="53"/>
      <c r="DA22" s="83"/>
    </row>
    <row r="23" spans="2:107">
      <c r="B23" s="53" t="s">
        <v>195</v>
      </c>
      <c r="C23" s="118" t="s">
        <v>275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>'EUR Market Data'!B24</f>
        <v>9Y</v>
      </c>
      <c r="N23" s="224">
        <f>'EUR Market Data'!F24</f>
        <v>6.9399999999999991E-3</v>
      </c>
      <c r="O23" s="85" t="str">
        <f>IF(LEFT($M23,3)="EUS",_xll.meDateECBSwapStart(IF(ISNUMBER($O22),$O22,COB)),"")</f>
        <v/>
      </c>
      <c r="P23" s="85" t="str">
        <f>IF(LEFT($M23,3)="EUS",_xll.meDateECBSwapEnd(IF(ISNUMBER($O22),$O22,COB)),"")</f>
        <v/>
      </c>
      <c r="Q23" s="86" t="b">
        <f t="shared" si="0"/>
        <v>1</v>
      </c>
      <c r="S23" s="92"/>
      <c r="T23" s="93"/>
      <c r="V23" s="12"/>
      <c r="W23" s="27"/>
      <c r="Y23" s="229" t="str">
        <f>'EUR Market Data'!H24</f>
        <v>30Y</v>
      </c>
      <c r="Z23" s="239">
        <f>IF('EUR Market Data'!L24="","",'EUR Market Data'!L24)</f>
        <v>9.3000000000000005E-4</v>
      </c>
      <c r="AB23" s="12"/>
      <c r="AC23" s="27"/>
      <c r="AE23" s="229" t="str">
        <f>'EUR Market Data'!N24</f>
        <v>30Y</v>
      </c>
      <c r="AF23" s="230">
        <f>'EUR Market Data'!R24</f>
        <v>1.4742E-2</v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68" t="str">
        <f>'EUR Market Data'!AR24</f>
        <v>30Y</v>
      </c>
      <c r="BA23" s="79">
        <f>'EUR Market Data'!AV24</f>
        <v>1.5242E-2</v>
      </c>
      <c r="BB23" s="80" t="b">
        <f t="shared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>'EUR Market Data'!AX24</f>
        <v>25Y</v>
      </c>
      <c r="BK23" s="263">
        <f>'EUR Market Data'!BB24</f>
        <v>5.5250000000000004E-4</v>
      </c>
      <c r="BM23" s="76" t="s">
        <v>90</v>
      </c>
      <c r="BN23" s="19" t="s">
        <v>38</v>
      </c>
      <c r="BP23" s="223" t="str">
        <f>'EUR Market Data'!BD24</f>
        <v/>
      </c>
      <c r="BQ23" s="263" t="str">
        <f>'EUR Market Data'!BH24</f>
        <v/>
      </c>
      <c r="BS23" s="76" t="s">
        <v>90</v>
      </c>
      <c r="BT23" s="19" t="s">
        <v>38</v>
      </c>
      <c r="BV23" s="223" t="str">
        <f>'EUR Market Data'!BJ24</f>
        <v>25Y</v>
      </c>
      <c r="BW23" s="263">
        <f>'EUR Market Data'!BN24</f>
        <v>5.2000000000000006E-4</v>
      </c>
      <c r="BY23" s="12"/>
      <c r="BZ23" s="83"/>
      <c r="CB23" s="53" t="s">
        <v>227</v>
      </c>
      <c r="CC23" s="16">
        <v>2</v>
      </c>
      <c r="CE23" s="53" t="s">
        <v>227</v>
      </c>
      <c r="CF23" s="16">
        <v>2</v>
      </c>
      <c r="CH23" s="53" t="s">
        <v>227</v>
      </c>
      <c r="CI23" s="16">
        <v>2</v>
      </c>
      <c r="CK23" s="53" t="s">
        <v>227</v>
      </c>
      <c r="CL23" s="16">
        <v>2</v>
      </c>
      <c r="CN23" s="223" t="str">
        <f>'EUR Market Data'!BP24</f>
        <v>30Y</v>
      </c>
      <c r="CO23" s="263">
        <f>'EUR Market Data'!BT24</f>
        <v>-6.8749999999999996E-4</v>
      </c>
      <c r="CQ23" s="12"/>
      <c r="CR23" s="83"/>
      <c r="CT23" s="53"/>
      <c r="CU23" s="83"/>
      <c r="CW23" s="53"/>
      <c r="CX23" s="83"/>
      <c r="CZ23" s="53"/>
      <c r="DA23" s="83"/>
    </row>
    <row r="24" spans="2:107">
      <c r="B24" s="53" t="s">
        <v>269</v>
      </c>
      <c r="C24" s="118" t="s">
        <v>276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>'EUR Market Data'!B25</f>
        <v>10Y</v>
      </c>
      <c r="N24" s="224">
        <f>'EUR Market Data'!F25</f>
        <v>7.8900000000000012E-3</v>
      </c>
      <c r="O24" s="85" t="str">
        <f>IF(LEFT($M24,3)="EUS",_xll.meDateECBSwapStart(IF(ISNUMBER($O23),$O23,COB)),"")</f>
        <v/>
      </c>
      <c r="P24" s="85" t="str">
        <f>IF(LEFT($M24,3)="EUS",_xll.meDateECBSwapEnd(IF(ISNUMBER($O23),$O23,COB)),"")</f>
        <v/>
      </c>
      <c r="Q24" s="86" t="b">
        <f t="shared" si="0"/>
        <v>1</v>
      </c>
      <c r="S24" s="92"/>
      <c r="T24" s="93"/>
      <c r="V24" s="13"/>
      <c r="W24" s="29"/>
      <c r="Y24" s="229" t="str">
        <f>'EUR Market Data'!H25</f>
        <v>40Y</v>
      </c>
      <c r="Z24" s="239">
        <f>IF('EUR Market Data'!L25="","",'EUR Market Data'!L25)</f>
        <v>8.5999999999999998E-4</v>
      </c>
      <c r="AB24" s="13"/>
      <c r="AC24" s="29"/>
      <c r="AE24" s="229" t="str">
        <f>'EUR Market Data'!N25</f>
        <v>40Y</v>
      </c>
      <c r="AF24" s="230">
        <f>'EUR Market Data'!R25</f>
        <v>1.4681999999999999E-2</v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68" t="str">
        <f>'EUR Market Data'!AR25</f>
        <v>40Y</v>
      </c>
      <c r="BA24" s="79">
        <f>'EUR Market Data'!AV25</f>
        <v>1.5092000000000001E-2</v>
      </c>
      <c r="BB24" s="80" t="b">
        <f t="shared" si="1"/>
        <v>1</v>
      </c>
      <c r="BC24" s="6"/>
      <c r="BD24" s="12"/>
      <c r="BE24" s="83"/>
      <c r="BG24" s="75" t="s">
        <v>85</v>
      </c>
      <c r="BH24" s="97" t="s">
        <v>0</v>
      </c>
      <c r="BJ24" s="223" t="str">
        <f>'EUR Market Data'!AX25</f>
        <v>30Y</v>
      </c>
      <c r="BK24" s="263">
        <f>'EUR Market Data'!BB25</f>
        <v>4.8749999999999998E-4</v>
      </c>
      <c r="BM24" s="75" t="s">
        <v>85</v>
      </c>
      <c r="BN24" s="97" t="s">
        <v>0</v>
      </c>
      <c r="BP24" s="223" t="str">
        <f>'EUR Market Data'!BD25</f>
        <v/>
      </c>
      <c r="BQ24" s="263" t="str">
        <f>'EUR Market Data'!BH25</f>
        <v/>
      </c>
      <c r="BS24" s="75" t="s">
        <v>85</v>
      </c>
      <c r="BT24" s="97" t="s">
        <v>0</v>
      </c>
      <c r="BV24" s="223" t="str">
        <f>'EUR Market Data'!BJ25</f>
        <v>30Y</v>
      </c>
      <c r="BW24" s="263">
        <f>'EUR Market Data'!BN25</f>
        <v>4.5999999999999996E-4</v>
      </c>
      <c r="BY24" s="12"/>
      <c r="BZ24" s="83"/>
      <c r="CB24" s="53" t="s">
        <v>228</v>
      </c>
      <c r="CC24" s="83" t="s">
        <v>38</v>
      </c>
      <c r="CE24" s="53" t="s">
        <v>228</v>
      </c>
      <c r="CF24" s="83" t="s">
        <v>38</v>
      </c>
      <c r="CH24" s="53" t="s">
        <v>228</v>
      </c>
      <c r="CI24" s="83" t="s">
        <v>38</v>
      </c>
      <c r="CK24" s="53" t="s">
        <v>228</v>
      </c>
      <c r="CL24" s="83" t="s">
        <v>38</v>
      </c>
      <c r="CN24" s="223" t="str">
        <f>'EUR Market Data'!BP25</f>
        <v/>
      </c>
      <c r="CO24" s="263" t="str">
        <f>'EUR Market Data'!BT25</f>
        <v/>
      </c>
      <c r="CQ24" s="12"/>
      <c r="CR24" s="83"/>
      <c r="CT24" s="53"/>
      <c r="CU24" s="83"/>
      <c r="CW24" s="53"/>
      <c r="CX24" s="83"/>
      <c r="CZ24" s="53"/>
      <c r="DA24" s="83"/>
    </row>
    <row r="25" spans="2:107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>'EUR Market Data'!B26</f>
        <v>11Y</v>
      </c>
      <c r="N25" s="224">
        <f>'EUR Market Data'!F26</f>
        <v>8.7399999999999995E-3</v>
      </c>
      <c r="O25" s="85" t="str">
        <f>IF(LEFT($M25,3)="EUS",_xll.meDateECBSwapStart(IF(ISNUMBER($O24),$O24,COB)),"")</f>
        <v/>
      </c>
      <c r="P25" s="85" t="str">
        <f>IF(LEFT($M25,3)="EUS",_xll.meDateECBSwapEnd(IF(ISNUMBER($O24),$O24,COB)),"")</f>
        <v/>
      </c>
      <c r="Q25" s="86" t="b">
        <f t="shared" si="0"/>
        <v>1</v>
      </c>
      <c r="S25" s="92"/>
      <c r="T25" s="93"/>
      <c r="Y25" s="229" t="str">
        <f>'EUR Market Data'!H26</f>
        <v>50Y</v>
      </c>
      <c r="Z25" s="239">
        <f>IF('EUR Market Data'!L26="","",'EUR Market Data'!L26)</f>
        <v>7.9000000000000001E-4</v>
      </c>
      <c r="AE25" s="229" t="str">
        <f>'EUR Market Data'!N26</f>
        <v>50Y</v>
      </c>
      <c r="AF25" s="230">
        <f>'EUR Market Data'!R26</f>
        <v>1.4332000000000001E-2</v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68" t="str">
        <f>'EUR Market Data'!AR26</f>
        <v>50Y</v>
      </c>
      <c r="BA25" s="79">
        <f>'EUR Market Data'!AV26</f>
        <v>1.4681999999999999E-2</v>
      </c>
      <c r="BB25" s="80" t="b">
        <f t="shared" si="1"/>
        <v>1</v>
      </c>
      <c r="BC25" s="6"/>
      <c r="BD25" s="12"/>
      <c r="BE25" s="83"/>
      <c r="BG25" s="53" t="s">
        <v>83</v>
      </c>
      <c r="BH25" s="16" t="s">
        <v>3</v>
      </c>
      <c r="BJ25" s="223" t="str">
        <f>'EUR Market Data'!AX26</f>
        <v/>
      </c>
      <c r="BK25" s="263" t="str">
        <f>'EUR Market Data'!BB26</f>
        <v/>
      </c>
      <c r="BM25" s="53" t="s">
        <v>83</v>
      </c>
      <c r="BN25" s="16" t="s">
        <v>3</v>
      </c>
      <c r="BP25" s="223" t="str">
        <f>'EUR Market Data'!BD26</f>
        <v/>
      </c>
      <c r="BQ25" s="263" t="str">
        <f>'EUR Market Data'!BH26</f>
        <v/>
      </c>
      <c r="BS25" s="53" t="s">
        <v>83</v>
      </c>
      <c r="BT25" s="16" t="s">
        <v>3</v>
      </c>
      <c r="BV25" s="223" t="str">
        <f>'EUR Market Data'!BJ26</f>
        <v/>
      </c>
      <c r="BW25" s="263" t="str">
        <f>'EUR Market Data'!BN26</f>
        <v/>
      </c>
      <c r="BY25" s="12"/>
      <c r="BZ25" s="83"/>
      <c r="CB25" s="75" t="s">
        <v>229</v>
      </c>
      <c r="CC25" s="101" t="s">
        <v>2036</v>
      </c>
      <c r="CE25" s="75" t="s">
        <v>229</v>
      </c>
      <c r="CF25" s="101" t="s">
        <v>2036</v>
      </c>
      <c r="CH25" s="75" t="s">
        <v>229</v>
      </c>
      <c r="CI25" s="101" t="s">
        <v>2036</v>
      </c>
      <c r="CK25" s="75" t="s">
        <v>229</v>
      </c>
      <c r="CL25" s="101" t="s">
        <v>2036</v>
      </c>
      <c r="CN25" s="223" t="str">
        <f>'EUR Market Data'!BP26</f>
        <v/>
      </c>
      <c r="CO25" s="263" t="str">
        <f>'EUR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7">
      <c r="B26" s="53"/>
      <c r="C26" s="118"/>
      <c r="D26" s="119"/>
      <c r="E26" s="120"/>
      <c r="F26" t="s">
        <v>12</v>
      </c>
      <c r="L26" s="203"/>
      <c r="M26" s="223" t="str">
        <f>'EUR Market Data'!B27</f>
        <v>12Y</v>
      </c>
      <c r="N26" s="224">
        <f>'EUR Market Data'!F27</f>
        <v>9.4900000000000002E-3</v>
      </c>
      <c r="O26" s="85" t="str">
        <f>IF(LEFT($M26,3)="EUS",_xll.meDateECBSwapStart(IF(ISNUMBER($O25),$O25,COB)),"")</f>
        <v/>
      </c>
      <c r="P26" s="85" t="str">
        <f>IF(LEFT($M26,3)="EUS",_xll.meDateECBSwapEnd(IF(ISNUMBER($O25),$O25,COB)),"")</f>
        <v/>
      </c>
      <c r="Q26" s="86" t="b">
        <f t="shared" si="0"/>
        <v>1</v>
      </c>
      <c r="S26" s="92"/>
      <c r="T26" s="93"/>
      <c r="Y26" s="229" t="str">
        <f>'EUR Market Data'!H27</f>
        <v/>
      </c>
      <c r="Z26" s="239" t="str">
        <f>IF('EUR Market Data'!L27="","",'EUR Market Data'!L27)</f>
        <v/>
      </c>
      <c r="AE26" s="229" t="str">
        <f>'EUR Market Data'!N27</f>
        <v/>
      </c>
      <c r="AF26" s="230" t="str">
        <f>'EUR Market Data'!R27</f>
        <v/>
      </c>
      <c r="AH26" s="12"/>
      <c r="AI26" s="83"/>
      <c r="AK26" s="259" t="str">
        <f>'EUR Market Data'!T10</f>
        <v>6M</v>
      </c>
      <c r="AL26" s="260">
        <f>'EUR Market Data'!X10</f>
        <v>-2.6900000000000001E-3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68" t="str">
        <f>'EUR Market Data'!AR27</f>
        <v/>
      </c>
      <c r="BA26" s="79" t="str">
        <f>'EUR Market Data'!AV27</f>
        <v/>
      </c>
      <c r="BB26" s="80" t="b">
        <f t="shared" si="1"/>
        <v>0</v>
      </c>
      <c r="BC26" s="6"/>
      <c r="BD26" s="12"/>
      <c r="BE26" s="83"/>
      <c r="BG26" s="53" t="s">
        <v>81</v>
      </c>
      <c r="BH26" s="83" t="s">
        <v>1996</v>
      </c>
      <c r="BJ26" s="223" t="str">
        <f>'EUR Market Data'!AX27</f>
        <v/>
      </c>
      <c r="BK26" s="263" t="str">
        <f>'EUR Market Data'!BB27</f>
        <v/>
      </c>
      <c r="BM26" s="53" t="s">
        <v>81</v>
      </c>
      <c r="BN26" s="83" t="s">
        <v>2035</v>
      </c>
      <c r="BP26" s="223" t="str">
        <f>'EUR Market Data'!BD27</f>
        <v/>
      </c>
      <c r="BQ26" s="263" t="str">
        <f>'EUR Market Data'!BH27</f>
        <v/>
      </c>
      <c r="BS26" s="53" t="s">
        <v>81</v>
      </c>
      <c r="BT26" s="83" t="s">
        <v>76</v>
      </c>
      <c r="BV26" s="223" t="str">
        <f>'EUR Market Data'!BJ27</f>
        <v/>
      </c>
      <c r="BW26" s="263" t="str">
        <f>'EUR Market Data'!BN27</f>
        <v/>
      </c>
      <c r="BY26" s="12"/>
      <c r="BZ26" s="83"/>
      <c r="CB26" s="53" t="s">
        <v>230</v>
      </c>
      <c r="CC26" s="83" t="s">
        <v>3</v>
      </c>
      <c r="CE26" s="53" t="s">
        <v>230</v>
      </c>
      <c r="CF26" s="83" t="s">
        <v>3</v>
      </c>
      <c r="CH26" s="53" t="s">
        <v>230</v>
      </c>
      <c r="CI26" s="83" t="s">
        <v>3</v>
      </c>
      <c r="CK26" s="53" t="s">
        <v>230</v>
      </c>
      <c r="CL26" s="83" t="s">
        <v>3</v>
      </c>
      <c r="CN26" s="223" t="str">
        <f>'EUR Market Data'!BP27</f>
        <v/>
      </c>
      <c r="CO26" s="263" t="str">
        <f>'EUR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7">
      <c r="B27" s="59"/>
      <c r="C27" s="121"/>
      <c r="D27" s="122"/>
      <c r="E27" s="123"/>
      <c r="F27" t="s">
        <v>12</v>
      </c>
      <c r="L27" s="203"/>
      <c r="M27" s="223" t="str">
        <f>'EUR Market Data'!B28</f>
        <v>15Y</v>
      </c>
      <c r="N27" s="224">
        <f>'EUR Market Data'!F28</f>
        <v>1.125E-2</v>
      </c>
      <c r="O27" s="85" t="str">
        <f>IF(LEFT($M27,3)="EUS",_xll.meDateECBSwapStart(IF(ISNUMBER($O26),$O26,COB)),"")</f>
        <v/>
      </c>
      <c r="P27" s="85" t="str">
        <f>IF(LEFT($M27,3)="EUS",_xll.meDateECBSwapEnd(IF(ISNUMBER($O26),$O26,COB)),"")</f>
        <v/>
      </c>
      <c r="Q27" s="86" t="b">
        <f t="shared" si="0"/>
        <v>1</v>
      </c>
      <c r="S27" s="92"/>
      <c r="T27" s="93"/>
      <c r="Y27" s="229" t="str">
        <f>'EUR Market Data'!H28</f>
        <v/>
      </c>
      <c r="Z27" s="239" t="str">
        <f>IF('EUR Market Data'!L28="","",'EUR Market Data'!L28)</f>
        <v/>
      </c>
      <c r="AE27" s="229" t="str">
        <f>'EUR Market Data'!N28</f>
        <v/>
      </c>
      <c r="AF27" s="230" t="str">
        <f>'EUR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68" t="str">
        <f>'EUR Market Data'!AR28</f>
        <v/>
      </c>
      <c r="BA27" s="79" t="str">
        <f>'EUR Market Data'!AV28</f>
        <v/>
      </c>
      <c r="BB27" s="80" t="b">
        <f t="shared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>'EUR Market Data'!AX28</f>
        <v/>
      </c>
      <c r="BK27" s="263" t="str">
        <f>'EUR Market Data'!BB28</f>
        <v/>
      </c>
      <c r="BM27" s="53" t="s">
        <v>71</v>
      </c>
      <c r="BN27" s="83" t="s">
        <v>38</v>
      </c>
      <c r="BP27" s="223" t="str">
        <f>'EUR Market Data'!BD28</f>
        <v/>
      </c>
      <c r="BQ27" s="263" t="str">
        <f>'EUR Market Data'!BH28</f>
        <v/>
      </c>
      <c r="BS27" s="53" t="s">
        <v>71</v>
      </c>
      <c r="BT27" s="83" t="s">
        <v>38</v>
      </c>
      <c r="BV27" s="223" t="str">
        <f>'EUR Market Data'!BJ28</f>
        <v/>
      </c>
      <c r="BW27" s="263" t="str">
        <f>'EUR Market Data'!BN28</f>
        <v/>
      </c>
      <c r="BY27" s="12"/>
      <c r="BZ27" s="83"/>
      <c r="CB27" s="53" t="s">
        <v>231</v>
      </c>
      <c r="CC27" s="83" t="s">
        <v>1996</v>
      </c>
      <c r="CE27" s="53" t="s">
        <v>231</v>
      </c>
      <c r="CF27" s="83" t="s">
        <v>1996</v>
      </c>
      <c r="CH27" s="53" t="s">
        <v>231</v>
      </c>
      <c r="CI27" s="83" t="s">
        <v>1996</v>
      </c>
      <c r="CK27" s="53" t="s">
        <v>231</v>
      </c>
      <c r="CL27" s="83" t="s">
        <v>1996</v>
      </c>
      <c r="CN27" s="223" t="str">
        <f>'EUR Market Data'!BP28</f>
        <v/>
      </c>
      <c r="CO27" s="263" t="str">
        <f>'EUR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7">
      <c r="F28" t="s">
        <v>12</v>
      </c>
      <c r="L28" s="203"/>
      <c r="M28" s="223" t="str">
        <f>'EUR Market Data'!B29</f>
        <v>20Y</v>
      </c>
      <c r="N28" s="224">
        <f>'EUR Market Data'!F29</f>
        <v>1.2869999999999999E-2</v>
      </c>
      <c r="O28" s="85" t="str">
        <f>IF(LEFT($M28,3)="EUS",_xll.meDateECBSwapStart(IF(ISNUMBER($O27),$O27,COB)),"")</f>
        <v/>
      </c>
      <c r="P28" s="85" t="str">
        <f>IF(LEFT($M28,3)="EUS",_xll.meDateECBSwapEnd(IF(ISNUMBER($O27),$O27,COB)),"")</f>
        <v/>
      </c>
      <c r="Q28" s="86" t="b">
        <f t="shared" si="0"/>
        <v>1</v>
      </c>
      <c r="S28" s="92"/>
      <c r="T28" s="93"/>
      <c r="Y28" s="229" t="str">
        <f>'EUR Market Data'!H29</f>
        <v/>
      </c>
      <c r="Z28" s="239" t="str">
        <f>IF('EUR Market Data'!L29="","",'EUR Market Data'!L29)</f>
        <v/>
      </c>
      <c r="AE28" s="229" t="str">
        <f>'EUR Market Data'!N29</f>
        <v/>
      </c>
      <c r="AF28" s="230" t="str">
        <f>'EUR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68" t="str">
        <f>'EUR Market Data'!AR29</f>
        <v/>
      </c>
      <c r="BA28" s="79" t="str">
        <f>'EUR Market Data'!AV29</f>
        <v/>
      </c>
      <c r="BB28" s="80" t="b">
        <f t="shared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>'EUR Market Data'!AX29</f>
        <v/>
      </c>
      <c r="BK28" s="263" t="str">
        <f>'EUR Market Data'!BB29</f>
        <v/>
      </c>
      <c r="BM28" s="53" t="s">
        <v>67</v>
      </c>
      <c r="BN28" s="16" t="s">
        <v>41</v>
      </c>
      <c r="BP28" s="223" t="str">
        <f>'EUR Market Data'!BD29</f>
        <v/>
      </c>
      <c r="BQ28" s="263" t="str">
        <f>'EUR Market Data'!BH29</f>
        <v/>
      </c>
      <c r="BS28" s="53" t="s">
        <v>67</v>
      </c>
      <c r="BT28" s="16" t="s">
        <v>41</v>
      </c>
      <c r="BV28" s="223" t="str">
        <f>'EUR Market Data'!BJ29</f>
        <v/>
      </c>
      <c r="BW28" s="263" t="str">
        <f>'EUR Market Data'!BN29</f>
        <v/>
      </c>
      <c r="BY28" s="12"/>
      <c r="BZ28" s="83"/>
      <c r="CB28" s="53" t="s">
        <v>232</v>
      </c>
      <c r="CC28" s="83" t="s">
        <v>38</v>
      </c>
      <c r="CE28" s="53" t="s">
        <v>232</v>
      </c>
      <c r="CF28" s="83" t="s">
        <v>38</v>
      </c>
      <c r="CH28" s="53" t="s">
        <v>232</v>
      </c>
      <c r="CI28" s="83" t="s">
        <v>38</v>
      </c>
      <c r="CK28" s="53" t="s">
        <v>232</v>
      </c>
      <c r="CL28" s="83" t="s">
        <v>38</v>
      </c>
      <c r="CN28" s="223" t="str">
        <f>'EUR Market Data'!BP29</f>
        <v/>
      </c>
      <c r="CO28" s="263" t="str">
        <f>'EUR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7">
      <c r="B29" s="2" t="s">
        <v>310</v>
      </c>
      <c r="C29" s="9"/>
      <c r="F29" t="s">
        <v>12</v>
      </c>
      <c r="L29" s="203"/>
      <c r="M29" s="223" t="str">
        <f>'EUR Market Data'!B30</f>
        <v>25Y</v>
      </c>
      <c r="N29" s="224">
        <f>'EUR Market Data'!F30</f>
        <v>1.3420000000000001E-2</v>
      </c>
      <c r="O29" s="85" t="str">
        <f>IF(LEFT($M29,3)="EUS",_xll.meDateECBSwapStart(IF(ISNUMBER($O28),$O28,COB)),"")</f>
        <v/>
      </c>
      <c r="P29" s="85" t="str">
        <f>IF(LEFT($M29,3)="EUS",_xll.meDateECBSwapEnd(IF(ISNUMBER($O28),$O28,COB)),"")</f>
        <v/>
      </c>
      <c r="Q29" s="86" t="b">
        <f t="shared" si="0"/>
        <v>1</v>
      </c>
      <c r="S29" s="92"/>
      <c r="T29" s="93"/>
      <c r="Y29" s="229" t="str">
        <f>'EUR Market Data'!H30</f>
        <v/>
      </c>
      <c r="Z29" s="239" t="str">
        <f>IF('EUR Market Data'!L30="","",'EUR Market Data'!L30)</f>
        <v/>
      </c>
      <c r="AE29" s="229" t="str">
        <f>'EUR Market Data'!N30</f>
        <v/>
      </c>
      <c r="AF29" s="230" t="str">
        <f>'EUR Market Data'!R30</f>
        <v/>
      </c>
      <c r="AH29" s="12"/>
      <c r="AI29" s="83"/>
      <c r="AK29" s="259" t="str">
        <f>'EUR Market Data'!T10</f>
        <v>6M</v>
      </c>
      <c r="AL29" s="260">
        <f>'EUR Market Data'!X10</f>
        <v>-2.6900000000000001E-3</v>
      </c>
      <c r="AN29" s="259" t="str">
        <f>'EUR Market Data'!AF10</f>
        <v>2X8</v>
      </c>
      <c r="AO29" s="260">
        <f>'EUR Market Data'!AJ10</f>
        <v>-2.63E-3</v>
      </c>
      <c r="AQ29" s="47"/>
      <c r="AR29" s="48"/>
      <c r="AS29" s="48"/>
      <c r="AT29" s="48"/>
      <c r="AU29" s="142" t="s">
        <v>86</v>
      </c>
      <c r="AW29" s="53"/>
      <c r="AX29" s="83"/>
      <c r="AZ29" s="68" t="str">
        <f>'EUR Market Data'!AR30</f>
        <v/>
      </c>
      <c r="BA29" s="79" t="str">
        <f>'EUR Market Data'!AV30</f>
        <v/>
      </c>
      <c r="BB29" s="80" t="b">
        <f t="shared" si="1"/>
        <v>0</v>
      </c>
      <c r="BC29" s="6"/>
      <c r="BD29" s="12"/>
      <c r="BE29" s="83"/>
      <c r="BG29" s="53" t="s">
        <v>182</v>
      </c>
      <c r="BH29" s="28" t="s">
        <v>189</v>
      </c>
      <c r="BJ29" s="223" t="str">
        <f>'EUR Market Data'!AX30</f>
        <v/>
      </c>
      <c r="BK29" s="263" t="str">
        <f>'EUR Market Data'!BB30</f>
        <v/>
      </c>
      <c r="BM29" s="53" t="s">
        <v>182</v>
      </c>
      <c r="BN29" s="28" t="s">
        <v>189</v>
      </c>
      <c r="BP29" s="223" t="str">
        <f>'EUR Market Data'!BD30</f>
        <v/>
      </c>
      <c r="BQ29" s="263" t="str">
        <f>'EUR Market Data'!BH30</f>
        <v/>
      </c>
      <c r="BS29" s="53" t="s">
        <v>182</v>
      </c>
      <c r="BT29" s="28" t="s">
        <v>189</v>
      </c>
      <c r="BV29" s="223" t="str">
        <f>'EUR Market Data'!BJ30</f>
        <v/>
      </c>
      <c r="BW29" s="263" t="str">
        <f>'EUR Market Data'!BN30</f>
        <v/>
      </c>
      <c r="BY29" s="12"/>
      <c r="BZ29" s="83"/>
      <c r="CB29" s="53" t="s">
        <v>233</v>
      </c>
      <c r="CC29" s="83">
        <v>2</v>
      </c>
      <c r="CE29" s="53" t="s">
        <v>233</v>
      </c>
      <c r="CF29" s="83">
        <v>2</v>
      </c>
      <c r="CH29" s="53" t="s">
        <v>233</v>
      </c>
      <c r="CI29" s="83">
        <v>2</v>
      </c>
      <c r="CK29" s="53" t="s">
        <v>233</v>
      </c>
      <c r="CL29" s="83">
        <v>2</v>
      </c>
      <c r="CN29" s="223" t="str">
        <f>'EUR Market Data'!BP30</f>
        <v/>
      </c>
      <c r="CO29" s="263" t="str">
        <f>'EUR Market Data'!BT30</f>
        <v/>
      </c>
      <c r="CQ29" s="12"/>
      <c r="CR29" s="83"/>
      <c r="CT29" s="53"/>
      <c r="CU29" s="83"/>
      <c r="CW29" s="53"/>
      <c r="CX29" s="83"/>
      <c r="CZ29" s="53"/>
      <c r="DA29" s="83"/>
      <c r="DC29" t="s">
        <v>12</v>
      </c>
    </row>
    <row r="30" spans="2:107">
      <c r="B30" s="52" t="s">
        <v>189</v>
      </c>
      <c r="C30" s="112" t="s">
        <v>293</v>
      </c>
      <c r="D30" s="113"/>
      <c r="E30" s="114"/>
      <c r="F30" t="s">
        <v>12</v>
      </c>
      <c r="L30" s="203"/>
      <c r="M30" s="223" t="str">
        <f>'EUR Market Data'!B31</f>
        <v>30Y</v>
      </c>
      <c r="N30" s="224">
        <f>'EUR Market Data'!F31</f>
        <v>1.3580000000000002E-2</v>
      </c>
      <c r="O30" s="85" t="str">
        <f>IF(LEFT($M30,3)="EUS",_xll.meDateECBSwapStart(IF(ISNUMBER($O29),$O29,COB)),"")</f>
        <v/>
      </c>
      <c r="P30" s="85" t="str">
        <f>IF(LEFT($M30,3)="EUS",_xll.meDateECBSwapEnd(IF(ISNUMBER($O29),$O29,COB)),"")</f>
        <v/>
      </c>
      <c r="Q30" s="86" t="b">
        <f t="shared" si="0"/>
        <v>1</v>
      </c>
      <c r="S30" s="92"/>
      <c r="T30" s="93"/>
      <c r="Y30" s="229" t="str">
        <f>'EUR Market Data'!H31</f>
        <v/>
      </c>
      <c r="Z30" s="239" t="str">
        <f>IF('EUR Market Data'!L31="","",'EUR Market Data'!L31)</f>
        <v/>
      </c>
      <c r="AE30" s="229" t="str">
        <f>'EUR Market Data'!N31</f>
        <v/>
      </c>
      <c r="AF30" s="230" t="str">
        <f>'EUR Market Data'!R31</f>
        <v/>
      </c>
      <c r="AH30" s="12"/>
      <c r="AI30" s="83"/>
      <c r="AK30" s="51" t="str">
        <f>'EUR Market Data'!T11</f>
        <v/>
      </c>
      <c r="AL30" s="33" t="str">
        <f>'EUR Market Data'!X11</f>
        <v/>
      </c>
      <c r="AN30" s="259" t="str">
        <f>'EUR Market Data'!AF11</f>
        <v>3X9</v>
      </c>
      <c r="AO30" s="260">
        <f>'EUR Market Data'!AJ11</f>
        <v>-2.5900000000000003E-3</v>
      </c>
      <c r="AQ30" s="47"/>
      <c r="AR30" s="48"/>
      <c r="AS30" s="48"/>
      <c r="AT30" s="48"/>
      <c r="AU30" s="142" t="s">
        <v>86</v>
      </c>
      <c r="AW30" s="53"/>
      <c r="AX30" s="83"/>
      <c r="AZ30" s="68" t="str">
        <f>'EUR Market Data'!AR31</f>
        <v/>
      </c>
      <c r="BA30" s="79" t="str">
        <f>'EUR Market Data'!AV31</f>
        <v/>
      </c>
      <c r="BB30" s="80" t="b">
        <f t="shared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>'EUR Market Data'!AX31</f>
        <v/>
      </c>
      <c r="BK30" s="263" t="str">
        <f>'EUR Market Data'!BB31</f>
        <v/>
      </c>
      <c r="BM30" s="53" t="s">
        <v>62</v>
      </c>
      <c r="BN30" s="28" t="s">
        <v>61</v>
      </c>
      <c r="BP30" s="223" t="str">
        <f>'EUR Market Data'!BD31</f>
        <v/>
      </c>
      <c r="BQ30" s="263" t="str">
        <f>'EUR Market Data'!BH31</f>
        <v/>
      </c>
      <c r="BS30" s="53" t="s">
        <v>62</v>
      </c>
      <c r="BT30" s="28" t="s">
        <v>61</v>
      </c>
      <c r="BV30" s="223" t="str">
        <f>'EUR Market Data'!BJ31</f>
        <v/>
      </c>
      <c r="BW30" s="263" t="str">
        <f>'EUR Market Data'!BN31</f>
        <v/>
      </c>
      <c r="BY30" s="12"/>
      <c r="BZ30" s="83"/>
      <c r="CB30" s="53" t="s">
        <v>2037</v>
      </c>
      <c r="CC30" s="28" t="s">
        <v>1048</v>
      </c>
      <c r="CE30" s="53" t="s">
        <v>2037</v>
      </c>
      <c r="CF30" s="28" t="s">
        <v>1048</v>
      </c>
      <c r="CH30" s="53" t="s">
        <v>2037</v>
      </c>
      <c r="CI30" s="28" t="s">
        <v>1048</v>
      </c>
      <c r="CK30" s="53" t="s">
        <v>2037</v>
      </c>
      <c r="CL30" s="28" t="s">
        <v>1048</v>
      </c>
      <c r="CN30" s="223" t="str">
        <f>'EUR Market Data'!BP31</f>
        <v/>
      </c>
      <c r="CO30" s="263" t="str">
        <f>'EUR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7">
      <c r="B31" s="53" t="s">
        <v>61</v>
      </c>
      <c r="C31" s="115" t="s">
        <v>279</v>
      </c>
      <c r="D31" s="116"/>
      <c r="E31" s="117"/>
      <c r="F31" t="s">
        <v>12</v>
      </c>
      <c r="L31" s="203"/>
      <c r="M31" s="223" t="str">
        <f>'EUR Market Data'!B32</f>
        <v>40Y</v>
      </c>
      <c r="N31" s="224">
        <f>'EUR Market Data'!F32</f>
        <v>1.359E-2</v>
      </c>
      <c r="O31" s="85" t="str">
        <f>IF(LEFT($M31,3)="EUS",_xll.meDateECBSwapStart(IF(ISNUMBER($O30),$O30,COB)),"")</f>
        <v/>
      </c>
      <c r="P31" s="85" t="str">
        <f>IF(LEFT($M31,3)="EUS",_xll.meDateECBSwapEnd(IF(ISNUMBER($O30),$O30,COB)),"")</f>
        <v/>
      </c>
      <c r="Q31" s="86" t="b">
        <f t="shared" si="0"/>
        <v>1</v>
      </c>
      <c r="S31" s="92"/>
      <c r="T31" s="93"/>
      <c r="Y31" s="229" t="str">
        <f>'EUR Market Data'!H32</f>
        <v/>
      </c>
      <c r="Z31" s="239" t="str">
        <f>IF('EUR Market Data'!L32="","",'EUR Market Data'!L32)</f>
        <v/>
      </c>
      <c r="AE31" s="229" t="str">
        <f>'EUR Market Data'!N32</f>
        <v/>
      </c>
      <c r="AF31" s="230" t="str">
        <f>'EUR Market Data'!R32</f>
        <v/>
      </c>
      <c r="AH31" s="12"/>
      <c r="AI31" s="83"/>
      <c r="AK31" s="51" t="str">
        <f>'EUR Market Data'!T12</f>
        <v/>
      </c>
      <c r="AL31" s="33" t="str">
        <f>'EUR Market Data'!X12</f>
        <v/>
      </c>
      <c r="AN31" s="259" t="str">
        <f>'EUR Market Data'!AF12</f>
        <v>4X10</v>
      </c>
      <c r="AO31" s="260">
        <f>'EUR Market Data'!AJ12</f>
        <v>-2.5500000000000002E-3</v>
      </c>
      <c r="AQ31" s="47"/>
      <c r="AR31" s="48"/>
      <c r="AS31" s="48"/>
      <c r="AT31" s="48"/>
      <c r="AU31" s="142" t="s">
        <v>86</v>
      </c>
      <c r="AW31" s="53"/>
      <c r="AX31" s="83"/>
      <c r="AZ31" s="68" t="str">
        <f>'EUR Market Data'!AR32</f>
        <v/>
      </c>
      <c r="BA31" s="79" t="str">
        <f>'EUR Market Data'!AV32</f>
        <v/>
      </c>
      <c r="BB31" s="80" t="b">
        <f t="shared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>'EUR Market Data'!AX32</f>
        <v/>
      </c>
      <c r="BK31" s="263" t="str">
        <f>'EUR Market Data'!BB32</f>
        <v/>
      </c>
      <c r="BM31" s="53" t="s">
        <v>58</v>
      </c>
      <c r="BN31" s="104" t="s">
        <v>20</v>
      </c>
      <c r="BP31" s="223" t="str">
        <f>'EUR Market Data'!BD32</f>
        <v/>
      </c>
      <c r="BQ31" s="263" t="str">
        <f>'EUR Market Data'!BH32</f>
        <v/>
      </c>
      <c r="BS31" s="53" t="s">
        <v>58</v>
      </c>
      <c r="BT31" s="104" t="s">
        <v>22</v>
      </c>
      <c r="BV31" s="223" t="str">
        <f>'EUR Market Data'!BJ32</f>
        <v/>
      </c>
      <c r="BW31" s="263" t="str">
        <f>'EUR Market Data'!BN32</f>
        <v/>
      </c>
      <c r="BY31" s="12"/>
      <c r="BZ31" s="83"/>
      <c r="CB31" s="53" t="s">
        <v>214</v>
      </c>
      <c r="CC31" s="28" t="s">
        <v>1049</v>
      </c>
      <c r="CE31" s="53" t="s">
        <v>214</v>
      </c>
      <c r="CF31" s="28" t="s">
        <v>1049</v>
      </c>
      <c r="CH31" s="53" t="s">
        <v>214</v>
      </c>
      <c r="CI31" s="28" t="s">
        <v>1049</v>
      </c>
      <c r="CK31" s="53" t="s">
        <v>214</v>
      </c>
      <c r="CL31" s="28" t="s">
        <v>1049</v>
      </c>
      <c r="CN31" s="223" t="str">
        <f>'EUR Market Data'!BP32</f>
        <v/>
      </c>
      <c r="CO31" s="263" t="str">
        <f>'EUR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7">
      <c r="B32" s="53" t="s">
        <v>315</v>
      </c>
      <c r="C32" s="115" t="s">
        <v>2076</v>
      </c>
      <c r="D32" s="119"/>
      <c r="E32" s="120"/>
      <c r="F32" t="s">
        <v>12</v>
      </c>
      <c r="L32" s="203"/>
      <c r="M32" s="223" t="str">
        <f>'EUR Market Data'!B33</f>
        <v>50Y</v>
      </c>
      <c r="N32" s="224">
        <f>'EUR Market Data'!F33</f>
        <v>1.3309999999999999E-2</v>
      </c>
      <c r="O32" s="85" t="str">
        <f>IF(LEFT($M32,3)="EUS",_xll.meDateECBSwapStart(IF(ISNUMBER($O31),$O31,COB)),"")</f>
        <v/>
      </c>
      <c r="P32" s="85" t="str">
        <f>IF(LEFT($M32,3)="EUS",_xll.meDateECBSwapEnd(IF(ISNUMBER($O31),$O31,COB)),"")</f>
        <v/>
      </c>
      <c r="Q32" s="86" t="b">
        <f t="shared" si="0"/>
        <v>1</v>
      </c>
      <c r="S32" s="92"/>
      <c r="T32" s="93"/>
      <c r="Y32" s="229" t="str">
        <f>'EUR Market Data'!H33</f>
        <v/>
      </c>
      <c r="Z32" s="239" t="str">
        <f>IF('EUR Market Data'!L33="","",'EUR Market Data'!L33)</f>
        <v/>
      </c>
      <c r="AE32" s="229" t="str">
        <f>'EUR Market Data'!N33</f>
        <v/>
      </c>
      <c r="AF32" s="230" t="str">
        <f>'EUR Market Data'!R33</f>
        <v/>
      </c>
      <c r="AH32" s="12"/>
      <c r="AI32" s="83"/>
      <c r="AK32" s="51" t="str">
        <f>'EUR Market Data'!T13</f>
        <v/>
      </c>
      <c r="AL32" s="33" t="str">
        <f>'EUR Market Data'!X13</f>
        <v/>
      </c>
      <c r="AM32" s="3"/>
      <c r="AN32" s="259" t="str">
        <f>'EUR Market Data'!AF13</f>
        <v>5X11</v>
      </c>
      <c r="AO32" s="260">
        <f>'EUR Market Data'!AJ13</f>
        <v>-2.48E-3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68" t="str">
        <f>'EUR Market Data'!AR33</f>
        <v/>
      </c>
      <c r="BA32" s="79" t="str">
        <f>'EUR Market Data'!AV33</f>
        <v/>
      </c>
      <c r="BB32" s="80" t="b">
        <f t="shared" si="1"/>
        <v>0</v>
      </c>
      <c r="BC32" s="6"/>
      <c r="BD32" s="12"/>
      <c r="BE32" s="83"/>
      <c r="BG32" s="53" t="s">
        <v>54</v>
      </c>
      <c r="BH32" s="16" t="s">
        <v>3</v>
      </c>
      <c r="BJ32" s="223" t="str">
        <f>'EUR Market Data'!AX33</f>
        <v/>
      </c>
      <c r="BK32" s="263" t="str">
        <f>'EUR Market Data'!BB33</f>
        <v/>
      </c>
      <c r="BM32" s="53" t="s">
        <v>54</v>
      </c>
      <c r="BN32" s="16" t="s">
        <v>3</v>
      </c>
      <c r="BP32" s="223" t="str">
        <f>'EUR Market Data'!BD33</f>
        <v/>
      </c>
      <c r="BQ32" s="263" t="str">
        <f>'EUR Market Data'!BH33</f>
        <v/>
      </c>
      <c r="BS32" s="53" t="s">
        <v>54</v>
      </c>
      <c r="BT32" s="16" t="s">
        <v>3</v>
      </c>
      <c r="BV32" s="223" t="str">
        <f>'EUR Market Data'!BJ33</f>
        <v/>
      </c>
      <c r="BW32" s="263" t="str">
        <f>'EUR Market Data'!BN33</f>
        <v/>
      </c>
      <c r="BY32" s="12"/>
      <c r="BZ32" s="83"/>
      <c r="CB32" s="53" t="s">
        <v>234</v>
      </c>
      <c r="CC32" s="83" t="s">
        <v>51</v>
      </c>
      <c r="CE32" s="53" t="s">
        <v>234</v>
      </c>
      <c r="CF32" s="83" t="s">
        <v>51</v>
      </c>
      <c r="CH32" s="53" t="s">
        <v>234</v>
      </c>
      <c r="CI32" s="83" t="s">
        <v>51</v>
      </c>
      <c r="CK32" s="53" t="s">
        <v>234</v>
      </c>
      <c r="CL32" s="83" t="s">
        <v>51</v>
      </c>
      <c r="CN32" s="223" t="str">
        <f>'EUR Market Data'!BP33</f>
        <v/>
      </c>
      <c r="CO32" s="263" t="str">
        <f>'EUR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274</v>
      </c>
      <c r="D33" s="119"/>
      <c r="E33" s="120"/>
      <c r="F33" t="s">
        <v>12</v>
      </c>
      <c r="L33" s="203"/>
      <c r="M33" s="223" t="str">
        <f>'EUR Market Data'!B34</f>
        <v/>
      </c>
      <c r="N33" s="224" t="str">
        <f>'EUR Market Data'!F34</f>
        <v/>
      </c>
      <c r="O33" s="85" t="str">
        <f>IF(LEFT($M33,3)="EUS",_xll.meDateECBSwapStart(IF(ISNUMBER($O32),$O32,COB)),"")</f>
        <v/>
      </c>
      <c r="P33" s="85" t="str">
        <f>IF(LEFT($M33,3)="EUS",_xll.meDateECBSwapEnd(IF(ISNUMBER($O32),$O32,COB)),"")</f>
        <v/>
      </c>
      <c r="Q33" s="86" t="b">
        <f t="shared" si="0"/>
        <v>0</v>
      </c>
      <c r="S33" s="92"/>
      <c r="T33" s="93"/>
      <c r="Y33" s="229" t="str">
        <f>'EUR Market Data'!H34</f>
        <v/>
      </c>
      <c r="Z33" s="239" t="str">
        <f>IF('EUR Market Data'!L34="","",'EUR Market Data'!L34)</f>
        <v/>
      </c>
      <c r="AE33" s="229" t="str">
        <f>'EUR Market Data'!N34</f>
        <v/>
      </c>
      <c r="AF33" s="230" t="str">
        <f>'EUR Market Data'!R34</f>
        <v/>
      </c>
      <c r="AH33" s="12"/>
      <c r="AI33" s="83"/>
      <c r="AK33" s="51" t="str">
        <f>'EUR Market Data'!T14</f>
        <v/>
      </c>
      <c r="AL33" s="33" t="str">
        <f>'EUR Market Data'!X14</f>
        <v/>
      </c>
      <c r="AM33" s="3"/>
      <c r="AN33" s="259" t="str">
        <f>'EUR Market Data'!AF14</f>
        <v>6X12</v>
      </c>
      <c r="AO33" s="260">
        <f>'EUR Market Data'!AJ14</f>
        <v>-2.3899999999999998E-3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68" t="str">
        <f>'EUR Market Data'!AR34</f>
        <v/>
      </c>
      <c r="BA33" s="79" t="str">
        <f>'EUR Market Data'!AV34</f>
        <v/>
      </c>
      <c r="BB33" s="80" t="b">
        <f t="shared" si="1"/>
        <v>0</v>
      </c>
      <c r="BC33" s="6"/>
      <c r="BD33" s="12"/>
      <c r="BE33" s="83"/>
      <c r="BG33" s="53" t="s">
        <v>49</v>
      </c>
      <c r="BH33" s="16" t="s">
        <v>0</v>
      </c>
      <c r="BJ33" s="223" t="str">
        <f>'EUR Market Data'!AX34</f>
        <v/>
      </c>
      <c r="BK33" s="263" t="str">
        <f>'EUR Market Data'!BB34</f>
        <v/>
      </c>
      <c r="BM33" s="53" t="s">
        <v>49</v>
      </c>
      <c r="BN33" s="16" t="s">
        <v>0</v>
      </c>
      <c r="BP33" s="223" t="str">
        <f>'EUR Market Data'!BD34</f>
        <v/>
      </c>
      <c r="BQ33" s="263" t="str">
        <f>'EUR Market Data'!BH34</f>
        <v/>
      </c>
      <c r="BS33" s="53" t="s">
        <v>49</v>
      </c>
      <c r="BT33" s="16" t="s">
        <v>0</v>
      </c>
      <c r="BV33" s="223" t="str">
        <f>'EUR Market Data'!BJ34</f>
        <v/>
      </c>
      <c r="BW33" s="263" t="str">
        <f>'EUR Market Data'!BN34</f>
        <v/>
      </c>
      <c r="BY33" s="12"/>
      <c r="BZ33" s="83"/>
      <c r="CB33" s="53" t="s">
        <v>235</v>
      </c>
      <c r="CC33" s="83" t="s">
        <v>3</v>
      </c>
      <c r="CE33" s="53" t="s">
        <v>235</v>
      </c>
      <c r="CF33" s="83" t="s">
        <v>3</v>
      </c>
      <c r="CH33" s="53" t="s">
        <v>235</v>
      </c>
      <c r="CI33" s="83" t="s">
        <v>3</v>
      </c>
      <c r="CK33" s="53" t="s">
        <v>235</v>
      </c>
      <c r="CL33" s="83" t="s">
        <v>3</v>
      </c>
      <c r="CN33" s="223" t="str">
        <f>'EUR Market Data'!BP34</f>
        <v/>
      </c>
      <c r="CO33" s="263" t="str">
        <f>'EUR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195</v>
      </c>
      <c r="C34" s="118" t="s">
        <v>275</v>
      </c>
      <c r="D34" s="119"/>
      <c r="E34" s="120"/>
      <c r="F34" t="s">
        <v>12</v>
      </c>
      <c r="L34" s="203"/>
      <c r="M34" s="223" t="str">
        <f>'EUR Market Data'!B35</f>
        <v/>
      </c>
      <c r="N34" s="224" t="str">
        <f>'EUR Market Data'!F35</f>
        <v/>
      </c>
      <c r="O34" s="85" t="str">
        <f>IF(LEFT($M34,3)="EUS",_xll.meDateECBSwapStart(IF(ISNUMBER($O33),$O33,COB)),"")</f>
        <v/>
      </c>
      <c r="P34" s="85" t="str">
        <f>IF(LEFT($M34,3)="EUS",_xll.meDateECBSwapEnd(IF(ISNUMBER($O33),$O33,COB)),"")</f>
        <v/>
      </c>
      <c r="Q34" s="86" t="b">
        <f t="shared" si="0"/>
        <v>0</v>
      </c>
      <c r="S34" s="92"/>
      <c r="T34" s="93"/>
      <c r="Y34" s="229" t="str">
        <f>'EUR Market Data'!H35</f>
        <v/>
      </c>
      <c r="Z34" s="239" t="str">
        <f>IF('EUR Market Data'!L35="","",'EUR Market Data'!L35)</f>
        <v/>
      </c>
      <c r="AE34" s="229" t="str">
        <f>'EUR Market Data'!N35</f>
        <v/>
      </c>
      <c r="AF34" s="230" t="str">
        <f>'EUR Market Data'!R35</f>
        <v/>
      </c>
      <c r="AH34" s="12"/>
      <c r="AI34" s="83"/>
      <c r="AK34" s="51" t="str">
        <f>'EUR Market Data'!T15</f>
        <v/>
      </c>
      <c r="AL34" s="33" t="str">
        <f>'EUR Market Data'!X15</f>
        <v/>
      </c>
      <c r="AM34" s="3"/>
      <c r="AN34" s="259" t="str">
        <f>'EUR Market Data'!AF15</f>
        <v>7X13</v>
      </c>
      <c r="AO34" s="260">
        <f>'EUR Market Data'!AJ15</f>
        <v>-2.3E-3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68" t="str">
        <f>'EUR Market Data'!AR35</f>
        <v/>
      </c>
      <c r="BA34" s="79" t="str">
        <f>'EUR Market Data'!AV35</f>
        <v/>
      </c>
      <c r="BB34" s="80" t="b">
        <f t="shared" si="1"/>
        <v>0</v>
      </c>
      <c r="BC34" s="6"/>
      <c r="BD34" s="12"/>
      <c r="BE34" s="83"/>
      <c r="BG34" s="53" t="s">
        <v>47</v>
      </c>
      <c r="BH34" s="16" t="s">
        <v>2034</v>
      </c>
      <c r="BJ34" s="223" t="str">
        <f>'EUR Market Data'!AX35</f>
        <v/>
      </c>
      <c r="BK34" s="263" t="str">
        <f>'EUR Market Data'!BB35</f>
        <v/>
      </c>
      <c r="BM34" s="53" t="s">
        <v>47</v>
      </c>
      <c r="BN34" s="16" t="s">
        <v>2034</v>
      </c>
      <c r="BP34" s="223" t="str">
        <f>'EUR Market Data'!BD35</f>
        <v/>
      </c>
      <c r="BQ34" s="263" t="str">
        <f>'EUR Market Data'!BH35</f>
        <v/>
      </c>
      <c r="BS34" s="53" t="s">
        <v>47</v>
      </c>
      <c r="BT34" s="16" t="s">
        <v>2034</v>
      </c>
      <c r="BV34" s="223" t="str">
        <f>'EUR Market Data'!BJ35</f>
        <v/>
      </c>
      <c r="BW34" s="263" t="str">
        <f>'EUR Market Data'!BN35</f>
        <v/>
      </c>
      <c r="BY34" s="12"/>
      <c r="BZ34" s="83"/>
      <c r="CB34" s="53" t="s">
        <v>236</v>
      </c>
      <c r="CC34" s="83" t="s">
        <v>2036</v>
      </c>
      <c r="CE34" s="53" t="s">
        <v>236</v>
      </c>
      <c r="CF34" s="83" t="s">
        <v>2036</v>
      </c>
      <c r="CH34" s="53" t="s">
        <v>236</v>
      </c>
      <c r="CI34" s="83" t="s">
        <v>2036</v>
      </c>
      <c r="CK34" s="53" t="s">
        <v>236</v>
      </c>
      <c r="CL34" s="83" t="s">
        <v>2036</v>
      </c>
      <c r="CN34" s="223" t="str">
        <f>'EUR Market Data'!BP35</f>
        <v/>
      </c>
      <c r="CO34" s="263" t="str">
        <f>'EUR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276</v>
      </c>
      <c r="D35" s="119"/>
      <c r="E35" s="120"/>
      <c r="F35" t="s">
        <v>12</v>
      </c>
      <c r="L35" s="203"/>
      <c r="M35" s="223" t="str">
        <f>'EUR Market Data'!B36</f>
        <v/>
      </c>
      <c r="N35" s="224" t="str">
        <f>'EUR Market Data'!F36</f>
        <v/>
      </c>
      <c r="O35" s="85" t="str">
        <f>IF(LEFT($M35,3)="EUS",_xll.meDateECBSwapStart(IF(ISNUMBER($O34),$O34,COB)),"")</f>
        <v/>
      </c>
      <c r="P35" s="85" t="str">
        <f>IF(LEFT($M35,3)="EUS",_xll.meDateECBSwapEnd(IF(ISNUMBER($O34),$O34,COB)),"")</f>
        <v/>
      </c>
      <c r="Q35" s="86" t="b">
        <f t="shared" si="0"/>
        <v>0</v>
      </c>
      <c r="S35" s="92"/>
      <c r="T35" s="93"/>
      <c r="Y35" s="229" t="str">
        <f>'EUR Market Data'!H36</f>
        <v/>
      </c>
      <c r="Z35" s="239" t="str">
        <f>IF('EUR Market Data'!L36="","",'EUR Market Data'!L36)</f>
        <v/>
      </c>
      <c r="AE35" s="229" t="str">
        <f>'EUR Market Data'!N36</f>
        <v/>
      </c>
      <c r="AF35" s="230" t="str">
        <f>'EUR Market Data'!R36</f>
        <v/>
      </c>
      <c r="AH35" s="12"/>
      <c r="AI35" s="83"/>
      <c r="AK35" s="51" t="str">
        <f>'EUR Market Data'!T16</f>
        <v/>
      </c>
      <c r="AL35" s="33" t="str">
        <f>'EUR Market Data'!X16</f>
        <v/>
      </c>
      <c r="AM35" s="3"/>
      <c r="AN35" s="259" t="str">
        <f>'EUR Market Data'!AF16</f>
        <v>8X14</v>
      </c>
      <c r="AO35" s="260">
        <f>'EUR Market Data'!AJ16</f>
        <v>-2.1700000000000001E-3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68" t="str">
        <f>'EUR Market Data'!AR36</f>
        <v/>
      </c>
      <c r="BA35" s="79" t="str">
        <f>'EUR Market Data'!AV36</f>
        <v/>
      </c>
      <c r="BB35" s="80" t="b">
        <f t="shared" si="1"/>
        <v>0</v>
      </c>
      <c r="BC35" s="6"/>
      <c r="BD35" s="12"/>
      <c r="BE35" s="83"/>
      <c r="BG35" s="53" t="s">
        <v>45</v>
      </c>
      <c r="BH35" s="16" t="s">
        <v>0</v>
      </c>
      <c r="BJ35" s="223" t="str">
        <f>'EUR Market Data'!AX36</f>
        <v/>
      </c>
      <c r="BK35" s="263" t="str">
        <f>'EUR Market Data'!BB36</f>
        <v/>
      </c>
      <c r="BM35" s="53" t="s">
        <v>45</v>
      </c>
      <c r="BN35" s="16" t="s">
        <v>0</v>
      </c>
      <c r="BP35" s="223" t="str">
        <f>'EUR Market Data'!BD36</f>
        <v/>
      </c>
      <c r="BQ35" s="263" t="str">
        <f>'EUR Market Data'!BH36</f>
        <v/>
      </c>
      <c r="BS35" s="53" t="s">
        <v>45</v>
      </c>
      <c r="BT35" s="16" t="s">
        <v>0</v>
      </c>
      <c r="BV35" s="223" t="str">
        <f>'EUR Market Data'!BJ36</f>
        <v/>
      </c>
      <c r="BW35" s="263" t="str">
        <f>'EUR Market Data'!BN36</f>
        <v/>
      </c>
      <c r="BY35" s="12"/>
      <c r="BZ35" s="83"/>
      <c r="CB35" s="53" t="s">
        <v>237</v>
      </c>
      <c r="CC35" s="83" t="s">
        <v>2034</v>
      </c>
      <c r="CE35" s="53" t="s">
        <v>237</v>
      </c>
      <c r="CF35" s="83" t="s">
        <v>2034</v>
      </c>
      <c r="CH35" s="53" t="s">
        <v>237</v>
      </c>
      <c r="CI35" s="83" t="s">
        <v>2034</v>
      </c>
      <c r="CK35" s="53" t="s">
        <v>237</v>
      </c>
      <c r="CL35" s="83" t="s">
        <v>2034</v>
      </c>
      <c r="CN35" s="223" t="str">
        <f>'EUR Market Data'!BP36</f>
        <v/>
      </c>
      <c r="CO35" s="263" t="str">
        <f>'EUR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>'EUR Market Data'!B37</f>
        <v/>
      </c>
      <c r="N36" s="224" t="str">
        <f>'EUR Market Data'!F37</f>
        <v/>
      </c>
      <c r="O36" s="85" t="str">
        <f>IF(LEFT($M36,3)="EUS",_xll.meDateECBSwapStart(IF(ISNUMBER($O35),$O35,COB)),"")</f>
        <v/>
      </c>
      <c r="P36" s="85" t="str">
        <f>IF(LEFT($M36,3)="EUS",_xll.meDateECBSwapEnd(IF(ISNUMBER($O35),$O35,COB)),"")</f>
        <v/>
      </c>
      <c r="Q36" s="86" t="b">
        <f t="shared" si="0"/>
        <v>0</v>
      </c>
      <c r="S36" s="92"/>
      <c r="T36" s="93"/>
      <c r="Y36" s="229" t="str">
        <f>'EUR Market Data'!H37</f>
        <v/>
      </c>
      <c r="Z36" s="239" t="str">
        <f>IF('EUR Market Data'!L37="","",'EUR Market Data'!L37)</f>
        <v/>
      </c>
      <c r="AE36" s="229" t="str">
        <f>'EUR Market Data'!N37</f>
        <v/>
      </c>
      <c r="AF36" s="230" t="str">
        <f>'EUR Market Data'!R37</f>
        <v/>
      </c>
      <c r="AH36" s="12"/>
      <c r="AI36" s="83"/>
      <c r="AK36" s="51" t="str">
        <f>'EUR Market Data'!T17</f>
        <v/>
      </c>
      <c r="AL36" s="33" t="str">
        <f>'EUR Market Data'!X17</f>
        <v/>
      </c>
      <c r="AM36" s="3"/>
      <c r="AN36" s="259" t="str">
        <f>'EUR Market Data'!AF17</f>
        <v>9X15</v>
      </c>
      <c r="AO36" s="260">
        <f>'EUR Market Data'!AJ17</f>
        <v>-1.9599999999999999E-3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68" t="str">
        <f>'EUR Market Data'!AR37</f>
        <v/>
      </c>
      <c r="BA36" s="79" t="str">
        <f>'EUR Market Data'!AV37</f>
        <v/>
      </c>
      <c r="BB36" s="80" t="b">
        <f t="shared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>'EUR Market Data'!AX37</f>
        <v/>
      </c>
      <c r="BK36" s="263" t="str">
        <f>'EUR Market Data'!BB37</f>
        <v/>
      </c>
      <c r="BM36" s="53" t="s">
        <v>42</v>
      </c>
      <c r="BN36" s="16" t="s">
        <v>41</v>
      </c>
      <c r="BP36" s="223" t="str">
        <f>'EUR Market Data'!BD37</f>
        <v/>
      </c>
      <c r="BQ36" s="263" t="str">
        <f>'EUR Market Data'!BH37</f>
        <v/>
      </c>
      <c r="BS36" s="53" t="s">
        <v>42</v>
      </c>
      <c r="BT36" s="16" t="s">
        <v>41</v>
      </c>
      <c r="BV36" s="223" t="str">
        <f>'EUR Market Data'!BJ37</f>
        <v/>
      </c>
      <c r="BW36" s="263" t="str">
        <f>'EUR Market Data'!BN37</f>
        <v/>
      </c>
      <c r="BY36" s="12"/>
      <c r="BZ36" s="83"/>
      <c r="CB36" s="53" t="s">
        <v>238</v>
      </c>
      <c r="CC36" s="83" t="s">
        <v>2036</v>
      </c>
      <c r="CE36" s="53" t="s">
        <v>238</v>
      </c>
      <c r="CF36" s="83" t="s">
        <v>2036</v>
      </c>
      <c r="CH36" s="53" t="s">
        <v>238</v>
      </c>
      <c r="CI36" s="83" t="s">
        <v>2036</v>
      </c>
      <c r="CK36" s="53" t="s">
        <v>238</v>
      </c>
      <c r="CL36" s="83" t="s">
        <v>2036</v>
      </c>
      <c r="CN36" s="223" t="str">
        <f>'EUR Market Data'!BP37</f>
        <v/>
      </c>
      <c r="CO36" s="263" t="str">
        <f>'EUR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>'EUR Market Data'!B38</f>
        <v/>
      </c>
      <c r="N37" s="224" t="str">
        <f>'EUR Market Data'!F38</f>
        <v/>
      </c>
      <c r="O37" s="85" t="str">
        <f>IF(LEFT($M37,3)="EUS",_xll.meDateECBSwapStart(IF(ISNUMBER($O36),$O36,COB)),"")</f>
        <v/>
      </c>
      <c r="P37" s="85" t="str">
        <f>IF(LEFT($M37,3)="EUS",_xll.meDateECBSwapEnd(IF(ISNUMBER($O36),$O36,COB)),"")</f>
        <v/>
      </c>
      <c r="Q37" s="86" t="b">
        <f t="shared" si="0"/>
        <v>0</v>
      </c>
      <c r="S37" s="92"/>
      <c r="T37" s="93"/>
      <c r="Y37" s="229" t="str">
        <f>'EUR Market Data'!H38</f>
        <v/>
      </c>
      <c r="Z37" s="239" t="str">
        <f>IF('EUR Market Data'!L38="","",'EUR Market Data'!L38)</f>
        <v/>
      </c>
      <c r="AE37" s="229" t="str">
        <f>'EUR Market Data'!N38</f>
        <v/>
      </c>
      <c r="AF37" s="230" t="str">
        <f>'EUR Market Data'!R38</f>
        <v/>
      </c>
      <c r="AH37" s="12"/>
      <c r="AI37" s="83"/>
      <c r="AK37" s="51" t="str">
        <f>'EUR Market Data'!T18</f>
        <v/>
      </c>
      <c r="AL37" s="33" t="str">
        <f>'EUR Market Data'!X18</f>
        <v/>
      </c>
      <c r="AM37" s="3"/>
      <c r="AN37" s="259" t="str">
        <f>'EUR Market Data'!AF18</f>
        <v>10X16</v>
      </c>
      <c r="AO37" s="260">
        <f>'EUR Market Data'!AJ18</f>
        <v>-1.7799999999999999E-3</v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68" t="str">
        <f>'EUR Market Data'!AR38</f>
        <v/>
      </c>
      <c r="BA37" s="79" t="str">
        <f>'EUR Market Data'!AV38</f>
        <v/>
      </c>
      <c r="BB37" s="80" t="b">
        <f t="shared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>'EUR Market Data'!AX38</f>
        <v/>
      </c>
      <c r="BK37" s="263" t="str">
        <f>'EUR Market Data'!BB38</f>
        <v/>
      </c>
      <c r="BM37" s="53" t="s">
        <v>39</v>
      </c>
      <c r="BN37" s="16" t="s">
        <v>38</v>
      </c>
      <c r="BP37" s="223" t="str">
        <f>'EUR Market Data'!BD38</f>
        <v/>
      </c>
      <c r="BQ37" s="263" t="str">
        <f>'EUR Market Data'!BH38</f>
        <v/>
      </c>
      <c r="BS37" s="53" t="s">
        <v>39</v>
      </c>
      <c r="BT37" s="16" t="s">
        <v>38</v>
      </c>
      <c r="BV37" s="223" t="str">
        <f>'EUR Market Data'!BJ38</f>
        <v/>
      </c>
      <c r="BW37" s="263" t="str">
        <f>'EUR Market Data'!BN38</f>
        <v/>
      </c>
      <c r="BY37" s="12"/>
      <c r="BZ37" s="83"/>
      <c r="CB37" s="53" t="s">
        <v>239</v>
      </c>
      <c r="CC37" s="83" t="s">
        <v>41</v>
      </c>
      <c r="CE37" s="53" t="s">
        <v>239</v>
      </c>
      <c r="CF37" s="83" t="s">
        <v>41</v>
      </c>
      <c r="CH37" s="53" t="s">
        <v>239</v>
      </c>
      <c r="CI37" s="83" t="s">
        <v>41</v>
      </c>
      <c r="CK37" s="53" t="s">
        <v>239</v>
      </c>
      <c r="CL37" s="83" t="s">
        <v>41</v>
      </c>
      <c r="CN37" s="223" t="str">
        <f>'EUR Market Data'!BP38</f>
        <v/>
      </c>
      <c r="CO37" s="263" t="str">
        <f>'EUR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>'EUR Market Data'!B39</f>
        <v/>
      </c>
      <c r="N38" s="224" t="str">
        <f>'EUR Market Data'!F39</f>
        <v/>
      </c>
      <c r="O38" s="85" t="str">
        <f>IF(LEFT($M38,3)="EUS",_xll.meDateECBSwapStart(IF(ISNUMBER($O37),$O37,COB)),"")</f>
        <v/>
      </c>
      <c r="P38" s="85" t="str">
        <f>IF(LEFT($M38,3)="EUS",_xll.meDateECBSwapEnd(IF(ISNUMBER($O37),$O37,COB)),"")</f>
        <v/>
      </c>
      <c r="Q38" s="86" t="b">
        <f t="shared" si="0"/>
        <v>0</v>
      </c>
      <c r="S38" s="92"/>
      <c r="T38" s="93"/>
      <c r="Y38" s="229" t="str">
        <f>'EUR Market Data'!H39</f>
        <v/>
      </c>
      <c r="Z38" s="239" t="str">
        <f>IF('EUR Market Data'!L39="","",'EUR Market Data'!L39)</f>
        <v/>
      </c>
      <c r="AE38" s="229" t="str">
        <f>'EUR Market Data'!N39</f>
        <v/>
      </c>
      <c r="AF38" s="230" t="str">
        <f>'EUR Market Data'!R39</f>
        <v/>
      </c>
      <c r="AH38" s="12"/>
      <c r="AI38" s="83"/>
      <c r="AK38" s="51" t="str">
        <f>'EUR Market Data'!T19</f>
        <v/>
      </c>
      <c r="AL38" s="33" t="str">
        <f>'EUR Market Data'!X19</f>
        <v/>
      </c>
      <c r="AN38" s="259" t="str">
        <f>'EUR Market Data'!AF19</f>
        <v>11X17</v>
      </c>
      <c r="AO38" s="260">
        <f>'EUR Market Data'!AJ19</f>
        <v>-1.5399999999999999E-3</v>
      </c>
      <c r="AQ38" s="47"/>
      <c r="AR38" s="48"/>
      <c r="AS38" s="48"/>
      <c r="AT38" s="48"/>
      <c r="AU38" s="142" t="s">
        <v>86</v>
      </c>
      <c r="AW38" s="53"/>
      <c r="AX38" s="16"/>
      <c r="AZ38" s="68" t="str">
        <f>'EUR Market Data'!AR39</f>
        <v/>
      </c>
      <c r="BA38" s="79" t="str">
        <f>'EUR Market Data'!AV39</f>
        <v/>
      </c>
      <c r="BB38" s="80" t="b">
        <f t="shared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>'EUR Market Data'!AX39</f>
        <v/>
      </c>
      <c r="BK38" s="263" t="str">
        <f>'EUR Market Data'!BB39</f>
        <v/>
      </c>
      <c r="BM38" s="53" t="s">
        <v>35</v>
      </c>
      <c r="BN38" s="16" t="s">
        <v>34</v>
      </c>
      <c r="BP38" s="223" t="str">
        <f>'EUR Market Data'!BD39</f>
        <v/>
      </c>
      <c r="BQ38" s="263" t="str">
        <f>'EUR Market Data'!BH39</f>
        <v/>
      </c>
      <c r="BS38" s="53" t="s">
        <v>35</v>
      </c>
      <c r="BT38" s="16" t="s">
        <v>36</v>
      </c>
      <c r="BV38" s="223" t="str">
        <f>'EUR Market Data'!BJ39</f>
        <v/>
      </c>
      <c r="BW38" s="263" t="str">
        <f>'EUR Market Data'!BN39</f>
        <v/>
      </c>
      <c r="BY38" s="12"/>
      <c r="BZ38" s="83"/>
      <c r="CB38" s="53" t="s">
        <v>240</v>
      </c>
      <c r="CC38" s="83" t="s">
        <v>38</v>
      </c>
      <c r="CE38" s="53" t="s">
        <v>240</v>
      </c>
      <c r="CF38" s="83" t="s">
        <v>38</v>
      </c>
      <c r="CH38" s="53" t="s">
        <v>240</v>
      </c>
      <c r="CI38" s="83" t="s">
        <v>38</v>
      </c>
      <c r="CK38" s="53" t="s">
        <v>240</v>
      </c>
      <c r="CL38" s="83" t="s">
        <v>38</v>
      </c>
      <c r="CN38" s="223" t="str">
        <f>'EUR Market Data'!BP39</f>
        <v/>
      </c>
      <c r="CO38" s="263" t="str">
        <f>'EUR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>'EUR Market Data'!B40</f>
        <v/>
      </c>
      <c r="N39" s="224" t="str">
        <f>'EUR Market Data'!F40</f>
        <v/>
      </c>
      <c r="O39" s="85" t="str">
        <f>IF(LEFT($M39,3)="EUS",_xll.meDateECBSwapStart(IF(ISNUMBER($O38),$O38,COB)),"")</f>
        <v/>
      </c>
      <c r="P39" s="85" t="str">
        <f>IF(LEFT($M39,3)="EUS",_xll.meDateECBSwapEnd(IF(ISNUMBER($O38),$O38,COB)),"")</f>
        <v/>
      </c>
      <c r="Q39" s="86" t="b">
        <f t="shared" si="0"/>
        <v>0</v>
      </c>
      <c r="S39" s="92"/>
      <c r="T39" s="93"/>
      <c r="Y39" s="229" t="str">
        <f>'EUR Market Data'!H40</f>
        <v/>
      </c>
      <c r="Z39" s="239" t="str">
        <f>IF('EUR Market Data'!L40="","",'EUR Market Data'!L40)</f>
        <v/>
      </c>
      <c r="AE39" s="229" t="str">
        <f>'EUR Market Data'!N40</f>
        <v/>
      </c>
      <c r="AF39" s="230" t="str">
        <f>'EUR Market Data'!R40</f>
        <v/>
      </c>
      <c r="AH39" s="12"/>
      <c r="AI39" s="83"/>
      <c r="AK39" s="51" t="str">
        <f>'EUR Market Data'!T20</f>
        <v/>
      </c>
      <c r="AL39" s="33" t="str">
        <f>'EUR Market Data'!X20</f>
        <v/>
      </c>
      <c r="AN39" s="259" t="str">
        <f>'EUR Market Data'!AF20</f>
        <v>12X18</v>
      </c>
      <c r="AO39" s="260">
        <f>'EUR Market Data'!AJ20</f>
        <v>-1.24E-3</v>
      </c>
      <c r="AQ39" s="47"/>
      <c r="AR39" s="48"/>
      <c r="AS39" s="48"/>
      <c r="AT39" s="48"/>
      <c r="AU39" s="142" t="s">
        <v>86</v>
      </c>
      <c r="AW39" s="53"/>
      <c r="AX39" s="16"/>
      <c r="AZ39" s="68" t="str">
        <f>'EUR Market Data'!AR40</f>
        <v/>
      </c>
      <c r="BA39" s="79" t="str">
        <f>'EUR Market Data'!AV40</f>
        <v/>
      </c>
      <c r="BB39" s="80" t="b">
        <f t="shared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>'EUR Market Data'!AX40</f>
        <v/>
      </c>
      <c r="BK39" s="263" t="str">
        <f>'EUR Market Data'!BB40</f>
        <v/>
      </c>
      <c r="BM39" s="53" t="s">
        <v>32</v>
      </c>
      <c r="BN39" s="16" t="b">
        <v>1</v>
      </c>
      <c r="BP39" s="223" t="str">
        <f>'EUR Market Data'!BD40</f>
        <v/>
      </c>
      <c r="BQ39" s="263" t="str">
        <f>'EUR Market Data'!BH40</f>
        <v/>
      </c>
      <c r="BS39" s="53" t="s">
        <v>32</v>
      </c>
      <c r="BT39" s="16" t="b">
        <v>1</v>
      </c>
      <c r="BV39" s="223" t="str">
        <f>'EUR Market Data'!BJ40</f>
        <v/>
      </c>
      <c r="BW39" s="263" t="str">
        <f>'EUR Market Data'!BN40</f>
        <v/>
      </c>
      <c r="BY39" s="12"/>
      <c r="BZ39" s="83"/>
      <c r="CB39" s="53" t="s">
        <v>217</v>
      </c>
      <c r="CC39" s="83" t="s">
        <v>247</v>
      </c>
      <c r="CE39" s="53" t="s">
        <v>217</v>
      </c>
      <c r="CF39" s="83" t="s">
        <v>247</v>
      </c>
      <c r="CH39" s="53" t="s">
        <v>217</v>
      </c>
      <c r="CI39" s="83" t="s">
        <v>247</v>
      </c>
      <c r="CK39" s="53" t="s">
        <v>217</v>
      </c>
      <c r="CL39" s="83" t="s">
        <v>247</v>
      </c>
      <c r="CN39" s="223" t="str">
        <f>'EUR Market Data'!BP40</f>
        <v/>
      </c>
      <c r="CO39" s="263" t="str">
        <f>'EUR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191</v>
      </c>
      <c r="D40" s="113"/>
      <c r="E40" s="114"/>
      <c r="F40" t="s">
        <v>12</v>
      </c>
      <c r="L40" s="203"/>
      <c r="M40" s="223" t="str">
        <f>'EUR Market Data'!B41</f>
        <v/>
      </c>
      <c r="N40" s="224" t="str">
        <f>'EUR Market Data'!F41</f>
        <v/>
      </c>
      <c r="O40" s="85" t="str">
        <f>IF(LEFT($M40,3)="EUS",_xll.meDateECBSwapStart(IF(ISNUMBER($O39),$O39,COB)),"")</f>
        <v/>
      </c>
      <c r="P40" s="85" t="str">
        <f>IF(LEFT($M40,3)="EUS",_xll.meDateECBSwapEnd(IF(ISNUMBER($O39),$O39,COB)),"")</f>
        <v/>
      </c>
      <c r="Q40" s="86" t="b">
        <f t="shared" si="0"/>
        <v>0</v>
      </c>
      <c r="S40" s="92"/>
      <c r="T40" s="93"/>
      <c r="Y40" s="229" t="str">
        <f>'EUR Market Data'!H41</f>
        <v/>
      </c>
      <c r="Z40" s="239" t="str">
        <f>IF('EUR Market Data'!L41="","",'EUR Market Data'!L41)</f>
        <v/>
      </c>
      <c r="AE40" s="229" t="str">
        <f>'EUR Market Data'!N41</f>
        <v/>
      </c>
      <c r="AF40" s="230" t="str">
        <f>'EUR Market Data'!R41</f>
        <v/>
      </c>
      <c r="AH40" s="12"/>
      <c r="AI40" s="83"/>
      <c r="AK40" s="51" t="str">
        <f>'EUR Market Data'!T21</f>
        <v/>
      </c>
      <c r="AL40" s="33" t="str">
        <f>'EUR Market Data'!X21</f>
        <v/>
      </c>
      <c r="AN40" s="259" t="str">
        <f>'EUR Market Data'!AF21</f>
        <v/>
      </c>
      <c r="AO40" s="260" t="str">
        <f>'EUR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68" t="str">
        <f>'EUR Market Data'!AR41</f>
        <v/>
      </c>
      <c r="BA40" s="79" t="str">
        <f>'EUR Market Data'!AV41</f>
        <v/>
      </c>
      <c r="BB40" s="80" t="b">
        <f t="shared" si="1"/>
        <v>0</v>
      </c>
      <c r="BC40" s="6"/>
      <c r="BD40" s="12"/>
      <c r="BE40" s="83"/>
      <c r="BG40" s="53" t="s">
        <v>28</v>
      </c>
      <c r="BH40" s="16" t="s">
        <v>2261</v>
      </c>
      <c r="BJ40" s="223" t="str">
        <f>'EUR Market Data'!AX41</f>
        <v/>
      </c>
      <c r="BK40" s="263" t="str">
        <f>'EUR Market Data'!BB41</f>
        <v/>
      </c>
      <c r="BM40" s="53" t="s">
        <v>28</v>
      </c>
      <c r="BN40" s="16" t="s">
        <v>2261</v>
      </c>
      <c r="BP40" s="223" t="str">
        <f>'EUR Market Data'!BD41</f>
        <v/>
      </c>
      <c r="BQ40" s="263" t="str">
        <f>'EUR Market Data'!BH41</f>
        <v/>
      </c>
      <c r="BS40" s="53" t="s">
        <v>28</v>
      </c>
      <c r="BT40" s="16" t="s">
        <v>2261</v>
      </c>
      <c r="BV40" s="223" t="str">
        <f>'EUR Market Data'!BJ41</f>
        <v/>
      </c>
      <c r="BW40" s="263" t="str">
        <f>'EUR Market Data'!BN41</f>
        <v/>
      </c>
      <c r="BY40" s="12"/>
      <c r="BZ40" s="83"/>
      <c r="CB40" s="53" t="s">
        <v>32</v>
      </c>
      <c r="CC40" s="83" t="b">
        <v>1</v>
      </c>
      <c r="CE40" s="53" t="s">
        <v>32</v>
      </c>
      <c r="CF40" s="83" t="b">
        <v>1</v>
      </c>
      <c r="CH40" s="53" t="s">
        <v>32</v>
      </c>
      <c r="CI40" s="83" t="b">
        <v>1</v>
      </c>
      <c r="CK40" s="53" t="s">
        <v>32</v>
      </c>
      <c r="CL40" s="83" t="b">
        <v>1</v>
      </c>
      <c r="CN40" s="223" t="str">
        <f>'EUR Market Data'!BP41</f>
        <v/>
      </c>
      <c r="CO40" s="263" t="str">
        <f>'EUR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279</v>
      </c>
      <c r="D41" s="116"/>
      <c r="E41" s="117"/>
      <c r="F41" t="s">
        <v>12</v>
      </c>
      <c r="L41" s="203"/>
      <c r="M41" s="223" t="str">
        <f>'EUR Market Data'!B42</f>
        <v/>
      </c>
      <c r="N41" s="224" t="str">
        <f>'EUR Market Data'!F42</f>
        <v/>
      </c>
      <c r="O41" s="85" t="str">
        <f>IF(LEFT($M41,3)="EUS",_xll.meDateECBSwapStart(IF(ISNUMBER($O40),$O40,COB)),"")</f>
        <v/>
      </c>
      <c r="P41" s="85" t="str">
        <f>IF(LEFT($M41,3)="EUS",_xll.meDateECBSwapEnd(IF(ISNUMBER($O40),$O40,COB)),"")</f>
        <v/>
      </c>
      <c r="Q41" s="86" t="b">
        <f t="shared" ref="Q41:Q72" si="2">IF(M41="",FALSE,TRUE)</f>
        <v>0</v>
      </c>
      <c r="S41" s="92"/>
      <c r="T41" s="93"/>
      <c r="Y41" s="229" t="str">
        <f>'EUR Market Data'!H42</f>
        <v/>
      </c>
      <c r="Z41" s="239" t="str">
        <f>IF('EUR Market Data'!L42="","",'EUR Market Data'!L42)</f>
        <v/>
      </c>
      <c r="AE41" s="229" t="str">
        <f>'EUR Market Data'!N42</f>
        <v/>
      </c>
      <c r="AF41" s="230" t="str">
        <f>'EUR Market Data'!R42</f>
        <v/>
      </c>
      <c r="AH41" s="12"/>
      <c r="AI41" s="83"/>
      <c r="AK41" s="51" t="str">
        <f>'EUR Market Data'!T22</f>
        <v/>
      </c>
      <c r="AL41" s="33" t="str">
        <f>'EUR Market Data'!X22</f>
        <v/>
      </c>
      <c r="AN41" s="259" t="str">
        <f>'EUR Market Data'!AF22</f>
        <v/>
      </c>
      <c r="AO41" s="260" t="str">
        <f>'EUR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68" t="str">
        <f>'EUR Market Data'!AR42</f>
        <v/>
      </c>
      <c r="BA41" s="79" t="str">
        <f>'EUR Market Data'!AV42</f>
        <v/>
      </c>
      <c r="BB41" s="80" t="b">
        <f t="shared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1</v>
      </c>
      <c r="BJ41" s="223" t="str">
        <f>'EUR Market Data'!AX42</f>
        <v/>
      </c>
      <c r="BK41" s="263" t="str">
        <f>'EUR Market Data'!BB42</f>
        <v/>
      </c>
      <c r="BM41" s="53" t="s">
        <v>30</v>
      </c>
      <c r="BN41" s="16" t="b">
        <v>0</v>
      </c>
      <c r="BP41" s="223" t="str">
        <f>'EUR Market Data'!BD42</f>
        <v/>
      </c>
      <c r="BQ41" s="263" t="str">
        <f>'EUR Market Data'!BH42</f>
        <v/>
      </c>
      <c r="BS41" s="53" t="s">
        <v>30</v>
      </c>
      <c r="BT41" s="16" t="b">
        <f ca="1">_xll.meUtilityCurveIsUsingForwards()</f>
        <v>1</v>
      </c>
      <c r="BV41" s="223" t="str">
        <f>'EUR Market Data'!BJ42</f>
        <v/>
      </c>
      <c r="BW41" s="263" t="str">
        <f>'EUR Market Data'!BN42</f>
        <v/>
      </c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>'EUR Market Data'!BP42</f>
        <v/>
      </c>
      <c r="CO41" s="263" t="str">
        <f>'EUR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274</v>
      </c>
      <c r="D42" s="119"/>
      <c r="E42" s="120"/>
      <c r="F42" t="s">
        <v>12</v>
      </c>
      <c r="L42" s="203"/>
      <c r="M42" s="223" t="str">
        <f>'EUR Market Data'!B43</f>
        <v/>
      </c>
      <c r="N42" s="224" t="str">
        <f>'EUR Market Data'!F43</f>
        <v/>
      </c>
      <c r="O42" s="85" t="str">
        <f>IF(LEFT($M42,3)="EUS",_xll.meDateECBSwapStart(IF(ISNUMBER($O41),$O41,COB)),"")</f>
        <v/>
      </c>
      <c r="P42" s="85" t="str">
        <f>IF(LEFT($M42,3)="EUS",_xll.meDateECBSwapEnd(IF(ISNUMBER($O41),$O41,COB)),"")</f>
        <v/>
      </c>
      <c r="Q42" s="86" t="b">
        <f t="shared" si="2"/>
        <v>0</v>
      </c>
      <c r="S42" s="92"/>
      <c r="T42" s="93"/>
      <c r="Y42" s="229" t="str">
        <f>'EUR Market Data'!H43</f>
        <v/>
      </c>
      <c r="Z42" s="239" t="str">
        <f>IF('EUR Market Data'!L43="","",'EUR Market Data'!L43)</f>
        <v/>
      </c>
      <c r="AE42" s="229" t="str">
        <f>'EUR Market Data'!N43</f>
        <v/>
      </c>
      <c r="AF42" s="230" t="str">
        <f>'EUR Market Data'!R43</f>
        <v/>
      </c>
      <c r="AH42" s="12"/>
      <c r="AI42" s="83"/>
      <c r="AK42" s="51" t="str">
        <f>'EUR Market Data'!T23</f>
        <v/>
      </c>
      <c r="AL42" s="33" t="str">
        <f>'EUR Market Data'!X23</f>
        <v/>
      </c>
      <c r="AN42" s="259" t="str">
        <f>'EUR Market Data'!AF23</f>
        <v/>
      </c>
      <c r="AO42" s="260" t="str">
        <f>'EUR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68" t="str">
        <f>'EUR Market Data'!AR43</f>
        <v/>
      </c>
      <c r="BA42" s="79" t="str">
        <f>'EUR Market Data'!AV43</f>
        <v/>
      </c>
      <c r="BB42" s="80" t="b">
        <f t="shared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>'EUR Market Data'!AX43</f>
        <v/>
      </c>
      <c r="BK42" s="263" t="str">
        <f>'EUR Market Data'!BB43</f>
        <v/>
      </c>
      <c r="BM42" s="53" t="s">
        <v>26</v>
      </c>
      <c r="BN42" s="16" t="b">
        <v>1</v>
      </c>
      <c r="BP42" s="223" t="str">
        <f>'EUR Market Data'!BD43</f>
        <v/>
      </c>
      <c r="BQ42" s="263" t="str">
        <f>'EUR Market Data'!BH43</f>
        <v/>
      </c>
      <c r="BS42" s="53" t="s">
        <v>26</v>
      </c>
      <c r="BT42" s="16" t="b">
        <v>1</v>
      </c>
      <c r="BV42" s="223" t="str">
        <f>'EUR Market Data'!BJ43</f>
        <v/>
      </c>
      <c r="BW42" s="263" t="str">
        <f>'EUR Market Data'!BN43</f>
        <v/>
      </c>
      <c r="BY42" s="12"/>
      <c r="BZ42" s="83"/>
      <c r="CB42" s="53" t="s">
        <v>28</v>
      </c>
      <c r="CC42" s="83" t="s">
        <v>2261</v>
      </c>
      <c r="CE42" s="53" t="s">
        <v>28</v>
      </c>
      <c r="CF42" s="83" t="s">
        <v>2261</v>
      </c>
      <c r="CH42" s="53" t="s">
        <v>28</v>
      </c>
      <c r="CI42" s="83" t="s">
        <v>2261</v>
      </c>
      <c r="CK42" s="53" t="s">
        <v>28</v>
      </c>
      <c r="CL42" s="83" t="s">
        <v>2261</v>
      </c>
      <c r="CN42" s="223" t="str">
        <f>'EUR Market Data'!BP43</f>
        <v/>
      </c>
      <c r="CO42" s="263" t="str">
        <f>'EUR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195</v>
      </c>
      <c r="C43" s="118" t="s">
        <v>275</v>
      </c>
      <c r="D43" s="119"/>
      <c r="E43" s="120"/>
      <c r="F43" t="s">
        <v>12</v>
      </c>
      <c r="L43" s="203"/>
      <c r="M43" s="223" t="str">
        <f>'EUR Market Data'!B44</f>
        <v/>
      </c>
      <c r="N43" s="224" t="str">
        <f>'EUR Market Data'!F44</f>
        <v/>
      </c>
      <c r="O43" s="85" t="str">
        <f>IF(LEFT($M43,3)="EUS",_xll.meDateECBSwapStart(IF(ISNUMBER($O42),$O42,COB)),"")</f>
        <v/>
      </c>
      <c r="P43" s="85" t="str">
        <f>IF(LEFT($M43,3)="EUS",_xll.meDateECBSwapEnd(IF(ISNUMBER($O42),$O42,COB)),"")</f>
        <v/>
      </c>
      <c r="Q43" s="86" t="b">
        <f t="shared" si="2"/>
        <v>0</v>
      </c>
      <c r="S43" s="92"/>
      <c r="T43" s="93"/>
      <c r="Y43" s="229" t="str">
        <f>'EUR Market Data'!H44</f>
        <v/>
      </c>
      <c r="Z43" s="239" t="str">
        <f>IF('EUR Market Data'!L44="","",'EUR Market Data'!L44)</f>
        <v/>
      </c>
      <c r="AE43" s="229" t="str">
        <f>'EUR Market Data'!N44</f>
        <v/>
      </c>
      <c r="AF43" s="230" t="str">
        <f>'EUR Market Data'!R44</f>
        <v/>
      </c>
      <c r="AH43" s="12"/>
      <c r="AI43" s="83"/>
      <c r="AK43" s="51" t="str">
        <f>'EUR Market Data'!T24</f>
        <v/>
      </c>
      <c r="AL43" s="33" t="str">
        <f>'EUR Market Data'!X24</f>
        <v/>
      </c>
      <c r="AN43" s="259" t="str">
        <f>'EUR Market Data'!AF24</f>
        <v/>
      </c>
      <c r="AO43" s="260" t="str">
        <f>'EUR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68" t="str">
        <f>'EUR Market Data'!AR44</f>
        <v/>
      </c>
      <c r="BA43" s="79" t="str">
        <f>'EUR Market Data'!AV44</f>
        <v/>
      </c>
      <c r="BB43" s="80" t="b">
        <f t="shared" si="1"/>
        <v>0</v>
      </c>
      <c r="BC43" s="6"/>
      <c r="BD43" s="12"/>
      <c r="BE43" s="83"/>
      <c r="BG43" s="53" t="s">
        <v>21</v>
      </c>
      <c r="BH43" s="16" t="s">
        <v>51</v>
      </c>
      <c r="BJ43" s="223" t="str">
        <f>'EUR Market Data'!AX44</f>
        <v/>
      </c>
      <c r="BK43" s="263" t="str">
        <f>'EUR Market Data'!BB44</f>
        <v/>
      </c>
      <c r="BM43" s="53" t="s">
        <v>21</v>
      </c>
      <c r="BN43" s="16" t="s">
        <v>328</v>
      </c>
      <c r="BP43" s="223" t="str">
        <f>'EUR Market Data'!BD44</f>
        <v/>
      </c>
      <c r="BQ43" s="263" t="str">
        <f>'EUR Market Data'!BH44</f>
        <v/>
      </c>
      <c r="BS43" s="53" t="s">
        <v>21</v>
      </c>
      <c r="BT43" s="16" t="s">
        <v>250</v>
      </c>
      <c r="BV43" s="223" t="str">
        <f>'EUR Market Data'!BJ44</f>
        <v/>
      </c>
      <c r="BW43" s="263" t="str">
        <f>'EUR Market Data'!BN44</f>
        <v/>
      </c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>'EUR Market Data'!BP44</f>
        <v/>
      </c>
      <c r="CO43" s="263" t="str">
        <f>'EUR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276</v>
      </c>
      <c r="D44" s="119"/>
      <c r="E44" s="120"/>
      <c r="F44" t="s">
        <v>12</v>
      </c>
      <c r="L44" s="203"/>
      <c r="M44" s="223" t="str">
        <f>'EUR Market Data'!B45</f>
        <v/>
      </c>
      <c r="N44" s="224" t="str">
        <f>'EUR Market Data'!F45</f>
        <v/>
      </c>
      <c r="O44" s="85" t="str">
        <f>IF(LEFT($M44,3)="EUS",_xll.meDateECBSwapStart(IF(ISNUMBER($O43),$O43,COB)),"")</f>
        <v/>
      </c>
      <c r="P44" s="85" t="str">
        <f>IF(LEFT($M44,3)="EUS",_xll.meDateECBSwapEnd(IF(ISNUMBER($O43),$O43,COB)),"")</f>
        <v/>
      </c>
      <c r="Q44" s="86" t="b">
        <f t="shared" si="2"/>
        <v>0</v>
      </c>
      <c r="S44" s="92"/>
      <c r="T44" s="93"/>
      <c r="Y44" s="229" t="str">
        <f>'EUR Market Data'!H45</f>
        <v/>
      </c>
      <c r="Z44" s="239" t="str">
        <f>IF('EUR Market Data'!L45="","",'EUR Market Data'!L45)</f>
        <v/>
      </c>
      <c r="AE44" s="229" t="str">
        <f>'EUR Market Data'!N45</f>
        <v/>
      </c>
      <c r="AF44" s="230" t="str">
        <f>'EUR Market Data'!R45</f>
        <v/>
      </c>
      <c r="AH44" s="12"/>
      <c r="AI44" s="83"/>
      <c r="AK44" s="51" t="str">
        <f>'EUR Market Data'!T25</f>
        <v/>
      </c>
      <c r="AL44" s="33" t="str">
        <f>'EUR Market Data'!X25</f>
        <v/>
      </c>
      <c r="AN44" s="259" t="str">
        <f>'EUR Market Data'!AF25</f>
        <v/>
      </c>
      <c r="AO44" s="260" t="str">
        <f>'EUR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68" t="str">
        <f>'EUR Market Data'!AR45</f>
        <v/>
      </c>
      <c r="BA44" s="79" t="str">
        <f>'EUR Market Data'!AV45</f>
        <v/>
      </c>
      <c r="BB44" s="80" t="b">
        <f t="shared" si="1"/>
        <v>0</v>
      </c>
      <c r="BC44" s="6"/>
      <c r="BD44" s="12"/>
      <c r="BE44" s="83"/>
      <c r="BG44" s="76" t="s">
        <v>24</v>
      </c>
      <c r="BH44" s="19" t="s">
        <v>162</v>
      </c>
      <c r="BJ44" s="223" t="str">
        <f>'EUR Market Data'!AX45</f>
        <v/>
      </c>
      <c r="BK44" s="263" t="str">
        <f>'EUR Market Data'!BB45</f>
        <v/>
      </c>
      <c r="BM44" s="76" t="s">
        <v>24</v>
      </c>
      <c r="BN44" s="19" t="b">
        <v>0</v>
      </c>
      <c r="BP44" s="223" t="str">
        <f>'EUR Market Data'!BD45</f>
        <v/>
      </c>
      <c r="BQ44" s="263" t="str">
        <f>'EUR Market Data'!BH45</f>
        <v/>
      </c>
      <c r="BS44" s="76" t="s">
        <v>24</v>
      </c>
      <c r="BT44" s="19" t="s">
        <v>162</v>
      </c>
      <c r="BV44" s="223" t="str">
        <f>'EUR Market Data'!BJ45</f>
        <v/>
      </c>
      <c r="BW44" s="263" t="str">
        <f>'EUR Market Data'!BN45</f>
        <v/>
      </c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>'EUR Market Data'!BP45</f>
        <v/>
      </c>
      <c r="CO44" s="263" t="str">
        <f>'EUR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292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>'EUR Market Data'!B46</f>
        <v/>
      </c>
      <c r="N45" s="224" t="str">
        <f>'EUR Market Data'!F46</f>
        <v/>
      </c>
      <c r="O45" s="85" t="str">
        <f>IF(LEFT($M45,3)="EUS",_xll.meDateECBSwapStart(IF(ISNUMBER($O44),$O44,COB)),"")</f>
        <v/>
      </c>
      <c r="P45" s="85" t="str">
        <f>IF(LEFT($M45,3)="EUS",_xll.meDateECBSwapEnd(IF(ISNUMBER($O44),$O44,COB)),"")</f>
        <v/>
      </c>
      <c r="Q45" s="86" t="b">
        <f t="shared" si="2"/>
        <v>0</v>
      </c>
      <c r="S45" s="92"/>
      <c r="T45" s="93"/>
      <c r="Y45" s="229" t="str">
        <f>'EUR Market Data'!H46</f>
        <v/>
      </c>
      <c r="Z45" s="239" t="str">
        <f>IF('EUR Market Data'!L46="","",'EUR Market Data'!L46)</f>
        <v/>
      </c>
      <c r="AE45" s="229" t="str">
        <f>'EUR Market Data'!N46</f>
        <v/>
      </c>
      <c r="AF45" s="230" t="str">
        <f>'EUR Market Data'!R46</f>
        <v/>
      </c>
      <c r="AH45" s="12"/>
      <c r="AI45" s="83"/>
      <c r="AK45" s="51" t="str">
        <f>'EUR Market Data'!T26</f>
        <v/>
      </c>
      <c r="AL45" s="33" t="str">
        <f>'EUR Market Data'!X26</f>
        <v/>
      </c>
      <c r="AN45" s="259" t="str">
        <f>'EUR Market Data'!AF26</f>
        <v/>
      </c>
      <c r="AO45" s="260" t="str">
        <f>'EUR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68" t="str">
        <f>'EUR Market Data'!AR46</f>
        <v/>
      </c>
      <c r="BA45" s="79" t="str">
        <f>'EUR Market Data'!AV46</f>
        <v/>
      </c>
      <c r="BB45" s="80" t="b">
        <f t="shared" si="1"/>
        <v>0</v>
      </c>
      <c r="BC45" s="6"/>
      <c r="BD45" s="12"/>
      <c r="BE45" s="83"/>
      <c r="BG45" s="53"/>
      <c r="BH45" s="16"/>
      <c r="BJ45" s="223" t="str">
        <f>'EUR Market Data'!AX46</f>
        <v/>
      </c>
      <c r="BK45" s="263" t="str">
        <f>'EUR Market Data'!BB46</f>
        <v/>
      </c>
      <c r="BM45" s="53"/>
      <c r="BN45" s="16"/>
      <c r="BP45" s="223" t="str">
        <f>'EUR Market Data'!BD46</f>
        <v/>
      </c>
      <c r="BQ45" s="263" t="str">
        <f>'EUR Market Data'!BH46</f>
        <v/>
      </c>
      <c r="BS45" s="53"/>
      <c r="BT45" s="16"/>
      <c r="BV45" s="223" t="str">
        <f>'EUR Market Data'!BJ46</f>
        <v/>
      </c>
      <c r="BW45" s="263" t="str">
        <f>'EUR Market Data'!BN46</f>
        <v/>
      </c>
      <c r="BY45" s="12"/>
      <c r="BZ45" s="83"/>
      <c r="CB45" s="53"/>
      <c r="CC45" s="83"/>
      <c r="CE45" s="53"/>
      <c r="CF45" s="83"/>
      <c r="CH45" s="53"/>
      <c r="CI45" s="83"/>
      <c r="CK45" s="53"/>
      <c r="CL45" s="83"/>
      <c r="CN45" s="223" t="str">
        <f>'EUR Market Data'!BP46</f>
        <v/>
      </c>
      <c r="CO45" s="263" t="str">
        <f>'EUR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>'EUR Market Data'!B47</f>
        <v/>
      </c>
      <c r="N46" s="224" t="str">
        <f>'EUR Market Data'!F47</f>
        <v/>
      </c>
      <c r="O46" s="85" t="str">
        <f>IF(LEFT($M46,3)="EUS",_xll.meDateECBSwapStart(IF(ISNUMBER($O45),$O45,COB)),"")</f>
        <v/>
      </c>
      <c r="P46" s="85" t="str">
        <f>IF(LEFT($M46,3)="EUS",_xll.meDateECBSwapEnd(IF(ISNUMBER($O45),$O45,COB)),"")</f>
        <v/>
      </c>
      <c r="Q46" s="86" t="b">
        <f t="shared" si="2"/>
        <v>0</v>
      </c>
      <c r="S46" s="92"/>
      <c r="T46" s="93"/>
      <c r="Y46" s="229" t="str">
        <f>'EUR Market Data'!H47</f>
        <v/>
      </c>
      <c r="Z46" s="239" t="str">
        <f>IF('EUR Market Data'!L47="","",'EUR Market Data'!L47)</f>
        <v/>
      </c>
      <c r="AE46" s="229" t="str">
        <f>'EUR Market Data'!N47</f>
        <v/>
      </c>
      <c r="AF46" s="230" t="str">
        <f>'EUR Market Data'!R47</f>
        <v/>
      </c>
      <c r="AH46" s="12"/>
      <c r="AI46" s="83"/>
      <c r="AK46" s="51" t="str">
        <f>'EUR Market Data'!T27</f>
        <v/>
      </c>
      <c r="AL46" s="33" t="str">
        <f>'EUR Market Data'!X27</f>
        <v/>
      </c>
      <c r="AN46" s="259" t="str">
        <f>'EUR Market Data'!AF27</f>
        <v/>
      </c>
      <c r="AO46" s="260" t="str">
        <f>'EUR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68" t="str">
        <f>'EUR Market Data'!AR47</f>
        <v/>
      </c>
      <c r="BA46" s="79" t="str">
        <f>'EUR Market Data'!AV47</f>
        <v/>
      </c>
      <c r="BB46" s="80" t="b">
        <f t="shared" si="1"/>
        <v>0</v>
      </c>
      <c r="BC46" s="6"/>
      <c r="BD46" s="12"/>
      <c r="BE46" s="83"/>
      <c r="BG46" s="53"/>
      <c r="BH46" s="16"/>
      <c r="BJ46" s="223" t="str">
        <f>'EUR Market Data'!AX47</f>
        <v/>
      </c>
      <c r="BK46" s="263" t="str">
        <f>'EUR Market Data'!BB47</f>
        <v/>
      </c>
      <c r="BM46" s="53"/>
      <c r="BN46" s="16"/>
      <c r="BP46" s="223" t="str">
        <f>'EUR Market Data'!BD47</f>
        <v/>
      </c>
      <c r="BQ46" s="263" t="str">
        <f>'EUR Market Data'!BH47</f>
        <v/>
      </c>
      <c r="BS46" s="53"/>
      <c r="BT46" s="16"/>
      <c r="BV46" s="223" t="str">
        <f>'EUR Market Data'!BJ47</f>
        <v/>
      </c>
      <c r="BW46" s="263" t="str">
        <f>'EUR Market Data'!BN47</f>
        <v/>
      </c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>'EUR Market Data'!BP47</f>
        <v/>
      </c>
      <c r="CO46" s="263" t="str">
        <f>'EUR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>'EUR Market Data'!B48</f>
        <v/>
      </c>
      <c r="N47" s="224" t="str">
        <f>'EUR Market Data'!F48</f>
        <v/>
      </c>
      <c r="O47" s="85" t="str">
        <f>IF(LEFT($M47,3)="EUS",_xll.meDateECBSwapStart(IF(ISNUMBER($O46),$O46,COB)),"")</f>
        <v/>
      </c>
      <c r="P47" s="85" t="str">
        <f>IF(LEFT($M47,3)="EUS",_xll.meDateECBSwapEnd(IF(ISNUMBER($O46),$O46,COB)),"")</f>
        <v/>
      </c>
      <c r="Q47" s="86" t="b">
        <f t="shared" si="2"/>
        <v>0</v>
      </c>
      <c r="S47" s="92"/>
      <c r="T47" s="93"/>
      <c r="Y47" s="229" t="str">
        <f>'EUR Market Data'!H48</f>
        <v/>
      </c>
      <c r="Z47" s="239" t="str">
        <f>IF('EUR Market Data'!L48="","",'EUR Market Data'!L48)</f>
        <v/>
      </c>
      <c r="AE47" s="229" t="str">
        <f>'EUR Market Data'!N48</f>
        <v/>
      </c>
      <c r="AF47" s="230" t="str">
        <f>'EUR Market Data'!R48</f>
        <v/>
      </c>
      <c r="AH47" s="12"/>
      <c r="AI47" s="83"/>
      <c r="AK47" s="51" t="str">
        <f>'EUR Market Data'!T28</f>
        <v/>
      </c>
      <c r="AL47" s="33" t="str">
        <f>'EUR Market Data'!X28</f>
        <v/>
      </c>
      <c r="AN47" s="259" t="str">
        <f>'EUR Market Data'!AF28</f>
        <v/>
      </c>
      <c r="AO47" s="260" t="str">
        <f>'EUR Market Data'!AJ28</f>
        <v/>
      </c>
      <c r="AQ47" s="47"/>
      <c r="AR47" s="48"/>
      <c r="AS47" s="48"/>
      <c r="AT47" s="48"/>
      <c r="AU47" s="142"/>
      <c r="AW47" s="53"/>
      <c r="AX47" s="16"/>
      <c r="AZ47" s="68" t="str">
        <f>'EUR Market Data'!AR48</f>
        <v/>
      </c>
      <c r="BA47" s="79" t="str">
        <f>'EUR Market Data'!AV48</f>
        <v/>
      </c>
      <c r="BB47" s="80" t="b">
        <f t="shared" si="1"/>
        <v>0</v>
      </c>
      <c r="BC47" s="6"/>
      <c r="BD47" s="12"/>
      <c r="BE47" s="83"/>
      <c r="BG47" s="53"/>
      <c r="BH47" s="16"/>
      <c r="BJ47" s="223" t="str">
        <f>'EUR Market Data'!AX48</f>
        <v/>
      </c>
      <c r="BK47" s="263" t="str">
        <f>'EUR Market Data'!BB48</f>
        <v/>
      </c>
      <c r="BM47" s="53"/>
      <c r="BN47" s="16"/>
      <c r="BP47" s="223" t="str">
        <f>'EUR Market Data'!BD48</f>
        <v/>
      </c>
      <c r="BQ47" s="263" t="str">
        <f>'EUR Market Data'!BH48</f>
        <v/>
      </c>
      <c r="BS47" s="53"/>
      <c r="BT47" s="16"/>
      <c r="BV47" s="223" t="str">
        <f>'EUR Market Data'!BJ48</f>
        <v/>
      </c>
      <c r="BW47" s="263" t="str">
        <f>'EUR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>'EUR Market Data'!BP48</f>
        <v/>
      </c>
      <c r="CO47" s="263" t="str">
        <f>'EUR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>'EUR Market Data'!B49</f>
        <v/>
      </c>
      <c r="N48" s="224" t="str">
        <f>'EUR Market Data'!F49</f>
        <v/>
      </c>
      <c r="O48" s="85" t="str">
        <f>IF(LEFT($M48,3)="EUS",_xll.meDateECBSwapStart(IF(ISNUMBER($O47),$O47,COB)),"")</f>
        <v/>
      </c>
      <c r="P48" s="85" t="str">
        <f>IF(LEFT($M48,3)="EUS",_xll.meDateECBSwapEnd(IF(ISNUMBER($O47),$O47,COB)),"")</f>
        <v/>
      </c>
      <c r="Q48" s="86" t="b">
        <f t="shared" si="2"/>
        <v>0</v>
      </c>
      <c r="S48" s="92"/>
      <c r="T48" s="93"/>
      <c r="Y48" s="229" t="str">
        <f>'EUR Market Data'!H49</f>
        <v/>
      </c>
      <c r="Z48" s="239" t="str">
        <f>IF('EUR Market Data'!L49="","",'EUR Market Data'!L49)</f>
        <v/>
      </c>
      <c r="AE48" s="229" t="str">
        <f>'EUR Market Data'!N49</f>
        <v/>
      </c>
      <c r="AF48" s="230" t="str">
        <f>'EUR Market Data'!R49</f>
        <v/>
      </c>
      <c r="AH48" s="12"/>
      <c r="AI48" s="83"/>
      <c r="AK48" s="51" t="str">
        <f>'EUR Market Data'!T29</f>
        <v/>
      </c>
      <c r="AL48" s="33" t="str">
        <f>'EUR Market Data'!X29</f>
        <v/>
      </c>
      <c r="AN48" s="259" t="str">
        <f>'EUR Market Data'!AF29</f>
        <v/>
      </c>
      <c r="AO48" s="260" t="str">
        <f>'EUR Market Data'!AJ29</f>
        <v/>
      </c>
      <c r="AQ48" s="47"/>
      <c r="AR48" s="48"/>
      <c r="AS48" s="48"/>
      <c r="AT48" s="48"/>
      <c r="AU48" s="142"/>
      <c r="AW48" s="53"/>
      <c r="AX48" s="16"/>
      <c r="AZ48" s="68" t="str">
        <f>'EUR Market Data'!AR49</f>
        <v/>
      </c>
      <c r="BA48" s="79" t="str">
        <f>'EUR Market Data'!AV49</f>
        <v/>
      </c>
      <c r="BB48" s="80" t="b">
        <f t="shared" si="1"/>
        <v>0</v>
      </c>
      <c r="BC48" s="6"/>
      <c r="BD48" s="12"/>
      <c r="BE48" s="83"/>
      <c r="BG48" s="53"/>
      <c r="BH48" s="16"/>
      <c r="BJ48" s="223" t="str">
        <f>'EUR Market Data'!AX49</f>
        <v/>
      </c>
      <c r="BK48" s="263" t="str">
        <f>'EUR Market Data'!BB49</f>
        <v/>
      </c>
      <c r="BM48" s="53"/>
      <c r="BN48" s="16"/>
      <c r="BP48" s="223" t="str">
        <f>'EUR Market Data'!BD49</f>
        <v/>
      </c>
      <c r="BQ48" s="263" t="str">
        <f>'EUR Market Data'!BH49</f>
        <v/>
      </c>
      <c r="BS48" s="53"/>
      <c r="BT48" s="16"/>
      <c r="BV48" s="223" t="str">
        <f>'EUR Market Data'!BJ49</f>
        <v/>
      </c>
      <c r="BW48" s="263" t="str">
        <f>'EUR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>'EUR Market Data'!BP49</f>
        <v/>
      </c>
      <c r="CO48" s="263" t="str">
        <f>'EUR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>'EUR Market Data'!B50</f>
        <v/>
      </c>
      <c r="N49" s="224" t="str">
        <f>'EUR Market Data'!F50</f>
        <v/>
      </c>
      <c r="O49" s="85" t="str">
        <f>IF(LEFT($M49,3)="EUS",_xll.meDateECBSwapStart(IF(ISNUMBER($O48),$O48,COB)),"")</f>
        <v/>
      </c>
      <c r="P49" s="85" t="str">
        <f>IF(LEFT($M49,3)="EUS",_xll.meDateECBSwapEnd(IF(ISNUMBER($O48),$O48,COB)),"")</f>
        <v/>
      </c>
      <c r="Q49" s="86" t="b">
        <f t="shared" si="2"/>
        <v>0</v>
      </c>
      <c r="S49" s="92"/>
      <c r="T49" s="93"/>
      <c r="Y49" s="229" t="str">
        <f>'EUR Market Data'!H50</f>
        <v/>
      </c>
      <c r="Z49" s="239" t="str">
        <f>IF('EUR Market Data'!L50="","",'EUR Market Data'!L50)</f>
        <v/>
      </c>
      <c r="AE49" s="229" t="str">
        <f>'EUR Market Data'!N50</f>
        <v/>
      </c>
      <c r="AF49" s="230" t="str">
        <f>'EUR Market Data'!R50</f>
        <v/>
      </c>
      <c r="AH49" s="12"/>
      <c r="AI49" s="83"/>
      <c r="AK49" s="51" t="str">
        <f>'EUR Market Data'!T30</f>
        <v/>
      </c>
      <c r="AL49" s="33" t="str">
        <f>'EUR Market Data'!X30</f>
        <v/>
      </c>
      <c r="AN49" s="259" t="str">
        <f>'EUR Market Data'!AF30</f>
        <v/>
      </c>
      <c r="AO49" s="260" t="str">
        <f>'EUR Market Data'!AJ30</f>
        <v/>
      </c>
      <c r="AQ49" s="47"/>
      <c r="AR49" s="48"/>
      <c r="AS49" s="48"/>
      <c r="AT49" s="48"/>
      <c r="AU49" s="142"/>
      <c r="AW49" s="53"/>
      <c r="AX49" s="16"/>
      <c r="AZ49" s="68" t="str">
        <f>'EUR Market Data'!AR50</f>
        <v/>
      </c>
      <c r="BA49" s="79" t="str">
        <f>'EUR Market Data'!AV50</f>
        <v/>
      </c>
      <c r="BB49" s="80" t="b">
        <f t="shared" si="1"/>
        <v>0</v>
      </c>
      <c r="BC49" s="6"/>
      <c r="BD49" s="12"/>
      <c r="BE49" s="83"/>
      <c r="BG49" s="53"/>
      <c r="BH49" s="16"/>
      <c r="BJ49" s="223" t="str">
        <f>'EUR Market Data'!AX50</f>
        <v/>
      </c>
      <c r="BK49" s="263" t="str">
        <f>'EUR Market Data'!BB50</f>
        <v/>
      </c>
      <c r="BM49" s="53"/>
      <c r="BN49" s="16"/>
      <c r="BP49" s="223" t="str">
        <f>'EUR Market Data'!BD50</f>
        <v/>
      </c>
      <c r="BQ49" s="263" t="str">
        <f>'EUR Market Data'!BH50</f>
        <v/>
      </c>
      <c r="BS49" s="53"/>
      <c r="BT49" s="16"/>
      <c r="BV49" s="223" t="str">
        <f>'EUR Market Data'!BJ50</f>
        <v/>
      </c>
      <c r="BW49" s="263" t="str">
        <f>'EUR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>'EUR Market Data'!BP50</f>
        <v/>
      </c>
      <c r="CO49" s="263" t="str">
        <f>'EUR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191</v>
      </c>
      <c r="D50" s="113"/>
      <c r="E50" s="114"/>
      <c r="L50" s="203"/>
      <c r="M50" s="223" t="str">
        <f>'EUR Market Data'!B51</f>
        <v/>
      </c>
      <c r="N50" s="224" t="str">
        <f>'EUR Market Data'!F51</f>
        <v/>
      </c>
      <c r="O50" s="85" t="str">
        <f>IF(LEFT($M50,3)="EUS",_xll.meDateECBSwapStart(IF(ISNUMBER($O49),$O49,COB)),"")</f>
        <v/>
      </c>
      <c r="P50" s="85" t="str">
        <f>IF(LEFT($M50,3)="EUS",_xll.meDateECBSwapEnd(IF(ISNUMBER($O49),$O49,COB)),"")</f>
        <v/>
      </c>
      <c r="Q50" s="86" t="b">
        <f t="shared" si="2"/>
        <v>0</v>
      </c>
      <c r="S50" s="92"/>
      <c r="T50" s="93"/>
      <c r="Y50" s="229" t="str">
        <f>'EUR Market Data'!H51</f>
        <v/>
      </c>
      <c r="Z50" s="239" t="str">
        <f>IF('EUR Market Data'!L51="","",'EUR Market Data'!L51)</f>
        <v/>
      </c>
      <c r="AE50" s="229" t="str">
        <f>'EUR Market Data'!N51</f>
        <v/>
      </c>
      <c r="AF50" s="230" t="str">
        <f>'EUR Market Data'!R51</f>
        <v/>
      </c>
      <c r="AH50" s="12"/>
      <c r="AI50" s="83"/>
      <c r="AK50" s="51" t="str">
        <f>'EUR Market Data'!T31</f>
        <v/>
      </c>
      <c r="AL50" s="33" t="str">
        <f>'EUR Market Data'!X31</f>
        <v/>
      </c>
      <c r="AN50" s="259" t="str">
        <f>'EUR Market Data'!AF31</f>
        <v/>
      </c>
      <c r="AO50" s="260" t="str">
        <f>'EUR Market Data'!AJ31</f>
        <v/>
      </c>
      <c r="AQ50" s="47"/>
      <c r="AR50" s="48"/>
      <c r="AS50" s="48"/>
      <c r="AT50" s="48"/>
      <c r="AU50" s="142"/>
      <c r="AW50" s="53"/>
      <c r="AX50" s="16"/>
      <c r="AZ50" s="68" t="str">
        <f>'EUR Market Data'!AR51</f>
        <v/>
      </c>
      <c r="BA50" s="79" t="str">
        <f>'EUR Market Data'!AV51</f>
        <v/>
      </c>
      <c r="BB50" s="80" t="b">
        <f t="shared" si="1"/>
        <v>0</v>
      </c>
      <c r="BC50" s="6"/>
      <c r="BD50" s="12"/>
      <c r="BE50" s="83"/>
      <c r="BG50" s="53"/>
      <c r="BH50" s="16"/>
      <c r="BJ50" s="223" t="str">
        <f>'EUR Market Data'!AX51</f>
        <v/>
      </c>
      <c r="BK50" s="263" t="str">
        <f>'EUR Market Data'!BB51</f>
        <v/>
      </c>
      <c r="BM50" s="53"/>
      <c r="BN50" s="16"/>
      <c r="BP50" s="223" t="str">
        <f>'EUR Market Data'!BD51</f>
        <v/>
      </c>
      <c r="BQ50" s="263" t="str">
        <f>'EUR Market Data'!BH51</f>
        <v/>
      </c>
      <c r="BS50" s="53"/>
      <c r="BT50" s="16"/>
      <c r="BV50" s="223" t="str">
        <f>'EUR Market Data'!BJ51</f>
        <v/>
      </c>
      <c r="BW50" s="263" t="str">
        <f>'EUR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>'EUR Market Data'!BP51</f>
        <v/>
      </c>
      <c r="CO50" s="263" t="str">
        <f>'EUR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279</v>
      </c>
      <c r="D51" s="116"/>
      <c r="E51" s="117"/>
      <c r="L51" s="203"/>
      <c r="M51" s="223" t="str">
        <f>'EUR Market Data'!B52</f>
        <v/>
      </c>
      <c r="N51" s="224" t="str">
        <f>'EUR Market Data'!F52</f>
        <v/>
      </c>
      <c r="O51" s="85" t="str">
        <f>IF(LEFT($M51,3)="EUS",_xll.meDateECBSwapStart(IF(ISNUMBER($O50),$O50,COB)),"")</f>
        <v/>
      </c>
      <c r="P51" s="85" t="str">
        <f>IF(LEFT($M51,3)="EUS",_xll.meDateECBSwapEnd(IF(ISNUMBER($O50),$O50,COB)),"")</f>
        <v/>
      </c>
      <c r="Q51" s="86" t="b">
        <f t="shared" si="2"/>
        <v>0</v>
      </c>
      <c r="S51" s="92"/>
      <c r="T51" s="93"/>
      <c r="Y51" s="229" t="str">
        <f>'EUR Market Data'!H52</f>
        <v/>
      </c>
      <c r="Z51" s="239" t="str">
        <f>IF('EUR Market Data'!L52="","",'EUR Market Data'!L52)</f>
        <v/>
      </c>
      <c r="AE51" s="229" t="str">
        <f>'EUR Market Data'!N52</f>
        <v/>
      </c>
      <c r="AF51" s="230" t="str">
        <f>'EUR Market Data'!R52</f>
        <v/>
      </c>
      <c r="AH51" s="12"/>
      <c r="AI51" s="83"/>
      <c r="AK51" s="51" t="str">
        <f>'EUR Market Data'!T32</f>
        <v/>
      </c>
      <c r="AL51" s="33" t="str">
        <f>'EUR Market Data'!X32</f>
        <v/>
      </c>
      <c r="AN51" s="259" t="str">
        <f>'EUR Market Data'!AF32</f>
        <v/>
      </c>
      <c r="AO51" s="260" t="str">
        <f>'EUR Market Data'!AJ32</f>
        <v/>
      </c>
      <c r="AQ51" s="47"/>
      <c r="AR51" s="48"/>
      <c r="AS51" s="48"/>
      <c r="AT51" s="48"/>
      <c r="AU51" s="142"/>
      <c r="AW51" s="53"/>
      <c r="AX51" s="16"/>
      <c r="AZ51" s="68" t="str">
        <f>'EUR Market Data'!AR52</f>
        <v/>
      </c>
      <c r="BA51" s="79" t="str">
        <f>'EUR Market Data'!AV52</f>
        <v/>
      </c>
      <c r="BB51" s="80" t="b">
        <f t="shared" si="1"/>
        <v>0</v>
      </c>
      <c r="BC51" s="6"/>
      <c r="BD51" s="12"/>
      <c r="BE51" s="83"/>
      <c r="BG51" s="53"/>
      <c r="BH51" s="16"/>
      <c r="BJ51" s="223" t="str">
        <f>'EUR Market Data'!AX52</f>
        <v/>
      </c>
      <c r="BK51" s="263" t="str">
        <f>'EUR Market Data'!BB52</f>
        <v/>
      </c>
      <c r="BM51" s="53"/>
      <c r="BN51" s="16"/>
      <c r="BP51" s="223" t="str">
        <f>'EUR Market Data'!BD52</f>
        <v/>
      </c>
      <c r="BQ51" s="263" t="str">
        <f>'EUR Market Data'!BH52</f>
        <v/>
      </c>
      <c r="BS51" s="53"/>
      <c r="BT51" s="16"/>
      <c r="BV51" s="223" t="str">
        <f>'EUR Market Data'!BJ52</f>
        <v/>
      </c>
      <c r="BW51" s="263" t="str">
        <f>'EUR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>'EUR Market Data'!BP52</f>
        <v/>
      </c>
      <c r="CO51" s="263" t="str">
        <f>'EUR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274</v>
      </c>
      <c r="D52" s="119"/>
      <c r="E52" s="120"/>
      <c r="L52" s="203"/>
      <c r="M52" s="223" t="str">
        <f>'EUR Market Data'!B53</f>
        <v/>
      </c>
      <c r="N52" s="224" t="str">
        <f>'EUR Market Data'!F53</f>
        <v/>
      </c>
      <c r="O52" s="85" t="str">
        <f>IF(LEFT($M52,3)="EUS",_xll.meDateECBSwapStart(IF(ISNUMBER($O51),$O51,COB)),"")</f>
        <v/>
      </c>
      <c r="P52" s="85" t="str">
        <f>IF(LEFT($M52,3)="EUS",_xll.meDateECBSwapEnd(IF(ISNUMBER($O51),$O51,COB)),"")</f>
        <v/>
      </c>
      <c r="Q52" s="86" t="b">
        <f t="shared" si="2"/>
        <v>0</v>
      </c>
      <c r="S52" s="92"/>
      <c r="T52" s="93"/>
      <c r="Y52" s="229" t="str">
        <f>'EUR Market Data'!H53</f>
        <v/>
      </c>
      <c r="Z52" s="239" t="str">
        <f>IF('EUR Market Data'!L53="","",'EUR Market Data'!L53)</f>
        <v/>
      </c>
      <c r="AE52" s="229" t="str">
        <f>'EUR Market Data'!N53</f>
        <v/>
      </c>
      <c r="AF52" s="230" t="str">
        <f>'EUR Market Data'!R53</f>
        <v/>
      </c>
      <c r="AH52" s="12"/>
      <c r="AI52" s="83"/>
      <c r="AK52" s="51" t="str">
        <f>'EUR Market Data'!T33</f>
        <v/>
      </c>
      <c r="AL52" s="33" t="str">
        <f>'EUR Market Data'!X33</f>
        <v/>
      </c>
      <c r="AN52" s="259" t="str">
        <f>'EUR Market Data'!AF33</f>
        <v/>
      </c>
      <c r="AO52" s="260" t="str">
        <f>'EUR Market Data'!AJ33</f>
        <v/>
      </c>
      <c r="AQ52" s="47"/>
      <c r="AR52" s="48"/>
      <c r="AS52" s="48"/>
      <c r="AT52" s="48"/>
      <c r="AU52" s="142"/>
      <c r="AW52" s="53"/>
      <c r="AX52" s="16"/>
      <c r="AZ52" s="68" t="str">
        <f>'EUR Market Data'!AR53</f>
        <v/>
      </c>
      <c r="BA52" s="79" t="str">
        <f>'EUR Market Data'!AV53</f>
        <v/>
      </c>
      <c r="BB52" s="80" t="b">
        <f t="shared" si="1"/>
        <v>0</v>
      </c>
      <c r="BC52" s="6"/>
      <c r="BD52" s="12"/>
      <c r="BE52" s="83"/>
      <c r="BG52" s="53"/>
      <c r="BH52" s="16"/>
      <c r="BJ52" s="223" t="str">
        <f>'EUR Market Data'!AX53</f>
        <v/>
      </c>
      <c r="BK52" s="263" t="str">
        <f>'EUR Market Data'!BB53</f>
        <v/>
      </c>
      <c r="BM52" s="53"/>
      <c r="BN52" s="16"/>
      <c r="BP52" s="223" t="str">
        <f>'EUR Market Data'!BD53</f>
        <v/>
      </c>
      <c r="BQ52" s="263" t="str">
        <f>'EUR Market Data'!BH53</f>
        <v/>
      </c>
      <c r="BS52" s="53"/>
      <c r="BT52" s="16"/>
      <c r="BV52" s="223" t="str">
        <f>'EUR Market Data'!BJ53</f>
        <v/>
      </c>
      <c r="BW52" s="263" t="str">
        <f>'EUR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>'EUR Market Data'!BP53</f>
        <v/>
      </c>
      <c r="CO52" s="263" t="str">
        <f>'EUR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195</v>
      </c>
      <c r="C53" s="118" t="s">
        <v>275</v>
      </c>
      <c r="D53" s="119"/>
      <c r="E53" s="120"/>
      <c r="L53" s="203"/>
      <c r="M53" s="223" t="str">
        <f>'EUR Market Data'!B54</f>
        <v/>
      </c>
      <c r="N53" s="224" t="str">
        <f>'EUR Market Data'!F54</f>
        <v/>
      </c>
      <c r="O53" s="85" t="str">
        <f>IF(LEFT($M53,3)="EUS",_xll.meDateECBSwapStart(IF(ISNUMBER($O52),$O52,COB)),"")</f>
        <v/>
      </c>
      <c r="P53" s="85" t="str">
        <f>IF(LEFT($M53,3)="EUS",_xll.meDateECBSwapEnd(IF(ISNUMBER($O52),$O52,COB)),"")</f>
        <v/>
      </c>
      <c r="Q53" s="86" t="b">
        <f t="shared" si="2"/>
        <v>0</v>
      </c>
      <c r="S53" s="92"/>
      <c r="T53" s="93"/>
      <c r="Y53" s="229" t="str">
        <f>'EUR Market Data'!H54</f>
        <v/>
      </c>
      <c r="Z53" s="239" t="str">
        <f>IF('EUR Market Data'!L54="","",'EUR Market Data'!L54)</f>
        <v/>
      </c>
      <c r="AE53" s="229" t="str">
        <f>'EUR Market Data'!N54</f>
        <v/>
      </c>
      <c r="AF53" s="230" t="str">
        <f>'EUR Market Data'!R54</f>
        <v/>
      </c>
      <c r="AH53" s="12"/>
      <c r="AI53" s="83"/>
      <c r="AK53" s="51" t="str">
        <f>'EUR Market Data'!T34</f>
        <v/>
      </c>
      <c r="AL53" s="33" t="str">
        <f>'EUR Market Data'!X34</f>
        <v/>
      </c>
      <c r="AN53" s="259" t="str">
        <f>'EUR Market Data'!AF34</f>
        <v/>
      </c>
      <c r="AO53" s="260" t="str">
        <f>'EUR Market Data'!AJ34</f>
        <v/>
      </c>
      <c r="AQ53" s="47"/>
      <c r="AR53" s="48"/>
      <c r="AS53" s="48"/>
      <c r="AT53" s="48"/>
      <c r="AU53" s="142"/>
      <c r="AW53" s="53"/>
      <c r="AX53" s="16"/>
      <c r="AZ53" s="68" t="str">
        <f>'EUR Market Data'!AR54</f>
        <v/>
      </c>
      <c r="BA53" s="79" t="str">
        <f>'EUR Market Data'!AV54</f>
        <v/>
      </c>
      <c r="BB53" s="80" t="b">
        <f t="shared" si="1"/>
        <v>0</v>
      </c>
      <c r="BC53" s="6"/>
      <c r="BD53" s="12"/>
      <c r="BE53" s="83"/>
      <c r="BG53" s="53"/>
      <c r="BH53" s="16"/>
      <c r="BJ53" s="223" t="str">
        <f>'EUR Market Data'!AX54</f>
        <v/>
      </c>
      <c r="BK53" s="263" t="str">
        <f>'EUR Market Data'!BB54</f>
        <v/>
      </c>
      <c r="BM53" s="53"/>
      <c r="BN53" s="16"/>
      <c r="BP53" s="223" t="str">
        <f>'EUR Market Data'!BD54</f>
        <v/>
      </c>
      <c r="BQ53" s="263" t="str">
        <f>'EUR Market Data'!BH54</f>
        <v/>
      </c>
      <c r="BS53" s="53"/>
      <c r="BT53" s="16"/>
      <c r="BV53" s="223" t="str">
        <f>'EUR Market Data'!BJ54</f>
        <v/>
      </c>
      <c r="BW53" s="263" t="str">
        <f>'EUR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>'EUR Market Data'!BP54</f>
        <v/>
      </c>
      <c r="CO53" s="263" t="str">
        <f>'EUR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276</v>
      </c>
      <c r="D54" s="119"/>
      <c r="E54" s="120"/>
      <c r="L54" s="203"/>
      <c r="M54" s="223" t="str">
        <f>'EUR Market Data'!B55</f>
        <v/>
      </c>
      <c r="N54" s="224" t="str">
        <f>'EUR Market Data'!F55</f>
        <v/>
      </c>
      <c r="O54" s="85" t="str">
        <f>IF(LEFT($M54,3)="EUS",_xll.meDateECBSwapStart(IF(ISNUMBER($O53),$O53,COB)),"")</f>
        <v/>
      </c>
      <c r="P54" s="85" t="str">
        <f>IF(LEFT($M54,3)="EUS",_xll.meDateECBSwapEnd(IF(ISNUMBER($O53),$O53,COB)),"")</f>
        <v/>
      </c>
      <c r="Q54" s="86" t="b">
        <f t="shared" si="2"/>
        <v>0</v>
      </c>
      <c r="S54" s="92"/>
      <c r="T54" s="93"/>
      <c r="Y54" s="229" t="str">
        <f>'EUR Market Data'!H55</f>
        <v/>
      </c>
      <c r="Z54" s="239" t="str">
        <f>IF('EUR Market Data'!L55="","",'EUR Market Data'!L55)</f>
        <v/>
      </c>
      <c r="AE54" s="229" t="str">
        <f>'EUR Market Data'!N55</f>
        <v/>
      </c>
      <c r="AF54" s="230" t="str">
        <f>'EUR Market Data'!R55</f>
        <v/>
      </c>
      <c r="AH54" s="12"/>
      <c r="AI54" s="83"/>
      <c r="AK54" s="51" t="str">
        <f>'EUR Market Data'!T35</f>
        <v/>
      </c>
      <c r="AL54" s="33" t="str">
        <f>'EUR Market Data'!X35</f>
        <v/>
      </c>
      <c r="AN54" s="259" t="str">
        <f>'EUR Market Data'!AF35</f>
        <v/>
      </c>
      <c r="AO54" s="260" t="str">
        <f>'EUR Market Data'!AJ35</f>
        <v/>
      </c>
      <c r="AQ54" s="47"/>
      <c r="AR54" s="48"/>
      <c r="AS54" s="48"/>
      <c r="AT54" s="48"/>
      <c r="AU54" s="142"/>
      <c r="AW54" s="53"/>
      <c r="AX54" s="16"/>
      <c r="AZ54" s="68" t="str">
        <f>'EUR Market Data'!AR55</f>
        <v/>
      </c>
      <c r="BA54" s="79" t="str">
        <f>'EUR Market Data'!AV55</f>
        <v/>
      </c>
      <c r="BB54" s="80" t="b">
        <f t="shared" si="1"/>
        <v>0</v>
      </c>
      <c r="BC54" s="6"/>
      <c r="BD54" s="12"/>
      <c r="BE54" s="83"/>
      <c r="BG54" s="53"/>
      <c r="BH54" s="16"/>
      <c r="BJ54" s="223" t="str">
        <f>'EUR Market Data'!AX55</f>
        <v/>
      </c>
      <c r="BK54" s="263" t="str">
        <f>'EUR Market Data'!BB55</f>
        <v/>
      </c>
      <c r="BM54" s="53"/>
      <c r="BN54" s="16"/>
      <c r="BP54" s="223" t="str">
        <f>'EUR Market Data'!BD55</f>
        <v/>
      </c>
      <c r="BQ54" s="263" t="str">
        <f>'EUR Market Data'!BH55</f>
        <v/>
      </c>
      <c r="BS54" s="53"/>
      <c r="BT54" s="16"/>
      <c r="BV54" s="223" t="str">
        <f>'EUR Market Data'!BJ55</f>
        <v/>
      </c>
      <c r="BW54" s="263" t="str">
        <f>'EUR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>'EUR Market Data'!BP55</f>
        <v/>
      </c>
      <c r="CO54" s="263" t="str">
        <f>'EUR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292</v>
      </c>
      <c r="D55" s="119"/>
      <c r="E55" s="120"/>
      <c r="L55" s="203"/>
      <c r="M55" s="223" t="str">
        <f>'EUR Market Data'!B56</f>
        <v/>
      </c>
      <c r="N55" s="224" t="str">
        <f>'EUR Market Data'!F56</f>
        <v/>
      </c>
      <c r="O55" s="85" t="str">
        <f>IF(LEFT($M55,3)="EUS",_xll.meDateECBSwapStart(IF(ISNUMBER($O54),$O54,COB)),"")</f>
        <v/>
      </c>
      <c r="P55" s="85" t="str">
        <f>IF(LEFT($M55,3)="EUS",_xll.meDateECBSwapEnd(IF(ISNUMBER($O54),$O54,COB)),"")</f>
        <v/>
      </c>
      <c r="Q55" s="86" t="b">
        <f t="shared" si="2"/>
        <v>0</v>
      </c>
      <c r="S55" s="92"/>
      <c r="T55" s="93"/>
      <c r="Y55" s="229" t="str">
        <f>'EUR Market Data'!H56</f>
        <v/>
      </c>
      <c r="Z55" s="239" t="str">
        <f>IF('EUR Market Data'!L56="","",'EUR Market Data'!L56)</f>
        <v/>
      </c>
      <c r="AE55" s="229" t="str">
        <f>'EUR Market Data'!N56</f>
        <v/>
      </c>
      <c r="AF55" s="230" t="str">
        <f>'EUR Market Data'!R56</f>
        <v/>
      </c>
      <c r="AH55" s="12"/>
      <c r="AI55" s="83"/>
      <c r="AK55" s="51" t="str">
        <f>'EUR Market Data'!T36</f>
        <v/>
      </c>
      <c r="AL55" s="33" t="str">
        <f>'EUR Market Data'!X36</f>
        <v/>
      </c>
      <c r="AN55" s="259" t="str">
        <f>'EUR Market Data'!AF36</f>
        <v/>
      </c>
      <c r="AO55" s="260" t="str">
        <f>'EUR Market Data'!AJ36</f>
        <v/>
      </c>
      <c r="AQ55" s="47"/>
      <c r="AR55" s="48"/>
      <c r="AS55" s="48"/>
      <c r="AT55" s="48"/>
      <c r="AU55" s="142"/>
      <c r="AW55" s="53"/>
      <c r="AX55" s="16"/>
      <c r="AZ55" s="68" t="str">
        <f>'EUR Market Data'!AR56</f>
        <v/>
      </c>
      <c r="BA55" s="79" t="str">
        <f>'EUR Market Data'!AV56</f>
        <v/>
      </c>
      <c r="BB55" s="80" t="b">
        <f t="shared" si="1"/>
        <v>0</v>
      </c>
      <c r="BC55" s="6"/>
      <c r="BD55" s="12"/>
      <c r="BE55" s="83"/>
      <c r="BG55" s="53"/>
      <c r="BH55" s="16"/>
      <c r="BJ55" s="223" t="str">
        <f>'EUR Market Data'!AX56</f>
        <v/>
      </c>
      <c r="BK55" s="263" t="str">
        <f>'EUR Market Data'!BB56</f>
        <v/>
      </c>
      <c r="BM55" s="53"/>
      <c r="BN55" s="16"/>
      <c r="BP55" s="223" t="str">
        <f>'EUR Market Data'!BD56</f>
        <v/>
      </c>
      <c r="BQ55" s="263" t="str">
        <f>'EUR Market Data'!BH56</f>
        <v/>
      </c>
      <c r="BS55" s="53"/>
      <c r="BT55" s="16"/>
      <c r="BV55" s="223" t="str">
        <f>'EUR Market Data'!BJ56</f>
        <v/>
      </c>
      <c r="BW55" s="263" t="str">
        <f>'EUR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>'EUR Market Data'!BP56</f>
        <v/>
      </c>
      <c r="CO55" s="263" t="str">
        <f>'EUR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>'EUR Market Data'!B57</f>
        <v/>
      </c>
      <c r="N56" s="224" t="str">
        <f>'EUR Market Data'!F57</f>
        <v/>
      </c>
      <c r="O56" s="85" t="str">
        <f>IF(LEFT($M56,3)="EUS",_xll.meDateECBSwapStart(IF(ISNUMBER($O55),$O55,COB)),"")</f>
        <v/>
      </c>
      <c r="P56" s="85" t="str">
        <f>IF(LEFT($M56,3)="EUS",_xll.meDateECBSwapEnd(IF(ISNUMBER($O55),$O55,COB)),"")</f>
        <v/>
      </c>
      <c r="Q56" s="86" t="b">
        <f t="shared" si="2"/>
        <v>0</v>
      </c>
      <c r="S56" s="92"/>
      <c r="T56" s="93"/>
      <c r="Y56" s="229" t="str">
        <f>'EUR Market Data'!H57</f>
        <v/>
      </c>
      <c r="Z56" s="239" t="str">
        <f>IF('EUR Market Data'!L57="","",'EUR Market Data'!L57)</f>
        <v/>
      </c>
      <c r="AE56" s="229" t="str">
        <f>'EUR Market Data'!N57</f>
        <v/>
      </c>
      <c r="AF56" s="230" t="str">
        <f>'EUR Market Data'!R57</f>
        <v/>
      </c>
      <c r="AH56" s="12"/>
      <c r="AI56" s="83"/>
      <c r="AK56" s="51" t="str">
        <f>'EUR Market Data'!T37</f>
        <v/>
      </c>
      <c r="AL56" s="33" t="str">
        <f>'EUR Market Data'!X37</f>
        <v/>
      </c>
      <c r="AN56" s="259" t="str">
        <f>'EUR Market Data'!AF37</f>
        <v/>
      </c>
      <c r="AO56" s="260" t="str">
        <f>'EUR Market Data'!AJ37</f>
        <v/>
      </c>
      <c r="AQ56" s="47"/>
      <c r="AR56" s="48"/>
      <c r="AS56" s="48"/>
      <c r="AT56" s="48"/>
      <c r="AU56" s="142"/>
      <c r="AW56" s="53"/>
      <c r="AX56" s="16"/>
      <c r="AZ56" s="68" t="str">
        <f>'EUR Market Data'!AR57</f>
        <v/>
      </c>
      <c r="BA56" s="79" t="str">
        <f>'EUR Market Data'!AV57</f>
        <v/>
      </c>
      <c r="BB56" s="80" t="b">
        <f t="shared" si="1"/>
        <v>0</v>
      </c>
      <c r="BC56" s="6"/>
      <c r="BD56" s="12"/>
      <c r="BE56" s="83"/>
      <c r="BG56" s="53"/>
      <c r="BH56" s="16"/>
      <c r="BJ56" s="223" t="str">
        <f>'EUR Market Data'!AX57</f>
        <v/>
      </c>
      <c r="BK56" s="263" t="str">
        <f>'EUR Market Data'!BB57</f>
        <v/>
      </c>
      <c r="BM56" s="53"/>
      <c r="BN56" s="16"/>
      <c r="BP56" s="223" t="str">
        <f>'EUR Market Data'!BD57</f>
        <v/>
      </c>
      <c r="BQ56" s="263" t="str">
        <f>'EUR Market Data'!BH57</f>
        <v/>
      </c>
      <c r="BS56" s="53"/>
      <c r="BT56" s="16"/>
      <c r="BV56" s="223" t="str">
        <f>'EUR Market Data'!BJ57</f>
        <v/>
      </c>
      <c r="BW56" s="263" t="str">
        <f>'EUR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>'EUR Market Data'!BP57</f>
        <v/>
      </c>
      <c r="CO56" s="263" t="str">
        <f>'EUR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>'EUR Market Data'!B58</f>
        <v/>
      </c>
      <c r="N57" s="224" t="str">
        <f>'EUR Market Data'!F58</f>
        <v/>
      </c>
      <c r="O57" s="85" t="str">
        <f>IF(LEFT($M57,3)="EUS",_xll.meDateECBSwapStart(IF(ISNUMBER($O56),$O56,COB)),"")</f>
        <v/>
      </c>
      <c r="P57" s="85" t="str">
        <f>IF(LEFT($M57,3)="EUS",_xll.meDateECBSwapEnd(IF(ISNUMBER($O56),$O56,COB)),"")</f>
        <v/>
      </c>
      <c r="Q57" s="86" t="b">
        <f t="shared" si="2"/>
        <v>0</v>
      </c>
      <c r="S57" s="92"/>
      <c r="T57" s="93"/>
      <c r="Y57" s="229" t="str">
        <f>'EUR Market Data'!H58</f>
        <v/>
      </c>
      <c r="Z57" s="239" t="str">
        <f>IF('EUR Market Data'!L58="","",'EUR Market Data'!L58)</f>
        <v/>
      </c>
      <c r="AE57" s="229" t="str">
        <f>'EUR Market Data'!N58</f>
        <v/>
      </c>
      <c r="AF57" s="230" t="str">
        <f>'EUR Market Data'!R58</f>
        <v/>
      </c>
      <c r="AH57" s="12"/>
      <c r="AI57" s="83"/>
      <c r="AK57" s="51" t="str">
        <f>'EUR Market Data'!T38</f>
        <v/>
      </c>
      <c r="AL57" s="33" t="str">
        <f>'EUR Market Data'!X38</f>
        <v/>
      </c>
      <c r="AN57" s="259" t="str">
        <f>'EUR Market Data'!AF38</f>
        <v/>
      </c>
      <c r="AO57" s="260" t="str">
        <f>'EUR Market Data'!AJ38</f>
        <v/>
      </c>
      <c r="AQ57" s="47"/>
      <c r="AR57" s="48"/>
      <c r="AS57" s="48"/>
      <c r="AT57" s="48"/>
      <c r="AU57" s="142"/>
      <c r="AW57" s="53"/>
      <c r="AX57" s="16"/>
      <c r="AZ57" s="68" t="str">
        <f>'EUR Market Data'!AR58</f>
        <v/>
      </c>
      <c r="BA57" s="79" t="str">
        <f>'EUR Market Data'!AV58</f>
        <v/>
      </c>
      <c r="BB57" s="80" t="b">
        <f t="shared" si="1"/>
        <v>0</v>
      </c>
      <c r="BC57" s="6"/>
      <c r="BD57" s="12"/>
      <c r="BE57" s="83"/>
      <c r="BG57" s="53"/>
      <c r="BH57" s="16"/>
      <c r="BJ57" s="223" t="str">
        <f>'EUR Market Data'!AX58</f>
        <v/>
      </c>
      <c r="BK57" s="263" t="str">
        <f>'EUR Market Data'!BB58</f>
        <v/>
      </c>
      <c r="BM57" s="53"/>
      <c r="BN57" s="16"/>
      <c r="BP57" s="223" t="str">
        <f>'EUR Market Data'!BD58</f>
        <v/>
      </c>
      <c r="BQ57" s="263" t="str">
        <f>'EUR Market Data'!BH58</f>
        <v/>
      </c>
      <c r="BS57" s="53"/>
      <c r="BT57" s="16"/>
      <c r="BV57" s="223" t="str">
        <f>'EUR Market Data'!BJ58</f>
        <v/>
      </c>
      <c r="BW57" s="263" t="str">
        <f>'EUR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>'EUR Market Data'!BP58</f>
        <v/>
      </c>
      <c r="CO57" s="263" t="str">
        <f>'EUR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>'EUR Market Data'!B59</f>
        <v/>
      </c>
      <c r="N58" s="224" t="str">
        <f>'EUR Market Data'!F59</f>
        <v/>
      </c>
      <c r="O58" s="85" t="str">
        <f>IF(LEFT($M58,3)="EUS",_xll.meDateECBSwapStart(IF(ISNUMBER($O57),$O57,COB)),"")</f>
        <v/>
      </c>
      <c r="P58" s="85" t="str">
        <f>IF(LEFT($M58,3)="EUS",_xll.meDateECBSwapEnd(IF(ISNUMBER($O57),$O57,COB)),"")</f>
        <v/>
      </c>
      <c r="Q58" s="86" t="b">
        <f t="shared" si="2"/>
        <v>0</v>
      </c>
      <c r="S58" s="92"/>
      <c r="T58" s="93"/>
      <c r="Y58" s="229" t="str">
        <f>'EUR Market Data'!H59</f>
        <v/>
      </c>
      <c r="Z58" s="239" t="str">
        <f>IF('EUR Market Data'!L59="","",'EUR Market Data'!L59)</f>
        <v/>
      </c>
      <c r="AE58" s="229" t="str">
        <f>'EUR Market Data'!N59</f>
        <v/>
      </c>
      <c r="AF58" s="230" t="str">
        <f>'EUR Market Data'!R59</f>
        <v/>
      </c>
      <c r="AH58" s="12"/>
      <c r="AI58" s="83"/>
      <c r="AK58" s="51" t="str">
        <f>'EUR Market Data'!T39</f>
        <v/>
      </c>
      <c r="AL58" s="33" t="str">
        <f>'EUR Market Data'!X39</f>
        <v/>
      </c>
      <c r="AN58" s="259" t="str">
        <f>'EUR Market Data'!AF39</f>
        <v/>
      </c>
      <c r="AO58" s="260" t="str">
        <f>'EUR Market Data'!AJ39</f>
        <v/>
      </c>
      <c r="AQ58" s="47"/>
      <c r="AR58" s="48"/>
      <c r="AS58" s="48"/>
      <c r="AT58" s="48"/>
      <c r="AU58" s="142"/>
      <c r="AW58" s="53"/>
      <c r="AX58" s="16"/>
      <c r="AZ58" s="68" t="str">
        <f>'EUR Market Data'!AR59</f>
        <v/>
      </c>
      <c r="BA58" s="79" t="str">
        <f>'EUR Market Data'!AV59</f>
        <v/>
      </c>
      <c r="BB58" s="80" t="b">
        <f t="shared" si="1"/>
        <v>0</v>
      </c>
      <c r="BC58" s="6"/>
      <c r="BD58" s="12"/>
      <c r="BE58" s="83"/>
      <c r="BG58" s="53"/>
      <c r="BH58" s="16"/>
      <c r="BJ58" s="223" t="str">
        <f>'EUR Market Data'!AX59</f>
        <v/>
      </c>
      <c r="BK58" s="263" t="str">
        <f>'EUR Market Data'!BB59</f>
        <v/>
      </c>
      <c r="BM58" s="53"/>
      <c r="BN58" s="16"/>
      <c r="BP58" s="223" t="str">
        <f>'EUR Market Data'!BD59</f>
        <v/>
      </c>
      <c r="BQ58" s="263" t="str">
        <f>'EUR Market Data'!BH59</f>
        <v/>
      </c>
      <c r="BS58" s="53"/>
      <c r="BT58" s="16"/>
      <c r="BV58" s="223" t="str">
        <f>'EUR Market Data'!BJ59</f>
        <v/>
      </c>
      <c r="BW58" s="263" t="str">
        <f>'EUR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>'EUR Market Data'!BP59</f>
        <v/>
      </c>
      <c r="CO58" s="263" t="str">
        <f>'EUR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>'EUR Market Data'!B60</f>
        <v/>
      </c>
      <c r="N59" s="224" t="str">
        <f>'EUR Market Data'!F60</f>
        <v/>
      </c>
      <c r="O59" s="85" t="str">
        <f>IF(LEFT($M59,3)="EUS",_xll.meDateECBSwapStart(IF(ISNUMBER($O58),$O58,COB)),"")</f>
        <v/>
      </c>
      <c r="P59" s="85" t="str">
        <f>IF(LEFT($M59,3)="EUS",_xll.meDateECBSwapEnd(IF(ISNUMBER($O58),$O58,COB)),"")</f>
        <v/>
      </c>
      <c r="Q59" s="86" t="b">
        <f t="shared" si="2"/>
        <v>0</v>
      </c>
      <c r="S59" s="92"/>
      <c r="T59" s="93"/>
      <c r="Y59" s="229" t="str">
        <f>'EUR Market Data'!H60</f>
        <v/>
      </c>
      <c r="Z59" s="239" t="str">
        <f>IF('EUR Market Data'!L60="","",'EUR Market Data'!L60)</f>
        <v/>
      </c>
      <c r="AE59" s="229" t="str">
        <f>'EUR Market Data'!N60</f>
        <v/>
      </c>
      <c r="AF59" s="230" t="str">
        <f>'EUR Market Data'!R60</f>
        <v/>
      </c>
      <c r="AH59" s="12"/>
      <c r="AI59" s="83"/>
      <c r="AK59" s="51" t="str">
        <f>'EUR Market Data'!T40</f>
        <v/>
      </c>
      <c r="AL59" s="33" t="str">
        <f>'EUR Market Data'!X40</f>
        <v/>
      </c>
      <c r="AN59" s="259" t="str">
        <f>'EUR Market Data'!AF40</f>
        <v/>
      </c>
      <c r="AO59" s="260" t="str">
        <f>'EUR Market Data'!AJ40</f>
        <v/>
      </c>
      <c r="AQ59" s="47"/>
      <c r="AR59" s="48"/>
      <c r="AS59" s="48"/>
      <c r="AT59" s="48"/>
      <c r="AU59" s="142"/>
      <c r="AW59" s="53"/>
      <c r="AX59" s="16"/>
      <c r="AZ59" s="68" t="str">
        <f>'EUR Market Data'!AR60</f>
        <v/>
      </c>
      <c r="BA59" s="79" t="str">
        <f>'EUR Market Data'!AV60</f>
        <v/>
      </c>
      <c r="BB59" s="80" t="b">
        <f t="shared" si="1"/>
        <v>0</v>
      </c>
      <c r="BC59" s="6"/>
      <c r="BD59" s="12"/>
      <c r="BE59" s="83"/>
      <c r="BG59" s="53"/>
      <c r="BH59" s="16"/>
      <c r="BJ59" s="223" t="str">
        <f>'EUR Market Data'!AX60</f>
        <v/>
      </c>
      <c r="BK59" s="263" t="str">
        <f>'EUR Market Data'!BB60</f>
        <v/>
      </c>
      <c r="BM59" s="53"/>
      <c r="BN59" s="16"/>
      <c r="BP59" s="223" t="str">
        <f>'EUR Market Data'!BD60</f>
        <v/>
      </c>
      <c r="BQ59" s="263" t="str">
        <f>'EUR Market Data'!BH60</f>
        <v/>
      </c>
      <c r="BS59" s="53"/>
      <c r="BT59" s="16"/>
      <c r="BV59" s="223" t="str">
        <f>'EUR Market Data'!BJ60</f>
        <v/>
      </c>
      <c r="BW59" s="263" t="str">
        <f>'EUR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>'EUR Market Data'!BP60</f>
        <v/>
      </c>
      <c r="CO59" s="263" t="str">
        <f>'EUR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191</v>
      </c>
      <c r="D60" s="113"/>
      <c r="E60" s="114"/>
      <c r="L60" s="203"/>
      <c r="M60" s="223" t="str">
        <f>'EUR Market Data'!B61</f>
        <v/>
      </c>
      <c r="N60" s="224" t="str">
        <f>'EUR Market Data'!F61</f>
        <v/>
      </c>
      <c r="O60" s="85" t="str">
        <f>IF(LEFT($M60,3)="EUS",_xll.meDateECBSwapStart(IF(ISNUMBER($O59),$O59,COB)),"")</f>
        <v/>
      </c>
      <c r="P60" s="85" t="str">
        <f>IF(LEFT($M60,3)="EUS",_xll.meDateECBSwapEnd(IF(ISNUMBER($O59),$O59,COB)),"")</f>
        <v/>
      </c>
      <c r="Q60" s="86" t="b">
        <f t="shared" si="2"/>
        <v>0</v>
      </c>
      <c r="S60" s="92"/>
      <c r="T60" s="93"/>
      <c r="Y60" s="229" t="str">
        <f>'EUR Market Data'!H61</f>
        <v/>
      </c>
      <c r="Z60" s="239" t="str">
        <f>IF('EUR Market Data'!L61="","",'EUR Market Data'!L61)</f>
        <v/>
      </c>
      <c r="AE60" s="229" t="str">
        <f>'EUR Market Data'!N61</f>
        <v/>
      </c>
      <c r="AF60" s="230" t="str">
        <f>'EUR Market Data'!R61</f>
        <v/>
      </c>
      <c r="AH60" s="12"/>
      <c r="AI60" s="83"/>
      <c r="AK60" s="51" t="str">
        <f>'EUR Market Data'!T41</f>
        <v/>
      </c>
      <c r="AL60" s="33" t="str">
        <f>'EUR Market Data'!X41</f>
        <v/>
      </c>
      <c r="AN60" s="259" t="str">
        <f>'EUR Market Data'!AF41</f>
        <v/>
      </c>
      <c r="AO60" s="260" t="str">
        <f>'EUR Market Data'!AJ41</f>
        <v/>
      </c>
      <c r="AQ60" s="47"/>
      <c r="AR60" s="48"/>
      <c r="AS60" s="48"/>
      <c r="AT60" s="48"/>
      <c r="AU60" s="142"/>
      <c r="AW60" s="53"/>
      <c r="AX60" s="16"/>
      <c r="AZ60" s="68" t="str">
        <f>'EUR Market Data'!AR61</f>
        <v/>
      </c>
      <c r="BA60" s="79" t="str">
        <f>'EUR Market Data'!AV61</f>
        <v/>
      </c>
      <c r="BB60" s="80" t="b">
        <f t="shared" si="1"/>
        <v>0</v>
      </c>
      <c r="BC60" s="6"/>
      <c r="BD60" s="12"/>
      <c r="BE60" s="83"/>
      <c r="BG60" s="53"/>
      <c r="BH60" s="16"/>
      <c r="BJ60" s="223" t="str">
        <f>'EUR Market Data'!AX61</f>
        <v/>
      </c>
      <c r="BK60" s="263" t="str">
        <f>'EUR Market Data'!BB61</f>
        <v/>
      </c>
      <c r="BM60" s="53"/>
      <c r="BN60" s="16"/>
      <c r="BP60" s="223" t="str">
        <f>'EUR Market Data'!BD61</f>
        <v/>
      </c>
      <c r="BQ60" s="263" t="str">
        <f>'EUR Market Data'!BH61</f>
        <v/>
      </c>
      <c r="BS60" s="53"/>
      <c r="BT60" s="16"/>
      <c r="BV60" s="223" t="str">
        <f>'EUR Market Data'!BJ61</f>
        <v/>
      </c>
      <c r="BW60" s="263" t="str">
        <f>'EUR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>'EUR Market Data'!BP61</f>
        <v/>
      </c>
      <c r="CO60" s="263" t="str">
        <f>'EUR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279</v>
      </c>
      <c r="D61" s="116"/>
      <c r="E61" s="117"/>
      <c r="L61" s="203"/>
      <c r="M61" s="223" t="str">
        <f>'EUR Market Data'!B62</f>
        <v/>
      </c>
      <c r="N61" s="224" t="str">
        <f>'EUR Market Data'!F62</f>
        <v/>
      </c>
      <c r="O61" s="85" t="str">
        <f>IF(LEFT($M61,3)="EUS",_xll.meDateECBSwapStart(IF(ISNUMBER($O60),$O60,COB)),"")</f>
        <v/>
      </c>
      <c r="P61" s="85" t="str">
        <f>IF(LEFT($M61,3)="EUS",_xll.meDateECBSwapEnd(IF(ISNUMBER($O60),$O60,COB)),"")</f>
        <v/>
      </c>
      <c r="Q61" s="86" t="b">
        <f t="shared" si="2"/>
        <v>0</v>
      </c>
      <c r="S61" s="92"/>
      <c r="T61" s="93"/>
      <c r="Y61" s="229" t="str">
        <f>'EUR Market Data'!H62</f>
        <v/>
      </c>
      <c r="Z61" s="239" t="str">
        <f>IF('EUR Market Data'!L62="","",'EUR Market Data'!L62)</f>
        <v/>
      </c>
      <c r="AE61" s="229" t="str">
        <f>'EUR Market Data'!N62</f>
        <v/>
      </c>
      <c r="AF61" s="230" t="str">
        <f>'EUR Market Data'!R62</f>
        <v/>
      </c>
      <c r="AH61" s="12"/>
      <c r="AI61" s="83"/>
      <c r="AK61" s="51" t="str">
        <f>'EUR Market Data'!T42</f>
        <v/>
      </c>
      <c r="AL61" s="33" t="str">
        <f>'EUR Market Data'!X42</f>
        <v/>
      </c>
      <c r="AN61" s="259" t="str">
        <f>'EUR Market Data'!AF42</f>
        <v/>
      </c>
      <c r="AO61" s="260" t="str">
        <f>'EUR Market Data'!AJ42</f>
        <v/>
      </c>
      <c r="AQ61" s="47"/>
      <c r="AR61" s="48"/>
      <c r="AS61" s="48"/>
      <c r="AT61" s="48"/>
      <c r="AU61" s="142"/>
      <c r="AW61" s="53"/>
      <c r="AX61" s="16"/>
      <c r="AZ61" s="68" t="str">
        <f>'EUR Market Data'!AR62</f>
        <v/>
      </c>
      <c r="BA61" s="79" t="str">
        <f>'EUR Market Data'!AV62</f>
        <v/>
      </c>
      <c r="BB61" s="80" t="b">
        <f t="shared" si="1"/>
        <v>0</v>
      </c>
      <c r="BC61" s="6"/>
      <c r="BD61" s="12"/>
      <c r="BE61" s="83"/>
      <c r="BG61" s="53"/>
      <c r="BH61" s="16"/>
      <c r="BJ61" s="223" t="str">
        <f>'EUR Market Data'!AX62</f>
        <v/>
      </c>
      <c r="BK61" s="263" t="str">
        <f>'EUR Market Data'!BB62</f>
        <v/>
      </c>
      <c r="BM61" s="53"/>
      <c r="BN61" s="16"/>
      <c r="BP61" s="223" t="str">
        <f>'EUR Market Data'!BD62</f>
        <v/>
      </c>
      <c r="BQ61" s="263" t="str">
        <f>'EUR Market Data'!BH62</f>
        <v/>
      </c>
      <c r="BS61" s="53"/>
      <c r="BT61" s="16"/>
      <c r="BV61" s="223" t="str">
        <f>'EUR Market Data'!BJ62</f>
        <v/>
      </c>
      <c r="BW61" s="263" t="str">
        <f>'EUR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>'EUR Market Data'!BP62</f>
        <v/>
      </c>
      <c r="CO61" s="263" t="str">
        <f>'EUR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274</v>
      </c>
      <c r="D62" s="119"/>
      <c r="E62" s="120"/>
      <c r="L62" s="203"/>
      <c r="M62" s="223" t="str">
        <f>'EUR Market Data'!B63</f>
        <v/>
      </c>
      <c r="N62" s="224" t="str">
        <f>'EUR Market Data'!F63</f>
        <v/>
      </c>
      <c r="O62" s="85" t="str">
        <f>IF(LEFT($M62,3)="EUS",_xll.meDateECBSwapStart(IF(ISNUMBER($O61),$O61,COB)),"")</f>
        <v/>
      </c>
      <c r="P62" s="85" t="str">
        <f>IF(LEFT($M62,3)="EUS",_xll.meDateECBSwapEnd(IF(ISNUMBER($O61),$O61,COB)),"")</f>
        <v/>
      </c>
      <c r="Q62" s="86" t="b">
        <f t="shared" si="2"/>
        <v>0</v>
      </c>
      <c r="S62" s="92"/>
      <c r="T62" s="93"/>
      <c r="Y62" s="229" t="str">
        <f>'EUR Market Data'!H63</f>
        <v/>
      </c>
      <c r="Z62" s="239" t="str">
        <f>IF('EUR Market Data'!L63="","",'EUR Market Data'!L63)</f>
        <v/>
      </c>
      <c r="AE62" s="229" t="str">
        <f>'EUR Market Data'!N63</f>
        <v/>
      </c>
      <c r="AF62" s="230" t="str">
        <f>'EUR Market Data'!R63</f>
        <v/>
      </c>
      <c r="AH62" s="12"/>
      <c r="AI62" s="83"/>
      <c r="AK62" s="51" t="str">
        <f>'EUR Market Data'!T43</f>
        <v/>
      </c>
      <c r="AL62" s="33" t="str">
        <f>'EUR Market Data'!X43</f>
        <v/>
      </c>
      <c r="AN62" s="259" t="str">
        <f>'EUR Market Data'!AF43</f>
        <v/>
      </c>
      <c r="AO62" s="260" t="str">
        <f>'EUR Market Data'!AJ43</f>
        <v/>
      </c>
      <c r="AQ62" s="47"/>
      <c r="AR62" s="48"/>
      <c r="AS62" s="48"/>
      <c r="AT62" s="48"/>
      <c r="AU62" s="142"/>
      <c r="AW62" s="53"/>
      <c r="AX62" s="16"/>
      <c r="AZ62" s="68" t="str">
        <f>'EUR Market Data'!AR63</f>
        <v/>
      </c>
      <c r="BA62" s="79" t="str">
        <f>'EUR Market Data'!AV63</f>
        <v/>
      </c>
      <c r="BB62" s="80" t="b">
        <f t="shared" si="1"/>
        <v>0</v>
      </c>
      <c r="BC62" s="6"/>
      <c r="BD62" s="12"/>
      <c r="BE62" s="83"/>
      <c r="BG62" s="53"/>
      <c r="BH62" s="16"/>
      <c r="BJ62" s="223" t="str">
        <f>'EUR Market Data'!AX63</f>
        <v/>
      </c>
      <c r="BK62" s="263" t="str">
        <f>'EUR Market Data'!BB63</f>
        <v/>
      </c>
      <c r="BM62" s="53"/>
      <c r="BN62" s="16"/>
      <c r="BP62" s="223" t="str">
        <f>'EUR Market Data'!BD63</f>
        <v/>
      </c>
      <c r="BQ62" s="263" t="str">
        <f>'EUR Market Data'!BH63</f>
        <v/>
      </c>
      <c r="BS62" s="53"/>
      <c r="BT62" s="16"/>
      <c r="BV62" s="223" t="str">
        <f>'EUR Market Data'!BJ63</f>
        <v/>
      </c>
      <c r="BW62" s="263" t="str">
        <f>'EUR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>'EUR Market Data'!BP63</f>
        <v/>
      </c>
      <c r="CO62" s="263" t="str">
        <f>'EUR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195</v>
      </c>
      <c r="C63" s="118" t="s">
        <v>275</v>
      </c>
      <c r="D63" s="119"/>
      <c r="E63" s="120"/>
      <c r="L63" s="203"/>
      <c r="M63" s="223" t="str">
        <f>'EUR Market Data'!B64</f>
        <v/>
      </c>
      <c r="N63" s="224" t="str">
        <f>'EUR Market Data'!F64</f>
        <v/>
      </c>
      <c r="O63" s="85" t="str">
        <f>IF(LEFT($M63,3)="EUS",_xll.meDateECBSwapStart(IF(ISNUMBER($O62),$O62,COB)),"")</f>
        <v/>
      </c>
      <c r="P63" s="85" t="str">
        <f>IF(LEFT($M63,3)="EUS",_xll.meDateECBSwapEnd(IF(ISNUMBER($O62),$O62,COB)),"")</f>
        <v/>
      </c>
      <c r="Q63" s="86" t="b">
        <f t="shared" si="2"/>
        <v>0</v>
      </c>
      <c r="S63" s="92"/>
      <c r="T63" s="93"/>
      <c r="Y63" s="229" t="str">
        <f>'EUR Market Data'!H64</f>
        <v/>
      </c>
      <c r="Z63" s="239" t="str">
        <f>IF('EUR Market Data'!L64="","",'EUR Market Data'!L64)</f>
        <v/>
      </c>
      <c r="AE63" s="229" t="str">
        <f>'EUR Market Data'!N64</f>
        <v/>
      </c>
      <c r="AF63" s="230" t="str">
        <f>'EUR Market Data'!R64</f>
        <v/>
      </c>
      <c r="AH63" s="12"/>
      <c r="AI63" s="83"/>
      <c r="AK63" s="51" t="str">
        <f>'EUR Market Data'!T44</f>
        <v/>
      </c>
      <c r="AL63" s="33" t="str">
        <f>'EUR Market Data'!X44</f>
        <v/>
      </c>
      <c r="AN63" s="259" t="str">
        <f>'EUR Market Data'!AF44</f>
        <v/>
      </c>
      <c r="AO63" s="260" t="str">
        <f>'EUR Market Data'!AJ44</f>
        <v/>
      </c>
      <c r="AQ63" s="47"/>
      <c r="AR63" s="48"/>
      <c r="AS63" s="48"/>
      <c r="AT63" s="48"/>
      <c r="AU63" s="142"/>
      <c r="AW63" s="53"/>
      <c r="AX63" s="16"/>
      <c r="AZ63" s="68" t="str">
        <f>'EUR Market Data'!AR64</f>
        <v/>
      </c>
      <c r="BA63" s="79" t="str">
        <f>'EUR Market Data'!AV64</f>
        <v/>
      </c>
      <c r="BB63" s="80" t="b">
        <f t="shared" si="1"/>
        <v>0</v>
      </c>
      <c r="BC63" s="6"/>
      <c r="BD63" s="12"/>
      <c r="BE63" s="83"/>
      <c r="BG63" s="53"/>
      <c r="BH63" s="16"/>
      <c r="BJ63" s="223" t="str">
        <f>'EUR Market Data'!AX64</f>
        <v/>
      </c>
      <c r="BK63" s="263" t="str">
        <f>'EUR Market Data'!BB64</f>
        <v/>
      </c>
      <c r="BM63" s="53"/>
      <c r="BN63" s="16"/>
      <c r="BP63" s="223" t="str">
        <f>'EUR Market Data'!BD64</f>
        <v/>
      </c>
      <c r="BQ63" s="263" t="str">
        <f>'EUR Market Data'!BH64</f>
        <v/>
      </c>
      <c r="BS63" s="53"/>
      <c r="BT63" s="16"/>
      <c r="BV63" s="223" t="str">
        <f>'EUR Market Data'!BJ64</f>
        <v/>
      </c>
      <c r="BW63" s="263" t="str">
        <f>'EUR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>'EUR Market Data'!BP64</f>
        <v/>
      </c>
      <c r="CO63" s="263" t="str">
        <f>'EUR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276</v>
      </c>
      <c r="D64" s="119"/>
      <c r="E64" s="120"/>
      <c r="L64" s="203"/>
      <c r="M64" s="223" t="str">
        <f>'EUR Market Data'!B65</f>
        <v/>
      </c>
      <c r="N64" s="224" t="str">
        <f>'EUR Market Data'!F65</f>
        <v/>
      </c>
      <c r="O64" s="85" t="str">
        <f>IF(LEFT($M64,3)="EUS",_xll.meDateECBSwapStart(IF(ISNUMBER($O63),$O63,COB)),"")</f>
        <v/>
      </c>
      <c r="P64" s="85" t="str">
        <f>IF(LEFT($M64,3)="EUS",_xll.meDateECBSwapEnd(IF(ISNUMBER($O63),$O63,COB)),"")</f>
        <v/>
      </c>
      <c r="Q64" s="86" t="b">
        <f t="shared" si="2"/>
        <v>0</v>
      </c>
      <c r="S64" s="92"/>
      <c r="T64" s="93"/>
      <c r="Y64" s="229" t="str">
        <f>'EUR Market Data'!H65</f>
        <v/>
      </c>
      <c r="Z64" s="239" t="str">
        <f>IF('EUR Market Data'!L65="","",'EUR Market Data'!L65)</f>
        <v/>
      </c>
      <c r="AE64" s="229" t="str">
        <f>'EUR Market Data'!N65</f>
        <v/>
      </c>
      <c r="AF64" s="230" t="str">
        <f>'EUR Market Data'!R65</f>
        <v/>
      </c>
      <c r="AH64" s="12"/>
      <c r="AI64" s="83"/>
      <c r="AK64" s="51" t="str">
        <f>'EUR Market Data'!T45</f>
        <v/>
      </c>
      <c r="AL64" s="33" t="str">
        <f>'EUR Market Data'!X45</f>
        <v/>
      </c>
      <c r="AN64" s="259" t="str">
        <f>'EUR Market Data'!AF45</f>
        <v/>
      </c>
      <c r="AO64" s="260" t="str">
        <f>'EUR Market Data'!AJ45</f>
        <v/>
      </c>
      <c r="AQ64" s="47"/>
      <c r="AR64" s="48"/>
      <c r="AS64" s="48"/>
      <c r="AT64" s="48"/>
      <c r="AU64" s="142"/>
      <c r="AW64" s="53"/>
      <c r="AX64" s="16"/>
      <c r="AZ64" s="68" t="str">
        <f>'EUR Market Data'!AR65</f>
        <v/>
      </c>
      <c r="BA64" s="79" t="str">
        <f>'EUR Market Data'!AV65</f>
        <v/>
      </c>
      <c r="BB64" s="80" t="b">
        <f t="shared" si="1"/>
        <v>0</v>
      </c>
      <c r="BC64" s="6"/>
      <c r="BD64" s="12"/>
      <c r="BE64" s="83"/>
      <c r="BG64" s="53"/>
      <c r="BH64" s="16"/>
      <c r="BJ64" s="223" t="str">
        <f>'EUR Market Data'!AX65</f>
        <v/>
      </c>
      <c r="BK64" s="263" t="str">
        <f>'EUR Market Data'!BB65</f>
        <v/>
      </c>
      <c r="BM64" s="53"/>
      <c r="BN64" s="16"/>
      <c r="BP64" s="223" t="str">
        <f>'EUR Market Data'!BD65</f>
        <v/>
      </c>
      <c r="BQ64" s="263" t="str">
        <f>'EUR Market Data'!BH65</f>
        <v/>
      </c>
      <c r="BS64" s="53"/>
      <c r="BT64" s="16"/>
      <c r="BV64" s="223" t="str">
        <f>'EUR Market Data'!BJ65</f>
        <v/>
      </c>
      <c r="BW64" s="263" t="str">
        <f>'EUR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>'EUR Market Data'!BP65</f>
        <v/>
      </c>
      <c r="CO64" s="263" t="str">
        <f>'EUR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>'EUR Market Data'!B66</f>
        <v/>
      </c>
      <c r="N65" s="224" t="str">
        <f>'EUR Market Data'!F66</f>
        <v/>
      </c>
      <c r="O65" s="85" t="str">
        <f>IF(LEFT($M65,3)="EUS",_xll.meDateECBSwapStart(IF(ISNUMBER($O64),$O64,COB)),"")</f>
        <v/>
      </c>
      <c r="P65" s="85" t="str">
        <f>IF(LEFT($M65,3)="EUS",_xll.meDateECBSwapEnd(IF(ISNUMBER($O64),$O64,COB)),"")</f>
        <v/>
      </c>
      <c r="Q65" s="86" t="b">
        <f t="shared" si="2"/>
        <v>0</v>
      </c>
      <c r="S65" s="92"/>
      <c r="T65" s="93"/>
      <c r="Y65" s="229" t="str">
        <f>'EUR Market Data'!H66</f>
        <v/>
      </c>
      <c r="Z65" s="239" t="str">
        <f>IF('EUR Market Data'!L66="","",'EUR Market Data'!L66)</f>
        <v/>
      </c>
      <c r="AE65" s="229" t="str">
        <f>'EUR Market Data'!N66</f>
        <v/>
      </c>
      <c r="AF65" s="230" t="str">
        <f>'EUR Market Data'!R66</f>
        <v/>
      </c>
      <c r="AH65" s="12"/>
      <c r="AI65" s="83"/>
      <c r="AK65" s="51" t="str">
        <f>'EUR Market Data'!T46</f>
        <v/>
      </c>
      <c r="AL65" s="33" t="str">
        <f>'EUR Market Data'!X46</f>
        <v/>
      </c>
      <c r="AN65" s="259" t="str">
        <f>'EUR Market Data'!AF46</f>
        <v/>
      </c>
      <c r="AO65" s="260" t="str">
        <f>'EUR Market Data'!AJ46</f>
        <v/>
      </c>
      <c r="AQ65" s="47"/>
      <c r="AR65" s="48"/>
      <c r="AS65" s="48"/>
      <c r="AT65" s="48"/>
      <c r="AU65" s="142"/>
      <c r="AW65" s="53"/>
      <c r="AX65" s="16"/>
      <c r="AZ65" s="68" t="str">
        <f>'EUR Market Data'!AR66</f>
        <v/>
      </c>
      <c r="BA65" s="79" t="str">
        <f>'EUR Market Data'!AV66</f>
        <v/>
      </c>
      <c r="BB65" s="80" t="b">
        <f t="shared" si="1"/>
        <v>0</v>
      </c>
      <c r="BC65" s="6"/>
      <c r="BD65" s="12"/>
      <c r="BE65" s="83"/>
      <c r="BG65" s="53"/>
      <c r="BH65" s="16"/>
      <c r="BJ65" s="223" t="str">
        <f>'EUR Market Data'!AX66</f>
        <v/>
      </c>
      <c r="BK65" s="263" t="str">
        <f>'EUR Market Data'!BB66</f>
        <v/>
      </c>
      <c r="BM65" s="53"/>
      <c r="BN65" s="16"/>
      <c r="BP65" s="223" t="str">
        <f>'EUR Market Data'!BD66</f>
        <v/>
      </c>
      <c r="BQ65" s="263" t="str">
        <f>'EUR Market Data'!BH66</f>
        <v/>
      </c>
      <c r="BS65" s="53"/>
      <c r="BT65" s="16"/>
      <c r="BV65" s="223" t="str">
        <f>'EUR Market Data'!BJ66</f>
        <v/>
      </c>
      <c r="BW65" s="263" t="str">
        <f>'EUR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>'EUR Market Data'!BP66</f>
        <v/>
      </c>
      <c r="CO65" s="263" t="str">
        <f>'EUR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292</v>
      </c>
      <c r="D66" s="119"/>
      <c r="E66" s="120"/>
      <c r="L66" s="203"/>
      <c r="M66" s="223" t="str">
        <f>'EUR Market Data'!B67</f>
        <v/>
      </c>
      <c r="N66" s="224" t="str">
        <f>'EUR Market Data'!F67</f>
        <v/>
      </c>
      <c r="O66" s="85" t="str">
        <f>IF(LEFT($M66,3)="EUS",_xll.meDateECBSwapStart(IF(ISNUMBER($O65),$O65,COB)),"")</f>
        <v/>
      </c>
      <c r="P66" s="85" t="str">
        <f>IF(LEFT($M66,3)="EUS",_xll.meDateECBSwapEnd(IF(ISNUMBER($O65),$O65,COB)),"")</f>
        <v/>
      </c>
      <c r="Q66" s="86" t="b">
        <f t="shared" si="2"/>
        <v>0</v>
      </c>
      <c r="S66" s="92"/>
      <c r="T66" s="93"/>
      <c r="Y66" s="229" t="str">
        <f>'EUR Market Data'!H67</f>
        <v/>
      </c>
      <c r="Z66" s="239" t="str">
        <f>IF('EUR Market Data'!L67="","",'EUR Market Data'!L67)</f>
        <v/>
      </c>
      <c r="AE66" s="229" t="str">
        <f>'EUR Market Data'!N67</f>
        <v/>
      </c>
      <c r="AF66" s="230" t="str">
        <f>'EUR Market Data'!R67</f>
        <v/>
      </c>
      <c r="AH66" s="12"/>
      <c r="AI66" s="83"/>
      <c r="AK66" s="51" t="str">
        <f>'EUR Market Data'!T47</f>
        <v/>
      </c>
      <c r="AL66" s="33" t="str">
        <f>'EUR Market Data'!X47</f>
        <v/>
      </c>
      <c r="AN66" s="259" t="str">
        <f>'EUR Market Data'!AF47</f>
        <v/>
      </c>
      <c r="AO66" s="260" t="str">
        <f>'EUR Market Data'!AJ47</f>
        <v/>
      </c>
      <c r="AQ66" s="47"/>
      <c r="AR66" s="48"/>
      <c r="AS66" s="48"/>
      <c r="AT66" s="48"/>
      <c r="AU66" s="142"/>
      <c r="AW66" s="53"/>
      <c r="AX66" s="16"/>
      <c r="AZ66" s="68" t="str">
        <f>'EUR Market Data'!AR67</f>
        <v/>
      </c>
      <c r="BA66" s="79" t="str">
        <f>'EUR Market Data'!AV67</f>
        <v/>
      </c>
      <c r="BB66" s="80" t="b">
        <f t="shared" si="1"/>
        <v>0</v>
      </c>
      <c r="BC66" s="6"/>
      <c r="BD66" s="12"/>
      <c r="BE66" s="83"/>
      <c r="BG66" s="53"/>
      <c r="BH66" s="16"/>
      <c r="BJ66" s="223" t="str">
        <f>'EUR Market Data'!AX67</f>
        <v/>
      </c>
      <c r="BK66" s="263" t="str">
        <f>'EUR Market Data'!BB67</f>
        <v/>
      </c>
      <c r="BM66" s="53"/>
      <c r="BN66" s="16"/>
      <c r="BP66" s="223" t="str">
        <f>'EUR Market Data'!BD67</f>
        <v/>
      </c>
      <c r="BQ66" s="263" t="str">
        <f>'EUR Market Data'!BH67</f>
        <v/>
      </c>
      <c r="BS66" s="53"/>
      <c r="BT66" s="16"/>
      <c r="BV66" s="223" t="str">
        <f>'EUR Market Data'!BJ67</f>
        <v/>
      </c>
      <c r="BW66" s="263" t="str">
        <f>'EUR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>'EUR Market Data'!BP67</f>
        <v/>
      </c>
      <c r="CO66" s="263" t="str">
        <f>'EUR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>'EUR Market Data'!B68</f>
        <v/>
      </c>
      <c r="N67" s="224" t="str">
        <f>'EUR Market Data'!F68</f>
        <v/>
      </c>
      <c r="O67" s="85" t="str">
        <f>IF(LEFT($M67,3)="EUS",_xll.meDateECBSwapStart(IF(ISNUMBER($O66),$O66,COB)),"")</f>
        <v/>
      </c>
      <c r="P67" s="85" t="str">
        <f>IF(LEFT($M67,3)="EUS",_xll.meDateECBSwapEnd(IF(ISNUMBER($O66),$O66,COB)),"")</f>
        <v/>
      </c>
      <c r="Q67" s="86" t="b">
        <f t="shared" si="2"/>
        <v>0</v>
      </c>
      <c r="S67" s="92"/>
      <c r="T67" s="93"/>
      <c r="Y67" s="229" t="str">
        <f>'EUR Market Data'!H68</f>
        <v/>
      </c>
      <c r="Z67" s="239" t="str">
        <f>IF('EUR Market Data'!L68="","",'EUR Market Data'!L68)</f>
        <v/>
      </c>
      <c r="AE67" s="229" t="str">
        <f>'EUR Market Data'!N68</f>
        <v/>
      </c>
      <c r="AF67" s="230" t="str">
        <f>'EUR Market Data'!R68</f>
        <v/>
      </c>
      <c r="AH67" s="12"/>
      <c r="AI67" s="83"/>
      <c r="AK67" s="51" t="str">
        <f>'EUR Market Data'!T48</f>
        <v/>
      </c>
      <c r="AL67" s="33" t="str">
        <f>'EUR Market Data'!X48</f>
        <v/>
      </c>
      <c r="AN67" s="259" t="str">
        <f>'EUR Market Data'!AF48</f>
        <v/>
      </c>
      <c r="AO67" s="260" t="str">
        <f>'EUR Market Data'!AJ48</f>
        <v/>
      </c>
      <c r="AQ67" s="47"/>
      <c r="AR67" s="48"/>
      <c r="AS67" s="48"/>
      <c r="AT67" s="48"/>
      <c r="AU67" s="142"/>
      <c r="AW67" s="53"/>
      <c r="AX67" s="16"/>
      <c r="AZ67" s="68" t="str">
        <f>'EUR Market Data'!AR68</f>
        <v/>
      </c>
      <c r="BA67" s="79" t="str">
        <f>'EUR Market Data'!AV68</f>
        <v/>
      </c>
      <c r="BB67" s="80" t="b">
        <f t="shared" si="1"/>
        <v>0</v>
      </c>
      <c r="BC67" s="6"/>
      <c r="BD67" s="12"/>
      <c r="BE67" s="83"/>
      <c r="BG67" s="53"/>
      <c r="BH67" s="16"/>
      <c r="BJ67" s="223" t="str">
        <f>'EUR Market Data'!AX68</f>
        <v/>
      </c>
      <c r="BK67" s="263" t="str">
        <f>'EUR Market Data'!BB68</f>
        <v/>
      </c>
      <c r="BM67" s="53"/>
      <c r="BN67" s="16"/>
      <c r="BP67" s="223" t="str">
        <f>'EUR Market Data'!BD68</f>
        <v/>
      </c>
      <c r="BQ67" s="263" t="str">
        <f>'EUR Market Data'!BH68</f>
        <v/>
      </c>
      <c r="BS67" s="53"/>
      <c r="BT67" s="16"/>
      <c r="BV67" s="223" t="str">
        <f>'EUR Market Data'!BJ68</f>
        <v/>
      </c>
      <c r="BW67" s="263" t="str">
        <f>'EUR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>'EUR Market Data'!BP68</f>
        <v/>
      </c>
      <c r="CO67" s="263" t="str">
        <f>'EUR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>'EUR Market Data'!B69</f>
        <v/>
      </c>
      <c r="N68" s="224" t="str">
        <f>'EUR Market Data'!F69</f>
        <v/>
      </c>
      <c r="O68" s="85" t="str">
        <f>IF(LEFT($M68,3)="EUS",_xll.meDateECBSwapStart(IF(ISNUMBER($O67),$O67,COB)),"")</f>
        <v/>
      </c>
      <c r="P68" s="85" t="str">
        <f>IF(LEFT($M68,3)="EUS",_xll.meDateECBSwapEnd(IF(ISNUMBER($O67),$O67,COB)),"")</f>
        <v/>
      </c>
      <c r="Q68" s="86" t="b">
        <f t="shared" si="2"/>
        <v>0</v>
      </c>
      <c r="S68" s="92"/>
      <c r="T68" s="93"/>
      <c r="Y68" s="229" t="str">
        <f>'EUR Market Data'!H69</f>
        <v/>
      </c>
      <c r="Z68" s="239" t="str">
        <f>IF('EUR Market Data'!L69="","",'EUR Market Data'!L69)</f>
        <v/>
      </c>
      <c r="AE68" s="229" t="str">
        <f>'EUR Market Data'!N69</f>
        <v/>
      </c>
      <c r="AF68" s="230" t="str">
        <f>'EUR Market Data'!R69</f>
        <v/>
      </c>
      <c r="AH68" s="12"/>
      <c r="AI68" s="83"/>
      <c r="AK68" s="51" t="str">
        <f>'EUR Market Data'!T49</f>
        <v/>
      </c>
      <c r="AL68" s="33" t="str">
        <f>'EUR Market Data'!X49</f>
        <v/>
      </c>
      <c r="AN68" s="259" t="str">
        <f>'EUR Market Data'!AF49</f>
        <v/>
      </c>
      <c r="AO68" s="260" t="str">
        <f>'EUR Market Data'!AJ49</f>
        <v/>
      </c>
      <c r="AQ68" s="47"/>
      <c r="AR68" s="48"/>
      <c r="AS68" s="48"/>
      <c r="AT68" s="48"/>
      <c r="AU68" s="142"/>
      <c r="AW68" s="53"/>
      <c r="AX68" s="16"/>
      <c r="AZ68" s="68" t="str">
        <f>'EUR Market Data'!AR69</f>
        <v/>
      </c>
      <c r="BA68" s="79" t="str">
        <f>'EUR Market Data'!AV69</f>
        <v/>
      </c>
      <c r="BB68" s="80" t="b">
        <f t="shared" si="1"/>
        <v>0</v>
      </c>
      <c r="BC68" s="6"/>
      <c r="BD68" s="12"/>
      <c r="BE68" s="83"/>
      <c r="BG68" s="53"/>
      <c r="BH68" s="16"/>
      <c r="BJ68" s="223" t="str">
        <f>'EUR Market Data'!AX69</f>
        <v/>
      </c>
      <c r="BK68" s="263" t="str">
        <f>'EUR Market Data'!BB69</f>
        <v/>
      </c>
      <c r="BM68" s="53"/>
      <c r="BN68" s="16"/>
      <c r="BP68" s="223" t="str">
        <f>'EUR Market Data'!BD69</f>
        <v/>
      </c>
      <c r="BQ68" s="263" t="str">
        <f>'EUR Market Data'!BH69</f>
        <v/>
      </c>
      <c r="BS68" s="53"/>
      <c r="BT68" s="16"/>
      <c r="BV68" s="223" t="str">
        <f>'EUR Market Data'!BJ69</f>
        <v/>
      </c>
      <c r="BW68" s="263" t="str">
        <f>'EUR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>'EUR Market Data'!BP69</f>
        <v/>
      </c>
      <c r="CO68" s="263" t="str">
        <f>'EUR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>'EUR Market Data'!B70</f>
        <v/>
      </c>
      <c r="N69" s="224" t="str">
        <f>'EUR Market Data'!F70</f>
        <v/>
      </c>
      <c r="O69" s="85" t="str">
        <f>IF(LEFT($M69,3)="EUS",_xll.meDateECBSwapStart(IF(ISNUMBER($O68),$O68,COB)),"")</f>
        <v/>
      </c>
      <c r="P69" s="85" t="str">
        <f>IF(LEFT($M69,3)="EUS",_xll.meDateECBSwapEnd(IF(ISNUMBER($O68),$O68,COB)),"")</f>
        <v/>
      </c>
      <c r="Q69" s="86" t="b">
        <f t="shared" si="2"/>
        <v>0</v>
      </c>
      <c r="S69" s="92"/>
      <c r="T69" s="93"/>
      <c r="Y69" s="229" t="str">
        <f>'EUR Market Data'!H70</f>
        <v/>
      </c>
      <c r="Z69" s="239" t="str">
        <f>IF('EUR Market Data'!L70="","",'EUR Market Data'!L70)</f>
        <v/>
      </c>
      <c r="AE69" s="229" t="str">
        <f>'EUR Market Data'!N70</f>
        <v/>
      </c>
      <c r="AF69" s="230" t="str">
        <f>'EUR Market Data'!R70</f>
        <v/>
      </c>
      <c r="AH69" s="12"/>
      <c r="AI69" s="83"/>
      <c r="AK69" s="51" t="str">
        <f>'EUR Market Data'!T50</f>
        <v/>
      </c>
      <c r="AL69" s="33" t="str">
        <f>'EUR Market Data'!X50</f>
        <v/>
      </c>
      <c r="AN69" s="259" t="str">
        <f>'EUR Market Data'!AF50</f>
        <v/>
      </c>
      <c r="AO69" s="260" t="str">
        <f>'EUR Market Data'!AJ50</f>
        <v/>
      </c>
      <c r="AQ69" s="47"/>
      <c r="AR69" s="48"/>
      <c r="AS69" s="48"/>
      <c r="AT69" s="48"/>
      <c r="AU69" s="142"/>
      <c r="AW69" s="53"/>
      <c r="AX69" s="16"/>
      <c r="AZ69" s="68" t="str">
        <f>'EUR Market Data'!AR70</f>
        <v/>
      </c>
      <c r="BA69" s="79" t="str">
        <f>'EUR Market Data'!AV70</f>
        <v/>
      </c>
      <c r="BB69" s="80" t="b">
        <f t="shared" si="1"/>
        <v>0</v>
      </c>
      <c r="BC69" s="6"/>
      <c r="BD69" s="12"/>
      <c r="BE69" s="83"/>
      <c r="BG69" s="53"/>
      <c r="BH69" s="16"/>
      <c r="BJ69" s="223" t="str">
        <f>'EUR Market Data'!AX70</f>
        <v/>
      </c>
      <c r="BK69" s="263" t="str">
        <f>'EUR Market Data'!BB70</f>
        <v/>
      </c>
      <c r="BM69" s="53"/>
      <c r="BN69" s="16"/>
      <c r="BP69" s="223" t="str">
        <f>'EUR Market Data'!BD70</f>
        <v/>
      </c>
      <c r="BQ69" s="263" t="str">
        <f>'EUR Market Data'!BH70</f>
        <v/>
      </c>
      <c r="BS69" s="53"/>
      <c r="BT69" s="16"/>
      <c r="BV69" s="223" t="str">
        <f>'EUR Market Data'!BJ70</f>
        <v/>
      </c>
      <c r="BW69" s="263" t="str">
        <f>'EUR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>'EUR Market Data'!BP70</f>
        <v/>
      </c>
      <c r="CO69" s="263" t="str">
        <f>'EUR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>'EUR Market Data'!B71</f>
        <v/>
      </c>
      <c r="N70" s="224" t="str">
        <f>'EUR Market Data'!F71</f>
        <v/>
      </c>
      <c r="O70" s="85" t="str">
        <f>IF(LEFT($M70,3)="EUS",_xll.meDateECBSwapStart(IF(ISNUMBER($O69),$O69,COB)),"")</f>
        <v/>
      </c>
      <c r="P70" s="85" t="str">
        <f>IF(LEFT($M70,3)="EUS",_xll.meDateECBSwapEnd(IF(ISNUMBER($O69),$O69,COB)),"")</f>
        <v/>
      </c>
      <c r="Q70" s="86" t="b">
        <f t="shared" si="2"/>
        <v>0</v>
      </c>
      <c r="S70" s="92"/>
      <c r="T70" s="93"/>
      <c r="Y70" s="229" t="str">
        <f>'EUR Market Data'!H71</f>
        <v/>
      </c>
      <c r="Z70" s="239" t="str">
        <f>IF('EUR Market Data'!L71="","",'EUR Market Data'!L71)</f>
        <v/>
      </c>
      <c r="AE70" s="229" t="str">
        <f>'EUR Market Data'!N71</f>
        <v/>
      </c>
      <c r="AF70" s="230" t="str">
        <f>'EUR Market Data'!R71</f>
        <v/>
      </c>
      <c r="AH70" s="12"/>
      <c r="AI70" s="83"/>
      <c r="AK70" s="51" t="str">
        <f>'EUR Market Data'!T51</f>
        <v/>
      </c>
      <c r="AL70" s="33" t="str">
        <f>'EUR Market Data'!X51</f>
        <v/>
      </c>
      <c r="AN70" s="259" t="str">
        <f>'EUR Market Data'!AF51</f>
        <v/>
      </c>
      <c r="AO70" s="260" t="str">
        <f>'EUR Market Data'!AJ51</f>
        <v/>
      </c>
      <c r="AQ70" s="47"/>
      <c r="AR70" s="48"/>
      <c r="AS70" s="48"/>
      <c r="AT70" s="48"/>
      <c r="AU70" s="142"/>
      <c r="AW70" s="53"/>
      <c r="AX70" s="16"/>
      <c r="AZ70" s="68" t="str">
        <f>'EUR Market Data'!AR71</f>
        <v/>
      </c>
      <c r="BA70" s="79" t="str">
        <f>'EUR Market Data'!AV71</f>
        <v/>
      </c>
      <c r="BB70" s="80" t="b">
        <f t="shared" si="1"/>
        <v>0</v>
      </c>
      <c r="BC70" s="6"/>
      <c r="BD70" s="12"/>
      <c r="BE70" s="83"/>
      <c r="BG70" s="53"/>
      <c r="BH70" s="16"/>
      <c r="BJ70" s="223" t="str">
        <f>'EUR Market Data'!AX71</f>
        <v/>
      </c>
      <c r="BK70" s="263" t="str">
        <f>'EUR Market Data'!BB71</f>
        <v/>
      </c>
      <c r="BM70" s="53"/>
      <c r="BN70" s="16"/>
      <c r="BP70" s="223" t="str">
        <f>'EUR Market Data'!BD71</f>
        <v/>
      </c>
      <c r="BQ70" s="263" t="str">
        <f>'EUR Market Data'!BH71</f>
        <v/>
      </c>
      <c r="BS70" s="53"/>
      <c r="BT70" s="16"/>
      <c r="BV70" s="223" t="str">
        <f>'EUR Market Data'!BJ71</f>
        <v/>
      </c>
      <c r="BW70" s="263" t="str">
        <f>'EUR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>'EUR Market Data'!BP71</f>
        <v/>
      </c>
      <c r="CO70" s="263" t="str">
        <f>'EUR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>'EUR Market Data'!B72</f>
        <v/>
      </c>
      <c r="N71" s="224" t="str">
        <f>'EUR Market Data'!F72</f>
        <v/>
      </c>
      <c r="O71" s="85" t="str">
        <f>IF(LEFT($M71,3)="EUS",_xll.meDateECBSwapStart(IF(ISNUMBER($O70),$O70,COB)),"")</f>
        <v/>
      </c>
      <c r="P71" s="85" t="str">
        <f>IF(LEFT($M71,3)="EUS",_xll.meDateECBSwapEnd(IF(ISNUMBER($O70),$O70,COB)),"")</f>
        <v/>
      </c>
      <c r="Q71" s="86" t="b">
        <f t="shared" si="2"/>
        <v>0</v>
      </c>
      <c r="S71" s="92"/>
      <c r="T71" s="93"/>
      <c r="Y71" s="229" t="str">
        <f>'EUR Market Data'!H72</f>
        <v/>
      </c>
      <c r="Z71" s="239" t="str">
        <f>IF('EUR Market Data'!L72="","",'EUR Market Data'!L72)</f>
        <v/>
      </c>
      <c r="AE71" s="229" t="str">
        <f>'EUR Market Data'!N72</f>
        <v/>
      </c>
      <c r="AF71" s="230" t="str">
        <f>'EUR Market Data'!R72</f>
        <v/>
      </c>
      <c r="AH71" s="12"/>
      <c r="AI71" s="83"/>
      <c r="AK71" s="51" t="str">
        <f>'EUR Market Data'!T52</f>
        <v/>
      </c>
      <c r="AL71" s="33" t="str">
        <f>'EUR Market Data'!X52</f>
        <v/>
      </c>
      <c r="AN71" s="259" t="str">
        <f>'EUR Market Data'!AF52</f>
        <v/>
      </c>
      <c r="AO71" s="260" t="str">
        <f>'EUR Market Data'!AJ52</f>
        <v/>
      </c>
      <c r="AQ71" s="47"/>
      <c r="AR71" s="48"/>
      <c r="AS71" s="48"/>
      <c r="AT71" s="48"/>
      <c r="AU71" s="142"/>
      <c r="AW71" s="53"/>
      <c r="AX71" s="16"/>
      <c r="AZ71" s="68" t="str">
        <f>'EUR Market Data'!AR72</f>
        <v/>
      </c>
      <c r="BA71" s="79" t="str">
        <f>'EUR Market Data'!AV72</f>
        <v/>
      </c>
      <c r="BB71" s="80" t="b">
        <f t="shared" si="1"/>
        <v>0</v>
      </c>
      <c r="BC71" s="6"/>
      <c r="BD71" s="12"/>
      <c r="BE71" s="83"/>
      <c r="BG71" s="53"/>
      <c r="BH71" s="16"/>
      <c r="BJ71" s="223" t="str">
        <f>'EUR Market Data'!AX72</f>
        <v/>
      </c>
      <c r="BK71" s="263" t="str">
        <f>'EUR Market Data'!BB72</f>
        <v/>
      </c>
      <c r="BM71" s="53"/>
      <c r="BN71" s="16"/>
      <c r="BP71" s="223" t="str">
        <f>'EUR Market Data'!BD72</f>
        <v/>
      </c>
      <c r="BQ71" s="263" t="str">
        <f>'EUR Market Data'!BH72</f>
        <v/>
      </c>
      <c r="BS71" s="53"/>
      <c r="BT71" s="16"/>
      <c r="BV71" s="223" t="str">
        <f>'EUR Market Data'!BJ72</f>
        <v/>
      </c>
      <c r="BW71" s="263" t="str">
        <f>'EUR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>'EUR Market Data'!BP72</f>
        <v/>
      </c>
      <c r="CO71" s="263" t="str">
        <f>'EUR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>'EUR Market Data'!B73</f>
        <v/>
      </c>
      <c r="N72" s="224" t="str">
        <f>'EUR Market Data'!F73</f>
        <v/>
      </c>
      <c r="O72" s="85" t="str">
        <f>IF(LEFT($M72,3)="EUS",_xll.meDateECBSwapStart(IF(ISNUMBER($O71),$O71,COB)),"")</f>
        <v/>
      </c>
      <c r="P72" s="85" t="str">
        <f>IF(LEFT($M72,3)="EUS",_xll.meDateECBSwapEnd(IF(ISNUMBER($O71),$O71,COB)),"")</f>
        <v/>
      </c>
      <c r="Q72" s="86" t="b">
        <f t="shared" si="2"/>
        <v>0</v>
      </c>
      <c r="S72" s="92"/>
      <c r="T72" s="93"/>
      <c r="Y72" s="229" t="str">
        <f>'EUR Market Data'!H73</f>
        <v/>
      </c>
      <c r="Z72" s="239" t="str">
        <f>IF('EUR Market Data'!L73="","",'EUR Market Data'!L73)</f>
        <v/>
      </c>
      <c r="AE72" s="229" t="str">
        <f>'EUR Market Data'!N73</f>
        <v/>
      </c>
      <c r="AF72" s="230" t="str">
        <f>'EUR Market Data'!R73</f>
        <v/>
      </c>
      <c r="AH72" s="12"/>
      <c r="AI72" s="83"/>
      <c r="AK72" s="51" t="str">
        <f>'EUR Market Data'!T53</f>
        <v/>
      </c>
      <c r="AL72" s="33" t="str">
        <f>'EUR Market Data'!X53</f>
        <v/>
      </c>
      <c r="AN72" s="259" t="str">
        <f>'EUR Market Data'!AF53</f>
        <v/>
      </c>
      <c r="AO72" s="260" t="str">
        <f>'EUR Market Data'!AJ53</f>
        <v/>
      </c>
      <c r="AQ72" s="47"/>
      <c r="AR72" s="48"/>
      <c r="AS72" s="48"/>
      <c r="AT72" s="48"/>
      <c r="AU72" s="142"/>
      <c r="AW72" s="53"/>
      <c r="AX72" s="16"/>
      <c r="AZ72" s="68" t="str">
        <f>'EUR Market Data'!AR73</f>
        <v/>
      </c>
      <c r="BA72" s="79" t="str">
        <f>'EUR Market Data'!AV73</f>
        <v/>
      </c>
      <c r="BB72" s="80" t="b">
        <f t="shared" si="1"/>
        <v>0</v>
      </c>
      <c r="BC72" s="6"/>
      <c r="BD72" s="12"/>
      <c r="BE72" s="83"/>
      <c r="BG72" s="53"/>
      <c r="BH72" s="16"/>
      <c r="BJ72" s="223" t="str">
        <f>'EUR Market Data'!AX73</f>
        <v/>
      </c>
      <c r="BK72" s="263" t="str">
        <f>'EUR Market Data'!BB73</f>
        <v/>
      </c>
      <c r="BM72" s="53"/>
      <c r="BN72" s="16"/>
      <c r="BP72" s="223" t="str">
        <f>'EUR Market Data'!BD73</f>
        <v/>
      </c>
      <c r="BQ72" s="263" t="str">
        <f>'EUR Market Data'!BH73</f>
        <v/>
      </c>
      <c r="BS72" s="53"/>
      <c r="BT72" s="16"/>
      <c r="BV72" s="223" t="str">
        <f>'EUR Market Data'!BJ73</f>
        <v/>
      </c>
      <c r="BW72" s="263" t="str">
        <f>'EUR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>'EUR Market Data'!BP73</f>
        <v/>
      </c>
      <c r="CO72" s="263" t="str">
        <f>'EUR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>'EUR Market Data'!B74</f>
        <v/>
      </c>
      <c r="N73" s="224" t="str">
        <f>'EUR Market Data'!F74</f>
        <v/>
      </c>
      <c r="O73" s="85" t="str">
        <f>IF(LEFT($M73,3)="EUS",_xll.meDateECBSwapStart(IF(ISNUMBER($O72),$O72,COB)),"")</f>
        <v/>
      </c>
      <c r="P73" s="85" t="str">
        <f>IF(LEFT($M73,3)="EUS",_xll.meDateECBSwapEnd(IF(ISNUMBER($O72),$O72,COB)),"")</f>
        <v/>
      </c>
      <c r="Q73" s="86" t="b">
        <f t="shared" ref="Q73:Q78" si="3">IF(M73="",FALSE,TRUE)</f>
        <v>0</v>
      </c>
      <c r="S73" s="92"/>
      <c r="T73" s="93"/>
      <c r="Y73" s="229" t="str">
        <f>'EUR Market Data'!H74</f>
        <v/>
      </c>
      <c r="Z73" s="239" t="str">
        <f>IF('EUR Market Data'!L74="","",'EUR Market Data'!L74)</f>
        <v/>
      </c>
      <c r="AE73" s="229" t="str">
        <f>'EUR Market Data'!N74</f>
        <v/>
      </c>
      <c r="AF73" s="230" t="str">
        <f>'EUR Market Data'!R74</f>
        <v/>
      </c>
      <c r="AH73" s="12"/>
      <c r="AI73" s="83"/>
      <c r="AK73" s="51" t="str">
        <f>'EUR Market Data'!T54</f>
        <v/>
      </c>
      <c r="AL73" s="33" t="str">
        <f>'EUR Market Data'!X54</f>
        <v/>
      </c>
      <c r="AN73" s="259" t="str">
        <f>'EUR Market Data'!AF54</f>
        <v/>
      </c>
      <c r="AO73" s="260" t="str">
        <f>'EUR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68" t="str">
        <f>'EUR Market Data'!AR74</f>
        <v/>
      </c>
      <c r="BA73" s="79" t="str">
        <f>'EUR Market Data'!AV74</f>
        <v/>
      </c>
      <c r="BB73" s="80" t="b">
        <f t="shared" si="1"/>
        <v>0</v>
      </c>
      <c r="BC73" s="6"/>
      <c r="BD73" s="12"/>
      <c r="BE73" s="83"/>
      <c r="BG73" s="53"/>
      <c r="BH73" s="16"/>
      <c r="BJ73" s="223" t="str">
        <f>'EUR Market Data'!AX74</f>
        <v/>
      </c>
      <c r="BK73" s="263" t="str">
        <f>'EUR Market Data'!BB74</f>
        <v/>
      </c>
      <c r="BM73" s="53"/>
      <c r="BN73" s="16"/>
      <c r="BP73" s="223" t="str">
        <f>'EUR Market Data'!BD74</f>
        <v/>
      </c>
      <c r="BQ73" s="263" t="str">
        <f>'EUR Market Data'!BH74</f>
        <v/>
      </c>
      <c r="BS73" s="53"/>
      <c r="BT73" s="16"/>
      <c r="BV73" s="223" t="str">
        <f>'EUR Market Data'!BJ74</f>
        <v/>
      </c>
      <c r="BW73" s="263" t="str">
        <f>'EUR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>'EUR Market Data'!BP74</f>
        <v/>
      </c>
      <c r="CO73" s="263" t="str">
        <f>'EUR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>'EUR Market Data'!B75</f>
        <v/>
      </c>
      <c r="N74" s="224" t="str">
        <f>'EUR Market Data'!F75</f>
        <v/>
      </c>
      <c r="O74" s="85" t="str">
        <f>IF(LEFT($M74,3)="EUS",_xll.meDateECBSwapStart(IF(ISNUMBER($O73),$O73,COB)),"")</f>
        <v/>
      </c>
      <c r="P74" s="85" t="str">
        <f>IF(LEFT($M74,3)="EUS",_xll.meDateECBSwapEnd(IF(ISNUMBER($O73),$O73,COB)),"")</f>
        <v/>
      </c>
      <c r="Q74" s="86" t="b">
        <f t="shared" si="3"/>
        <v>0</v>
      </c>
      <c r="S74" s="92"/>
      <c r="T74" s="93"/>
      <c r="Y74" s="229" t="str">
        <f>'EUR Market Data'!H75</f>
        <v/>
      </c>
      <c r="Z74" s="239" t="str">
        <f>IF('EUR Market Data'!L75="","",'EUR Market Data'!L75)</f>
        <v/>
      </c>
      <c r="AE74" s="229" t="str">
        <f>'EUR Market Data'!N75</f>
        <v/>
      </c>
      <c r="AF74" s="230" t="str">
        <f>'EUR Market Data'!R75</f>
        <v/>
      </c>
      <c r="AH74" s="12"/>
      <c r="AI74" s="83"/>
      <c r="AK74" s="51" t="str">
        <f>'EUR Market Data'!T55</f>
        <v/>
      </c>
      <c r="AL74" s="33" t="str">
        <f>'EUR Market Data'!X55</f>
        <v/>
      </c>
      <c r="AN74" s="259" t="str">
        <f>'EUR Market Data'!AF55</f>
        <v/>
      </c>
      <c r="AO74" s="260" t="str">
        <f>'EUR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68" t="str">
        <f>'EUR Market Data'!AR75</f>
        <v/>
      </c>
      <c r="BA74" s="79" t="str">
        <f>'EUR Market Data'!AV75</f>
        <v/>
      </c>
      <c r="BB74" s="80" t="b">
        <f t="shared" ref="BB74:BB78" si="4">IF(BA74="",FALSE,TRUE)</f>
        <v>0</v>
      </c>
      <c r="BC74" s="6"/>
      <c r="BD74" s="12"/>
      <c r="BE74" s="83"/>
      <c r="BG74" s="53"/>
      <c r="BH74" s="16"/>
      <c r="BJ74" s="223" t="str">
        <f>'EUR Market Data'!AX75</f>
        <v/>
      </c>
      <c r="BK74" s="263" t="str">
        <f>'EUR Market Data'!BB75</f>
        <v/>
      </c>
      <c r="BM74" s="53"/>
      <c r="BN74" s="16"/>
      <c r="BP74" s="223" t="str">
        <f>'EUR Market Data'!BD75</f>
        <v/>
      </c>
      <c r="BQ74" s="263" t="str">
        <f>'EUR Market Data'!BH75</f>
        <v/>
      </c>
      <c r="BS74" s="53"/>
      <c r="BT74" s="16"/>
      <c r="BV74" s="223" t="str">
        <f>'EUR Market Data'!BJ75</f>
        <v/>
      </c>
      <c r="BW74" s="263" t="str">
        <f>'EUR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>'EUR Market Data'!BP75</f>
        <v/>
      </c>
      <c r="CO74" s="263" t="str">
        <f>'EUR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>'EUR Market Data'!B76</f>
        <v/>
      </c>
      <c r="N75" s="224" t="str">
        <f>'EUR Market Data'!F76</f>
        <v/>
      </c>
      <c r="O75" s="85" t="str">
        <f>IF(LEFT($M75,3)="EUS",_xll.meDateECBSwapStart(IF(ISNUMBER($O74),$O74,COB)),"")</f>
        <v/>
      </c>
      <c r="P75" s="85" t="str">
        <f>IF(LEFT($M75,3)="EUS",_xll.meDateECBSwapEnd(IF(ISNUMBER($O74),$O74,COB)),"")</f>
        <v/>
      </c>
      <c r="Q75" s="86" t="b">
        <f t="shared" si="3"/>
        <v>0</v>
      </c>
      <c r="S75" s="92"/>
      <c r="T75" s="93"/>
      <c r="Y75" s="229" t="str">
        <f>'EUR Market Data'!H76</f>
        <v/>
      </c>
      <c r="Z75" s="239" t="str">
        <f>IF('EUR Market Data'!L76="","",'EUR Market Data'!L76)</f>
        <v/>
      </c>
      <c r="AE75" s="229" t="str">
        <f>'EUR Market Data'!N76</f>
        <v/>
      </c>
      <c r="AF75" s="230" t="str">
        <f>'EUR Market Data'!R76</f>
        <v/>
      </c>
      <c r="AH75" s="12"/>
      <c r="AI75" s="83"/>
      <c r="AK75" s="51" t="str">
        <f>'EUR Market Data'!T56</f>
        <v/>
      </c>
      <c r="AL75" s="33" t="str">
        <f>'EUR Market Data'!X56</f>
        <v/>
      </c>
      <c r="AN75" s="259" t="str">
        <f>'EUR Market Data'!AF56</f>
        <v/>
      </c>
      <c r="AO75" s="260" t="str">
        <f>'EUR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68" t="str">
        <f>'EUR Market Data'!AR76</f>
        <v/>
      </c>
      <c r="BA75" s="79" t="str">
        <f>'EUR Market Data'!AV76</f>
        <v/>
      </c>
      <c r="BB75" s="80" t="b">
        <f t="shared" si="4"/>
        <v>0</v>
      </c>
      <c r="BC75" s="6"/>
      <c r="BD75" s="12"/>
      <c r="BE75" s="83"/>
      <c r="BG75" s="53"/>
      <c r="BH75" s="16"/>
      <c r="BJ75" s="223" t="str">
        <f>'EUR Market Data'!AX76</f>
        <v/>
      </c>
      <c r="BK75" s="263" t="str">
        <f>'EUR Market Data'!BB76</f>
        <v/>
      </c>
      <c r="BM75" s="53"/>
      <c r="BN75" s="16"/>
      <c r="BP75" s="223" t="str">
        <f>'EUR Market Data'!BD76</f>
        <v/>
      </c>
      <c r="BQ75" s="263" t="str">
        <f>'EUR Market Data'!BH76</f>
        <v/>
      </c>
      <c r="BS75" s="53"/>
      <c r="BT75" s="16"/>
      <c r="BV75" s="223" t="str">
        <f>'EUR Market Data'!BJ76</f>
        <v/>
      </c>
      <c r="BW75" s="263" t="str">
        <f>'EUR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>'EUR Market Data'!BP76</f>
        <v/>
      </c>
      <c r="CO75" s="263" t="str">
        <f>'EUR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>'EUR Market Data'!B77</f>
        <v/>
      </c>
      <c r="N76" s="224" t="str">
        <f>'EUR Market Data'!F77</f>
        <v/>
      </c>
      <c r="O76" s="85" t="str">
        <f>IF(LEFT($M76,3)="EUS",_xll.meDateECBSwapStart(IF(ISNUMBER($O75),$O75,COB)),"")</f>
        <v/>
      </c>
      <c r="P76" s="85" t="str">
        <f>IF(LEFT($M76,3)="EUS",_xll.meDateECBSwapEnd(IF(ISNUMBER($O75),$O75,COB)),"")</f>
        <v/>
      </c>
      <c r="Q76" s="86" t="b">
        <f t="shared" si="3"/>
        <v>0</v>
      </c>
      <c r="S76" s="92"/>
      <c r="T76" s="93"/>
      <c r="Y76" s="229" t="str">
        <f>'EUR Market Data'!H77</f>
        <v/>
      </c>
      <c r="Z76" s="239" t="str">
        <f>IF('EUR Market Data'!L77="","",'EUR Market Data'!L77)</f>
        <v/>
      </c>
      <c r="AE76" s="229" t="str">
        <f>'EUR Market Data'!N77</f>
        <v/>
      </c>
      <c r="AF76" s="230" t="str">
        <f>'EUR Market Data'!R77</f>
        <v/>
      </c>
      <c r="AH76" s="12"/>
      <c r="AI76" s="83"/>
      <c r="AK76" s="51" t="str">
        <f>'EUR Market Data'!T57</f>
        <v/>
      </c>
      <c r="AL76" s="33" t="str">
        <f>'EUR Market Data'!X57</f>
        <v/>
      </c>
      <c r="AN76" s="259" t="str">
        <f>'EUR Market Data'!AF57</f>
        <v/>
      </c>
      <c r="AO76" s="260" t="str">
        <f>'EUR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68" t="str">
        <f>'EUR Market Data'!AR77</f>
        <v/>
      </c>
      <c r="BA76" s="79" t="str">
        <f>'EUR Market Data'!AV77</f>
        <v/>
      </c>
      <c r="BB76" s="80" t="b">
        <f t="shared" si="4"/>
        <v>0</v>
      </c>
      <c r="BC76" s="6"/>
      <c r="BD76" s="12"/>
      <c r="BE76" s="83"/>
      <c r="BG76" s="53"/>
      <c r="BH76" s="16"/>
      <c r="BJ76" s="223" t="str">
        <f>'EUR Market Data'!AX77</f>
        <v/>
      </c>
      <c r="BK76" s="263" t="str">
        <f>'EUR Market Data'!BB77</f>
        <v/>
      </c>
      <c r="BM76" s="53"/>
      <c r="BN76" s="16"/>
      <c r="BP76" s="223" t="str">
        <f>'EUR Market Data'!BD77</f>
        <v/>
      </c>
      <c r="BQ76" s="263" t="str">
        <f>'EUR Market Data'!BH77</f>
        <v/>
      </c>
      <c r="BS76" s="53"/>
      <c r="BT76" s="16"/>
      <c r="BV76" s="223" t="str">
        <f>'EUR Market Data'!BJ77</f>
        <v/>
      </c>
      <c r="BW76" s="263" t="str">
        <f>'EUR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>'EUR Market Data'!BP77</f>
        <v/>
      </c>
      <c r="CO76" s="263" t="str">
        <f>'EUR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>'EUR Market Data'!B78</f>
        <v/>
      </c>
      <c r="N77" s="224" t="str">
        <f>'EUR Market Data'!F78</f>
        <v/>
      </c>
      <c r="O77" s="85" t="str">
        <f>IF(LEFT($M77,3)="EUS",_xll.meDateECBSwapStart(IF(ISNUMBER($O76),$O76,COB)),"")</f>
        <v/>
      </c>
      <c r="P77" s="85" t="str">
        <f>IF(LEFT($M77,3)="EUS",_xll.meDateECBSwapEnd(IF(ISNUMBER($O76),$O76,COB)),"")</f>
        <v/>
      </c>
      <c r="Q77" s="86" t="b">
        <f t="shared" si="3"/>
        <v>0</v>
      </c>
      <c r="S77" s="94"/>
      <c r="T77" s="23"/>
      <c r="Y77" s="229" t="str">
        <f>'EUR Market Data'!H78</f>
        <v/>
      </c>
      <c r="Z77" s="239" t="str">
        <f>IF('EUR Market Data'!L78="","",'EUR Market Data'!L78)</f>
        <v/>
      </c>
      <c r="AE77" s="229" t="str">
        <f>'EUR Market Data'!N78</f>
        <v/>
      </c>
      <c r="AF77" s="231" t="str">
        <f>'EUR Market Data'!R78</f>
        <v/>
      </c>
      <c r="AH77" s="12"/>
      <c r="AI77" s="83"/>
      <c r="AK77" s="51" t="str">
        <f>'EUR Market Data'!T58</f>
        <v/>
      </c>
      <c r="AL77" s="33" t="str">
        <f>'EUR Market Data'!X58</f>
        <v/>
      </c>
      <c r="AN77" s="259" t="str">
        <f>'EUR Market Data'!AF58</f>
        <v/>
      </c>
      <c r="AO77" s="260" t="str">
        <f>'EUR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68" t="str">
        <f>'EUR Market Data'!AR78</f>
        <v/>
      </c>
      <c r="BA77" s="79" t="str">
        <f>'EUR Market Data'!AV78</f>
        <v/>
      </c>
      <c r="BB77" s="80" t="b">
        <f t="shared" si="4"/>
        <v>0</v>
      </c>
      <c r="BC77" s="6"/>
      <c r="BD77" s="12"/>
      <c r="BE77" s="83"/>
      <c r="BG77" s="53"/>
      <c r="BH77" s="16"/>
      <c r="BJ77" s="223" t="str">
        <f>'EUR Market Data'!AX78</f>
        <v/>
      </c>
      <c r="BK77" s="263" t="str">
        <f>'EUR Market Data'!BB78</f>
        <v/>
      </c>
      <c r="BM77" s="53"/>
      <c r="BN77" s="16"/>
      <c r="BP77" s="223" t="str">
        <f>'EUR Market Data'!BD78</f>
        <v/>
      </c>
      <c r="BQ77" s="263" t="str">
        <f>'EUR Market Data'!BH78</f>
        <v/>
      </c>
      <c r="BS77" s="53"/>
      <c r="BT77" s="16"/>
      <c r="BV77" s="223" t="str">
        <f>'EUR Market Data'!BJ78</f>
        <v/>
      </c>
      <c r="BW77" s="263" t="str">
        <f>'EUR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>'EUR Market Data'!BP78</f>
        <v/>
      </c>
      <c r="CO77" s="263" t="str">
        <f>'EUR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>'EUR Market Data'!B79</f>
        <v/>
      </c>
      <c r="N78" s="226" t="str">
        <f>'EUR Market Data'!F79</f>
        <v/>
      </c>
      <c r="O78" s="88" t="str">
        <f>IF(LEFT($M78,3)="EUS",_xll.meDateECBSwapStart(IF(ISNUMBER($O77),$O77,COB)),"")</f>
        <v/>
      </c>
      <c r="P78" s="88" t="str">
        <f>IF(LEFT($M78,3)="EUS",_xll.meDateECBSwapEnd(IF(ISNUMBER($O77),$O77,COB)),"")</f>
        <v/>
      </c>
      <c r="Q78" s="89" t="b">
        <f t="shared" si="3"/>
        <v>0</v>
      </c>
      <c r="S78" s="95"/>
      <c r="T78" s="25"/>
      <c r="Y78" s="232" t="str">
        <f>'EUR Market Data'!H79</f>
        <v/>
      </c>
      <c r="Z78" s="240" t="str">
        <f>IF('EUR Market Data'!L79="","",'EUR Market Data'!L79)</f>
        <v/>
      </c>
      <c r="AE78" s="232" t="str">
        <f>'EUR Market Data'!N79</f>
        <v/>
      </c>
      <c r="AF78" s="233" t="str">
        <f>'EUR Market Data'!R79</f>
        <v/>
      </c>
      <c r="AH78" s="13"/>
      <c r="AI78" s="103"/>
      <c r="AK78" s="58" t="str">
        <f>'EUR Market Data'!T59</f>
        <v/>
      </c>
      <c r="AL78" s="34" t="str">
        <f>'EUR Market Data'!X59</f>
        <v/>
      </c>
      <c r="AN78" s="261" t="str">
        <f>'EUR Market Data'!AF59</f>
        <v/>
      </c>
      <c r="AO78" s="262" t="str">
        <f>'EUR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" t="str">
        <f>'EUR Market Data'!AR79</f>
        <v/>
      </c>
      <c r="BA78" s="81" t="str">
        <f>'EUR Market Data'!AV79</f>
        <v/>
      </c>
      <c r="BB78" s="82" t="b">
        <f t="shared" si="4"/>
        <v>0</v>
      </c>
      <c r="BC78" s="6"/>
      <c r="BD78" s="13"/>
      <c r="BE78" s="103"/>
      <c r="BG78" s="59"/>
      <c r="BH78" s="17"/>
      <c r="BJ78" s="225" t="str">
        <f>'EUR Market Data'!AX79</f>
        <v/>
      </c>
      <c r="BK78" s="264" t="str">
        <f>'EUR Market Data'!BB79</f>
        <v/>
      </c>
      <c r="BM78" s="59"/>
      <c r="BN78" s="17"/>
      <c r="BP78" s="225" t="str">
        <f>'EUR Market Data'!BD79</f>
        <v/>
      </c>
      <c r="BQ78" s="264" t="str">
        <f>'EUR Market Data'!BH79</f>
        <v/>
      </c>
      <c r="BS78" s="59"/>
      <c r="BT78" s="17"/>
      <c r="BV78" s="225" t="str">
        <f>'EUR Market Data'!BJ79</f>
        <v/>
      </c>
      <c r="BW78" s="264" t="str">
        <f>'EUR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>'EUR Market Data'!BP79</f>
        <v/>
      </c>
      <c r="CO78" s="264" t="str">
        <f>'EUR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L80" s="203"/>
      <c r="BC80" s="6"/>
      <c r="BD80" s="6"/>
      <c r="BE80" s="6"/>
    </row>
    <row r="81" spans="12:57">
      <c r="L81" s="203"/>
      <c r="BC81" s="6"/>
      <c r="BD81" s="6"/>
      <c r="BE81" s="6"/>
    </row>
    <row r="82" spans="12:57">
      <c r="L82" s="203"/>
      <c r="BC82" s="6"/>
      <c r="BD82" s="6"/>
      <c r="BE82" s="6"/>
    </row>
    <row r="83" spans="12:57">
      <c r="L83" s="203"/>
      <c r="BC83" s="6"/>
      <c r="BD83" s="6"/>
      <c r="BE83" s="6"/>
    </row>
    <row r="84" spans="12:57">
      <c r="L84" s="203"/>
      <c r="BC84" s="6"/>
      <c r="BD84" s="6"/>
      <c r="BE84" s="6"/>
    </row>
    <row r="85" spans="12:57">
      <c r="L85" s="203"/>
      <c r="BC85" s="6"/>
      <c r="BD85" s="6"/>
      <c r="BE85" s="6"/>
    </row>
    <row r="86" spans="12:57">
      <c r="L86" s="203"/>
      <c r="BC86" s="6"/>
      <c r="BD86" s="6"/>
      <c r="BE86" s="6"/>
    </row>
    <row r="87" spans="12:57">
      <c r="L87" s="203"/>
      <c r="BC87" s="6"/>
      <c r="BD87" s="6"/>
      <c r="BE87" s="6"/>
    </row>
    <row r="88" spans="12:57">
      <c r="L88" s="203"/>
      <c r="BC88" s="6"/>
      <c r="BD88" s="6"/>
      <c r="BE88" s="6"/>
    </row>
    <row r="89" spans="12:57">
      <c r="L89" s="203"/>
      <c r="BC89" s="6"/>
      <c r="BD89" s="6"/>
      <c r="BE89" s="6"/>
    </row>
    <row r="90" spans="12:57">
      <c r="L90" s="203"/>
      <c r="BC90" s="6"/>
      <c r="BD90" s="6"/>
      <c r="BE90" s="6"/>
    </row>
    <row r="91" spans="12:57">
      <c r="L91" s="203"/>
      <c r="BC91" s="6"/>
      <c r="BD91" s="6"/>
      <c r="BE91" s="6"/>
    </row>
    <row r="92" spans="12:57">
      <c r="L92" s="203"/>
      <c r="BC92" s="6"/>
      <c r="BD92" s="6"/>
      <c r="BE92" s="6"/>
    </row>
    <row r="93" spans="12:57">
      <c r="L93" s="203"/>
      <c r="BC93" s="6"/>
      <c r="BD93" s="6"/>
      <c r="BE93" s="6"/>
    </row>
    <row r="94" spans="12:57">
      <c r="L94" s="203"/>
      <c r="BC94" s="6"/>
      <c r="BD94" s="6"/>
      <c r="BE94" s="6"/>
    </row>
    <row r="95" spans="12:57">
      <c r="L95" s="203"/>
      <c r="BC95" s="6"/>
      <c r="BD95" s="6"/>
      <c r="BE95" s="6"/>
    </row>
    <row r="96" spans="12:57">
      <c r="L96" s="203"/>
      <c r="BC96" s="6"/>
      <c r="BD96" s="6"/>
      <c r="BE96" s="6"/>
    </row>
    <row r="97" spans="12:57">
      <c r="L97" s="203"/>
      <c r="BC97" s="6"/>
      <c r="BD97" s="6"/>
      <c r="BE97" s="6"/>
    </row>
    <row r="98" spans="12:57">
      <c r="L98" s="203"/>
      <c r="BC98" s="6"/>
      <c r="BD98" s="6"/>
      <c r="BE98" s="6"/>
    </row>
    <row r="99" spans="12:57">
      <c r="L99" s="203"/>
      <c r="BC99" s="6"/>
      <c r="BD99" s="6"/>
      <c r="BE99" s="6"/>
    </row>
    <row r="100" spans="12:57">
      <c r="L100" s="203"/>
      <c r="BC100" s="6"/>
      <c r="BD100" s="6"/>
      <c r="BE100" s="6"/>
    </row>
    <row r="101" spans="12:57">
      <c r="L101" s="203"/>
      <c r="BC101" s="6"/>
      <c r="BD101" s="6"/>
      <c r="BE101" s="6"/>
    </row>
    <row r="102" spans="12:57">
      <c r="L102" s="203"/>
    </row>
    <row r="103" spans="12:57">
      <c r="L103" s="203"/>
    </row>
    <row r="104" spans="12:57">
      <c r="L104" s="203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7</xdr:col>
                    <xdr:colOff>1647825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9" tint="-0.249977111117893"/>
    <pageSetUpPr fitToPage="1"/>
  </sheetPr>
  <dimension ref="A1:DA79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8.42578125" customWidth="1"/>
    <col min="12" max="12" width="2.7109375" customWidth="1"/>
    <col min="13" max="13" width="9.140625" customWidth="1"/>
    <col min="14" max="14" width="11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11.140625" customWidth="1"/>
    <col min="46" max="46" width="10.140625" customWidth="1"/>
    <col min="47" max="47" width="10.57031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8" width="15.7109375" customWidth="1"/>
    <col min="79" max="79" width="2.7109375" customWidth="1"/>
    <col min="80" max="80" width="27" customWidth="1"/>
    <col min="81" max="81" width="22.85546875" customWidth="1"/>
    <col min="82" max="82" width="2.7109375" customWidth="1"/>
    <col min="83" max="84" width="12.7109375" customWidth="1"/>
    <col min="85" max="85" width="2.7109375" customWidth="1"/>
    <col min="86" max="86" width="28.7109375" customWidth="1"/>
    <col min="87" max="87" width="21.42578125" customWidth="1"/>
    <col min="88" max="88" width="2.7109375" customWidth="1"/>
    <col min="89" max="89" width="15.7109375" customWidth="1"/>
    <col min="90" max="90" width="29.85546875" customWidth="1"/>
    <col min="91" max="91" width="2.7109375" customWidth="1"/>
    <col min="92" max="92" width="15.7109375" customWidth="1"/>
    <col min="93" max="93" width="30.140625" customWidth="1"/>
    <col min="94" max="94" width="2.7109375" customWidth="1"/>
    <col min="95" max="95" width="15.7109375" customWidth="1"/>
    <col min="96" max="96" width="28.5703125" customWidth="1"/>
    <col min="97" max="97" width="2.7109375" customWidth="1"/>
    <col min="99" max="99" width="10.140625" bestFit="1" customWidth="1"/>
  </cols>
  <sheetData>
    <row r="1" spans="2:103">
      <c r="N1" s="394"/>
      <c r="O1" s="394"/>
      <c r="P1" s="394"/>
      <c r="Q1" s="394"/>
      <c r="R1" s="394"/>
      <c r="S1" s="394"/>
      <c r="T1" s="394"/>
    </row>
    <row r="2" spans="2:103">
      <c r="N2" s="394"/>
      <c r="O2" s="394"/>
      <c r="P2" s="394"/>
      <c r="Q2" s="394"/>
      <c r="R2" s="394"/>
      <c r="S2" s="394"/>
      <c r="T2" s="394"/>
    </row>
    <row r="3" spans="2:103">
      <c r="N3" s="394"/>
      <c r="O3" s="394"/>
      <c r="P3" s="394"/>
      <c r="Q3" s="394"/>
      <c r="R3" s="394"/>
      <c r="S3" s="394"/>
      <c r="T3" s="394"/>
      <c r="AS3" s="146"/>
      <c r="CU3" s="146"/>
      <c r="CV3" s="145"/>
    </row>
    <row r="4" spans="2:103">
      <c r="N4" s="394"/>
      <c r="O4" s="394"/>
      <c r="P4" s="394"/>
      <c r="Q4" s="394"/>
      <c r="R4" s="394"/>
      <c r="S4" s="394"/>
      <c r="T4" s="394"/>
      <c r="CU4" s="146"/>
      <c r="CV4" s="145"/>
    </row>
    <row r="5" spans="2:103" s="126" customFormat="1" ht="23.25">
      <c r="B5" s="125" t="s">
        <v>7</v>
      </c>
      <c r="G5" s="125" t="s">
        <v>10</v>
      </c>
      <c r="N5" s="395"/>
      <c r="O5" s="866"/>
      <c r="P5" s="395"/>
      <c r="Q5" s="395"/>
      <c r="R5" s="395"/>
      <c r="S5" s="395"/>
      <c r="T5" s="395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AW5"/>
      <c r="AX5"/>
      <c r="BA5" s="416"/>
      <c r="BD5" s="125" t="s">
        <v>11</v>
      </c>
      <c r="BG5" s="125" t="s">
        <v>277</v>
      </c>
      <c r="BM5" s="125" t="s">
        <v>278</v>
      </c>
      <c r="BS5" s="125" t="s">
        <v>346</v>
      </c>
      <c r="BY5" s="125" t="s">
        <v>52</v>
      </c>
      <c r="CH5" s="125" t="s">
        <v>281</v>
      </c>
      <c r="CT5"/>
      <c r="CU5" s="146"/>
      <c r="CV5" s="145"/>
    </row>
    <row r="6" spans="2:103">
      <c r="Z6" s="149"/>
      <c r="AN6" s="11" t="s">
        <v>167</v>
      </c>
      <c r="AO6" s="31" t="s">
        <v>84</v>
      </c>
      <c r="AQ6" s="63" t="s">
        <v>167</v>
      </c>
      <c r="AR6" s="35" t="s">
        <v>84</v>
      </c>
      <c r="AS6" s="20"/>
      <c r="AT6" s="291" t="s">
        <v>993</v>
      </c>
      <c r="AU6" s="21"/>
      <c r="CU6" s="146"/>
      <c r="CV6" s="145"/>
    </row>
    <row r="7" spans="2:103">
      <c r="B7" s="2" t="s">
        <v>979</v>
      </c>
      <c r="C7" s="9"/>
      <c r="G7" s="2" t="s">
        <v>272</v>
      </c>
      <c r="H7" s="9"/>
      <c r="J7" s="2" t="s">
        <v>175</v>
      </c>
      <c r="M7" s="2" t="s">
        <v>174</v>
      </c>
      <c r="O7" s="867"/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 t="s">
        <v>205</v>
      </c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D7" s="2" t="s">
        <v>272</v>
      </c>
      <c r="BE7" s="9"/>
      <c r="BG7" s="2" t="s">
        <v>173</v>
      </c>
      <c r="BJ7" s="2" t="s">
        <v>172</v>
      </c>
      <c r="BM7" s="2" t="s">
        <v>171</v>
      </c>
      <c r="BP7" s="2" t="s">
        <v>170</v>
      </c>
      <c r="BS7" s="2" t="s">
        <v>347</v>
      </c>
      <c r="BV7" s="2" t="s">
        <v>348</v>
      </c>
      <c r="BY7" s="2" t="s">
        <v>272</v>
      </c>
      <c r="BZ7" s="9"/>
      <c r="CB7" s="2" t="s">
        <v>169</v>
      </c>
      <c r="CE7" s="2" t="s">
        <v>168</v>
      </c>
      <c r="CH7" s="2" t="s">
        <v>272</v>
      </c>
      <c r="CI7" s="9"/>
      <c r="CK7" s="2" t="s">
        <v>282</v>
      </c>
      <c r="CN7" s="2" t="s">
        <v>283</v>
      </c>
      <c r="CQ7" s="2" t="s">
        <v>284</v>
      </c>
      <c r="CU7" s="146"/>
      <c r="CV7" s="145"/>
    </row>
    <row r="8" spans="2:103">
      <c r="B8" s="52" t="s">
        <v>189</v>
      </c>
      <c r="C8" s="112" t="s">
        <v>1818</v>
      </c>
      <c r="D8" s="113"/>
      <c r="E8" s="114"/>
      <c r="G8" s="52" t="s">
        <v>164</v>
      </c>
      <c r="H8" s="105">
        <f ca="1">COB</f>
        <v>43224</v>
      </c>
      <c r="J8" s="69" t="s">
        <v>167</v>
      </c>
      <c r="K8" s="31" t="s">
        <v>84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 t="s">
        <v>112</v>
      </c>
      <c r="Y8" s="64" t="s">
        <v>74</v>
      </c>
      <c r="Z8" s="65" t="s">
        <v>73</v>
      </c>
      <c r="AB8" s="69" t="s">
        <v>167</v>
      </c>
      <c r="AC8" s="31" t="s">
        <v>112</v>
      </c>
      <c r="AE8" s="64" t="s">
        <v>74</v>
      </c>
      <c r="AF8" s="65" t="s">
        <v>73</v>
      </c>
      <c r="AH8" s="52" t="s">
        <v>164</v>
      </c>
      <c r="AI8" s="105">
        <f ca="1">COB</f>
        <v>43224</v>
      </c>
      <c r="AK8" s="52" t="s">
        <v>167</v>
      </c>
      <c r="AL8" s="31" t="s">
        <v>84</v>
      </c>
      <c r="AN8" s="12" t="s">
        <v>130</v>
      </c>
      <c r="AO8" s="16" t="s">
        <v>41</v>
      </c>
      <c r="AQ8" s="54" t="s">
        <v>130</v>
      </c>
      <c r="AR8" s="37" t="s">
        <v>41</v>
      </c>
      <c r="AS8" s="22"/>
      <c r="AT8" s="289" t="s">
        <v>994</v>
      </c>
      <c r="AU8" s="290">
        <v>0.03</v>
      </c>
      <c r="AW8" s="52" t="s">
        <v>113</v>
      </c>
      <c r="AX8" s="111" t="s">
        <v>112</v>
      </c>
      <c r="AZ8" s="67" t="s">
        <v>74</v>
      </c>
      <c r="BA8" s="77" t="s">
        <v>73</v>
      </c>
      <c r="BB8" s="78" t="s">
        <v>379</v>
      </c>
      <c r="BD8" s="52" t="s">
        <v>164</v>
      </c>
      <c r="BE8" s="105">
        <f ca="1">COB</f>
        <v>43224</v>
      </c>
      <c r="BG8" s="74" t="s">
        <v>165</v>
      </c>
      <c r="BH8" s="96" t="s">
        <v>349</v>
      </c>
      <c r="BJ8" s="64" t="s">
        <v>74</v>
      </c>
      <c r="BK8" s="66" t="s">
        <v>73</v>
      </c>
      <c r="BM8" s="74" t="s">
        <v>165</v>
      </c>
      <c r="BN8" s="96" t="s">
        <v>350</v>
      </c>
      <c r="BP8" s="64" t="s">
        <v>74</v>
      </c>
      <c r="BQ8" s="66" t="s">
        <v>73</v>
      </c>
      <c r="BS8" s="74" t="s">
        <v>165</v>
      </c>
      <c r="BT8" s="96" t="s">
        <v>351</v>
      </c>
      <c r="BV8" s="64" t="s">
        <v>74</v>
      </c>
      <c r="BW8" s="66" t="s">
        <v>73</v>
      </c>
      <c r="BY8" s="52"/>
      <c r="BZ8" s="105"/>
      <c r="CB8" s="74" t="s">
        <v>165</v>
      </c>
      <c r="CC8" s="96" t="s">
        <v>161</v>
      </c>
      <c r="CE8" s="71" t="s">
        <v>74</v>
      </c>
      <c r="CF8" s="73" t="s">
        <v>73</v>
      </c>
      <c r="CH8" s="52" t="s">
        <v>164</v>
      </c>
      <c r="CI8" s="105">
        <f ca="1">COB</f>
        <v>43224</v>
      </c>
      <c r="CK8" s="52" t="s">
        <v>204</v>
      </c>
      <c r="CL8" s="30" t="s">
        <v>1050</v>
      </c>
      <c r="CN8" s="52" t="s">
        <v>204</v>
      </c>
      <c r="CO8" s="30" t="s">
        <v>1052</v>
      </c>
      <c r="CQ8" s="52" t="s">
        <v>204</v>
      </c>
      <c r="CR8" s="30" t="s">
        <v>1054</v>
      </c>
      <c r="CU8" s="146"/>
      <c r="CV8" s="145"/>
    </row>
    <row r="9" spans="2:103">
      <c r="B9" s="53" t="s">
        <v>61</v>
      </c>
      <c r="C9" s="115" t="s">
        <v>1023</v>
      </c>
      <c r="D9" s="116"/>
      <c r="E9" s="117"/>
      <c r="G9" s="53" t="s">
        <v>156</v>
      </c>
      <c r="H9" s="83" t="s">
        <v>181</v>
      </c>
      <c r="J9" s="70" t="s">
        <v>126</v>
      </c>
      <c r="K9" s="16" t="s">
        <v>3</v>
      </c>
      <c r="L9" s="203"/>
      <c r="M9" s="223" t="str">
        <f ca="1">'USD Market Data'!B10</f>
        <v>ON</v>
      </c>
      <c r="N9" s="224">
        <f ca="1">IF(LEFT($M9,2)="FF",'USD Market Data'!F10*100,'USD Market Data'!F10)</f>
        <v>1.7000000000000001E-2</v>
      </c>
      <c r="O9" s="258" t="str">
        <f ca="1">IF(LEFT(M9,2)="FF",_xll.mirGetDate(EOMONTH(COB,RIGHT(M9,LEN(M9)-3)-2)+1,"0D","Following",$K$8),"")</f>
        <v/>
      </c>
      <c r="P9" s="258" t="str">
        <f ca="1">IF(O9="","",EOMONTH(O9,0))</f>
        <v/>
      </c>
      <c r="Q9" s="86" t="b">
        <f ca="1">IF(M9="",FALSE,TRUE)</f>
        <v>1</v>
      </c>
      <c r="S9" s="90"/>
      <c r="T9" s="91"/>
      <c r="V9" s="70" t="s">
        <v>120</v>
      </c>
      <c r="W9" s="16" t="s">
        <v>3</v>
      </c>
      <c r="Y9" s="227" t="str">
        <f ca="1">'USD Market Data'!H10</f>
        <v>2Y</v>
      </c>
      <c r="Z9" s="238">
        <f>IF('USD Market Data'!L10="","",'USD Market Data'!L10)</f>
        <v>3.8124999999999999E-3</v>
      </c>
      <c r="AB9" s="70" t="s">
        <v>252</v>
      </c>
      <c r="AC9" s="16" t="str">
        <f>AX10</f>
        <v>30/360</v>
      </c>
      <c r="AE9" s="227" t="str">
        <f ca="1">'USD Market Data'!N10</f>
        <v>2Y</v>
      </c>
      <c r="AF9" s="228">
        <f>'USD Market Data'!R10</f>
        <v>2.7494000000000001E-2</v>
      </c>
      <c r="AH9" s="53" t="s">
        <v>156</v>
      </c>
      <c r="AI9" s="83" t="s">
        <v>181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 t="s">
        <v>38</v>
      </c>
      <c r="AS9" s="22"/>
      <c r="AT9" s="284" t="s">
        <v>132</v>
      </c>
      <c r="AU9" s="282">
        <v>8.9999999999999993E-3</v>
      </c>
      <c r="AW9" s="53" t="s">
        <v>5</v>
      </c>
      <c r="AX9" s="83" t="s">
        <v>157</v>
      </c>
      <c r="AZ9" s="68" t="str">
        <f>'USD Market Data'!AR10</f>
        <v>5Y</v>
      </c>
      <c r="BA9" s="79">
        <f>'USD Market Data'!AV10</f>
        <v>2.9106E-2</v>
      </c>
      <c r="BB9" s="80" t="b">
        <f>IF(OR(BA9="",BA9=0),FALSE,IF(OR(RIGHT(AZ9,1)="M",AND(RIGHT(AZ9,1)="Y",VALUE(LEFT(AZ9,LEN(AZ9)-1))&lt;=2)),FALSE,TRUE))</f>
        <v>1</v>
      </c>
      <c r="BD9" s="53" t="s">
        <v>156</v>
      </c>
      <c r="BE9" s="83" t="s">
        <v>181</v>
      </c>
      <c r="BG9" s="75" t="s">
        <v>163</v>
      </c>
      <c r="BH9" s="97" t="s">
        <v>162</v>
      </c>
      <c r="BJ9" s="223" t="str">
        <f>'USD Market Data'!AX10</f>
        <v>1Y</v>
      </c>
      <c r="BK9" s="263">
        <f>'USD Market Data'!BB10</f>
        <v>1.225E-3</v>
      </c>
      <c r="BM9" s="75" t="s">
        <v>163</v>
      </c>
      <c r="BN9" s="97" t="s">
        <v>162</v>
      </c>
      <c r="BP9" s="223" t="str">
        <f>'USD Market Data'!BD10</f>
        <v>1Y</v>
      </c>
      <c r="BQ9" s="263">
        <f>'USD Market Data'!BH10</f>
        <v>2.2750000000000001E-3</v>
      </c>
      <c r="BS9" s="75" t="s">
        <v>163</v>
      </c>
      <c r="BT9" s="97" t="s">
        <v>162</v>
      </c>
      <c r="BV9" s="223" t="str">
        <f>'USD Market Data'!BJ10</f>
        <v>1Y</v>
      </c>
      <c r="BW9" s="263">
        <f>'USD Market Data'!BN10</f>
        <v>2.4125000000000001E-3</v>
      </c>
      <c r="BY9" s="53"/>
      <c r="BZ9" s="83"/>
      <c r="CB9" s="75"/>
      <c r="CC9" s="97"/>
      <c r="CE9" s="84"/>
      <c r="CF9" s="98"/>
      <c r="CH9" s="53" t="s">
        <v>156</v>
      </c>
      <c r="CI9" s="83" t="s">
        <v>181</v>
      </c>
      <c r="CK9" s="53" t="s">
        <v>208</v>
      </c>
      <c r="CL9" s="28" t="s">
        <v>1051</v>
      </c>
      <c r="CN9" s="53" t="s">
        <v>208</v>
      </c>
      <c r="CO9" s="28" t="s">
        <v>1053</v>
      </c>
      <c r="CQ9" s="53" t="s">
        <v>208</v>
      </c>
      <c r="CR9" s="28" t="s">
        <v>1055</v>
      </c>
      <c r="CU9" s="146"/>
      <c r="CV9" s="145"/>
    </row>
    <row r="10" spans="2:103">
      <c r="B10" s="53" t="s">
        <v>194</v>
      </c>
      <c r="C10" s="118" t="s">
        <v>1012</v>
      </c>
      <c r="D10" s="119"/>
      <c r="E10" s="120"/>
      <c r="G10" s="53" t="s">
        <v>97</v>
      </c>
      <c r="H10" s="83" t="s">
        <v>2261</v>
      </c>
      <c r="I10" t="s">
        <v>12</v>
      </c>
      <c r="J10" s="70" t="s">
        <v>118</v>
      </c>
      <c r="K10" s="16" t="s">
        <v>146</v>
      </c>
      <c r="L10" s="203"/>
      <c r="M10" s="223" t="str">
        <f ca="1">'USD Market Data'!B11</f>
        <v>12M</v>
      </c>
      <c r="N10" s="224">
        <f ca="1">IF(LEFT($M10,2)="FF",'USD Market Data'!F11*100,'USD Market Data'!F11)</f>
        <v>2.1086000000000001E-2</v>
      </c>
      <c r="O10" s="258" t="str">
        <f ca="1">IF(LEFT(M10,2)="FF",_xll.meDateFromTenor(EOMONTH(COB,getFuturesMonth(M10)+2+getYearIncrementMonths(COB,M10))+1,"0D","Following",$K$8),"")</f>
        <v/>
      </c>
      <c r="P10" s="258" t="str">
        <f ca="1">IF(O10="","",EOMONTH(O10,0+getYearIncrementMonths(COB,M10)))</f>
        <v/>
      </c>
      <c r="Q10" s="86" t="b">
        <v>1</v>
      </c>
      <c r="S10" s="92"/>
      <c r="T10" s="93"/>
      <c r="V10" s="70" t="s">
        <v>1</v>
      </c>
      <c r="W10" s="16" t="s">
        <v>1996</v>
      </c>
      <c r="Y10" s="229" t="str">
        <f ca="1">'USD Market Data'!H11</f>
        <v>3Y</v>
      </c>
      <c r="Z10" s="239">
        <f>IF('USD Market Data'!L11="","",'USD Market Data'!L11)</f>
        <v>3.7000000000000002E-3</v>
      </c>
      <c r="AB10" s="70" t="s">
        <v>977</v>
      </c>
      <c r="AC10" s="16" t="s">
        <v>995</v>
      </c>
      <c r="AE10" s="229" t="str">
        <f ca="1">'USD Market Data'!N11</f>
        <v>3Y</v>
      </c>
      <c r="AF10" s="230">
        <f>'USD Market Data'!R11</f>
        <v>2.8414999999999999E-2</v>
      </c>
      <c r="AH10" s="53" t="s">
        <v>135</v>
      </c>
      <c r="AI10" s="134" t="s">
        <v>2263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>
        <f>IF($AU$7,$AU$8,"")</f>
        <v>0.03</v>
      </c>
      <c r="AS10" s="22"/>
      <c r="AT10" s="22"/>
      <c r="AU10" s="23"/>
      <c r="AW10" s="53" t="s">
        <v>158</v>
      </c>
      <c r="AX10" s="83" t="s">
        <v>157</v>
      </c>
      <c r="AZ10" s="68" t="str">
        <f>'USD Market Data'!AR11</f>
        <v>7Y</v>
      </c>
      <c r="BA10" s="79">
        <f>'USD Market Data'!AV11</f>
        <v>2.9407000000000003E-2</v>
      </c>
      <c r="BB10" s="80" t="b">
        <f t="shared" ref="BB10:BB73" si="0">IF(OR(BA10="",BA10=0),FALSE,IF(OR(RIGHT(AZ10,1)="M",AND(RIGHT(AZ10,1)="Y",VALUE(LEFT(AZ10,LEN(AZ10)-1))&lt;=2)),FALSE,TRUE))</f>
        <v>1</v>
      </c>
      <c r="BD10" s="53" t="s">
        <v>137</v>
      </c>
      <c r="BE10" s="83" t="s">
        <v>2261</v>
      </c>
      <c r="BF10" t="s">
        <v>12</v>
      </c>
      <c r="BG10" s="53" t="s">
        <v>155</v>
      </c>
      <c r="BH10" s="16" t="s">
        <v>84</v>
      </c>
      <c r="BJ10" s="223" t="str">
        <f>'USD Market Data'!AX11</f>
        <v>2Y</v>
      </c>
      <c r="BK10" s="263">
        <f>'USD Market Data'!BB11</f>
        <v>1.2375000000000001E-3</v>
      </c>
      <c r="BM10" s="53" t="s">
        <v>155</v>
      </c>
      <c r="BN10" s="16" t="s">
        <v>84</v>
      </c>
      <c r="BP10" s="223" t="str">
        <f>'USD Market Data'!BD11</f>
        <v>2Y</v>
      </c>
      <c r="BQ10" s="263">
        <f>'USD Market Data'!BH11</f>
        <v>1.8187500000000001E-3</v>
      </c>
      <c r="BS10" s="53" t="s">
        <v>155</v>
      </c>
      <c r="BT10" s="16" t="s">
        <v>84</v>
      </c>
      <c r="BV10" s="223" t="str">
        <f>'USD Market Data'!BJ11</f>
        <v>2Y</v>
      </c>
      <c r="BW10" s="263">
        <f>'USD Market Data'!BN11</f>
        <v>2.6250000000000002E-3</v>
      </c>
      <c r="BY10" s="53"/>
      <c r="BZ10" s="83"/>
      <c r="CB10" s="53"/>
      <c r="CC10" s="100"/>
      <c r="CE10" s="84"/>
      <c r="CF10" s="98"/>
      <c r="CH10" s="53" t="s">
        <v>137</v>
      </c>
      <c r="CI10" s="83" t="s">
        <v>2261</v>
      </c>
      <c r="CJ10" t="s">
        <v>12</v>
      </c>
      <c r="CK10" s="53" t="s">
        <v>212</v>
      </c>
      <c r="CL10" s="128" t="s">
        <v>1048</v>
      </c>
      <c r="CN10" s="53" t="s">
        <v>212</v>
      </c>
      <c r="CO10" s="128" t="s">
        <v>1048</v>
      </c>
      <c r="CQ10" s="53" t="s">
        <v>212</v>
      </c>
      <c r="CR10" s="128" t="s">
        <v>1048</v>
      </c>
      <c r="CU10" s="146"/>
      <c r="CV10" s="145"/>
    </row>
    <row r="11" spans="2:103">
      <c r="B11" s="53" t="s">
        <v>195</v>
      </c>
      <c r="C11" s="118" t="s">
        <v>1013</v>
      </c>
      <c r="D11" s="119"/>
      <c r="E11" s="120"/>
      <c r="G11" s="53"/>
      <c r="H11" s="83"/>
      <c r="J11" s="70" t="s">
        <v>144</v>
      </c>
      <c r="K11" s="16" t="s">
        <v>143</v>
      </c>
      <c r="L11" s="203"/>
      <c r="M11" s="223" t="str">
        <f ca="1">'USD Market Data'!B12</f>
        <v>2Y</v>
      </c>
      <c r="N11" s="224">
        <f ca="1">IF(LEFT($M11,2)="FF",'USD Market Data'!F12*100,'USD Market Data'!F12)</f>
        <v>2.3445000000000001E-2</v>
      </c>
      <c r="O11" s="258" t="str">
        <f ca="1">IF(LEFT(M11,2)="FF",_xll.meDateFromTenor(EOMONTH(COB,getFuturesMonth(M11)+2+getYearIncrementMonths(COB,M11))+1,"0D","Following",$K$8),"")</f>
        <v/>
      </c>
      <c r="P11" s="258" t="str">
        <f ca="1">IF(O11="","",EOMONTH(O11,0+getYearIncrementMonths(COB,M11)))</f>
        <v/>
      </c>
      <c r="Q11" s="86" t="b">
        <v>1</v>
      </c>
      <c r="S11" s="92"/>
      <c r="T11" s="93"/>
      <c r="V11" s="70" t="s">
        <v>88</v>
      </c>
      <c r="W11" s="16" t="s">
        <v>38</v>
      </c>
      <c r="Y11" s="229" t="str">
        <f ca="1">'USD Market Data'!H12</f>
        <v>4Y</v>
      </c>
      <c r="Z11" s="239">
        <f>IF('USD Market Data'!L12="","",'USD Market Data'!L12)</f>
        <v>3.6625E-3</v>
      </c>
      <c r="AB11" s="70" t="s">
        <v>111</v>
      </c>
      <c r="AC11" s="16" t="s">
        <v>38</v>
      </c>
      <c r="AE11" s="229" t="str">
        <f ca="1">'USD Market Data'!N12</f>
        <v>4Y</v>
      </c>
      <c r="AF11" s="230">
        <f>'USD Market Data'!R12</f>
        <v>2.8862000000000002E-2</v>
      </c>
      <c r="AH11" s="53" t="s">
        <v>151</v>
      </c>
      <c r="AI11" s="134" t="s">
        <v>2263</v>
      </c>
      <c r="AJ11" s="995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 t="b">
        <v>0</v>
      </c>
      <c r="AS11" s="22"/>
      <c r="AT11" s="22"/>
      <c r="AU11" s="23"/>
      <c r="AW11" s="53" t="s">
        <v>152</v>
      </c>
      <c r="AX11" s="83" t="s">
        <v>3</v>
      </c>
      <c r="AZ11" s="68" t="str">
        <f>'USD Market Data'!AR12</f>
        <v>10Y</v>
      </c>
      <c r="BA11" s="79">
        <f>'USD Market Data'!AV12</f>
        <v>2.9773999999999998E-2</v>
      </c>
      <c r="BB11" s="80" t="b">
        <f t="shared" si="0"/>
        <v>1</v>
      </c>
      <c r="BD11" s="53" t="s">
        <v>135</v>
      </c>
      <c r="BE11" s="83" t="s">
        <v>2231</v>
      </c>
      <c r="BF11" t="s">
        <v>12</v>
      </c>
      <c r="BG11" s="53" t="s">
        <v>148</v>
      </c>
      <c r="BH11" s="16" t="s">
        <v>53</v>
      </c>
      <c r="BJ11" s="223" t="str">
        <f>'USD Market Data'!AX12</f>
        <v>3Y</v>
      </c>
      <c r="BK11" s="263">
        <f>'USD Market Data'!BB12</f>
        <v>1.25E-3</v>
      </c>
      <c r="BM11" s="53" t="s">
        <v>148</v>
      </c>
      <c r="BN11" s="16" t="s">
        <v>53</v>
      </c>
      <c r="BP11" s="223" t="str">
        <f>'USD Market Data'!BD12</f>
        <v>3Y</v>
      </c>
      <c r="BQ11" s="263">
        <f>'USD Market Data'!BH12</f>
        <v>1.575E-3</v>
      </c>
      <c r="BS11" s="53" t="s">
        <v>148</v>
      </c>
      <c r="BT11" s="16" t="s">
        <v>53</v>
      </c>
      <c r="BV11" s="223" t="str">
        <f>'USD Market Data'!BJ12</f>
        <v>3Y</v>
      </c>
      <c r="BW11" s="263">
        <f>'USD Market Data'!BN12</f>
        <v>2.725E-3</v>
      </c>
      <c r="BY11" s="53"/>
      <c r="BZ11" s="83"/>
      <c r="CB11" s="53"/>
      <c r="CC11" s="83"/>
      <c r="CE11" s="84"/>
      <c r="CF11" s="98"/>
      <c r="CH11" s="53" t="s">
        <v>135</v>
      </c>
      <c r="CI11" s="83" t="s">
        <v>2231</v>
      </c>
      <c r="CJ11" t="s">
        <v>12</v>
      </c>
      <c r="CK11" s="53" t="s">
        <v>214</v>
      </c>
      <c r="CL11" s="128" t="s">
        <v>1048</v>
      </c>
      <c r="CN11" s="53" t="s">
        <v>214</v>
      </c>
      <c r="CO11" s="128" t="s">
        <v>1048</v>
      </c>
      <c r="CQ11" s="53" t="s">
        <v>214</v>
      </c>
      <c r="CR11" s="128" t="s">
        <v>1048</v>
      </c>
      <c r="CU11" s="146"/>
      <c r="CV11" s="145"/>
    </row>
    <row r="12" spans="2:103">
      <c r="B12" s="135" t="s">
        <v>268</v>
      </c>
      <c r="C12" s="118" t="s">
        <v>1014</v>
      </c>
      <c r="D12" s="119"/>
      <c r="E12" s="120"/>
      <c r="G12" s="53"/>
      <c r="H12" s="83"/>
      <c r="J12" s="70" t="s">
        <v>130</v>
      </c>
      <c r="K12" s="16" t="s">
        <v>129</v>
      </c>
      <c r="L12" s="203"/>
      <c r="M12" s="223" t="str">
        <f ca="1">'USD Market Data'!B13</f>
        <v>3Y</v>
      </c>
      <c r="N12" s="224">
        <f ca="1">IF(LEFT($M12,2)="FF",'USD Market Data'!F13*100,'USD Market Data'!F13)</f>
        <v>2.4489999999999998E-2</v>
      </c>
      <c r="O12" s="258" t="str">
        <f ca="1">IF(LEFT(M12,2)="FF",_xll.meDateFromTenor(EOMONTH(COB,getFuturesMonth(M12)+2+getYearIncrementMonths(COB,M12))+1,"0D","Following",$K$8),"")</f>
        <v/>
      </c>
      <c r="P12" s="258" t="str">
        <f ca="1">IF(O12="","",EOMONTH(O12,0+getYearIncrementMonths(COB,M12)))</f>
        <v/>
      </c>
      <c r="Q12" s="86" t="b">
        <f ca="1">IF(M12="",FALSE,TRUE)</f>
        <v>1</v>
      </c>
      <c r="S12" s="92"/>
      <c r="T12" s="93"/>
      <c r="V12" s="70"/>
      <c r="W12" s="16"/>
      <c r="Y12" s="229" t="str">
        <f ca="1">'USD Market Data'!H13</f>
        <v>5Y</v>
      </c>
      <c r="Z12" s="239">
        <f>IF('USD Market Data'!L13="","",'USD Market Data'!L13)</f>
        <v>3.6749999999999999E-3</v>
      </c>
      <c r="AB12" s="70"/>
      <c r="AC12" s="16"/>
      <c r="AE12" s="229" t="str">
        <f ca="1">'USD Market Data'!N13</f>
        <v>5Y</v>
      </c>
      <c r="AF12" s="230">
        <f>'USD Market Data'!R13</f>
        <v>2.9106E-2</v>
      </c>
      <c r="AH12" s="12" t="s">
        <v>1</v>
      </c>
      <c r="AI12" s="83" t="s">
        <v>2034</v>
      </c>
      <c r="AJ12" s="995" t="s">
        <v>12</v>
      </c>
      <c r="AK12" s="59"/>
      <c r="AL12" s="17"/>
      <c r="AN12" s="60" t="s">
        <v>1477</v>
      </c>
      <c r="AO12" s="17">
        <f>ForwardCharts.TensionGap</f>
        <v>2</v>
      </c>
      <c r="AQ12" s="60" t="s">
        <v>1477</v>
      </c>
      <c r="AR12" s="415">
        <f>ForwardCharts.TensionGap</f>
        <v>2</v>
      </c>
      <c r="AS12" s="24"/>
      <c r="AT12" s="24"/>
      <c r="AU12" s="25"/>
      <c r="AW12" s="53" t="s">
        <v>1</v>
      </c>
      <c r="AX12" s="83" t="s">
        <v>76</v>
      </c>
      <c r="AZ12" s="68" t="str">
        <f>'USD Market Data'!AR13</f>
        <v>11Y</v>
      </c>
      <c r="BA12" s="79">
        <f>'USD Market Data'!AV13</f>
        <v>2.9900000000000003E-2</v>
      </c>
      <c r="BB12" s="80" t="b">
        <f t="shared" si="0"/>
        <v>1</v>
      </c>
      <c r="BD12" s="53" t="s">
        <v>151</v>
      </c>
      <c r="BE12" s="83" t="s">
        <v>2261</v>
      </c>
      <c r="BF12" s="995" t="s">
        <v>12</v>
      </c>
      <c r="BG12" s="53" t="s">
        <v>145</v>
      </c>
      <c r="BH12" s="16" t="s">
        <v>76</v>
      </c>
      <c r="BJ12" s="223" t="str">
        <f>'USD Market Data'!AX13</f>
        <v>4Y</v>
      </c>
      <c r="BK12" s="263">
        <f>'USD Market Data'!BB13</f>
        <v>1.25E-3</v>
      </c>
      <c r="BM12" s="53" t="s">
        <v>145</v>
      </c>
      <c r="BN12" s="16" t="s">
        <v>75</v>
      </c>
      <c r="BP12" s="223" t="str">
        <f>'USD Market Data'!BD13</f>
        <v>4Y</v>
      </c>
      <c r="BQ12" s="263">
        <f>'USD Market Data'!BH13</f>
        <v>1.39375E-3</v>
      </c>
      <c r="BS12" s="53" t="s">
        <v>145</v>
      </c>
      <c r="BT12" s="16" t="s">
        <v>146</v>
      </c>
      <c r="BV12" s="223" t="str">
        <f>'USD Market Data'!BJ13</f>
        <v>4Y</v>
      </c>
      <c r="BW12" s="263">
        <f>'USD Market Data'!BN13</f>
        <v>2.7499999999999998E-3</v>
      </c>
      <c r="BY12" s="53"/>
      <c r="BZ12" s="83"/>
      <c r="CB12" s="53"/>
      <c r="CC12" s="83"/>
      <c r="CE12" s="84"/>
      <c r="CF12" s="98"/>
      <c r="CH12" s="53" t="s">
        <v>151</v>
      </c>
      <c r="CI12" s="83" t="s">
        <v>2261</v>
      </c>
      <c r="CJ12" t="s">
        <v>12</v>
      </c>
      <c r="CK12" s="53" t="s">
        <v>217</v>
      </c>
      <c r="CL12" s="83" t="s">
        <v>182</v>
      </c>
      <c r="CN12" s="53" t="s">
        <v>217</v>
      </c>
      <c r="CO12" s="83" t="s">
        <v>182</v>
      </c>
      <c r="CQ12" s="53" t="s">
        <v>217</v>
      </c>
      <c r="CR12" s="83" t="s">
        <v>182</v>
      </c>
      <c r="CU12" s="146"/>
      <c r="CV12" s="145"/>
    </row>
    <row r="13" spans="2:103">
      <c r="B13" s="53" t="s">
        <v>196</v>
      </c>
      <c r="C13" s="118" t="s">
        <v>1034</v>
      </c>
      <c r="D13" s="119"/>
      <c r="E13" s="120"/>
      <c r="G13" s="53"/>
      <c r="H13" s="83"/>
      <c r="J13" s="70" t="s">
        <v>150</v>
      </c>
      <c r="K13" s="16" t="s">
        <v>149</v>
      </c>
      <c r="L13" s="203"/>
      <c r="M13" s="223" t="str">
        <f ca="1">'USD Market Data'!B14</f>
        <v>4Y</v>
      </c>
      <c r="N13" s="224">
        <f ca="1">IF(LEFT($M13,2)="FF",'USD Market Data'!F14*100,'USD Market Data'!F14)</f>
        <v>2.4990000000000002E-2</v>
      </c>
      <c r="O13" s="258" t="str">
        <f ca="1">IF(LEFT(M13,2)="FF",_xll.meDateFromTenor(EOMONTH(COB,getFuturesMonth(M13)+2+getYearIncrementMonths(COB,M13))+1,"0D","Following",$K$8),"")</f>
        <v/>
      </c>
      <c r="P13" s="258" t="str">
        <f ca="1">IF(O13="","",EOMONTH(O13,0+getYearIncrementMonths(COB,M13)))</f>
        <v/>
      </c>
      <c r="Q13" s="86" t="b">
        <f ca="1">IF(M13="",FALSE,TRUE)</f>
        <v>1</v>
      </c>
      <c r="S13" s="92"/>
      <c r="T13" s="93"/>
      <c r="V13" s="70"/>
      <c r="W13" s="16"/>
      <c r="Y13" s="229" t="str">
        <f ca="1">'USD Market Data'!H14</f>
        <v>6Y</v>
      </c>
      <c r="Z13" s="239">
        <f>IF('USD Market Data'!L14="","",'USD Market Data'!L14)</f>
        <v>3.7000000000000002E-3</v>
      </c>
      <c r="AB13" s="70"/>
      <c r="AC13" s="16"/>
      <c r="AE13" s="229" t="str">
        <f ca="1">'USD Market Data'!N14</f>
        <v>6Y</v>
      </c>
      <c r="AF13" s="230">
        <f>'USD Market Data'!R14</f>
        <v>2.9270999999999998E-2</v>
      </c>
      <c r="AH13" s="53" t="s">
        <v>97</v>
      </c>
      <c r="AI13" s="134" t="s">
        <v>2263</v>
      </c>
      <c r="AJ13" t="s">
        <v>12</v>
      </c>
      <c r="AK13" s="6"/>
      <c r="AL13" s="4"/>
      <c r="AM13" s="6"/>
      <c r="AN13" s="8"/>
      <c r="AO13" s="4"/>
      <c r="AW13" s="53" t="s">
        <v>138</v>
      </c>
      <c r="AX13" s="83" t="s">
        <v>75</v>
      </c>
      <c r="AZ13" s="68" t="str">
        <f>'USD Market Data'!AR14</f>
        <v>12Y</v>
      </c>
      <c r="BA13" s="79">
        <f>'USD Market Data'!AV14</f>
        <v>3.0005E-2</v>
      </c>
      <c r="BB13" s="80" t="b">
        <f t="shared" si="0"/>
        <v>1</v>
      </c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>'USD Market Data'!AX14</f>
        <v>5Y</v>
      </c>
      <c r="BK13" s="263">
        <f>'USD Market Data'!BB14</f>
        <v>1.2625E-3</v>
      </c>
      <c r="BM13" s="53" t="s">
        <v>142</v>
      </c>
      <c r="BN13" s="16" t="s">
        <v>38</v>
      </c>
      <c r="BP13" s="223" t="str">
        <f>'USD Market Data'!BD14</f>
        <v>5Y</v>
      </c>
      <c r="BQ13" s="263">
        <f>'USD Market Data'!BH14</f>
        <v>1.2625E-3</v>
      </c>
      <c r="BS13" s="53" t="s">
        <v>142</v>
      </c>
      <c r="BT13" s="16" t="s">
        <v>38</v>
      </c>
      <c r="BV13" s="223" t="str">
        <f>'USD Market Data'!BJ14</f>
        <v>5Y</v>
      </c>
      <c r="BW13" s="263">
        <f>'USD Market Data'!BN14</f>
        <v>2.7750000000000001E-3</v>
      </c>
      <c r="BY13" s="53"/>
      <c r="BZ13" s="83"/>
      <c r="CB13" s="53"/>
      <c r="CC13" s="83"/>
      <c r="CE13" s="84"/>
      <c r="CF13" s="98"/>
      <c r="CH13" s="53" t="s">
        <v>218</v>
      </c>
      <c r="CI13" s="83" t="b">
        <v>0</v>
      </c>
      <c r="CK13" s="53"/>
      <c r="CL13" s="83"/>
      <c r="CN13" s="53"/>
      <c r="CO13" s="83"/>
      <c r="CQ13" s="53"/>
      <c r="CR13" s="83"/>
      <c r="CU13" s="146"/>
      <c r="CV13" s="145"/>
    </row>
    <row r="14" spans="2:103">
      <c r="B14" s="53" t="s">
        <v>197</v>
      </c>
      <c r="C14" s="118" t="s">
        <v>1017</v>
      </c>
      <c r="D14" s="119"/>
      <c r="E14" s="120"/>
      <c r="G14" s="53"/>
      <c r="H14" s="83"/>
      <c r="J14" s="70" t="s">
        <v>111</v>
      </c>
      <c r="K14" s="16" t="s">
        <v>38</v>
      </c>
      <c r="L14" s="203"/>
      <c r="M14" s="223" t="str">
        <f ca="1">'USD Market Data'!B15</f>
        <v>5Y</v>
      </c>
      <c r="N14" s="224">
        <f ca="1">IF(LEFT($M14,2)="FF",'USD Market Data'!F15*100,'USD Market Data'!F15)</f>
        <v>2.5219999999999999E-2</v>
      </c>
      <c r="O14" s="258" t="str">
        <f ca="1">IF(LEFT(M14,2)="FF",_xll.meDateFromTenor(EOMONTH(COB,getFuturesMonth(M14)+2+getYearIncrementMonths(COB,M14))+1,"0D","Following",$K$8),"")</f>
        <v/>
      </c>
      <c r="P14" s="258" t="str">
        <f ca="1">IF(O14="","",EOMONTH(O14,0+getYearIncrementMonths(COB,M14)))</f>
        <v/>
      </c>
      <c r="Q14" s="86" t="b">
        <f ca="1">IF(M14="",FALSE,TRUE)</f>
        <v>1</v>
      </c>
      <c r="S14" s="92"/>
      <c r="T14" s="93"/>
      <c r="V14" s="70"/>
      <c r="W14" s="16"/>
      <c r="Y14" s="229" t="str">
        <f ca="1">'USD Market Data'!H15</f>
        <v>7Y</v>
      </c>
      <c r="Z14" s="239">
        <f>IF('USD Market Data'!L15="","",'USD Market Data'!L15)</f>
        <v>3.7750000000000001E-3</v>
      </c>
      <c r="AB14" s="70"/>
      <c r="AC14" s="16"/>
      <c r="AE14" s="229" t="str">
        <f ca="1">'USD Market Data'!N15</f>
        <v>7Y</v>
      </c>
      <c r="AF14" s="230">
        <f>'USD Market Data'!R15</f>
        <v>2.9405999999999998E-2</v>
      </c>
      <c r="AH14" s="12" t="s">
        <v>223</v>
      </c>
      <c r="AI14" s="83" t="b">
        <v>0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T14" t="s">
        <v>12</v>
      </c>
      <c r="AW14" s="53" t="s">
        <v>137</v>
      </c>
      <c r="AX14" s="83" t="s">
        <v>2261</v>
      </c>
      <c r="AY14" t="s">
        <v>12</v>
      </c>
      <c r="AZ14" s="68" t="str">
        <f>'USD Market Data'!AR15</f>
        <v>15Y</v>
      </c>
      <c r="BA14" s="79">
        <f>'USD Market Data'!AV15</f>
        <v>3.0205000000000003E-2</v>
      </c>
      <c r="BB14" s="80" t="b">
        <f t="shared" si="0"/>
        <v>1</v>
      </c>
      <c r="BD14" s="53" t="s">
        <v>106</v>
      </c>
      <c r="BE14" s="83" t="b">
        <v>0</v>
      </c>
      <c r="BG14" s="53" t="s">
        <v>136</v>
      </c>
      <c r="BH14" s="16" t="s">
        <v>41</v>
      </c>
      <c r="BJ14" s="223" t="str">
        <f>'USD Market Data'!AX15</f>
        <v>6Y</v>
      </c>
      <c r="BK14" s="263">
        <f>'USD Market Data'!BB15</f>
        <v>1.2875E-3</v>
      </c>
      <c r="BM14" s="53" t="s">
        <v>136</v>
      </c>
      <c r="BN14" s="16" t="s">
        <v>41</v>
      </c>
      <c r="BP14" s="223" t="str">
        <f>'USD Market Data'!BD15</f>
        <v>6Y</v>
      </c>
      <c r="BQ14" s="263">
        <f>'USD Market Data'!BH15</f>
        <v>1.1125E-3</v>
      </c>
      <c r="BS14" s="53" t="s">
        <v>136</v>
      </c>
      <c r="BT14" s="16" t="s">
        <v>41</v>
      </c>
      <c r="BV14" s="223" t="str">
        <f>'USD Market Data'!BJ15</f>
        <v>7Y</v>
      </c>
      <c r="BW14" s="263">
        <f>'USD Market Data'!BN15</f>
        <v>2.875E-3</v>
      </c>
      <c r="BY14" s="53"/>
      <c r="BZ14" s="83"/>
      <c r="CB14" s="53"/>
      <c r="CC14" s="83"/>
      <c r="CE14" s="84"/>
      <c r="CF14" s="98"/>
      <c r="CH14" s="53" t="s">
        <v>106</v>
      </c>
      <c r="CI14" s="83" t="b">
        <v>0</v>
      </c>
      <c r="CK14" s="53"/>
      <c r="CL14" s="83"/>
      <c r="CN14" s="53"/>
      <c r="CO14" s="83"/>
      <c r="CQ14" s="53"/>
      <c r="CR14" s="83"/>
      <c r="CU14" s="146"/>
      <c r="CV14" s="146"/>
      <c r="CW14" s="146"/>
      <c r="CX14" s="146"/>
      <c r="CY14" s="146"/>
    </row>
    <row r="15" spans="2:103">
      <c r="B15" s="53" t="s">
        <v>197</v>
      </c>
      <c r="C15" s="118" t="s">
        <v>1015</v>
      </c>
      <c r="D15" s="119"/>
      <c r="E15" s="120"/>
      <c r="G15" s="53"/>
      <c r="H15" s="83"/>
      <c r="J15" s="70" t="s">
        <v>124</v>
      </c>
      <c r="K15" s="16" t="s">
        <v>123</v>
      </c>
      <c r="L15" s="203"/>
      <c r="M15" s="223" t="str">
        <f ca="1">'USD Market Data'!B16</f>
        <v>6Y</v>
      </c>
      <c r="N15" s="224">
        <f ca="1">IF(LEFT($M15,2)="FF",'USD Market Data'!F16*100,'USD Market Data'!F16)</f>
        <v>2.5339999999999998E-2</v>
      </c>
      <c r="O15" s="258" t="str">
        <f ca="1">IF(LEFT(M15,2)="FF",_xll.meDateFromTenor(EOMONTH(COB,getFuturesMonth(M15)+2+getYearIncrementMonths(COB,M15))+1,"0D","Following",$K$8),"")</f>
        <v/>
      </c>
      <c r="P15" s="258" t="str">
        <f ca="1">IF(O15="","",EOMONTH(O15,0+getYearIncrementMonths(COB,M15)))</f>
        <v/>
      </c>
      <c r="Q15" s="86" t="b">
        <f ca="1">IF(M15="",FALSE,TRUE)</f>
        <v>1</v>
      </c>
      <c r="S15" s="92"/>
      <c r="T15" s="93"/>
      <c r="V15" s="70"/>
      <c r="W15" s="16"/>
      <c r="Y15" s="229" t="str">
        <f ca="1">'USD Market Data'!H16</f>
        <v>10Y</v>
      </c>
      <c r="Z15" s="239">
        <f>IF('USD Market Data'!L16="","",'USD Market Data'!L16)</f>
        <v>3.9630000000000004E-3</v>
      </c>
      <c r="AB15" s="70"/>
      <c r="AC15" s="16"/>
      <c r="AE15" s="229" t="str">
        <f ca="1">'USD Market Data'!N16</f>
        <v>10Y</v>
      </c>
      <c r="AF15" s="230">
        <f>'USD Market Data'!R16</f>
        <v>2.9773999999999998E-2</v>
      </c>
      <c r="AH15" s="12" t="s">
        <v>220</v>
      </c>
      <c r="AI15" s="83" t="b">
        <v>1</v>
      </c>
      <c r="AJ15" t="s">
        <v>12</v>
      </c>
      <c r="AK15" s="11" t="s">
        <v>167</v>
      </c>
      <c r="AL15" s="32" t="s">
        <v>112</v>
      </c>
      <c r="AM15" s="6"/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68" t="str">
        <f>'USD Market Data'!AR16</f>
        <v>20Y</v>
      </c>
      <c r="BA15" s="79">
        <f>'USD Market Data'!AV16</f>
        <v>3.0320999999999997E-2</v>
      </c>
      <c r="BB15" s="80" t="b">
        <f t="shared" si="0"/>
        <v>1</v>
      </c>
      <c r="BD15" s="53" t="s">
        <v>103</v>
      </c>
      <c r="BE15" s="83" t="b">
        <v>0</v>
      </c>
      <c r="BG15" s="53" t="s">
        <v>128</v>
      </c>
      <c r="BH15" s="28" t="s">
        <v>189</v>
      </c>
      <c r="BJ15" s="223" t="str">
        <f>'USD Market Data'!AX16</f>
        <v>7Y</v>
      </c>
      <c r="BK15" s="263">
        <f>'USD Market Data'!BB16</f>
        <v>1.325E-3</v>
      </c>
      <c r="BM15" s="53" t="s">
        <v>128</v>
      </c>
      <c r="BN15" s="28" t="s">
        <v>189</v>
      </c>
      <c r="BP15" s="223" t="str">
        <f>'USD Market Data'!BD16</f>
        <v>7Y</v>
      </c>
      <c r="BQ15" s="263">
        <f>'USD Market Data'!BH16</f>
        <v>1.0250000000000001E-3</v>
      </c>
      <c r="BS15" s="53" t="s">
        <v>128</v>
      </c>
      <c r="BT15" s="28" t="s">
        <v>189</v>
      </c>
      <c r="BV15" s="223" t="str">
        <f>'USD Market Data'!BJ16</f>
        <v>10Y</v>
      </c>
      <c r="BW15" s="263">
        <f>'USD Market Data'!BN16</f>
        <v>2.9624999999999999E-3</v>
      </c>
      <c r="BY15" s="53"/>
      <c r="BZ15" s="83"/>
      <c r="CB15" s="53"/>
      <c r="CC15" s="83"/>
      <c r="CE15" s="84"/>
      <c r="CF15" s="98"/>
      <c r="CH15" s="53" t="s">
        <v>103</v>
      </c>
      <c r="CI15" s="83" t="b">
        <v>0</v>
      </c>
      <c r="CK15" s="53"/>
      <c r="CL15" s="83"/>
      <c r="CN15" s="53"/>
      <c r="CO15" s="83"/>
      <c r="CQ15" s="53"/>
      <c r="CR15" s="83"/>
      <c r="CU15" s="146"/>
      <c r="CV15" s="146"/>
      <c r="CW15" s="146"/>
      <c r="CX15" s="146"/>
      <c r="CY15" s="146"/>
    </row>
    <row r="16" spans="2:103">
      <c r="B16" s="53" t="s">
        <v>197</v>
      </c>
      <c r="C16" s="118" t="s">
        <v>1016</v>
      </c>
      <c r="D16" s="119"/>
      <c r="E16" s="120"/>
      <c r="G16" s="53"/>
      <c r="H16" s="83"/>
      <c r="J16" s="70" t="s">
        <v>124</v>
      </c>
      <c r="K16" s="215" t="s">
        <v>123</v>
      </c>
      <c r="L16" s="203"/>
      <c r="M16" s="223" t="str">
        <f ca="1">'USD Market Data'!B17</f>
        <v>7Y</v>
      </c>
      <c r="N16" s="224">
        <f ca="1">IF(LEFT($M16,2)="FF",'USD Market Data'!F17*100,'USD Market Data'!F17)</f>
        <v>2.5419999999999998E-2</v>
      </c>
      <c r="O16" s="258" t="str">
        <f ca="1">IF(LEFT(M16,2)="FF",_xll.meDateFromTenor(EOMONTH(COB,getFuturesMonth(M16)+2+getYearIncrementMonths(COB,M16))+1,"0D","Following",$K$8),"")</f>
        <v/>
      </c>
      <c r="P16" s="258" t="str">
        <f ca="1">IF(O16="","",EOMONTH(O16,0+getYearIncrementMonths(COB,M16)))</f>
        <v/>
      </c>
      <c r="Q16" s="86" t="b">
        <f ca="1">IF(M16="",FALSE,TRUE)</f>
        <v>1</v>
      </c>
      <c r="S16" s="92"/>
      <c r="T16" s="93"/>
      <c r="V16" s="70"/>
      <c r="W16" s="16"/>
      <c r="Y16" s="229" t="str">
        <f ca="1">'USD Market Data'!H17</f>
        <v>12Y</v>
      </c>
      <c r="Z16" s="239">
        <f>IF('USD Market Data'!L17="","",'USD Market Data'!L17)</f>
        <v>4.0875E-3</v>
      </c>
      <c r="AB16" s="70"/>
      <c r="AC16" s="16"/>
      <c r="AE16" s="229" t="str">
        <f ca="1">'USD Market Data'!N17</f>
        <v>12Y</v>
      </c>
      <c r="AF16" s="230">
        <f>'USD Market Data'!R17</f>
        <v>3.0005E-2</v>
      </c>
      <c r="AH16" s="12" t="s">
        <v>79</v>
      </c>
      <c r="AI16" s="83" t="s">
        <v>189</v>
      </c>
      <c r="AJ16" s="995" t="s">
        <v>12</v>
      </c>
      <c r="AK16" s="12" t="s">
        <v>126</v>
      </c>
      <c r="AL16" s="16" t="s">
        <v>205</v>
      </c>
      <c r="AN16" s="51"/>
      <c r="AO16" s="33"/>
      <c r="AQ16" s="266" t="str">
        <f>'USD Market Data'!AM10</f>
        <v>ED1  COMB Comdty</v>
      </c>
      <c r="AR16" s="285">
        <f>IF($AQ16="","",VLOOKUP($AQ16,'Instrument Data'!Data.Swaps.USD,4,0))</f>
        <v>43271</v>
      </c>
      <c r="AS16" s="285">
        <f>IF($AQ16="","",VLOOKUP($AQ16,'Instrument Data'!Data.Swaps.USD,5,0))</f>
        <v>43362</v>
      </c>
      <c r="AT16" s="272">
        <f>'USD Market Data'!AP10</f>
        <v>97.63</v>
      </c>
      <c r="AU16" s="277">
        <f t="shared" ref="AU16:AU47" si="1">IF(OR(AQ16="",NOT($AU$7)),"",$AU$9)</f>
        <v>8.9999999999999993E-3</v>
      </c>
      <c r="AV16" s="995"/>
      <c r="AW16" s="53" t="s">
        <v>107</v>
      </c>
      <c r="AX16" s="83" t="b">
        <v>1</v>
      </c>
      <c r="AZ16" s="68" t="str">
        <f>'USD Market Data'!AR17</f>
        <v>25Y</v>
      </c>
      <c r="BA16" s="79">
        <f>'USD Market Data'!AV17</f>
        <v>3.0198999999999997E-2</v>
      </c>
      <c r="BB16" s="80" t="b">
        <f t="shared" si="0"/>
        <v>1</v>
      </c>
      <c r="BD16" s="53" t="s">
        <v>97</v>
      </c>
      <c r="BE16" s="83" t="s">
        <v>2261</v>
      </c>
      <c r="BF16" s="995" t="s">
        <v>12</v>
      </c>
      <c r="BG16" s="53" t="s">
        <v>122</v>
      </c>
      <c r="BH16" s="28" t="s">
        <v>61</v>
      </c>
      <c r="BJ16" s="223" t="str">
        <f>'USD Market Data'!AX17</f>
        <v>8Y</v>
      </c>
      <c r="BK16" s="263">
        <f>'USD Market Data'!BB17</f>
        <v>1.3500000000000001E-3</v>
      </c>
      <c r="BM16" s="53" t="s">
        <v>122</v>
      </c>
      <c r="BN16" s="28" t="s">
        <v>61</v>
      </c>
      <c r="BP16" s="223" t="str">
        <f>'USD Market Data'!BD17</f>
        <v>8Y</v>
      </c>
      <c r="BQ16" s="263">
        <f>'USD Market Data'!BH17</f>
        <v>9.6250000000000003E-4</v>
      </c>
      <c r="BS16" s="53" t="s">
        <v>122</v>
      </c>
      <c r="BT16" s="28" t="s">
        <v>61</v>
      </c>
      <c r="BV16" s="223" t="str">
        <f>'USD Market Data'!BJ17</f>
        <v>12Y</v>
      </c>
      <c r="BW16" s="263">
        <f>'USD Market Data'!BN17</f>
        <v>2.9250000000000001E-3</v>
      </c>
      <c r="BY16" s="53"/>
      <c r="BZ16" s="83"/>
      <c r="CB16" s="75"/>
      <c r="CC16" s="101"/>
      <c r="CE16" s="84"/>
      <c r="CF16" s="98"/>
      <c r="CH16" s="53" t="s">
        <v>97</v>
      </c>
      <c r="CI16" s="83" t="s">
        <v>2261</v>
      </c>
      <c r="CJ16" t="s">
        <v>12</v>
      </c>
      <c r="CK16" s="53"/>
      <c r="CL16" s="83"/>
      <c r="CN16" s="53"/>
      <c r="CO16" s="83"/>
      <c r="CQ16" s="53"/>
      <c r="CR16" s="83"/>
      <c r="CU16" s="146"/>
      <c r="CV16" s="146"/>
      <c r="CW16" s="146"/>
      <c r="CX16" s="146"/>
      <c r="CY16" s="146"/>
    </row>
    <row r="17" spans="2:103">
      <c r="B17" s="59"/>
      <c r="C17" s="121"/>
      <c r="D17" s="122"/>
      <c r="E17" s="123"/>
      <c r="G17" s="53"/>
      <c r="H17" s="83"/>
      <c r="J17" s="70" t="s">
        <v>926</v>
      </c>
      <c r="K17" s="215" t="s">
        <v>959</v>
      </c>
      <c r="L17" s="203"/>
      <c r="M17" s="223" t="str">
        <f ca="1">'USD Market Data'!B18</f>
        <v>10Y</v>
      </c>
      <c r="N17" s="224">
        <f ca="1">IF(LEFT($M17,2)="FF",'USD Market Data'!F18*100,'USD Market Data'!F18)</f>
        <v>2.5569999999999999E-2</v>
      </c>
      <c r="O17" s="258" t="str">
        <f ca="1">IF(LEFT(M17,2)="FF",_xll.meDateFromTenor(EOMONTH(COB,getFuturesMonth(M17)+2+getYearIncrementMonths(COB,M17))+1,"0D","Following",$K$8),"")</f>
        <v/>
      </c>
      <c r="P17" s="258" t="str">
        <f ca="1">IF(O17="","",EOMONTH(O17,0+getYearIncrementMonths(COB,M17)))</f>
        <v/>
      </c>
      <c r="Q17" s="86" t="b">
        <f t="shared" ref="Q17:Q73" ca="1" si="2">IF(M17="",FALSE,TRUE)</f>
        <v>1</v>
      </c>
      <c r="S17" s="92"/>
      <c r="T17" s="93"/>
      <c r="V17" s="70"/>
      <c r="W17" s="16"/>
      <c r="Y17" s="229" t="str">
        <f ca="1">'USD Market Data'!H18</f>
        <v>15Y</v>
      </c>
      <c r="Z17" s="239">
        <f>IF('USD Market Data'!L18="","",'USD Market Data'!L18)</f>
        <v>4.2437500000000001E-3</v>
      </c>
      <c r="AB17" s="70"/>
      <c r="AC17" s="16"/>
      <c r="AE17" s="229" t="str">
        <f ca="1">'USD Market Data'!N18</f>
        <v>15Y</v>
      </c>
      <c r="AF17" s="230">
        <f>'USD Market Data'!R18</f>
        <v>3.0205000000000003E-2</v>
      </c>
      <c r="AH17" s="12" t="s">
        <v>2230</v>
      </c>
      <c r="AI17" s="83" t="b">
        <v>1</v>
      </c>
      <c r="AK17" s="12" t="s">
        <v>118</v>
      </c>
      <c r="AL17" s="16" t="s">
        <v>210</v>
      </c>
      <c r="AN17" s="51"/>
      <c r="AO17" s="33"/>
      <c r="AQ17" s="267" t="str">
        <f>'USD Market Data'!AM11</f>
        <v>ED2 COMB Comdty</v>
      </c>
      <c r="AR17" s="285">
        <f>IF($AQ17="","",VLOOKUP($AQ17,'Instrument Data'!Data.Swaps.USD,4,0))</f>
        <v>43362</v>
      </c>
      <c r="AS17" s="285">
        <f>IF($AQ17="","",VLOOKUP($AQ17,'Instrument Data'!Data.Swaps.USD,5,0))</f>
        <v>43453</v>
      </c>
      <c r="AT17" s="272">
        <f>'USD Market Data'!AP11</f>
        <v>97.504999999999995</v>
      </c>
      <c r="AU17" s="277">
        <f t="shared" si="1"/>
        <v>8.9999999999999993E-3</v>
      </c>
      <c r="AV17" s="995"/>
      <c r="AW17" s="53" t="s">
        <v>99</v>
      </c>
      <c r="AX17" s="83" t="b">
        <v>1</v>
      </c>
      <c r="AZ17" s="68" t="str">
        <f>'USD Market Data'!AR18</f>
        <v>30Y</v>
      </c>
      <c r="BA17" s="79">
        <f>'USD Market Data'!AV18</f>
        <v>2.9990000000000003E-2</v>
      </c>
      <c r="BB17" s="80" t="b">
        <f t="shared" si="0"/>
        <v>1</v>
      </c>
      <c r="BD17" s="53" t="s">
        <v>242</v>
      </c>
      <c r="BE17" s="83" t="b">
        <v>1</v>
      </c>
      <c r="BG17" s="53" t="s">
        <v>116</v>
      </c>
      <c r="BH17" s="104" t="s">
        <v>22</v>
      </c>
      <c r="BJ17" s="223" t="str">
        <f>'USD Market Data'!AX18</f>
        <v>9Y</v>
      </c>
      <c r="BK17" s="263">
        <f>'USD Market Data'!BB18</f>
        <v>1.3875000000000001E-3</v>
      </c>
      <c r="BM17" s="53" t="s">
        <v>116</v>
      </c>
      <c r="BN17" s="104" t="s">
        <v>51</v>
      </c>
      <c r="BP17" s="223" t="str">
        <f>'USD Market Data'!BD18</f>
        <v>9Y</v>
      </c>
      <c r="BQ17" s="263">
        <f>'USD Market Data'!BH18</f>
        <v>8.9999999999999998E-4</v>
      </c>
      <c r="BS17" s="53" t="s">
        <v>116</v>
      </c>
      <c r="BT17" s="104" t="s">
        <v>250</v>
      </c>
      <c r="BV17" s="223" t="str">
        <f>'USD Market Data'!BJ18</f>
        <v>15Y</v>
      </c>
      <c r="BW17" s="263">
        <f>'USD Market Data'!BN18</f>
        <v>2.9499999999999999E-3</v>
      </c>
      <c r="BY17" s="53"/>
      <c r="BZ17" s="83"/>
      <c r="CB17" s="76"/>
      <c r="CC17" s="102"/>
      <c r="CE17" s="84"/>
      <c r="CF17" s="98"/>
      <c r="CH17" s="53" t="s">
        <v>242</v>
      </c>
      <c r="CI17" s="83" t="b">
        <v>1</v>
      </c>
      <c r="CK17" s="53"/>
      <c r="CL17" s="83"/>
      <c r="CN17" s="53"/>
      <c r="CO17" s="83"/>
      <c r="CQ17" s="53"/>
      <c r="CR17" s="83"/>
      <c r="CU17" s="146"/>
      <c r="CV17" s="146"/>
      <c r="CW17" s="146"/>
      <c r="CX17" s="146"/>
      <c r="CY17" s="146"/>
    </row>
    <row r="18" spans="2:103">
      <c r="G18" s="53"/>
      <c r="H18" s="83"/>
      <c r="J18" s="70" t="s">
        <v>927</v>
      </c>
      <c r="K18" s="215" t="s">
        <v>37</v>
      </c>
      <c r="L18" s="203"/>
      <c r="M18" s="223" t="str">
        <f ca="1">'USD Market Data'!B19</f>
        <v>12Y</v>
      </c>
      <c r="N18" s="224">
        <f ca="1">IF(LEFT($M18,2)="FF",'USD Market Data'!F19*100,'USD Market Data'!F19)</f>
        <v>2.5699999999999997E-2</v>
      </c>
      <c r="O18" s="258" t="str">
        <f ca="1">IF(LEFT(M18,2)="FF",_xll.meDateFromTenor(EOMONTH(COB,getFuturesMonth(M18)+2+getYearIncrementMonths(COB,M18))+1,"0D","Following",$K$8),"")</f>
        <v/>
      </c>
      <c r="P18" s="258" t="str">
        <f ca="1">IF(O18="","",EOMONTH(O18,0+getYearIncrementMonths(COB,M18)))</f>
        <v/>
      </c>
      <c r="Q18" s="86" t="b">
        <f ca="1">IF(M18="",FALSE,TRUE)</f>
        <v>1</v>
      </c>
      <c r="S18" s="92"/>
      <c r="T18" s="93"/>
      <c r="V18" s="53"/>
      <c r="W18" s="16"/>
      <c r="Y18" s="229" t="str">
        <f ca="1">'USD Market Data'!H19</f>
        <v>20Y</v>
      </c>
      <c r="Z18" s="239">
        <f>IF('USD Market Data'!L19="","",'USD Market Data'!L19)</f>
        <v>4.4250000000000001E-3</v>
      </c>
      <c r="AB18" s="53"/>
      <c r="AC18" s="16"/>
      <c r="AE18" s="229" t="str">
        <f ca="1">'USD Market Data'!N19</f>
        <v>20Y</v>
      </c>
      <c r="AF18" s="230">
        <f>'USD Market Data'!R19</f>
        <v>3.032E-2</v>
      </c>
      <c r="AH18" s="12"/>
      <c r="AI18" s="134"/>
      <c r="AK18" s="12" t="s">
        <v>130</v>
      </c>
      <c r="AL18" s="16" t="s">
        <v>41</v>
      </c>
      <c r="AN18" s="51"/>
      <c r="AO18" s="33"/>
      <c r="AQ18" s="268" t="str">
        <f>'USD Market Data'!AM12</f>
        <v>ED3 COMB Comdty</v>
      </c>
      <c r="AR18" s="286">
        <f>IF($AQ18="","",VLOOKUP($AQ18,'Instrument Data'!Data.Swaps.USD,4,0))</f>
        <v>43453</v>
      </c>
      <c r="AS18" s="286">
        <f>IF($AQ18="","",VLOOKUP($AQ18,'Instrument Data'!Data.Swaps.USD,5,0))</f>
        <v>43544</v>
      </c>
      <c r="AT18" s="273">
        <f>'USD Market Data'!AP12</f>
        <v>97.355000000000004</v>
      </c>
      <c r="AU18" s="278">
        <f t="shared" si="1"/>
        <v>8.9999999999999993E-3</v>
      </c>
      <c r="AV18" s="995"/>
      <c r="AW18" s="53" t="s">
        <v>92</v>
      </c>
      <c r="AX18" s="83">
        <v>2</v>
      </c>
      <c r="AZ18" s="68" t="str">
        <f>'USD Market Data'!AR19</f>
        <v>40Y</v>
      </c>
      <c r="BA18" s="79">
        <f>'USD Market Data'!AV19</f>
        <v>2.9590000000000002E-2</v>
      </c>
      <c r="BB18" s="80" t="b">
        <f t="shared" si="0"/>
        <v>1</v>
      </c>
      <c r="BD18" s="53" t="s">
        <v>89</v>
      </c>
      <c r="BE18" s="83" t="s">
        <v>2261</v>
      </c>
      <c r="BF18" s="995" t="s">
        <v>12</v>
      </c>
      <c r="BG18" s="53" t="s">
        <v>110</v>
      </c>
      <c r="BH18" s="16" t="s">
        <v>53</v>
      </c>
      <c r="BJ18" s="223" t="str">
        <f>'USD Market Data'!AX19</f>
        <v>10Y</v>
      </c>
      <c r="BK18" s="263">
        <f>'USD Market Data'!BB19</f>
        <v>1.4250000000000001E-3</v>
      </c>
      <c r="BM18" s="53" t="s">
        <v>110</v>
      </c>
      <c r="BN18" s="16" t="s">
        <v>53</v>
      </c>
      <c r="BP18" s="223" t="str">
        <f>'USD Market Data'!BD19</f>
        <v>10Y</v>
      </c>
      <c r="BQ18" s="263">
        <f>'USD Market Data'!BH19</f>
        <v>8.8000000000000003E-4</v>
      </c>
      <c r="BS18" s="53" t="s">
        <v>110</v>
      </c>
      <c r="BT18" s="16" t="s">
        <v>53</v>
      </c>
      <c r="BV18" s="223" t="str">
        <f>'USD Market Data'!BJ19</f>
        <v>20Y</v>
      </c>
      <c r="BW18" s="263">
        <f>'USD Market Data'!BN19</f>
        <v>2.8999999999999998E-3</v>
      </c>
      <c r="BY18" s="53"/>
      <c r="BZ18" s="83"/>
      <c r="CB18" s="53"/>
      <c r="CC18" s="83"/>
      <c r="CE18" s="84"/>
      <c r="CF18" s="98"/>
      <c r="CH18" s="53" t="s">
        <v>89</v>
      </c>
      <c r="CI18" s="83" t="s">
        <v>2261</v>
      </c>
      <c r="CJ18" t="s">
        <v>12</v>
      </c>
      <c r="CK18" s="53"/>
      <c r="CL18" s="83"/>
      <c r="CN18" s="53"/>
      <c r="CO18" s="83"/>
      <c r="CQ18" s="53"/>
      <c r="CR18" s="83"/>
      <c r="CU18" s="146"/>
      <c r="CV18" s="146"/>
      <c r="CW18" s="146"/>
      <c r="CX18" s="146"/>
      <c r="CY18" s="146"/>
    </row>
    <row r="19" spans="2:103">
      <c r="B19" s="2" t="s">
        <v>345</v>
      </c>
      <c r="C19" s="9"/>
      <c r="G19" s="53"/>
      <c r="H19" s="83"/>
      <c r="J19" s="53" t="s">
        <v>1448</v>
      </c>
      <c r="K19" s="215" t="s">
        <v>1449</v>
      </c>
      <c r="L19" s="203"/>
      <c r="M19" s="223" t="str">
        <f ca="1">'USD Market Data'!B20</f>
        <v>15Y</v>
      </c>
      <c r="N19" s="224">
        <f ca="1">IF(LEFT($M19,2)="FF",'USD Market Data'!F20*100,'USD Market Data'!F20)</f>
        <v>2.5729999999999999E-2</v>
      </c>
      <c r="O19" s="258" t="str">
        <f ca="1">IF(LEFT(M19,2)="FF",_xll.meDateFromTenor(EOMONTH(COB,getFuturesMonth(M19)+2+getYearIncrementMonths(COB,M19))+1,"0D","Following",$K$8),"")</f>
        <v/>
      </c>
      <c r="P19" s="258" t="str">
        <f ca="1">IF(O19="","",EOMONTH(O19,0+getYearIncrementMonths(COB,M19)))</f>
        <v/>
      </c>
      <c r="Q19" s="86" t="b">
        <f t="shared" ca="1" si="2"/>
        <v>1</v>
      </c>
      <c r="S19" s="92"/>
      <c r="T19" s="93"/>
      <c r="V19" s="53"/>
      <c r="W19" s="16"/>
      <c r="Y19" s="229" t="str">
        <f ca="1">'USD Market Data'!H20</f>
        <v>25Y</v>
      </c>
      <c r="Z19" s="239">
        <f>IF('USD Market Data'!L20="","",'USD Market Data'!L20)</f>
        <v>4.5125E-3</v>
      </c>
      <c r="AB19" s="53"/>
      <c r="AC19" s="16"/>
      <c r="AE19" s="229" t="str">
        <f ca="1">'USD Market Data'!N20</f>
        <v>25Y</v>
      </c>
      <c r="AF19" s="230">
        <f>'USD Market Data'!R20</f>
        <v>3.0198999999999997E-2</v>
      </c>
      <c r="AH19" s="12"/>
      <c r="AI19" s="134"/>
      <c r="AK19" s="54" t="s">
        <v>111</v>
      </c>
      <c r="AL19" s="16" t="s">
        <v>215</v>
      </c>
      <c r="AN19" s="51"/>
      <c r="AO19" s="33"/>
      <c r="AQ19" s="268" t="str">
        <f>'USD Market Data'!AM13</f>
        <v>ED4  COMB Comdty</v>
      </c>
      <c r="AR19" s="286">
        <f>IF($AQ19="","",VLOOKUP($AQ19,'Instrument Data'!Data.Swaps.USD,4,0))</f>
        <v>43544</v>
      </c>
      <c r="AS19" s="286">
        <f>IF($AQ19="","",VLOOKUP($AQ19,'Instrument Data'!Data.Swaps.USD,5,0))</f>
        <v>43635</v>
      </c>
      <c r="AT19" s="273">
        <f>'USD Market Data'!AP13</f>
        <v>97.245000000000005</v>
      </c>
      <c r="AU19" s="278">
        <f t="shared" si="1"/>
        <v>8.9999999999999993E-3</v>
      </c>
      <c r="AV19" s="995"/>
      <c r="AW19" s="53" t="s">
        <v>88</v>
      </c>
      <c r="AX19" s="83" t="s">
        <v>38</v>
      </c>
      <c r="AZ19" s="68" t="str">
        <f>'USD Market Data'!AR20</f>
        <v/>
      </c>
      <c r="BA19" s="79" t="str">
        <f>'USD Market Data'!AV20</f>
        <v/>
      </c>
      <c r="BB19" s="80" t="b">
        <f t="shared" si="0"/>
        <v>0</v>
      </c>
      <c r="BD19" s="53" t="s">
        <v>79</v>
      </c>
      <c r="BE19" s="83" t="s">
        <v>189</v>
      </c>
      <c r="BG19" s="53" t="s">
        <v>105</v>
      </c>
      <c r="BH19" s="32" t="s">
        <v>112</v>
      </c>
      <c r="BJ19" s="223" t="str">
        <f>'USD Market Data'!AX20</f>
        <v>12Y</v>
      </c>
      <c r="BK19" s="263">
        <f>'USD Market Data'!BB20</f>
        <v>1.4875000000000001E-3</v>
      </c>
      <c r="BM19" s="53" t="s">
        <v>105</v>
      </c>
      <c r="BN19" s="32" t="s">
        <v>112</v>
      </c>
      <c r="BP19" s="223" t="str">
        <f>'USD Market Data'!BD20</f>
        <v>12Y</v>
      </c>
      <c r="BQ19" s="263">
        <f>'USD Market Data'!BH20</f>
        <v>8.0000000000000004E-4</v>
      </c>
      <c r="BS19" s="53" t="s">
        <v>105</v>
      </c>
      <c r="BT19" s="32" t="s">
        <v>112</v>
      </c>
      <c r="BV19" s="223" t="str">
        <f>'USD Market Data'!BJ20</f>
        <v>25Y</v>
      </c>
      <c r="BW19" s="263">
        <f>'USD Market Data'!BN20</f>
        <v>2.9624999999999999E-3</v>
      </c>
      <c r="BY19" s="53"/>
      <c r="BZ19" s="83"/>
      <c r="CB19" s="53"/>
      <c r="CC19" s="83"/>
      <c r="CE19" s="84"/>
      <c r="CF19" s="98"/>
      <c r="CH19" s="53" t="s">
        <v>79</v>
      </c>
      <c r="CI19" s="83" t="s">
        <v>189</v>
      </c>
      <c r="CK19" s="53"/>
      <c r="CL19" s="83"/>
      <c r="CN19" s="53"/>
      <c r="CO19" s="83"/>
      <c r="CQ19" s="53"/>
      <c r="CR19" s="83"/>
      <c r="CU19" s="146"/>
      <c r="CV19" s="146"/>
      <c r="CW19" s="146"/>
      <c r="CX19" s="146"/>
      <c r="CY19" s="146"/>
    </row>
    <row r="20" spans="2:103">
      <c r="B20" s="52" t="s">
        <v>189</v>
      </c>
      <c r="C20" s="112" t="s">
        <v>307</v>
      </c>
      <c r="D20" s="113"/>
      <c r="E20" s="114"/>
      <c r="G20" s="53"/>
      <c r="H20" s="83"/>
      <c r="J20" s="53" t="s">
        <v>1754</v>
      </c>
      <c r="K20" s="16" t="b">
        <v>1</v>
      </c>
      <c r="L20" s="203"/>
      <c r="M20" s="223" t="str">
        <f ca="1">'USD Market Data'!B21</f>
        <v>20Y</v>
      </c>
      <c r="N20" s="224">
        <f ca="1">IF(LEFT($M20,2)="FF",'USD Market Data'!F21*100,'USD Market Data'!F21)</f>
        <v>2.5670000000000002E-2</v>
      </c>
      <c r="O20" s="258" t="str">
        <f ca="1">IF(LEFT(M20,2)="FF",_xll.meDateFromTenor(EOMONTH(COB,getFuturesMonth(M20)+2+getYearIncrementMonths(COB,M20))+1,"0D","Following",$K$8),"")</f>
        <v/>
      </c>
      <c r="P20" s="258" t="str">
        <f ca="1">IF(O20="","",EOMONTH(O20,0+getYearIncrementMonths(COB,M20)))</f>
        <v/>
      </c>
      <c r="Q20" s="86" t="b">
        <f t="shared" ca="1" si="2"/>
        <v>1</v>
      </c>
      <c r="S20" s="92"/>
      <c r="T20" s="93"/>
      <c r="V20" s="53"/>
      <c r="W20" s="14"/>
      <c r="Y20" s="229" t="str">
        <f ca="1">'USD Market Data'!H21</f>
        <v>30Y</v>
      </c>
      <c r="Z20" s="239">
        <f>IF('USD Market Data'!L21="","",'USD Market Data'!L21)</f>
        <v>4.5500000000000002E-3</v>
      </c>
      <c r="AB20" s="53"/>
      <c r="AC20" s="14"/>
      <c r="AE20" s="229" t="str">
        <f ca="1">'USD Market Data'!N21</f>
        <v>30Y</v>
      </c>
      <c r="AF20" s="230">
        <f>'USD Market Data'!R21</f>
        <v>2.9990000000000003E-2</v>
      </c>
      <c r="AH20" s="12"/>
      <c r="AI20" s="134"/>
      <c r="AK20" s="54" t="s">
        <v>119</v>
      </c>
      <c r="AL20" s="16" t="b">
        <v>1</v>
      </c>
      <c r="AN20" s="51"/>
      <c r="AO20" s="33"/>
      <c r="AQ20" s="268" t="str">
        <f>'USD Market Data'!AM14</f>
        <v>ED5  COMB Comdty</v>
      </c>
      <c r="AR20" s="286">
        <f>IF($AQ20="","",VLOOKUP($AQ20,'Instrument Data'!Data.Swaps.USD,4,0))</f>
        <v>43635</v>
      </c>
      <c r="AS20" s="286">
        <f>IF($AQ20="","",VLOOKUP($AQ20,'Instrument Data'!Data.Swaps.USD,5,0))</f>
        <v>43726</v>
      </c>
      <c r="AT20" s="273">
        <f>'USD Market Data'!AP14</f>
        <v>97.144999999999996</v>
      </c>
      <c r="AU20" s="278">
        <f t="shared" si="1"/>
        <v>8.9999999999999993E-3</v>
      </c>
      <c r="AV20" s="995"/>
      <c r="AW20" s="53" t="s">
        <v>32</v>
      </c>
      <c r="AX20" s="83" t="b">
        <v>1</v>
      </c>
      <c r="AZ20" s="68" t="str">
        <f>'USD Market Data'!AR21</f>
        <v/>
      </c>
      <c r="BA20" s="79" t="str">
        <f>'USD Market Data'!AV21</f>
        <v/>
      </c>
      <c r="BB20" s="80" t="b">
        <f t="shared" si="0"/>
        <v>0</v>
      </c>
      <c r="BD20" s="53" t="s">
        <v>2260</v>
      </c>
      <c r="BE20" s="83" t="b">
        <v>1</v>
      </c>
      <c r="BG20" s="53" t="s">
        <v>102</v>
      </c>
      <c r="BH20" s="16" t="s">
        <v>46</v>
      </c>
      <c r="BJ20" s="223" t="str">
        <f>'USD Market Data'!AX21</f>
        <v>15Y</v>
      </c>
      <c r="BK20" s="263">
        <f>'USD Market Data'!BB21</f>
        <v>1.5250000000000001E-3</v>
      </c>
      <c r="BM20" s="53" t="s">
        <v>102</v>
      </c>
      <c r="BN20" s="16" t="s">
        <v>46</v>
      </c>
      <c r="BP20" s="223" t="str">
        <f>'USD Market Data'!BD21</f>
        <v>15Y</v>
      </c>
      <c r="BQ20" s="263">
        <f>'USD Market Data'!BH21</f>
        <v>7.8750000000000001E-4</v>
      </c>
      <c r="BS20" s="53" t="s">
        <v>102</v>
      </c>
      <c r="BT20" s="16" t="s">
        <v>46</v>
      </c>
      <c r="BV20" s="223" t="str">
        <f>'USD Market Data'!BJ21</f>
        <v>30Y</v>
      </c>
      <c r="BW20" s="263">
        <f>'USD Market Data'!BN21</f>
        <v>3.0000000000000001E-3</v>
      </c>
      <c r="BY20" s="53"/>
      <c r="BZ20" s="83"/>
      <c r="CB20" s="53"/>
      <c r="CC20" s="83"/>
      <c r="CE20" s="84"/>
      <c r="CF20" s="98"/>
      <c r="CH20" s="53"/>
      <c r="CI20" s="83"/>
      <c r="CK20" s="53"/>
      <c r="CL20" s="83"/>
      <c r="CN20" s="53"/>
      <c r="CO20" s="83"/>
      <c r="CQ20" s="53"/>
      <c r="CR20" s="83"/>
      <c r="CU20" s="146"/>
      <c r="CV20" s="146"/>
      <c r="CW20" s="146"/>
      <c r="CX20" s="146"/>
      <c r="CY20" s="146"/>
    </row>
    <row r="21" spans="2:103">
      <c r="B21" s="53" t="s">
        <v>61</v>
      </c>
      <c r="C21" s="115" t="s">
        <v>9</v>
      </c>
      <c r="D21" s="116"/>
      <c r="E21" s="117"/>
      <c r="G21" s="53"/>
      <c r="H21" s="83"/>
      <c r="J21" s="12" t="s">
        <v>2077</v>
      </c>
      <c r="K21" s="83" t="s">
        <v>2078</v>
      </c>
      <c r="L21" s="203"/>
      <c r="M21" s="223" t="str">
        <f ca="1">'USD Market Data'!B22</f>
        <v>25Y</v>
      </c>
      <c r="N21" s="224">
        <f ca="1">IF(LEFT($M21,2)="FF",'USD Market Data'!F22*100,'USD Market Data'!F22)</f>
        <v>2.5610000000000001E-2</v>
      </c>
      <c r="O21" s="258" t="str">
        <f ca="1">IF(LEFT(M21,2)="FF",_xll.meDateFromTenor(EOMONTH(COB,getFuturesMonth(M21)+2+getYearIncrementMonths(COB,M21))+1,"0D","Following",$K$8),"")</f>
        <v/>
      </c>
      <c r="P21" s="258" t="str">
        <f ca="1">IF(O21="","",EOMONTH(O21,0+getYearIncrementMonths(COB,M21)))</f>
        <v/>
      </c>
      <c r="Q21" s="86" t="b">
        <f t="shared" ca="1" si="2"/>
        <v>1</v>
      </c>
      <c r="S21" s="92"/>
      <c r="T21" s="93"/>
      <c r="V21" s="53"/>
      <c r="W21" s="14"/>
      <c r="Y21" s="229" t="str">
        <f>'USD Market Data'!H22</f>
        <v/>
      </c>
      <c r="Z21" s="239" t="str">
        <f>IF('USD Market Data'!L22="","",'USD Market Data'!L22)</f>
        <v/>
      </c>
      <c r="AB21" s="53"/>
      <c r="AC21" s="14"/>
      <c r="AE21" s="229" t="str">
        <f>'USD Market Data'!N22</f>
        <v/>
      </c>
      <c r="AF21" s="230" t="str">
        <f>'USD Market Data'!R22</f>
        <v/>
      </c>
      <c r="AH21" s="12"/>
      <c r="AI21" s="134"/>
      <c r="AJ21" t="s">
        <v>12</v>
      </c>
      <c r="AK21" s="54"/>
      <c r="AL21" s="16"/>
      <c r="AN21" s="51"/>
      <c r="AO21" s="33"/>
      <c r="AQ21" s="268" t="str">
        <f>'USD Market Data'!AM15</f>
        <v>ED6  COMB Comdty</v>
      </c>
      <c r="AR21" s="286">
        <f>IF($AQ21="","",VLOOKUP($AQ21,'Instrument Data'!Data.Swaps.USD,4,0))</f>
        <v>43726</v>
      </c>
      <c r="AS21" s="286">
        <f>IF($AQ21="","",VLOOKUP($AQ21,'Instrument Data'!Data.Swaps.USD,5,0))</f>
        <v>43817</v>
      </c>
      <c r="AT21" s="273">
        <f>'USD Market Data'!AP15</f>
        <v>97.08</v>
      </c>
      <c r="AU21" s="278">
        <f t="shared" si="1"/>
        <v>8.9999999999999993E-3</v>
      </c>
      <c r="AV21" s="995"/>
      <c r="AW21" s="53" t="s">
        <v>96</v>
      </c>
      <c r="AX21" s="83" t="s">
        <v>95</v>
      </c>
      <c r="AZ21" s="68" t="str">
        <f>'USD Market Data'!AR22</f>
        <v/>
      </c>
      <c r="BA21" s="79" t="str">
        <f>'USD Market Data'!AV22</f>
        <v/>
      </c>
      <c r="BB21" s="80" t="b">
        <f t="shared" si="0"/>
        <v>0</v>
      </c>
      <c r="BD21" s="53"/>
      <c r="BE21" s="83"/>
      <c r="BG21" s="53" t="s">
        <v>98</v>
      </c>
      <c r="BH21" s="16" t="s">
        <v>44</v>
      </c>
      <c r="BJ21" s="223" t="str">
        <f>'USD Market Data'!AX22</f>
        <v>20Y</v>
      </c>
      <c r="BK21" s="263">
        <f>'USD Market Data'!BB22</f>
        <v>1.5125E-3</v>
      </c>
      <c r="BM21" s="53" t="s">
        <v>98</v>
      </c>
      <c r="BN21" s="16" t="s">
        <v>44</v>
      </c>
      <c r="BP21" s="223" t="str">
        <f>'USD Market Data'!BD22</f>
        <v>20Y</v>
      </c>
      <c r="BQ21" s="263">
        <f>'USD Market Data'!BH22</f>
        <v>8.7500000000000002E-4</v>
      </c>
      <c r="BS21" s="53" t="s">
        <v>98</v>
      </c>
      <c r="BT21" s="16" t="s">
        <v>44</v>
      </c>
      <c r="BV21" s="223" t="str">
        <f>'USD Market Data'!BJ22</f>
        <v/>
      </c>
      <c r="BW21" s="263" t="str">
        <f>'USD Market Data'!BN22</f>
        <v/>
      </c>
      <c r="BY21" s="53"/>
      <c r="BZ21" s="83"/>
      <c r="CB21" s="53"/>
      <c r="CC21" s="83"/>
      <c r="CE21" s="84"/>
      <c r="CF21" s="98"/>
      <c r="CH21" s="53"/>
      <c r="CI21" s="83"/>
      <c r="CK21" s="53"/>
      <c r="CL21" s="83"/>
      <c r="CN21" s="53"/>
      <c r="CO21" s="83"/>
      <c r="CQ21" s="53"/>
      <c r="CR21" s="83"/>
      <c r="CU21" s="146"/>
      <c r="CV21" s="146"/>
      <c r="CW21" s="146"/>
      <c r="CX21" s="146"/>
      <c r="CY21" s="146"/>
    </row>
    <row r="22" spans="2:103">
      <c r="B22" s="53" t="s">
        <v>194</v>
      </c>
      <c r="C22" s="118" t="s">
        <v>290</v>
      </c>
      <c r="D22" s="119"/>
      <c r="E22" s="120"/>
      <c r="G22" s="53"/>
      <c r="H22" s="16"/>
      <c r="J22" s="12"/>
      <c r="K22" s="83"/>
      <c r="L22" s="203"/>
      <c r="M22" s="223" t="str">
        <f ca="1">'USD Market Data'!B23</f>
        <v>30Y</v>
      </c>
      <c r="N22" s="224">
        <f ca="1">IF(LEFT($M22,2)="FF",'USD Market Data'!F23*100,'USD Market Data'!F23)</f>
        <v>2.5310000000000003E-2</v>
      </c>
      <c r="O22" s="258" t="str">
        <f ca="1">IF(LEFT(M22,2)="FF",_xll.meDateFromTenor(EOMONTH(COB,getFuturesMonth(M22)+2+getYearIncrementMonths(COB,M22))+1,"0D","Following",$K$8),"")</f>
        <v/>
      </c>
      <c r="P22" s="258" t="str">
        <f ca="1">IF(O22="","",EOMONTH(O22,0+getYearIncrementMonths(COB,M22)))</f>
        <v/>
      </c>
      <c r="Q22" s="86" t="b">
        <f t="shared" ca="1" si="2"/>
        <v>1</v>
      </c>
      <c r="S22" s="92"/>
      <c r="T22" s="93"/>
      <c r="V22" s="53"/>
      <c r="W22" s="16"/>
      <c r="Y22" s="229" t="str">
        <f>'USD Market Data'!H23</f>
        <v/>
      </c>
      <c r="Z22" s="239" t="str">
        <f>IF('USD Market Data'!L23="","",'USD Market Data'!L23)</f>
        <v/>
      </c>
      <c r="AB22" s="53"/>
      <c r="AC22" s="16"/>
      <c r="AE22" s="229" t="str">
        <f>'USD Market Data'!N23</f>
        <v/>
      </c>
      <c r="AF22" s="230" t="str">
        <f>'USD Market Data'!R23</f>
        <v/>
      </c>
      <c r="AH22" s="12"/>
      <c r="AI22" s="83"/>
      <c r="AK22" s="54"/>
      <c r="AL22" s="16"/>
      <c r="AN22" s="51"/>
      <c r="AO22" s="33"/>
      <c r="AQ22" s="268" t="str">
        <f>'USD Market Data'!AM16</f>
        <v>ED7  COMB Comdty</v>
      </c>
      <c r="AR22" s="286">
        <f>IF($AQ22="","",VLOOKUP($AQ22,'Instrument Data'!Data.Swaps.USD,4,0))</f>
        <v>43817</v>
      </c>
      <c r="AS22" s="286">
        <f>IF($AQ22="","",VLOOKUP($AQ22,'Instrument Data'!Data.Swaps.USD,5,0))</f>
        <v>43908</v>
      </c>
      <c r="AT22" s="273">
        <f>'USD Market Data'!AP16</f>
        <v>97.025000000000006</v>
      </c>
      <c r="AU22" s="278">
        <f t="shared" si="1"/>
        <v>8.9999999999999993E-3</v>
      </c>
      <c r="AV22" s="995"/>
      <c r="AW22" s="53"/>
      <c r="AX22" s="83"/>
      <c r="AZ22" s="68" t="str">
        <f>'USD Market Data'!AR23</f>
        <v/>
      </c>
      <c r="BA22" s="79" t="str">
        <f>'USD Market Data'!AV23</f>
        <v/>
      </c>
      <c r="BB22" s="80" t="b">
        <f t="shared" si="0"/>
        <v>0</v>
      </c>
      <c r="BD22" s="53"/>
      <c r="BE22" s="16"/>
      <c r="BG22" s="53" t="s">
        <v>93</v>
      </c>
      <c r="BH22" s="16" t="s">
        <v>41</v>
      </c>
      <c r="BJ22" s="223" t="str">
        <f>'USD Market Data'!AX23</f>
        <v>25Y</v>
      </c>
      <c r="BK22" s="263">
        <f>'USD Market Data'!BB23</f>
        <v>1.4499999999999999E-3</v>
      </c>
      <c r="BM22" s="53" t="s">
        <v>93</v>
      </c>
      <c r="BN22" s="16" t="s">
        <v>41</v>
      </c>
      <c r="BP22" s="223" t="str">
        <f>'USD Market Data'!BD23</f>
        <v>25Y</v>
      </c>
      <c r="BQ22" s="263">
        <f>'USD Market Data'!BH23</f>
        <v>9.7499999999999996E-4</v>
      </c>
      <c r="BS22" s="53" t="s">
        <v>93</v>
      </c>
      <c r="BT22" s="16" t="s">
        <v>41</v>
      </c>
      <c r="BV22" s="223" t="str">
        <f>'USD Market Data'!BJ23</f>
        <v/>
      </c>
      <c r="BW22" s="263" t="str">
        <f>'USD Market Data'!BN23</f>
        <v/>
      </c>
      <c r="BY22" s="53"/>
      <c r="BZ22" s="83"/>
      <c r="CB22" s="53"/>
      <c r="CC22" s="83"/>
      <c r="CE22" s="84"/>
      <c r="CF22" s="98"/>
      <c r="CH22" s="53"/>
      <c r="CI22" s="83"/>
      <c r="CK22" s="53"/>
      <c r="CL22" s="83"/>
      <c r="CN22" s="53"/>
      <c r="CO22" s="83"/>
      <c r="CQ22" s="53"/>
      <c r="CR22" s="83"/>
      <c r="CU22" s="146"/>
      <c r="CV22" s="146"/>
      <c r="CW22" s="146"/>
      <c r="CX22" s="146"/>
      <c r="CY22" s="146"/>
    </row>
    <row r="23" spans="2:103">
      <c r="B23" s="53" t="s">
        <v>195</v>
      </c>
      <c r="C23" s="118" t="s">
        <v>288</v>
      </c>
      <c r="D23" s="119"/>
      <c r="E23" s="120"/>
      <c r="G23" s="12"/>
      <c r="H23" s="27"/>
      <c r="J23" s="12"/>
      <c r="K23" s="83"/>
      <c r="L23" s="203"/>
      <c r="M23" s="223" t="str">
        <f>'USD Market Data'!B24</f>
        <v/>
      </c>
      <c r="N23" s="224" t="str">
        <f>IF(LEFT($M23,2)="FF",'USD Market Data'!F24*100,'USD Market Data'!F24)</f>
        <v/>
      </c>
      <c r="O23" s="258" t="str">
        <f>IF(LEFT(M23,2)="FF",_xll.meDateFromTenor(EOMONTH(COB,getFuturesMonth(M23)+2+getYearIncrementMonths(COB,M23))+1,"0D","Following",$K$8),"")</f>
        <v/>
      </c>
      <c r="P23" s="258" t="str">
        <f>IF(O23="","",EOMONTH(O23,0+getYearIncrementMonths(COB,M23)))</f>
        <v/>
      </c>
      <c r="Q23" s="86" t="b">
        <f t="shared" si="2"/>
        <v>0</v>
      </c>
      <c r="S23" s="92"/>
      <c r="T23" s="93"/>
      <c r="V23" s="12"/>
      <c r="W23" s="27"/>
      <c r="Y23" s="229" t="str">
        <f>'USD Market Data'!H24</f>
        <v/>
      </c>
      <c r="Z23" s="239" t="str">
        <f>IF('USD Market Data'!L24="","",'USD Market Data'!L24)</f>
        <v/>
      </c>
      <c r="AB23" s="12"/>
      <c r="AC23" s="27"/>
      <c r="AE23" s="229" t="str">
        <f>'USD Market Data'!N24</f>
        <v/>
      </c>
      <c r="AF23" s="230" t="str">
        <f>'USD Market Data'!R24</f>
        <v/>
      </c>
      <c r="AH23" s="12"/>
      <c r="AI23" s="83"/>
      <c r="AK23" s="54"/>
      <c r="AL23" s="16"/>
      <c r="AN23" s="51"/>
      <c r="AO23" s="33"/>
      <c r="AQ23" s="268" t="str">
        <f>'USD Market Data'!AM17</f>
        <v>ED8  COMB Comdty</v>
      </c>
      <c r="AR23" s="286">
        <f>IF($AQ23="","",VLOOKUP($AQ23,'Instrument Data'!Data.Swaps.USD,4,0))</f>
        <v>43908</v>
      </c>
      <c r="AS23" s="286">
        <f>IF($AQ23="","",VLOOKUP($AQ23,'Instrument Data'!Data.Swaps.USD,5,0))</f>
        <v>43999</v>
      </c>
      <c r="AT23" s="273">
        <f>'USD Market Data'!AP17</f>
        <v>97.004999999999995</v>
      </c>
      <c r="AU23" s="278">
        <f t="shared" si="1"/>
        <v>8.9999999999999993E-3</v>
      </c>
      <c r="AV23" s="995"/>
      <c r="AW23" s="53"/>
      <c r="AX23" s="83"/>
      <c r="AZ23" s="68" t="str">
        <f>'USD Market Data'!AR24</f>
        <v/>
      </c>
      <c r="BA23" s="79" t="str">
        <f>'USD Market Data'!AV24</f>
        <v/>
      </c>
      <c r="BB23" s="80" t="b">
        <f t="shared" si="0"/>
        <v>0</v>
      </c>
      <c r="BD23" s="12"/>
      <c r="BE23" s="27"/>
      <c r="BG23" s="76" t="s">
        <v>90</v>
      </c>
      <c r="BH23" s="19" t="s">
        <v>38</v>
      </c>
      <c r="BJ23" s="223" t="str">
        <f>'USD Market Data'!AX24</f>
        <v>30Y</v>
      </c>
      <c r="BK23" s="263">
        <f>'USD Market Data'!BB24</f>
        <v>1.3875000000000001E-3</v>
      </c>
      <c r="BM23" s="76" t="s">
        <v>90</v>
      </c>
      <c r="BN23" s="19" t="s">
        <v>38</v>
      </c>
      <c r="BP23" s="223" t="str">
        <f>'USD Market Data'!BD24</f>
        <v>30Y</v>
      </c>
      <c r="BQ23" s="263">
        <f>'USD Market Data'!BH24</f>
        <v>1.075E-3</v>
      </c>
      <c r="BS23" s="76" t="s">
        <v>90</v>
      </c>
      <c r="BT23" s="19" t="s">
        <v>38</v>
      </c>
      <c r="BV23" s="223" t="str">
        <f>'USD Market Data'!BJ24</f>
        <v/>
      </c>
      <c r="BW23" s="263" t="str">
        <f>'USD Market Data'!BN24</f>
        <v/>
      </c>
      <c r="BY23" s="12"/>
      <c r="BZ23" s="83"/>
      <c r="CB23" s="76"/>
      <c r="CC23" s="19"/>
      <c r="CE23" s="84"/>
      <c r="CF23" s="98"/>
      <c r="CH23" s="12"/>
      <c r="CI23" s="83"/>
      <c r="CK23" s="53"/>
      <c r="CL23" s="83"/>
      <c r="CN23" s="53"/>
      <c r="CO23" s="83"/>
      <c r="CQ23" s="53"/>
      <c r="CR23" s="83"/>
      <c r="CU23" s="146"/>
      <c r="CV23" s="146"/>
      <c r="CW23" s="146"/>
      <c r="CX23" s="146"/>
      <c r="CY23" s="146"/>
    </row>
    <row r="24" spans="2:103">
      <c r="B24" s="135" t="s">
        <v>268</v>
      </c>
      <c r="C24" s="118" t="s">
        <v>289</v>
      </c>
      <c r="D24" s="119"/>
      <c r="E24" s="120"/>
      <c r="G24" s="13"/>
      <c r="H24" s="29"/>
      <c r="J24" s="13"/>
      <c r="K24" s="29"/>
      <c r="L24" s="203"/>
      <c r="M24" s="223" t="str">
        <f>'USD Market Data'!B25</f>
        <v/>
      </c>
      <c r="N24" s="224" t="str">
        <f>IF(LEFT($M24,2)="FF",'USD Market Data'!F25*100,'USD Market Data'!F25)</f>
        <v/>
      </c>
      <c r="O24" s="258" t="str">
        <f>IF(LEFT(M24,2)="FF",_xll.meDateFromTenor(EOMONTH(COB,getFuturesMonth(M24)+2+getYearIncrementMonths(COB,M24))+1,"0D","Following",$K$8),"")</f>
        <v/>
      </c>
      <c r="P24" s="258" t="str">
        <f>IF(O24="","",EOMONTH(O24,0+getYearIncrementMonths(COB,M24)))</f>
        <v/>
      </c>
      <c r="Q24" s="86" t="b">
        <f t="shared" si="2"/>
        <v>0</v>
      </c>
      <c r="S24" s="92"/>
      <c r="T24" s="93"/>
      <c r="V24" s="13"/>
      <c r="W24" s="29"/>
      <c r="Y24" s="229" t="str">
        <f>'USD Market Data'!H25</f>
        <v/>
      </c>
      <c r="Z24" s="239" t="str">
        <f>IF('USD Market Data'!L25="","",'USD Market Data'!L25)</f>
        <v/>
      </c>
      <c r="AB24" s="13"/>
      <c r="AC24" s="29"/>
      <c r="AE24" s="229" t="str">
        <f>'USD Market Data'!N25</f>
        <v/>
      </c>
      <c r="AF24" s="230" t="str">
        <f>'USD Market Data'!R25</f>
        <v/>
      </c>
      <c r="AH24" s="53"/>
      <c r="AI24" s="83"/>
      <c r="AK24" s="54"/>
      <c r="AL24" s="16"/>
      <c r="AN24" s="51"/>
      <c r="AO24" s="33"/>
      <c r="AQ24" s="268" t="str">
        <f>'USD Market Data'!AM18</f>
        <v>ED9 COMB Comdty</v>
      </c>
      <c r="AR24" s="286">
        <f>IF($AQ24="","",VLOOKUP($AQ24,'Instrument Data'!Data.Swaps.USD,4,0))</f>
        <v>43999</v>
      </c>
      <c r="AS24" s="286">
        <f>IF($AQ24="","",VLOOKUP($AQ24,'Instrument Data'!Data.Swaps.USD,5,0))</f>
        <v>44090</v>
      </c>
      <c r="AT24" s="273">
        <f>'USD Market Data'!AP18</f>
        <v>96.990000000000009</v>
      </c>
      <c r="AU24" s="278">
        <f t="shared" si="1"/>
        <v>8.9999999999999993E-3</v>
      </c>
      <c r="AV24" s="995"/>
      <c r="AW24" s="53"/>
      <c r="AX24" s="83"/>
      <c r="AZ24" s="68" t="str">
        <f>'USD Market Data'!AR25</f>
        <v/>
      </c>
      <c r="BA24" s="79" t="str">
        <f>'USD Market Data'!AV25</f>
        <v/>
      </c>
      <c r="BB24" s="80" t="b">
        <f t="shared" si="0"/>
        <v>0</v>
      </c>
      <c r="BD24" s="12"/>
      <c r="BE24" s="27"/>
      <c r="BG24" s="75" t="s">
        <v>85</v>
      </c>
      <c r="BH24" s="97" t="s">
        <v>112</v>
      </c>
      <c r="BJ24" s="223" t="str">
        <f>'USD Market Data'!AX25</f>
        <v/>
      </c>
      <c r="BK24" s="263" t="str">
        <f>'USD Market Data'!BB25</f>
        <v/>
      </c>
      <c r="BM24" s="75" t="s">
        <v>85</v>
      </c>
      <c r="BN24" s="97" t="s">
        <v>112</v>
      </c>
      <c r="BP24" s="223" t="str">
        <f>'USD Market Data'!BD25</f>
        <v/>
      </c>
      <c r="BQ24" s="263" t="str">
        <f>'USD Market Data'!BH25</f>
        <v/>
      </c>
      <c r="BS24" s="75" t="s">
        <v>85</v>
      </c>
      <c r="BT24" s="97" t="s">
        <v>112</v>
      </c>
      <c r="BV24" s="223" t="str">
        <f>'USD Market Data'!BJ25</f>
        <v/>
      </c>
      <c r="BW24" s="263" t="str">
        <f>'USD Market Data'!BN25</f>
        <v/>
      </c>
      <c r="BY24" s="12"/>
      <c r="BZ24" s="83"/>
      <c r="CB24" s="53"/>
      <c r="CC24" s="83"/>
      <c r="CE24" s="84"/>
      <c r="CF24" s="98"/>
      <c r="CH24" s="12"/>
      <c r="CI24" s="83"/>
      <c r="CK24" s="53"/>
      <c r="CL24" s="83"/>
      <c r="CN24" s="53"/>
      <c r="CO24" s="83"/>
      <c r="CQ24" s="53"/>
      <c r="CR24" s="83"/>
      <c r="CU24" s="146"/>
      <c r="CV24" s="146"/>
      <c r="CW24" s="146"/>
      <c r="CX24" s="146"/>
      <c r="CY24" s="146"/>
    </row>
    <row r="25" spans="2:103">
      <c r="B25" s="53" t="s">
        <v>196</v>
      </c>
      <c r="C25" s="118" t="s">
        <v>309</v>
      </c>
      <c r="D25" s="119"/>
      <c r="E25" s="120"/>
      <c r="L25" s="203"/>
      <c r="M25" s="223" t="str">
        <f>'USD Market Data'!B26</f>
        <v/>
      </c>
      <c r="N25" s="224" t="str">
        <f>IF(LEFT($M25,2)="FF",'USD Market Data'!F26*100,'USD Market Data'!F26)</f>
        <v/>
      </c>
      <c r="O25" s="258" t="str">
        <f>IF(LEFT(M25,2)="FF",_xll.meDateFromTenor(EOMONTH(COB,getFuturesMonth(M25)+2+getYearIncrementMonths(COB,M25))+1,"0D","Following",$K$8),"")</f>
        <v/>
      </c>
      <c r="P25" s="258" t="str">
        <f>IF(O25="","",EOMONTH(O25,0+getYearIncrementMonths(COB,M25)))</f>
        <v/>
      </c>
      <c r="Q25" s="86" t="b">
        <f t="shared" si="2"/>
        <v>0</v>
      </c>
      <c r="S25" s="92"/>
      <c r="T25" s="93"/>
      <c r="Y25" s="229" t="str">
        <f>'USD Market Data'!H26</f>
        <v/>
      </c>
      <c r="Z25" s="239" t="str">
        <f>IF('USD Market Data'!L26="","",'USD Market Data'!L26)</f>
        <v/>
      </c>
      <c r="AE25" s="229" t="str">
        <f>'USD Market Data'!N26</f>
        <v/>
      </c>
      <c r="AF25" s="230" t="str">
        <f>'USD Market Data'!R26</f>
        <v/>
      </c>
      <c r="AH25" s="53"/>
      <c r="AI25" s="83"/>
      <c r="AK25" s="55"/>
      <c r="AL25" s="19"/>
      <c r="AN25" s="62"/>
      <c r="AO25" s="38"/>
      <c r="AQ25" s="269" t="str">
        <f>'USD Market Data'!AM19</f>
        <v>ED10  COMB Comdty</v>
      </c>
      <c r="AR25" s="286">
        <f>IF($AQ25="","",VLOOKUP($AQ25,'Instrument Data'!Data.Swaps.USD,4,0))</f>
        <v>44090</v>
      </c>
      <c r="AS25" s="286">
        <f>IF($AQ25="","",VLOOKUP($AQ25,'Instrument Data'!Data.Swaps.USD,5,0))</f>
        <v>44181</v>
      </c>
      <c r="AT25" s="274">
        <f>'USD Market Data'!AP19</f>
        <v>96.975000000000009</v>
      </c>
      <c r="AU25" s="278">
        <f t="shared" si="1"/>
        <v>8.9999999999999993E-3</v>
      </c>
      <c r="AV25" s="995"/>
      <c r="AW25" s="53"/>
      <c r="AX25" s="83"/>
      <c r="AZ25" s="68" t="str">
        <f>'USD Market Data'!AR26</f>
        <v/>
      </c>
      <c r="BA25" s="79" t="str">
        <f>'USD Market Data'!AV26</f>
        <v/>
      </c>
      <c r="BB25" s="80" t="b">
        <f t="shared" si="0"/>
        <v>0</v>
      </c>
      <c r="BD25" s="12"/>
      <c r="BE25" s="27"/>
      <c r="BG25" s="53" t="s">
        <v>83</v>
      </c>
      <c r="BH25" s="16" t="s">
        <v>53</v>
      </c>
      <c r="BJ25" s="223" t="str">
        <f>'USD Market Data'!AX26</f>
        <v/>
      </c>
      <c r="BK25" s="263" t="str">
        <f>'USD Market Data'!BB26</f>
        <v/>
      </c>
      <c r="BM25" s="53" t="s">
        <v>83</v>
      </c>
      <c r="BN25" s="16" t="s">
        <v>53</v>
      </c>
      <c r="BP25" s="223" t="str">
        <f>'USD Market Data'!BD26</f>
        <v/>
      </c>
      <c r="BQ25" s="263" t="str">
        <f>'USD Market Data'!BH26</f>
        <v/>
      </c>
      <c r="BS25" s="53" t="s">
        <v>83</v>
      </c>
      <c r="BT25" s="16" t="s">
        <v>53</v>
      </c>
      <c r="BV25" s="223" t="str">
        <f>'USD Market Data'!BJ26</f>
        <v/>
      </c>
      <c r="BW25" s="263" t="str">
        <f>'USD Market Data'!BN26</f>
        <v/>
      </c>
      <c r="BY25" s="12"/>
      <c r="BZ25" s="83"/>
      <c r="CB25" s="53"/>
      <c r="CC25" s="83"/>
      <c r="CE25" s="84"/>
      <c r="CF25" s="98"/>
      <c r="CH25" s="12"/>
      <c r="CI25" s="83"/>
      <c r="CK25" s="53"/>
      <c r="CL25" s="83"/>
      <c r="CN25" s="53"/>
      <c r="CO25" s="83"/>
      <c r="CQ25" s="53"/>
      <c r="CR25" s="83"/>
      <c r="CU25" s="146"/>
      <c r="CV25" s="146"/>
      <c r="CW25" s="146"/>
      <c r="CX25" s="146"/>
      <c r="CY25" s="146"/>
    </row>
    <row r="26" spans="2:103">
      <c r="B26" s="53"/>
      <c r="C26" s="118"/>
      <c r="D26" s="119"/>
      <c r="E26" s="120"/>
      <c r="L26" s="203"/>
      <c r="M26" s="223" t="str">
        <f>'USD Market Data'!B27</f>
        <v/>
      </c>
      <c r="N26" s="224" t="str">
        <f>IF(LEFT($M26,2)="FF",'USD Market Data'!F27*100,'USD Market Data'!F27)</f>
        <v/>
      </c>
      <c r="O26" s="258" t="str">
        <f>IF(LEFT(M26,2)="FF",_xll.meDateFromTenor(EOMONTH(COB,getFuturesMonth(M26)+2+getYearIncrementMonths(COB,M26))+1,"0D","Following",$K$8),"")</f>
        <v/>
      </c>
      <c r="P26" s="258" t="str">
        <f>IF(O26="","",EOMONTH(O26,0+getYearIncrementMonths(COB,M26)))</f>
        <v/>
      </c>
      <c r="Q26" s="86" t="b">
        <f t="shared" si="2"/>
        <v>0</v>
      </c>
      <c r="S26" s="92"/>
      <c r="T26" s="93"/>
      <c r="Y26" s="229" t="str">
        <f>'USD Market Data'!H27</f>
        <v/>
      </c>
      <c r="Z26" s="239" t="str">
        <f>IF('USD Market Data'!L27="","",'USD Market Data'!L27)</f>
        <v/>
      </c>
      <c r="AE26" s="229" t="str">
        <f>'USD Market Data'!N27</f>
        <v/>
      </c>
      <c r="AF26" s="230" t="str">
        <f>'USD Market Data'!R27</f>
        <v/>
      </c>
      <c r="AH26" s="12"/>
      <c r="AI26" s="27"/>
      <c r="AK26" s="259"/>
      <c r="AL26" s="260"/>
      <c r="AN26" s="51"/>
      <c r="AO26" s="33"/>
      <c r="AQ26" s="270" t="str">
        <f>'USD Market Data'!AM20</f>
        <v>ED11  COMB Comdty</v>
      </c>
      <c r="AR26" s="287">
        <f>IF($AQ26="","",VLOOKUP($AQ26,'Instrument Data'!Data.Swaps.USD,4,0))</f>
        <v>44181</v>
      </c>
      <c r="AS26" s="287">
        <f>IF($AQ26="","",VLOOKUP($AQ26,'Instrument Data'!Data.Swaps.USD,5,0))</f>
        <v>44272</v>
      </c>
      <c r="AT26" s="274">
        <f>'USD Market Data'!AP20</f>
        <v>96.95</v>
      </c>
      <c r="AU26" s="279">
        <f t="shared" si="1"/>
        <v>8.9999999999999993E-3</v>
      </c>
      <c r="AV26" s="995"/>
      <c r="AW26" s="53"/>
      <c r="AX26" s="83"/>
      <c r="AZ26" s="68" t="str">
        <f>'USD Market Data'!AR27</f>
        <v/>
      </c>
      <c r="BA26" s="79" t="str">
        <f>'USD Market Data'!AV27</f>
        <v/>
      </c>
      <c r="BB26" s="80" t="b">
        <f t="shared" si="0"/>
        <v>0</v>
      </c>
      <c r="BD26" s="12"/>
      <c r="BE26" s="27"/>
      <c r="BG26" s="53" t="s">
        <v>81</v>
      </c>
      <c r="BH26" s="83" t="s">
        <v>75</v>
      </c>
      <c r="BJ26" s="223" t="str">
        <f>'USD Market Data'!AX27</f>
        <v/>
      </c>
      <c r="BK26" s="263" t="str">
        <f>'USD Market Data'!BB27</f>
        <v/>
      </c>
      <c r="BM26" s="53" t="s">
        <v>81</v>
      </c>
      <c r="BN26" s="83" t="s">
        <v>80</v>
      </c>
      <c r="BP26" s="223" t="str">
        <f>'USD Market Data'!BD27</f>
        <v/>
      </c>
      <c r="BQ26" s="263" t="str">
        <f>'USD Market Data'!BH27</f>
        <v/>
      </c>
      <c r="BS26" s="53" t="s">
        <v>81</v>
      </c>
      <c r="BT26" s="83" t="s">
        <v>75</v>
      </c>
      <c r="BV26" s="223" t="str">
        <f>'USD Market Data'!BJ27</f>
        <v/>
      </c>
      <c r="BW26" s="263" t="str">
        <f>'USD Market Data'!BN27</f>
        <v/>
      </c>
      <c r="BY26" s="12"/>
      <c r="BZ26" s="83"/>
      <c r="CB26" s="53"/>
      <c r="CC26" s="83"/>
      <c r="CE26" s="84"/>
      <c r="CF26" s="98"/>
      <c r="CH26" s="12"/>
      <c r="CI26" s="83"/>
      <c r="CK26" s="53"/>
      <c r="CL26" s="83"/>
      <c r="CN26" s="53"/>
      <c r="CO26" s="83"/>
      <c r="CQ26" s="53"/>
      <c r="CR26" s="83"/>
      <c r="CU26" s="146"/>
      <c r="CV26" s="146"/>
      <c r="CW26" s="146"/>
      <c r="CX26" s="146"/>
      <c r="CY26" s="146"/>
    </row>
    <row r="27" spans="2:103">
      <c r="B27" s="59"/>
      <c r="C27" s="121"/>
      <c r="D27" s="122"/>
      <c r="E27" s="123"/>
      <c r="G27" s="124" t="s">
        <v>1468</v>
      </c>
      <c r="L27" s="203"/>
      <c r="M27" s="223" t="str">
        <f>'USD Market Data'!B28</f>
        <v/>
      </c>
      <c r="N27" s="224" t="str">
        <f>IF(LEFT($M27,2)="FF",'USD Market Data'!F28*100,'USD Market Data'!F28)</f>
        <v/>
      </c>
      <c r="O27" s="258" t="str">
        <f>IF(LEFT(M27,2)="FF",_xll.meDateFromTenor(EOMONTH(COB,getFuturesMonth(M27)+2+getYearIncrementMonths(COB,M27))+1,"0D","Following",$K$8),"")</f>
        <v/>
      </c>
      <c r="P27" s="258" t="str">
        <f>IF(O27="","",EOMONTH(O27,0+getYearIncrementMonths(COB,M27)))</f>
        <v/>
      </c>
      <c r="Q27" s="86" t="b">
        <f t="shared" si="2"/>
        <v>0</v>
      </c>
      <c r="S27" s="92"/>
      <c r="T27" s="93"/>
      <c r="Y27" s="229" t="str">
        <f>'USD Market Data'!H28</f>
        <v/>
      </c>
      <c r="Z27" s="239" t="str">
        <f>IF('USD Market Data'!L28="","",'USD Market Data'!L28)</f>
        <v/>
      </c>
      <c r="AE27" s="229" t="str">
        <f>'USD Market Data'!N28</f>
        <v/>
      </c>
      <c r="AF27" s="230" t="str">
        <f>'USD Market Data'!R28</f>
        <v/>
      </c>
      <c r="AH27" s="12"/>
      <c r="AI27" s="27"/>
      <c r="AK27" s="56" t="s">
        <v>78</v>
      </c>
      <c r="AL27" s="16"/>
      <c r="AN27" s="56" t="s">
        <v>77</v>
      </c>
      <c r="AO27" s="33"/>
      <c r="AQ27" s="270" t="str">
        <f>'USD Market Data'!AM21</f>
        <v>ED12  COMB Comdty</v>
      </c>
      <c r="AR27" s="287">
        <f>IF($AQ27="","",VLOOKUP($AQ27,'Instrument Data'!Data.Swaps.USD,4,0))</f>
        <v>44272</v>
      </c>
      <c r="AS27" s="287">
        <f>IF($AQ27="","",VLOOKUP($AQ27,'Instrument Data'!Data.Swaps.USD,5,0))</f>
        <v>44363</v>
      </c>
      <c r="AT27" s="274">
        <f>'USD Market Data'!AP21</f>
        <v>96.95</v>
      </c>
      <c r="AU27" s="279">
        <f t="shared" si="1"/>
        <v>8.9999999999999993E-3</v>
      </c>
      <c r="AV27" s="995"/>
      <c r="AW27" s="53"/>
      <c r="AX27" s="83"/>
      <c r="AZ27" s="68" t="str">
        <f>'USD Market Data'!AR28</f>
        <v/>
      </c>
      <c r="BA27" s="79" t="str">
        <f>'USD Market Data'!AV28</f>
        <v/>
      </c>
      <c r="BB27" s="80" t="b">
        <f t="shared" si="0"/>
        <v>0</v>
      </c>
      <c r="BD27" s="12"/>
      <c r="BE27" s="27"/>
      <c r="BG27" s="53" t="s">
        <v>352</v>
      </c>
      <c r="BH27" s="83" t="s">
        <v>76</v>
      </c>
      <c r="BJ27" s="223"/>
      <c r="BK27" s="263"/>
      <c r="BM27" s="53" t="s">
        <v>352</v>
      </c>
      <c r="BN27" s="83" t="s">
        <v>75</v>
      </c>
      <c r="BP27" s="223"/>
      <c r="BQ27" s="263"/>
      <c r="BS27" s="53" t="s">
        <v>352</v>
      </c>
      <c r="BT27" s="83" t="s">
        <v>146</v>
      </c>
      <c r="BV27" s="223" t="str">
        <f>'USD Market Data'!BJ28</f>
        <v/>
      </c>
      <c r="BW27" s="263" t="str">
        <f>'USD Market Data'!BN28</f>
        <v/>
      </c>
      <c r="BY27" s="12"/>
      <c r="BZ27" s="83"/>
      <c r="CB27" s="53"/>
      <c r="CC27" s="83"/>
      <c r="CE27" s="84"/>
      <c r="CF27" s="98"/>
      <c r="CH27" s="12"/>
      <c r="CI27" s="83"/>
      <c r="CK27" s="53"/>
      <c r="CL27" s="83"/>
      <c r="CN27" s="53"/>
      <c r="CO27" s="83"/>
      <c r="CQ27" s="53"/>
      <c r="CR27" s="83"/>
      <c r="CU27" s="146"/>
      <c r="CV27" s="146"/>
      <c r="CW27" s="146"/>
      <c r="CX27" s="146"/>
      <c r="CY27" s="146"/>
    </row>
    <row r="28" spans="2:103">
      <c r="G28" s="394" t="s">
        <v>1467</v>
      </c>
      <c r="L28" s="203"/>
      <c r="M28" s="223" t="str">
        <f>'USD Market Data'!B29</f>
        <v/>
      </c>
      <c r="N28" s="224" t="str">
        <f>IF(LEFT($M28,2)="FF",'USD Market Data'!F29*100,'USD Market Data'!F29)</f>
        <v/>
      </c>
      <c r="O28" s="258" t="str">
        <f>IF(LEFT(M28,2)="FF",_xll.meDateFromTenor(EOMONTH(COB,getFuturesMonth(M28)+2+getYearIncrementMonths(COB,M28))+1,"0D","Following",$K$8),"")</f>
        <v/>
      </c>
      <c r="P28" s="258" t="str">
        <f>IF(O28="","",EOMONTH(O28,0+getYearIncrementMonths(COB,M28)))</f>
        <v/>
      </c>
      <c r="Q28" s="86" t="b">
        <f t="shared" si="2"/>
        <v>0</v>
      </c>
      <c r="S28" s="92"/>
      <c r="T28" s="93"/>
      <c r="Y28" s="229" t="str">
        <f>'USD Market Data'!H29</f>
        <v/>
      </c>
      <c r="Z28" s="239" t="str">
        <f>IF('USD Market Data'!L29="","",'USD Market Data'!L29)</f>
        <v/>
      </c>
      <c r="AE28" s="229"/>
      <c r="AF28" s="230"/>
      <c r="AH28" s="12"/>
      <c r="AI28" s="27"/>
      <c r="AK28" s="57" t="s">
        <v>74</v>
      </c>
      <c r="AL28" s="15" t="s">
        <v>73</v>
      </c>
      <c r="AN28" s="57" t="s">
        <v>74</v>
      </c>
      <c r="AO28" s="15" t="s">
        <v>73</v>
      </c>
      <c r="AQ28" s="270" t="str">
        <f>'USD Market Data'!AM22</f>
        <v/>
      </c>
      <c r="AR28" s="287" t="str">
        <f>IF($AQ28="","",VLOOKUP($AQ28,'Instrument Data'!Data.Swaps.USD,4,0))</f>
        <v/>
      </c>
      <c r="AS28" s="287" t="str">
        <f>IF($AQ28="","",VLOOKUP($AQ28,'Instrument Data'!Data.Swaps.USD,5,0))</f>
        <v/>
      </c>
      <c r="AT28" s="274" t="str">
        <f>'USD Market Data'!AP22</f>
        <v/>
      </c>
      <c r="AU28" s="279" t="str">
        <f t="shared" si="1"/>
        <v/>
      </c>
      <c r="AV28" s="995"/>
      <c r="AW28" s="53"/>
      <c r="AX28" s="83"/>
      <c r="AZ28" s="68" t="str">
        <f>'USD Market Data'!AR29</f>
        <v/>
      </c>
      <c r="BA28" s="79" t="str">
        <f>'USD Market Data'!AV29</f>
        <v/>
      </c>
      <c r="BB28" s="80" t="b">
        <f t="shared" si="0"/>
        <v>0</v>
      </c>
      <c r="BD28" s="12"/>
      <c r="BE28" s="27"/>
      <c r="BG28" s="53" t="s">
        <v>71</v>
      </c>
      <c r="BH28" s="16" t="s">
        <v>38</v>
      </c>
      <c r="BJ28" s="223" t="str">
        <f>'USD Market Data'!AX29</f>
        <v/>
      </c>
      <c r="BK28" s="263" t="str">
        <f>'USD Market Data'!BB29</f>
        <v/>
      </c>
      <c r="BM28" s="53" t="s">
        <v>71</v>
      </c>
      <c r="BN28" s="16" t="s">
        <v>38</v>
      </c>
      <c r="BP28" s="223" t="str">
        <f>'USD Market Data'!BD29</f>
        <v/>
      </c>
      <c r="BQ28" s="263" t="str">
        <f>'USD Market Data'!BH29</f>
        <v/>
      </c>
      <c r="BS28" s="53" t="s">
        <v>71</v>
      </c>
      <c r="BT28" s="16" t="s">
        <v>38</v>
      </c>
      <c r="BV28" s="223" t="str">
        <f>'USD Market Data'!BJ29</f>
        <v/>
      </c>
      <c r="BW28" s="263" t="str">
        <f>'USD Market Data'!BN29</f>
        <v/>
      </c>
      <c r="BY28" s="12"/>
      <c r="BZ28" s="83"/>
      <c r="CB28" s="53"/>
      <c r="CC28" s="83"/>
      <c r="CE28" s="84"/>
      <c r="CF28" s="98"/>
      <c r="CH28" s="12"/>
      <c r="CI28" s="83"/>
      <c r="CK28" s="53"/>
      <c r="CL28" s="83"/>
      <c r="CN28" s="53"/>
      <c r="CO28" s="83"/>
      <c r="CQ28" s="53"/>
      <c r="CR28" s="83"/>
      <c r="CU28" s="146"/>
      <c r="CV28" s="146"/>
      <c r="CW28" s="146"/>
      <c r="CX28" s="146"/>
      <c r="CY28" s="146"/>
    </row>
    <row r="29" spans="2:103">
      <c r="B29" s="2" t="s">
        <v>310</v>
      </c>
      <c r="C29" s="9"/>
      <c r="G29" s="394" t="s">
        <v>1464</v>
      </c>
      <c r="L29" s="203"/>
      <c r="M29" s="223" t="str">
        <f>'USD Market Data'!B30</f>
        <v/>
      </c>
      <c r="N29" s="224" t="str">
        <f>IF(LEFT($M29,2)="FF",'USD Market Data'!F30*100,'USD Market Data'!F30)</f>
        <v/>
      </c>
      <c r="O29" s="258" t="str">
        <f>IF(LEFT(M29,2)="FF",_xll.meDateFromTenor(EOMONTH(COB,getFuturesMonth(M29)+2+getYearIncrementMonths(COB,M29))+1,"0D","Following",$K$8),"")</f>
        <v/>
      </c>
      <c r="P29" s="258" t="str">
        <f>IF(O29="","",EOMONTH(O29,0+getYearIncrementMonths(COB,M29)))</f>
        <v/>
      </c>
      <c r="Q29" s="86" t="b">
        <f t="shared" si="2"/>
        <v>0</v>
      </c>
      <c r="S29" s="92"/>
      <c r="T29" s="93"/>
      <c r="Y29" s="229" t="str">
        <f>'USD Market Data'!H30</f>
        <v/>
      </c>
      <c r="Z29" s="239" t="str">
        <f>IF('USD Market Data'!L30="","",'USD Market Data'!L30)</f>
        <v/>
      </c>
      <c r="AE29" s="229"/>
      <c r="AF29" s="230"/>
      <c r="AH29" s="12"/>
      <c r="AI29" s="27"/>
      <c r="AK29" s="259" t="str">
        <f>'USD Market Data'!T10</f>
        <v>3M</v>
      </c>
      <c r="AL29" s="265">
        <f>'USD Market Data'!X10</f>
        <v>2.3629400000000002E-2</v>
      </c>
      <c r="AN29" s="51"/>
      <c r="AO29" s="33"/>
      <c r="AQ29" s="270" t="str">
        <f>'USD Market Data'!AM23</f>
        <v/>
      </c>
      <c r="AR29" s="287" t="str">
        <f>IF($AQ29="","",VLOOKUP($AQ29,'Instrument Data'!Data.Swaps.USD,4,0))</f>
        <v/>
      </c>
      <c r="AS29" s="287" t="str">
        <f>IF($AQ29="","",VLOOKUP($AQ29,'Instrument Data'!Data.Swaps.USD,5,0))</f>
        <v/>
      </c>
      <c r="AT29" s="274" t="str">
        <f>'USD Market Data'!AP23</f>
        <v/>
      </c>
      <c r="AU29" s="279" t="str">
        <f t="shared" si="1"/>
        <v/>
      </c>
      <c r="AW29" s="53"/>
      <c r="AX29" s="83"/>
      <c r="AZ29" s="68" t="str">
        <f>'USD Market Data'!AR30</f>
        <v/>
      </c>
      <c r="BA29" s="79" t="str">
        <f>'USD Market Data'!AV30</f>
        <v/>
      </c>
      <c r="BB29" s="80" t="b">
        <f t="shared" si="0"/>
        <v>0</v>
      </c>
      <c r="BD29" s="12"/>
      <c r="BE29" s="27"/>
      <c r="BG29" s="53" t="s">
        <v>67</v>
      </c>
      <c r="BH29" s="16" t="s">
        <v>41</v>
      </c>
      <c r="BJ29" s="223" t="str">
        <f>'USD Market Data'!AX30</f>
        <v/>
      </c>
      <c r="BK29" s="263" t="str">
        <f>'USD Market Data'!BB30</f>
        <v/>
      </c>
      <c r="BM29" s="53" t="s">
        <v>67</v>
      </c>
      <c r="BN29" s="16" t="s">
        <v>41</v>
      </c>
      <c r="BP29" s="223" t="str">
        <f>'USD Market Data'!BD30</f>
        <v/>
      </c>
      <c r="BQ29" s="263" t="str">
        <f>'USD Market Data'!BH30</f>
        <v/>
      </c>
      <c r="BS29" s="53" t="s">
        <v>67</v>
      </c>
      <c r="BT29" s="16" t="s">
        <v>41</v>
      </c>
      <c r="BV29" s="223" t="str">
        <f>'USD Market Data'!BJ30</f>
        <v/>
      </c>
      <c r="BW29" s="263" t="str">
        <f>'USD Market Data'!BN30</f>
        <v/>
      </c>
      <c r="BY29" s="12"/>
      <c r="BZ29" s="83"/>
      <c r="CB29" s="53"/>
      <c r="CC29" s="83"/>
      <c r="CE29" s="84"/>
      <c r="CF29" s="98"/>
      <c r="CH29" s="12"/>
      <c r="CI29" s="83"/>
      <c r="CK29" s="53"/>
      <c r="CL29" s="83"/>
      <c r="CN29" s="53"/>
      <c r="CO29" s="83"/>
      <c r="CQ29" s="53"/>
      <c r="CR29" s="83"/>
      <c r="CU29" s="146"/>
      <c r="CV29" s="146"/>
      <c r="CW29" s="146"/>
      <c r="CX29" s="146"/>
      <c r="CY29" s="146"/>
    </row>
    <row r="30" spans="2:103">
      <c r="B30" s="52" t="s">
        <v>189</v>
      </c>
      <c r="C30" s="112" t="s">
        <v>307</v>
      </c>
      <c r="D30" s="113"/>
      <c r="E30" s="114"/>
      <c r="G30" s="394" t="s">
        <v>1465</v>
      </c>
      <c r="L30" s="203"/>
      <c r="M30" s="223" t="str">
        <f>'USD Market Data'!B31</f>
        <v/>
      </c>
      <c r="N30" s="224" t="str">
        <f>IF(LEFT($M30,2)="FF",'USD Market Data'!F31*100,'USD Market Data'!F31)</f>
        <v/>
      </c>
      <c r="O30" s="258" t="str">
        <f>IF(LEFT(M30,2)="FF",_xll.meDateFromTenor(EOMONTH(COB,getFuturesMonth(M30)+2+getYearIncrementMonths(COB,M30))+1,"0D","Following",$K$8),"")</f>
        <v/>
      </c>
      <c r="P30" s="258" t="str">
        <f>IF(O30="","",EOMONTH(O30,0+getYearIncrementMonths(COB,M30)))</f>
        <v/>
      </c>
      <c r="Q30" s="86" t="b">
        <f t="shared" si="2"/>
        <v>0</v>
      </c>
      <c r="S30" s="92"/>
      <c r="T30" s="93"/>
      <c r="Y30" s="229" t="str">
        <f>'USD Market Data'!H31</f>
        <v/>
      </c>
      <c r="Z30" s="239" t="str">
        <f>IF('USD Market Data'!L31="","",'USD Market Data'!L31)</f>
        <v/>
      </c>
      <c r="AE30" s="229"/>
      <c r="AF30" s="230"/>
      <c r="AH30" s="12"/>
      <c r="AI30" s="27"/>
      <c r="AK30" s="51"/>
      <c r="AL30" s="33"/>
      <c r="AN30" s="51"/>
      <c r="AO30" s="33"/>
      <c r="AQ30" s="270" t="str">
        <f>'USD Market Data'!AM24</f>
        <v/>
      </c>
      <c r="AR30" s="287" t="str">
        <f>IF($AQ30="","",VLOOKUP($AQ30,'Instrument Data'!Data.Swaps.USD,4,0))</f>
        <v/>
      </c>
      <c r="AS30" s="287" t="str">
        <f>IF($AQ30="","",VLOOKUP($AQ30,'Instrument Data'!Data.Swaps.USD,5,0))</f>
        <v/>
      </c>
      <c r="AT30" s="274" t="str">
        <f>'USD Market Data'!AP24</f>
        <v/>
      </c>
      <c r="AU30" s="279" t="str">
        <f t="shared" si="1"/>
        <v/>
      </c>
      <c r="AW30" s="53"/>
      <c r="AX30" s="83"/>
      <c r="AZ30" s="68" t="str">
        <f>'USD Market Data'!AR31</f>
        <v/>
      </c>
      <c r="BA30" s="79" t="str">
        <f>'USD Market Data'!AV31</f>
        <v/>
      </c>
      <c r="BB30" s="80" t="b">
        <f t="shared" si="0"/>
        <v>0</v>
      </c>
      <c r="BD30" s="12"/>
      <c r="BE30" s="27"/>
      <c r="BG30" s="53" t="s">
        <v>65</v>
      </c>
      <c r="BH30" s="28" t="s">
        <v>189</v>
      </c>
      <c r="BJ30" s="223" t="str">
        <f>'USD Market Data'!AX31</f>
        <v/>
      </c>
      <c r="BK30" s="263" t="str">
        <f>'USD Market Data'!BB31</f>
        <v/>
      </c>
      <c r="BM30" s="53" t="s">
        <v>65</v>
      </c>
      <c r="BN30" s="28" t="s">
        <v>189</v>
      </c>
      <c r="BP30" s="223" t="str">
        <f>'USD Market Data'!BD31</f>
        <v/>
      </c>
      <c r="BQ30" s="263" t="str">
        <f>'USD Market Data'!BH31</f>
        <v/>
      </c>
      <c r="BS30" s="53" t="s">
        <v>65</v>
      </c>
      <c r="BT30" s="28" t="s">
        <v>189</v>
      </c>
      <c r="BV30" s="223" t="str">
        <f>'USD Market Data'!BJ31</f>
        <v/>
      </c>
      <c r="BW30" s="263" t="str">
        <f>'USD Market Data'!BN31</f>
        <v/>
      </c>
      <c r="BY30" s="12"/>
      <c r="BZ30" s="83"/>
      <c r="CB30" s="53"/>
      <c r="CC30" s="83"/>
      <c r="CE30" s="84"/>
      <c r="CF30" s="98"/>
      <c r="CH30" s="12"/>
      <c r="CI30" s="83"/>
      <c r="CK30" s="53"/>
      <c r="CL30" s="83"/>
      <c r="CN30" s="53"/>
      <c r="CO30" s="83"/>
      <c r="CQ30" s="53"/>
      <c r="CR30" s="83"/>
      <c r="CU30" s="146"/>
      <c r="CV30" s="146"/>
      <c r="CW30" s="146"/>
      <c r="CX30" s="146"/>
      <c r="CY30" s="146"/>
    </row>
    <row r="31" spans="2:103">
      <c r="B31" s="53" t="s">
        <v>61</v>
      </c>
      <c r="C31" s="115" t="s">
        <v>9</v>
      </c>
      <c r="D31" s="116"/>
      <c r="E31" s="117"/>
      <c r="G31" s="394" t="s">
        <v>1466</v>
      </c>
      <c r="L31" s="203"/>
      <c r="M31" s="223" t="str">
        <f>'USD Market Data'!B32</f>
        <v/>
      </c>
      <c r="N31" s="224" t="str">
        <f>IF(LEFT($M31,2)="FF",'USD Market Data'!F32*100,'USD Market Data'!F32)</f>
        <v/>
      </c>
      <c r="O31" s="258" t="str">
        <f>IF(LEFT(M31,2)="FF",_xll.meDateFromTenor(EOMONTH(COB,getFuturesMonth(M31)+2+getYearIncrementMonths(COB,M31))+1,"0D","Following",$K$8),"")</f>
        <v/>
      </c>
      <c r="P31" s="258" t="str">
        <f>IF(O31="","",EOMONTH(O31,0+getYearIncrementMonths(COB,M31)))</f>
        <v/>
      </c>
      <c r="Q31" s="86" t="b">
        <f t="shared" si="2"/>
        <v>0</v>
      </c>
      <c r="S31" s="92"/>
      <c r="T31" s="93"/>
      <c r="Y31" s="229" t="str">
        <f>'USD Market Data'!H32</f>
        <v/>
      </c>
      <c r="Z31" s="239" t="str">
        <f>IF('USD Market Data'!L32="","",'USD Market Data'!L32)</f>
        <v/>
      </c>
      <c r="AE31" s="229"/>
      <c r="AF31" s="230"/>
      <c r="AH31" s="12"/>
      <c r="AI31" s="27"/>
      <c r="AK31" s="51"/>
      <c r="AL31" s="33"/>
      <c r="AN31" s="51"/>
      <c r="AO31" s="33"/>
      <c r="AQ31" s="270" t="str">
        <f>'USD Market Data'!AM25</f>
        <v/>
      </c>
      <c r="AR31" s="287" t="str">
        <f>IF($AQ31="","",VLOOKUP($AQ31,'Instrument Data'!Data.Swaps.USD,4,0))</f>
        <v/>
      </c>
      <c r="AS31" s="287" t="str">
        <f>IF($AQ31="","",VLOOKUP($AQ31,'Instrument Data'!Data.Swaps.USD,5,0))</f>
        <v/>
      </c>
      <c r="AT31" s="274" t="str">
        <f>'USD Market Data'!AP25</f>
        <v/>
      </c>
      <c r="AU31" s="279" t="str">
        <f t="shared" si="1"/>
        <v/>
      </c>
      <c r="AW31" s="53"/>
      <c r="AX31" s="83"/>
      <c r="AZ31" s="68" t="str">
        <f>'USD Market Data'!AR32</f>
        <v/>
      </c>
      <c r="BA31" s="79" t="str">
        <f>'USD Market Data'!AV32</f>
        <v/>
      </c>
      <c r="BB31" s="80" t="b">
        <f t="shared" si="0"/>
        <v>0</v>
      </c>
      <c r="BD31" s="12"/>
      <c r="BE31" s="27"/>
      <c r="BG31" s="53" t="s">
        <v>62</v>
      </c>
      <c r="BH31" s="28" t="s">
        <v>61</v>
      </c>
      <c r="BJ31" s="223" t="str">
        <f>'USD Market Data'!AX32</f>
        <v/>
      </c>
      <c r="BK31" s="263" t="str">
        <f>'USD Market Data'!BB32</f>
        <v/>
      </c>
      <c r="BM31" s="53" t="s">
        <v>62</v>
      </c>
      <c r="BN31" s="28" t="s">
        <v>61</v>
      </c>
      <c r="BP31" s="223" t="str">
        <f>'USD Market Data'!BD32</f>
        <v/>
      </c>
      <c r="BQ31" s="263" t="str">
        <f>'USD Market Data'!BH32</f>
        <v/>
      </c>
      <c r="BS31" s="53" t="s">
        <v>62</v>
      </c>
      <c r="BT31" s="28" t="s">
        <v>61</v>
      </c>
      <c r="BV31" s="223" t="str">
        <f>'USD Market Data'!BJ32</f>
        <v/>
      </c>
      <c r="BW31" s="263" t="str">
        <f>'USD Market Data'!BN32</f>
        <v/>
      </c>
      <c r="BY31" s="12"/>
      <c r="BZ31" s="83"/>
      <c r="CB31" s="53"/>
      <c r="CC31" s="83"/>
      <c r="CE31" s="84"/>
      <c r="CF31" s="98"/>
      <c r="CH31" s="12"/>
      <c r="CI31" s="83"/>
      <c r="CK31" s="53"/>
      <c r="CL31" s="83"/>
      <c r="CN31" s="53"/>
      <c r="CO31" s="83"/>
      <c r="CQ31" s="53"/>
      <c r="CR31" s="83"/>
    </row>
    <row r="32" spans="2:103">
      <c r="B32" s="53" t="s">
        <v>315</v>
      </c>
      <c r="C32" s="115" t="s">
        <v>8</v>
      </c>
      <c r="D32" s="119"/>
      <c r="E32" s="120"/>
      <c r="L32" s="203"/>
      <c r="M32" s="223" t="str">
        <f>'USD Market Data'!B33</f>
        <v/>
      </c>
      <c r="N32" s="224" t="str">
        <f>IF(LEFT($M32,2)="FF",'USD Market Data'!F33*100,'USD Market Data'!F33)</f>
        <v/>
      </c>
      <c r="O32" s="258" t="str">
        <f>IF(LEFT(M32,2)="FF",_xll.meDateFromTenor(EOMONTH(COB,getFuturesMonth(M32)+2+getYearIncrementMonths(COB,M32))+1,"0D","Following",$K$8),"")</f>
        <v/>
      </c>
      <c r="P32" s="258" t="str">
        <f>IF(O32="","",EOMONTH(O32,0+getYearIncrementMonths(COB,M32)))</f>
        <v/>
      </c>
      <c r="Q32" s="86" t="b">
        <f t="shared" si="2"/>
        <v>0</v>
      </c>
      <c r="S32" s="92"/>
      <c r="T32" s="93"/>
      <c r="Y32" s="229" t="str">
        <f>'USD Market Data'!H33</f>
        <v/>
      </c>
      <c r="Z32" s="239" t="str">
        <f>IF('USD Market Data'!L33="","",'USD Market Data'!L33)</f>
        <v/>
      </c>
      <c r="AE32" s="229"/>
      <c r="AF32" s="230"/>
      <c r="AH32" s="12"/>
      <c r="AI32" s="27"/>
      <c r="AK32" s="51"/>
      <c r="AL32" s="33"/>
      <c r="AM32" s="3"/>
      <c r="AN32" s="51"/>
      <c r="AO32" s="33"/>
      <c r="AP32" s="3"/>
      <c r="AQ32" s="270" t="str">
        <f>'USD Market Data'!AM26</f>
        <v/>
      </c>
      <c r="AR32" s="287" t="str">
        <f>IF($AQ32="","",VLOOKUP($AQ32,'Instrument Data'!Data.Swaps.USD,4,0))</f>
        <v/>
      </c>
      <c r="AS32" s="287" t="str">
        <f>IF($AQ32="","",VLOOKUP($AQ32,'Instrument Data'!Data.Swaps.USD,5,0))</f>
        <v/>
      </c>
      <c r="AT32" s="274" t="str">
        <f>'USD Market Data'!AP26</f>
        <v/>
      </c>
      <c r="AU32" s="279" t="str">
        <f t="shared" si="1"/>
        <v/>
      </c>
      <c r="AW32" s="53"/>
      <c r="AX32" s="83"/>
      <c r="AZ32" s="68" t="str">
        <f>'USD Market Data'!AR33</f>
        <v/>
      </c>
      <c r="BA32" s="79" t="str">
        <f>'USD Market Data'!AV33</f>
        <v/>
      </c>
      <c r="BB32" s="80" t="b">
        <f t="shared" si="0"/>
        <v>0</v>
      </c>
      <c r="BD32" s="12"/>
      <c r="BE32" s="27"/>
      <c r="BG32" s="53" t="s">
        <v>58</v>
      </c>
      <c r="BH32" s="104" t="s">
        <v>51</v>
      </c>
      <c r="BJ32" s="223" t="str">
        <f>'USD Market Data'!AX33</f>
        <v/>
      </c>
      <c r="BK32" s="263" t="str">
        <f>'USD Market Data'!BB33</f>
        <v/>
      </c>
      <c r="BM32" s="53" t="s">
        <v>58</v>
      </c>
      <c r="BN32" s="104" t="s">
        <v>20</v>
      </c>
      <c r="BP32" s="223" t="str">
        <f>'USD Market Data'!BD33</f>
        <v/>
      </c>
      <c r="BQ32" s="263" t="str">
        <f>'USD Market Data'!BH33</f>
        <v/>
      </c>
      <c r="BS32" s="53" t="s">
        <v>58</v>
      </c>
      <c r="BT32" s="104" t="s">
        <v>51</v>
      </c>
      <c r="BV32" s="223" t="str">
        <f>'USD Market Data'!BJ33</f>
        <v/>
      </c>
      <c r="BW32" s="263" t="str">
        <f>'USD Market Data'!BN33</f>
        <v/>
      </c>
      <c r="BY32" s="12"/>
      <c r="BZ32" s="83"/>
      <c r="CB32" s="53"/>
      <c r="CC32" s="83"/>
      <c r="CE32" s="84"/>
      <c r="CF32" s="98"/>
      <c r="CH32" s="12"/>
      <c r="CI32" s="83"/>
      <c r="CK32" s="53"/>
      <c r="CL32" s="83"/>
      <c r="CN32" s="53"/>
      <c r="CO32" s="83"/>
      <c r="CQ32" s="53"/>
      <c r="CR32" s="83"/>
    </row>
    <row r="33" spans="2:96">
      <c r="B33" s="53" t="s">
        <v>194</v>
      </c>
      <c r="C33" s="118" t="s">
        <v>290</v>
      </c>
      <c r="D33" s="119"/>
      <c r="E33" s="120"/>
      <c r="L33" s="203"/>
      <c r="M33" s="223" t="str">
        <f>'USD Market Data'!B34</f>
        <v/>
      </c>
      <c r="N33" s="224" t="str">
        <f>IF(LEFT($M33,2)="FF",'USD Market Data'!F34*100,'USD Market Data'!F34)</f>
        <v/>
      </c>
      <c r="O33" s="258" t="str">
        <f>IF(LEFT(M33,2)="FF",_xll.meDateFromTenor(EOMONTH(COB,getFuturesMonth(M33)+2+getYearIncrementMonths(COB,M33))+1,"0D","Following",$K$8),"")</f>
        <v/>
      </c>
      <c r="P33" s="258" t="str">
        <f>IF(O33="","",EOMONTH(O33,0+getYearIncrementMonths(COB,M33)))</f>
        <v/>
      </c>
      <c r="Q33" s="86" t="b">
        <f t="shared" si="2"/>
        <v>0</v>
      </c>
      <c r="S33" s="92"/>
      <c r="T33" s="93"/>
      <c r="Y33" s="229" t="str">
        <f>'USD Market Data'!H34</f>
        <v/>
      </c>
      <c r="Z33" s="239" t="str">
        <f>IF('USD Market Data'!L34="","",'USD Market Data'!L34)</f>
        <v/>
      </c>
      <c r="AE33" s="229"/>
      <c r="AF33" s="230"/>
      <c r="AH33" s="12"/>
      <c r="AI33" s="27"/>
      <c r="AK33" s="51"/>
      <c r="AL33" s="33"/>
      <c r="AM33" s="3"/>
      <c r="AN33" s="51"/>
      <c r="AO33" s="33"/>
      <c r="AP33" s="3"/>
      <c r="AQ33" s="270" t="str">
        <f>'USD Market Data'!AM27</f>
        <v/>
      </c>
      <c r="AR33" s="287" t="str">
        <f>IF($AQ33="","",VLOOKUP($AQ33,'Instrument Data'!Data.Swaps.USD,4,0))</f>
        <v/>
      </c>
      <c r="AS33" s="287" t="str">
        <f>IF($AQ33="","",VLOOKUP($AQ33,'Instrument Data'!Data.Swaps.USD,5,0))</f>
        <v/>
      </c>
      <c r="AT33" s="274" t="str">
        <f>'USD Market Data'!AP27</f>
        <v/>
      </c>
      <c r="AU33" s="279" t="str">
        <f t="shared" si="1"/>
        <v/>
      </c>
      <c r="AW33" s="53"/>
      <c r="AX33" s="83"/>
      <c r="AZ33" s="68" t="str">
        <f>'USD Market Data'!AR34</f>
        <v/>
      </c>
      <c r="BA33" s="79" t="str">
        <f>'USD Market Data'!AV34</f>
        <v/>
      </c>
      <c r="BB33" s="80" t="b">
        <f t="shared" si="0"/>
        <v>0</v>
      </c>
      <c r="BD33" s="12"/>
      <c r="BE33" s="27"/>
      <c r="BG33" s="53" t="s">
        <v>54</v>
      </c>
      <c r="BH33" s="16" t="s">
        <v>53</v>
      </c>
      <c r="BJ33" s="223" t="str">
        <f>'USD Market Data'!AX34</f>
        <v/>
      </c>
      <c r="BK33" s="263" t="str">
        <f>'USD Market Data'!BB34</f>
        <v/>
      </c>
      <c r="BM33" s="53" t="s">
        <v>54</v>
      </c>
      <c r="BN33" s="16" t="s">
        <v>53</v>
      </c>
      <c r="BP33" s="223" t="str">
        <f>'USD Market Data'!BD34</f>
        <v/>
      </c>
      <c r="BQ33" s="263" t="str">
        <f>'USD Market Data'!BH34</f>
        <v/>
      </c>
      <c r="BS33" s="53" t="s">
        <v>54</v>
      </c>
      <c r="BT33" s="16" t="s">
        <v>53</v>
      </c>
      <c r="BV33" s="223" t="str">
        <f>'USD Market Data'!BJ34</f>
        <v/>
      </c>
      <c r="BW33" s="263" t="str">
        <f>'USD Market Data'!BN34</f>
        <v/>
      </c>
      <c r="BY33" s="12"/>
      <c r="BZ33" s="83"/>
      <c r="CB33" s="53"/>
      <c r="CC33" s="83"/>
      <c r="CE33" s="84"/>
      <c r="CF33" s="98"/>
      <c r="CH33" s="12"/>
      <c r="CI33" s="83"/>
      <c r="CK33" s="53"/>
      <c r="CL33" s="83"/>
      <c r="CN33" s="53"/>
      <c r="CO33" s="83"/>
      <c r="CQ33" s="53"/>
      <c r="CR33" s="83"/>
    </row>
    <row r="34" spans="2:96">
      <c r="B34" s="53" t="s">
        <v>195</v>
      </c>
      <c r="C34" s="118" t="s">
        <v>288</v>
      </c>
      <c r="D34" s="119"/>
      <c r="E34" s="120"/>
      <c r="L34" s="203"/>
      <c r="M34" s="223" t="str">
        <f>'USD Market Data'!B35</f>
        <v/>
      </c>
      <c r="N34" s="224" t="str">
        <f>IF(LEFT($M34,2)="FF",'USD Market Data'!F35*100,'USD Market Data'!F35)</f>
        <v/>
      </c>
      <c r="O34" s="258" t="str">
        <f>IF(LEFT(M34,2)="FF",_xll.meDateFromTenor(EOMONTH(COB,getFuturesMonth(M34)+2+getYearIncrementMonths(COB,M34))+1,"0D","Following",$K$8),"")</f>
        <v/>
      </c>
      <c r="P34" s="258" t="str">
        <f>IF(O34="","",EOMONTH(O34,0+getYearIncrementMonths(COB,M34)))</f>
        <v/>
      </c>
      <c r="Q34" s="86" t="b">
        <f t="shared" si="2"/>
        <v>0</v>
      </c>
      <c r="S34" s="92"/>
      <c r="T34" s="93"/>
      <c r="Y34" s="229" t="str">
        <f>'USD Market Data'!H35</f>
        <v/>
      </c>
      <c r="Z34" s="239" t="str">
        <f>IF('USD Market Data'!L35="","",'USD Market Data'!L35)</f>
        <v/>
      </c>
      <c r="AE34" s="229"/>
      <c r="AF34" s="230"/>
      <c r="AH34" s="12"/>
      <c r="AI34" s="27"/>
      <c r="AK34" s="51"/>
      <c r="AL34" s="33"/>
      <c r="AM34" s="3"/>
      <c r="AN34" s="51"/>
      <c r="AO34" s="33"/>
      <c r="AP34" s="3"/>
      <c r="AQ34" s="270" t="str">
        <f>'USD Market Data'!AM28</f>
        <v/>
      </c>
      <c r="AR34" s="287" t="str">
        <f>IF($AQ34="","",VLOOKUP($AQ34,'Instrument Data'!Data.Swaps.USD,4,0))</f>
        <v/>
      </c>
      <c r="AS34" s="287" t="str">
        <f>IF($AQ34="","",VLOOKUP($AQ34,'Instrument Data'!Data.Swaps.USD,5,0))</f>
        <v/>
      </c>
      <c r="AT34" s="274" t="str">
        <f>'USD Market Data'!AP28</f>
        <v/>
      </c>
      <c r="AU34" s="279" t="str">
        <f t="shared" si="1"/>
        <v/>
      </c>
      <c r="AW34" s="53"/>
      <c r="AX34" s="83"/>
      <c r="AZ34" s="68" t="str">
        <f>'USD Market Data'!AR35</f>
        <v/>
      </c>
      <c r="BA34" s="79" t="str">
        <f>'USD Market Data'!AV35</f>
        <v/>
      </c>
      <c r="BB34" s="80" t="b">
        <f t="shared" si="0"/>
        <v>0</v>
      </c>
      <c r="BD34" s="12"/>
      <c r="BE34" s="27"/>
      <c r="BG34" s="53" t="s">
        <v>49</v>
      </c>
      <c r="BH34" s="32" t="s">
        <v>112</v>
      </c>
      <c r="BJ34" s="223" t="str">
        <f>'USD Market Data'!AX35</f>
        <v/>
      </c>
      <c r="BK34" s="263" t="str">
        <f>'USD Market Data'!BB35</f>
        <v/>
      </c>
      <c r="BM34" s="53" t="s">
        <v>49</v>
      </c>
      <c r="BN34" s="32" t="s">
        <v>112</v>
      </c>
      <c r="BP34" s="223" t="str">
        <f>'USD Market Data'!BD35</f>
        <v/>
      </c>
      <c r="BQ34" s="263" t="str">
        <f>'USD Market Data'!BH35</f>
        <v/>
      </c>
      <c r="BS34" s="53" t="s">
        <v>49</v>
      </c>
      <c r="BT34" s="32" t="s">
        <v>112</v>
      </c>
      <c r="BV34" s="223" t="str">
        <f>'USD Market Data'!BJ35</f>
        <v/>
      </c>
      <c r="BW34" s="263" t="str">
        <f>'USD Market Data'!BN35</f>
        <v/>
      </c>
      <c r="BY34" s="12"/>
      <c r="BZ34" s="83"/>
      <c r="CB34" s="53"/>
      <c r="CC34" s="83"/>
      <c r="CE34" s="84"/>
      <c r="CF34" s="98"/>
      <c r="CH34" s="12"/>
      <c r="CI34" s="83"/>
      <c r="CK34" s="53"/>
      <c r="CL34" s="83"/>
      <c r="CN34" s="53"/>
      <c r="CO34" s="83"/>
      <c r="CQ34" s="53"/>
      <c r="CR34" s="83"/>
    </row>
    <row r="35" spans="2:96">
      <c r="B35" s="135" t="s">
        <v>268</v>
      </c>
      <c r="C35" s="118" t="s">
        <v>289</v>
      </c>
      <c r="D35" s="119"/>
      <c r="E35" s="120"/>
      <c r="L35" s="203"/>
      <c r="M35" s="223" t="str">
        <f>'USD Market Data'!B36</f>
        <v/>
      </c>
      <c r="N35" s="224" t="str">
        <f>IF(LEFT($M35,2)="FF",'USD Market Data'!F36*100,'USD Market Data'!F36)</f>
        <v/>
      </c>
      <c r="O35" s="258" t="str">
        <f>IF(LEFT(M35,2)="FF",_xll.meDateFromTenor(EOMONTH(COB,getFuturesMonth(M35)+2+getYearIncrementMonths(COB,M35))+1,"0D","Following",$K$8),"")</f>
        <v/>
      </c>
      <c r="P35" s="258" t="str">
        <f>IF(O35="","",EOMONTH(O35,0+getYearIncrementMonths(COB,M35)))</f>
        <v/>
      </c>
      <c r="Q35" s="86" t="b">
        <f t="shared" si="2"/>
        <v>0</v>
      </c>
      <c r="S35" s="92"/>
      <c r="T35" s="93"/>
      <c r="Y35" s="229" t="str">
        <f>'USD Market Data'!H36</f>
        <v/>
      </c>
      <c r="Z35" s="239" t="str">
        <f>IF('USD Market Data'!L36="","",'USD Market Data'!L36)</f>
        <v/>
      </c>
      <c r="AE35" s="229"/>
      <c r="AF35" s="230"/>
      <c r="AH35" s="12"/>
      <c r="AI35" s="27"/>
      <c r="AK35" s="51"/>
      <c r="AL35" s="33"/>
      <c r="AM35" s="3"/>
      <c r="AN35" s="51"/>
      <c r="AO35" s="33"/>
      <c r="AP35" s="3"/>
      <c r="AQ35" s="270" t="str">
        <f>'USD Market Data'!AM29</f>
        <v/>
      </c>
      <c r="AR35" s="287" t="str">
        <f>IF($AQ35="","",VLOOKUP($AQ35,'Instrument Data'!Data.Swaps.USD,4,0))</f>
        <v/>
      </c>
      <c r="AS35" s="287" t="str">
        <f>IF($AQ35="","",VLOOKUP($AQ35,'Instrument Data'!Data.Swaps.USD,5,0))</f>
        <v/>
      </c>
      <c r="AT35" s="274" t="str">
        <f>'USD Market Data'!AP29</f>
        <v/>
      </c>
      <c r="AU35" s="279" t="str">
        <f t="shared" si="1"/>
        <v/>
      </c>
      <c r="AW35" s="53"/>
      <c r="AX35" s="16"/>
      <c r="AZ35" s="68" t="str">
        <f>'USD Market Data'!AR36</f>
        <v/>
      </c>
      <c r="BA35" s="79" t="str">
        <f>'USD Market Data'!AV36</f>
        <v/>
      </c>
      <c r="BB35" s="80" t="b">
        <f t="shared" si="0"/>
        <v>0</v>
      </c>
      <c r="BD35" s="12"/>
      <c r="BE35" s="27"/>
      <c r="BG35" s="53" t="s">
        <v>47</v>
      </c>
      <c r="BH35" s="16" t="s">
        <v>46</v>
      </c>
      <c r="BJ35" s="223" t="str">
        <f>'USD Market Data'!AX36</f>
        <v/>
      </c>
      <c r="BK35" s="263" t="str">
        <f>'USD Market Data'!BB36</f>
        <v/>
      </c>
      <c r="BM35" s="53" t="s">
        <v>47</v>
      </c>
      <c r="BN35" s="16" t="s">
        <v>46</v>
      </c>
      <c r="BP35" s="223" t="str">
        <f>'USD Market Data'!BD36</f>
        <v/>
      </c>
      <c r="BQ35" s="263" t="str">
        <f>'USD Market Data'!BH36</f>
        <v/>
      </c>
      <c r="BS35" s="53" t="s">
        <v>47</v>
      </c>
      <c r="BT35" s="16" t="s">
        <v>46</v>
      </c>
      <c r="BV35" s="223" t="str">
        <f>'USD Market Data'!BJ36</f>
        <v/>
      </c>
      <c r="BW35" s="263" t="str">
        <f>'USD Market Data'!BN36</f>
        <v/>
      </c>
      <c r="BY35" s="12"/>
      <c r="BZ35" s="83"/>
      <c r="CB35" s="53"/>
      <c r="CC35" s="83"/>
      <c r="CE35" s="84"/>
      <c r="CF35" s="98"/>
      <c r="CH35" s="12"/>
      <c r="CI35" s="83"/>
      <c r="CK35" s="53"/>
      <c r="CL35" s="83"/>
      <c r="CN35" s="53"/>
      <c r="CO35" s="83"/>
      <c r="CQ35" s="53"/>
      <c r="CR35" s="83"/>
    </row>
    <row r="36" spans="2:96">
      <c r="B36" s="53"/>
      <c r="C36" s="118"/>
      <c r="D36" s="119"/>
      <c r="E36" s="120"/>
      <c r="L36" s="203"/>
      <c r="M36" s="223" t="str">
        <f>'USD Market Data'!B37</f>
        <v/>
      </c>
      <c r="N36" s="224" t="str">
        <f>IF(LEFT($M36,2)="FF",'USD Market Data'!F37*100,'USD Market Data'!F37)</f>
        <v/>
      </c>
      <c r="O36" s="258" t="str">
        <f>IF(LEFT(M36,2)="FF",_xll.meDateFromTenor(EOMONTH(COB,getFuturesMonth(M36)+2+getYearIncrementMonths(COB,M36))+1,"0D","Following",$K$8),"")</f>
        <v/>
      </c>
      <c r="P36" s="258" t="str">
        <f>IF(O36="","",EOMONTH(O36,0+getYearIncrementMonths(COB,M36)))</f>
        <v/>
      </c>
      <c r="Q36" s="86" t="b">
        <f t="shared" si="2"/>
        <v>0</v>
      </c>
      <c r="S36" s="92"/>
      <c r="T36" s="93"/>
      <c r="Y36" s="229" t="str">
        <f>'USD Market Data'!H37</f>
        <v/>
      </c>
      <c r="Z36" s="239" t="str">
        <f>IF('USD Market Data'!L37="","",'USD Market Data'!L37)</f>
        <v/>
      </c>
      <c r="AE36" s="229"/>
      <c r="AF36" s="230"/>
      <c r="AH36" s="12"/>
      <c r="AI36" s="27"/>
      <c r="AK36" s="51"/>
      <c r="AL36" s="33"/>
      <c r="AM36" s="3"/>
      <c r="AN36" s="51"/>
      <c r="AO36" s="33"/>
      <c r="AP36" s="3"/>
      <c r="AQ36" s="270" t="str">
        <f>'USD Market Data'!AM30</f>
        <v/>
      </c>
      <c r="AR36" s="287" t="str">
        <f>IF($AQ36="","",VLOOKUP($AQ36,'Instrument Data'!Data.Swaps.USD,4,0))</f>
        <v/>
      </c>
      <c r="AS36" s="287" t="str">
        <f>IF($AQ36="","",VLOOKUP($AQ36,'Instrument Data'!Data.Swaps.USD,5,0))</f>
        <v/>
      </c>
      <c r="AT36" s="274" t="str">
        <f>'USD Market Data'!AP30</f>
        <v/>
      </c>
      <c r="AU36" s="279" t="str">
        <f t="shared" si="1"/>
        <v/>
      </c>
      <c r="AW36" s="53"/>
      <c r="AX36" s="16"/>
      <c r="AZ36" s="68" t="str">
        <f>'USD Market Data'!AR37</f>
        <v/>
      </c>
      <c r="BA36" s="79" t="str">
        <f>'USD Market Data'!AV37</f>
        <v/>
      </c>
      <c r="BB36" s="80" t="b">
        <f t="shared" si="0"/>
        <v>0</v>
      </c>
      <c r="BD36" s="12"/>
      <c r="BE36" s="27"/>
      <c r="BG36" s="53" t="s">
        <v>45</v>
      </c>
      <c r="BH36" s="16" t="s">
        <v>112</v>
      </c>
      <c r="BJ36" s="223" t="str">
        <f>'USD Market Data'!AX37</f>
        <v/>
      </c>
      <c r="BK36" s="263" t="str">
        <f>'USD Market Data'!BB37</f>
        <v/>
      </c>
      <c r="BM36" s="53" t="s">
        <v>45</v>
      </c>
      <c r="BN36" s="16" t="s">
        <v>112</v>
      </c>
      <c r="BP36" s="223" t="str">
        <f>'USD Market Data'!BD37</f>
        <v/>
      </c>
      <c r="BQ36" s="263" t="str">
        <f>'USD Market Data'!BH37</f>
        <v/>
      </c>
      <c r="BS36" s="53" t="s">
        <v>45</v>
      </c>
      <c r="BT36" s="16" t="s">
        <v>112</v>
      </c>
      <c r="BV36" s="223" t="str">
        <f>'USD Market Data'!BJ37</f>
        <v/>
      </c>
      <c r="BW36" s="263" t="str">
        <f>'USD Market Data'!BN37</f>
        <v/>
      </c>
      <c r="BY36" s="12"/>
      <c r="BZ36" s="83"/>
      <c r="CB36" s="53"/>
      <c r="CC36" s="83"/>
      <c r="CE36" s="84"/>
      <c r="CF36" s="98"/>
      <c r="CH36" s="12"/>
      <c r="CI36" s="83"/>
      <c r="CK36" s="53"/>
      <c r="CL36" s="83"/>
      <c r="CN36" s="53"/>
      <c r="CO36" s="83"/>
      <c r="CQ36" s="53"/>
      <c r="CR36" s="83"/>
    </row>
    <row r="37" spans="2:96">
      <c r="B37" s="59"/>
      <c r="C37" s="121"/>
      <c r="D37" s="122"/>
      <c r="E37" s="123"/>
      <c r="L37" s="203"/>
      <c r="M37" s="223" t="str">
        <f>'USD Market Data'!B38</f>
        <v/>
      </c>
      <c r="N37" s="224" t="str">
        <f>IF(LEFT($M37,2)="FF",'USD Market Data'!F38*100,'USD Market Data'!F38)</f>
        <v/>
      </c>
      <c r="O37" s="258" t="str">
        <f>IF(LEFT(M37,2)="FF",_xll.meDateFromTenor(EOMONTH(COB,getFuturesMonth(M37)+2+getYearIncrementMonths(COB,M37))+1,"0D","Following",$K$8),"")</f>
        <v/>
      </c>
      <c r="P37" s="258" t="str">
        <f>IF(O37="","",EOMONTH(O37,0+getYearIncrementMonths(COB,M37)))</f>
        <v/>
      </c>
      <c r="Q37" s="86" t="b">
        <f t="shared" si="2"/>
        <v>0</v>
      </c>
      <c r="S37" s="92"/>
      <c r="T37" s="93"/>
      <c r="Y37" s="229" t="str">
        <f>'USD Market Data'!H38</f>
        <v/>
      </c>
      <c r="Z37" s="239" t="str">
        <f>IF('USD Market Data'!L38="","",'USD Market Data'!L38)</f>
        <v/>
      </c>
      <c r="AE37" s="229"/>
      <c r="AF37" s="230"/>
      <c r="AH37" s="12"/>
      <c r="AI37" s="27"/>
      <c r="AK37" s="51"/>
      <c r="AL37" s="33"/>
      <c r="AM37" s="3"/>
      <c r="AN37" s="51"/>
      <c r="AO37" s="33"/>
      <c r="AP37" s="3"/>
      <c r="AQ37" s="270" t="str">
        <f>'USD Market Data'!AM31</f>
        <v/>
      </c>
      <c r="AR37" s="287" t="str">
        <f>IF($AQ37="","",VLOOKUP($AQ37,'Instrument Data'!Data.Swaps.USD,4,0))</f>
        <v/>
      </c>
      <c r="AS37" s="287" t="str">
        <f>IF($AQ37="","",VLOOKUP($AQ37,'Instrument Data'!Data.Swaps.USD,5,0))</f>
        <v/>
      </c>
      <c r="AT37" s="274" t="str">
        <f>'USD Market Data'!AP31</f>
        <v/>
      </c>
      <c r="AU37" s="279" t="str">
        <f t="shared" si="1"/>
        <v/>
      </c>
      <c r="AW37" s="53"/>
      <c r="AX37" s="16"/>
      <c r="AZ37" s="68" t="str">
        <f>'USD Market Data'!AR38</f>
        <v/>
      </c>
      <c r="BA37" s="79" t="str">
        <f>'USD Market Data'!AV38</f>
        <v/>
      </c>
      <c r="BB37" s="80" t="b">
        <f t="shared" si="0"/>
        <v>0</v>
      </c>
      <c r="BD37" s="12"/>
      <c r="BE37" s="27"/>
      <c r="BG37" s="53" t="s">
        <v>42</v>
      </c>
      <c r="BH37" s="16" t="s">
        <v>41</v>
      </c>
      <c r="BJ37" s="223" t="str">
        <f>'USD Market Data'!AX38</f>
        <v/>
      </c>
      <c r="BK37" s="263" t="str">
        <f>'USD Market Data'!BB38</f>
        <v/>
      </c>
      <c r="BM37" s="53" t="s">
        <v>42</v>
      </c>
      <c r="BN37" s="16" t="s">
        <v>41</v>
      </c>
      <c r="BP37" s="223" t="str">
        <f>'USD Market Data'!BD38</f>
        <v/>
      </c>
      <c r="BQ37" s="263" t="str">
        <f>'USD Market Data'!BH38</f>
        <v/>
      </c>
      <c r="BS37" s="53" t="s">
        <v>42</v>
      </c>
      <c r="BT37" s="16" t="s">
        <v>41</v>
      </c>
      <c r="BV37" s="223" t="str">
        <f>'USD Market Data'!BJ38</f>
        <v/>
      </c>
      <c r="BW37" s="263" t="str">
        <f>'USD Market Data'!BN38</f>
        <v/>
      </c>
      <c r="BY37" s="12"/>
      <c r="BZ37" s="83"/>
      <c r="CB37" s="53"/>
      <c r="CC37" s="83"/>
      <c r="CE37" s="84"/>
      <c r="CF37" s="98"/>
      <c r="CH37" s="12"/>
      <c r="CI37" s="83"/>
      <c r="CK37" s="53"/>
      <c r="CL37" s="83"/>
      <c r="CN37" s="53"/>
      <c r="CO37" s="83"/>
      <c r="CQ37" s="53"/>
      <c r="CR37" s="83"/>
    </row>
    <row r="38" spans="2:96">
      <c r="L38" s="203"/>
      <c r="M38" s="223" t="str">
        <f>'USD Market Data'!B39</f>
        <v/>
      </c>
      <c r="N38" s="224" t="str">
        <f>IF(LEFT($M38,2)="FF",'USD Market Data'!F39*100,'USD Market Data'!F39)</f>
        <v/>
      </c>
      <c r="O38" s="258" t="str">
        <f>IF(LEFT(M38,2)="FF",_xll.meDateFromTenor(EOMONTH(COB,getFuturesMonth(M38)+2+getYearIncrementMonths(COB,M38))+1,"0D","Following",$K$8),"")</f>
        <v/>
      </c>
      <c r="P38" s="258" t="str">
        <f>IF(O38="","",EOMONTH(O38,0+getYearIncrementMonths(COB,M38)))</f>
        <v/>
      </c>
      <c r="Q38" s="86" t="b">
        <f t="shared" si="2"/>
        <v>0</v>
      </c>
      <c r="S38" s="92"/>
      <c r="T38" s="93"/>
      <c r="Y38" s="229" t="str">
        <f>'USD Market Data'!H39</f>
        <v/>
      </c>
      <c r="Z38" s="239" t="str">
        <f>IF('USD Market Data'!L39="","",'USD Market Data'!L39)</f>
        <v/>
      </c>
      <c r="AE38" s="229"/>
      <c r="AF38" s="230"/>
      <c r="AH38" s="12"/>
      <c r="AI38" s="27"/>
      <c r="AK38" s="51"/>
      <c r="AL38" s="33"/>
      <c r="AN38" s="51"/>
      <c r="AO38" s="33"/>
      <c r="AQ38" s="270" t="str">
        <f>'USD Market Data'!AM32</f>
        <v/>
      </c>
      <c r="AR38" s="287" t="str">
        <f>IF($AQ38="","",VLOOKUP($AQ38,'Instrument Data'!Data.Swaps.USD,4,0))</f>
        <v/>
      </c>
      <c r="AS38" s="287" t="str">
        <f>IF($AQ38="","",VLOOKUP($AQ38,'Instrument Data'!Data.Swaps.USD,5,0))</f>
        <v/>
      </c>
      <c r="AT38" s="274" t="str">
        <f>'USD Market Data'!AP32</f>
        <v/>
      </c>
      <c r="AU38" s="279" t="str">
        <f t="shared" si="1"/>
        <v/>
      </c>
      <c r="AW38" s="53"/>
      <c r="AX38" s="16"/>
      <c r="AZ38" s="68" t="str">
        <f>'USD Market Data'!AR39</f>
        <v/>
      </c>
      <c r="BA38" s="79" t="str">
        <f>'USD Market Data'!AV39</f>
        <v/>
      </c>
      <c r="BB38" s="80" t="b">
        <f t="shared" si="0"/>
        <v>0</v>
      </c>
      <c r="BD38" s="12"/>
      <c r="BE38" s="27"/>
      <c r="BG38" s="53" t="s">
        <v>39</v>
      </c>
      <c r="BH38" s="16" t="s">
        <v>38</v>
      </c>
      <c r="BJ38" s="223" t="str">
        <f>'USD Market Data'!AX39</f>
        <v/>
      </c>
      <c r="BK38" s="263" t="str">
        <f>'USD Market Data'!BB39</f>
        <v/>
      </c>
      <c r="BM38" s="53" t="s">
        <v>39</v>
      </c>
      <c r="BN38" s="16" t="s">
        <v>38</v>
      </c>
      <c r="BP38" s="223" t="str">
        <f>'USD Market Data'!BD39</f>
        <v/>
      </c>
      <c r="BQ38" s="263" t="str">
        <f>'USD Market Data'!BH39</f>
        <v/>
      </c>
      <c r="BS38" s="53" t="s">
        <v>39</v>
      </c>
      <c r="BT38" s="16" t="s">
        <v>38</v>
      </c>
      <c r="BV38" s="223" t="str">
        <f>'USD Market Data'!BJ39</f>
        <v/>
      </c>
      <c r="BW38" s="263" t="str">
        <f>'USD Market Data'!BN39</f>
        <v/>
      </c>
      <c r="BY38" s="12"/>
      <c r="BZ38" s="83"/>
      <c r="CB38" s="53"/>
      <c r="CC38" s="83"/>
      <c r="CE38" s="84"/>
      <c r="CF38" s="98"/>
      <c r="CH38" s="12"/>
      <c r="CI38" s="83"/>
      <c r="CK38" s="53"/>
      <c r="CL38" s="83"/>
      <c r="CN38" s="53"/>
      <c r="CO38" s="83"/>
      <c r="CQ38" s="53"/>
      <c r="CR38" s="83"/>
    </row>
    <row r="39" spans="2:96">
      <c r="B39" s="2" t="s">
        <v>311</v>
      </c>
      <c r="C39" s="9"/>
      <c r="L39" s="203"/>
      <c r="M39" s="223" t="str">
        <f>'USD Market Data'!B40</f>
        <v/>
      </c>
      <c r="N39" s="224" t="str">
        <f>IF(LEFT($M39,2)="FF",'USD Market Data'!F40*100,'USD Market Data'!F40)</f>
        <v/>
      </c>
      <c r="O39" s="258" t="str">
        <f>IF(LEFT(M39,2)="FF",_xll.meDateFromTenor(EOMONTH(COB,getFuturesMonth(M39)+2+getYearIncrementMonths(COB,M39))+1,"0D","Following",$K$8),"")</f>
        <v/>
      </c>
      <c r="P39" s="258" t="str">
        <f>IF(O39="","",EOMONTH(O39,0+getYearIncrementMonths(COB,M39)))</f>
        <v/>
      </c>
      <c r="Q39" s="86" t="b">
        <f t="shared" si="2"/>
        <v>0</v>
      </c>
      <c r="S39" s="92"/>
      <c r="T39" s="93"/>
      <c r="Y39" s="229" t="str">
        <f>'USD Market Data'!H40</f>
        <v/>
      </c>
      <c r="Z39" s="239" t="str">
        <f>IF('USD Market Data'!L40="","",'USD Market Data'!L40)</f>
        <v/>
      </c>
      <c r="AE39" s="229" t="str">
        <f>'USD Market Data'!N40</f>
        <v/>
      </c>
      <c r="AF39" s="230" t="str">
        <f>'USD Market Data'!R40</f>
        <v/>
      </c>
      <c r="AH39" s="12"/>
      <c r="AI39" s="27"/>
      <c r="AK39" s="51"/>
      <c r="AL39" s="33"/>
      <c r="AN39" s="51"/>
      <c r="AO39" s="33"/>
      <c r="AQ39" s="270" t="str">
        <f>'USD Market Data'!AM33</f>
        <v/>
      </c>
      <c r="AR39" s="287" t="str">
        <f>IF($AQ39="","",VLOOKUP($AQ39,'Instrument Data'!Data.Swaps.USD,4,0))</f>
        <v/>
      </c>
      <c r="AS39" s="287" t="str">
        <f>IF($AQ39="","",VLOOKUP($AQ39,'Instrument Data'!Data.Swaps.USD,5,0))</f>
        <v/>
      </c>
      <c r="AT39" s="274" t="str">
        <f>'USD Market Data'!AP33</f>
        <v/>
      </c>
      <c r="AU39" s="279" t="str">
        <f t="shared" si="1"/>
        <v/>
      </c>
      <c r="AW39" s="53"/>
      <c r="AX39" s="16"/>
      <c r="AZ39" s="68" t="str">
        <f>'USD Market Data'!AR40</f>
        <v/>
      </c>
      <c r="BA39" s="79" t="str">
        <f>'USD Market Data'!AV40</f>
        <v/>
      </c>
      <c r="BB39" s="80" t="b">
        <f t="shared" si="0"/>
        <v>0</v>
      </c>
      <c r="BD39" s="12"/>
      <c r="BE39" s="27"/>
      <c r="BG39" s="53" t="s">
        <v>35</v>
      </c>
      <c r="BH39" s="16" t="s">
        <v>36</v>
      </c>
      <c r="BJ39" s="223" t="str">
        <f>'USD Market Data'!AX40</f>
        <v/>
      </c>
      <c r="BK39" s="263" t="str">
        <f>'USD Market Data'!BB40</f>
        <v/>
      </c>
      <c r="BM39" s="53" t="s">
        <v>35</v>
      </c>
      <c r="BN39" s="16" t="s">
        <v>34</v>
      </c>
      <c r="BP39" s="223" t="str">
        <f>'USD Market Data'!BD40</f>
        <v/>
      </c>
      <c r="BQ39" s="263" t="str">
        <f>'USD Market Data'!BH40</f>
        <v/>
      </c>
      <c r="BS39" s="53" t="s">
        <v>35</v>
      </c>
      <c r="BT39" s="16" t="s">
        <v>36</v>
      </c>
      <c r="BV39" s="223" t="str">
        <f>'USD Market Data'!BJ40</f>
        <v/>
      </c>
      <c r="BW39" s="263" t="str">
        <f>'USD Market Data'!BN40</f>
        <v/>
      </c>
      <c r="BY39" s="12"/>
      <c r="BZ39" s="83"/>
      <c r="CB39" s="53"/>
      <c r="CC39" s="83"/>
      <c r="CE39" s="84"/>
      <c r="CF39" s="98"/>
      <c r="CH39" s="12"/>
      <c r="CI39" s="83"/>
      <c r="CK39" s="53"/>
      <c r="CL39" s="83"/>
      <c r="CN39" s="53"/>
      <c r="CO39" s="83"/>
      <c r="CQ39" s="53"/>
      <c r="CR39" s="83"/>
    </row>
    <row r="40" spans="2:96">
      <c r="B40" s="52" t="s">
        <v>189</v>
      </c>
      <c r="C40" s="112" t="s">
        <v>190</v>
      </c>
      <c r="D40" s="113"/>
      <c r="E40" s="114"/>
      <c r="L40" s="203"/>
      <c r="M40" s="223" t="str">
        <f>'USD Market Data'!B41</f>
        <v/>
      </c>
      <c r="N40" s="224" t="str">
        <f>IF(LEFT($M40,2)="FF",'USD Market Data'!F41*100,'USD Market Data'!F41)</f>
        <v/>
      </c>
      <c r="O40" s="258" t="str">
        <f>IF(LEFT(M40,2)="FF",_xll.meDateFromTenor(EOMONTH(COB,getFuturesMonth(M40)+2+getYearIncrementMonths(COB,M40))+1,"0D","Following",$K$8),"")</f>
        <v/>
      </c>
      <c r="P40" s="258" t="str">
        <f>IF(O40="","",EOMONTH(O40,0+getYearIncrementMonths(COB,M40)))</f>
        <v/>
      </c>
      <c r="Q40" s="86" t="b">
        <f t="shared" si="2"/>
        <v>0</v>
      </c>
      <c r="S40" s="92"/>
      <c r="T40" s="93"/>
      <c r="Y40" s="229" t="str">
        <f>'USD Market Data'!H41</f>
        <v/>
      </c>
      <c r="Z40" s="239" t="str">
        <f>IF('USD Market Data'!L41="","",'USD Market Data'!L41)</f>
        <v/>
      </c>
      <c r="AE40" s="229" t="str">
        <f>'USD Market Data'!N41</f>
        <v/>
      </c>
      <c r="AF40" s="230" t="str">
        <f>'USD Market Data'!R41</f>
        <v/>
      </c>
      <c r="AH40" s="12"/>
      <c r="AI40" s="27"/>
      <c r="AK40" s="51"/>
      <c r="AL40" s="33"/>
      <c r="AN40" s="51"/>
      <c r="AO40" s="33"/>
      <c r="AQ40" s="270" t="str">
        <f>'USD Market Data'!AM34</f>
        <v/>
      </c>
      <c r="AR40" s="287" t="str">
        <f>IF($AQ40="","",VLOOKUP($AQ40,'Instrument Data'!Data.Swaps.USD,4,0))</f>
        <v/>
      </c>
      <c r="AS40" s="287" t="str">
        <f>IF($AQ40="","",VLOOKUP($AQ40,'Instrument Data'!Data.Swaps.USD,5,0))</f>
        <v/>
      </c>
      <c r="AT40" s="274" t="str">
        <f>'USD Market Data'!AP34</f>
        <v/>
      </c>
      <c r="AU40" s="279" t="str">
        <f t="shared" si="1"/>
        <v/>
      </c>
      <c r="AW40" s="53"/>
      <c r="AX40" s="16"/>
      <c r="AZ40" s="68" t="str">
        <f>'USD Market Data'!AR41</f>
        <v/>
      </c>
      <c r="BA40" s="79" t="str">
        <f>'USD Market Data'!AV41</f>
        <v/>
      </c>
      <c r="BB40" s="80" t="b">
        <f t="shared" si="0"/>
        <v>0</v>
      </c>
      <c r="BD40" s="12"/>
      <c r="BE40" s="27"/>
      <c r="BG40" s="53" t="s">
        <v>32</v>
      </c>
      <c r="BH40" s="28" t="b">
        <v>1</v>
      </c>
      <c r="BJ40" s="223" t="str">
        <f>'USD Market Data'!AX41</f>
        <v/>
      </c>
      <c r="BK40" s="263" t="str">
        <f>'USD Market Data'!BB41</f>
        <v/>
      </c>
      <c r="BM40" s="53" t="s">
        <v>32</v>
      </c>
      <c r="BN40" s="28" t="b">
        <v>1</v>
      </c>
      <c r="BP40" s="223" t="str">
        <f>'USD Market Data'!BD41</f>
        <v/>
      </c>
      <c r="BQ40" s="263" t="str">
        <f>'USD Market Data'!BH41</f>
        <v/>
      </c>
      <c r="BS40" s="53" t="s">
        <v>32</v>
      </c>
      <c r="BT40" s="28" t="b">
        <v>1</v>
      </c>
      <c r="BV40" s="223" t="str">
        <f>'USD Market Data'!BJ41</f>
        <v/>
      </c>
      <c r="BW40" s="263" t="str">
        <f>'USD Market Data'!BN41</f>
        <v/>
      </c>
      <c r="BY40" s="12"/>
      <c r="BZ40" s="83"/>
      <c r="CB40" s="53"/>
      <c r="CC40" s="83"/>
      <c r="CE40" s="84"/>
      <c r="CF40" s="98"/>
      <c r="CH40" s="12"/>
      <c r="CI40" s="83"/>
      <c r="CK40" s="53"/>
      <c r="CL40" s="83"/>
      <c r="CN40" s="53"/>
      <c r="CO40" s="83"/>
      <c r="CQ40" s="53"/>
      <c r="CR40" s="83"/>
    </row>
    <row r="41" spans="2:96">
      <c r="B41" s="53" t="s">
        <v>61</v>
      </c>
      <c r="C41" s="115" t="s">
        <v>9</v>
      </c>
      <c r="D41" s="116"/>
      <c r="E41" s="117"/>
      <c r="L41" s="203"/>
      <c r="M41" s="223" t="str">
        <f>'USD Market Data'!B42</f>
        <v/>
      </c>
      <c r="N41" s="224" t="str">
        <f>IF(LEFT($M41,2)="FF",'USD Market Data'!F42*100,'USD Market Data'!F42)</f>
        <v/>
      </c>
      <c r="O41" s="258" t="str">
        <f>IF(LEFT(M41,2)="FF",_xll.meDateFromTenor(EOMONTH(COB,getFuturesMonth(M41)+2+getYearIncrementMonths(COB,M41))+1,"0D","Following",$K$8),"")</f>
        <v/>
      </c>
      <c r="P41" s="258" t="str">
        <f>IF(O41="","",EOMONTH(O41,0+getYearIncrementMonths(COB,M41)))</f>
        <v/>
      </c>
      <c r="Q41" s="86" t="b">
        <f t="shared" si="2"/>
        <v>0</v>
      </c>
      <c r="S41" s="92"/>
      <c r="T41" s="93"/>
      <c r="Y41" s="229" t="str">
        <f>'USD Market Data'!H42</f>
        <v/>
      </c>
      <c r="Z41" s="239" t="str">
        <f>IF('USD Market Data'!L42="","",'USD Market Data'!L42)</f>
        <v/>
      </c>
      <c r="AE41" s="229" t="str">
        <f>'USD Market Data'!N42</f>
        <v/>
      </c>
      <c r="AF41" s="230" t="str">
        <f>'USD Market Data'!R42</f>
        <v/>
      </c>
      <c r="AH41" s="12"/>
      <c r="AI41" s="27"/>
      <c r="AK41" s="51"/>
      <c r="AL41" s="33"/>
      <c r="AN41" s="51"/>
      <c r="AO41" s="33"/>
      <c r="AQ41" s="270" t="str">
        <f>'USD Market Data'!AM35</f>
        <v/>
      </c>
      <c r="AR41" s="287" t="str">
        <f>IF($AQ41="","",VLOOKUP($AQ41,'Instrument Data'!Data.Swaps.USD,4,0))</f>
        <v/>
      </c>
      <c r="AS41" s="287" t="str">
        <f>IF($AQ41="","",VLOOKUP($AQ41,'Instrument Data'!Data.Swaps.USD,5,0))</f>
        <v/>
      </c>
      <c r="AT41" s="274" t="str">
        <f>'USD Market Data'!AP35</f>
        <v/>
      </c>
      <c r="AU41" s="279" t="str">
        <f t="shared" si="1"/>
        <v/>
      </c>
      <c r="AW41" s="53"/>
      <c r="AX41" s="16"/>
      <c r="AZ41" s="68" t="str">
        <f>'USD Market Data'!AR42</f>
        <v/>
      </c>
      <c r="BA41" s="79" t="str">
        <f>'USD Market Data'!AV42</f>
        <v/>
      </c>
      <c r="BB41" s="80" t="b">
        <f t="shared" si="0"/>
        <v>0</v>
      </c>
      <c r="BD41" s="12"/>
      <c r="BE41" s="27"/>
      <c r="BG41" s="53" t="s">
        <v>30</v>
      </c>
      <c r="BH41" s="16" t="b">
        <f ca="1">_xll.meUtilityCurveIsUsingForwards()</f>
        <v>1</v>
      </c>
      <c r="BJ41" s="223" t="str">
        <f>'USD Market Data'!AX42</f>
        <v/>
      </c>
      <c r="BK41" s="263" t="str">
        <f>'USD Market Data'!BB42</f>
        <v/>
      </c>
      <c r="BM41" s="53" t="s">
        <v>30</v>
      </c>
      <c r="BN41" s="16" t="b">
        <f ca="1">_xll.meUtilityCurveIsUsingForwards()</f>
        <v>1</v>
      </c>
      <c r="BP41" s="223" t="str">
        <f>'USD Market Data'!BD42</f>
        <v/>
      </c>
      <c r="BQ41" s="263" t="str">
        <f>'USD Market Data'!BH42</f>
        <v/>
      </c>
      <c r="BS41" s="53" t="s">
        <v>30</v>
      </c>
      <c r="BT41" s="16" t="b">
        <f ca="1">_xll.meUtilityCurveIsUsingForwards()</f>
        <v>1</v>
      </c>
      <c r="BV41" s="223" t="str">
        <f>'USD Market Data'!BJ42</f>
        <v/>
      </c>
      <c r="BW41" s="263" t="str">
        <f>'USD Market Data'!BN42</f>
        <v/>
      </c>
      <c r="BY41" s="12"/>
      <c r="BZ41" s="83"/>
      <c r="CB41" s="53"/>
      <c r="CC41" s="83"/>
      <c r="CE41" s="84"/>
      <c r="CF41" s="98"/>
      <c r="CH41" s="12"/>
      <c r="CI41" s="83"/>
      <c r="CK41" s="53"/>
      <c r="CL41" s="83"/>
      <c r="CN41" s="53"/>
      <c r="CO41" s="83"/>
      <c r="CQ41" s="53"/>
      <c r="CR41" s="83"/>
    </row>
    <row r="42" spans="2:96">
      <c r="B42" s="53" t="s">
        <v>194</v>
      </c>
      <c r="C42" s="118" t="s">
        <v>290</v>
      </c>
      <c r="D42" s="119"/>
      <c r="E42" s="120"/>
      <c r="L42" s="203"/>
      <c r="M42" s="223" t="str">
        <f>'USD Market Data'!B43</f>
        <v/>
      </c>
      <c r="N42" s="224" t="str">
        <f>IF(LEFT($M42,2)="FF",'USD Market Data'!F43*100,'USD Market Data'!F43)</f>
        <v/>
      </c>
      <c r="O42" s="258" t="str">
        <f>IF(LEFT(M42,2)="FF",_xll.meDateFromTenor(EOMONTH(COB,getFuturesMonth(M42)+2+getYearIncrementMonths(COB,M42))+1,"0D","Following",$K$8),"")</f>
        <v/>
      </c>
      <c r="P42" s="258" t="str">
        <f>IF(O42="","",EOMONTH(O42,0+getYearIncrementMonths(COB,M42)))</f>
        <v/>
      </c>
      <c r="Q42" s="86" t="b">
        <f t="shared" si="2"/>
        <v>0</v>
      </c>
      <c r="S42" s="92"/>
      <c r="T42" s="93"/>
      <c r="Y42" s="229" t="str">
        <f>'USD Market Data'!H43</f>
        <v/>
      </c>
      <c r="Z42" s="239" t="str">
        <f>IF('USD Market Data'!L43="","",'USD Market Data'!L43)</f>
        <v/>
      </c>
      <c r="AE42" s="229" t="str">
        <f>'USD Market Data'!N43</f>
        <v/>
      </c>
      <c r="AF42" s="230" t="str">
        <f>'USD Market Data'!R43</f>
        <v/>
      </c>
      <c r="AH42" s="12"/>
      <c r="AI42" s="27"/>
      <c r="AK42" s="51"/>
      <c r="AL42" s="33"/>
      <c r="AN42" s="51"/>
      <c r="AO42" s="33"/>
      <c r="AQ42" s="270" t="str">
        <f>'USD Market Data'!AM36</f>
        <v/>
      </c>
      <c r="AR42" s="287" t="str">
        <f>IF($AQ42="","",VLOOKUP($AQ42,'Instrument Data'!Data.Swaps.USD,4,0))</f>
        <v/>
      </c>
      <c r="AS42" s="287" t="str">
        <f>IF($AQ42="","",VLOOKUP($AQ42,'Instrument Data'!Data.Swaps.USD,5,0))</f>
        <v/>
      </c>
      <c r="AT42" s="274" t="str">
        <f>'USD Market Data'!AP36</f>
        <v/>
      </c>
      <c r="AU42" s="279" t="str">
        <f t="shared" si="1"/>
        <v/>
      </c>
      <c r="AW42" s="53"/>
      <c r="AX42" s="16"/>
      <c r="AZ42" s="68" t="str">
        <f>'USD Market Data'!AR43</f>
        <v/>
      </c>
      <c r="BA42" s="79" t="str">
        <f>'USD Market Data'!AV43</f>
        <v/>
      </c>
      <c r="BB42" s="80" t="b">
        <f t="shared" si="0"/>
        <v>0</v>
      </c>
      <c r="BD42" s="12"/>
      <c r="BE42" s="27"/>
      <c r="BG42" s="53" t="s">
        <v>28</v>
      </c>
      <c r="BH42" s="16" t="s">
        <v>2261</v>
      </c>
      <c r="BI42" t="s">
        <v>12</v>
      </c>
      <c r="BJ42" s="223" t="str">
        <f>'USD Market Data'!AX43</f>
        <v/>
      </c>
      <c r="BK42" s="263" t="str">
        <f>'USD Market Data'!BB43</f>
        <v/>
      </c>
      <c r="BM42" s="53" t="s">
        <v>28</v>
      </c>
      <c r="BN42" s="16" t="s">
        <v>2261</v>
      </c>
      <c r="BO42" t="s">
        <v>12</v>
      </c>
      <c r="BP42" s="223" t="str">
        <f>'USD Market Data'!BD43</f>
        <v/>
      </c>
      <c r="BQ42" s="263" t="str">
        <f>'USD Market Data'!BH43</f>
        <v/>
      </c>
      <c r="BS42" s="53" t="s">
        <v>28</v>
      </c>
      <c r="BT42" s="16" t="s">
        <v>2261</v>
      </c>
      <c r="BU42" t="s">
        <v>12</v>
      </c>
      <c r="BV42" s="223" t="str">
        <f>'USD Market Data'!BJ43</f>
        <v/>
      </c>
      <c r="BW42" s="263" t="str">
        <f>'USD Market Data'!BN43</f>
        <v/>
      </c>
      <c r="BY42" s="12"/>
      <c r="BZ42" s="83"/>
      <c r="CB42" s="53"/>
      <c r="CC42" s="83"/>
      <c r="CE42" s="84"/>
      <c r="CF42" s="98"/>
      <c r="CH42" s="12"/>
      <c r="CI42" s="83"/>
      <c r="CK42" s="53"/>
      <c r="CL42" s="83"/>
      <c r="CN42" s="53"/>
      <c r="CO42" s="83"/>
      <c r="CQ42" s="53"/>
      <c r="CR42" s="83"/>
    </row>
    <row r="43" spans="2:96">
      <c r="B43" s="53" t="s">
        <v>195</v>
      </c>
      <c r="C43" s="118" t="s">
        <v>288</v>
      </c>
      <c r="D43" s="119"/>
      <c r="E43" s="120"/>
      <c r="L43" s="203"/>
      <c r="M43" s="223" t="str">
        <f>'USD Market Data'!B44</f>
        <v/>
      </c>
      <c r="N43" s="224" t="str">
        <f>IF(LEFT($M43,2)="FF",'USD Market Data'!F44*100,'USD Market Data'!F44)</f>
        <v/>
      </c>
      <c r="O43" s="258" t="str">
        <f>IF(LEFT(M43,2)="FF",_xll.meDateFromTenor(EOMONTH(COB,getFuturesMonth(M43)+2+getYearIncrementMonths(COB,M43))+1,"0D","Following",$K$8),"")</f>
        <v/>
      </c>
      <c r="P43" s="258" t="str">
        <f>IF(O43="","",EOMONTH(O43,0+getYearIncrementMonths(COB,M43)))</f>
        <v/>
      </c>
      <c r="Q43" s="86" t="b">
        <f t="shared" si="2"/>
        <v>0</v>
      </c>
      <c r="S43" s="92"/>
      <c r="T43" s="93"/>
      <c r="Y43" s="229" t="str">
        <f>'USD Market Data'!H44</f>
        <v/>
      </c>
      <c r="Z43" s="239" t="str">
        <f>IF('USD Market Data'!L44="","",'USD Market Data'!L44)</f>
        <v/>
      </c>
      <c r="AE43" s="229" t="str">
        <f>'USD Market Data'!N44</f>
        <v/>
      </c>
      <c r="AF43" s="230" t="str">
        <f>'USD Market Data'!R44</f>
        <v/>
      </c>
      <c r="AH43" s="12"/>
      <c r="AI43" s="27"/>
      <c r="AK43" s="51"/>
      <c r="AL43" s="33"/>
      <c r="AN43" s="51"/>
      <c r="AO43" s="33"/>
      <c r="AQ43" s="270" t="str">
        <f>'USD Market Data'!AM37</f>
        <v/>
      </c>
      <c r="AR43" s="287" t="str">
        <f>IF($AQ43="","",VLOOKUP($AQ43,'Instrument Data'!Data.Swaps.USD,4,0))</f>
        <v/>
      </c>
      <c r="AS43" s="287" t="str">
        <f>IF($AQ43="","",VLOOKUP($AQ43,'Instrument Data'!Data.Swaps.USD,5,0))</f>
        <v/>
      </c>
      <c r="AT43" s="274" t="str">
        <f>'USD Market Data'!AP37</f>
        <v/>
      </c>
      <c r="AU43" s="279" t="str">
        <f t="shared" si="1"/>
        <v/>
      </c>
      <c r="AW43" s="53"/>
      <c r="AX43" s="16"/>
      <c r="AZ43" s="68" t="str">
        <f>'USD Market Data'!AR44</f>
        <v/>
      </c>
      <c r="BA43" s="79" t="str">
        <f>'USD Market Data'!AV44</f>
        <v/>
      </c>
      <c r="BB43" s="80" t="b">
        <f t="shared" si="0"/>
        <v>0</v>
      </c>
      <c r="BD43" s="12"/>
      <c r="BE43" s="27"/>
      <c r="BG43" s="53" t="s">
        <v>26</v>
      </c>
      <c r="BH43" s="16" t="b">
        <v>1</v>
      </c>
      <c r="BJ43" s="223" t="str">
        <f>'USD Market Data'!AX44</f>
        <v/>
      </c>
      <c r="BK43" s="263" t="str">
        <f>'USD Market Data'!BB44</f>
        <v/>
      </c>
      <c r="BM43" s="53" t="s">
        <v>26</v>
      </c>
      <c r="BN43" s="16" t="b">
        <v>1</v>
      </c>
      <c r="BP43" s="223" t="str">
        <f>'USD Market Data'!BD44</f>
        <v/>
      </c>
      <c r="BQ43" s="263" t="str">
        <f>'USD Market Data'!BH44</f>
        <v/>
      </c>
      <c r="BS43" s="53" t="s">
        <v>26</v>
      </c>
      <c r="BT43" s="16" t="b">
        <v>1</v>
      </c>
      <c r="BV43" s="223" t="str">
        <f>'USD Market Data'!BJ44</f>
        <v/>
      </c>
      <c r="BW43" s="263" t="str">
        <f>'USD Market Data'!BN44</f>
        <v/>
      </c>
      <c r="BY43" s="12"/>
      <c r="BZ43" s="83"/>
      <c r="CB43" s="53"/>
      <c r="CC43" s="83"/>
      <c r="CE43" s="84"/>
      <c r="CF43" s="98"/>
      <c r="CH43" s="12"/>
      <c r="CI43" s="83"/>
      <c r="CK43" s="53"/>
      <c r="CL43" s="83"/>
      <c r="CN43" s="53"/>
      <c r="CO43" s="83"/>
      <c r="CQ43" s="53"/>
      <c r="CR43" s="83"/>
    </row>
    <row r="44" spans="2:96">
      <c r="B44" s="135" t="s">
        <v>268</v>
      </c>
      <c r="C44" s="118" t="s">
        <v>289</v>
      </c>
      <c r="D44" s="119"/>
      <c r="E44" s="120"/>
      <c r="L44" s="203"/>
      <c r="M44" s="223" t="str">
        <f>'USD Market Data'!B45</f>
        <v/>
      </c>
      <c r="N44" s="224" t="str">
        <f>IF(LEFT($M44,2)="FF",'USD Market Data'!F45*100,'USD Market Data'!F45)</f>
        <v/>
      </c>
      <c r="O44" s="258" t="str">
        <f>IF(LEFT(M44,2)="FF",_xll.meDateFromTenor(EOMONTH(COB,getFuturesMonth(M44)+2+getYearIncrementMonths(COB,M44))+1,"0D","Following",$K$8),"")</f>
        <v/>
      </c>
      <c r="P44" s="258" t="str">
        <f>IF(O44="","",EOMONTH(O44,0+getYearIncrementMonths(COB,M44)))</f>
        <v/>
      </c>
      <c r="Q44" s="86" t="b">
        <f t="shared" si="2"/>
        <v>0</v>
      </c>
      <c r="S44" s="92"/>
      <c r="T44" s="93"/>
      <c r="Y44" s="229" t="str">
        <f>'USD Market Data'!H45</f>
        <v/>
      </c>
      <c r="Z44" s="239" t="str">
        <f>IF('USD Market Data'!L45="","",'USD Market Data'!L45)</f>
        <v/>
      </c>
      <c r="AE44" s="229" t="str">
        <f>'USD Market Data'!N45</f>
        <v/>
      </c>
      <c r="AF44" s="230" t="str">
        <f>'USD Market Data'!R45</f>
        <v/>
      </c>
      <c r="AH44" s="12"/>
      <c r="AI44" s="27"/>
      <c r="AK44" s="51"/>
      <c r="AL44" s="33"/>
      <c r="AN44" s="51"/>
      <c r="AO44" s="33"/>
      <c r="AQ44" s="270" t="str">
        <f>'USD Market Data'!AM38</f>
        <v/>
      </c>
      <c r="AR44" s="287" t="str">
        <f>IF($AQ44="","",VLOOKUP($AQ44,'Instrument Data'!Data.Swaps.USD,4,0))</f>
        <v/>
      </c>
      <c r="AS44" s="287" t="str">
        <f>IF($AQ44="","",VLOOKUP($AQ44,'Instrument Data'!Data.Swaps.USD,5,0))</f>
        <v/>
      </c>
      <c r="AT44" s="274" t="str">
        <f>'USD Market Data'!AP38</f>
        <v/>
      </c>
      <c r="AU44" s="279" t="str">
        <f t="shared" si="1"/>
        <v/>
      </c>
      <c r="AW44" s="53"/>
      <c r="AX44" s="16"/>
      <c r="AZ44" s="68" t="str">
        <f>'USD Market Data'!AR45</f>
        <v/>
      </c>
      <c r="BA44" s="79" t="str">
        <f>'USD Market Data'!AV45</f>
        <v/>
      </c>
      <c r="BB44" s="80" t="b">
        <f t="shared" si="0"/>
        <v>0</v>
      </c>
      <c r="BD44" s="12"/>
      <c r="BE44" s="27"/>
      <c r="BG44" s="76" t="s">
        <v>24</v>
      </c>
      <c r="BH44" s="19" t="b">
        <v>0</v>
      </c>
      <c r="BJ44" s="223" t="str">
        <f>'USD Market Data'!AX45</f>
        <v/>
      </c>
      <c r="BK44" s="263" t="str">
        <f>'USD Market Data'!BB45</f>
        <v/>
      </c>
      <c r="BM44" s="76" t="s">
        <v>24</v>
      </c>
      <c r="BN44" s="19" t="b">
        <v>0</v>
      </c>
      <c r="BP44" s="223" t="str">
        <f>'USD Market Data'!BD45</f>
        <v/>
      </c>
      <c r="BQ44" s="263" t="str">
        <f>'USD Market Data'!BH45</f>
        <v/>
      </c>
      <c r="BS44" s="76" t="s">
        <v>24</v>
      </c>
      <c r="BT44" s="19" t="b">
        <v>0</v>
      </c>
      <c r="BV44" s="223" t="str">
        <f>'USD Market Data'!BJ45</f>
        <v/>
      </c>
      <c r="BW44" s="263" t="str">
        <f>'USD Market Data'!BN45</f>
        <v/>
      </c>
      <c r="BY44" s="12"/>
      <c r="BZ44" s="83"/>
      <c r="CB44" s="53"/>
      <c r="CC44" s="83"/>
      <c r="CE44" s="84"/>
      <c r="CF44" s="98"/>
      <c r="CH44" s="12"/>
      <c r="CI44" s="83"/>
      <c r="CK44" s="53"/>
      <c r="CL44" s="83"/>
      <c r="CN44" s="53"/>
      <c r="CO44" s="83"/>
      <c r="CQ44" s="53"/>
      <c r="CR44" s="83"/>
    </row>
    <row r="45" spans="2:96">
      <c r="B45" s="53" t="s">
        <v>196</v>
      </c>
      <c r="C45" s="118" t="s">
        <v>291</v>
      </c>
      <c r="D45" s="119"/>
      <c r="E45" s="120"/>
      <c r="J45" t="s">
        <v>12</v>
      </c>
      <c r="K45" t="s">
        <v>12</v>
      </c>
      <c r="L45" s="203"/>
      <c r="M45" s="223" t="str">
        <f>'USD Market Data'!B46</f>
        <v/>
      </c>
      <c r="N45" s="224" t="str">
        <f>IF(LEFT($M45,2)="FF",'USD Market Data'!F46*100,'USD Market Data'!F46)</f>
        <v/>
      </c>
      <c r="O45" s="258" t="str">
        <f>IF(LEFT(M45,2)="FF",_xll.meDateFromTenor(EOMONTH(COB,getFuturesMonth(M45)+2+getYearIncrementMonths(COB,M45))+1,"0D","Following",$K$8),"")</f>
        <v/>
      </c>
      <c r="P45" s="258" t="str">
        <f>IF(O45="","",EOMONTH(O45,0+getYearIncrementMonths(COB,M45)))</f>
        <v/>
      </c>
      <c r="Q45" s="86" t="b">
        <f t="shared" si="2"/>
        <v>0</v>
      </c>
      <c r="S45" s="92"/>
      <c r="T45" s="93"/>
      <c r="Y45" s="229" t="str">
        <f>'USD Market Data'!H46</f>
        <v/>
      </c>
      <c r="Z45" s="239" t="str">
        <f>IF('USD Market Data'!L46="","",'USD Market Data'!L46)</f>
        <v/>
      </c>
      <c r="AE45" s="229" t="str">
        <f>'USD Market Data'!N46</f>
        <v/>
      </c>
      <c r="AF45" s="230" t="str">
        <f>'USD Market Data'!R46</f>
        <v/>
      </c>
      <c r="AH45" s="12"/>
      <c r="AI45" s="27"/>
      <c r="AK45" s="51"/>
      <c r="AL45" s="33"/>
      <c r="AN45" s="51"/>
      <c r="AO45" s="33"/>
      <c r="AQ45" s="270" t="str">
        <f>'USD Market Data'!AM39</f>
        <v/>
      </c>
      <c r="AR45" s="287" t="str">
        <f>IF($AQ45="","",VLOOKUP($AQ45,'Instrument Data'!Data.Swaps.USD,4,0))</f>
        <v/>
      </c>
      <c r="AS45" s="287" t="str">
        <f>IF($AQ45="","",VLOOKUP($AQ45,'Instrument Data'!Data.Swaps.USD,5,0))</f>
        <v/>
      </c>
      <c r="AT45" s="274" t="str">
        <f>'USD Market Data'!AP39</f>
        <v/>
      </c>
      <c r="AU45" s="279" t="str">
        <f t="shared" si="1"/>
        <v/>
      </c>
      <c r="AW45" s="53"/>
      <c r="AX45" s="16"/>
      <c r="AZ45" s="68" t="str">
        <f>'USD Market Data'!AR46</f>
        <v/>
      </c>
      <c r="BA45" s="79" t="str">
        <f>'USD Market Data'!AV46</f>
        <v/>
      </c>
      <c r="BB45" s="80" t="b">
        <f t="shared" si="0"/>
        <v>0</v>
      </c>
      <c r="BD45" s="12"/>
      <c r="BE45" s="27"/>
      <c r="BG45" s="53" t="s">
        <v>21</v>
      </c>
      <c r="BH45" s="16" t="s">
        <v>22</v>
      </c>
      <c r="BJ45" s="223" t="str">
        <f>'USD Market Data'!AX46</f>
        <v/>
      </c>
      <c r="BK45" s="263" t="str">
        <f>'USD Market Data'!BB46</f>
        <v/>
      </c>
      <c r="BM45" s="53" t="s">
        <v>21</v>
      </c>
      <c r="BN45" s="16" t="s">
        <v>20</v>
      </c>
      <c r="BP45" s="223" t="str">
        <f>'USD Market Data'!BD46</f>
        <v/>
      </c>
      <c r="BQ45" s="263" t="str">
        <f>'USD Market Data'!BH46</f>
        <v/>
      </c>
      <c r="BS45" s="53" t="s">
        <v>21</v>
      </c>
      <c r="BT45" s="16" t="s">
        <v>250</v>
      </c>
      <c r="BV45" s="223" t="str">
        <f>'USD Market Data'!BJ46</f>
        <v/>
      </c>
      <c r="BW45" s="263" t="str">
        <f>'USD Market Data'!BN46</f>
        <v/>
      </c>
      <c r="BY45" s="12"/>
      <c r="BZ45" s="83"/>
      <c r="CB45" s="53"/>
      <c r="CC45" s="83"/>
      <c r="CE45" s="84"/>
      <c r="CF45" s="98"/>
      <c r="CH45" s="12"/>
      <c r="CI45" s="83"/>
      <c r="CK45" s="53"/>
      <c r="CL45" s="83"/>
      <c r="CN45" s="53"/>
      <c r="CO45" s="83"/>
      <c r="CQ45" s="53"/>
      <c r="CR45" s="83"/>
    </row>
    <row r="46" spans="2:96">
      <c r="B46" s="53"/>
      <c r="C46" s="118"/>
      <c r="D46" s="119"/>
      <c r="E46" s="120"/>
      <c r="L46" s="203"/>
      <c r="M46" s="223" t="str">
        <f>'USD Market Data'!B47</f>
        <v/>
      </c>
      <c r="N46" s="224" t="str">
        <f>IF(LEFT($M46,2)="FF",'USD Market Data'!F47*100,'USD Market Data'!F47)</f>
        <v/>
      </c>
      <c r="O46" s="258" t="str">
        <f>IF(LEFT(M46,2)="FF",_xll.meDateFromTenor(EOMONTH(COB,getFuturesMonth(M46)+2+getYearIncrementMonths(COB,M46))+1,"0D","Following",$K$8),"")</f>
        <v/>
      </c>
      <c r="P46" s="258" t="str">
        <f>IF(O46="","",EOMONTH(O46,0+getYearIncrementMonths(COB,M46)))</f>
        <v/>
      </c>
      <c r="Q46" s="86" t="b">
        <f t="shared" si="2"/>
        <v>0</v>
      </c>
      <c r="S46" s="92"/>
      <c r="T46" s="93"/>
      <c r="Y46" s="229" t="str">
        <f>'USD Market Data'!H47</f>
        <v/>
      </c>
      <c r="Z46" s="239" t="str">
        <f>IF('USD Market Data'!L47="","",'USD Market Data'!L47)</f>
        <v/>
      </c>
      <c r="AE46" s="229" t="str">
        <f>'USD Market Data'!N47</f>
        <v/>
      </c>
      <c r="AF46" s="230" t="str">
        <f>'USD Market Data'!R47</f>
        <v/>
      </c>
      <c r="AH46" s="12"/>
      <c r="AI46" s="27"/>
      <c r="AK46" s="51"/>
      <c r="AL46" s="33"/>
      <c r="AN46" s="51"/>
      <c r="AO46" s="33"/>
      <c r="AQ46" s="270" t="str">
        <f>'USD Market Data'!AM40</f>
        <v/>
      </c>
      <c r="AR46" s="287" t="str">
        <f>IF($AQ46="","",VLOOKUP($AQ46,'Instrument Data'!Data.Swaps.USD,4,0))</f>
        <v/>
      </c>
      <c r="AS46" s="287" t="str">
        <f>IF($AQ46="","",VLOOKUP($AQ46,'Instrument Data'!Data.Swaps.USD,5,0))</f>
        <v/>
      </c>
      <c r="AT46" s="274" t="str">
        <f>'USD Market Data'!AP40</f>
        <v/>
      </c>
      <c r="AU46" s="279" t="str">
        <f t="shared" si="1"/>
        <v/>
      </c>
      <c r="AW46" s="53"/>
      <c r="AX46" s="16"/>
      <c r="AZ46" s="68" t="str">
        <f>'USD Market Data'!AR47</f>
        <v/>
      </c>
      <c r="BA46" s="79" t="str">
        <f>'USD Market Data'!AV47</f>
        <v/>
      </c>
      <c r="BB46" s="80" t="b">
        <f t="shared" si="0"/>
        <v>0</v>
      </c>
      <c r="BD46" s="12"/>
      <c r="BE46" s="27"/>
      <c r="BG46" s="53"/>
      <c r="BH46" s="16"/>
      <c r="BJ46" s="223" t="str">
        <f>'USD Market Data'!AX47</f>
        <v/>
      </c>
      <c r="BK46" s="263" t="str">
        <f>'USD Market Data'!BB47</f>
        <v/>
      </c>
      <c r="BM46" s="53"/>
      <c r="BN46" s="16"/>
      <c r="BP46" s="223" t="str">
        <f>'USD Market Data'!BD47</f>
        <v/>
      </c>
      <c r="BQ46" s="263" t="str">
        <f>'USD Market Data'!BH47</f>
        <v/>
      </c>
      <c r="BS46" s="53"/>
      <c r="BT46" s="16"/>
      <c r="BV46" s="223" t="str">
        <f>'USD Market Data'!BJ47</f>
        <v/>
      </c>
      <c r="BW46" s="263" t="str">
        <f>'USD Market Data'!BN47</f>
        <v/>
      </c>
      <c r="BY46" s="12"/>
      <c r="BZ46" s="83"/>
      <c r="CB46" s="53"/>
      <c r="CC46" s="83"/>
      <c r="CE46" s="84"/>
      <c r="CF46" s="98"/>
      <c r="CH46" s="12"/>
      <c r="CI46" s="83"/>
      <c r="CK46" s="53"/>
      <c r="CL46" s="83"/>
      <c r="CN46" s="53"/>
      <c r="CO46" s="83"/>
      <c r="CQ46" s="53"/>
      <c r="CR46" s="83"/>
    </row>
    <row r="47" spans="2:96">
      <c r="B47" s="59"/>
      <c r="C47" s="121"/>
      <c r="D47" s="122"/>
      <c r="E47" s="123"/>
      <c r="L47" s="203"/>
      <c r="M47" s="223" t="str">
        <f>'USD Market Data'!B48</f>
        <v/>
      </c>
      <c r="N47" s="224" t="str">
        <f>IF(LEFT($M47,2)="FF",'USD Market Data'!F48*100,'USD Market Data'!F48)</f>
        <v/>
      </c>
      <c r="O47" s="258" t="str">
        <f>IF(LEFT(M47,2)="FF",_xll.meDateFromTenor(EOMONTH(COB,getFuturesMonth(M47)+2+getYearIncrementMonths(COB,M47))+1,"0D","Following",$K$8),"")</f>
        <v/>
      </c>
      <c r="P47" s="258" t="str">
        <f>IF(O47="","",EOMONTH(O47,0+getYearIncrementMonths(COB,M47)))</f>
        <v/>
      </c>
      <c r="Q47" s="86" t="b">
        <f t="shared" si="2"/>
        <v>0</v>
      </c>
      <c r="S47" s="92"/>
      <c r="T47" s="93"/>
      <c r="Y47" s="229" t="str">
        <f>'USD Market Data'!H48</f>
        <v/>
      </c>
      <c r="Z47" s="239" t="str">
        <f>IF('USD Market Data'!L48="","",'USD Market Data'!L48)</f>
        <v/>
      </c>
      <c r="AE47" s="229" t="str">
        <f>'USD Market Data'!N48</f>
        <v/>
      </c>
      <c r="AF47" s="230" t="str">
        <f>'USD Market Data'!R48</f>
        <v/>
      </c>
      <c r="AH47" s="12"/>
      <c r="AI47" s="27"/>
      <c r="AK47" s="51"/>
      <c r="AL47" s="33"/>
      <c r="AN47" s="51"/>
      <c r="AO47" s="33"/>
      <c r="AQ47" s="270" t="str">
        <f>'USD Market Data'!AM41</f>
        <v/>
      </c>
      <c r="AR47" s="287" t="str">
        <f>IF($AQ47="","",VLOOKUP($AQ47,'Instrument Data'!Data.Swaps.USD,4,0))</f>
        <v/>
      </c>
      <c r="AS47" s="287" t="str">
        <f>IF($AQ47="","",VLOOKUP($AQ47,'Instrument Data'!Data.Swaps.USD,5,0))</f>
        <v/>
      </c>
      <c r="AT47" s="274" t="str">
        <f>'USD Market Data'!AP41</f>
        <v/>
      </c>
      <c r="AU47" s="279" t="str">
        <f t="shared" si="1"/>
        <v/>
      </c>
      <c r="AW47" s="53"/>
      <c r="AX47" s="16"/>
      <c r="AZ47" s="68" t="str">
        <f>'USD Market Data'!AR48</f>
        <v/>
      </c>
      <c r="BA47" s="79" t="str">
        <f>'USD Market Data'!AV48</f>
        <v/>
      </c>
      <c r="BB47" s="80" t="b">
        <f t="shared" si="0"/>
        <v>0</v>
      </c>
      <c r="BD47" s="12"/>
      <c r="BE47" s="27"/>
      <c r="BG47" s="53"/>
      <c r="BH47" s="16"/>
      <c r="BJ47" s="223" t="str">
        <f>'USD Market Data'!AX48</f>
        <v/>
      </c>
      <c r="BK47" s="263" t="str">
        <f>'USD Market Data'!BB48</f>
        <v/>
      </c>
      <c r="BM47" s="53"/>
      <c r="BN47" s="16"/>
      <c r="BP47" s="223" t="str">
        <f>'USD Market Data'!BD48</f>
        <v/>
      </c>
      <c r="BQ47" s="263" t="str">
        <f>'USD Market Data'!BH48</f>
        <v/>
      </c>
      <c r="BS47" s="53"/>
      <c r="BT47" s="16"/>
      <c r="BV47" s="223" t="str">
        <f>'USD Market Data'!BJ48</f>
        <v/>
      </c>
      <c r="BW47" s="263" t="str">
        <f>'USD Market Data'!BN48</f>
        <v/>
      </c>
      <c r="BY47" s="12"/>
      <c r="BZ47" s="83"/>
      <c r="CB47" s="53"/>
      <c r="CC47" s="83"/>
      <c r="CE47" s="84"/>
      <c r="CF47" s="98"/>
      <c r="CH47" s="12"/>
      <c r="CI47" s="83"/>
      <c r="CK47" s="53"/>
      <c r="CL47" s="83"/>
      <c r="CN47" s="53"/>
      <c r="CO47" s="83"/>
      <c r="CQ47" s="53"/>
      <c r="CR47" s="83"/>
    </row>
    <row r="48" spans="2:96">
      <c r="L48" s="203"/>
      <c r="M48" s="223" t="str">
        <f>'USD Market Data'!B49</f>
        <v/>
      </c>
      <c r="N48" s="224" t="str">
        <f>IF(LEFT($M48,2)="FF",'USD Market Data'!F49*100,'USD Market Data'!F49)</f>
        <v/>
      </c>
      <c r="O48" s="258" t="str">
        <f>IF(LEFT(M48,2)="FF",_xll.meDateFromTenor(EOMONTH(COB,getFuturesMonth(M48)+2+getYearIncrementMonths(COB,M48))+1,"0D","Following",$K$8),"")</f>
        <v/>
      </c>
      <c r="P48" s="258" t="str">
        <f>IF(O48="","",EOMONTH(O48,0+getYearIncrementMonths(COB,M48)))</f>
        <v/>
      </c>
      <c r="Q48" s="86" t="b">
        <f t="shared" si="2"/>
        <v>0</v>
      </c>
      <c r="S48" s="92"/>
      <c r="T48" s="93"/>
      <c r="Y48" s="229" t="str">
        <f>'USD Market Data'!H49</f>
        <v/>
      </c>
      <c r="Z48" s="239" t="str">
        <f>IF('USD Market Data'!L49="","",'USD Market Data'!L49)</f>
        <v/>
      </c>
      <c r="AE48" s="229" t="str">
        <f>'USD Market Data'!N49</f>
        <v/>
      </c>
      <c r="AF48" s="230" t="str">
        <f>'USD Market Data'!R49</f>
        <v/>
      </c>
      <c r="AH48" s="12"/>
      <c r="AI48" s="27"/>
      <c r="AK48" s="51"/>
      <c r="AL48" s="33"/>
      <c r="AN48" s="51"/>
      <c r="AO48" s="33"/>
      <c r="AQ48" s="270" t="str">
        <f>'USD Market Data'!AM42</f>
        <v/>
      </c>
      <c r="AR48" s="287" t="str">
        <f>IF($AQ48="","",VLOOKUP($AQ48,'Instrument Data'!Data.Swaps.USD,4,0))</f>
        <v/>
      </c>
      <c r="AS48" s="287" t="str">
        <f>IF($AQ48="","",VLOOKUP($AQ48,'Instrument Data'!Data.Swaps.USD,5,0))</f>
        <v/>
      </c>
      <c r="AT48" s="274" t="str">
        <f>'USD Market Data'!AP42</f>
        <v/>
      </c>
      <c r="AU48" s="279" t="str">
        <f t="shared" ref="AU48:AU78" si="3">IF(OR(AQ48="",NOT($AU$7)),"",$AU$9)</f>
        <v/>
      </c>
      <c r="AW48" s="53"/>
      <c r="AX48" s="16"/>
      <c r="AZ48" s="68" t="str">
        <f>'USD Market Data'!AR49</f>
        <v/>
      </c>
      <c r="BA48" s="79" t="str">
        <f>'USD Market Data'!AV49</f>
        <v/>
      </c>
      <c r="BB48" s="80" t="b">
        <f t="shared" si="0"/>
        <v>0</v>
      </c>
      <c r="BD48" s="12"/>
      <c r="BE48" s="27"/>
      <c r="BG48" s="53"/>
      <c r="BH48" s="16"/>
      <c r="BJ48" s="223" t="str">
        <f>'USD Market Data'!AX49</f>
        <v/>
      </c>
      <c r="BK48" s="263" t="str">
        <f>'USD Market Data'!BB49</f>
        <v/>
      </c>
      <c r="BM48" s="53"/>
      <c r="BN48" s="16"/>
      <c r="BP48" s="223" t="str">
        <f>'USD Market Data'!BD49</f>
        <v/>
      </c>
      <c r="BQ48" s="263" t="str">
        <f>'USD Market Data'!BH49</f>
        <v/>
      </c>
      <c r="BS48" s="53"/>
      <c r="BT48" s="16"/>
      <c r="BV48" s="223" t="str">
        <f>'USD Market Data'!BJ49</f>
        <v/>
      </c>
      <c r="BW48" s="263" t="str">
        <f>'USD Market Data'!BN49</f>
        <v/>
      </c>
      <c r="BY48" s="12"/>
      <c r="BZ48" s="83"/>
      <c r="CB48" s="53"/>
      <c r="CC48" s="83"/>
      <c r="CE48" s="84"/>
      <c r="CF48" s="98"/>
      <c r="CH48" s="12"/>
      <c r="CI48" s="83"/>
      <c r="CK48" s="53"/>
      <c r="CL48" s="83"/>
      <c r="CN48" s="53"/>
      <c r="CO48" s="83"/>
      <c r="CQ48" s="53"/>
      <c r="CR48" s="83"/>
    </row>
    <row r="49" spans="2:96">
      <c r="B49" s="2" t="s">
        <v>313</v>
      </c>
      <c r="C49" s="9"/>
      <c r="L49" s="203"/>
      <c r="M49" s="223" t="str">
        <f>'USD Market Data'!B50</f>
        <v/>
      </c>
      <c r="N49" s="224" t="str">
        <f>IF(LEFT($M49,2)="FF",'USD Market Data'!F50*100,'USD Market Data'!F50)</f>
        <v/>
      </c>
      <c r="O49" s="258" t="str">
        <f>IF(LEFT(M49,2)="FF",_xll.meDateFromTenor(EOMONTH(COB,getFuturesMonth(M49)+2+getYearIncrementMonths(COB,M49))+1,"0D","Following",$K$8),"")</f>
        <v/>
      </c>
      <c r="P49" s="258" t="str">
        <f>IF(O49="","",EOMONTH(O49,0+getYearIncrementMonths(COB,M49)))</f>
        <v/>
      </c>
      <c r="Q49" s="86" t="b">
        <f t="shared" si="2"/>
        <v>0</v>
      </c>
      <c r="S49" s="92"/>
      <c r="T49" s="93"/>
      <c r="Y49" s="229" t="str">
        <f>'USD Market Data'!H50</f>
        <v/>
      </c>
      <c r="Z49" s="239" t="str">
        <f>IF('USD Market Data'!L50="","",'USD Market Data'!L50)</f>
        <v/>
      </c>
      <c r="AE49" s="229" t="str">
        <f>'USD Market Data'!N50</f>
        <v/>
      </c>
      <c r="AF49" s="230" t="str">
        <f>'USD Market Data'!R50</f>
        <v/>
      </c>
      <c r="AH49" s="12"/>
      <c r="AI49" s="27"/>
      <c r="AK49" s="51"/>
      <c r="AL49" s="33"/>
      <c r="AN49" s="51"/>
      <c r="AO49" s="33"/>
      <c r="AQ49" s="270" t="str">
        <f>'USD Market Data'!AM43</f>
        <v/>
      </c>
      <c r="AR49" s="287" t="str">
        <f>IF($AQ49="","",VLOOKUP($AQ49,'Instrument Data'!Data.Swaps.USD,4,0))</f>
        <v/>
      </c>
      <c r="AS49" s="287" t="str">
        <f>IF($AQ49="","",VLOOKUP($AQ49,'Instrument Data'!Data.Swaps.USD,5,0))</f>
        <v/>
      </c>
      <c r="AT49" s="274" t="str">
        <f>'USD Market Data'!AP43</f>
        <v/>
      </c>
      <c r="AU49" s="279" t="str">
        <f t="shared" si="3"/>
        <v/>
      </c>
      <c r="AW49" s="53"/>
      <c r="AX49" s="16"/>
      <c r="AZ49" s="68" t="str">
        <f>'USD Market Data'!AR50</f>
        <v/>
      </c>
      <c r="BA49" s="79" t="str">
        <f>'USD Market Data'!AV50</f>
        <v/>
      </c>
      <c r="BB49" s="80" t="b">
        <f t="shared" si="0"/>
        <v>0</v>
      </c>
      <c r="BD49" s="12"/>
      <c r="BE49" s="27"/>
      <c r="BG49" s="53"/>
      <c r="BH49" s="16"/>
      <c r="BJ49" s="223" t="str">
        <f>'USD Market Data'!AX50</f>
        <v/>
      </c>
      <c r="BK49" s="263" t="str">
        <f>'USD Market Data'!BB50</f>
        <v/>
      </c>
      <c r="BM49" s="53"/>
      <c r="BN49" s="16"/>
      <c r="BP49" s="223" t="str">
        <f>'USD Market Data'!BD50</f>
        <v/>
      </c>
      <c r="BQ49" s="263" t="str">
        <f>'USD Market Data'!BH50</f>
        <v/>
      </c>
      <c r="BS49" s="53"/>
      <c r="BT49" s="16"/>
      <c r="BV49" s="223" t="str">
        <f>'USD Market Data'!BJ50</f>
        <v/>
      </c>
      <c r="BW49" s="263" t="str">
        <f>'USD Market Data'!BN50</f>
        <v/>
      </c>
      <c r="BY49" s="12"/>
      <c r="BZ49" s="83"/>
      <c r="CB49" s="53"/>
      <c r="CC49" s="83"/>
      <c r="CE49" s="84"/>
      <c r="CF49" s="98"/>
      <c r="CH49" s="12"/>
      <c r="CI49" s="83"/>
      <c r="CK49" s="53"/>
      <c r="CL49" s="83"/>
      <c r="CN49" s="53"/>
      <c r="CO49" s="83"/>
      <c r="CQ49" s="53"/>
      <c r="CR49" s="83"/>
    </row>
    <row r="50" spans="2:96">
      <c r="B50" s="52" t="s">
        <v>189</v>
      </c>
      <c r="C50" s="112" t="s">
        <v>190</v>
      </c>
      <c r="D50" s="113"/>
      <c r="E50" s="114"/>
      <c r="L50" s="203"/>
      <c r="M50" s="223" t="str">
        <f>'USD Market Data'!B51</f>
        <v/>
      </c>
      <c r="N50" s="224" t="str">
        <f>IF(LEFT($M50,2)="FF",'USD Market Data'!F51*100,'USD Market Data'!F51)</f>
        <v/>
      </c>
      <c r="O50" s="258" t="str">
        <f>IF(LEFT(M50,2)="FF",_xll.meDateFromTenor(EOMONTH(COB,getFuturesMonth(M50)+2+getYearIncrementMonths(COB,M50))+1,"0D","Following",$K$8),"")</f>
        <v/>
      </c>
      <c r="P50" s="258" t="str">
        <f>IF(O50="","",EOMONTH(O50,0+getYearIncrementMonths(COB,M50)))</f>
        <v/>
      </c>
      <c r="Q50" s="86" t="b">
        <f t="shared" si="2"/>
        <v>0</v>
      </c>
      <c r="S50" s="92"/>
      <c r="T50" s="93"/>
      <c r="Y50" s="229" t="str">
        <f>'USD Market Data'!H51</f>
        <v/>
      </c>
      <c r="Z50" s="239" t="str">
        <f>IF('USD Market Data'!L51="","",'USD Market Data'!L51)</f>
        <v/>
      </c>
      <c r="AE50" s="229" t="str">
        <f>'USD Market Data'!N51</f>
        <v/>
      </c>
      <c r="AF50" s="230" t="str">
        <f>'USD Market Data'!R51</f>
        <v/>
      </c>
      <c r="AH50" s="12"/>
      <c r="AI50" s="27"/>
      <c r="AK50" s="51"/>
      <c r="AL50" s="33"/>
      <c r="AN50" s="51"/>
      <c r="AO50" s="33"/>
      <c r="AQ50" s="270" t="str">
        <f>'USD Market Data'!AM44</f>
        <v/>
      </c>
      <c r="AR50" s="287" t="str">
        <f>IF($AQ50="","",VLOOKUP($AQ50,'Instrument Data'!Data.Swaps.USD,4,0))</f>
        <v/>
      </c>
      <c r="AS50" s="287" t="str">
        <f>IF($AQ50="","",VLOOKUP($AQ50,'Instrument Data'!Data.Swaps.USD,5,0))</f>
        <v/>
      </c>
      <c r="AT50" s="274" t="str">
        <f>'USD Market Data'!AP44</f>
        <v/>
      </c>
      <c r="AU50" s="279" t="str">
        <f t="shared" si="3"/>
        <v/>
      </c>
      <c r="AW50" s="53"/>
      <c r="AX50" s="16"/>
      <c r="AZ50" s="68" t="str">
        <f>'USD Market Data'!AR51</f>
        <v/>
      </c>
      <c r="BA50" s="79" t="str">
        <f>'USD Market Data'!AV51</f>
        <v/>
      </c>
      <c r="BB50" s="80" t="b">
        <f t="shared" si="0"/>
        <v>0</v>
      </c>
      <c r="BD50" s="12"/>
      <c r="BE50" s="27"/>
      <c r="BG50" s="53"/>
      <c r="BH50" s="16"/>
      <c r="BJ50" s="223" t="str">
        <f>'USD Market Data'!AX51</f>
        <v/>
      </c>
      <c r="BK50" s="263" t="str">
        <f>'USD Market Data'!BB51</f>
        <v/>
      </c>
      <c r="BM50" s="53"/>
      <c r="BN50" s="16"/>
      <c r="BP50" s="223" t="str">
        <f>'USD Market Data'!BD51</f>
        <v/>
      </c>
      <c r="BQ50" s="263" t="str">
        <f>'USD Market Data'!BH51</f>
        <v/>
      </c>
      <c r="BS50" s="53"/>
      <c r="BT50" s="16"/>
      <c r="BV50" s="223" t="str">
        <f>'USD Market Data'!BJ51</f>
        <v/>
      </c>
      <c r="BW50" s="263" t="str">
        <f>'USD Market Data'!BN51</f>
        <v/>
      </c>
      <c r="BY50" s="12"/>
      <c r="BZ50" s="83"/>
      <c r="CB50" s="53"/>
      <c r="CC50" s="83"/>
      <c r="CE50" s="84"/>
      <c r="CF50" s="98"/>
      <c r="CH50" s="12"/>
      <c r="CI50" s="83"/>
      <c r="CK50" s="53"/>
      <c r="CL50" s="83"/>
      <c r="CN50" s="53"/>
      <c r="CO50" s="83"/>
      <c r="CQ50" s="53"/>
      <c r="CR50" s="83"/>
    </row>
    <row r="51" spans="2:96">
      <c r="B51" s="53" t="s">
        <v>61</v>
      </c>
      <c r="C51" s="115" t="s">
        <v>9</v>
      </c>
      <c r="D51" s="116"/>
      <c r="E51" s="117"/>
      <c r="L51" s="203"/>
      <c r="M51" s="223" t="str">
        <f>'USD Market Data'!B52</f>
        <v/>
      </c>
      <c r="N51" s="224" t="str">
        <f>IF(LEFT($M51,2)="FF",'USD Market Data'!F52*100,'USD Market Data'!F52)</f>
        <v/>
      </c>
      <c r="O51" s="258" t="str">
        <f>IF(LEFT(M51,2)="FF",_xll.meDateFromTenor(EOMONTH(COB,getFuturesMonth(M51)+2+getYearIncrementMonths(COB,M51))+1,"0D","Following",$K$8),"")</f>
        <v/>
      </c>
      <c r="P51" s="258" t="str">
        <f>IF(O51="","",EOMONTH(O51,0+getYearIncrementMonths(COB,M51)))</f>
        <v/>
      </c>
      <c r="Q51" s="86" t="b">
        <f t="shared" si="2"/>
        <v>0</v>
      </c>
      <c r="S51" s="92"/>
      <c r="T51" s="93"/>
      <c r="Y51" s="229" t="str">
        <f>'USD Market Data'!H52</f>
        <v/>
      </c>
      <c r="Z51" s="239" t="str">
        <f>IF('USD Market Data'!L52="","",'USD Market Data'!L52)</f>
        <v/>
      </c>
      <c r="AE51" s="229" t="str">
        <f>'USD Market Data'!N52</f>
        <v/>
      </c>
      <c r="AF51" s="230" t="str">
        <f>'USD Market Data'!R52</f>
        <v/>
      </c>
      <c r="AH51" s="12"/>
      <c r="AI51" s="27"/>
      <c r="AK51" s="51"/>
      <c r="AL51" s="33"/>
      <c r="AN51" s="51"/>
      <c r="AO51" s="33"/>
      <c r="AQ51" s="270" t="str">
        <f>'USD Market Data'!AM45</f>
        <v/>
      </c>
      <c r="AR51" s="287" t="str">
        <f>IF($AQ51="","",VLOOKUP($AQ51,'Instrument Data'!Data.Swaps.USD,4,0))</f>
        <v/>
      </c>
      <c r="AS51" s="287" t="str">
        <f>IF($AQ51="","",VLOOKUP($AQ51,'Instrument Data'!Data.Swaps.USD,5,0))</f>
        <v/>
      </c>
      <c r="AT51" s="274" t="str">
        <f>'USD Market Data'!AP45</f>
        <v/>
      </c>
      <c r="AU51" s="279" t="str">
        <f t="shared" si="3"/>
        <v/>
      </c>
      <c r="AW51" s="53"/>
      <c r="AX51" s="16"/>
      <c r="AZ51" s="68" t="str">
        <f>'USD Market Data'!AR52</f>
        <v/>
      </c>
      <c r="BA51" s="79" t="str">
        <f>'USD Market Data'!AV52</f>
        <v/>
      </c>
      <c r="BB51" s="80" t="b">
        <f t="shared" si="0"/>
        <v>0</v>
      </c>
      <c r="BD51" s="12"/>
      <c r="BE51" s="27"/>
      <c r="BG51" s="53"/>
      <c r="BH51" s="16"/>
      <c r="BJ51" s="223" t="str">
        <f>'USD Market Data'!AX52</f>
        <v/>
      </c>
      <c r="BK51" s="263" t="str">
        <f>'USD Market Data'!BB52</f>
        <v/>
      </c>
      <c r="BM51" s="53"/>
      <c r="BN51" s="16"/>
      <c r="BP51" s="223" t="str">
        <f>'USD Market Data'!BD52</f>
        <v/>
      </c>
      <c r="BQ51" s="263" t="str">
        <f>'USD Market Data'!BH52</f>
        <v/>
      </c>
      <c r="BS51" s="53"/>
      <c r="BT51" s="16"/>
      <c r="BV51" s="223" t="str">
        <f>'USD Market Data'!BJ52</f>
        <v/>
      </c>
      <c r="BW51" s="263" t="str">
        <f>'USD Market Data'!BN52</f>
        <v/>
      </c>
      <c r="BY51" s="12"/>
      <c r="BZ51" s="83"/>
      <c r="CB51" s="53"/>
      <c r="CC51" s="83"/>
      <c r="CE51" s="84"/>
      <c r="CF51" s="98"/>
      <c r="CH51" s="12"/>
      <c r="CI51" s="83"/>
      <c r="CK51" s="53"/>
      <c r="CL51" s="83"/>
      <c r="CN51" s="53"/>
      <c r="CO51" s="83"/>
      <c r="CQ51" s="53"/>
      <c r="CR51" s="83"/>
    </row>
    <row r="52" spans="2:96">
      <c r="B52" s="53" t="s">
        <v>194</v>
      </c>
      <c r="C52" s="118" t="s">
        <v>290</v>
      </c>
      <c r="D52" s="119"/>
      <c r="E52" s="120"/>
      <c r="L52" s="203"/>
      <c r="M52" s="223" t="str">
        <f>'USD Market Data'!B53</f>
        <v/>
      </c>
      <c r="N52" s="224" t="str">
        <f>IF(LEFT($M52,2)="FF",'USD Market Data'!F53*100,'USD Market Data'!F53)</f>
        <v/>
      </c>
      <c r="O52" s="258" t="str">
        <f>IF(LEFT(M52,2)="FF",_xll.meDateFromTenor(EOMONTH(COB,getFuturesMonth(M52)+2+getYearIncrementMonths(COB,M52))+1,"0D","Following",$K$8),"")</f>
        <v/>
      </c>
      <c r="P52" s="258" t="str">
        <f>IF(O52="","",EOMONTH(O52,0+getYearIncrementMonths(COB,M52)))</f>
        <v/>
      </c>
      <c r="Q52" s="86" t="b">
        <f t="shared" si="2"/>
        <v>0</v>
      </c>
      <c r="S52" s="92"/>
      <c r="T52" s="93"/>
      <c r="Y52" s="229" t="str">
        <f>'USD Market Data'!H53</f>
        <v/>
      </c>
      <c r="Z52" s="239" t="str">
        <f>IF('USD Market Data'!L53="","",'USD Market Data'!L53)</f>
        <v/>
      </c>
      <c r="AE52" s="229" t="str">
        <f>'USD Market Data'!N53</f>
        <v/>
      </c>
      <c r="AF52" s="230" t="str">
        <f>'USD Market Data'!R53</f>
        <v/>
      </c>
      <c r="AH52" s="12"/>
      <c r="AI52" s="27"/>
      <c r="AK52" s="51"/>
      <c r="AL52" s="33"/>
      <c r="AN52" s="51"/>
      <c r="AO52" s="33"/>
      <c r="AQ52" s="270" t="str">
        <f>'USD Market Data'!AM46</f>
        <v/>
      </c>
      <c r="AR52" s="287" t="str">
        <f>IF($AQ52="","",VLOOKUP($AQ52,'Instrument Data'!Data.Swaps.USD,4,0))</f>
        <v/>
      </c>
      <c r="AS52" s="287" t="str">
        <f>IF($AQ52="","",VLOOKUP($AQ52,'Instrument Data'!Data.Swaps.USD,5,0))</f>
        <v/>
      </c>
      <c r="AT52" s="274" t="str">
        <f>'USD Market Data'!AP46</f>
        <v/>
      </c>
      <c r="AU52" s="279" t="str">
        <f t="shared" si="3"/>
        <v/>
      </c>
      <c r="AW52" s="53"/>
      <c r="AX52" s="16"/>
      <c r="AZ52" s="68" t="str">
        <f>'USD Market Data'!AR53</f>
        <v/>
      </c>
      <c r="BA52" s="79" t="str">
        <f>'USD Market Data'!AV53</f>
        <v/>
      </c>
      <c r="BB52" s="80" t="b">
        <f t="shared" si="0"/>
        <v>0</v>
      </c>
      <c r="BD52" s="12"/>
      <c r="BE52" s="27"/>
      <c r="BG52" s="53"/>
      <c r="BH52" s="16"/>
      <c r="BJ52" s="223" t="str">
        <f>'USD Market Data'!AX53</f>
        <v/>
      </c>
      <c r="BK52" s="263" t="str">
        <f>'USD Market Data'!BB53</f>
        <v/>
      </c>
      <c r="BM52" s="53"/>
      <c r="BN52" s="16"/>
      <c r="BP52" s="223" t="str">
        <f>'USD Market Data'!BD53</f>
        <v/>
      </c>
      <c r="BQ52" s="263" t="str">
        <f>'USD Market Data'!BH53</f>
        <v/>
      </c>
      <c r="BS52" s="53"/>
      <c r="BT52" s="16"/>
      <c r="BV52" s="223" t="str">
        <f>'USD Market Data'!BJ53</f>
        <v/>
      </c>
      <c r="BW52" s="263" t="str">
        <f>'USD Market Data'!BN53</f>
        <v/>
      </c>
      <c r="BY52" s="12"/>
      <c r="BZ52" s="83"/>
      <c r="CB52" s="53"/>
      <c r="CC52" s="83"/>
      <c r="CE52" s="84"/>
      <c r="CF52" s="98"/>
      <c r="CH52" s="12"/>
      <c r="CI52" s="83"/>
      <c r="CK52" s="53"/>
      <c r="CL52" s="83"/>
      <c r="CN52" s="53"/>
      <c r="CO52" s="83"/>
      <c r="CQ52" s="53"/>
      <c r="CR52" s="83"/>
    </row>
    <row r="53" spans="2:96">
      <c r="B53" s="53" t="s">
        <v>195</v>
      </c>
      <c r="C53" s="118" t="s">
        <v>288</v>
      </c>
      <c r="D53" s="119"/>
      <c r="E53" s="120"/>
      <c r="L53" s="203"/>
      <c r="M53" s="223" t="str">
        <f>'USD Market Data'!B54</f>
        <v/>
      </c>
      <c r="N53" s="224" t="str">
        <f>IF(LEFT($M53,2)="FF",'USD Market Data'!F54*100,'USD Market Data'!F54)</f>
        <v/>
      </c>
      <c r="O53" s="258" t="str">
        <f>IF(LEFT(M53,2)="FF",_xll.meDateFromTenor(EOMONTH(COB,getFuturesMonth(M53)+2+getYearIncrementMonths(COB,M53))+1,"0D","Following",$K$8),"")</f>
        <v/>
      </c>
      <c r="P53" s="258" t="str">
        <f>IF(O53="","",EOMONTH(O53,0+getYearIncrementMonths(COB,M53)))</f>
        <v/>
      </c>
      <c r="Q53" s="86" t="b">
        <f t="shared" si="2"/>
        <v>0</v>
      </c>
      <c r="S53" s="92"/>
      <c r="T53" s="93"/>
      <c r="Y53" s="229" t="str">
        <f>'USD Market Data'!H54</f>
        <v/>
      </c>
      <c r="Z53" s="239" t="str">
        <f>IF('USD Market Data'!L54="","",'USD Market Data'!L54)</f>
        <v/>
      </c>
      <c r="AE53" s="229" t="str">
        <f>'USD Market Data'!N54</f>
        <v/>
      </c>
      <c r="AF53" s="230" t="str">
        <f>'USD Market Data'!R54</f>
        <v/>
      </c>
      <c r="AH53" s="12"/>
      <c r="AI53" s="27"/>
      <c r="AK53" s="51"/>
      <c r="AL53" s="33"/>
      <c r="AN53" s="51"/>
      <c r="AO53" s="33"/>
      <c r="AQ53" s="270" t="str">
        <f>'USD Market Data'!AM47</f>
        <v/>
      </c>
      <c r="AR53" s="287" t="str">
        <f>IF($AQ53="","",VLOOKUP($AQ53,'Instrument Data'!Data.Swaps.USD,4,0))</f>
        <v/>
      </c>
      <c r="AS53" s="287" t="str">
        <f>IF($AQ53="","",VLOOKUP($AQ53,'Instrument Data'!Data.Swaps.USD,5,0))</f>
        <v/>
      </c>
      <c r="AT53" s="274" t="str">
        <f>'USD Market Data'!AP47</f>
        <v/>
      </c>
      <c r="AU53" s="279" t="str">
        <f t="shared" si="3"/>
        <v/>
      </c>
      <c r="AW53" s="53"/>
      <c r="AX53" s="16"/>
      <c r="AZ53" s="68" t="str">
        <f>'USD Market Data'!AR54</f>
        <v/>
      </c>
      <c r="BA53" s="79" t="str">
        <f>'USD Market Data'!AV54</f>
        <v/>
      </c>
      <c r="BB53" s="80" t="b">
        <f t="shared" si="0"/>
        <v>0</v>
      </c>
      <c r="BD53" s="12"/>
      <c r="BE53" s="27"/>
      <c r="BG53" s="53"/>
      <c r="BH53" s="16"/>
      <c r="BJ53" s="223" t="str">
        <f>'USD Market Data'!AX54</f>
        <v/>
      </c>
      <c r="BK53" s="263" t="str">
        <f>'USD Market Data'!BB54</f>
        <v/>
      </c>
      <c r="BM53" s="53"/>
      <c r="BN53" s="16"/>
      <c r="BP53" s="223" t="str">
        <f>'USD Market Data'!BD54</f>
        <v/>
      </c>
      <c r="BQ53" s="263" t="str">
        <f>'USD Market Data'!BH54</f>
        <v/>
      </c>
      <c r="BS53" s="53"/>
      <c r="BT53" s="16"/>
      <c r="BV53" s="223" t="str">
        <f>'USD Market Data'!BJ54</f>
        <v/>
      </c>
      <c r="BW53" s="263" t="str">
        <f>'USD Market Data'!BN54</f>
        <v/>
      </c>
      <c r="BY53" s="12"/>
      <c r="BZ53" s="83"/>
      <c r="CB53" s="53"/>
      <c r="CC53" s="83"/>
      <c r="CE53" s="84"/>
      <c r="CF53" s="98"/>
      <c r="CH53" s="12"/>
      <c r="CI53" s="83"/>
      <c r="CK53" s="53"/>
      <c r="CL53" s="83"/>
      <c r="CN53" s="53"/>
      <c r="CO53" s="83"/>
      <c r="CQ53" s="53"/>
      <c r="CR53" s="83"/>
    </row>
    <row r="54" spans="2:96">
      <c r="B54" s="135" t="s">
        <v>268</v>
      </c>
      <c r="C54" s="118" t="s">
        <v>289</v>
      </c>
      <c r="D54" s="119"/>
      <c r="E54" s="120"/>
      <c r="L54" s="203"/>
      <c r="M54" s="223" t="str">
        <f>'USD Market Data'!B55</f>
        <v/>
      </c>
      <c r="N54" s="224" t="str">
        <f>IF(LEFT($M54,2)="FF",'USD Market Data'!F55*100,'USD Market Data'!F55)</f>
        <v/>
      </c>
      <c r="O54" s="258" t="str">
        <f>IF(LEFT(M54,2)="FF",_xll.meDateFromTenor(EOMONTH(COB,getFuturesMonth(M54)+2+getYearIncrementMonths(COB,M54))+1,"0D","Following",$K$8),"")</f>
        <v/>
      </c>
      <c r="P54" s="258" t="str">
        <f>IF(O54="","",EOMONTH(O54,0+getYearIncrementMonths(COB,M54)))</f>
        <v/>
      </c>
      <c r="Q54" s="86" t="b">
        <f t="shared" si="2"/>
        <v>0</v>
      </c>
      <c r="S54" s="92"/>
      <c r="T54" s="93"/>
      <c r="Y54" s="229" t="str">
        <f>'USD Market Data'!H55</f>
        <v/>
      </c>
      <c r="Z54" s="239" t="str">
        <f>IF('USD Market Data'!L55="","",'USD Market Data'!L55)</f>
        <v/>
      </c>
      <c r="AE54" s="229" t="str">
        <f>'USD Market Data'!N55</f>
        <v/>
      </c>
      <c r="AF54" s="230" t="str">
        <f>'USD Market Data'!R55</f>
        <v/>
      </c>
      <c r="AH54" s="12"/>
      <c r="AI54" s="27"/>
      <c r="AK54" s="51"/>
      <c r="AL54" s="33"/>
      <c r="AN54" s="51"/>
      <c r="AO54" s="33"/>
      <c r="AQ54" s="270" t="str">
        <f>'USD Market Data'!AM48</f>
        <v/>
      </c>
      <c r="AR54" s="287" t="str">
        <f>IF($AQ54="","",VLOOKUP($AQ54,'Instrument Data'!Data.Swaps.USD,4,0))</f>
        <v/>
      </c>
      <c r="AS54" s="287" t="str">
        <f>IF($AQ54="","",VLOOKUP($AQ54,'Instrument Data'!Data.Swaps.USD,5,0))</f>
        <v/>
      </c>
      <c r="AT54" s="274" t="str">
        <f>'USD Market Data'!AP48</f>
        <v/>
      </c>
      <c r="AU54" s="279" t="str">
        <f t="shared" si="3"/>
        <v/>
      </c>
      <c r="AW54" s="53"/>
      <c r="AX54" s="16"/>
      <c r="AZ54" s="68" t="str">
        <f>'USD Market Data'!AR55</f>
        <v/>
      </c>
      <c r="BA54" s="79" t="str">
        <f>'USD Market Data'!AV55</f>
        <v/>
      </c>
      <c r="BB54" s="80" t="b">
        <f t="shared" si="0"/>
        <v>0</v>
      </c>
      <c r="BD54" s="12"/>
      <c r="BE54" s="27"/>
      <c r="BG54" s="53"/>
      <c r="BH54" s="16"/>
      <c r="BJ54" s="223" t="str">
        <f>'USD Market Data'!AX55</f>
        <v/>
      </c>
      <c r="BK54" s="263" t="str">
        <f>'USD Market Data'!BB55</f>
        <v/>
      </c>
      <c r="BM54" s="53"/>
      <c r="BN54" s="16"/>
      <c r="BP54" s="223" t="str">
        <f>'USD Market Data'!BD55</f>
        <v/>
      </c>
      <c r="BQ54" s="263" t="str">
        <f>'USD Market Data'!BH55</f>
        <v/>
      </c>
      <c r="BS54" s="53"/>
      <c r="BT54" s="16"/>
      <c r="BV54" s="223" t="str">
        <f>'USD Market Data'!BJ55</f>
        <v/>
      </c>
      <c r="BW54" s="263" t="str">
        <f>'USD Market Data'!BN55</f>
        <v/>
      </c>
      <c r="BY54" s="12"/>
      <c r="BZ54" s="83"/>
      <c r="CB54" s="53"/>
      <c r="CC54" s="83"/>
      <c r="CE54" s="84"/>
      <c r="CF54" s="98"/>
      <c r="CH54" s="12"/>
      <c r="CI54" s="83"/>
      <c r="CK54" s="53"/>
      <c r="CL54" s="83"/>
      <c r="CN54" s="53"/>
      <c r="CO54" s="83"/>
      <c r="CQ54" s="53"/>
      <c r="CR54" s="83"/>
    </row>
    <row r="55" spans="2:96">
      <c r="B55" s="53" t="s">
        <v>197</v>
      </c>
      <c r="C55" s="118" t="s">
        <v>291</v>
      </c>
      <c r="D55" s="119"/>
      <c r="E55" s="120"/>
      <c r="L55" s="203"/>
      <c r="M55" s="223" t="str">
        <f>'USD Market Data'!B56</f>
        <v/>
      </c>
      <c r="N55" s="224" t="str">
        <f>IF(LEFT($M55,2)="FF",'USD Market Data'!F56*100,'USD Market Data'!F56)</f>
        <v/>
      </c>
      <c r="O55" s="258" t="str">
        <f>IF(LEFT(M55,2)="FF",_xll.meDateFromTenor(EOMONTH(COB,getFuturesMonth(M55)+2+getYearIncrementMonths(COB,M55))+1,"0D","Following",$K$8),"")</f>
        <v/>
      </c>
      <c r="P55" s="258" t="str">
        <f>IF(O55="","",EOMONTH(O55,0+getYearIncrementMonths(COB,M55)))</f>
        <v/>
      </c>
      <c r="Q55" s="86" t="b">
        <f t="shared" si="2"/>
        <v>0</v>
      </c>
      <c r="S55" s="92"/>
      <c r="T55" s="93"/>
      <c r="Y55" s="229" t="str">
        <f>'USD Market Data'!H56</f>
        <v/>
      </c>
      <c r="Z55" s="239" t="str">
        <f>IF('USD Market Data'!L56="","",'USD Market Data'!L56)</f>
        <v/>
      </c>
      <c r="AE55" s="229" t="str">
        <f>'USD Market Data'!N56</f>
        <v/>
      </c>
      <c r="AF55" s="230" t="str">
        <f>'USD Market Data'!R56</f>
        <v/>
      </c>
      <c r="AH55" s="12"/>
      <c r="AI55" s="27"/>
      <c r="AK55" s="51"/>
      <c r="AL55" s="33"/>
      <c r="AN55" s="51"/>
      <c r="AO55" s="33"/>
      <c r="AQ55" s="270" t="str">
        <f>'USD Market Data'!AM49</f>
        <v/>
      </c>
      <c r="AR55" s="287" t="str">
        <f>IF($AQ55="","",VLOOKUP($AQ55,'Instrument Data'!Data.Swaps.USD,4,0))</f>
        <v/>
      </c>
      <c r="AS55" s="287" t="str">
        <f>IF($AQ55="","",VLOOKUP($AQ55,'Instrument Data'!Data.Swaps.USD,5,0))</f>
        <v/>
      </c>
      <c r="AT55" s="274" t="str">
        <f>'USD Market Data'!AP49</f>
        <v/>
      </c>
      <c r="AU55" s="279" t="str">
        <f t="shared" si="3"/>
        <v/>
      </c>
      <c r="AW55" s="53"/>
      <c r="AX55" s="16"/>
      <c r="AZ55" s="68" t="str">
        <f>'USD Market Data'!AR56</f>
        <v/>
      </c>
      <c r="BA55" s="79" t="str">
        <f>'USD Market Data'!AV56</f>
        <v/>
      </c>
      <c r="BB55" s="80" t="b">
        <f t="shared" si="0"/>
        <v>0</v>
      </c>
      <c r="BD55" s="12"/>
      <c r="BE55" s="27"/>
      <c r="BG55" s="53"/>
      <c r="BH55" s="16"/>
      <c r="BJ55" s="223" t="str">
        <f>'USD Market Data'!AX56</f>
        <v/>
      </c>
      <c r="BK55" s="263" t="str">
        <f>'USD Market Data'!BB56</f>
        <v/>
      </c>
      <c r="BM55" s="53"/>
      <c r="BN55" s="16"/>
      <c r="BP55" s="223" t="str">
        <f>'USD Market Data'!BD56</f>
        <v/>
      </c>
      <c r="BQ55" s="263" t="str">
        <f>'USD Market Data'!BH56</f>
        <v/>
      </c>
      <c r="BS55" s="53"/>
      <c r="BT55" s="16"/>
      <c r="BV55" s="223" t="str">
        <f>'USD Market Data'!BJ56</f>
        <v/>
      </c>
      <c r="BW55" s="263" t="str">
        <f>'USD Market Data'!BN56</f>
        <v/>
      </c>
      <c r="BY55" s="12"/>
      <c r="BZ55" s="83"/>
      <c r="CB55" s="53"/>
      <c r="CC55" s="83"/>
      <c r="CE55" s="84"/>
      <c r="CF55" s="98"/>
      <c r="CH55" s="12"/>
      <c r="CI55" s="83"/>
      <c r="CK55" s="53"/>
      <c r="CL55" s="83"/>
      <c r="CN55" s="53"/>
      <c r="CO55" s="83"/>
      <c r="CQ55" s="53"/>
      <c r="CR55" s="83"/>
    </row>
    <row r="56" spans="2:96">
      <c r="B56" s="53"/>
      <c r="C56" s="118"/>
      <c r="D56" s="119"/>
      <c r="E56" s="120"/>
      <c r="L56" s="203"/>
      <c r="M56" s="223" t="str">
        <f>'USD Market Data'!B57</f>
        <v/>
      </c>
      <c r="N56" s="224" t="str">
        <f>IF(LEFT($M56,2)="FF",'USD Market Data'!F57*100,'USD Market Data'!F57)</f>
        <v/>
      </c>
      <c r="O56" s="258" t="str">
        <f>IF(LEFT(M56,2)="FF",_xll.meDateFromTenor(EOMONTH(COB,getFuturesMonth(M56)+2+getYearIncrementMonths(COB,M56))+1,"0D","Following",$K$8),"")</f>
        <v/>
      </c>
      <c r="P56" s="258" t="str">
        <f>IF(O56="","",EOMONTH(O56,0+getYearIncrementMonths(COB,M56)))</f>
        <v/>
      </c>
      <c r="Q56" s="86" t="b">
        <f t="shared" si="2"/>
        <v>0</v>
      </c>
      <c r="S56" s="92"/>
      <c r="T56" s="93"/>
      <c r="Y56" s="229" t="str">
        <f>'USD Market Data'!H57</f>
        <v/>
      </c>
      <c r="Z56" s="239" t="str">
        <f>IF('USD Market Data'!L57="","",'USD Market Data'!L57)</f>
        <v/>
      </c>
      <c r="AE56" s="229" t="str">
        <f>'USD Market Data'!N57</f>
        <v/>
      </c>
      <c r="AF56" s="230" t="str">
        <f>'USD Market Data'!R57</f>
        <v/>
      </c>
      <c r="AH56" s="12"/>
      <c r="AI56" s="27"/>
      <c r="AK56" s="51"/>
      <c r="AL56" s="33"/>
      <c r="AN56" s="51"/>
      <c r="AO56" s="33"/>
      <c r="AQ56" s="270" t="str">
        <f>'USD Market Data'!AM50</f>
        <v/>
      </c>
      <c r="AR56" s="287" t="str">
        <f>IF($AQ56="","",VLOOKUP($AQ56,'Instrument Data'!Data.Swaps.USD,4,0))</f>
        <v/>
      </c>
      <c r="AS56" s="287" t="str">
        <f>IF($AQ56="","",VLOOKUP($AQ56,'Instrument Data'!Data.Swaps.USD,5,0))</f>
        <v/>
      </c>
      <c r="AT56" s="274" t="str">
        <f>'USD Market Data'!AP50</f>
        <v/>
      </c>
      <c r="AU56" s="279" t="str">
        <f t="shared" si="3"/>
        <v/>
      </c>
      <c r="AW56" s="53"/>
      <c r="AX56" s="16"/>
      <c r="AZ56" s="68" t="str">
        <f>'USD Market Data'!AR57</f>
        <v/>
      </c>
      <c r="BA56" s="79" t="str">
        <f>'USD Market Data'!AV57</f>
        <v/>
      </c>
      <c r="BB56" s="80" t="b">
        <f t="shared" si="0"/>
        <v>0</v>
      </c>
      <c r="BD56" s="12"/>
      <c r="BE56" s="27"/>
      <c r="BG56" s="53"/>
      <c r="BH56" s="16"/>
      <c r="BJ56" s="223" t="str">
        <f>'USD Market Data'!AX57</f>
        <v/>
      </c>
      <c r="BK56" s="263" t="str">
        <f>'USD Market Data'!BB57</f>
        <v/>
      </c>
      <c r="BM56" s="53"/>
      <c r="BN56" s="16"/>
      <c r="BP56" s="223" t="str">
        <f>'USD Market Data'!BD57</f>
        <v/>
      </c>
      <c r="BQ56" s="263" t="str">
        <f>'USD Market Data'!BH57</f>
        <v/>
      </c>
      <c r="BS56" s="53"/>
      <c r="BT56" s="16"/>
      <c r="BV56" s="223" t="str">
        <f>'USD Market Data'!BJ57</f>
        <v/>
      </c>
      <c r="BW56" s="263" t="str">
        <f>'USD Market Data'!BN57</f>
        <v/>
      </c>
      <c r="BY56" s="12"/>
      <c r="BZ56" s="83"/>
      <c r="CB56" s="53"/>
      <c r="CC56" s="83"/>
      <c r="CE56" s="84"/>
      <c r="CF56" s="98"/>
      <c r="CH56" s="12"/>
      <c r="CI56" s="83"/>
      <c r="CK56" s="53"/>
      <c r="CL56" s="83"/>
      <c r="CN56" s="53"/>
      <c r="CO56" s="83"/>
      <c r="CQ56" s="53"/>
      <c r="CR56" s="83"/>
    </row>
    <row r="57" spans="2:96">
      <c r="B57" s="59"/>
      <c r="C57" s="121"/>
      <c r="D57" s="122"/>
      <c r="E57" s="123"/>
      <c r="L57" s="203"/>
      <c r="M57" s="223" t="str">
        <f>'USD Market Data'!B58</f>
        <v/>
      </c>
      <c r="N57" s="224" t="str">
        <f>IF(LEFT($M57,2)="FF",'USD Market Data'!F58*100,'USD Market Data'!F58)</f>
        <v/>
      </c>
      <c r="O57" s="258" t="str">
        <f>IF(LEFT(M57,2)="FF",_xll.meDateFromTenor(EOMONTH(COB,getFuturesMonth(M57)+2+getYearIncrementMonths(COB,M57))+1,"0D","Following",$K$8),"")</f>
        <v/>
      </c>
      <c r="P57" s="258" t="str">
        <f>IF(O57="","",EOMONTH(O57,0+getYearIncrementMonths(COB,M57)))</f>
        <v/>
      </c>
      <c r="Q57" s="86" t="b">
        <f t="shared" si="2"/>
        <v>0</v>
      </c>
      <c r="S57" s="92"/>
      <c r="T57" s="93"/>
      <c r="Y57" s="229" t="str">
        <f>'USD Market Data'!H58</f>
        <v/>
      </c>
      <c r="Z57" s="239" t="str">
        <f>IF('USD Market Data'!L58="","",'USD Market Data'!L58)</f>
        <v/>
      </c>
      <c r="AE57" s="229" t="str">
        <f>'USD Market Data'!N58</f>
        <v/>
      </c>
      <c r="AF57" s="230" t="str">
        <f>'USD Market Data'!R58</f>
        <v/>
      </c>
      <c r="AH57" s="12"/>
      <c r="AI57" s="27"/>
      <c r="AK57" s="51"/>
      <c r="AL57" s="33"/>
      <c r="AN57" s="51"/>
      <c r="AO57" s="33"/>
      <c r="AQ57" s="270" t="str">
        <f>'USD Market Data'!AM51</f>
        <v/>
      </c>
      <c r="AR57" s="287" t="str">
        <f>IF($AQ57="","",VLOOKUP($AQ57,'Instrument Data'!Data.Swaps.USD,4,0))</f>
        <v/>
      </c>
      <c r="AS57" s="287" t="str">
        <f>IF($AQ57="","",VLOOKUP($AQ57,'Instrument Data'!Data.Swaps.USD,5,0))</f>
        <v/>
      </c>
      <c r="AT57" s="274" t="str">
        <f>'USD Market Data'!AP51</f>
        <v/>
      </c>
      <c r="AU57" s="279" t="str">
        <f t="shared" si="3"/>
        <v/>
      </c>
      <c r="AW57" s="53"/>
      <c r="AX57" s="16"/>
      <c r="AZ57" s="68" t="str">
        <f>'USD Market Data'!AR58</f>
        <v/>
      </c>
      <c r="BA57" s="79" t="str">
        <f>'USD Market Data'!AV58</f>
        <v/>
      </c>
      <c r="BB57" s="80" t="b">
        <f t="shared" si="0"/>
        <v>0</v>
      </c>
      <c r="BD57" s="12"/>
      <c r="BE57" s="27"/>
      <c r="BG57" s="53"/>
      <c r="BH57" s="16"/>
      <c r="BJ57" s="223" t="str">
        <f>'USD Market Data'!AX58</f>
        <v/>
      </c>
      <c r="BK57" s="263" t="str">
        <f>'USD Market Data'!BB58</f>
        <v/>
      </c>
      <c r="BM57" s="53"/>
      <c r="BN57" s="16"/>
      <c r="BP57" s="223" t="str">
        <f>'USD Market Data'!BD58</f>
        <v/>
      </c>
      <c r="BQ57" s="263" t="str">
        <f>'USD Market Data'!BH58</f>
        <v/>
      </c>
      <c r="BS57" s="53"/>
      <c r="BT57" s="16"/>
      <c r="BV57" s="223" t="str">
        <f>'USD Market Data'!BJ58</f>
        <v/>
      </c>
      <c r="BW57" s="263" t="str">
        <f>'USD Market Data'!BN58</f>
        <v/>
      </c>
      <c r="BY57" s="12"/>
      <c r="BZ57" s="83"/>
      <c r="CB57" s="53"/>
      <c r="CC57" s="83"/>
      <c r="CE57" s="84"/>
      <c r="CF57" s="98"/>
      <c r="CH57" s="12"/>
      <c r="CI57" s="83"/>
      <c r="CK57" s="53"/>
      <c r="CL57" s="83"/>
      <c r="CN57" s="53"/>
      <c r="CO57" s="83"/>
      <c r="CQ57" s="53"/>
      <c r="CR57" s="83"/>
    </row>
    <row r="58" spans="2:96">
      <c r="L58" s="203"/>
      <c r="M58" s="223" t="str">
        <f>'USD Market Data'!B59</f>
        <v/>
      </c>
      <c r="N58" s="224" t="str">
        <f>IF(LEFT($M58,2)="FF",'USD Market Data'!F59*100,'USD Market Data'!F59)</f>
        <v/>
      </c>
      <c r="O58" s="258" t="str">
        <f>IF(LEFT(M58,2)="FF",_xll.meDateFromTenor(EOMONTH(COB,getFuturesMonth(M58)+2+getYearIncrementMonths(COB,M58))+1,"0D","Following",$K$8),"")</f>
        <v/>
      </c>
      <c r="P58" s="258" t="str">
        <f>IF(O58="","",EOMONTH(O58,0+getYearIncrementMonths(COB,M58)))</f>
        <v/>
      </c>
      <c r="Q58" s="86" t="b">
        <f t="shared" si="2"/>
        <v>0</v>
      </c>
      <c r="S58" s="92"/>
      <c r="T58" s="93"/>
      <c r="Y58" s="229" t="str">
        <f>'USD Market Data'!H59</f>
        <v/>
      </c>
      <c r="Z58" s="239" t="str">
        <f>IF('USD Market Data'!L59="","",'USD Market Data'!L59)</f>
        <v/>
      </c>
      <c r="AE58" s="229" t="str">
        <f>'USD Market Data'!N59</f>
        <v/>
      </c>
      <c r="AF58" s="230" t="str">
        <f>'USD Market Data'!R59</f>
        <v/>
      </c>
      <c r="AH58" s="12"/>
      <c r="AI58" s="27"/>
      <c r="AK58" s="51"/>
      <c r="AL58" s="33"/>
      <c r="AN58" s="51"/>
      <c r="AO58" s="33"/>
      <c r="AQ58" s="270" t="str">
        <f>'USD Market Data'!AM52</f>
        <v/>
      </c>
      <c r="AR58" s="287" t="str">
        <f>IF($AQ58="","",VLOOKUP($AQ58,'Instrument Data'!Data.Swaps.USD,4,0))</f>
        <v/>
      </c>
      <c r="AS58" s="287" t="str">
        <f>IF($AQ58="","",VLOOKUP($AQ58,'Instrument Data'!Data.Swaps.USD,5,0))</f>
        <v/>
      </c>
      <c r="AT58" s="274" t="str">
        <f>'USD Market Data'!AP52</f>
        <v/>
      </c>
      <c r="AU58" s="279" t="str">
        <f t="shared" si="3"/>
        <v/>
      </c>
      <c r="AW58" s="53"/>
      <c r="AX58" s="16"/>
      <c r="AZ58" s="68" t="str">
        <f>'USD Market Data'!AR59</f>
        <v/>
      </c>
      <c r="BA58" s="79" t="str">
        <f>'USD Market Data'!AV59</f>
        <v/>
      </c>
      <c r="BB58" s="80" t="b">
        <f t="shared" si="0"/>
        <v>0</v>
      </c>
      <c r="BD58" s="12"/>
      <c r="BE58" s="27"/>
      <c r="BG58" s="53"/>
      <c r="BH58" s="16"/>
      <c r="BJ58" s="223" t="str">
        <f>'USD Market Data'!AX59</f>
        <v/>
      </c>
      <c r="BK58" s="263" t="str">
        <f>'USD Market Data'!BB59</f>
        <v/>
      </c>
      <c r="BM58" s="53"/>
      <c r="BN58" s="16"/>
      <c r="BP58" s="223" t="str">
        <f>'USD Market Data'!BD59</f>
        <v/>
      </c>
      <c r="BQ58" s="263" t="str">
        <f>'USD Market Data'!BH59</f>
        <v/>
      </c>
      <c r="BS58" s="53"/>
      <c r="BT58" s="16"/>
      <c r="BV58" s="223" t="str">
        <f>'USD Market Data'!BJ59</f>
        <v/>
      </c>
      <c r="BW58" s="263" t="str">
        <f>'USD Market Data'!BN59</f>
        <v/>
      </c>
      <c r="BY58" s="12"/>
      <c r="BZ58" s="83"/>
      <c r="CB58" s="53"/>
      <c r="CC58" s="83"/>
      <c r="CE58" s="84"/>
      <c r="CF58" s="98"/>
      <c r="CH58" s="12"/>
      <c r="CI58" s="83"/>
      <c r="CK58" s="53"/>
      <c r="CL58" s="83"/>
      <c r="CN58" s="53"/>
      <c r="CO58" s="83"/>
      <c r="CQ58" s="53"/>
      <c r="CR58" s="83"/>
    </row>
    <row r="59" spans="2:96">
      <c r="B59" s="2" t="s">
        <v>312</v>
      </c>
      <c r="C59" s="9"/>
      <c r="L59" s="203"/>
      <c r="M59" s="223" t="str">
        <f>'USD Market Data'!B60</f>
        <v/>
      </c>
      <c r="N59" s="224" t="str">
        <f>IF(LEFT($M59,2)="FF",'USD Market Data'!F60*100,'USD Market Data'!F60)</f>
        <v/>
      </c>
      <c r="O59" s="258" t="str">
        <f>IF(LEFT(M59,2)="FF",_xll.meDateFromTenor(EOMONTH(COB,getFuturesMonth(M59)+2+getYearIncrementMonths(COB,M59))+1,"0D","Following",$K$8),"")</f>
        <v/>
      </c>
      <c r="P59" s="258" t="str">
        <f>IF(O59="","",EOMONTH(O59,0+getYearIncrementMonths(COB,M59)))</f>
        <v/>
      </c>
      <c r="Q59" s="86" t="b">
        <f t="shared" si="2"/>
        <v>0</v>
      </c>
      <c r="S59" s="92"/>
      <c r="T59" s="93"/>
      <c r="Y59" s="229" t="str">
        <f>'USD Market Data'!H60</f>
        <v/>
      </c>
      <c r="Z59" s="239" t="str">
        <f>IF('USD Market Data'!L60="","",'USD Market Data'!L60)</f>
        <v/>
      </c>
      <c r="AE59" s="229" t="str">
        <f>'USD Market Data'!N60</f>
        <v/>
      </c>
      <c r="AF59" s="230" t="str">
        <f>'USD Market Data'!R60</f>
        <v/>
      </c>
      <c r="AH59" s="12"/>
      <c r="AI59" s="27"/>
      <c r="AK59" s="51"/>
      <c r="AL59" s="33"/>
      <c r="AN59" s="51"/>
      <c r="AO59" s="33"/>
      <c r="AQ59" s="270" t="str">
        <f>'USD Market Data'!AM53</f>
        <v/>
      </c>
      <c r="AR59" s="287" t="str">
        <f>IF($AQ59="","",VLOOKUP($AQ59,'Instrument Data'!Data.Swaps.USD,4,0))</f>
        <v/>
      </c>
      <c r="AS59" s="287" t="str">
        <f>IF($AQ59="","",VLOOKUP($AQ59,'Instrument Data'!Data.Swaps.USD,5,0))</f>
        <v/>
      </c>
      <c r="AT59" s="274" t="str">
        <f>'USD Market Data'!AP53</f>
        <v/>
      </c>
      <c r="AU59" s="279" t="str">
        <f t="shared" si="3"/>
        <v/>
      </c>
      <c r="AW59" s="53"/>
      <c r="AX59" s="16"/>
      <c r="AZ59" s="68" t="str">
        <f>'USD Market Data'!AR60</f>
        <v/>
      </c>
      <c r="BA59" s="79" t="str">
        <f>'USD Market Data'!AV60</f>
        <v/>
      </c>
      <c r="BB59" s="80" t="b">
        <f t="shared" si="0"/>
        <v>0</v>
      </c>
      <c r="BD59" s="12"/>
      <c r="BE59" s="27"/>
      <c r="BG59" s="53"/>
      <c r="BH59" s="16"/>
      <c r="BJ59" s="223" t="str">
        <f>'USD Market Data'!AX60</f>
        <v/>
      </c>
      <c r="BK59" s="263" t="str">
        <f>'USD Market Data'!BB60</f>
        <v/>
      </c>
      <c r="BM59" s="53"/>
      <c r="BN59" s="16"/>
      <c r="BP59" s="223" t="str">
        <f>'USD Market Data'!BD60</f>
        <v/>
      </c>
      <c r="BQ59" s="263" t="str">
        <f>'USD Market Data'!BH60</f>
        <v/>
      </c>
      <c r="BS59" s="53"/>
      <c r="BT59" s="16"/>
      <c r="BV59" s="223" t="str">
        <f>'USD Market Data'!BJ60</f>
        <v/>
      </c>
      <c r="BW59" s="263" t="str">
        <f>'USD Market Data'!BN60</f>
        <v/>
      </c>
      <c r="BY59" s="12"/>
      <c r="BZ59" s="83"/>
      <c r="CB59" s="53"/>
      <c r="CC59" s="83"/>
      <c r="CE59" s="84"/>
      <c r="CF59" s="98"/>
      <c r="CH59" s="12"/>
      <c r="CI59" s="83"/>
      <c r="CK59" s="53"/>
      <c r="CL59" s="83"/>
      <c r="CN59" s="53"/>
      <c r="CO59" s="83"/>
      <c r="CQ59" s="53"/>
      <c r="CR59" s="83"/>
    </row>
    <row r="60" spans="2:96">
      <c r="B60" s="52" t="s">
        <v>189</v>
      </c>
      <c r="C60" s="112" t="s">
        <v>190</v>
      </c>
      <c r="D60" s="113"/>
      <c r="E60" s="114"/>
      <c r="L60" s="203"/>
      <c r="M60" s="223" t="str">
        <f>'USD Market Data'!B61</f>
        <v/>
      </c>
      <c r="N60" s="224" t="str">
        <f>IF(LEFT($M60,2)="FF",'USD Market Data'!F61*100,'USD Market Data'!F61)</f>
        <v/>
      </c>
      <c r="O60" s="258" t="str">
        <f>IF(LEFT(M60,2)="FF",_xll.meDateFromTenor(EOMONTH(COB,getFuturesMonth(M60)+2+getYearIncrementMonths(COB,M60))+1,"0D","Following",$K$8),"")</f>
        <v/>
      </c>
      <c r="P60" s="258" t="str">
        <f>IF(O60="","",EOMONTH(O60,0+getYearIncrementMonths(COB,M60)))</f>
        <v/>
      </c>
      <c r="Q60" s="86" t="b">
        <f t="shared" si="2"/>
        <v>0</v>
      </c>
      <c r="S60" s="92"/>
      <c r="T60" s="93"/>
      <c r="Y60" s="229" t="str">
        <f>'USD Market Data'!H61</f>
        <v/>
      </c>
      <c r="Z60" s="239" t="str">
        <f>IF('USD Market Data'!L61="","",'USD Market Data'!L61)</f>
        <v/>
      </c>
      <c r="AE60" s="229" t="str">
        <f>'USD Market Data'!N61</f>
        <v/>
      </c>
      <c r="AF60" s="230" t="str">
        <f>'USD Market Data'!R61</f>
        <v/>
      </c>
      <c r="AH60" s="12"/>
      <c r="AI60" s="27"/>
      <c r="AK60" s="51"/>
      <c r="AL60" s="33"/>
      <c r="AN60" s="51"/>
      <c r="AO60" s="33"/>
      <c r="AQ60" s="270" t="str">
        <f>'USD Market Data'!AM54</f>
        <v/>
      </c>
      <c r="AR60" s="287" t="str">
        <f>IF($AQ60="","",VLOOKUP($AQ60,'Instrument Data'!Data.Swaps.USD,4,0))</f>
        <v/>
      </c>
      <c r="AS60" s="287" t="str">
        <f>IF($AQ60="","",VLOOKUP($AQ60,'Instrument Data'!Data.Swaps.USD,5,0))</f>
        <v/>
      </c>
      <c r="AT60" s="274" t="str">
        <f>'USD Market Data'!AP54</f>
        <v/>
      </c>
      <c r="AU60" s="279" t="str">
        <f t="shared" si="3"/>
        <v/>
      </c>
      <c r="AW60" s="53"/>
      <c r="AX60" s="16"/>
      <c r="AZ60" s="68" t="str">
        <f>'USD Market Data'!AR61</f>
        <v/>
      </c>
      <c r="BA60" s="79" t="str">
        <f>'USD Market Data'!AV61</f>
        <v/>
      </c>
      <c r="BB60" s="80" t="b">
        <f t="shared" si="0"/>
        <v>0</v>
      </c>
      <c r="BD60" s="12"/>
      <c r="BE60" s="27"/>
      <c r="BG60" s="53"/>
      <c r="BH60" s="16"/>
      <c r="BJ60" s="223" t="str">
        <f>'USD Market Data'!AX61</f>
        <v/>
      </c>
      <c r="BK60" s="263" t="str">
        <f>'USD Market Data'!BB61</f>
        <v/>
      </c>
      <c r="BM60" s="53"/>
      <c r="BN60" s="16"/>
      <c r="BP60" s="223" t="str">
        <f>'USD Market Data'!BD61</f>
        <v/>
      </c>
      <c r="BQ60" s="263" t="str">
        <f>'USD Market Data'!BH61</f>
        <v/>
      </c>
      <c r="BS60" s="53"/>
      <c r="BT60" s="16"/>
      <c r="BV60" s="223" t="str">
        <f>'USD Market Data'!BJ61</f>
        <v/>
      </c>
      <c r="BW60" s="263" t="str">
        <f>'USD Market Data'!BN61</f>
        <v/>
      </c>
      <c r="BY60" s="12"/>
      <c r="BZ60" s="83"/>
      <c r="CB60" s="53"/>
      <c r="CC60" s="83"/>
      <c r="CE60" s="84"/>
      <c r="CF60" s="98"/>
      <c r="CH60" s="12"/>
      <c r="CI60" s="83"/>
      <c r="CK60" s="53"/>
      <c r="CL60" s="83"/>
      <c r="CN60" s="53"/>
      <c r="CO60" s="83"/>
      <c r="CQ60" s="53"/>
      <c r="CR60" s="83"/>
    </row>
    <row r="61" spans="2:96">
      <c r="B61" s="53" t="s">
        <v>61</v>
      </c>
      <c r="C61" s="115" t="s">
        <v>9</v>
      </c>
      <c r="D61" s="116"/>
      <c r="E61" s="117"/>
      <c r="L61" s="203"/>
      <c r="M61" s="223" t="str">
        <f>'USD Market Data'!B62</f>
        <v/>
      </c>
      <c r="N61" s="224" t="str">
        <f>IF(LEFT($M61,2)="FF",'USD Market Data'!F62*100,'USD Market Data'!F62)</f>
        <v/>
      </c>
      <c r="O61" s="258" t="str">
        <f>IF(LEFT(M61,2)="FF",_xll.meDateFromTenor(EOMONTH(COB,getFuturesMonth(M61)+2+getYearIncrementMonths(COB,M61))+1,"0D","Following",$K$8),"")</f>
        <v/>
      </c>
      <c r="P61" s="258" t="str">
        <f>IF(O61="","",EOMONTH(O61,0+getYearIncrementMonths(COB,M61)))</f>
        <v/>
      </c>
      <c r="Q61" s="86" t="b">
        <f t="shared" si="2"/>
        <v>0</v>
      </c>
      <c r="S61" s="92"/>
      <c r="T61" s="93"/>
      <c r="Y61" s="229" t="str">
        <f>'USD Market Data'!H62</f>
        <v/>
      </c>
      <c r="Z61" s="239" t="str">
        <f>IF('USD Market Data'!L62="","",'USD Market Data'!L62)</f>
        <v/>
      </c>
      <c r="AE61" s="229" t="str">
        <f>'USD Market Data'!N62</f>
        <v/>
      </c>
      <c r="AF61" s="230" t="str">
        <f>'USD Market Data'!R62</f>
        <v/>
      </c>
      <c r="AH61" s="12"/>
      <c r="AI61" s="27"/>
      <c r="AK61" s="51"/>
      <c r="AL61" s="33"/>
      <c r="AN61" s="51"/>
      <c r="AO61" s="33"/>
      <c r="AQ61" s="270" t="str">
        <f>'USD Market Data'!AM55</f>
        <v/>
      </c>
      <c r="AR61" s="287" t="str">
        <f>IF($AQ61="","",VLOOKUP($AQ61,'Instrument Data'!Data.Swaps.USD,4,0))</f>
        <v/>
      </c>
      <c r="AS61" s="287" t="str">
        <f>IF($AQ61="","",VLOOKUP($AQ61,'Instrument Data'!Data.Swaps.USD,5,0))</f>
        <v/>
      </c>
      <c r="AT61" s="274" t="str">
        <f>'USD Market Data'!AP55</f>
        <v/>
      </c>
      <c r="AU61" s="279" t="str">
        <f t="shared" si="3"/>
        <v/>
      </c>
      <c r="AW61" s="53"/>
      <c r="AX61" s="16"/>
      <c r="AZ61" s="68" t="str">
        <f>'USD Market Data'!AR62</f>
        <v/>
      </c>
      <c r="BA61" s="79" t="str">
        <f>'USD Market Data'!AV62</f>
        <v/>
      </c>
      <c r="BB61" s="80" t="b">
        <f t="shared" si="0"/>
        <v>0</v>
      </c>
      <c r="BD61" s="12"/>
      <c r="BE61" s="27"/>
      <c r="BG61" s="53"/>
      <c r="BH61" s="16"/>
      <c r="BJ61" s="223" t="str">
        <f>'USD Market Data'!AX62</f>
        <v/>
      </c>
      <c r="BK61" s="263" t="str">
        <f>'USD Market Data'!BB62</f>
        <v/>
      </c>
      <c r="BM61" s="53"/>
      <c r="BN61" s="16"/>
      <c r="BP61" s="223" t="str">
        <f>'USD Market Data'!BD62</f>
        <v/>
      </c>
      <c r="BQ61" s="263" t="str">
        <f>'USD Market Data'!BH62</f>
        <v/>
      </c>
      <c r="BS61" s="53"/>
      <c r="BT61" s="16"/>
      <c r="BV61" s="223" t="str">
        <f>'USD Market Data'!BJ62</f>
        <v/>
      </c>
      <c r="BW61" s="263" t="str">
        <f>'USD Market Data'!BN62</f>
        <v/>
      </c>
      <c r="BY61" s="12"/>
      <c r="BZ61" s="83"/>
      <c r="CB61" s="53"/>
      <c r="CC61" s="83"/>
      <c r="CE61" s="84"/>
      <c r="CF61" s="98"/>
      <c r="CH61" s="12"/>
      <c r="CI61" s="83"/>
      <c r="CK61" s="53"/>
      <c r="CL61" s="83"/>
      <c r="CN61" s="53"/>
      <c r="CO61" s="83"/>
      <c r="CQ61" s="53"/>
      <c r="CR61" s="83"/>
    </row>
    <row r="62" spans="2:96">
      <c r="B62" s="53" t="s">
        <v>194</v>
      </c>
      <c r="C62" s="118" t="s">
        <v>290</v>
      </c>
      <c r="D62" s="119"/>
      <c r="E62" s="120"/>
      <c r="L62" s="203"/>
      <c r="M62" s="223" t="str">
        <f>'USD Market Data'!B63</f>
        <v/>
      </c>
      <c r="N62" s="224" t="str">
        <f>IF(LEFT($M62,2)="FF",'USD Market Data'!F63*100,'USD Market Data'!F63)</f>
        <v/>
      </c>
      <c r="O62" s="258" t="str">
        <f>IF(LEFT(M62,2)="FF",_xll.meDateFromTenor(EOMONTH(COB,getFuturesMonth(M62)+2+getYearIncrementMonths(COB,M62))+1,"0D","Following",$K$8),"")</f>
        <v/>
      </c>
      <c r="P62" s="258" t="str">
        <f>IF(O62="","",EOMONTH(O62,0+getYearIncrementMonths(COB,M62)))</f>
        <v/>
      </c>
      <c r="Q62" s="86" t="b">
        <f t="shared" si="2"/>
        <v>0</v>
      </c>
      <c r="S62" s="92"/>
      <c r="T62" s="93"/>
      <c r="Y62" s="229" t="str">
        <f>'USD Market Data'!H63</f>
        <v/>
      </c>
      <c r="Z62" s="239" t="str">
        <f>IF('USD Market Data'!L63="","",'USD Market Data'!L63)</f>
        <v/>
      </c>
      <c r="AE62" s="229" t="str">
        <f>'USD Market Data'!N63</f>
        <v/>
      </c>
      <c r="AF62" s="230" t="str">
        <f>'USD Market Data'!R63</f>
        <v/>
      </c>
      <c r="AH62" s="12"/>
      <c r="AI62" s="27"/>
      <c r="AK62" s="51"/>
      <c r="AL62" s="33"/>
      <c r="AN62" s="51"/>
      <c r="AO62" s="33"/>
      <c r="AQ62" s="270" t="str">
        <f>'USD Market Data'!AM56</f>
        <v/>
      </c>
      <c r="AR62" s="287" t="str">
        <f>IF($AQ62="","",VLOOKUP($AQ62,'Instrument Data'!Data.Swaps.USD,4,0))</f>
        <v/>
      </c>
      <c r="AS62" s="287" t="str">
        <f>IF($AQ62="","",VLOOKUP($AQ62,'Instrument Data'!Data.Swaps.USD,5,0))</f>
        <v/>
      </c>
      <c r="AT62" s="274" t="str">
        <f>'USD Market Data'!AP56</f>
        <v/>
      </c>
      <c r="AU62" s="279" t="str">
        <f t="shared" si="3"/>
        <v/>
      </c>
      <c r="AW62" s="53"/>
      <c r="AX62" s="16"/>
      <c r="AZ62" s="68" t="str">
        <f>'USD Market Data'!AR63</f>
        <v/>
      </c>
      <c r="BA62" s="79" t="str">
        <f>'USD Market Data'!AV63</f>
        <v/>
      </c>
      <c r="BB62" s="80" t="b">
        <f t="shared" si="0"/>
        <v>0</v>
      </c>
      <c r="BD62" s="12"/>
      <c r="BE62" s="27"/>
      <c r="BG62" s="53"/>
      <c r="BH62" s="16"/>
      <c r="BJ62" s="223" t="str">
        <f>'USD Market Data'!AX63</f>
        <v/>
      </c>
      <c r="BK62" s="263" t="str">
        <f>'USD Market Data'!BB63</f>
        <v/>
      </c>
      <c r="BM62" s="53"/>
      <c r="BN62" s="16"/>
      <c r="BP62" s="223" t="str">
        <f>'USD Market Data'!BD63</f>
        <v/>
      </c>
      <c r="BQ62" s="263" t="str">
        <f>'USD Market Data'!BH63</f>
        <v/>
      </c>
      <c r="BS62" s="53"/>
      <c r="BT62" s="16"/>
      <c r="BV62" s="223" t="str">
        <f>'USD Market Data'!BJ63</f>
        <v/>
      </c>
      <c r="BW62" s="263" t="str">
        <f>'USD Market Data'!BN63</f>
        <v/>
      </c>
      <c r="BY62" s="12"/>
      <c r="BZ62" s="83"/>
      <c r="CB62" s="53"/>
      <c r="CC62" s="83"/>
      <c r="CE62" s="84"/>
      <c r="CF62" s="98"/>
      <c r="CH62" s="12"/>
      <c r="CI62" s="83"/>
      <c r="CK62" s="53"/>
      <c r="CL62" s="83"/>
      <c r="CN62" s="53"/>
      <c r="CO62" s="83"/>
      <c r="CQ62" s="53"/>
      <c r="CR62" s="83"/>
    </row>
    <row r="63" spans="2:96">
      <c r="B63" s="53" t="s">
        <v>195</v>
      </c>
      <c r="C63" s="118" t="s">
        <v>288</v>
      </c>
      <c r="D63" s="119"/>
      <c r="E63" s="120"/>
      <c r="L63" s="203"/>
      <c r="M63" s="223" t="str">
        <f>'USD Market Data'!B64</f>
        <v/>
      </c>
      <c r="N63" s="224" t="str">
        <f>IF(LEFT($M63,2)="FF",'USD Market Data'!F64*100,'USD Market Data'!F64)</f>
        <v/>
      </c>
      <c r="O63" s="258" t="str">
        <f>IF(LEFT(M63,2)="FF",_xll.meDateFromTenor(EOMONTH(COB,getFuturesMonth(M63)+2+getYearIncrementMonths(COB,M63))+1,"0D","Following",$K$8),"")</f>
        <v/>
      </c>
      <c r="P63" s="258" t="str">
        <f>IF(O63="","",EOMONTH(O63,0+getYearIncrementMonths(COB,M63)))</f>
        <v/>
      </c>
      <c r="Q63" s="86" t="b">
        <f t="shared" si="2"/>
        <v>0</v>
      </c>
      <c r="S63" s="92"/>
      <c r="T63" s="93"/>
      <c r="Y63" s="229" t="str">
        <f>'USD Market Data'!H64</f>
        <v/>
      </c>
      <c r="Z63" s="239" t="str">
        <f>IF('USD Market Data'!L64="","",'USD Market Data'!L64)</f>
        <v/>
      </c>
      <c r="AE63" s="229" t="str">
        <f>'USD Market Data'!N64</f>
        <v/>
      </c>
      <c r="AF63" s="230" t="str">
        <f>'USD Market Data'!R64</f>
        <v/>
      </c>
      <c r="AH63" s="12"/>
      <c r="AI63" s="27"/>
      <c r="AK63" s="51"/>
      <c r="AL63" s="33"/>
      <c r="AN63" s="51"/>
      <c r="AO63" s="33"/>
      <c r="AQ63" s="270" t="str">
        <f>'USD Market Data'!AM57</f>
        <v/>
      </c>
      <c r="AR63" s="287" t="str">
        <f>IF($AQ63="","",VLOOKUP($AQ63,'Instrument Data'!Data.Swaps.USD,4,0))</f>
        <v/>
      </c>
      <c r="AS63" s="287" t="str">
        <f>IF($AQ63="","",VLOOKUP($AQ63,'Instrument Data'!Data.Swaps.USD,5,0))</f>
        <v/>
      </c>
      <c r="AT63" s="274" t="str">
        <f>'USD Market Data'!AP57</f>
        <v/>
      </c>
      <c r="AU63" s="279" t="str">
        <f t="shared" si="3"/>
        <v/>
      </c>
      <c r="AW63" s="53"/>
      <c r="AX63" s="16"/>
      <c r="AZ63" s="68" t="str">
        <f>'USD Market Data'!AR64</f>
        <v/>
      </c>
      <c r="BA63" s="79" t="str">
        <f>'USD Market Data'!AV64</f>
        <v/>
      </c>
      <c r="BB63" s="80" t="b">
        <f t="shared" si="0"/>
        <v>0</v>
      </c>
      <c r="BD63" s="12"/>
      <c r="BE63" s="27"/>
      <c r="BG63" s="53"/>
      <c r="BH63" s="16"/>
      <c r="BJ63" s="223" t="str">
        <f>'USD Market Data'!AX64</f>
        <v/>
      </c>
      <c r="BK63" s="263" t="str">
        <f>'USD Market Data'!BB64</f>
        <v/>
      </c>
      <c r="BM63" s="53"/>
      <c r="BN63" s="16"/>
      <c r="BP63" s="223" t="str">
        <f>'USD Market Data'!BD64</f>
        <v/>
      </c>
      <c r="BQ63" s="263" t="str">
        <f>'USD Market Data'!BH64</f>
        <v/>
      </c>
      <c r="BS63" s="53"/>
      <c r="BT63" s="16"/>
      <c r="BV63" s="223" t="str">
        <f>'USD Market Data'!BJ64</f>
        <v/>
      </c>
      <c r="BW63" s="263" t="str">
        <f>'USD Market Data'!BN64</f>
        <v/>
      </c>
      <c r="BY63" s="12"/>
      <c r="BZ63" s="83"/>
      <c r="CB63" s="53"/>
      <c r="CC63" s="83"/>
      <c r="CE63" s="84"/>
      <c r="CF63" s="98"/>
      <c r="CH63" s="12"/>
      <c r="CI63" s="83"/>
      <c r="CK63" s="53"/>
      <c r="CL63" s="83"/>
      <c r="CN63" s="53"/>
      <c r="CO63" s="83"/>
      <c r="CQ63" s="53"/>
      <c r="CR63" s="83"/>
    </row>
    <row r="64" spans="2:96">
      <c r="B64" s="135" t="s">
        <v>268</v>
      </c>
      <c r="C64" s="118" t="s">
        <v>289</v>
      </c>
      <c r="D64" s="119"/>
      <c r="E64" s="120"/>
      <c r="L64" s="203"/>
      <c r="M64" s="223" t="str">
        <f>'USD Market Data'!B65</f>
        <v/>
      </c>
      <c r="N64" s="224" t="str">
        <f>IF(LEFT($M64,2)="FF",'USD Market Data'!F65*100,'USD Market Data'!F65)</f>
        <v/>
      </c>
      <c r="O64" s="258" t="str">
        <f>IF(LEFT(M64,2)="FF",_xll.meDateFromTenor(EOMONTH(COB,getFuturesMonth(M64)+2+getYearIncrementMonths(COB,M64))+1,"0D","Following",$K$8),"")</f>
        <v/>
      </c>
      <c r="P64" s="258" t="str">
        <f>IF(O64="","",EOMONTH(O64,0+getYearIncrementMonths(COB,M64)))</f>
        <v/>
      </c>
      <c r="Q64" s="86" t="b">
        <f t="shared" si="2"/>
        <v>0</v>
      </c>
      <c r="S64" s="92"/>
      <c r="T64" s="93"/>
      <c r="Y64" s="229" t="str">
        <f>'USD Market Data'!H65</f>
        <v/>
      </c>
      <c r="Z64" s="239" t="str">
        <f>IF('USD Market Data'!L65="","",'USD Market Data'!L65)</f>
        <v/>
      </c>
      <c r="AE64" s="229" t="str">
        <f>'USD Market Data'!N65</f>
        <v/>
      </c>
      <c r="AF64" s="230" t="str">
        <f>'USD Market Data'!R65</f>
        <v/>
      </c>
      <c r="AH64" s="12"/>
      <c r="AI64" s="27"/>
      <c r="AK64" s="51"/>
      <c r="AL64" s="33"/>
      <c r="AN64" s="51"/>
      <c r="AO64" s="33"/>
      <c r="AQ64" s="270" t="str">
        <f>'USD Market Data'!AM58</f>
        <v/>
      </c>
      <c r="AR64" s="287" t="str">
        <f>IF($AQ64="","",VLOOKUP($AQ64,'Instrument Data'!Data.Swaps.USD,4,0))</f>
        <v/>
      </c>
      <c r="AS64" s="287" t="str">
        <f>IF($AQ64="","",VLOOKUP($AQ64,'Instrument Data'!Data.Swaps.USD,5,0))</f>
        <v/>
      </c>
      <c r="AT64" s="274" t="str">
        <f>'USD Market Data'!AP58</f>
        <v/>
      </c>
      <c r="AU64" s="279" t="str">
        <f t="shared" si="3"/>
        <v/>
      </c>
      <c r="AW64" s="53"/>
      <c r="AX64" s="16"/>
      <c r="AZ64" s="68" t="str">
        <f>'USD Market Data'!AR65</f>
        <v/>
      </c>
      <c r="BA64" s="79" t="str">
        <f>'USD Market Data'!AV65</f>
        <v/>
      </c>
      <c r="BB64" s="80" t="b">
        <f t="shared" si="0"/>
        <v>0</v>
      </c>
      <c r="BD64" s="12"/>
      <c r="BE64" s="27"/>
      <c r="BG64" s="53"/>
      <c r="BH64" s="16"/>
      <c r="BJ64" s="223" t="str">
        <f>'USD Market Data'!AX65</f>
        <v/>
      </c>
      <c r="BK64" s="263" t="str">
        <f>'USD Market Data'!BB65</f>
        <v/>
      </c>
      <c r="BM64" s="53"/>
      <c r="BN64" s="16"/>
      <c r="BP64" s="223" t="str">
        <f>'USD Market Data'!BD65</f>
        <v/>
      </c>
      <c r="BQ64" s="263" t="str">
        <f>'USD Market Data'!BH65</f>
        <v/>
      </c>
      <c r="BS64" s="53"/>
      <c r="BT64" s="16"/>
      <c r="BV64" s="223" t="str">
        <f>'USD Market Data'!BJ65</f>
        <v/>
      </c>
      <c r="BW64" s="263" t="str">
        <f>'USD Market Data'!BN65</f>
        <v/>
      </c>
      <c r="BY64" s="12"/>
      <c r="BZ64" s="83"/>
      <c r="CB64" s="53"/>
      <c r="CC64" s="83"/>
      <c r="CE64" s="84"/>
      <c r="CF64" s="98"/>
      <c r="CH64" s="12"/>
      <c r="CI64" s="83"/>
      <c r="CK64" s="53"/>
      <c r="CL64" s="83"/>
      <c r="CN64" s="53"/>
      <c r="CO64" s="83"/>
      <c r="CQ64" s="53"/>
      <c r="CR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>'USD Market Data'!B66</f>
        <v/>
      </c>
      <c r="N65" s="224" t="str">
        <f>IF(LEFT($M65,2)="FF",'USD Market Data'!F66*100,'USD Market Data'!F66)</f>
        <v/>
      </c>
      <c r="O65" s="258" t="str">
        <f>IF(LEFT(M65,2)="FF",_xll.meDateFromTenor(EOMONTH(COB,getFuturesMonth(M65)+2+getYearIncrementMonths(COB,M65))+1,"0D","Following",$K$8),"")</f>
        <v/>
      </c>
      <c r="P65" s="258" t="str">
        <f>IF(O65="","",EOMONTH(O65,0+getYearIncrementMonths(COB,M65)))</f>
        <v/>
      </c>
      <c r="Q65" s="86" t="b">
        <f t="shared" si="2"/>
        <v>0</v>
      </c>
      <c r="S65" s="92"/>
      <c r="T65" s="93"/>
      <c r="Y65" s="229" t="str">
        <f>'USD Market Data'!H66</f>
        <v/>
      </c>
      <c r="Z65" s="239" t="str">
        <f>IF('USD Market Data'!L66="","",'USD Market Data'!L66)</f>
        <v/>
      </c>
      <c r="AE65" s="229" t="str">
        <f>'USD Market Data'!N66</f>
        <v/>
      </c>
      <c r="AF65" s="230" t="str">
        <f>'USD Market Data'!R66</f>
        <v/>
      </c>
      <c r="AH65" s="12"/>
      <c r="AI65" s="27"/>
      <c r="AK65" s="51"/>
      <c r="AL65" s="33"/>
      <c r="AN65" s="51"/>
      <c r="AO65" s="33"/>
      <c r="AQ65" s="270" t="str">
        <f>'USD Market Data'!AM59</f>
        <v/>
      </c>
      <c r="AR65" s="287" t="str">
        <f>IF($AQ65="","",VLOOKUP($AQ65,'Instrument Data'!Data.Swaps.USD,4,0))</f>
        <v/>
      </c>
      <c r="AS65" s="287" t="str">
        <f>IF($AQ65="","",VLOOKUP($AQ65,'Instrument Data'!Data.Swaps.USD,5,0))</f>
        <v/>
      </c>
      <c r="AT65" s="274" t="str">
        <f>'USD Market Data'!AP59</f>
        <v/>
      </c>
      <c r="AU65" s="279" t="str">
        <f t="shared" si="3"/>
        <v/>
      </c>
      <c r="AW65" s="53"/>
      <c r="AX65" s="16"/>
      <c r="AZ65" s="68" t="str">
        <f>'USD Market Data'!AR66</f>
        <v/>
      </c>
      <c r="BA65" s="79" t="str">
        <f>'USD Market Data'!AV66</f>
        <v/>
      </c>
      <c r="BB65" s="80" t="b">
        <f t="shared" si="0"/>
        <v>0</v>
      </c>
      <c r="BD65" s="12"/>
      <c r="BE65" s="27"/>
      <c r="BG65" s="53"/>
      <c r="BH65" s="16"/>
      <c r="BJ65" s="223" t="str">
        <f>'USD Market Data'!AX66</f>
        <v/>
      </c>
      <c r="BK65" s="263" t="str">
        <f>'USD Market Data'!BB66</f>
        <v/>
      </c>
      <c r="BM65" s="53"/>
      <c r="BN65" s="16"/>
      <c r="BP65" s="223" t="str">
        <f>'USD Market Data'!BD66</f>
        <v/>
      </c>
      <c r="BQ65" s="263" t="str">
        <f>'USD Market Data'!BH66</f>
        <v/>
      </c>
      <c r="BS65" s="53"/>
      <c r="BT65" s="16"/>
      <c r="BV65" s="223" t="str">
        <f>'USD Market Data'!BJ66</f>
        <v/>
      </c>
      <c r="BW65" s="263" t="str">
        <f>'USD Market Data'!BN66</f>
        <v/>
      </c>
      <c r="BY65" s="12"/>
      <c r="BZ65" s="83"/>
      <c r="CB65" s="53"/>
      <c r="CC65" s="83"/>
      <c r="CE65" s="84"/>
      <c r="CF65" s="98"/>
      <c r="CH65" s="12"/>
      <c r="CI65" s="83"/>
      <c r="CK65" s="53"/>
      <c r="CL65" s="83"/>
      <c r="CN65" s="53"/>
      <c r="CO65" s="83"/>
      <c r="CQ65" s="53"/>
      <c r="CR65" s="83"/>
    </row>
    <row r="66" spans="1:105">
      <c r="B66" s="53" t="s">
        <v>197</v>
      </c>
      <c r="C66" s="118" t="s">
        <v>291</v>
      </c>
      <c r="D66" s="119"/>
      <c r="E66" s="120"/>
      <c r="L66" s="203"/>
      <c r="M66" s="223" t="str">
        <f>'USD Market Data'!B67</f>
        <v/>
      </c>
      <c r="N66" s="224" t="str">
        <f>IF(LEFT($M66,2)="FF",'USD Market Data'!F67*100,'USD Market Data'!F67)</f>
        <v/>
      </c>
      <c r="O66" s="258" t="str">
        <f>IF(LEFT(M66,2)="FF",_xll.meDateFromTenor(EOMONTH(COB,getFuturesMonth(M66)+2+getYearIncrementMonths(COB,M66))+1,"0D","Following",$K$8),"")</f>
        <v/>
      </c>
      <c r="P66" s="258" t="str">
        <f>IF(O66="","",EOMONTH(O66,0+getYearIncrementMonths(COB,M66)))</f>
        <v/>
      </c>
      <c r="Q66" s="86" t="b">
        <f t="shared" si="2"/>
        <v>0</v>
      </c>
      <c r="S66" s="92"/>
      <c r="T66" s="93"/>
      <c r="Y66" s="229" t="str">
        <f>'USD Market Data'!H67</f>
        <v/>
      </c>
      <c r="Z66" s="239" t="str">
        <f>IF('USD Market Data'!L67="","",'USD Market Data'!L67)</f>
        <v/>
      </c>
      <c r="AE66" s="229" t="str">
        <f>'USD Market Data'!N67</f>
        <v/>
      </c>
      <c r="AF66" s="230" t="str">
        <f>'USD Market Data'!R67</f>
        <v/>
      </c>
      <c r="AH66" s="12"/>
      <c r="AI66" s="27"/>
      <c r="AK66" s="51"/>
      <c r="AL66" s="33"/>
      <c r="AN66" s="51"/>
      <c r="AO66" s="33"/>
      <c r="AQ66" s="270" t="str">
        <f>'USD Market Data'!AM60</f>
        <v/>
      </c>
      <c r="AR66" s="287" t="str">
        <f>IF($AQ66="","",VLOOKUP($AQ66,'Instrument Data'!Data.Swaps.USD,4,0))</f>
        <v/>
      </c>
      <c r="AS66" s="287" t="str">
        <f>IF($AQ66="","",VLOOKUP($AQ66,'Instrument Data'!Data.Swaps.USD,5,0))</f>
        <v/>
      </c>
      <c r="AT66" s="274" t="str">
        <f>'USD Market Data'!AP60</f>
        <v/>
      </c>
      <c r="AU66" s="279" t="str">
        <f t="shared" si="3"/>
        <v/>
      </c>
      <c r="AW66" s="53"/>
      <c r="AX66" s="16"/>
      <c r="AZ66" s="68" t="str">
        <f>'USD Market Data'!AR67</f>
        <v/>
      </c>
      <c r="BA66" s="79" t="str">
        <f>'USD Market Data'!AV67</f>
        <v/>
      </c>
      <c r="BB66" s="80" t="b">
        <f t="shared" si="0"/>
        <v>0</v>
      </c>
      <c r="BD66" s="12"/>
      <c r="BE66" s="27"/>
      <c r="BG66" s="53"/>
      <c r="BH66" s="16"/>
      <c r="BJ66" s="223" t="str">
        <f>'USD Market Data'!AX67</f>
        <v/>
      </c>
      <c r="BK66" s="263" t="str">
        <f>'USD Market Data'!BB67</f>
        <v/>
      </c>
      <c r="BM66" s="53"/>
      <c r="BN66" s="16"/>
      <c r="BP66" s="223" t="str">
        <f>'USD Market Data'!BD67</f>
        <v/>
      </c>
      <c r="BQ66" s="263" t="str">
        <f>'USD Market Data'!BH67</f>
        <v/>
      </c>
      <c r="BS66" s="53"/>
      <c r="BT66" s="16"/>
      <c r="BV66" s="223" t="str">
        <f>'USD Market Data'!BJ67</f>
        <v/>
      </c>
      <c r="BW66" s="263" t="str">
        <f>'USD Market Data'!BN67</f>
        <v/>
      </c>
      <c r="BY66" s="12"/>
      <c r="BZ66" s="83"/>
      <c r="CB66" s="53"/>
      <c r="CC66" s="83"/>
      <c r="CE66" s="84"/>
      <c r="CF66" s="98"/>
      <c r="CH66" s="12"/>
      <c r="CI66" s="83"/>
      <c r="CK66" s="53"/>
      <c r="CL66" s="83"/>
      <c r="CN66" s="53"/>
      <c r="CO66" s="83"/>
      <c r="CQ66" s="53"/>
      <c r="CR66" s="83"/>
    </row>
    <row r="67" spans="1:105">
      <c r="B67" s="59"/>
      <c r="C67" s="121"/>
      <c r="D67" s="122"/>
      <c r="E67" s="123"/>
      <c r="L67" s="203"/>
      <c r="M67" s="223" t="str">
        <f>'USD Market Data'!B68</f>
        <v/>
      </c>
      <c r="N67" s="224" t="str">
        <f>IF(LEFT($M67,2)="FF",'USD Market Data'!F68*100,'USD Market Data'!F68)</f>
        <v/>
      </c>
      <c r="O67" s="258" t="str">
        <f>IF(LEFT(M67,2)="FF",_xll.meDateFromTenor(EOMONTH(COB,getFuturesMonth(M67)+2+getYearIncrementMonths(COB,M67))+1,"0D","Following",$K$8),"")</f>
        <v/>
      </c>
      <c r="P67" s="258" t="str">
        <f>IF(O67="","",EOMONTH(O67,0+getYearIncrementMonths(COB,M67)))</f>
        <v/>
      </c>
      <c r="Q67" s="86" t="b">
        <f t="shared" si="2"/>
        <v>0</v>
      </c>
      <c r="S67" s="92"/>
      <c r="T67" s="93"/>
      <c r="Y67" s="229" t="str">
        <f>'USD Market Data'!H68</f>
        <v/>
      </c>
      <c r="Z67" s="239" t="str">
        <f>IF('USD Market Data'!L68="","",'USD Market Data'!L68)</f>
        <v/>
      </c>
      <c r="AE67" s="229" t="str">
        <f>'USD Market Data'!N68</f>
        <v/>
      </c>
      <c r="AF67" s="230" t="str">
        <f>'USD Market Data'!R68</f>
        <v/>
      </c>
      <c r="AH67" s="12"/>
      <c r="AI67" s="27"/>
      <c r="AK67" s="51"/>
      <c r="AL67" s="33"/>
      <c r="AN67" s="51"/>
      <c r="AO67" s="33"/>
      <c r="AQ67" s="270" t="str">
        <f>'USD Market Data'!AM61</f>
        <v/>
      </c>
      <c r="AR67" s="287" t="str">
        <f>IF($AQ67="","",VLOOKUP($AQ67,'Instrument Data'!Data.Swaps.USD,4,0))</f>
        <v/>
      </c>
      <c r="AS67" s="287" t="str">
        <f>IF($AQ67="","",VLOOKUP($AQ67,'Instrument Data'!Data.Swaps.USD,5,0))</f>
        <v/>
      </c>
      <c r="AT67" s="274" t="str">
        <f>'USD Market Data'!AP61</f>
        <v/>
      </c>
      <c r="AU67" s="279" t="str">
        <f t="shared" si="3"/>
        <v/>
      </c>
      <c r="AW67" s="53"/>
      <c r="AX67" s="16"/>
      <c r="AZ67" s="68" t="str">
        <f>'USD Market Data'!AR68</f>
        <v/>
      </c>
      <c r="BA67" s="79" t="str">
        <f>'USD Market Data'!AV68</f>
        <v/>
      </c>
      <c r="BB67" s="80" t="b">
        <f t="shared" si="0"/>
        <v>0</v>
      </c>
      <c r="BD67" s="12"/>
      <c r="BE67" s="27"/>
      <c r="BG67" s="53"/>
      <c r="BH67" s="16"/>
      <c r="BJ67" s="223" t="str">
        <f>'USD Market Data'!AX68</f>
        <v/>
      </c>
      <c r="BK67" s="263" t="str">
        <f>'USD Market Data'!BB68</f>
        <v/>
      </c>
      <c r="BM67" s="53"/>
      <c r="BN67" s="16"/>
      <c r="BP67" s="223" t="str">
        <f>'USD Market Data'!BD68</f>
        <v/>
      </c>
      <c r="BQ67" s="263" t="str">
        <f>'USD Market Data'!BH68</f>
        <v/>
      </c>
      <c r="BS67" s="53"/>
      <c r="BT67" s="16"/>
      <c r="BV67" s="223" t="str">
        <f>'USD Market Data'!BJ68</f>
        <v/>
      </c>
      <c r="BW67" s="263" t="str">
        <f>'USD Market Data'!BN68</f>
        <v/>
      </c>
      <c r="BY67" s="12"/>
      <c r="BZ67" s="83"/>
      <c r="CB67" s="53"/>
      <c r="CC67" s="83"/>
      <c r="CE67" s="84"/>
      <c r="CF67" s="98"/>
      <c r="CH67" s="12"/>
      <c r="CI67" s="83"/>
      <c r="CK67" s="53"/>
      <c r="CL67" s="83"/>
      <c r="CN67" s="53"/>
      <c r="CO67" s="83"/>
      <c r="CQ67" s="53"/>
      <c r="CR67" s="83"/>
    </row>
    <row r="68" spans="1:105">
      <c r="L68" s="203"/>
      <c r="M68" s="223" t="str">
        <f>'USD Market Data'!B69</f>
        <v/>
      </c>
      <c r="N68" s="224" t="str">
        <f>IF(LEFT($M68,2)="FF",'USD Market Data'!F69*100,'USD Market Data'!F69)</f>
        <v/>
      </c>
      <c r="O68" s="258" t="str">
        <f>IF(LEFT(M68,2)="FF",_xll.meDateFromTenor(EOMONTH(COB,getFuturesMonth(M68)+2+getYearIncrementMonths(COB,M68))+1,"0D","Following",$K$8),"")</f>
        <v/>
      </c>
      <c r="P68" s="258" t="str">
        <f>IF(O68="","",EOMONTH(O68,0+getYearIncrementMonths(COB,M68)))</f>
        <v/>
      </c>
      <c r="Q68" s="86" t="b">
        <f t="shared" si="2"/>
        <v>0</v>
      </c>
      <c r="S68" s="92"/>
      <c r="T68" s="93"/>
      <c r="Y68" s="229" t="str">
        <f>'USD Market Data'!H69</f>
        <v/>
      </c>
      <c r="Z68" s="239" t="str">
        <f>IF('USD Market Data'!L69="","",'USD Market Data'!L69)</f>
        <v/>
      </c>
      <c r="AE68" s="229" t="str">
        <f>'USD Market Data'!N69</f>
        <v/>
      </c>
      <c r="AF68" s="230" t="str">
        <f>'USD Market Data'!R69</f>
        <v/>
      </c>
      <c r="AH68" s="12"/>
      <c r="AI68" s="27"/>
      <c r="AK68" s="51"/>
      <c r="AL68" s="33"/>
      <c r="AN68" s="51"/>
      <c r="AO68" s="33"/>
      <c r="AQ68" s="270" t="str">
        <f>'USD Market Data'!AM62</f>
        <v/>
      </c>
      <c r="AR68" s="287" t="str">
        <f>IF($AQ68="","",VLOOKUP($AQ68,'Instrument Data'!Data.Swaps.USD,4,0))</f>
        <v/>
      </c>
      <c r="AS68" s="287" t="str">
        <f>IF($AQ68="","",VLOOKUP($AQ68,'Instrument Data'!Data.Swaps.USD,5,0))</f>
        <v/>
      </c>
      <c r="AT68" s="274" t="str">
        <f>'USD Market Data'!AP62</f>
        <v/>
      </c>
      <c r="AU68" s="279" t="str">
        <f t="shared" si="3"/>
        <v/>
      </c>
      <c r="AW68" s="53"/>
      <c r="AX68" s="16"/>
      <c r="AZ68" s="68" t="str">
        <f>'USD Market Data'!AR69</f>
        <v/>
      </c>
      <c r="BA68" s="79" t="str">
        <f>'USD Market Data'!AV69</f>
        <v/>
      </c>
      <c r="BB68" s="80" t="b">
        <f t="shared" si="0"/>
        <v>0</v>
      </c>
      <c r="BD68" s="12"/>
      <c r="BE68" s="27"/>
      <c r="BG68" s="53"/>
      <c r="BH68" s="16"/>
      <c r="BJ68" s="223" t="str">
        <f>'USD Market Data'!AX69</f>
        <v/>
      </c>
      <c r="BK68" s="263" t="str">
        <f>'USD Market Data'!BB69</f>
        <v/>
      </c>
      <c r="BM68" s="53"/>
      <c r="BN68" s="16"/>
      <c r="BP68" s="223" t="str">
        <f>'USD Market Data'!BD69</f>
        <v/>
      </c>
      <c r="BQ68" s="263" t="str">
        <f>'USD Market Data'!BH69</f>
        <v/>
      </c>
      <c r="BS68" s="53"/>
      <c r="BT68" s="16"/>
      <c r="BV68" s="223" t="str">
        <f>'USD Market Data'!BJ69</f>
        <v/>
      </c>
      <c r="BW68" s="263" t="str">
        <f>'USD Market Data'!BN69</f>
        <v/>
      </c>
      <c r="BY68" s="12"/>
      <c r="BZ68" s="83"/>
      <c r="CB68" s="53"/>
      <c r="CC68" s="83"/>
      <c r="CE68" s="84"/>
      <c r="CF68" s="98"/>
      <c r="CH68" s="12"/>
      <c r="CI68" s="83"/>
      <c r="CK68" s="53"/>
      <c r="CL68" s="83"/>
      <c r="CN68" s="53"/>
      <c r="CO68" s="83"/>
      <c r="CQ68" s="53"/>
      <c r="CR68" s="83"/>
    </row>
    <row r="69" spans="1:105">
      <c r="L69" s="203"/>
      <c r="M69" s="223" t="str">
        <f>'USD Market Data'!B70</f>
        <v/>
      </c>
      <c r="N69" s="224" t="str">
        <f>IF(LEFT($M69,2)="FF",'USD Market Data'!F70*100,'USD Market Data'!F70)</f>
        <v/>
      </c>
      <c r="O69" s="258" t="str">
        <f>IF(LEFT(M69,2)="FF",_xll.meDateFromTenor(EOMONTH(COB,getFuturesMonth(M69)+2+getYearIncrementMonths(COB,M69))+1,"0D","Following",$K$8),"")</f>
        <v/>
      </c>
      <c r="P69" s="258" t="str">
        <f>IF(O69="","",EOMONTH(O69,0+getYearIncrementMonths(COB,M69)))</f>
        <v/>
      </c>
      <c r="Q69" s="86" t="b">
        <f t="shared" si="2"/>
        <v>0</v>
      </c>
      <c r="S69" s="92"/>
      <c r="T69" s="93"/>
      <c r="Y69" s="229" t="str">
        <f>'USD Market Data'!H70</f>
        <v/>
      </c>
      <c r="Z69" s="239" t="str">
        <f>IF('USD Market Data'!L70="","",'USD Market Data'!L70)</f>
        <v/>
      </c>
      <c r="AE69" s="229" t="str">
        <f>'USD Market Data'!N70</f>
        <v/>
      </c>
      <c r="AF69" s="230" t="str">
        <f>'USD Market Data'!R70</f>
        <v/>
      </c>
      <c r="AH69" s="12"/>
      <c r="AI69" s="27"/>
      <c r="AK69" s="51"/>
      <c r="AL69" s="33"/>
      <c r="AN69" s="51"/>
      <c r="AO69" s="33"/>
      <c r="AQ69" s="270" t="str">
        <f>'USD Market Data'!AM63</f>
        <v/>
      </c>
      <c r="AR69" s="287" t="str">
        <f>IF($AQ69="","",VLOOKUP($AQ69,'Instrument Data'!Data.Swaps.USD,4,0))</f>
        <v/>
      </c>
      <c r="AS69" s="287" t="str">
        <f>IF($AQ69="","",VLOOKUP($AQ69,'Instrument Data'!Data.Swaps.USD,5,0))</f>
        <v/>
      </c>
      <c r="AT69" s="274" t="str">
        <f>'USD Market Data'!AP63</f>
        <v/>
      </c>
      <c r="AU69" s="279" t="str">
        <f t="shared" si="3"/>
        <v/>
      </c>
      <c r="AW69" s="53"/>
      <c r="AX69" s="16"/>
      <c r="AZ69" s="68" t="str">
        <f>'USD Market Data'!AR70</f>
        <v/>
      </c>
      <c r="BA69" s="79" t="str">
        <f>'USD Market Data'!AV70</f>
        <v/>
      </c>
      <c r="BB69" s="80" t="b">
        <f t="shared" si="0"/>
        <v>0</v>
      </c>
      <c r="BD69" s="12"/>
      <c r="BE69" s="27"/>
      <c r="BG69" s="53"/>
      <c r="BH69" s="16"/>
      <c r="BJ69" s="223" t="str">
        <f>'USD Market Data'!AX70</f>
        <v/>
      </c>
      <c r="BK69" s="263" t="str">
        <f>'USD Market Data'!BB70</f>
        <v/>
      </c>
      <c r="BM69" s="53"/>
      <c r="BN69" s="16"/>
      <c r="BP69" s="223" t="str">
        <f>'USD Market Data'!BD70</f>
        <v/>
      </c>
      <c r="BQ69" s="263" t="str">
        <f>'USD Market Data'!BH70</f>
        <v/>
      </c>
      <c r="BS69" s="53"/>
      <c r="BT69" s="16"/>
      <c r="BV69" s="223" t="str">
        <f>'USD Market Data'!BJ70</f>
        <v/>
      </c>
      <c r="BW69" s="263" t="str">
        <f>'USD Market Data'!BN70</f>
        <v/>
      </c>
      <c r="BY69" s="12"/>
      <c r="BZ69" s="83"/>
      <c r="CB69" s="53"/>
      <c r="CC69" s="83"/>
      <c r="CE69" s="84"/>
      <c r="CF69" s="98"/>
      <c r="CH69" s="12"/>
      <c r="CI69" s="83"/>
      <c r="CK69" s="53"/>
      <c r="CL69" s="83"/>
      <c r="CN69" s="53"/>
      <c r="CO69" s="83"/>
      <c r="CQ69" s="53"/>
      <c r="CR69" s="83"/>
    </row>
    <row r="70" spans="1:105">
      <c r="L70" s="203"/>
      <c r="M70" s="223" t="str">
        <f>'USD Market Data'!B71</f>
        <v/>
      </c>
      <c r="N70" s="224" t="str">
        <f>IF(LEFT($M70,2)="FF",'USD Market Data'!F71*100,'USD Market Data'!F71)</f>
        <v/>
      </c>
      <c r="O70" s="258" t="str">
        <f>IF(LEFT(M70,2)="FF",_xll.meDateFromTenor(EOMONTH(COB,getFuturesMonth(M70)+2+getYearIncrementMonths(COB,M70))+1,"0D","Following",$K$8),"")</f>
        <v/>
      </c>
      <c r="P70" s="258" t="str">
        <f>IF(O70="","",EOMONTH(O70,0+getYearIncrementMonths(COB,M70)))</f>
        <v/>
      </c>
      <c r="Q70" s="86" t="b">
        <f t="shared" si="2"/>
        <v>0</v>
      </c>
      <c r="S70" s="92"/>
      <c r="T70" s="93"/>
      <c r="Y70" s="229" t="str">
        <f>'USD Market Data'!H71</f>
        <v/>
      </c>
      <c r="Z70" s="239" t="str">
        <f>IF('USD Market Data'!L71="","",'USD Market Data'!L71)</f>
        <v/>
      </c>
      <c r="AE70" s="229" t="str">
        <f>'USD Market Data'!N71</f>
        <v/>
      </c>
      <c r="AF70" s="230" t="str">
        <f>'USD Market Data'!R71</f>
        <v/>
      </c>
      <c r="AH70" s="12"/>
      <c r="AI70" s="27"/>
      <c r="AK70" s="51"/>
      <c r="AL70" s="33"/>
      <c r="AN70" s="51"/>
      <c r="AO70" s="33"/>
      <c r="AQ70" s="270" t="str">
        <f>'USD Market Data'!AM64</f>
        <v/>
      </c>
      <c r="AR70" s="287" t="str">
        <f>IF($AQ70="","",VLOOKUP($AQ70,'Instrument Data'!Data.Swaps.USD,4,0))</f>
        <v/>
      </c>
      <c r="AS70" s="287" t="str">
        <f>IF($AQ70="","",VLOOKUP($AQ70,'Instrument Data'!Data.Swaps.USD,5,0))</f>
        <v/>
      </c>
      <c r="AT70" s="274" t="str">
        <f>'USD Market Data'!AP64</f>
        <v/>
      </c>
      <c r="AU70" s="279" t="str">
        <f t="shared" si="3"/>
        <v/>
      </c>
      <c r="AW70" s="53"/>
      <c r="AX70" s="16"/>
      <c r="AZ70" s="68" t="str">
        <f>'USD Market Data'!AR71</f>
        <v/>
      </c>
      <c r="BA70" s="79" t="str">
        <f>'USD Market Data'!AV71</f>
        <v/>
      </c>
      <c r="BB70" s="80" t="b">
        <f t="shared" si="0"/>
        <v>0</v>
      </c>
      <c r="BD70" s="12"/>
      <c r="BE70" s="27"/>
      <c r="BG70" s="53"/>
      <c r="BH70" s="16"/>
      <c r="BJ70" s="223" t="str">
        <f>'USD Market Data'!AX71</f>
        <v/>
      </c>
      <c r="BK70" s="263" t="str">
        <f>'USD Market Data'!BB71</f>
        <v/>
      </c>
      <c r="BM70" s="53"/>
      <c r="BN70" s="16"/>
      <c r="BP70" s="223" t="str">
        <f>'USD Market Data'!BD71</f>
        <v/>
      </c>
      <c r="BQ70" s="263" t="str">
        <f>'USD Market Data'!BH71</f>
        <v/>
      </c>
      <c r="BS70" s="53"/>
      <c r="BT70" s="16"/>
      <c r="BV70" s="223" t="str">
        <f>'USD Market Data'!BJ71</f>
        <v/>
      </c>
      <c r="BW70" s="263" t="str">
        <f>'USD Market Data'!BN71</f>
        <v/>
      </c>
      <c r="BY70" s="12"/>
      <c r="BZ70" s="83"/>
      <c r="CB70" s="53"/>
      <c r="CC70" s="83"/>
      <c r="CE70" s="84"/>
      <c r="CF70" s="98"/>
      <c r="CH70" s="12"/>
      <c r="CI70" s="83"/>
      <c r="CK70" s="53"/>
      <c r="CL70" s="83"/>
      <c r="CN70" s="53"/>
      <c r="CO70" s="83"/>
      <c r="CQ70" s="53"/>
      <c r="CR70" s="83"/>
    </row>
    <row r="71" spans="1:105">
      <c r="L71" s="203"/>
      <c r="M71" s="223" t="str">
        <f>'USD Market Data'!B72</f>
        <v/>
      </c>
      <c r="N71" s="224" t="str">
        <f>IF(LEFT($M71,2)="FF",'USD Market Data'!F72*100,'USD Market Data'!F72)</f>
        <v/>
      </c>
      <c r="O71" s="258" t="str">
        <f>IF(LEFT(M71,2)="FF",_xll.meDateFromTenor(EOMONTH(COB,getFuturesMonth(M71)+2+getYearIncrementMonths(COB,M71))+1,"0D","Following",$K$8),"")</f>
        <v/>
      </c>
      <c r="P71" s="258" t="str">
        <f>IF(O71="","",EOMONTH(O71,0+getYearIncrementMonths(COB,M71)))</f>
        <v/>
      </c>
      <c r="Q71" s="86" t="b">
        <f t="shared" si="2"/>
        <v>0</v>
      </c>
      <c r="S71" s="92"/>
      <c r="T71" s="93"/>
      <c r="Y71" s="229" t="str">
        <f>'USD Market Data'!H72</f>
        <v/>
      </c>
      <c r="Z71" s="239" t="str">
        <f>IF('USD Market Data'!L72="","",'USD Market Data'!L72)</f>
        <v/>
      </c>
      <c r="AE71" s="229" t="str">
        <f>'USD Market Data'!N72</f>
        <v/>
      </c>
      <c r="AF71" s="230" t="str">
        <f>'USD Market Data'!R72</f>
        <v/>
      </c>
      <c r="AH71" s="12"/>
      <c r="AI71" s="27"/>
      <c r="AK71" s="51"/>
      <c r="AL71" s="33"/>
      <c r="AN71" s="51"/>
      <c r="AO71" s="33"/>
      <c r="AQ71" s="270" t="str">
        <f>'USD Market Data'!AM65</f>
        <v/>
      </c>
      <c r="AR71" s="287" t="str">
        <f>IF($AQ71="","",VLOOKUP($AQ71,'Instrument Data'!Data.Swaps.USD,4,0))</f>
        <v/>
      </c>
      <c r="AS71" s="287" t="str">
        <f>IF($AQ71="","",VLOOKUP($AQ71,'Instrument Data'!Data.Swaps.USD,5,0))</f>
        <v/>
      </c>
      <c r="AT71" s="274" t="str">
        <f>'USD Market Data'!AP65</f>
        <v/>
      </c>
      <c r="AU71" s="279" t="str">
        <f t="shared" si="3"/>
        <v/>
      </c>
      <c r="AW71" s="53"/>
      <c r="AX71" s="16"/>
      <c r="AZ71" s="68" t="str">
        <f>'USD Market Data'!AR72</f>
        <v/>
      </c>
      <c r="BA71" s="79" t="str">
        <f>'USD Market Data'!AV72</f>
        <v/>
      </c>
      <c r="BB71" s="80" t="b">
        <f t="shared" si="0"/>
        <v>0</v>
      </c>
      <c r="BD71" s="12"/>
      <c r="BE71" s="27"/>
      <c r="BG71" s="53"/>
      <c r="BH71" s="16"/>
      <c r="BJ71" s="223" t="str">
        <f>'USD Market Data'!AX72</f>
        <v/>
      </c>
      <c r="BK71" s="263" t="str">
        <f>'USD Market Data'!BB72</f>
        <v/>
      </c>
      <c r="BM71" s="53"/>
      <c r="BN71" s="16"/>
      <c r="BP71" s="223" t="str">
        <f>'USD Market Data'!BD72</f>
        <v/>
      </c>
      <c r="BQ71" s="263" t="str">
        <f>'USD Market Data'!BH72</f>
        <v/>
      </c>
      <c r="BS71" s="53"/>
      <c r="BT71" s="16"/>
      <c r="BV71" s="223" t="str">
        <f>'USD Market Data'!BJ72</f>
        <v/>
      </c>
      <c r="BW71" s="263" t="str">
        <f>'USD Market Data'!BN72</f>
        <v/>
      </c>
      <c r="BY71" s="12"/>
      <c r="BZ71" s="83"/>
      <c r="CB71" s="53"/>
      <c r="CC71" s="83"/>
      <c r="CE71" s="84"/>
      <c r="CF71" s="98"/>
      <c r="CH71" s="12"/>
      <c r="CI71" s="83"/>
      <c r="CK71" s="53"/>
      <c r="CL71" s="83"/>
      <c r="CN71" s="53"/>
      <c r="CO71" s="83"/>
      <c r="CQ71" s="53"/>
      <c r="CR71" s="83"/>
    </row>
    <row r="72" spans="1:105">
      <c r="L72" s="203"/>
      <c r="M72" s="223" t="str">
        <f>'USD Market Data'!B73</f>
        <v/>
      </c>
      <c r="N72" s="224" t="str">
        <f>IF(LEFT($M72,2)="FF",'USD Market Data'!F73*100,'USD Market Data'!F73)</f>
        <v/>
      </c>
      <c r="O72" s="258" t="str">
        <f>IF(LEFT(M72,2)="FF",_xll.meDateFromTenor(EOMONTH(COB,getFuturesMonth(M72)+2+getYearIncrementMonths(COB,M72))+1,"0D","Following",$K$8),"")</f>
        <v/>
      </c>
      <c r="P72" s="258" t="str">
        <f>IF(O72="","",EOMONTH(O72,0+getYearIncrementMonths(COB,M72)))</f>
        <v/>
      </c>
      <c r="Q72" s="86" t="b">
        <f t="shared" si="2"/>
        <v>0</v>
      </c>
      <c r="S72" s="92"/>
      <c r="T72" s="93"/>
      <c r="Y72" s="229" t="str">
        <f>'USD Market Data'!H73</f>
        <v/>
      </c>
      <c r="Z72" s="239" t="str">
        <f>IF('USD Market Data'!L73="","",'USD Market Data'!L73)</f>
        <v/>
      </c>
      <c r="AE72" s="229" t="str">
        <f>'USD Market Data'!N73</f>
        <v/>
      </c>
      <c r="AF72" s="230" t="str">
        <f>'USD Market Data'!R73</f>
        <v/>
      </c>
      <c r="AH72" s="12"/>
      <c r="AI72" s="27"/>
      <c r="AK72" s="51"/>
      <c r="AL72" s="33"/>
      <c r="AN72" s="51"/>
      <c r="AO72" s="33"/>
      <c r="AQ72" s="270" t="str">
        <f>'USD Market Data'!AM66</f>
        <v/>
      </c>
      <c r="AR72" s="287" t="str">
        <f>IF($AQ72="","",VLOOKUP($AQ72,'Instrument Data'!Data.Swaps.USD,4,0))</f>
        <v/>
      </c>
      <c r="AS72" s="287" t="str">
        <f>IF($AQ72="","",VLOOKUP($AQ72,'Instrument Data'!Data.Swaps.USD,5,0))</f>
        <v/>
      </c>
      <c r="AT72" s="274" t="str">
        <f>'USD Market Data'!AP66</f>
        <v/>
      </c>
      <c r="AU72" s="279" t="str">
        <f t="shared" si="3"/>
        <v/>
      </c>
      <c r="AW72" s="53"/>
      <c r="AX72" s="16"/>
      <c r="AZ72" s="68" t="str">
        <f>'USD Market Data'!AR73</f>
        <v/>
      </c>
      <c r="BA72" s="79" t="str">
        <f>'USD Market Data'!AV73</f>
        <v/>
      </c>
      <c r="BB72" s="80" t="b">
        <f t="shared" si="0"/>
        <v>0</v>
      </c>
      <c r="BD72" s="12"/>
      <c r="BE72" s="27"/>
      <c r="BG72" s="53"/>
      <c r="BH72" s="16"/>
      <c r="BJ72" s="223" t="str">
        <f>'USD Market Data'!AX73</f>
        <v/>
      </c>
      <c r="BK72" s="263" t="str">
        <f>'USD Market Data'!BB73</f>
        <v/>
      </c>
      <c r="BM72" s="53"/>
      <c r="BN72" s="16"/>
      <c r="BP72" s="223" t="str">
        <f>'USD Market Data'!BD73</f>
        <v/>
      </c>
      <c r="BQ72" s="263" t="str">
        <f>'USD Market Data'!BH73</f>
        <v/>
      </c>
      <c r="BS72" s="53"/>
      <c r="BT72" s="16"/>
      <c r="BV72" s="223" t="str">
        <f>'USD Market Data'!BJ73</f>
        <v/>
      </c>
      <c r="BW72" s="263" t="str">
        <f>'USD Market Data'!BN73</f>
        <v/>
      </c>
      <c r="BY72" s="12"/>
      <c r="BZ72" s="83"/>
      <c r="CB72" s="53"/>
      <c r="CC72" s="83"/>
      <c r="CE72" s="84"/>
      <c r="CF72" s="98"/>
      <c r="CH72" s="12"/>
      <c r="CI72" s="83"/>
      <c r="CK72" s="53"/>
      <c r="CL72" s="83"/>
      <c r="CN72" s="53"/>
      <c r="CO72" s="83"/>
      <c r="CQ72" s="53"/>
      <c r="CR72" s="83"/>
    </row>
    <row r="73" spans="1:105">
      <c r="L73" s="203"/>
      <c r="M73" s="223" t="str">
        <f>'USD Market Data'!B74</f>
        <v/>
      </c>
      <c r="N73" s="224" t="str">
        <f>IF(LEFT($M73,2)="FF",'USD Market Data'!F74*100,'USD Market Data'!F74)</f>
        <v/>
      </c>
      <c r="O73" s="258" t="str">
        <f>IF(LEFT(M73,2)="FF",_xll.meDateFromTenor(EOMONTH(COB,getFuturesMonth(M73)+2+getYearIncrementMonths(COB,M73))+1,"0D","Following",$K$8),"")</f>
        <v/>
      </c>
      <c r="P73" s="258" t="str">
        <f>IF(O73="","",EOMONTH(O73,0+getYearIncrementMonths(COB,M73)))</f>
        <v/>
      </c>
      <c r="Q73" s="86" t="b">
        <f t="shared" si="2"/>
        <v>0</v>
      </c>
      <c r="S73" s="92"/>
      <c r="T73" s="93"/>
      <c r="Y73" s="229" t="str">
        <f>'USD Market Data'!H74</f>
        <v/>
      </c>
      <c r="Z73" s="239" t="str">
        <f>IF('USD Market Data'!L74="","",'USD Market Data'!L74)</f>
        <v/>
      </c>
      <c r="AE73" s="229" t="str">
        <f>'USD Market Data'!N74</f>
        <v/>
      </c>
      <c r="AF73" s="230" t="str">
        <f>'USD Market Data'!R74</f>
        <v/>
      </c>
      <c r="AH73" s="12"/>
      <c r="AI73" s="27"/>
      <c r="AK73" s="51"/>
      <c r="AL73" s="33"/>
      <c r="AN73" s="51"/>
      <c r="AO73" s="33"/>
      <c r="AQ73" s="270" t="str">
        <f>'USD Market Data'!AM67</f>
        <v/>
      </c>
      <c r="AR73" s="287" t="str">
        <f>IF($AQ73="","",VLOOKUP($AQ73,'Instrument Data'!Data.Swaps.USD,4,0))</f>
        <v/>
      </c>
      <c r="AS73" s="287" t="str">
        <f>IF($AQ73="","",VLOOKUP($AQ73,'Instrument Data'!Data.Swaps.USD,5,0))</f>
        <v/>
      </c>
      <c r="AT73" s="274" t="str">
        <f>'USD Market Data'!AP67</f>
        <v/>
      </c>
      <c r="AU73" s="279" t="str">
        <f t="shared" si="3"/>
        <v/>
      </c>
      <c r="AW73" s="53"/>
      <c r="AX73" s="16"/>
      <c r="AZ73" s="68" t="str">
        <f>'USD Market Data'!AR74</f>
        <v/>
      </c>
      <c r="BA73" s="79" t="str">
        <f>'USD Market Data'!AV74</f>
        <v/>
      </c>
      <c r="BB73" s="80" t="b">
        <f t="shared" si="0"/>
        <v>0</v>
      </c>
      <c r="BD73" s="12"/>
      <c r="BE73" s="27"/>
      <c r="BG73" s="53"/>
      <c r="BH73" s="16"/>
      <c r="BJ73" s="223" t="str">
        <f>'USD Market Data'!AX74</f>
        <v/>
      </c>
      <c r="BK73" s="263" t="str">
        <f>'USD Market Data'!BB74</f>
        <v/>
      </c>
      <c r="BM73" s="53"/>
      <c r="BN73" s="16"/>
      <c r="BP73" s="223" t="str">
        <f>'USD Market Data'!BD74</f>
        <v/>
      </c>
      <c r="BQ73" s="263" t="str">
        <f>'USD Market Data'!BH74</f>
        <v/>
      </c>
      <c r="BS73" s="53"/>
      <c r="BT73" s="16"/>
      <c r="BV73" s="223" t="str">
        <f>'USD Market Data'!BJ74</f>
        <v/>
      </c>
      <c r="BW73" s="263" t="str">
        <f>'USD Market Data'!BN74</f>
        <v/>
      </c>
      <c r="BY73" s="12"/>
      <c r="BZ73" s="83"/>
      <c r="CB73" s="53"/>
      <c r="CC73" s="83"/>
      <c r="CE73" s="84"/>
      <c r="CF73" s="98"/>
      <c r="CH73" s="12"/>
      <c r="CI73" s="83"/>
      <c r="CK73" s="53"/>
      <c r="CL73" s="83"/>
      <c r="CN73" s="53"/>
      <c r="CO73" s="83"/>
      <c r="CQ73" s="53"/>
      <c r="CR73" s="83"/>
    </row>
    <row r="74" spans="1:105">
      <c r="L74" s="203"/>
      <c r="M74" s="223" t="str">
        <f>'USD Market Data'!B75</f>
        <v/>
      </c>
      <c r="N74" s="224" t="str">
        <f>IF(LEFT($M74,2)="FF",'USD Market Data'!F75*100,'USD Market Data'!F75)</f>
        <v/>
      </c>
      <c r="O74" s="258" t="str">
        <f>IF(LEFT(M74,2)="FF",_xll.meDateFromTenor(EOMONTH(COB,getFuturesMonth(M74)+2+getYearIncrementMonths(COB,M74))+1,"0D","Following",$K$8),"")</f>
        <v/>
      </c>
      <c r="P74" s="258" t="str">
        <f>IF(O74="","",EOMONTH(O74,0+getYearIncrementMonths(COB,M74)))</f>
        <v/>
      </c>
      <c r="Q74" s="86" t="b">
        <f t="shared" ref="Q74:Q78" si="4">IF(M74="",FALSE,TRUE)</f>
        <v>0</v>
      </c>
      <c r="S74" s="92"/>
      <c r="T74" s="93"/>
      <c r="Y74" s="229" t="str">
        <f>'USD Market Data'!H75</f>
        <v/>
      </c>
      <c r="Z74" s="239" t="str">
        <f>IF('USD Market Data'!L75="","",'USD Market Data'!L75)</f>
        <v/>
      </c>
      <c r="AE74" s="229" t="str">
        <f>'USD Market Data'!N75</f>
        <v/>
      </c>
      <c r="AF74" s="230" t="str">
        <f>'USD Market Data'!R75</f>
        <v/>
      </c>
      <c r="AH74" s="12"/>
      <c r="AI74" s="27"/>
      <c r="AK74" s="51"/>
      <c r="AL74" s="33"/>
      <c r="AN74" s="51"/>
      <c r="AO74" s="33"/>
      <c r="AQ74" s="270" t="str">
        <f>'USD Market Data'!AM68</f>
        <v/>
      </c>
      <c r="AR74" s="287" t="str">
        <f>IF($AQ74="","",VLOOKUP($AQ74,'Instrument Data'!Data.Swaps.USD,4,0))</f>
        <v/>
      </c>
      <c r="AS74" s="287" t="str">
        <f>IF($AQ74="","",VLOOKUP($AQ74,'Instrument Data'!Data.Swaps.USD,5,0))</f>
        <v/>
      </c>
      <c r="AT74" s="274" t="str">
        <f>'USD Market Data'!AP68</f>
        <v/>
      </c>
      <c r="AU74" s="279" t="str">
        <f t="shared" si="3"/>
        <v/>
      </c>
      <c r="AW74" s="53"/>
      <c r="AX74" s="16"/>
      <c r="AZ74" s="68" t="str">
        <f>'USD Market Data'!AR75</f>
        <v/>
      </c>
      <c r="BA74" s="79" t="str">
        <f>'USD Market Data'!AV75</f>
        <v/>
      </c>
      <c r="BB74" s="80" t="b">
        <f t="shared" ref="BB74:BB78" si="5">IF(OR(BA74="",BA74=0),FALSE,IF(OR(RIGHT(AZ74,1)="M",AND(RIGHT(AZ74,1)="Y",VALUE(LEFT(AZ74,LEN(AZ74)-1))&lt;=2)),FALSE,TRUE))</f>
        <v>0</v>
      </c>
      <c r="BD74" s="12"/>
      <c r="BE74" s="27"/>
      <c r="BG74" s="53"/>
      <c r="BH74" s="16"/>
      <c r="BJ74" s="223" t="str">
        <f>'USD Market Data'!AX75</f>
        <v/>
      </c>
      <c r="BK74" s="263" t="str">
        <f>'USD Market Data'!BB75</f>
        <v/>
      </c>
      <c r="BM74" s="53"/>
      <c r="BN74" s="16"/>
      <c r="BP74" s="223" t="str">
        <f>'USD Market Data'!BD75</f>
        <v/>
      </c>
      <c r="BQ74" s="263" t="str">
        <f>'USD Market Data'!BH75</f>
        <v/>
      </c>
      <c r="BS74" s="53"/>
      <c r="BT74" s="16"/>
      <c r="BV74" s="223" t="str">
        <f>'USD Market Data'!BJ75</f>
        <v/>
      </c>
      <c r="BW74" s="263" t="str">
        <f>'USD Market Data'!BN75</f>
        <v/>
      </c>
      <c r="BY74" s="12"/>
      <c r="BZ74" s="83"/>
      <c r="CB74" s="53"/>
      <c r="CC74" s="83"/>
      <c r="CE74" s="84"/>
      <c r="CF74" s="98"/>
      <c r="CH74" s="12"/>
      <c r="CI74" s="83"/>
      <c r="CK74" s="53"/>
      <c r="CL74" s="83"/>
      <c r="CN74" s="53"/>
      <c r="CO74" s="83"/>
      <c r="CQ74" s="53"/>
      <c r="CR74" s="83"/>
    </row>
    <row r="75" spans="1:105">
      <c r="L75" s="203"/>
      <c r="M75" s="223" t="str">
        <f>'USD Market Data'!B76</f>
        <v/>
      </c>
      <c r="N75" s="224" t="str">
        <f>IF(LEFT($M75,2)="FF",'USD Market Data'!F76*100,'USD Market Data'!F76)</f>
        <v/>
      </c>
      <c r="O75" s="258" t="str">
        <f>IF(LEFT(M75,2)="FF",_xll.meDateFromTenor(EOMONTH(COB,getFuturesMonth(M75)+2+getYearIncrementMonths(COB,M75))+1,"0D","Following",$K$8),"")</f>
        <v/>
      </c>
      <c r="P75" s="258" t="str">
        <f>IF(O75="","",EOMONTH(O75,0+getYearIncrementMonths(COB,M75)))</f>
        <v/>
      </c>
      <c r="Q75" s="86" t="b">
        <f t="shared" si="4"/>
        <v>0</v>
      </c>
      <c r="S75" s="92"/>
      <c r="T75" s="93"/>
      <c r="Y75" s="229" t="str">
        <f>'USD Market Data'!H76</f>
        <v/>
      </c>
      <c r="Z75" s="239" t="str">
        <f>IF('USD Market Data'!L76="","",'USD Market Data'!L76)</f>
        <v/>
      </c>
      <c r="AE75" s="229" t="str">
        <f>'USD Market Data'!N76</f>
        <v/>
      </c>
      <c r="AF75" s="230" t="str">
        <f>'USD Market Data'!R76</f>
        <v/>
      </c>
      <c r="AH75" s="12"/>
      <c r="AI75" s="27"/>
      <c r="AK75" s="51"/>
      <c r="AL75" s="33"/>
      <c r="AN75" s="51"/>
      <c r="AO75" s="33"/>
      <c r="AQ75" s="270" t="str">
        <f>'USD Market Data'!AM69</f>
        <v/>
      </c>
      <c r="AR75" s="287" t="str">
        <f>IF($AQ75="","",VLOOKUP($AQ75,'Instrument Data'!Data.Swaps.USD,4,0))</f>
        <v/>
      </c>
      <c r="AS75" s="287" t="str">
        <f>IF($AQ75="","",VLOOKUP($AQ75,'Instrument Data'!Data.Swaps.USD,5,0))</f>
        <v/>
      </c>
      <c r="AT75" s="274" t="str">
        <f>'USD Market Data'!AP69</f>
        <v/>
      </c>
      <c r="AU75" s="279" t="str">
        <f t="shared" si="3"/>
        <v/>
      </c>
      <c r="AW75" s="53"/>
      <c r="AX75" s="16"/>
      <c r="AZ75" s="68" t="str">
        <f>'USD Market Data'!AR76</f>
        <v/>
      </c>
      <c r="BA75" s="79" t="str">
        <f>'USD Market Data'!AV76</f>
        <v/>
      </c>
      <c r="BB75" s="80" t="b">
        <f t="shared" si="5"/>
        <v>0</v>
      </c>
      <c r="BD75" s="12"/>
      <c r="BE75" s="27"/>
      <c r="BG75" s="53"/>
      <c r="BH75" s="16"/>
      <c r="BJ75" s="223" t="str">
        <f>'USD Market Data'!AX76</f>
        <v/>
      </c>
      <c r="BK75" s="263" t="str">
        <f>'USD Market Data'!BB76</f>
        <v/>
      </c>
      <c r="BM75" s="53"/>
      <c r="BN75" s="16"/>
      <c r="BP75" s="223" t="str">
        <f>'USD Market Data'!BD76</f>
        <v/>
      </c>
      <c r="BQ75" s="263" t="str">
        <f>'USD Market Data'!BH76</f>
        <v/>
      </c>
      <c r="BS75" s="53"/>
      <c r="BT75" s="16"/>
      <c r="BV75" s="223" t="str">
        <f>'USD Market Data'!BJ76</f>
        <v/>
      </c>
      <c r="BW75" s="263" t="str">
        <f>'USD Market Data'!BN76</f>
        <v/>
      </c>
      <c r="BY75" s="12"/>
      <c r="BZ75" s="83"/>
      <c r="CB75" s="53"/>
      <c r="CC75" s="83"/>
      <c r="CE75" s="84"/>
      <c r="CF75" s="98"/>
      <c r="CH75" s="12"/>
      <c r="CI75" s="83"/>
      <c r="CK75" s="53"/>
      <c r="CL75" s="83"/>
      <c r="CN75" s="53"/>
      <c r="CO75" s="83"/>
      <c r="CQ75" s="53"/>
      <c r="CR75" s="83"/>
    </row>
    <row r="76" spans="1:105">
      <c r="L76" s="203"/>
      <c r="M76" s="223" t="str">
        <f>'USD Market Data'!B77</f>
        <v/>
      </c>
      <c r="N76" s="224" t="str">
        <f>IF(LEFT($M76,2)="FF",'USD Market Data'!F77*100,'USD Market Data'!F77)</f>
        <v/>
      </c>
      <c r="O76" s="258" t="str">
        <f>IF(LEFT(M76,2)="FF",_xll.meDateFromTenor(EOMONTH(COB,getFuturesMonth(M76)+2+getYearIncrementMonths(COB,M76))+1,"0D","Following",$K$8),"")</f>
        <v/>
      </c>
      <c r="P76" s="258" t="str">
        <f>IF(O76="","",EOMONTH(O76,0+getYearIncrementMonths(COB,M76)))</f>
        <v/>
      </c>
      <c r="Q76" s="86" t="b">
        <f t="shared" si="4"/>
        <v>0</v>
      </c>
      <c r="S76" s="92"/>
      <c r="T76" s="93"/>
      <c r="Y76" s="229" t="str">
        <f>'USD Market Data'!H77</f>
        <v/>
      </c>
      <c r="Z76" s="239" t="str">
        <f>IF('USD Market Data'!L77="","",'USD Market Data'!L77)</f>
        <v/>
      </c>
      <c r="AE76" s="229" t="str">
        <f>'USD Market Data'!N77</f>
        <v/>
      </c>
      <c r="AF76" s="230" t="str">
        <f>'USD Market Data'!R77</f>
        <v/>
      </c>
      <c r="AH76" s="12"/>
      <c r="AI76" s="27"/>
      <c r="AK76" s="51"/>
      <c r="AL76" s="33"/>
      <c r="AN76" s="51"/>
      <c r="AO76" s="33"/>
      <c r="AQ76" s="270" t="str">
        <f>'USD Market Data'!AM70</f>
        <v/>
      </c>
      <c r="AR76" s="287" t="str">
        <f>IF($AQ76="","",VLOOKUP($AQ76,'Instrument Data'!Data.Swaps.USD,4,0))</f>
        <v/>
      </c>
      <c r="AS76" s="287" t="str">
        <f>IF($AQ76="","",VLOOKUP($AQ76,'Instrument Data'!Data.Swaps.USD,5,0))</f>
        <v/>
      </c>
      <c r="AT76" s="275" t="str">
        <f>'USD Market Data'!AP70</f>
        <v/>
      </c>
      <c r="AU76" s="279" t="str">
        <f t="shared" si="3"/>
        <v/>
      </c>
      <c r="AW76" s="53"/>
      <c r="AX76" s="16"/>
      <c r="AZ76" s="68" t="str">
        <f>'USD Market Data'!AR77</f>
        <v/>
      </c>
      <c r="BA76" s="79" t="str">
        <f>'USD Market Data'!AV77</f>
        <v/>
      </c>
      <c r="BB76" s="80" t="b">
        <f t="shared" si="5"/>
        <v>0</v>
      </c>
      <c r="BD76" s="12"/>
      <c r="BE76" s="27"/>
      <c r="BG76" s="53"/>
      <c r="BH76" s="16"/>
      <c r="BJ76" s="223" t="str">
        <f>'USD Market Data'!AX77</f>
        <v/>
      </c>
      <c r="BK76" s="263" t="str">
        <f>'USD Market Data'!BB77</f>
        <v/>
      </c>
      <c r="BM76" s="53"/>
      <c r="BN76" s="16"/>
      <c r="BP76" s="223" t="str">
        <f>'USD Market Data'!BD77</f>
        <v/>
      </c>
      <c r="BQ76" s="263" t="str">
        <f>'USD Market Data'!BH77</f>
        <v/>
      </c>
      <c r="BS76" s="53"/>
      <c r="BT76" s="16"/>
      <c r="BV76" s="223" t="str">
        <f>'USD Market Data'!BJ77</f>
        <v/>
      </c>
      <c r="BW76" s="263" t="str">
        <f>'USD Market Data'!BN77</f>
        <v/>
      </c>
      <c r="BY76" s="12"/>
      <c r="BZ76" s="83"/>
      <c r="CB76" s="53"/>
      <c r="CC76" s="83"/>
      <c r="CE76" s="84"/>
      <c r="CF76" s="98"/>
      <c r="CH76" s="12"/>
      <c r="CI76" s="83"/>
      <c r="CK76" s="53"/>
      <c r="CL76" s="83"/>
      <c r="CN76" s="53"/>
      <c r="CO76" s="83"/>
      <c r="CQ76" s="53"/>
      <c r="CR76" s="83"/>
    </row>
    <row r="77" spans="1:105">
      <c r="L77" s="203"/>
      <c r="M77" s="223" t="str">
        <f>'USD Market Data'!B78</f>
        <v/>
      </c>
      <c r="N77" s="224" t="str">
        <f>IF(LEFT($M77,2)="FF",'USD Market Data'!F78*100,'USD Market Data'!F78)</f>
        <v/>
      </c>
      <c r="O77" s="258" t="str">
        <f>IF(LEFT(M77,2)="FF",_xll.meDateFromTenor(EOMONTH(COB,getFuturesMonth(M77)+2+getYearIncrementMonths(COB,M77))+1,"0D","Following",$K$8),"")</f>
        <v/>
      </c>
      <c r="P77" s="258" t="str">
        <f>IF(O77="","",EOMONTH(O77,0+getYearIncrementMonths(COB,M77)))</f>
        <v/>
      </c>
      <c r="Q77" s="86" t="b">
        <f t="shared" si="4"/>
        <v>0</v>
      </c>
      <c r="S77" s="94"/>
      <c r="T77" s="23"/>
      <c r="Y77" s="229" t="str">
        <f>'USD Market Data'!H78</f>
        <v/>
      </c>
      <c r="Z77" s="239" t="str">
        <f>IF('USD Market Data'!L78="","",'USD Market Data'!L78)</f>
        <v/>
      </c>
      <c r="AE77" s="229" t="str">
        <f>'USD Market Data'!N78</f>
        <v/>
      </c>
      <c r="AF77" s="231" t="str">
        <f>'USD Market Data'!R78</f>
        <v/>
      </c>
      <c r="AH77" s="12"/>
      <c r="AI77" s="27"/>
      <c r="AK77" s="51"/>
      <c r="AL77" s="33"/>
      <c r="AN77" s="51"/>
      <c r="AO77" s="33"/>
      <c r="AQ77" s="270" t="str">
        <f>'USD Market Data'!AM71</f>
        <v/>
      </c>
      <c r="AR77" s="287" t="str">
        <f>IF($AQ77="","",VLOOKUP($AQ77,'Instrument Data'!Data.Swaps.USD,4,0))</f>
        <v/>
      </c>
      <c r="AS77" s="287" t="str">
        <f>IF($AQ77="","",VLOOKUP($AQ77,'Instrument Data'!Data.Swaps.USD,5,0))</f>
        <v/>
      </c>
      <c r="AT77" s="275" t="str">
        <f>'USD Market Data'!AP71</f>
        <v/>
      </c>
      <c r="AU77" s="279" t="str">
        <f t="shared" si="3"/>
        <v/>
      </c>
      <c r="AW77" s="53"/>
      <c r="AX77" s="16"/>
      <c r="AZ77" s="68" t="str">
        <f>'USD Market Data'!AR78</f>
        <v/>
      </c>
      <c r="BA77" s="79" t="str">
        <f>'USD Market Data'!AV78</f>
        <v/>
      </c>
      <c r="BB77" s="80" t="b">
        <f t="shared" si="5"/>
        <v>0</v>
      </c>
      <c r="BD77" s="12"/>
      <c r="BE77" s="27"/>
      <c r="BG77" s="53"/>
      <c r="BH77" s="16"/>
      <c r="BJ77" s="223" t="str">
        <f>'USD Market Data'!AX78</f>
        <v/>
      </c>
      <c r="BK77" s="263" t="str">
        <f>'USD Market Data'!BB78</f>
        <v/>
      </c>
      <c r="BM77" s="53"/>
      <c r="BN77" s="16"/>
      <c r="BP77" s="223" t="str">
        <f>'USD Market Data'!BD78</f>
        <v/>
      </c>
      <c r="BQ77" s="263" t="str">
        <f>'USD Market Data'!BH78</f>
        <v/>
      </c>
      <c r="BS77" s="53"/>
      <c r="BT77" s="16"/>
      <c r="BV77" s="223" t="str">
        <f>'USD Market Data'!BJ78</f>
        <v/>
      </c>
      <c r="BW77" s="263" t="str">
        <f>'USD Market Data'!BN78</f>
        <v/>
      </c>
      <c r="BY77" s="12"/>
      <c r="BZ77" s="83"/>
      <c r="CB77" s="53"/>
      <c r="CC77" s="83"/>
      <c r="CE77" s="84"/>
      <c r="CF77" s="98"/>
      <c r="CH77" s="12"/>
      <c r="CI77" s="83"/>
      <c r="CK77" s="53"/>
      <c r="CL77" s="83"/>
      <c r="CN77" s="53"/>
      <c r="CO77" s="83"/>
      <c r="CQ77" s="53"/>
      <c r="CR77" s="83"/>
    </row>
    <row r="78" spans="1:105">
      <c r="L78" s="203"/>
      <c r="M78" s="225" t="str">
        <f>'USD Market Data'!B79</f>
        <v/>
      </c>
      <c r="N78" s="226" t="str">
        <f>IF(LEFT($M78,2)="FF",'USD Market Data'!F79*100,'USD Market Data'!F79)</f>
        <v/>
      </c>
      <c r="O78" s="393" t="str">
        <f>IF(LEFT(M78,2)="FF",_xll.meDateFromTenor(EOMONTH(COB,getFuturesMonth(M78)+2+getYearIncrementMonths(COB,M78))+1,"0D","Following",$K$8),"")</f>
        <v/>
      </c>
      <c r="P78" s="393" t="str">
        <f>IF(O78="","",EOMONTH(O78,0+getYearIncrementMonths(COB,M78)))</f>
        <v/>
      </c>
      <c r="Q78" s="89" t="b">
        <f t="shared" si="4"/>
        <v>0</v>
      </c>
      <c r="S78" s="95"/>
      <c r="T78" s="25"/>
      <c r="Y78" s="232" t="str">
        <f>'USD Market Data'!H79</f>
        <v/>
      </c>
      <c r="Z78" s="240" t="str">
        <f>IF('USD Market Data'!L79="","",'USD Market Data'!L79)</f>
        <v/>
      </c>
      <c r="AE78" s="232" t="str">
        <f>'USD Market Data'!N79</f>
        <v/>
      </c>
      <c r="AF78" s="233" t="str">
        <f>'USD Market Data'!R79</f>
        <v/>
      </c>
      <c r="AH78" s="13"/>
      <c r="AI78" s="29"/>
      <c r="AK78" s="58"/>
      <c r="AL78" s="34"/>
      <c r="AN78" s="58"/>
      <c r="AO78" s="34"/>
      <c r="AQ78" s="271" t="str">
        <f>'USD Market Data'!AM72</f>
        <v/>
      </c>
      <c r="AR78" s="288" t="str">
        <f>IF($AQ78="","",VLOOKUP($AQ78,'Instrument Data'!Data.Swaps.USD,4,0))</f>
        <v/>
      </c>
      <c r="AS78" s="288" t="str">
        <f>IF($AQ78="","",VLOOKUP($AQ78,'Instrument Data'!Data.Swaps.USD,5,0))</f>
        <v/>
      </c>
      <c r="AT78" s="276" t="str">
        <f>'USD Market Data'!AP72</f>
        <v/>
      </c>
      <c r="AU78" s="280" t="str">
        <f t="shared" si="3"/>
        <v/>
      </c>
      <c r="AW78" s="59"/>
      <c r="AX78" s="17"/>
      <c r="AZ78" s="26" t="str">
        <f>'USD Market Data'!AR79</f>
        <v/>
      </c>
      <c r="BA78" s="81" t="str">
        <f>'USD Market Data'!AV79</f>
        <v/>
      </c>
      <c r="BB78" s="82" t="b">
        <f t="shared" si="5"/>
        <v>0</v>
      </c>
      <c r="BD78" s="13"/>
      <c r="BE78" s="29"/>
      <c r="BG78" s="59"/>
      <c r="BH78" s="17"/>
      <c r="BJ78" s="225" t="str">
        <f>'USD Market Data'!AX79</f>
        <v/>
      </c>
      <c r="BK78" s="264" t="str">
        <f>'USD Market Data'!BB79</f>
        <v/>
      </c>
      <c r="BM78" s="59"/>
      <c r="BN78" s="17"/>
      <c r="BP78" s="225" t="str">
        <f>'USD Market Data'!BD79</f>
        <v/>
      </c>
      <c r="BQ78" s="264" t="str">
        <f>'USD Market Data'!BH79</f>
        <v/>
      </c>
      <c r="BS78" s="59"/>
      <c r="BT78" s="17"/>
      <c r="BV78" s="225" t="str">
        <f>'USD Market Data'!BJ79</f>
        <v/>
      </c>
      <c r="BW78" s="264" t="str">
        <f>'USD Market Data'!BN79</f>
        <v/>
      </c>
      <c r="BY78" s="13"/>
      <c r="BZ78" s="103"/>
      <c r="CB78" s="59"/>
      <c r="CC78" s="103"/>
      <c r="CE78" s="87"/>
      <c r="CF78" s="99"/>
      <c r="CH78" s="13"/>
      <c r="CI78" s="103"/>
      <c r="CK78" s="59"/>
      <c r="CL78" s="103"/>
      <c r="CN78" s="59"/>
      <c r="CO78" s="103"/>
      <c r="CQ78" s="59"/>
      <c r="CR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</sheetData>
  <dataValidations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A5" s="127"/>
      <c r="BD5" s="125" t="s">
        <v>11</v>
      </c>
      <c r="BG5" s="125" t="s">
        <v>277</v>
      </c>
      <c r="BK5" s="127"/>
      <c r="BM5" s="125" t="s">
        <v>334</v>
      </c>
      <c r="BS5" s="125" t="s">
        <v>280</v>
      </c>
      <c r="BY5" s="125" t="s">
        <v>52</v>
      </c>
      <c r="CB5" s="125"/>
      <c r="CI5" s="132"/>
      <c r="CQ5" s="125" t="s">
        <v>281</v>
      </c>
    </row>
    <row r="6" spans="2:105">
      <c r="AN6" s="11" t="s">
        <v>113</v>
      </c>
      <c r="AO6" s="31" t="s">
        <v>185</v>
      </c>
      <c r="AQ6" s="63" t="s">
        <v>167</v>
      </c>
      <c r="AR6" s="35"/>
      <c r="AS6" s="20"/>
      <c r="AT6" s="291" t="s">
        <v>993</v>
      </c>
      <c r="AU6" s="21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5</v>
      </c>
      <c r="AO7" s="16" t="s">
        <v>186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1819</v>
      </c>
      <c r="D8" s="113"/>
      <c r="E8" s="114"/>
      <c r="F8" t="s">
        <v>12</v>
      </c>
      <c r="G8" s="52" t="s">
        <v>164</v>
      </c>
      <c r="H8" s="105">
        <f ca="1">COB</f>
        <v>43224</v>
      </c>
      <c r="J8" s="69" t="s">
        <v>167</v>
      </c>
      <c r="K8" s="31" t="s">
        <v>185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185</v>
      </c>
      <c r="AE8" s="64" t="s">
        <v>74</v>
      </c>
      <c r="AF8" s="65" t="s">
        <v>73</v>
      </c>
      <c r="AH8" s="52" t="s">
        <v>164</v>
      </c>
      <c r="AI8" s="105">
        <f ca="1">COB</f>
        <v>43224</v>
      </c>
      <c r="AK8" s="52" t="s">
        <v>113</v>
      </c>
      <c r="AL8" s="31" t="s">
        <v>185</v>
      </c>
      <c r="AN8" s="12" t="s">
        <v>159</v>
      </c>
      <c r="AO8" s="16">
        <v>0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113</v>
      </c>
      <c r="AX8" s="111" t="s">
        <v>185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43224</v>
      </c>
      <c r="BG8" s="74" t="s">
        <v>165</v>
      </c>
      <c r="BH8" s="96" t="s">
        <v>302</v>
      </c>
      <c r="BJ8" s="64" t="s">
        <v>74</v>
      </c>
      <c r="BK8" s="66" t="s">
        <v>73</v>
      </c>
      <c r="BM8" s="74" t="s">
        <v>165</v>
      </c>
      <c r="BN8" s="96" t="s">
        <v>335</v>
      </c>
      <c r="BP8" s="64" t="s">
        <v>74</v>
      </c>
      <c r="BQ8" s="66" t="s">
        <v>73</v>
      </c>
      <c r="BS8" s="74" t="s">
        <v>165</v>
      </c>
      <c r="BT8" s="96" t="s">
        <v>303</v>
      </c>
      <c r="BV8" s="64" t="s">
        <v>74</v>
      </c>
      <c r="BW8" s="66" t="s">
        <v>73</v>
      </c>
      <c r="BY8" s="52" t="s">
        <v>164</v>
      </c>
      <c r="BZ8" s="105">
        <f ca="1">COB</f>
        <v>43224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43224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1018</v>
      </c>
      <c r="D9" s="116"/>
      <c r="E9" s="117"/>
      <c r="F9" t="s">
        <v>12</v>
      </c>
      <c r="G9" s="53" t="s">
        <v>156</v>
      </c>
      <c r="H9" s="83" t="s">
        <v>187</v>
      </c>
      <c r="J9" s="70" t="s">
        <v>126</v>
      </c>
      <c r="K9" s="16" t="s">
        <v>186</v>
      </c>
      <c r="L9" s="203"/>
      <c r="M9" s="223" t="str">
        <f>'GBP Market Data'!B10</f>
        <v>ON</v>
      </c>
      <c r="N9" s="224">
        <f>'GBP Market Data'!F10</f>
        <v>4.548E-3</v>
      </c>
      <c r="O9" s="85"/>
      <c r="P9" s="85"/>
      <c r="Q9" s="86" t="b">
        <f t="shared" ref="Q9:Q72" si="0">IF(M9="",FALSE,TRUE)</f>
        <v>1</v>
      </c>
      <c r="S9" s="90"/>
      <c r="T9" s="91"/>
      <c r="V9" s="70" t="s">
        <v>120</v>
      </c>
      <c r="W9" s="16"/>
      <c r="Y9" s="227" t="str">
        <f>'GBP Market Data'!H10</f>
        <v/>
      </c>
      <c r="Z9" s="238" t="str">
        <f>'GBP Market Data'!L10</f>
        <v/>
      </c>
      <c r="AB9" s="70" t="s">
        <v>252</v>
      </c>
      <c r="AC9" s="16" t="s">
        <v>186</v>
      </c>
      <c r="AE9" s="227" t="str">
        <f>'GBP Market Data'!N10</f>
        <v/>
      </c>
      <c r="AF9" s="228" t="str">
        <f>'GBP Market Data'!R10</f>
        <v/>
      </c>
      <c r="AH9" s="53" t="s">
        <v>156</v>
      </c>
      <c r="AI9" s="83" t="s">
        <v>187</v>
      </c>
      <c r="AK9" s="53" t="s">
        <v>5</v>
      </c>
      <c r="AL9" s="16" t="s">
        <v>3</v>
      </c>
      <c r="AN9" s="12" t="s">
        <v>88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5</v>
      </c>
      <c r="AX9" s="83" t="s">
        <v>186</v>
      </c>
      <c r="AZ9" s="259" t="str">
        <f>'GBP Market Data'!AR10</f>
        <v>2Y</v>
      </c>
      <c r="BA9" s="312">
        <f>'GBP Market Data'!AV10</f>
        <v>1.0589999999999999E-2</v>
      </c>
      <c r="BB9" s="86" t="b">
        <f>IF(AZ9="",FALSE,TRUE)</f>
        <v>1</v>
      </c>
      <c r="BC9" s="6"/>
      <c r="BD9" s="53" t="s">
        <v>156</v>
      </c>
      <c r="BE9" s="83" t="s">
        <v>187</v>
      </c>
      <c r="BG9" s="75" t="s">
        <v>163</v>
      </c>
      <c r="BH9" s="97" t="b">
        <v>0</v>
      </c>
      <c r="BJ9" s="223" t="str">
        <f>'GBP Market Data'!AX10</f>
        <v>1Y</v>
      </c>
      <c r="BK9" s="263">
        <f>'GBP Market Data'!BB10</f>
        <v>5.5999999999999995E-4</v>
      </c>
      <c r="BM9" s="75" t="s">
        <v>163</v>
      </c>
      <c r="BN9" s="97" t="b">
        <v>0</v>
      </c>
      <c r="BP9" s="223" t="str">
        <f>'GBP Market Data'!BD10</f>
        <v>1Y</v>
      </c>
      <c r="BQ9" s="263">
        <f>'GBP Market Data'!BH10</f>
        <v>1.6199999999999999E-3</v>
      </c>
      <c r="BS9" s="75" t="s">
        <v>163</v>
      </c>
      <c r="BT9" s="97" t="b">
        <v>0</v>
      </c>
      <c r="BV9" s="223" t="str">
        <f>'GBP Market Data'!BJ10</f>
        <v>1Y</v>
      </c>
      <c r="BW9" s="263">
        <f>'GBP Market Data'!BN10</f>
        <v>7.2000000000000005E-4</v>
      </c>
      <c r="BY9" s="53" t="s">
        <v>156</v>
      </c>
      <c r="BZ9" s="83" t="s">
        <v>187</v>
      </c>
      <c r="CB9" s="75" t="s">
        <v>163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>'GBP Market Data'!BP10</f>
        <v>1Y</v>
      </c>
      <c r="CO9" s="263">
        <f>'GBP Market Data'!BT10</f>
        <v>-1.2750000000000001E-3</v>
      </c>
      <c r="CQ9" s="53" t="s">
        <v>156</v>
      </c>
      <c r="CR9" s="83" t="s">
        <v>187</v>
      </c>
      <c r="CS9" t="s">
        <v>12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1024</v>
      </c>
      <c r="D10" s="119"/>
      <c r="E10" s="120"/>
      <c r="F10" t="s">
        <v>12</v>
      </c>
      <c r="G10" s="53" t="s">
        <v>97</v>
      </c>
      <c r="H10" s="83" t="s">
        <v>2261</v>
      </c>
      <c r="I10" t="s">
        <v>12</v>
      </c>
      <c r="J10" s="70" t="s">
        <v>118</v>
      </c>
      <c r="K10" s="16" t="s">
        <v>146</v>
      </c>
      <c r="L10" s="203"/>
      <c r="M10" s="223" t="str">
        <f>'GBP Market Data'!B11</f>
        <v>1M</v>
      </c>
      <c r="N10" s="224">
        <f>'GBP Market Data'!F11</f>
        <v>4.8500000000000001E-3</v>
      </c>
      <c r="O10" s="85"/>
      <c r="P10" s="85"/>
      <c r="Q10" s="86" t="b">
        <f t="shared" si="0"/>
        <v>1</v>
      </c>
      <c r="S10" s="92"/>
      <c r="T10" s="93"/>
      <c r="V10" s="70" t="s">
        <v>1</v>
      </c>
      <c r="W10" s="16"/>
      <c r="Y10" s="229" t="str">
        <f>'GBP Market Data'!H11</f>
        <v/>
      </c>
      <c r="Z10" s="239" t="str">
        <f>'GBP Market Data'!L11</f>
        <v/>
      </c>
      <c r="AB10" s="70" t="s">
        <v>977</v>
      </c>
      <c r="AC10" s="16" t="s">
        <v>995</v>
      </c>
      <c r="AE10" s="229" t="str">
        <f>'GBP Market Data'!N11</f>
        <v/>
      </c>
      <c r="AF10" s="230" t="str">
        <f>'GBP Market Data'!R11</f>
        <v/>
      </c>
      <c r="AH10" s="53" t="s">
        <v>1</v>
      </c>
      <c r="AI10" s="83" t="s">
        <v>2034</v>
      </c>
      <c r="AJ10" t="s">
        <v>12</v>
      </c>
      <c r="AK10" s="53" t="s">
        <v>184</v>
      </c>
      <c r="AL10" s="16" t="s">
        <v>160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158</v>
      </c>
      <c r="AX10" s="83" t="s">
        <v>186</v>
      </c>
      <c r="AZ10" s="259" t="str">
        <f>'GBP Market Data'!AR11</f>
        <v>3Y</v>
      </c>
      <c r="BA10" s="312">
        <f>'GBP Market Data'!AV11</f>
        <v>1.184E-2</v>
      </c>
      <c r="BB10" s="80" t="b">
        <f t="shared" ref="BB10:BB73" si="1">IF(AZ10="",FALSE,TRUE)</f>
        <v>1</v>
      </c>
      <c r="BC10" s="6"/>
      <c r="BD10" s="53" t="s">
        <v>153</v>
      </c>
      <c r="BE10" s="83" t="s">
        <v>2261</v>
      </c>
      <c r="BF10" t="s">
        <v>12</v>
      </c>
      <c r="BG10" s="53" t="s">
        <v>155</v>
      </c>
      <c r="BH10" s="16" t="s">
        <v>185</v>
      </c>
      <c r="BJ10" s="223" t="str">
        <f>'GBP Market Data'!AX11</f>
        <v>2Y</v>
      </c>
      <c r="BK10" s="263">
        <f>'GBP Market Data'!BB11</f>
        <v>5.5999999999999995E-4</v>
      </c>
      <c r="BM10" s="53" t="s">
        <v>155</v>
      </c>
      <c r="BN10" s="16" t="s">
        <v>185</v>
      </c>
      <c r="BP10" s="223" t="str">
        <f>'GBP Market Data'!BD11</f>
        <v>2Y</v>
      </c>
      <c r="BQ10" s="263">
        <f>'GBP Market Data'!BH11</f>
        <v>1.56E-3</v>
      </c>
      <c r="BS10" s="53" t="s">
        <v>155</v>
      </c>
      <c r="BT10" s="16" t="s">
        <v>185</v>
      </c>
      <c r="BV10" s="223" t="str">
        <f>'GBP Market Data'!BJ11</f>
        <v>2Y</v>
      </c>
      <c r="BW10" s="263">
        <f>'GBP Market Data'!BN11</f>
        <v>1.1999999999999999E-3</v>
      </c>
      <c r="BY10" s="53" t="s">
        <v>153</v>
      </c>
      <c r="BZ10" s="83" t="s">
        <v>2261</v>
      </c>
      <c r="CA10" t="s">
        <v>12</v>
      </c>
      <c r="CB10" s="53" t="s">
        <v>155</v>
      </c>
      <c r="CC10" s="100" t="s">
        <v>249</v>
      </c>
      <c r="CE10" s="53" t="s">
        <v>155</v>
      </c>
      <c r="CF10" s="100" t="s">
        <v>249</v>
      </c>
      <c r="CH10" s="53" t="s">
        <v>155</v>
      </c>
      <c r="CI10" s="100" t="s">
        <v>249</v>
      </c>
      <c r="CK10" s="53" t="s">
        <v>155</v>
      </c>
      <c r="CL10" s="100" t="s">
        <v>249</v>
      </c>
      <c r="CN10" s="223" t="str">
        <f>'GBP Market Data'!BP11</f>
        <v>2Y</v>
      </c>
      <c r="CO10" s="263">
        <f>'GBP Market Data'!BT11</f>
        <v>-9.5E-4</v>
      </c>
      <c r="CQ10" s="53" t="s">
        <v>153</v>
      </c>
      <c r="CR10" s="83" t="s">
        <v>2261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1021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>'GBP Market Data'!B12</f>
        <v>3M</v>
      </c>
      <c r="N11" s="224">
        <f>'GBP Market Data'!F12</f>
        <v>5.0809999999999996E-3</v>
      </c>
      <c r="O11" s="85"/>
      <c r="P11" s="85"/>
      <c r="Q11" s="86" t="b">
        <f t="shared" si="0"/>
        <v>1</v>
      </c>
      <c r="S11" s="92"/>
      <c r="T11" s="93"/>
      <c r="V11" s="70" t="s">
        <v>88</v>
      </c>
      <c r="W11" s="16"/>
      <c r="Y11" s="229" t="str">
        <f>'GBP Market Data'!H12</f>
        <v/>
      </c>
      <c r="Z11" s="239" t="str">
        <f>'GBP Market Data'!L12</f>
        <v/>
      </c>
      <c r="AB11" s="70" t="s">
        <v>111</v>
      </c>
      <c r="AC11" s="16" t="s">
        <v>38</v>
      </c>
      <c r="AE11" s="229" t="str">
        <f>'GBP Market Data'!N12</f>
        <v/>
      </c>
      <c r="AF11" s="230" t="str">
        <f>'GBP Market Data'!R12</f>
        <v/>
      </c>
      <c r="AH11" s="53" t="s">
        <v>135</v>
      </c>
      <c r="AI11" s="134" t="s">
        <v>2263</v>
      </c>
      <c r="AJ11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152</v>
      </c>
      <c r="AX11" s="83" t="s">
        <v>186</v>
      </c>
      <c r="AZ11" s="259" t="str">
        <f>'GBP Market Data'!AR12</f>
        <v>4Y</v>
      </c>
      <c r="BA11" s="312">
        <f>'GBP Market Data'!AV12</f>
        <v>1.2769999999999998E-2</v>
      </c>
      <c r="BB11" s="80" t="b">
        <f t="shared" si="1"/>
        <v>1</v>
      </c>
      <c r="BC11" s="6"/>
      <c r="BD11" s="53" t="s">
        <v>147</v>
      </c>
      <c r="BE11" s="83" t="s">
        <v>131</v>
      </c>
      <c r="BG11" s="53" t="s">
        <v>148</v>
      </c>
      <c r="BH11" s="16" t="s">
        <v>186</v>
      </c>
      <c r="BJ11" s="223" t="str">
        <f>'GBP Market Data'!AX12</f>
        <v>3Y</v>
      </c>
      <c r="BK11" s="263">
        <f>'GBP Market Data'!BB12</f>
        <v>6.3000000000000003E-4</v>
      </c>
      <c r="BM11" s="53" t="s">
        <v>148</v>
      </c>
      <c r="BN11" s="16" t="s">
        <v>186</v>
      </c>
      <c r="BP11" s="223" t="str">
        <f>'GBP Market Data'!BD12</f>
        <v>3Y</v>
      </c>
      <c r="BQ11" s="263">
        <f>'GBP Market Data'!BH12</f>
        <v>1.6199999999999999E-3</v>
      </c>
      <c r="BS11" s="53" t="s">
        <v>148</v>
      </c>
      <c r="BT11" s="16" t="s">
        <v>186</v>
      </c>
      <c r="BV11" s="223" t="str">
        <f>'GBP Market Data'!BJ12</f>
        <v>3Y</v>
      </c>
      <c r="BW11" s="263">
        <f>'GBP Market Data'!BN12</f>
        <v>1.31E-3</v>
      </c>
      <c r="BY11" s="53" t="s">
        <v>147</v>
      </c>
      <c r="BZ11" s="83" t="s">
        <v>131</v>
      </c>
      <c r="CB11" s="53" t="s">
        <v>148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>'GBP Market Data'!BP12</f>
        <v>3Y</v>
      </c>
      <c r="CO11" s="263">
        <f>'GBP Market Data'!BT12</f>
        <v>-6.4999999999999997E-4</v>
      </c>
      <c r="CQ11" s="53" t="s">
        <v>147</v>
      </c>
      <c r="CR11" s="83" t="s">
        <v>131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1022</v>
      </c>
      <c r="D12" s="119"/>
      <c r="E12" s="120"/>
      <c r="F12" t="s">
        <v>12</v>
      </c>
      <c r="G12" s="53"/>
      <c r="H12" s="83"/>
      <c r="J12" s="70" t="s">
        <v>130</v>
      </c>
      <c r="K12" s="16" t="s">
        <v>356</v>
      </c>
      <c r="L12" s="203"/>
      <c r="M12" s="223" t="str">
        <f>'GBP Market Data'!B13</f>
        <v>6M</v>
      </c>
      <c r="N12" s="224">
        <f>'GBP Market Data'!F13</f>
        <v>5.6399999999999992E-3</v>
      </c>
      <c r="O12" s="85"/>
      <c r="P12" s="85"/>
      <c r="Q12" s="86" t="b">
        <f t="shared" si="0"/>
        <v>1</v>
      </c>
      <c r="S12" s="92"/>
      <c r="T12" s="93"/>
      <c r="V12" s="70"/>
      <c r="W12" s="16"/>
      <c r="Y12" s="229" t="str">
        <f>'GBP Market Data'!H13</f>
        <v/>
      </c>
      <c r="Z12" s="239" t="str">
        <f>'GBP Market Data'!L13</f>
        <v/>
      </c>
      <c r="AB12" s="70"/>
      <c r="AC12" s="16"/>
      <c r="AE12" s="229" t="str">
        <f>'GBP Market Data'!N13</f>
        <v/>
      </c>
      <c r="AF12" s="230" t="str">
        <f>'GBP Market Data'!R13</f>
        <v/>
      </c>
      <c r="AH12" s="53" t="s">
        <v>4</v>
      </c>
      <c r="AI12" s="134" t="s">
        <v>2263</v>
      </c>
      <c r="AJ12" t="s">
        <v>12</v>
      </c>
      <c r="AK12" s="59"/>
      <c r="AL12" s="17"/>
      <c r="AN12" s="60" t="s">
        <v>1477</v>
      </c>
      <c r="AO12" s="17">
        <f>ForwardCharts.TensionGap</f>
        <v>2</v>
      </c>
      <c r="AQ12" s="60" t="s">
        <v>1477</v>
      </c>
      <c r="AR12" s="415"/>
      <c r="AS12" s="24"/>
      <c r="AT12" s="24"/>
      <c r="AU12" s="25"/>
      <c r="AW12" s="53" t="s">
        <v>1</v>
      </c>
      <c r="AX12" s="83" t="s">
        <v>76</v>
      </c>
      <c r="AZ12" s="259" t="str">
        <f>'GBP Market Data'!AR13</f>
        <v>5Y</v>
      </c>
      <c r="BA12" s="312">
        <f>'GBP Market Data'!AV13</f>
        <v>1.3500000000000002E-2</v>
      </c>
      <c r="BB12" s="80" t="b">
        <f t="shared" si="1"/>
        <v>1</v>
      </c>
      <c r="BC12" s="6"/>
      <c r="BD12" s="53" t="s">
        <v>5</v>
      </c>
      <c r="BE12" s="83" t="s">
        <v>125</v>
      </c>
      <c r="BG12" s="53" t="s">
        <v>145</v>
      </c>
      <c r="BH12" s="16" t="s">
        <v>76</v>
      </c>
      <c r="BJ12" s="223" t="str">
        <f>'GBP Market Data'!AX13</f>
        <v>4Y</v>
      </c>
      <c r="BK12" s="263">
        <f>'GBP Market Data'!BB13</f>
        <v>6.9999999999999999E-4</v>
      </c>
      <c r="BM12" s="53" t="s">
        <v>145</v>
      </c>
      <c r="BN12" s="16" t="s">
        <v>76</v>
      </c>
      <c r="BP12" s="223" t="str">
        <f>'GBP Market Data'!BD13</f>
        <v>4Y</v>
      </c>
      <c r="BQ12" s="263">
        <f>'GBP Market Data'!BH13</f>
        <v>1.6800000000000001E-3</v>
      </c>
      <c r="BS12" s="53" t="s">
        <v>145</v>
      </c>
      <c r="BT12" s="16" t="s">
        <v>146</v>
      </c>
      <c r="BV12" s="223" t="str">
        <f>'GBP Market Data'!BJ13</f>
        <v>4Y</v>
      </c>
      <c r="BW12" s="263">
        <f>'GBP Market Data'!BN13</f>
        <v>1.31E-3</v>
      </c>
      <c r="BY12" s="53" t="s">
        <v>5</v>
      </c>
      <c r="BZ12" s="83" t="s">
        <v>125</v>
      </c>
      <c r="CB12" s="53" t="s">
        <v>145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>'GBP Market Data'!BP13</f>
        <v>4Y</v>
      </c>
      <c r="CO12" s="263">
        <f>'GBP Market Data'!BT13</f>
        <v>-3.7500000000000001E-4</v>
      </c>
      <c r="CQ12" s="53" t="s">
        <v>5</v>
      </c>
      <c r="CR12" s="83" t="s">
        <v>125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1036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>'GBP Market Data'!B14</f>
        <v>1Y</v>
      </c>
      <c r="N13" s="224">
        <f>'GBP Market Data'!F14</f>
        <v>6.5300000000000002E-3</v>
      </c>
      <c r="O13" s="85"/>
      <c r="P13" s="85"/>
      <c r="Q13" s="86" t="b">
        <f t="shared" si="0"/>
        <v>1</v>
      </c>
      <c r="S13" s="92"/>
      <c r="T13" s="93"/>
      <c r="V13" s="70"/>
      <c r="W13" s="16"/>
      <c r="Y13" s="229" t="str">
        <f>'GBP Market Data'!H14</f>
        <v/>
      </c>
      <c r="Z13" s="239" t="str">
        <f>'GBP Market Data'!L14</f>
        <v/>
      </c>
      <c r="AB13" s="70"/>
      <c r="AC13" s="16"/>
      <c r="AE13" s="229" t="str">
        <f>'GBP Market Data'!N14</f>
        <v/>
      </c>
      <c r="AF13" s="230" t="str">
        <f>'GBP Market Data'!R14</f>
        <v/>
      </c>
      <c r="AH13" s="53" t="s">
        <v>97</v>
      </c>
      <c r="AI13" s="134" t="s">
        <v>2263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138</v>
      </c>
      <c r="AX13" s="83" t="s">
        <v>76</v>
      </c>
      <c r="AZ13" s="259" t="str">
        <f>'GBP Market Data'!AR14</f>
        <v>6Y</v>
      </c>
      <c r="BA13" s="312">
        <f>'GBP Market Data'!AV14</f>
        <v>1.405E-2</v>
      </c>
      <c r="BB13" s="80" t="b">
        <f t="shared" si="1"/>
        <v>1</v>
      </c>
      <c r="BC13" s="6"/>
      <c r="BD13" s="53" t="s">
        <v>1</v>
      </c>
      <c r="BE13" s="83" t="s">
        <v>117</v>
      </c>
      <c r="BG13" s="53" t="s">
        <v>142</v>
      </c>
      <c r="BH13" s="16" t="s">
        <v>38</v>
      </c>
      <c r="BJ13" s="223" t="str">
        <f>'GBP Market Data'!AX14</f>
        <v>5Y</v>
      </c>
      <c r="BK13" s="263">
        <f>'GBP Market Data'!BB14</f>
        <v>7.7000000000000007E-4</v>
      </c>
      <c r="BM13" s="53" t="s">
        <v>142</v>
      </c>
      <c r="BN13" s="16" t="s">
        <v>38</v>
      </c>
      <c r="BP13" s="223" t="str">
        <f>'GBP Market Data'!BD14</f>
        <v>5Y</v>
      </c>
      <c r="BQ13" s="263">
        <f>'GBP Market Data'!BH14</f>
        <v>1.75E-3</v>
      </c>
      <c r="BS13" s="53" t="s">
        <v>142</v>
      </c>
      <c r="BT13" s="16" t="s">
        <v>38</v>
      </c>
      <c r="BV13" s="223" t="str">
        <f>'GBP Market Data'!BJ14</f>
        <v>5Y</v>
      </c>
      <c r="BW13" s="263">
        <f>'GBP Market Data'!BN14</f>
        <v>1.31E-3</v>
      </c>
      <c r="BY13" s="53" t="s">
        <v>1</v>
      </c>
      <c r="BZ13" s="83" t="s">
        <v>117</v>
      </c>
      <c r="CB13" s="53" t="s">
        <v>142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>'GBP Market Data'!BP14</f>
        <v>5Y</v>
      </c>
      <c r="CO13" s="263">
        <f>'GBP Market Data'!BT14</f>
        <v>-1.75E-4</v>
      </c>
      <c r="CQ13" s="53" t="s">
        <v>1</v>
      </c>
      <c r="CR13" s="83" t="s">
        <v>117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1019</v>
      </c>
      <c r="D14" s="119"/>
      <c r="E14" s="120"/>
      <c r="F14" t="s">
        <v>12</v>
      </c>
      <c r="G14" s="53"/>
      <c r="H14" s="83"/>
      <c r="J14" s="70" t="s">
        <v>1754</v>
      </c>
      <c r="K14" s="16" t="b">
        <v>1</v>
      </c>
      <c r="L14" s="203"/>
      <c r="M14" s="223" t="str">
        <f>'GBP Market Data'!B15</f>
        <v>3Y</v>
      </c>
      <c r="N14" s="224">
        <f>'GBP Market Data'!F15</f>
        <v>9.1599999999999997E-3</v>
      </c>
      <c r="O14" s="85"/>
      <c r="P14" s="85"/>
      <c r="Q14" s="86" t="b">
        <f t="shared" si="0"/>
        <v>1</v>
      </c>
      <c r="S14" s="92"/>
      <c r="T14" s="93"/>
      <c r="V14" s="70"/>
      <c r="W14" s="16"/>
      <c r="Y14" s="229" t="str">
        <f>'GBP Market Data'!H15</f>
        <v/>
      </c>
      <c r="Z14" s="239" t="str">
        <f>'GBP Market Data'!L15</f>
        <v/>
      </c>
      <c r="AB14" s="70"/>
      <c r="AC14" s="16"/>
      <c r="AE14" s="229" t="str">
        <f>'GBP Market Data'!N15</f>
        <v/>
      </c>
      <c r="AF14" s="230" t="str">
        <f>'GBP Market Data'!R15</f>
        <v/>
      </c>
      <c r="AH14" s="12" t="s">
        <v>223</v>
      </c>
      <c r="AI14" s="83" t="b">
        <v>1</v>
      </c>
      <c r="AJ14" s="995" t="s">
        <v>12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4</v>
      </c>
      <c r="AX14" s="83" t="s">
        <v>2261</v>
      </c>
      <c r="AY14" t="s">
        <v>12</v>
      </c>
      <c r="AZ14" s="259" t="str">
        <f>'GBP Market Data'!AR15</f>
        <v>7Y</v>
      </c>
      <c r="BA14" s="312">
        <f>'GBP Market Data'!AV15</f>
        <v>1.451E-2</v>
      </c>
      <c r="BB14" s="80" t="b">
        <f t="shared" si="1"/>
        <v>1</v>
      </c>
      <c r="BC14" s="6"/>
      <c r="BD14" s="53" t="s">
        <v>135</v>
      </c>
      <c r="BE14" s="83" t="s">
        <v>2231</v>
      </c>
      <c r="BF14" t="s">
        <v>12</v>
      </c>
      <c r="BG14" s="53" t="s">
        <v>136</v>
      </c>
      <c r="BH14" s="16">
        <v>0</v>
      </c>
      <c r="BJ14" s="223" t="str">
        <f>'GBP Market Data'!AX15</f>
        <v>6Y</v>
      </c>
      <c r="BK14" s="263">
        <f>'GBP Market Data'!BB15</f>
        <v>8.1999999999999998E-4</v>
      </c>
      <c r="BM14" s="53" t="s">
        <v>136</v>
      </c>
      <c r="BN14" s="16">
        <v>0</v>
      </c>
      <c r="BP14" s="223" t="str">
        <f>'GBP Market Data'!BD15</f>
        <v>6Y</v>
      </c>
      <c r="BQ14" s="263">
        <f>'GBP Market Data'!BH15</f>
        <v>1.8E-3</v>
      </c>
      <c r="BS14" s="53" t="s">
        <v>136</v>
      </c>
      <c r="BT14" s="16">
        <v>0</v>
      </c>
      <c r="BV14" s="223" t="str">
        <f>'GBP Market Data'!BJ15</f>
        <v>6Y</v>
      </c>
      <c r="BW14" s="263">
        <f>'GBP Market Data'!BN15</f>
        <v>1.2900000000000001E-3</v>
      </c>
      <c r="BY14" s="53" t="s">
        <v>135</v>
      </c>
      <c r="BZ14" s="83" t="s">
        <v>2231</v>
      </c>
      <c r="CA14" t="s">
        <v>12</v>
      </c>
      <c r="CB14" s="53" t="s">
        <v>136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>'GBP Market Data'!BP15</f>
        <v>6Y</v>
      </c>
      <c r="CO14" s="263">
        <f>'GBP Market Data'!BT15</f>
        <v>2.5000000000000001E-5</v>
      </c>
      <c r="CQ14" s="53" t="s">
        <v>135</v>
      </c>
      <c r="CR14" s="83" t="s">
        <v>2231</v>
      </c>
      <c r="CS14" t="s">
        <v>12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292" t="s">
        <v>6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>'GBP Market Data'!B16</f>
        <v>4Y</v>
      </c>
      <c r="N15" s="224">
        <f>'GBP Market Data'!F16</f>
        <v>9.9249999999999998E-3</v>
      </c>
      <c r="O15" s="85"/>
      <c r="P15" s="85"/>
      <c r="Q15" s="86" t="b">
        <f t="shared" si="0"/>
        <v>1</v>
      </c>
      <c r="S15" s="92"/>
      <c r="T15" s="93"/>
      <c r="V15" s="70"/>
      <c r="W15" s="16"/>
      <c r="Y15" s="229" t="str">
        <f>'GBP Market Data'!H16</f>
        <v/>
      </c>
      <c r="Z15" s="239" t="str">
        <f>'GBP Market Data'!L16</f>
        <v/>
      </c>
      <c r="AB15" s="70"/>
      <c r="AC15" s="16"/>
      <c r="AE15" s="229" t="str">
        <f>'GBP Market Data'!N16</f>
        <v/>
      </c>
      <c r="AF15" s="230" t="str">
        <f>'GBP Market Data'!R16</f>
        <v/>
      </c>
      <c r="AH15" s="12" t="s">
        <v>220</v>
      </c>
      <c r="AI15" s="83" t="b">
        <v>0</v>
      </c>
      <c r="AJ15" s="995" t="s">
        <v>12</v>
      </c>
      <c r="AK15" s="11" t="s">
        <v>113</v>
      </c>
      <c r="AL15" s="32" t="s">
        <v>185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119</v>
      </c>
      <c r="AX15" s="83" t="b">
        <v>1</v>
      </c>
      <c r="AZ15" s="259" t="str">
        <f>'GBP Market Data'!AR16</f>
        <v>8Y</v>
      </c>
      <c r="BA15" s="312">
        <f>'GBP Market Data'!AV16</f>
        <v>1.4919999999999999E-2</v>
      </c>
      <c r="BB15" s="80" t="b">
        <f t="shared" si="1"/>
        <v>1</v>
      </c>
      <c r="BC15" s="6"/>
      <c r="BD15" s="53" t="s">
        <v>4</v>
      </c>
      <c r="BE15" s="83" t="s">
        <v>2261</v>
      </c>
      <c r="BF15" t="s">
        <v>12</v>
      </c>
      <c r="BG15" s="53" t="s">
        <v>128</v>
      </c>
      <c r="BH15" s="28" t="s">
        <v>189</v>
      </c>
      <c r="BJ15" s="223" t="str">
        <f>'GBP Market Data'!AX16</f>
        <v>7Y</v>
      </c>
      <c r="BK15" s="263">
        <f>'GBP Market Data'!BB16</f>
        <v>8.3000000000000012E-4</v>
      </c>
      <c r="BM15" s="53" t="s">
        <v>128</v>
      </c>
      <c r="BN15" s="28" t="s">
        <v>189</v>
      </c>
      <c r="BP15" s="223" t="str">
        <f>'GBP Market Data'!BD16</f>
        <v>7Y</v>
      </c>
      <c r="BQ15" s="263">
        <f>'GBP Market Data'!BH16</f>
        <v>1.8100000000000002E-3</v>
      </c>
      <c r="BS15" s="53" t="s">
        <v>128</v>
      </c>
      <c r="BT15" s="28" t="s">
        <v>189</v>
      </c>
      <c r="BV15" s="223" t="str">
        <f>'GBP Market Data'!BJ16</f>
        <v>7Y</v>
      </c>
      <c r="BW15" s="263">
        <f>'GBP Market Data'!BN16</f>
        <v>1.2600000000000001E-3</v>
      </c>
      <c r="BY15" s="53" t="s">
        <v>4</v>
      </c>
      <c r="BZ15" s="83" t="s">
        <v>2261</v>
      </c>
      <c r="CA15" t="s">
        <v>12</v>
      </c>
      <c r="CB15" s="53" t="s">
        <v>204</v>
      </c>
      <c r="CC15" s="28" t="s">
        <v>1048</v>
      </c>
      <c r="CE15" s="53" t="s">
        <v>204</v>
      </c>
      <c r="CF15" s="28" t="s">
        <v>1048</v>
      </c>
      <c r="CH15" s="53" t="s">
        <v>204</v>
      </c>
      <c r="CI15" s="28" t="s">
        <v>1048</v>
      </c>
      <c r="CK15" s="53" t="s">
        <v>204</v>
      </c>
      <c r="CL15" s="28" t="s">
        <v>1048</v>
      </c>
      <c r="CN15" s="223" t="str">
        <f>'GBP Market Data'!BP16</f>
        <v>7Y</v>
      </c>
      <c r="CO15" s="263">
        <f>'GBP Market Data'!BT16</f>
        <v>2.0000000000000001E-4</v>
      </c>
      <c r="CQ15" s="53" t="s">
        <v>4</v>
      </c>
      <c r="CR15" s="83" t="s">
        <v>2261</v>
      </c>
      <c r="CS15" t="s">
        <v>12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118" t="s">
        <v>1020</v>
      </c>
      <c r="D16" s="119"/>
      <c r="E16" s="120"/>
      <c r="F16" t="s">
        <v>12</v>
      </c>
      <c r="G16" s="53"/>
      <c r="H16" s="83"/>
      <c r="J16" s="53" t="s">
        <v>1754</v>
      </c>
      <c r="K16" s="16" t="b">
        <v>1</v>
      </c>
      <c r="L16" s="203"/>
      <c r="M16" s="223" t="str">
        <f>'GBP Market Data'!B17</f>
        <v>5Y</v>
      </c>
      <c r="N16" s="224">
        <f>'GBP Market Data'!F17</f>
        <v>1.0505E-2</v>
      </c>
      <c r="O16" s="85"/>
      <c r="P16" s="85"/>
      <c r="Q16" s="86" t="b">
        <f t="shared" si="0"/>
        <v>1</v>
      </c>
      <c r="S16" s="92"/>
      <c r="T16" s="93"/>
      <c r="V16" s="70"/>
      <c r="W16" s="16"/>
      <c r="Y16" s="229" t="str">
        <f>'GBP Market Data'!H17</f>
        <v/>
      </c>
      <c r="Z16" s="239" t="str">
        <f>'GBP Market Data'!L17</f>
        <v/>
      </c>
      <c r="AB16" s="70"/>
      <c r="AC16" s="16"/>
      <c r="AE16" s="229" t="str">
        <f>'GBP Market Data'!N17</f>
        <v/>
      </c>
      <c r="AF16" s="230" t="str">
        <f>'GBP Market Data'!R17</f>
        <v/>
      </c>
      <c r="AH16" s="12" t="s">
        <v>79</v>
      </c>
      <c r="AI16" s="83" t="s">
        <v>189</v>
      </c>
      <c r="AK16" s="12" t="s">
        <v>120</v>
      </c>
      <c r="AL16" s="16" t="s">
        <v>186</v>
      </c>
      <c r="AN16" s="51"/>
      <c r="AO16" s="33"/>
      <c r="AQ16" s="39"/>
      <c r="AR16" s="40"/>
      <c r="AS16" s="40"/>
      <c r="AT16" s="41"/>
      <c r="AU16" s="140"/>
      <c r="AW16" s="53" t="s">
        <v>107</v>
      </c>
      <c r="AX16" s="83" t="b">
        <v>1</v>
      </c>
      <c r="AZ16" s="259" t="str">
        <f>'GBP Market Data'!AR17</f>
        <v>9Y</v>
      </c>
      <c r="BA16" s="312">
        <f>'GBP Market Data'!AV17</f>
        <v>1.529E-2</v>
      </c>
      <c r="BB16" s="80" t="b">
        <f t="shared" si="1"/>
        <v>1</v>
      </c>
      <c r="BC16" s="6"/>
      <c r="BD16" s="53" t="s">
        <v>121</v>
      </c>
      <c r="BE16" s="83" t="b">
        <v>0</v>
      </c>
      <c r="BG16" s="53" t="s">
        <v>122</v>
      </c>
      <c r="BH16" s="28" t="s">
        <v>61</v>
      </c>
      <c r="BJ16" s="223" t="str">
        <f>'GBP Market Data'!AX17</f>
        <v>8Y</v>
      </c>
      <c r="BK16" s="263">
        <f>'GBP Market Data'!BB17</f>
        <v>8.1999999999999998E-4</v>
      </c>
      <c r="BM16" s="53" t="s">
        <v>122</v>
      </c>
      <c r="BN16" s="28" t="s">
        <v>61</v>
      </c>
      <c r="BP16" s="223" t="str">
        <f>'GBP Market Data'!BD17</f>
        <v>8Y</v>
      </c>
      <c r="BQ16" s="263">
        <f>'GBP Market Data'!BH17</f>
        <v>1.7899999999999999E-3</v>
      </c>
      <c r="BS16" s="53" t="s">
        <v>122</v>
      </c>
      <c r="BT16" s="28" t="s">
        <v>61</v>
      </c>
      <c r="BV16" s="223" t="str">
        <f>'GBP Market Data'!BJ17</f>
        <v>8Y</v>
      </c>
      <c r="BW16" s="263">
        <f>'GBP Market Data'!BN17</f>
        <v>1.23E-3</v>
      </c>
      <c r="BY16" s="53" t="s">
        <v>121</v>
      </c>
      <c r="BZ16" s="83" t="b">
        <v>0</v>
      </c>
      <c r="CB16" s="53" t="s">
        <v>208</v>
      </c>
      <c r="CC16" s="28" t="s">
        <v>1049</v>
      </c>
      <c r="CE16" s="53" t="s">
        <v>208</v>
      </c>
      <c r="CF16" s="28" t="s">
        <v>1049</v>
      </c>
      <c r="CH16" s="53" t="s">
        <v>208</v>
      </c>
      <c r="CI16" s="28" t="s">
        <v>1049</v>
      </c>
      <c r="CK16" s="53" t="s">
        <v>208</v>
      </c>
      <c r="CL16" s="28" t="s">
        <v>1049</v>
      </c>
      <c r="CN16" s="223" t="str">
        <f>'GBP Market Data'!BP17</f>
        <v>8Y</v>
      </c>
      <c r="CO16" s="263">
        <f>'GBP Market Data'!BT17</f>
        <v>3.7500000000000001E-4</v>
      </c>
      <c r="CQ16" s="53" t="s">
        <v>121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2077</v>
      </c>
      <c r="K17" s="83" t="s">
        <v>2078</v>
      </c>
      <c r="L17" s="203"/>
      <c r="M17" s="223" t="str">
        <f>'GBP Market Data'!B18</f>
        <v>6Y</v>
      </c>
      <c r="N17" s="224">
        <f>'GBP Market Data'!F18</f>
        <v>1.095E-2</v>
      </c>
      <c r="O17" s="85"/>
      <c r="P17" s="85"/>
      <c r="Q17" s="86" t="b">
        <f t="shared" si="0"/>
        <v>1</v>
      </c>
      <c r="S17" s="92"/>
      <c r="T17" s="93"/>
      <c r="V17" s="70"/>
      <c r="W17" s="16"/>
      <c r="Y17" s="229" t="str">
        <f>'GBP Market Data'!H18</f>
        <v/>
      </c>
      <c r="Z17" s="239" t="str">
        <f>'GBP Market Data'!L18</f>
        <v/>
      </c>
      <c r="AB17" s="70"/>
      <c r="AC17" s="16"/>
      <c r="AE17" s="229" t="str">
        <f>'GBP Market Data'!N18</f>
        <v/>
      </c>
      <c r="AF17" s="230" t="str">
        <f>'GBP Market Data'!R18</f>
        <v/>
      </c>
      <c r="AH17" s="12" t="s">
        <v>2230</v>
      </c>
      <c r="AI17" s="83" t="b">
        <v>1</v>
      </c>
      <c r="AK17" s="12" t="s">
        <v>1</v>
      </c>
      <c r="AL17" s="16" t="s">
        <v>46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99</v>
      </c>
      <c r="AX17" s="83" t="b">
        <v>1</v>
      </c>
      <c r="AZ17" s="259" t="str">
        <f>'GBP Market Data'!AR18</f>
        <v>10Y</v>
      </c>
      <c r="BA17" s="312">
        <f>'GBP Market Data'!AV18</f>
        <v>1.5609999999999999E-2</v>
      </c>
      <c r="BB17" s="80" t="b">
        <f t="shared" si="1"/>
        <v>1</v>
      </c>
      <c r="BC17" s="6"/>
      <c r="BD17" s="53" t="s">
        <v>114</v>
      </c>
      <c r="BE17" s="83" t="b">
        <v>0</v>
      </c>
      <c r="BG17" s="53" t="s">
        <v>116</v>
      </c>
      <c r="BH17" s="104" t="s">
        <v>22</v>
      </c>
      <c r="BJ17" s="223" t="str">
        <f>'GBP Market Data'!AX18</f>
        <v>9Y</v>
      </c>
      <c r="BK17" s="263">
        <f>'GBP Market Data'!BB18</f>
        <v>8.0000000000000004E-4</v>
      </c>
      <c r="BM17" s="53" t="s">
        <v>116</v>
      </c>
      <c r="BN17" s="104" t="s">
        <v>22</v>
      </c>
      <c r="BP17" s="223" t="str">
        <f>'GBP Market Data'!BD18</f>
        <v>9Y</v>
      </c>
      <c r="BQ17" s="263">
        <f>'GBP Market Data'!BH18</f>
        <v>1.75E-3</v>
      </c>
      <c r="BS17" s="53" t="s">
        <v>116</v>
      </c>
      <c r="BT17" s="104" t="s">
        <v>250</v>
      </c>
      <c r="BV17" s="223" t="str">
        <f>'GBP Market Data'!BJ18</f>
        <v>9Y</v>
      </c>
      <c r="BW17" s="263">
        <f>'GBP Market Data'!BN18</f>
        <v>1.1999999999999999E-3</v>
      </c>
      <c r="BY17" s="53" t="s">
        <v>114</v>
      </c>
      <c r="BZ17" s="83" t="b">
        <v>0</v>
      </c>
      <c r="CB17" s="53" t="s">
        <v>116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>'GBP Market Data'!BP18</f>
        <v>9Y</v>
      </c>
      <c r="CO17" s="263">
        <f>'GBP Market Data'!BT18</f>
        <v>4.75E-4</v>
      </c>
      <c r="CQ17" s="53" t="s">
        <v>114</v>
      </c>
      <c r="CR17" s="83" t="b">
        <v>0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>'GBP Market Data'!B19</f>
        <v>7Y</v>
      </c>
      <c r="N18" s="224">
        <f>'GBP Market Data'!F19</f>
        <v>1.1325E-2</v>
      </c>
      <c r="O18" s="85"/>
      <c r="P18" s="85"/>
      <c r="Q18" s="86" t="b">
        <f t="shared" si="0"/>
        <v>1</v>
      </c>
      <c r="S18" s="92"/>
      <c r="T18" s="93"/>
      <c r="V18" s="53"/>
      <c r="W18" s="16"/>
      <c r="Y18" s="229" t="str">
        <f>'GBP Market Data'!H19</f>
        <v/>
      </c>
      <c r="Z18" s="239" t="str">
        <f>'GBP Market Data'!L19</f>
        <v/>
      </c>
      <c r="AB18" s="53"/>
      <c r="AC18" s="16"/>
      <c r="AE18" s="229" t="str">
        <f>'GBP Market Data'!N19</f>
        <v/>
      </c>
      <c r="AF18" s="230" t="str">
        <f>'GBP Market Data'!R19</f>
        <v/>
      </c>
      <c r="AH18" s="12"/>
      <c r="AI18" s="83"/>
      <c r="AJ18" t="s">
        <v>12</v>
      </c>
      <c r="AK18" s="12" t="s">
        <v>92</v>
      </c>
      <c r="AL18" s="16">
        <v>0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159</v>
      </c>
      <c r="AX18" s="83">
        <v>0</v>
      </c>
      <c r="AZ18" s="259" t="str">
        <f>'GBP Market Data'!AR19</f>
        <v>12Y</v>
      </c>
      <c r="BA18" s="312">
        <f>'GBP Market Data'!AV19</f>
        <v>1.6129999999999999E-2</v>
      </c>
      <c r="BB18" s="80" t="b">
        <f t="shared" si="1"/>
        <v>1</v>
      </c>
      <c r="BC18" s="6"/>
      <c r="BD18" s="53" t="s">
        <v>108</v>
      </c>
      <c r="BE18" s="83" t="b">
        <v>0</v>
      </c>
      <c r="BG18" s="53" t="s">
        <v>110</v>
      </c>
      <c r="BH18" s="16" t="s">
        <v>186</v>
      </c>
      <c r="BJ18" s="223" t="str">
        <f>'GBP Market Data'!AX19</f>
        <v>10Y</v>
      </c>
      <c r="BK18" s="263">
        <f>'GBP Market Data'!BB19</f>
        <v>7.7999999999999999E-4</v>
      </c>
      <c r="BM18" s="53" t="s">
        <v>110</v>
      </c>
      <c r="BN18" s="16" t="s">
        <v>186</v>
      </c>
      <c r="BP18" s="223" t="str">
        <f>'GBP Market Data'!BD19</f>
        <v>10Y</v>
      </c>
      <c r="BQ18" s="263">
        <f>'GBP Market Data'!BH19</f>
        <v>1.7100000000000001E-3</v>
      </c>
      <c r="BS18" s="53" t="s">
        <v>110</v>
      </c>
      <c r="BT18" s="16" t="s">
        <v>186</v>
      </c>
      <c r="BV18" s="223" t="str">
        <f>'GBP Market Data'!BJ19</f>
        <v>10Y</v>
      </c>
      <c r="BW18" s="263">
        <f>'GBP Market Data'!BN19</f>
        <v>1.1900000000000001E-3</v>
      </c>
      <c r="BY18" s="53" t="s">
        <v>108</v>
      </c>
      <c r="BZ18" s="83" t="b">
        <v>0</v>
      </c>
      <c r="CB18" s="53" t="s">
        <v>110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>'GBP Market Data'!BP19</f>
        <v>10Y</v>
      </c>
      <c r="CO18" s="263">
        <f>'GBP Market Data'!BT19</f>
        <v>5.5000000000000003E-4</v>
      </c>
      <c r="CQ18" s="53" t="s">
        <v>108</v>
      </c>
      <c r="CR18" s="83" t="b">
        <v>0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>'GBP Market Data'!B20</f>
        <v>8Y</v>
      </c>
      <c r="N19" s="224">
        <f>'GBP Market Data'!F20</f>
        <v>1.1664000000000001E-2</v>
      </c>
      <c r="O19" s="85"/>
      <c r="P19" s="85"/>
      <c r="Q19" s="86" t="b">
        <f t="shared" si="0"/>
        <v>1</v>
      </c>
      <c r="S19" s="92"/>
      <c r="T19" s="93"/>
      <c r="V19" s="53"/>
      <c r="W19" s="16"/>
      <c r="Y19" s="229" t="str">
        <f>'GBP Market Data'!H20</f>
        <v/>
      </c>
      <c r="Z19" s="239" t="str">
        <f>'GBP Market Data'!L20</f>
        <v/>
      </c>
      <c r="AB19" s="53"/>
      <c r="AC19" s="16"/>
      <c r="AE19" s="229" t="str">
        <f>'GBP Market Data'!N20</f>
        <v/>
      </c>
      <c r="AF19" s="230" t="str">
        <f>'GBP Market Data'!R20</f>
        <v/>
      </c>
      <c r="AH19" s="12"/>
      <c r="AI19" s="134"/>
      <c r="AK19" s="54" t="s">
        <v>88</v>
      </c>
      <c r="AL19" s="16" t="s">
        <v>38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88</v>
      </c>
      <c r="AX19" s="83" t="s">
        <v>38</v>
      </c>
      <c r="AZ19" s="259" t="str">
        <f>'GBP Market Data'!AR20</f>
        <v>15Y</v>
      </c>
      <c r="BA19" s="312">
        <f>'GBP Market Data'!AV20</f>
        <v>1.6549999999999999E-2</v>
      </c>
      <c r="BB19" s="80" t="b">
        <f t="shared" si="1"/>
        <v>1</v>
      </c>
      <c r="BC19" s="6"/>
      <c r="BD19" s="53" t="s">
        <v>104</v>
      </c>
      <c r="BE19" s="83" t="b">
        <v>0</v>
      </c>
      <c r="BG19" s="53" t="s">
        <v>105</v>
      </c>
      <c r="BH19" s="16" t="s">
        <v>185</v>
      </c>
      <c r="BJ19" s="223" t="str">
        <f>'GBP Market Data'!AX20</f>
        <v>12Y</v>
      </c>
      <c r="BK19" s="263">
        <f>'GBP Market Data'!BB20</f>
        <v>7.5000000000000002E-4</v>
      </c>
      <c r="BM19" s="53" t="s">
        <v>105</v>
      </c>
      <c r="BN19" s="16" t="s">
        <v>185</v>
      </c>
      <c r="BP19" s="223" t="str">
        <f>'GBP Market Data'!BD20</f>
        <v>12Y</v>
      </c>
      <c r="BQ19" s="263">
        <f>'GBP Market Data'!BH20</f>
        <v>1.6300000000000002E-3</v>
      </c>
      <c r="BS19" s="53" t="s">
        <v>105</v>
      </c>
      <c r="BT19" s="16" t="s">
        <v>185</v>
      </c>
      <c r="BV19" s="223" t="str">
        <f>'GBP Market Data'!BJ20</f>
        <v>12Y</v>
      </c>
      <c r="BW19" s="263">
        <f>'GBP Market Data'!BN20</f>
        <v>1.1000000000000001E-3</v>
      </c>
      <c r="BY19" s="53" t="s">
        <v>104</v>
      </c>
      <c r="BZ19" s="83" t="b">
        <v>0</v>
      </c>
      <c r="CB19" s="53" t="s">
        <v>105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>'GBP Market Data'!BP20</f>
        <v>12Y</v>
      </c>
      <c r="CO19" s="263">
        <f>'GBP Market Data'!BT20</f>
        <v>6.4999999999999997E-4</v>
      </c>
      <c r="CQ19" s="53" t="s">
        <v>104</v>
      </c>
      <c r="CR19" s="83" t="b">
        <v>0</v>
      </c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295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>'GBP Market Data'!B21</f>
        <v>9Y</v>
      </c>
      <c r="N20" s="224">
        <f>'GBP Market Data'!F21</f>
        <v>1.1996E-2</v>
      </c>
      <c r="O20" s="85"/>
      <c r="P20" s="85"/>
      <c r="Q20" s="86" t="b">
        <f t="shared" si="0"/>
        <v>1</v>
      </c>
      <c r="S20" s="92"/>
      <c r="T20" s="93"/>
      <c r="V20" s="53"/>
      <c r="W20" s="14"/>
      <c r="Y20" s="229" t="str">
        <f>'GBP Market Data'!H21</f>
        <v/>
      </c>
      <c r="Z20" s="239" t="str">
        <f>'GBP Market Data'!L21</f>
        <v/>
      </c>
      <c r="AB20" s="53"/>
      <c r="AC20" s="14"/>
      <c r="AE20" s="229" t="str">
        <f>'GBP Market Data'!N21</f>
        <v/>
      </c>
      <c r="AF20" s="230" t="str">
        <f>'GBP Market Data'!R21</f>
        <v/>
      </c>
      <c r="AH20" s="12"/>
      <c r="AI20" s="134"/>
      <c r="AJ20" s="995" t="s">
        <v>12</v>
      </c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>'GBP Market Data'!AR21</f>
        <v>20Y</v>
      </c>
      <c r="BA20" s="312">
        <f>'GBP Market Data'!AV21</f>
        <v>1.6799999999999999E-2</v>
      </c>
      <c r="BB20" s="80" t="b">
        <f t="shared" si="1"/>
        <v>1</v>
      </c>
      <c r="BC20" s="6"/>
      <c r="BD20" s="53" t="s">
        <v>88</v>
      </c>
      <c r="BE20" s="83" t="s">
        <v>101</v>
      </c>
      <c r="BG20" s="53" t="s">
        <v>102</v>
      </c>
      <c r="BH20" s="16" t="s">
        <v>46</v>
      </c>
      <c r="BJ20" s="223" t="str">
        <f>'GBP Market Data'!AX21</f>
        <v>15Y</v>
      </c>
      <c r="BK20" s="263">
        <f>'GBP Market Data'!BB21</f>
        <v>7.2000000000000005E-4</v>
      </c>
      <c r="BM20" s="53" t="s">
        <v>102</v>
      </c>
      <c r="BN20" s="16" t="s">
        <v>46</v>
      </c>
      <c r="BP20" s="223" t="str">
        <f>'GBP Market Data'!BD21</f>
        <v>15Y</v>
      </c>
      <c r="BQ20" s="263">
        <f>'GBP Market Data'!BH21</f>
        <v>1.56E-3</v>
      </c>
      <c r="BS20" s="53" t="s">
        <v>102</v>
      </c>
      <c r="BT20" s="16" t="s">
        <v>46</v>
      </c>
      <c r="BV20" s="223" t="str">
        <f>'GBP Market Data'!BJ21</f>
        <v>15Y</v>
      </c>
      <c r="BW20" s="263">
        <f>'GBP Market Data'!BN21</f>
        <v>9.7999999999999997E-4</v>
      </c>
      <c r="BY20" s="53" t="s">
        <v>88</v>
      </c>
      <c r="BZ20" s="83" t="s">
        <v>101</v>
      </c>
      <c r="CB20" s="53" t="s">
        <v>102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>'GBP Market Data'!BP21</f>
        <v>15Y</v>
      </c>
      <c r="CO20" s="263">
        <f>'GBP Market Data'!BT21</f>
        <v>6.4999999999999997E-4</v>
      </c>
      <c r="CQ20" s="53" t="s">
        <v>88</v>
      </c>
      <c r="CR20" s="83" t="s">
        <v>101</v>
      </c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285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>'GBP Market Data'!B22</f>
        <v>10Y</v>
      </c>
      <c r="N21" s="224">
        <f>'GBP Market Data'!F22</f>
        <v>1.2303999999999999E-2</v>
      </c>
      <c r="O21" s="85"/>
      <c r="P21" s="85"/>
      <c r="Q21" s="86" t="b">
        <f t="shared" si="0"/>
        <v>1</v>
      </c>
      <c r="S21" s="92"/>
      <c r="T21" s="93"/>
      <c r="V21" s="53"/>
      <c r="W21" s="14"/>
      <c r="Y21" s="229" t="str">
        <f>'GBP Market Data'!H22</f>
        <v/>
      </c>
      <c r="Z21" s="239" t="str">
        <f>'GBP Market Data'!L22</f>
        <v/>
      </c>
      <c r="AB21" s="53"/>
      <c r="AC21" s="14"/>
      <c r="AE21" s="229" t="str">
        <f>'GBP Market Data'!N22</f>
        <v/>
      </c>
      <c r="AF21" s="230" t="str">
        <f>'GBP Market Data'!R22</f>
        <v/>
      </c>
      <c r="AH21" s="12"/>
      <c r="AI21" s="134"/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>'GBP Market Data'!AR22</f>
        <v>25Y</v>
      </c>
      <c r="BA21" s="312">
        <f>'GBP Market Data'!AV22</f>
        <v>1.669E-2</v>
      </c>
      <c r="BB21" s="80" t="b">
        <f t="shared" si="1"/>
        <v>1</v>
      </c>
      <c r="BC21" s="6"/>
      <c r="BD21" s="53" t="s">
        <v>97</v>
      </c>
      <c r="BE21" s="83" t="s">
        <v>2261</v>
      </c>
      <c r="BF21" t="s">
        <v>12</v>
      </c>
      <c r="BG21" s="53" t="s">
        <v>98</v>
      </c>
      <c r="BH21" s="16" t="s">
        <v>185</v>
      </c>
      <c r="BJ21" s="223" t="str">
        <f>'GBP Market Data'!AX22</f>
        <v>20Y</v>
      </c>
      <c r="BK21" s="263">
        <f>'GBP Market Data'!BB22</f>
        <v>6.7999999999999994E-4</v>
      </c>
      <c r="BM21" s="53" t="s">
        <v>98</v>
      </c>
      <c r="BN21" s="16" t="s">
        <v>185</v>
      </c>
      <c r="BP21" s="223" t="str">
        <f>'GBP Market Data'!BD22</f>
        <v>20Y</v>
      </c>
      <c r="BQ21" s="263">
        <f>'GBP Market Data'!BH22</f>
        <v>1.47E-3</v>
      </c>
      <c r="BS21" s="53" t="s">
        <v>98</v>
      </c>
      <c r="BT21" s="16" t="s">
        <v>185</v>
      </c>
      <c r="BV21" s="223" t="str">
        <f>'GBP Market Data'!BJ22</f>
        <v>20Y</v>
      </c>
      <c r="BW21" s="263">
        <f>'GBP Market Data'!BN22</f>
        <v>8.4999999999999995E-4</v>
      </c>
      <c r="BY21" s="53" t="s">
        <v>97</v>
      </c>
      <c r="BZ21" s="83" t="s">
        <v>2261</v>
      </c>
      <c r="CA21" t="s">
        <v>12</v>
      </c>
      <c r="CB21" s="53" t="s">
        <v>98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>'GBP Market Data'!BP22</f>
        <v>20Y</v>
      </c>
      <c r="CO21" s="263">
        <f>'GBP Market Data'!BT22</f>
        <v>5.9999999999999995E-4</v>
      </c>
      <c r="CQ21" s="53" t="s">
        <v>97</v>
      </c>
      <c r="CR21" s="83" t="s">
        <v>2261</v>
      </c>
      <c r="CS21" t="s">
        <v>12</v>
      </c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286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>'GBP Market Data'!B23</f>
        <v>12Y</v>
      </c>
      <c r="N22" s="224">
        <f>'GBP Market Data'!F23</f>
        <v>1.2725E-2</v>
      </c>
      <c r="O22" s="85"/>
      <c r="P22" s="85"/>
      <c r="Q22" s="86" t="b">
        <f t="shared" si="0"/>
        <v>1</v>
      </c>
      <c r="S22" s="92"/>
      <c r="T22" s="93"/>
      <c r="V22" s="53"/>
      <c r="W22" s="16"/>
      <c r="Y22" s="229" t="str">
        <f>'GBP Market Data'!H23</f>
        <v/>
      </c>
      <c r="Z22" s="239" t="str">
        <f>'GBP Market Data'!L23</f>
        <v/>
      </c>
      <c r="AB22" s="53"/>
      <c r="AC22" s="16"/>
      <c r="AE22" s="229" t="str">
        <f>'GBP Market Data'!N23</f>
        <v/>
      </c>
      <c r="AF22" s="230" t="str">
        <f>'GBP Market Data'!R23</f>
        <v/>
      </c>
      <c r="AH22" s="12"/>
      <c r="AI22" s="134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>'GBP Market Data'!AR23</f>
        <v>30Y</v>
      </c>
      <c r="BA22" s="312">
        <f>'GBP Market Data'!AV23</f>
        <v>1.6500000000000001E-2</v>
      </c>
      <c r="BB22" s="80" t="b">
        <f t="shared" si="1"/>
        <v>1</v>
      </c>
      <c r="BC22" s="6"/>
      <c r="BD22" s="12" t="s">
        <v>89</v>
      </c>
      <c r="BE22" s="83" t="s">
        <v>2261</v>
      </c>
      <c r="BF22" t="s">
        <v>12</v>
      </c>
      <c r="BG22" s="53" t="s">
        <v>93</v>
      </c>
      <c r="BH22" s="16">
        <v>0</v>
      </c>
      <c r="BJ22" s="223" t="str">
        <f>'GBP Market Data'!AX23</f>
        <v>25Y</v>
      </c>
      <c r="BK22" s="263">
        <f>'GBP Market Data'!BB23</f>
        <v>6.4999999999999997E-4</v>
      </c>
      <c r="BM22" s="53" t="s">
        <v>93</v>
      </c>
      <c r="BN22" s="16">
        <v>0</v>
      </c>
      <c r="BP22" s="223" t="str">
        <f>'GBP Market Data'!BD23</f>
        <v>25Y</v>
      </c>
      <c r="BQ22" s="263">
        <f>'GBP Market Data'!BH23</f>
        <v>1.41E-3</v>
      </c>
      <c r="BS22" s="53" t="s">
        <v>93</v>
      </c>
      <c r="BT22" s="16">
        <v>0</v>
      </c>
      <c r="BV22" s="223" t="str">
        <f>'GBP Market Data'!BJ23</f>
        <v>25Y</v>
      </c>
      <c r="BW22" s="263">
        <f>'GBP Market Data'!BN23</f>
        <v>7.3999999999999999E-4</v>
      </c>
      <c r="BY22" s="12" t="s">
        <v>89</v>
      </c>
      <c r="BZ22" s="83" t="s">
        <v>2261</v>
      </c>
      <c r="CA22" t="s">
        <v>12</v>
      </c>
      <c r="CB22" s="53" t="s">
        <v>93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>
        <v>2</v>
      </c>
      <c r="CN22" s="223" t="str">
        <f>'GBP Market Data'!BP23</f>
        <v>25Y</v>
      </c>
      <c r="CO22" s="263">
        <f>'GBP Market Data'!BT23</f>
        <v>6.7500000000000004E-4</v>
      </c>
      <c r="CQ22" s="12" t="s">
        <v>89</v>
      </c>
      <c r="CR22" s="83" t="s">
        <v>2261</v>
      </c>
      <c r="CS22" t="s">
        <v>12</v>
      </c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336</v>
      </c>
      <c r="D23" s="119"/>
      <c r="E23" s="120"/>
      <c r="F23" t="s">
        <v>12</v>
      </c>
      <c r="G23" s="53"/>
      <c r="H23" s="16"/>
      <c r="J23" s="12"/>
      <c r="K23" s="27"/>
      <c r="L23" s="203"/>
      <c r="M23" s="223" t="str">
        <f>'GBP Market Data'!B24</f>
        <v>15Y</v>
      </c>
      <c r="N23" s="224">
        <f>'GBP Market Data'!F24</f>
        <v>1.315E-2</v>
      </c>
      <c r="O23" s="85" t="s">
        <v>86</v>
      </c>
      <c r="P23" s="85" t="s">
        <v>86</v>
      </c>
      <c r="Q23" s="86" t="b">
        <f t="shared" si="0"/>
        <v>1</v>
      </c>
      <c r="S23" s="92"/>
      <c r="T23" s="93"/>
      <c r="V23" s="12"/>
      <c r="W23" s="27"/>
      <c r="Y23" s="229" t="str">
        <f>'GBP Market Data'!H24</f>
        <v/>
      </c>
      <c r="Z23" s="239" t="str">
        <f>'GBP Market Data'!L24</f>
        <v/>
      </c>
      <c r="AB23" s="12"/>
      <c r="AC23" s="27"/>
      <c r="AE23" s="229" t="str">
        <f>'GBP Market Data'!N24</f>
        <v/>
      </c>
      <c r="AF23" s="230" t="str">
        <f>'GBP Market Data'!R24</f>
        <v/>
      </c>
      <c r="AH23" s="12"/>
      <c r="AI23" s="134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>'GBP Market Data'!AR24</f>
        <v>40Y</v>
      </c>
      <c r="BA23" s="312">
        <f>'GBP Market Data'!AV24</f>
        <v>1.5810000000000001E-2</v>
      </c>
      <c r="BB23" s="80" t="b">
        <f t="shared" si="1"/>
        <v>1</v>
      </c>
      <c r="BC23" s="6"/>
      <c r="BD23" s="12" t="s">
        <v>183</v>
      </c>
      <c r="BE23" s="83" t="s">
        <v>2261</v>
      </c>
      <c r="BF23" t="s">
        <v>12</v>
      </c>
      <c r="BG23" s="76" t="s">
        <v>90</v>
      </c>
      <c r="BH23" s="19" t="s">
        <v>38</v>
      </c>
      <c r="BJ23" s="223" t="str">
        <f>'GBP Market Data'!AX24</f>
        <v>30Y</v>
      </c>
      <c r="BK23" s="263">
        <f>'GBP Market Data'!BB24</f>
        <v>6.2E-4</v>
      </c>
      <c r="BM23" s="76" t="s">
        <v>90</v>
      </c>
      <c r="BN23" s="19" t="s">
        <v>38</v>
      </c>
      <c r="BP23" s="223" t="str">
        <f>'GBP Market Data'!BD24</f>
        <v>30Y</v>
      </c>
      <c r="BQ23" s="263">
        <f>'GBP Market Data'!BH24</f>
        <v>1.3599999999999999E-3</v>
      </c>
      <c r="BS23" s="76" t="s">
        <v>90</v>
      </c>
      <c r="BT23" s="19" t="s">
        <v>38</v>
      </c>
      <c r="BV23" s="223" t="str">
        <f>'GBP Market Data'!BJ24</f>
        <v>30Y</v>
      </c>
      <c r="BW23" s="263">
        <f>'GBP Market Data'!BN24</f>
        <v>6.7000000000000002E-4</v>
      </c>
      <c r="BY23" s="12" t="s">
        <v>183</v>
      </c>
      <c r="BZ23" s="83" t="s">
        <v>2261</v>
      </c>
      <c r="CA23" t="s">
        <v>12</v>
      </c>
      <c r="CB23" s="53" t="s">
        <v>90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>'GBP Market Data'!BP24</f>
        <v>30Y</v>
      </c>
      <c r="CO23" s="263">
        <f>'GBP Market Data'!BT24</f>
        <v>1.0499999999999999E-3</v>
      </c>
      <c r="CQ23" s="12" t="s">
        <v>183</v>
      </c>
      <c r="CR23" s="83" t="s">
        <v>2261</v>
      </c>
      <c r="CS23" t="s">
        <v>12</v>
      </c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287</v>
      </c>
      <c r="D24" s="119"/>
      <c r="E24" s="120"/>
      <c r="F24" t="s">
        <v>12</v>
      </c>
      <c r="G24" s="76"/>
      <c r="H24" s="19"/>
      <c r="J24" s="13"/>
      <c r="K24" s="29"/>
      <c r="L24" s="203"/>
      <c r="M24" s="223" t="str">
        <f>'GBP Market Data'!B25</f>
        <v>20Y</v>
      </c>
      <c r="N24" s="224">
        <f>'GBP Market Data'!F25</f>
        <v>1.329E-2</v>
      </c>
      <c r="O24" s="85" t="s">
        <v>86</v>
      </c>
      <c r="P24" s="85" t="s">
        <v>86</v>
      </c>
      <c r="Q24" s="86" t="b">
        <f t="shared" si="0"/>
        <v>1</v>
      </c>
      <c r="S24" s="92"/>
      <c r="T24" s="93"/>
      <c r="V24" s="13"/>
      <c r="W24" s="29"/>
      <c r="Y24" s="229" t="str">
        <f>'GBP Market Data'!H25</f>
        <v/>
      </c>
      <c r="Z24" s="239" t="str">
        <f>'GBP Market Data'!L25</f>
        <v/>
      </c>
      <c r="AB24" s="13"/>
      <c r="AC24" s="29"/>
      <c r="AE24" s="229" t="str">
        <f>'GBP Market Data'!N25</f>
        <v/>
      </c>
      <c r="AF24" s="230" t="str">
        <f>'GBP Market Data'!R25</f>
        <v/>
      </c>
      <c r="AH24" s="12"/>
      <c r="AI24" s="134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>'GBP Market Data'!AR25</f>
        <v>50Y</v>
      </c>
      <c r="BA24" s="312">
        <f>'GBP Market Data'!AV25</f>
        <v>1.5229999999999999E-2</v>
      </c>
      <c r="BB24" s="80" t="b">
        <f t="shared" si="1"/>
        <v>1</v>
      </c>
      <c r="BC24" s="6"/>
      <c r="BD24" s="12" t="s">
        <v>82</v>
      </c>
      <c r="BE24" s="83" t="b">
        <v>1</v>
      </c>
      <c r="BG24" s="75" t="s">
        <v>85</v>
      </c>
      <c r="BH24" s="97" t="s">
        <v>185</v>
      </c>
      <c r="BJ24" s="223" t="str">
        <f>'GBP Market Data'!AX25</f>
        <v>40Y</v>
      </c>
      <c r="BK24" s="263">
        <f>'GBP Market Data'!BB25</f>
        <v>5.9000000000000003E-4</v>
      </c>
      <c r="BM24" s="75" t="s">
        <v>85</v>
      </c>
      <c r="BN24" s="97" t="s">
        <v>185</v>
      </c>
      <c r="BP24" s="223" t="str">
        <f>'GBP Market Data'!BD25</f>
        <v>40Y</v>
      </c>
      <c r="BQ24" s="263">
        <f>'GBP Market Data'!BH25</f>
        <v>1.2900000000000001E-3</v>
      </c>
      <c r="BS24" s="75" t="s">
        <v>85</v>
      </c>
      <c r="BT24" s="97" t="s">
        <v>185</v>
      </c>
      <c r="BV24" s="223" t="str">
        <f>'GBP Market Data'!BJ25</f>
        <v>40Y</v>
      </c>
      <c r="BW24" s="263">
        <f>'GBP Market Data'!BN25</f>
        <v>5.6999999999999998E-4</v>
      </c>
      <c r="BY24" s="12" t="s">
        <v>82</v>
      </c>
      <c r="BZ24" s="83" t="b">
        <v>1</v>
      </c>
      <c r="CB24" s="53" t="s">
        <v>85</v>
      </c>
      <c r="CC24" s="83" t="s">
        <v>249</v>
      </c>
      <c r="CE24" s="53" t="s">
        <v>85</v>
      </c>
      <c r="CF24" s="83" t="s">
        <v>249</v>
      </c>
      <c r="CH24" s="53" t="s">
        <v>85</v>
      </c>
      <c r="CI24" s="83" t="s">
        <v>249</v>
      </c>
      <c r="CK24" s="53" t="s">
        <v>85</v>
      </c>
      <c r="CL24" s="83" t="s">
        <v>249</v>
      </c>
      <c r="CN24" s="223" t="str">
        <f>'GBP Market Data'!BP25</f>
        <v/>
      </c>
      <c r="CO24" s="263" t="str">
        <f>'GBP Market Data'!BT25</f>
        <v/>
      </c>
      <c r="CQ24" s="12" t="s">
        <v>82</v>
      </c>
      <c r="CR24" s="83" t="b">
        <v>1</v>
      </c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G25" s="13"/>
      <c r="H25" s="103"/>
      <c r="L25" s="203"/>
      <c r="M25" s="223" t="str">
        <f>'GBP Market Data'!B26</f>
        <v>25Y</v>
      </c>
      <c r="N25" s="224">
        <f>'GBP Market Data'!F26</f>
        <v>1.3156000000000001E-2</v>
      </c>
      <c r="O25" s="85"/>
      <c r="P25" s="85"/>
      <c r="Q25" s="86" t="b">
        <f t="shared" si="0"/>
        <v>1</v>
      </c>
      <c r="S25" s="92"/>
      <c r="T25" s="93"/>
      <c r="Y25" s="229" t="str">
        <f>'GBP Market Data'!H26</f>
        <v/>
      </c>
      <c r="Z25" s="239" t="str">
        <f>'GBP Market Data'!L26</f>
        <v/>
      </c>
      <c r="AE25" s="229" t="str">
        <f>'GBP Market Data'!N26</f>
        <v/>
      </c>
      <c r="AF25" s="230" t="str">
        <f>'GBP Market Data'!R26</f>
        <v/>
      </c>
      <c r="AH25" s="12"/>
      <c r="AI25" s="134"/>
      <c r="AJ25" s="995" t="s">
        <v>12</v>
      </c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>'GBP Market Data'!AR26</f>
        <v/>
      </c>
      <c r="BA25" s="312" t="str">
        <f>'GBP Market Data'!AV26</f>
        <v/>
      </c>
      <c r="BB25" s="80" t="b">
        <f t="shared" si="1"/>
        <v>0</v>
      </c>
      <c r="BC25" s="6"/>
      <c r="BD25" s="12" t="s">
        <v>79</v>
      </c>
      <c r="BE25" s="83" t="s">
        <v>189</v>
      </c>
      <c r="BG25" s="53" t="s">
        <v>83</v>
      </c>
      <c r="BH25" s="16" t="s">
        <v>186</v>
      </c>
      <c r="BJ25" s="223" t="str">
        <f>'GBP Market Data'!AX26</f>
        <v>50Y</v>
      </c>
      <c r="BK25" s="263">
        <f>'GBP Market Data'!BB26</f>
        <v>5.5999999999999995E-4</v>
      </c>
      <c r="BM25" s="53" t="s">
        <v>83</v>
      </c>
      <c r="BN25" s="16" t="s">
        <v>186</v>
      </c>
      <c r="BP25" s="223" t="str">
        <f>'GBP Market Data'!BD26</f>
        <v>50Y</v>
      </c>
      <c r="BQ25" s="263">
        <f>'GBP Market Data'!BH26</f>
        <v>1.2099999999999999E-3</v>
      </c>
      <c r="BS25" s="53" t="s">
        <v>83</v>
      </c>
      <c r="BT25" s="16" t="s">
        <v>186</v>
      </c>
      <c r="BV25" s="223" t="str">
        <f>'GBP Market Data'!BJ26</f>
        <v>50Y</v>
      </c>
      <c r="BW25" s="263">
        <f>'GBP Market Data'!BN26</f>
        <v>4.8999999999999998E-4</v>
      </c>
      <c r="BY25" s="12" t="s">
        <v>79</v>
      </c>
      <c r="BZ25" s="83" t="s">
        <v>189</v>
      </c>
      <c r="CB25" s="75" t="s">
        <v>83</v>
      </c>
      <c r="CC25" s="101" t="s">
        <v>186</v>
      </c>
      <c r="CE25" s="75" t="s">
        <v>83</v>
      </c>
      <c r="CF25" s="101" t="s">
        <v>186</v>
      </c>
      <c r="CH25" s="75" t="s">
        <v>83</v>
      </c>
      <c r="CI25" s="101" t="s">
        <v>186</v>
      </c>
      <c r="CK25" s="75" t="s">
        <v>83</v>
      </c>
      <c r="CL25" s="101" t="s">
        <v>186</v>
      </c>
      <c r="CN25" s="223" t="str">
        <f>'GBP Market Data'!BP26</f>
        <v/>
      </c>
      <c r="CO25" s="263" t="str">
        <f>'GBP Market Data'!BT26</f>
        <v/>
      </c>
      <c r="CQ25" s="12" t="s">
        <v>79</v>
      </c>
      <c r="CR25" s="83" t="s">
        <v>189</v>
      </c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>'GBP Market Data'!B27</f>
        <v>30Y</v>
      </c>
      <c r="N26" s="224">
        <f>'GBP Market Data'!F27</f>
        <v>1.2929999999999999E-2</v>
      </c>
      <c r="O26" s="85"/>
      <c r="P26" s="85"/>
      <c r="Q26" s="86" t="b">
        <f t="shared" si="0"/>
        <v>1</v>
      </c>
      <c r="S26" s="92"/>
      <c r="T26" s="93"/>
      <c r="Y26" s="229" t="str">
        <f>'GBP Market Data'!H27</f>
        <v/>
      </c>
      <c r="Z26" s="239" t="str">
        <f>'GBP Market Data'!L27</f>
        <v/>
      </c>
      <c r="AE26" s="229" t="str">
        <f>'GBP Market Data'!N27</f>
        <v/>
      </c>
      <c r="AF26" s="230" t="str">
        <f>'GBP Market Data'!R27</f>
        <v/>
      </c>
      <c r="AH26" s="12"/>
      <c r="AI26" s="83"/>
      <c r="AJ26" s="995"/>
      <c r="AK26" s="259" t="str">
        <f>'GBP Market Data'!T10</f>
        <v>6M</v>
      </c>
      <c r="AL26" s="260">
        <f>'GBP Market Data'!X10</f>
        <v>8.0938E-3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>'GBP Market Data'!AR27</f>
        <v/>
      </c>
      <c r="BA26" s="312" t="str">
        <f>'GBP Market Data'!AV27</f>
        <v/>
      </c>
      <c r="BB26" s="80" t="b">
        <f t="shared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>'GBP Market Data'!AX27</f>
        <v/>
      </c>
      <c r="BK26" s="263" t="str">
        <f>'GBP Market Data'!BB27</f>
        <v/>
      </c>
      <c r="BM26" s="53" t="s">
        <v>81</v>
      </c>
      <c r="BN26" s="83" t="s">
        <v>80</v>
      </c>
      <c r="BP26" s="223" t="str">
        <f>'GBP Market Data'!BD27</f>
        <v/>
      </c>
      <c r="BQ26" s="263" t="str">
        <f>'GBP Market Data'!BH27</f>
        <v/>
      </c>
      <c r="BS26" s="53" t="s">
        <v>81</v>
      </c>
      <c r="BT26" s="83" t="s">
        <v>76</v>
      </c>
      <c r="BV26" s="223" t="str">
        <f>'GBP Market Data'!BJ27</f>
        <v/>
      </c>
      <c r="BW26" s="263" t="str">
        <f>'GBP Market Data'!BN27</f>
        <v/>
      </c>
      <c r="BY26" s="12"/>
      <c r="BZ26" s="83"/>
      <c r="CB26" s="53" t="s">
        <v>81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>'GBP Market Data'!BP27</f>
        <v/>
      </c>
      <c r="CO26" s="263" t="str">
        <f>'GBP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>'GBP Market Data'!B28</f>
        <v>40Y</v>
      </c>
      <c r="N27" s="224">
        <f>'GBP Market Data'!F28</f>
        <v>1.225E-2</v>
      </c>
      <c r="O27" s="85"/>
      <c r="P27" s="85"/>
      <c r="Q27" s="86" t="b">
        <f t="shared" si="0"/>
        <v>1</v>
      </c>
      <c r="S27" s="92"/>
      <c r="T27" s="93"/>
      <c r="Y27" s="229" t="str">
        <f>'GBP Market Data'!H28</f>
        <v/>
      </c>
      <c r="Z27" s="239" t="str">
        <f>'GBP Market Data'!L28</f>
        <v/>
      </c>
      <c r="AE27" s="229" t="str">
        <f>'GBP Market Data'!N28</f>
        <v/>
      </c>
      <c r="AF27" s="230" t="str">
        <f>'GBP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>'GBP Market Data'!AR28</f>
        <v/>
      </c>
      <c r="BA27" s="312" t="str">
        <f>'GBP Market Data'!AV28</f>
        <v/>
      </c>
      <c r="BB27" s="80" t="b">
        <f t="shared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>'GBP Market Data'!AX28</f>
        <v/>
      </c>
      <c r="BK27" s="263" t="str">
        <f>'GBP Market Data'!BB28</f>
        <v/>
      </c>
      <c r="BM27" s="53" t="s">
        <v>71</v>
      </c>
      <c r="BN27" s="83" t="s">
        <v>38</v>
      </c>
      <c r="BP27" s="223" t="str">
        <f>'GBP Market Data'!BD28</f>
        <v/>
      </c>
      <c r="BQ27" s="263" t="str">
        <f>'GBP Market Data'!BH28</f>
        <v/>
      </c>
      <c r="BS27" s="53" t="s">
        <v>71</v>
      </c>
      <c r="BT27" s="83" t="s">
        <v>38</v>
      </c>
      <c r="BV27" s="223" t="str">
        <f>'GBP Market Data'!BJ28</f>
        <v/>
      </c>
      <c r="BW27" s="263" t="str">
        <f>'GBP Market Data'!BN28</f>
        <v/>
      </c>
      <c r="BY27" s="12"/>
      <c r="BZ27" s="83"/>
      <c r="CB27" s="53" t="s">
        <v>71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>'GBP Market Data'!BP28</f>
        <v/>
      </c>
      <c r="CO27" s="263" t="str">
        <f>'GBP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>'GBP Market Data'!B29</f>
        <v>50Y</v>
      </c>
      <c r="N28" s="224">
        <f>'GBP Market Data'!F29</f>
        <v>1.1730000000000001E-2</v>
      </c>
      <c r="O28" s="85"/>
      <c r="P28" s="85"/>
      <c r="Q28" s="86" t="b">
        <f t="shared" si="0"/>
        <v>1</v>
      </c>
      <c r="S28" s="92"/>
      <c r="T28" s="93"/>
      <c r="Y28" s="229" t="str">
        <f>'GBP Market Data'!H29</f>
        <v/>
      </c>
      <c r="Z28" s="239" t="str">
        <f>'GBP Market Data'!L29</f>
        <v/>
      </c>
      <c r="AE28" s="229" t="str">
        <f>'GBP Market Data'!N29</f>
        <v/>
      </c>
      <c r="AF28" s="230" t="str">
        <f>'GBP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>'GBP Market Data'!AR29</f>
        <v/>
      </c>
      <c r="BA28" s="312" t="str">
        <f>'GBP Market Data'!AV29</f>
        <v/>
      </c>
      <c r="BB28" s="80" t="b">
        <f t="shared" si="1"/>
        <v>0</v>
      </c>
      <c r="BC28" s="6"/>
      <c r="BD28" s="12"/>
      <c r="BE28" s="83"/>
      <c r="BG28" s="53" t="s">
        <v>67</v>
      </c>
      <c r="BH28" s="16">
        <v>0</v>
      </c>
      <c r="BJ28" s="223" t="str">
        <f>'GBP Market Data'!AX29</f>
        <v/>
      </c>
      <c r="BK28" s="263" t="str">
        <f>'GBP Market Data'!BB29</f>
        <v/>
      </c>
      <c r="BM28" s="53" t="s">
        <v>67</v>
      </c>
      <c r="BN28" s="16">
        <v>0</v>
      </c>
      <c r="BP28" s="223" t="str">
        <f>'GBP Market Data'!BD29</f>
        <v/>
      </c>
      <c r="BQ28" s="263" t="str">
        <f>'GBP Market Data'!BH29</f>
        <v/>
      </c>
      <c r="BS28" s="53" t="s">
        <v>67</v>
      </c>
      <c r="BT28" s="16">
        <v>0</v>
      </c>
      <c r="BV28" s="223" t="str">
        <f>'GBP Market Data'!BJ29</f>
        <v/>
      </c>
      <c r="BW28" s="263" t="str">
        <f>'GBP Market Data'!BN29</f>
        <v/>
      </c>
      <c r="BY28" s="12"/>
      <c r="BZ28" s="83"/>
      <c r="CB28" s="53" t="s">
        <v>67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>'GBP Market Data'!BP29</f>
        <v/>
      </c>
      <c r="CO28" s="263" t="str">
        <f>'GBP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>'GBP Market Data'!B30</f>
        <v/>
      </c>
      <c r="N29" s="224" t="str">
        <f>'GBP Market Data'!F30</f>
        <v/>
      </c>
      <c r="O29" s="85"/>
      <c r="P29" s="85"/>
      <c r="Q29" s="86" t="b">
        <f t="shared" si="0"/>
        <v>0</v>
      </c>
      <c r="S29" s="92"/>
      <c r="T29" s="93"/>
      <c r="Y29" s="229" t="str">
        <f>'GBP Market Data'!H30</f>
        <v/>
      </c>
      <c r="Z29" s="239" t="str">
        <f>'GBP Market Data'!L30</f>
        <v/>
      </c>
      <c r="AE29" s="229" t="str">
        <f>'GBP Market Data'!N30</f>
        <v/>
      </c>
      <c r="AF29" s="230" t="str">
        <f>'GBP Market Data'!R30</f>
        <v/>
      </c>
      <c r="AH29" s="12"/>
      <c r="AI29" s="83"/>
      <c r="AK29" s="259" t="str">
        <f>'GBP Market Data'!T10</f>
        <v>6M</v>
      </c>
      <c r="AL29" s="260">
        <f>'GBP Market Data'!X10</f>
        <v>8.0938E-3</v>
      </c>
      <c r="AN29" s="259" t="str">
        <f>'GBP Market Data'!AF10</f>
        <v>1X7</v>
      </c>
      <c r="AO29" s="260">
        <f>'GBP Market Data'!AJ10</f>
        <v>8.3899999999999999E-3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>'GBP Market Data'!AR30</f>
        <v/>
      </c>
      <c r="BA29" s="312" t="str">
        <f>'GBP Market Data'!AV30</f>
        <v/>
      </c>
      <c r="BB29" s="80" t="b">
        <f t="shared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>'GBP Market Data'!AX30</f>
        <v/>
      </c>
      <c r="BK29" s="263" t="str">
        <f>'GBP Market Data'!BB30</f>
        <v/>
      </c>
      <c r="BM29" s="53" t="s">
        <v>65</v>
      </c>
      <c r="BN29" s="28" t="s">
        <v>189</v>
      </c>
      <c r="BP29" s="223" t="str">
        <f>'GBP Market Data'!BD30</f>
        <v/>
      </c>
      <c r="BQ29" s="263" t="str">
        <f>'GBP Market Data'!BH30</f>
        <v/>
      </c>
      <c r="BS29" s="53" t="s">
        <v>65</v>
      </c>
      <c r="BT29" s="28" t="s">
        <v>189</v>
      </c>
      <c r="BV29" s="223" t="str">
        <f>'GBP Market Data'!BJ30</f>
        <v/>
      </c>
      <c r="BW29" s="263" t="str">
        <f>'GBP Market Data'!BN30</f>
        <v/>
      </c>
      <c r="BY29" s="12"/>
      <c r="BZ29" s="83"/>
      <c r="CB29" s="53" t="s">
        <v>212</v>
      </c>
      <c r="CC29" s="28" t="s">
        <v>189</v>
      </c>
      <c r="CE29" s="53" t="s">
        <v>212</v>
      </c>
      <c r="CF29" s="28" t="s">
        <v>189</v>
      </c>
      <c r="CH29" s="53" t="s">
        <v>212</v>
      </c>
      <c r="CI29" s="28" t="s">
        <v>189</v>
      </c>
      <c r="CK29" s="53" t="s">
        <v>212</v>
      </c>
      <c r="CL29" s="28" t="s">
        <v>189</v>
      </c>
      <c r="CN29" s="223" t="str">
        <f>'GBP Market Data'!BP30</f>
        <v/>
      </c>
      <c r="CO29" s="263" t="str">
        <f>'GBP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295</v>
      </c>
      <c r="D30" s="113"/>
      <c r="E30" s="114"/>
      <c r="F30" t="s">
        <v>12</v>
      </c>
      <c r="J30" s="53" t="s">
        <v>1448</v>
      </c>
      <c r="K30" s="215" t="s">
        <v>1449</v>
      </c>
      <c r="L30" s="203"/>
      <c r="M30" s="223" t="str">
        <f>'GBP Market Data'!B31</f>
        <v/>
      </c>
      <c r="N30" s="224" t="str">
        <f>'GBP Market Data'!F31</f>
        <v/>
      </c>
      <c r="O30" s="85"/>
      <c r="P30" s="85"/>
      <c r="Q30" s="86" t="b">
        <f t="shared" si="0"/>
        <v>0</v>
      </c>
      <c r="S30" s="92"/>
      <c r="T30" s="93"/>
      <c r="Y30" s="229" t="str">
        <f>'GBP Market Data'!H31</f>
        <v/>
      </c>
      <c r="Z30" s="239" t="str">
        <f>'GBP Market Data'!L31</f>
        <v/>
      </c>
      <c r="AE30" s="229" t="str">
        <f>'GBP Market Data'!N31</f>
        <v/>
      </c>
      <c r="AF30" s="230" t="str">
        <f>'GBP Market Data'!R31</f>
        <v/>
      </c>
      <c r="AH30" s="12"/>
      <c r="AI30" s="83"/>
      <c r="AK30" s="51"/>
      <c r="AL30" s="33"/>
      <c r="AN30" s="259" t="str">
        <f>'GBP Market Data'!AF11</f>
        <v>2X8</v>
      </c>
      <c r="AO30" s="260">
        <f>'GBP Market Data'!AJ11</f>
        <v>8.6199999999999992E-3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>'GBP Market Data'!AR31</f>
        <v/>
      </c>
      <c r="BA30" s="312" t="str">
        <f>'GBP Market Data'!AV31</f>
        <v/>
      </c>
      <c r="BB30" s="80" t="b">
        <f t="shared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>'GBP Market Data'!AX31</f>
        <v/>
      </c>
      <c r="BK30" s="263" t="str">
        <f>'GBP Market Data'!BB31</f>
        <v/>
      </c>
      <c r="BM30" s="53" t="s">
        <v>62</v>
      </c>
      <c r="BN30" s="28" t="s">
        <v>61</v>
      </c>
      <c r="BP30" s="223" t="str">
        <f>'GBP Market Data'!BD31</f>
        <v/>
      </c>
      <c r="BQ30" s="263" t="str">
        <f>'GBP Market Data'!BH31</f>
        <v/>
      </c>
      <c r="BS30" s="53" t="s">
        <v>62</v>
      </c>
      <c r="BT30" s="28" t="s">
        <v>61</v>
      </c>
      <c r="BV30" s="223" t="str">
        <f>'GBP Market Data'!BJ31</f>
        <v/>
      </c>
      <c r="BW30" s="263" t="str">
        <f>'GBP Market Data'!BN31</f>
        <v/>
      </c>
      <c r="BY30" s="12"/>
      <c r="BZ30" s="83"/>
      <c r="CB30" s="53" t="s">
        <v>214</v>
      </c>
      <c r="CC30" s="28" t="s">
        <v>1032</v>
      </c>
      <c r="CE30" s="53" t="s">
        <v>214</v>
      </c>
      <c r="CF30" s="28" t="s">
        <v>1032</v>
      </c>
      <c r="CH30" s="53" t="s">
        <v>214</v>
      </c>
      <c r="CI30" s="28" t="s">
        <v>1032</v>
      </c>
      <c r="CK30" s="53" t="s">
        <v>214</v>
      </c>
      <c r="CL30" s="28" t="s">
        <v>1032</v>
      </c>
      <c r="CN30" s="223" t="str">
        <f>'GBP Market Data'!BP31</f>
        <v/>
      </c>
      <c r="CO30" s="263" t="str">
        <f>'GBP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285</v>
      </c>
      <c r="D31" s="116"/>
      <c r="E31" s="117"/>
      <c r="F31" t="s">
        <v>12</v>
      </c>
      <c r="L31" s="203"/>
      <c r="M31" s="223" t="str">
        <f>'GBP Market Data'!B32</f>
        <v/>
      </c>
      <c r="N31" s="224" t="str">
        <f>'GBP Market Data'!F32</f>
        <v/>
      </c>
      <c r="O31" s="85"/>
      <c r="P31" s="85"/>
      <c r="Q31" s="86" t="b">
        <f t="shared" si="0"/>
        <v>0</v>
      </c>
      <c r="S31" s="92"/>
      <c r="T31" s="93"/>
      <c r="Y31" s="229" t="str">
        <f>'GBP Market Data'!H32</f>
        <v/>
      </c>
      <c r="Z31" s="239" t="str">
        <f>'GBP Market Data'!L32</f>
        <v/>
      </c>
      <c r="AE31" s="229" t="str">
        <f>'GBP Market Data'!N32</f>
        <v/>
      </c>
      <c r="AF31" s="230" t="str">
        <f>'GBP Market Data'!R32</f>
        <v/>
      </c>
      <c r="AH31" s="12"/>
      <c r="AI31" s="83"/>
      <c r="AK31" s="51"/>
      <c r="AL31" s="33"/>
      <c r="AN31" s="259" t="str">
        <f>'GBP Market Data'!AF12</f>
        <v>3X9</v>
      </c>
      <c r="AO31" s="260">
        <f>'GBP Market Data'!AJ12</f>
        <v>8.9700000000000005E-3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>'GBP Market Data'!AR32</f>
        <v/>
      </c>
      <c r="BA31" s="312" t="str">
        <f>'GBP Market Data'!AV32</f>
        <v/>
      </c>
      <c r="BB31" s="80" t="b">
        <f t="shared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>'GBP Market Data'!AX32</f>
        <v/>
      </c>
      <c r="BK31" s="263" t="str">
        <f>'GBP Market Data'!BB32</f>
        <v/>
      </c>
      <c r="BM31" s="53" t="s">
        <v>58</v>
      </c>
      <c r="BN31" s="104" t="s">
        <v>20</v>
      </c>
      <c r="BP31" s="223" t="str">
        <f>'GBP Market Data'!BD32</f>
        <v/>
      </c>
      <c r="BQ31" s="263" t="str">
        <f>'GBP Market Data'!BH32</f>
        <v/>
      </c>
      <c r="BS31" s="53" t="s">
        <v>58</v>
      </c>
      <c r="BT31" s="104" t="s">
        <v>22</v>
      </c>
      <c r="BV31" s="223" t="str">
        <f>'GBP Market Data'!BJ32</f>
        <v/>
      </c>
      <c r="BW31" s="263" t="str">
        <f>'GBP Market Data'!BN32</f>
        <v/>
      </c>
      <c r="BY31" s="12"/>
      <c r="BZ31" s="83"/>
      <c r="CB31" s="53" t="s">
        <v>58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>'GBP Market Data'!BP32</f>
        <v/>
      </c>
      <c r="CO31" s="263" t="str">
        <f>'GBP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193</v>
      </c>
      <c r="D32" s="119"/>
      <c r="E32" s="120"/>
      <c r="F32" t="s">
        <v>12</v>
      </c>
      <c r="L32" s="203"/>
      <c r="M32" s="223" t="str">
        <f>'GBP Market Data'!B33</f>
        <v/>
      </c>
      <c r="N32" s="224" t="str">
        <f>'GBP Market Data'!F33</f>
        <v/>
      </c>
      <c r="O32" s="85"/>
      <c r="P32" s="85"/>
      <c r="Q32" s="86" t="b">
        <f t="shared" si="0"/>
        <v>0</v>
      </c>
      <c r="S32" s="92"/>
      <c r="T32" s="93"/>
      <c r="Y32" s="229" t="str">
        <f>'GBP Market Data'!H33</f>
        <v/>
      </c>
      <c r="Z32" s="239" t="str">
        <f>'GBP Market Data'!L33</f>
        <v/>
      </c>
      <c r="AE32" s="229" t="str">
        <f>'GBP Market Data'!N33</f>
        <v/>
      </c>
      <c r="AF32" s="230" t="str">
        <f>'GBP Market Data'!R33</f>
        <v/>
      </c>
      <c r="AH32" s="12"/>
      <c r="AI32" s="83"/>
      <c r="AK32" s="51"/>
      <c r="AL32" s="33"/>
      <c r="AM32" s="3"/>
      <c r="AN32" s="259" t="str">
        <f>'GBP Market Data'!AF13</f>
        <v>4X10</v>
      </c>
      <c r="AO32" s="260">
        <f>'GBP Market Data'!AJ13</f>
        <v>9.3299999999999998E-3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>'GBP Market Data'!AR33</f>
        <v/>
      </c>
      <c r="BA32" s="312" t="str">
        <f>'GBP Market Data'!AV33</f>
        <v/>
      </c>
      <c r="BB32" s="80" t="b">
        <f t="shared" si="1"/>
        <v>0</v>
      </c>
      <c r="BC32" s="6"/>
      <c r="BD32" s="12"/>
      <c r="BE32" s="83"/>
      <c r="BG32" s="53" t="s">
        <v>54</v>
      </c>
      <c r="BH32" s="16" t="s">
        <v>186</v>
      </c>
      <c r="BJ32" s="223" t="str">
        <f>'GBP Market Data'!AX33</f>
        <v/>
      </c>
      <c r="BK32" s="263" t="str">
        <f>'GBP Market Data'!BB33</f>
        <v/>
      </c>
      <c r="BM32" s="53" t="s">
        <v>54</v>
      </c>
      <c r="BN32" s="16" t="s">
        <v>186</v>
      </c>
      <c r="BP32" s="223" t="str">
        <f>'GBP Market Data'!BD33</f>
        <v/>
      </c>
      <c r="BQ32" s="263" t="str">
        <f>'GBP Market Data'!BH33</f>
        <v/>
      </c>
      <c r="BS32" s="53" t="s">
        <v>54</v>
      </c>
      <c r="BT32" s="16" t="s">
        <v>186</v>
      </c>
      <c r="BV32" s="223" t="str">
        <f>'GBP Market Data'!BJ33</f>
        <v/>
      </c>
      <c r="BW32" s="263" t="str">
        <f>'GBP Market Data'!BN33</f>
        <v/>
      </c>
      <c r="BY32" s="12"/>
      <c r="BZ32" s="83"/>
      <c r="CB32" s="53" t="s">
        <v>54</v>
      </c>
      <c r="CC32" s="83" t="s">
        <v>245</v>
      </c>
      <c r="CE32" s="53" t="s">
        <v>54</v>
      </c>
      <c r="CF32" s="83" t="s">
        <v>245</v>
      </c>
      <c r="CH32" s="53" t="s">
        <v>54</v>
      </c>
      <c r="CI32" s="83" t="s">
        <v>245</v>
      </c>
      <c r="CK32" s="53" t="s">
        <v>54</v>
      </c>
      <c r="CL32" s="83" t="s">
        <v>245</v>
      </c>
      <c r="CN32" s="223" t="str">
        <f>'GBP Market Data'!BP33</f>
        <v/>
      </c>
      <c r="CO32" s="263" t="str">
        <f>'GBP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286</v>
      </c>
      <c r="D33" s="119"/>
      <c r="E33" s="120"/>
      <c r="F33" t="s">
        <v>12</v>
      </c>
      <c r="L33" s="203"/>
      <c r="M33" s="223" t="str">
        <f>'GBP Market Data'!B34</f>
        <v/>
      </c>
      <c r="N33" s="224" t="str">
        <f>'GBP Market Data'!F34</f>
        <v/>
      </c>
      <c r="O33" s="85"/>
      <c r="P33" s="85"/>
      <c r="Q33" s="86" t="b">
        <f t="shared" si="0"/>
        <v>0</v>
      </c>
      <c r="S33" s="92"/>
      <c r="T33" s="93"/>
      <c r="Y33" s="229" t="str">
        <f>'GBP Market Data'!H34</f>
        <v/>
      </c>
      <c r="Z33" s="239" t="str">
        <f>'GBP Market Data'!L34</f>
        <v/>
      </c>
      <c r="AE33" s="229" t="str">
        <f>'GBP Market Data'!N34</f>
        <v/>
      </c>
      <c r="AF33" s="230" t="str">
        <f>'GBP Market Data'!R34</f>
        <v/>
      </c>
      <c r="AH33" s="12"/>
      <c r="AI33" s="83"/>
      <c r="AK33" s="51"/>
      <c r="AL33" s="33"/>
      <c r="AM33" s="3"/>
      <c r="AN33" s="259" t="str">
        <f>'GBP Market Data'!AF14</f>
        <v>5X11</v>
      </c>
      <c r="AO33" s="260">
        <f>'GBP Market Data'!AJ14</f>
        <v>9.6399999999999993E-3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>'GBP Market Data'!AR34</f>
        <v/>
      </c>
      <c r="BA33" s="312" t="str">
        <f>'GBP Market Data'!AV34</f>
        <v/>
      </c>
      <c r="BB33" s="80" t="b">
        <f t="shared" si="1"/>
        <v>0</v>
      </c>
      <c r="BC33" s="6"/>
      <c r="BD33" s="12"/>
      <c r="BE33" s="83"/>
      <c r="BG33" s="53" t="s">
        <v>49</v>
      </c>
      <c r="BH33" s="16" t="s">
        <v>185</v>
      </c>
      <c r="BJ33" s="223" t="str">
        <f>'GBP Market Data'!AX34</f>
        <v/>
      </c>
      <c r="BK33" s="263" t="str">
        <f>'GBP Market Data'!BB34</f>
        <v/>
      </c>
      <c r="BM33" s="53" t="s">
        <v>49</v>
      </c>
      <c r="BN33" s="16" t="s">
        <v>185</v>
      </c>
      <c r="BP33" s="223" t="str">
        <f>'GBP Market Data'!BD34</f>
        <v/>
      </c>
      <c r="BQ33" s="263" t="str">
        <f>'GBP Market Data'!BH34</f>
        <v/>
      </c>
      <c r="BS33" s="53" t="s">
        <v>49</v>
      </c>
      <c r="BT33" s="16" t="s">
        <v>185</v>
      </c>
      <c r="BV33" s="223" t="str">
        <f>'GBP Market Data'!BJ34</f>
        <v/>
      </c>
      <c r="BW33" s="263" t="str">
        <f>'GBP Market Data'!BN34</f>
        <v/>
      </c>
      <c r="BY33" s="12"/>
      <c r="BZ33" s="83"/>
      <c r="CB33" s="53" t="s">
        <v>49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>'GBP Market Data'!BP34</f>
        <v/>
      </c>
      <c r="CO33" s="263" t="str">
        <f>'GBP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336</v>
      </c>
      <c r="D34" s="119"/>
      <c r="E34" s="120"/>
      <c r="F34" t="s">
        <v>12</v>
      </c>
      <c r="L34" s="203"/>
      <c r="M34" s="223" t="str">
        <f>'GBP Market Data'!B35</f>
        <v/>
      </c>
      <c r="N34" s="224" t="str">
        <f>'GBP Market Data'!F35</f>
        <v/>
      </c>
      <c r="O34" s="85"/>
      <c r="P34" s="85"/>
      <c r="Q34" s="86" t="b">
        <f t="shared" si="0"/>
        <v>0</v>
      </c>
      <c r="S34" s="92"/>
      <c r="T34" s="93"/>
      <c r="Y34" s="229" t="str">
        <f>'GBP Market Data'!H35</f>
        <v/>
      </c>
      <c r="Z34" s="239" t="str">
        <f>'GBP Market Data'!L35</f>
        <v/>
      </c>
      <c r="AE34" s="229" t="str">
        <f>'GBP Market Data'!N35</f>
        <v/>
      </c>
      <c r="AF34" s="230" t="str">
        <f>'GBP Market Data'!R35</f>
        <v/>
      </c>
      <c r="AH34" s="12"/>
      <c r="AI34" s="83"/>
      <c r="AK34" s="51"/>
      <c r="AL34" s="33"/>
      <c r="AM34" s="3"/>
      <c r="AN34" s="259" t="str">
        <f>'GBP Market Data'!AF15</f>
        <v>6X12</v>
      </c>
      <c r="AO34" s="260">
        <f>'GBP Market Data'!AJ15</f>
        <v>9.8999999999999991E-3</v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>'GBP Market Data'!AR35</f>
        <v/>
      </c>
      <c r="BA34" s="312" t="str">
        <f>'GBP Market Data'!AV35</f>
        <v/>
      </c>
      <c r="BB34" s="80" t="b">
        <f t="shared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>'GBP Market Data'!AX35</f>
        <v/>
      </c>
      <c r="BK34" s="263" t="str">
        <f>'GBP Market Data'!BB35</f>
        <v/>
      </c>
      <c r="BM34" s="53" t="s">
        <v>47</v>
      </c>
      <c r="BN34" s="16" t="s">
        <v>46</v>
      </c>
      <c r="BP34" s="223" t="str">
        <f>'GBP Market Data'!BD35</f>
        <v/>
      </c>
      <c r="BQ34" s="263" t="str">
        <f>'GBP Market Data'!BH35</f>
        <v/>
      </c>
      <c r="BS34" s="53" t="s">
        <v>47</v>
      </c>
      <c r="BT34" s="16" t="s">
        <v>46</v>
      </c>
      <c r="BV34" s="223" t="str">
        <f>'GBP Market Data'!BJ35</f>
        <v/>
      </c>
      <c r="BW34" s="263" t="str">
        <f>'GBP Market Data'!BN35</f>
        <v/>
      </c>
      <c r="BY34" s="12"/>
      <c r="BZ34" s="83"/>
      <c r="CB34" s="53" t="s">
        <v>47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>'GBP Market Data'!BP35</f>
        <v/>
      </c>
      <c r="CO34" s="263" t="str">
        <f>'GBP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287</v>
      </c>
      <c r="D35" s="119"/>
      <c r="E35" s="120"/>
      <c r="F35" t="s">
        <v>12</v>
      </c>
      <c r="L35" s="203"/>
      <c r="M35" s="223" t="str">
        <f>'GBP Market Data'!B36</f>
        <v/>
      </c>
      <c r="N35" s="224" t="str">
        <f>'GBP Market Data'!F36</f>
        <v/>
      </c>
      <c r="O35" s="85"/>
      <c r="P35" s="85"/>
      <c r="Q35" s="86" t="b">
        <f t="shared" si="0"/>
        <v>0</v>
      </c>
      <c r="S35" s="92"/>
      <c r="T35" s="93"/>
      <c r="Y35" s="229" t="str">
        <f>'GBP Market Data'!H36</f>
        <v/>
      </c>
      <c r="Z35" s="239" t="str">
        <f>'GBP Market Data'!L36</f>
        <v/>
      </c>
      <c r="AE35" s="229" t="str">
        <f>'GBP Market Data'!N36</f>
        <v/>
      </c>
      <c r="AF35" s="230" t="str">
        <f>'GBP Market Data'!R36</f>
        <v/>
      </c>
      <c r="AH35" s="12"/>
      <c r="AI35" s="83"/>
      <c r="AK35" s="51"/>
      <c r="AL35" s="33"/>
      <c r="AM35" s="3"/>
      <c r="AN35" s="259" t="str">
        <f>'GBP Market Data'!AF16</f>
        <v>9X15</v>
      </c>
      <c r="AO35" s="260">
        <f>'GBP Market Data'!AJ16</f>
        <v>1.068E-2</v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>'GBP Market Data'!AR36</f>
        <v/>
      </c>
      <c r="BA35" s="312" t="str">
        <f>'GBP Market Data'!AV36</f>
        <v/>
      </c>
      <c r="BB35" s="80" t="b">
        <f t="shared" si="1"/>
        <v>0</v>
      </c>
      <c r="BC35" s="6"/>
      <c r="BD35" s="12"/>
      <c r="BE35" s="83"/>
      <c r="BG35" s="53" t="s">
        <v>45</v>
      </c>
      <c r="BH35" s="16" t="s">
        <v>185</v>
      </c>
      <c r="BJ35" s="223" t="str">
        <f>'GBP Market Data'!AX36</f>
        <v/>
      </c>
      <c r="BK35" s="263" t="str">
        <f>'GBP Market Data'!BB36</f>
        <v/>
      </c>
      <c r="BM35" s="53" t="s">
        <v>45</v>
      </c>
      <c r="BN35" s="16" t="s">
        <v>185</v>
      </c>
      <c r="BP35" s="223" t="str">
        <f>'GBP Market Data'!BD36</f>
        <v/>
      </c>
      <c r="BQ35" s="263" t="str">
        <f>'GBP Market Data'!BH36</f>
        <v/>
      </c>
      <c r="BS35" s="53" t="s">
        <v>45</v>
      </c>
      <c r="BT35" s="16" t="s">
        <v>185</v>
      </c>
      <c r="BV35" s="223" t="str">
        <f>'GBP Market Data'!BJ36</f>
        <v/>
      </c>
      <c r="BW35" s="263" t="str">
        <f>'GBP Market Data'!BN36</f>
        <v/>
      </c>
      <c r="BY35" s="12"/>
      <c r="BZ35" s="83"/>
      <c r="CB35" s="53" t="s">
        <v>45</v>
      </c>
      <c r="CC35" s="83" t="s">
        <v>185</v>
      </c>
      <c r="CE35" s="53" t="s">
        <v>45</v>
      </c>
      <c r="CF35" s="83" t="s">
        <v>185</v>
      </c>
      <c r="CH35" s="53" t="s">
        <v>45</v>
      </c>
      <c r="CI35" s="83" t="s">
        <v>185</v>
      </c>
      <c r="CK35" s="53" t="s">
        <v>45</v>
      </c>
      <c r="CL35" s="83" t="s">
        <v>185</v>
      </c>
      <c r="CN35" s="223" t="str">
        <f>'GBP Market Data'!BP36</f>
        <v/>
      </c>
      <c r="CO35" s="263" t="str">
        <f>'GBP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>'GBP Market Data'!B37</f>
        <v/>
      </c>
      <c r="N36" s="224" t="str">
        <f>'GBP Market Data'!F37</f>
        <v/>
      </c>
      <c r="O36" s="85"/>
      <c r="P36" s="85"/>
      <c r="Q36" s="86" t="b">
        <f t="shared" si="0"/>
        <v>0</v>
      </c>
      <c r="S36" s="92"/>
      <c r="T36" s="93"/>
      <c r="Y36" s="229" t="str">
        <f>'GBP Market Data'!H37</f>
        <v/>
      </c>
      <c r="Z36" s="239" t="str">
        <f>'GBP Market Data'!L37</f>
        <v/>
      </c>
      <c r="AE36" s="229" t="str">
        <f>'GBP Market Data'!N37</f>
        <v/>
      </c>
      <c r="AF36" s="230" t="str">
        <f>'GBP Market Data'!R37</f>
        <v/>
      </c>
      <c r="AH36" s="12"/>
      <c r="AI36" s="83"/>
      <c r="AK36" s="51"/>
      <c r="AL36" s="33"/>
      <c r="AM36" s="3"/>
      <c r="AN36" s="259" t="str">
        <f>'GBP Market Data'!AF17</f>
        <v>12X18</v>
      </c>
      <c r="AO36" s="260">
        <f>'GBP Market Data'!AJ17</f>
        <v>1.146E-2</v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>'GBP Market Data'!AR37</f>
        <v/>
      </c>
      <c r="BA36" s="312" t="str">
        <f>'GBP Market Data'!AV37</f>
        <v/>
      </c>
      <c r="BB36" s="80" t="b">
        <f t="shared" si="1"/>
        <v>0</v>
      </c>
      <c r="BC36" s="6"/>
      <c r="BD36" s="12"/>
      <c r="BE36" s="83"/>
      <c r="BG36" s="53" t="s">
        <v>42</v>
      </c>
      <c r="BH36" s="16">
        <v>0</v>
      </c>
      <c r="BJ36" s="223" t="str">
        <f>'GBP Market Data'!AX37</f>
        <v/>
      </c>
      <c r="BK36" s="263" t="str">
        <f>'GBP Market Data'!BB37</f>
        <v/>
      </c>
      <c r="BM36" s="53" t="s">
        <v>42</v>
      </c>
      <c r="BN36" s="16">
        <v>0</v>
      </c>
      <c r="BP36" s="223" t="str">
        <f>'GBP Market Data'!BD37</f>
        <v/>
      </c>
      <c r="BQ36" s="263" t="str">
        <f>'GBP Market Data'!BH37</f>
        <v/>
      </c>
      <c r="BS36" s="53" t="s">
        <v>42</v>
      </c>
      <c r="BT36" s="16">
        <v>0</v>
      </c>
      <c r="BV36" s="223" t="str">
        <f>'GBP Market Data'!BJ37</f>
        <v/>
      </c>
      <c r="BW36" s="263" t="str">
        <f>'GBP Market Data'!BN37</f>
        <v/>
      </c>
      <c r="BY36" s="12"/>
      <c r="BZ36" s="83"/>
      <c r="CB36" s="53" t="s">
        <v>42</v>
      </c>
      <c r="CC36" s="83">
        <v>2</v>
      </c>
      <c r="CE36" s="53" t="s">
        <v>42</v>
      </c>
      <c r="CF36" s="83">
        <v>2</v>
      </c>
      <c r="CH36" s="53" t="s">
        <v>42</v>
      </c>
      <c r="CI36" s="83">
        <v>2</v>
      </c>
      <c r="CK36" s="53" t="s">
        <v>42</v>
      </c>
      <c r="CL36" s="83">
        <v>2</v>
      </c>
      <c r="CN36" s="223" t="str">
        <f>'GBP Market Data'!BP37</f>
        <v/>
      </c>
      <c r="CO36" s="263" t="str">
        <f>'GBP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>'GBP Market Data'!B38</f>
        <v/>
      </c>
      <c r="N37" s="224" t="str">
        <f>'GBP Market Data'!F38</f>
        <v/>
      </c>
      <c r="O37" s="85"/>
      <c r="P37" s="85"/>
      <c r="Q37" s="86" t="b">
        <f t="shared" si="0"/>
        <v>0</v>
      </c>
      <c r="S37" s="92"/>
      <c r="T37" s="93"/>
      <c r="Y37" s="229" t="str">
        <f>'GBP Market Data'!H38</f>
        <v/>
      </c>
      <c r="Z37" s="239" t="str">
        <f>'GBP Market Data'!L38</f>
        <v/>
      </c>
      <c r="AE37" s="229" t="str">
        <f>'GBP Market Data'!N38</f>
        <v/>
      </c>
      <c r="AF37" s="230" t="str">
        <f>'GBP Market Data'!R38</f>
        <v/>
      </c>
      <c r="AH37" s="12"/>
      <c r="AI37" s="83"/>
      <c r="AK37" s="51"/>
      <c r="AL37" s="33"/>
      <c r="AM37" s="3"/>
      <c r="AN37" s="259" t="str">
        <f>'GBP Market Data'!AF18</f>
        <v/>
      </c>
      <c r="AO37" s="260" t="str">
        <f>'GBP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>'GBP Market Data'!AR38</f>
        <v/>
      </c>
      <c r="BA37" s="312" t="str">
        <f>'GBP Market Data'!AV38</f>
        <v/>
      </c>
      <c r="BB37" s="80" t="b">
        <f t="shared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>'GBP Market Data'!AX38</f>
        <v/>
      </c>
      <c r="BK37" s="263" t="str">
        <f>'GBP Market Data'!BB38</f>
        <v/>
      </c>
      <c r="BM37" s="53" t="s">
        <v>39</v>
      </c>
      <c r="BN37" s="16" t="s">
        <v>38</v>
      </c>
      <c r="BP37" s="223" t="str">
        <f>'GBP Market Data'!BD38</f>
        <v/>
      </c>
      <c r="BQ37" s="263" t="str">
        <f>'GBP Market Data'!BH38</f>
        <v/>
      </c>
      <c r="BS37" s="53" t="s">
        <v>39</v>
      </c>
      <c r="BT37" s="16" t="s">
        <v>38</v>
      </c>
      <c r="BV37" s="223" t="str">
        <f>'GBP Market Data'!BJ38</f>
        <v/>
      </c>
      <c r="BW37" s="263" t="str">
        <f>'GBP Market Data'!BN38</f>
        <v/>
      </c>
      <c r="BY37" s="12"/>
      <c r="BZ37" s="83"/>
      <c r="CB37" s="53" t="s">
        <v>39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>'GBP Market Data'!BP38</f>
        <v/>
      </c>
      <c r="CO37" s="263" t="str">
        <f>'GBP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>'GBP Market Data'!B39</f>
        <v/>
      </c>
      <c r="N38" s="224" t="str">
        <f>'GBP Market Data'!F39</f>
        <v/>
      </c>
      <c r="O38" s="85"/>
      <c r="P38" s="85"/>
      <c r="Q38" s="86" t="b">
        <f t="shared" si="0"/>
        <v>0</v>
      </c>
      <c r="S38" s="92"/>
      <c r="T38" s="93"/>
      <c r="Y38" s="229" t="str">
        <f>'GBP Market Data'!H39</f>
        <v/>
      </c>
      <c r="Z38" s="239" t="str">
        <f>'GBP Market Data'!L39</f>
        <v/>
      </c>
      <c r="AE38" s="229" t="str">
        <f>'GBP Market Data'!N39</f>
        <v/>
      </c>
      <c r="AF38" s="230" t="str">
        <f>'GBP Market Data'!R39</f>
        <v/>
      </c>
      <c r="AH38" s="12"/>
      <c r="AI38" s="83"/>
      <c r="AK38" s="51"/>
      <c r="AL38" s="33"/>
      <c r="AN38" s="259" t="str">
        <f>'GBP Market Data'!AF19</f>
        <v/>
      </c>
      <c r="AO38" s="260" t="str">
        <f>'GBP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>'GBP Market Data'!AR39</f>
        <v/>
      </c>
      <c r="BA38" s="312" t="str">
        <f>'GBP Market Data'!AV39</f>
        <v/>
      </c>
      <c r="BB38" s="80" t="b">
        <f t="shared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>'GBP Market Data'!AX39</f>
        <v/>
      </c>
      <c r="BK38" s="263" t="str">
        <f>'GBP Market Data'!BB39</f>
        <v/>
      </c>
      <c r="BM38" s="53" t="s">
        <v>35</v>
      </c>
      <c r="BN38" s="16" t="s">
        <v>34</v>
      </c>
      <c r="BP38" s="223" t="str">
        <f>'GBP Market Data'!BD39</f>
        <v/>
      </c>
      <c r="BQ38" s="263" t="str">
        <f>'GBP Market Data'!BH39</f>
        <v/>
      </c>
      <c r="BS38" s="53" t="s">
        <v>35</v>
      </c>
      <c r="BT38" s="16" t="s">
        <v>36</v>
      </c>
      <c r="BV38" s="223" t="str">
        <f>'GBP Market Data'!BJ39</f>
        <v/>
      </c>
      <c r="BW38" s="263" t="str">
        <f>'GBP Market Data'!BN39</f>
        <v/>
      </c>
      <c r="BY38" s="12"/>
      <c r="BZ38" s="83"/>
      <c r="CB38" s="53" t="s">
        <v>35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>'GBP Market Data'!BP39</f>
        <v/>
      </c>
      <c r="CO38" s="263" t="str">
        <f>'GBP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>'GBP Market Data'!B40</f>
        <v/>
      </c>
      <c r="N39" s="224" t="str">
        <f>'GBP Market Data'!F40</f>
        <v/>
      </c>
      <c r="O39" s="85"/>
      <c r="P39" s="85"/>
      <c r="Q39" s="86" t="b">
        <f t="shared" si="0"/>
        <v>0</v>
      </c>
      <c r="S39" s="92"/>
      <c r="T39" s="93"/>
      <c r="Y39" s="229" t="str">
        <f>'GBP Market Data'!H40</f>
        <v/>
      </c>
      <c r="Z39" s="239" t="str">
        <f>'GBP Market Data'!L40</f>
        <v/>
      </c>
      <c r="AE39" s="229" t="str">
        <f>'GBP Market Data'!N40</f>
        <v/>
      </c>
      <c r="AF39" s="230" t="str">
        <f>'GBP Market Data'!R40</f>
        <v/>
      </c>
      <c r="AH39" s="12"/>
      <c r="AI39" s="83"/>
      <c r="AK39" s="51"/>
      <c r="AL39" s="33"/>
      <c r="AN39" s="259" t="str">
        <f>'GBP Market Data'!AF20</f>
        <v/>
      </c>
      <c r="AO39" s="260" t="str">
        <f>'GBP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>'GBP Market Data'!AR40</f>
        <v/>
      </c>
      <c r="BA39" s="312" t="str">
        <f>'GBP Market Data'!AV40</f>
        <v/>
      </c>
      <c r="BB39" s="80" t="b">
        <f t="shared" si="1"/>
        <v>0</v>
      </c>
      <c r="BC39" s="6"/>
      <c r="BD39" s="12"/>
      <c r="BE39" s="83"/>
      <c r="BG39" s="53" t="s">
        <v>28</v>
      </c>
      <c r="BH39" s="16" t="s">
        <v>2261</v>
      </c>
      <c r="BJ39" s="223" t="str">
        <f>'GBP Market Data'!AX40</f>
        <v/>
      </c>
      <c r="BK39" s="263" t="str">
        <f>'GBP Market Data'!BB40</f>
        <v/>
      </c>
      <c r="BM39" s="53" t="s">
        <v>28</v>
      </c>
      <c r="BN39" s="16" t="s">
        <v>2261</v>
      </c>
      <c r="BP39" s="223" t="str">
        <f>'GBP Market Data'!BD40</f>
        <v/>
      </c>
      <c r="BQ39" s="263" t="str">
        <f>'GBP Market Data'!BH40</f>
        <v/>
      </c>
      <c r="BS39" s="53" t="s">
        <v>28</v>
      </c>
      <c r="BT39" s="16" t="s">
        <v>2261</v>
      </c>
      <c r="BV39" s="223" t="str">
        <f>'GBP Market Data'!BJ40</f>
        <v/>
      </c>
      <c r="BW39" s="263" t="str">
        <f>'GBP Market Data'!BN40</f>
        <v/>
      </c>
      <c r="BY39" s="12"/>
      <c r="BZ39" s="83"/>
      <c r="CB39" s="53" t="s">
        <v>28</v>
      </c>
      <c r="CC39" s="83" t="s">
        <v>2261</v>
      </c>
      <c r="CE39" s="53" t="s">
        <v>28</v>
      </c>
      <c r="CF39" s="83" t="s">
        <v>2261</v>
      </c>
      <c r="CH39" s="53" t="s">
        <v>28</v>
      </c>
      <c r="CI39" s="83" t="s">
        <v>2261</v>
      </c>
      <c r="CK39" s="53" t="s">
        <v>28</v>
      </c>
      <c r="CL39" s="83" t="s">
        <v>2261</v>
      </c>
      <c r="CN39" s="223" t="str">
        <f>'GBP Market Data'!BP40</f>
        <v/>
      </c>
      <c r="CO39" s="263" t="str">
        <f>'GBP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192</v>
      </c>
      <c r="D40" s="113"/>
      <c r="E40" s="114"/>
      <c r="F40" t="s">
        <v>12</v>
      </c>
      <c r="L40" s="203"/>
      <c r="M40" s="223" t="str">
        <f>'GBP Market Data'!B41</f>
        <v/>
      </c>
      <c r="N40" s="224" t="str">
        <f>'GBP Market Data'!F41</f>
        <v/>
      </c>
      <c r="O40" s="85"/>
      <c r="P40" s="85"/>
      <c r="Q40" s="86" t="b">
        <f t="shared" si="0"/>
        <v>0</v>
      </c>
      <c r="S40" s="92"/>
      <c r="T40" s="93"/>
      <c r="Y40" s="229" t="str">
        <f>'GBP Market Data'!H41</f>
        <v/>
      </c>
      <c r="Z40" s="239" t="str">
        <f>'GBP Market Data'!L41</f>
        <v/>
      </c>
      <c r="AE40" s="229" t="str">
        <f>'GBP Market Data'!N41</f>
        <v/>
      </c>
      <c r="AF40" s="230" t="str">
        <f>'GBP Market Data'!R41</f>
        <v/>
      </c>
      <c r="AH40" s="12"/>
      <c r="AI40" s="83"/>
      <c r="AK40" s="51"/>
      <c r="AL40" s="33"/>
      <c r="AN40" s="259" t="str">
        <f>'GBP Market Data'!AF21</f>
        <v/>
      </c>
      <c r="AO40" s="260" t="str">
        <f>'GBP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>'GBP Market Data'!AR41</f>
        <v/>
      </c>
      <c r="BA40" s="312" t="str">
        <f>'GBP Market Data'!AV41</f>
        <v/>
      </c>
      <c r="BB40" s="80" t="b">
        <f t="shared" si="1"/>
        <v>0</v>
      </c>
      <c r="BC40" s="6"/>
      <c r="BD40" s="12"/>
      <c r="BE40" s="83"/>
      <c r="BG40" s="53" t="s">
        <v>30</v>
      </c>
      <c r="BH40" s="16" t="b">
        <f ca="1">_xll.meUtilityCurveIsUsingForwards()</f>
        <v>1</v>
      </c>
      <c r="BJ40" s="223" t="str">
        <f>'GBP Market Data'!AX41</f>
        <v/>
      </c>
      <c r="BK40" s="263" t="str">
        <f>'GBP Market Data'!BB41</f>
        <v/>
      </c>
      <c r="BM40" s="53" t="s">
        <v>30</v>
      </c>
      <c r="BN40" s="16" t="b">
        <f ca="1">_xll.meUtilityCurveIsUsingForwards()</f>
        <v>1</v>
      </c>
      <c r="BP40" s="223" t="str">
        <f>'GBP Market Data'!BD41</f>
        <v/>
      </c>
      <c r="BQ40" s="263" t="str">
        <f>'GBP Market Data'!BH41</f>
        <v/>
      </c>
      <c r="BS40" s="53" t="s">
        <v>30</v>
      </c>
      <c r="BT40" s="16" t="b">
        <f ca="1">_xll.meUtilityCurveIsUsingForwards()</f>
        <v>1</v>
      </c>
      <c r="BV40" s="223" t="str">
        <f>'GBP Market Data'!BJ41</f>
        <v/>
      </c>
      <c r="BW40" s="263" t="str">
        <f>'GBP Market Data'!BN41</f>
        <v/>
      </c>
      <c r="BY40" s="12"/>
      <c r="BZ40" s="83"/>
      <c r="CB40" s="53" t="s">
        <v>30</v>
      </c>
      <c r="CC40" s="83" t="b">
        <v>0</v>
      </c>
      <c r="CE40" s="53" t="s">
        <v>30</v>
      </c>
      <c r="CF40" s="83" t="b">
        <v>0</v>
      </c>
      <c r="CH40" s="53" t="s">
        <v>30</v>
      </c>
      <c r="CI40" s="83" t="b">
        <v>0</v>
      </c>
      <c r="CK40" s="53" t="s">
        <v>30</v>
      </c>
      <c r="CL40" s="83" t="b">
        <v>0</v>
      </c>
      <c r="CN40" s="223" t="str">
        <f>'GBP Market Data'!BP41</f>
        <v/>
      </c>
      <c r="CO40" s="263" t="str">
        <f>'GBP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285</v>
      </c>
      <c r="D41" s="116"/>
      <c r="E41" s="117"/>
      <c r="F41" t="s">
        <v>12</v>
      </c>
      <c r="L41" s="203"/>
      <c r="M41" s="223" t="str">
        <f>'GBP Market Data'!B42</f>
        <v/>
      </c>
      <c r="N41" s="224" t="str">
        <f>'GBP Market Data'!F42</f>
        <v/>
      </c>
      <c r="O41" s="85"/>
      <c r="P41" s="85"/>
      <c r="Q41" s="86" t="b">
        <f t="shared" si="0"/>
        <v>0</v>
      </c>
      <c r="S41" s="92"/>
      <c r="T41" s="93"/>
      <c r="Y41" s="229" t="str">
        <f>'GBP Market Data'!H42</f>
        <v/>
      </c>
      <c r="Z41" s="239" t="str">
        <f>'GBP Market Data'!L42</f>
        <v/>
      </c>
      <c r="AE41" s="229" t="str">
        <f>'GBP Market Data'!N42</f>
        <v/>
      </c>
      <c r="AF41" s="230" t="str">
        <f>'GBP Market Data'!R42</f>
        <v/>
      </c>
      <c r="AH41" s="12"/>
      <c r="AI41" s="83"/>
      <c r="AK41" s="51"/>
      <c r="AL41" s="33"/>
      <c r="AN41" s="259" t="str">
        <f>'GBP Market Data'!AF22</f>
        <v/>
      </c>
      <c r="AO41" s="260" t="str">
        <f>'GBP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>'GBP Market Data'!AR42</f>
        <v/>
      </c>
      <c r="BA41" s="312" t="str">
        <f>'GBP Market Data'!AV42</f>
        <v/>
      </c>
      <c r="BB41" s="80" t="b">
        <f t="shared" si="1"/>
        <v>0</v>
      </c>
      <c r="BC41" s="6"/>
      <c r="BD41" s="12"/>
      <c r="BE41" s="83"/>
      <c r="BG41" s="53" t="s">
        <v>26</v>
      </c>
      <c r="BH41" s="16" t="b">
        <v>1</v>
      </c>
      <c r="BJ41" s="223" t="str">
        <f>'GBP Market Data'!AX42</f>
        <v/>
      </c>
      <c r="BK41" s="263" t="str">
        <f>'GBP Market Data'!BB42</f>
        <v/>
      </c>
      <c r="BM41" s="53" t="s">
        <v>26</v>
      </c>
      <c r="BN41" s="16" t="b">
        <v>1</v>
      </c>
      <c r="BP41" s="223" t="str">
        <f>'GBP Market Data'!BD42</f>
        <v/>
      </c>
      <c r="BQ41" s="263" t="str">
        <f>'GBP Market Data'!BH42</f>
        <v/>
      </c>
      <c r="BS41" s="53" t="s">
        <v>26</v>
      </c>
      <c r="BT41" s="16" t="b">
        <v>1</v>
      </c>
      <c r="BV41" s="223" t="str">
        <f>'GBP Market Data'!BJ42</f>
        <v/>
      </c>
      <c r="BW41" s="263" t="str">
        <f>'GBP Market Data'!BN42</f>
        <v/>
      </c>
      <c r="BY41" s="12"/>
      <c r="BZ41" s="83"/>
      <c r="CB41" s="53" t="s">
        <v>26</v>
      </c>
      <c r="CC41" s="83" t="b">
        <v>1</v>
      </c>
      <c r="CE41" s="53" t="s">
        <v>26</v>
      </c>
      <c r="CF41" s="83" t="b">
        <v>1</v>
      </c>
      <c r="CH41" s="53" t="s">
        <v>26</v>
      </c>
      <c r="CI41" s="83" t="b">
        <v>1</v>
      </c>
      <c r="CK41" s="53" t="s">
        <v>26</v>
      </c>
      <c r="CL41" s="83" t="b">
        <v>1</v>
      </c>
      <c r="CN41" s="223" t="str">
        <f>'GBP Market Data'!BP42</f>
        <v/>
      </c>
      <c r="CO41" s="263" t="str">
        <f>'GBP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286</v>
      </c>
      <c r="D42" s="119"/>
      <c r="E42" s="120"/>
      <c r="F42" t="s">
        <v>12</v>
      </c>
      <c r="L42" s="203"/>
      <c r="M42" s="223" t="str">
        <f>'GBP Market Data'!B43</f>
        <v/>
      </c>
      <c r="N42" s="224" t="str">
        <f>'GBP Market Data'!F43</f>
        <v/>
      </c>
      <c r="O42" s="85"/>
      <c r="P42" s="85"/>
      <c r="Q42" s="86" t="b">
        <f t="shared" si="0"/>
        <v>0</v>
      </c>
      <c r="S42" s="92"/>
      <c r="T42" s="93"/>
      <c r="Y42" s="229" t="str">
        <f>'GBP Market Data'!H43</f>
        <v/>
      </c>
      <c r="Z42" s="239" t="str">
        <f>'GBP Market Data'!L43</f>
        <v/>
      </c>
      <c r="AE42" s="229" t="str">
        <f>'GBP Market Data'!N43</f>
        <v/>
      </c>
      <c r="AF42" s="230" t="str">
        <f>'GBP Market Data'!R43</f>
        <v/>
      </c>
      <c r="AH42" s="12"/>
      <c r="AI42" s="83"/>
      <c r="AK42" s="51"/>
      <c r="AL42" s="33"/>
      <c r="AN42" s="259" t="str">
        <f>'GBP Market Data'!AF23</f>
        <v/>
      </c>
      <c r="AO42" s="260" t="str">
        <f>'GBP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>'GBP Market Data'!AR43</f>
        <v/>
      </c>
      <c r="BA42" s="312" t="str">
        <f>'GBP Market Data'!AV43</f>
        <v/>
      </c>
      <c r="BB42" s="80" t="b">
        <f t="shared" si="1"/>
        <v>0</v>
      </c>
      <c r="BC42" s="6"/>
      <c r="BD42" s="12"/>
      <c r="BE42" s="83"/>
      <c r="BG42" s="53" t="s">
        <v>32</v>
      </c>
      <c r="BH42" s="16" t="b">
        <v>1</v>
      </c>
      <c r="BJ42" s="223" t="str">
        <f>'GBP Market Data'!AX43</f>
        <v/>
      </c>
      <c r="BK42" s="263" t="str">
        <f>'GBP Market Data'!BB43</f>
        <v/>
      </c>
      <c r="BM42" s="53" t="s">
        <v>32</v>
      </c>
      <c r="BN42" s="16" t="b">
        <v>1</v>
      </c>
      <c r="BP42" s="223" t="str">
        <f>'GBP Market Data'!BD43</f>
        <v/>
      </c>
      <c r="BQ42" s="263" t="str">
        <f>'GBP Market Data'!BH43</f>
        <v/>
      </c>
      <c r="BS42" s="53" t="s">
        <v>32</v>
      </c>
      <c r="BT42" s="16" t="b">
        <v>1</v>
      </c>
      <c r="BV42" s="223" t="str">
        <f>'GBP Market Data'!BJ43</f>
        <v/>
      </c>
      <c r="BW42" s="263" t="str">
        <f>'GBP Market Data'!BN43</f>
        <v/>
      </c>
      <c r="BY42" s="12"/>
      <c r="BZ42" s="83"/>
      <c r="CB42" s="53" t="s">
        <v>32</v>
      </c>
      <c r="CC42" s="83" t="b">
        <v>1</v>
      </c>
      <c r="CE42" s="53" t="s">
        <v>32</v>
      </c>
      <c r="CF42" s="83" t="b">
        <v>1</v>
      </c>
      <c r="CH42" s="53" t="s">
        <v>32</v>
      </c>
      <c r="CI42" s="83" t="b">
        <v>1</v>
      </c>
      <c r="CK42" s="53" t="s">
        <v>32</v>
      </c>
      <c r="CL42" s="83" t="b">
        <v>1</v>
      </c>
      <c r="CN42" s="223" t="str">
        <f>'GBP Market Data'!BP43</f>
        <v/>
      </c>
      <c r="CO42" s="263" t="str">
        <f>'GBP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336</v>
      </c>
      <c r="D43" s="119"/>
      <c r="E43" s="120"/>
      <c r="F43" t="s">
        <v>12</v>
      </c>
      <c r="L43" s="203"/>
      <c r="M43" s="223" t="str">
        <f>'GBP Market Data'!B44</f>
        <v/>
      </c>
      <c r="N43" s="224" t="str">
        <f>'GBP Market Data'!F44</f>
        <v/>
      </c>
      <c r="O43" s="85"/>
      <c r="P43" s="85"/>
      <c r="Q43" s="86" t="b">
        <f t="shared" si="0"/>
        <v>0</v>
      </c>
      <c r="S43" s="92"/>
      <c r="T43" s="93"/>
      <c r="Y43" s="229" t="str">
        <f>'GBP Market Data'!H44</f>
        <v/>
      </c>
      <c r="Z43" s="239" t="str">
        <f>'GBP Market Data'!L44</f>
        <v/>
      </c>
      <c r="AE43" s="229" t="str">
        <f>'GBP Market Data'!N44</f>
        <v/>
      </c>
      <c r="AF43" s="230" t="str">
        <f>'GBP Market Data'!R44</f>
        <v/>
      </c>
      <c r="AH43" s="12"/>
      <c r="AI43" s="83"/>
      <c r="AK43" s="51"/>
      <c r="AL43" s="33"/>
      <c r="AN43" s="259" t="str">
        <f>'GBP Market Data'!AF24</f>
        <v/>
      </c>
      <c r="AO43" s="260" t="str">
        <f>'GBP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>'GBP Market Data'!AR44</f>
        <v/>
      </c>
      <c r="BA43" s="312" t="str">
        <f>'GBP Market Data'!AV44</f>
        <v/>
      </c>
      <c r="BB43" s="80" t="b">
        <f t="shared" si="1"/>
        <v>0</v>
      </c>
      <c r="BC43" s="6"/>
      <c r="BD43" s="12"/>
      <c r="BE43" s="83"/>
      <c r="BG43" s="53" t="s">
        <v>24</v>
      </c>
      <c r="BH43" s="16" t="b">
        <v>0</v>
      </c>
      <c r="BJ43" s="223" t="str">
        <f>'GBP Market Data'!AX44</f>
        <v/>
      </c>
      <c r="BK43" s="263" t="str">
        <f>'GBP Market Data'!BB44</f>
        <v/>
      </c>
      <c r="BM43" s="53" t="s">
        <v>24</v>
      </c>
      <c r="BN43" s="16" t="b">
        <v>0</v>
      </c>
      <c r="BP43" s="223" t="str">
        <f>'GBP Market Data'!BD44</f>
        <v/>
      </c>
      <c r="BQ43" s="263" t="str">
        <f>'GBP Market Data'!BH44</f>
        <v/>
      </c>
      <c r="BS43" s="53" t="s">
        <v>24</v>
      </c>
      <c r="BT43" s="16" t="b">
        <v>0</v>
      </c>
      <c r="BV43" s="223" t="str">
        <f>'GBP Market Data'!BJ44</f>
        <v/>
      </c>
      <c r="BW43" s="263" t="str">
        <f>'GBP Market Data'!BN44</f>
        <v/>
      </c>
      <c r="BY43" s="12"/>
      <c r="BZ43" s="83"/>
      <c r="CB43" s="53" t="s">
        <v>24</v>
      </c>
      <c r="CC43" s="83" t="b">
        <v>0</v>
      </c>
      <c r="CE43" s="53" t="s">
        <v>24</v>
      </c>
      <c r="CF43" s="83" t="b">
        <v>0</v>
      </c>
      <c r="CH43" s="53" t="s">
        <v>24</v>
      </c>
      <c r="CI43" s="83" t="b">
        <v>0</v>
      </c>
      <c r="CK43" s="53" t="s">
        <v>24</v>
      </c>
      <c r="CL43" s="83" t="b">
        <v>0</v>
      </c>
      <c r="CN43" s="223" t="str">
        <f>'GBP Market Data'!BP44</f>
        <v/>
      </c>
      <c r="CO43" s="263" t="str">
        <f>'GBP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287</v>
      </c>
      <c r="D44" s="119"/>
      <c r="E44" s="120"/>
      <c r="F44" t="s">
        <v>12</v>
      </c>
      <c r="L44" s="203"/>
      <c r="M44" s="223" t="str">
        <f>'GBP Market Data'!B45</f>
        <v/>
      </c>
      <c r="N44" s="224" t="str">
        <f>'GBP Market Data'!F45</f>
        <v/>
      </c>
      <c r="O44" s="85"/>
      <c r="P44" s="85"/>
      <c r="Q44" s="86" t="b">
        <f t="shared" si="0"/>
        <v>0</v>
      </c>
      <c r="S44" s="92"/>
      <c r="T44" s="93"/>
      <c r="Y44" s="229" t="str">
        <f>'GBP Market Data'!H45</f>
        <v/>
      </c>
      <c r="Z44" s="239" t="str">
        <f>'GBP Market Data'!L45</f>
        <v/>
      </c>
      <c r="AE44" s="229" t="str">
        <f>'GBP Market Data'!N45</f>
        <v/>
      </c>
      <c r="AF44" s="230" t="str">
        <f>'GBP Market Data'!R45</f>
        <v/>
      </c>
      <c r="AH44" s="12"/>
      <c r="AI44" s="83"/>
      <c r="AK44" s="51"/>
      <c r="AL44" s="33"/>
      <c r="AN44" s="259" t="str">
        <f>'GBP Market Data'!AF25</f>
        <v/>
      </c>
      <c r="AO44" s="260" t="str">
        <f>'GBP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>'GBP Market Data'!AR45</f>
        <v/>
      </c>
      <c r="BA44" s="312" t="str">
        <f>'GBP Market Data'!AV45</f>
        <v/>
      </c>
      <c r="BB44" s="80" t="b">
        <f t="shared" si="1"/>
        <v>0</v>
      </c>
      <c r="BC44" s="6"/>
      <c r="BD44" s="12"/>
      <c r="BE44" s="83"/>
      <c r="BG44" s="76" t="s">
        <v>100</v>
      </c>
      <c r="BH44" s="19" t="b">
        <v>1</v>
      </c>
      <c r="BJ44" s="223" t="str">
        <f>'GBP Market Data'!AX45</f>
        <v/>
      </c>
      <c r="BK44" s="263" t="str">
        <f>'GBP Market Data'!BB45</f>
        <v/>
      </c>
      <c r="BM44" s="76" t="s">
        <v>100</v>
      </c>
      <c r="BN44" s="19" t="b">
        <v>1</v>
      </c>
      <c r="BP44" s="223" t="str">
        <f>'GBP Market Data'!BD45</f>
        <v/>
      </c>
      <c r="BQ44" s="263" t="str">
        <f>'GBP Market Data'!BH45</f>
        <v/>
      </c>
      <c r="BS44" s="76" t="s">
        <v>100</v>
      </c>
      <c r="BT44" s="19" t="b">
        <v>1</v>
      </c>
      <c r="BV44" s="223" t="str">
        <f>'GBP Market Data'!BJ45</f>
        <v/>
      </c>
      <c r="BW44" s="263" t="str">
        <f>'GBP Market Data'!BN45</f>
        <v/>
      </c>
      <c r="BY44" s="12"/>
      <c r="BZ44" s="83"/>
      <c r="CB44" s="53" t="s">
        <v>100</v>
      </c>
      <c r="CC44" s="83" t="b">
        <v>1</v>
      </c>
      <c r="CE44" s="53" t="s">
        <v>100</v>
      </c>
      <c r="CF44" s="83" t="b">
        <v>1</v>
      </c>
      <c r="CH44" s="53" t="s">
        <v>100</v>
      </c>
      <c r="CI44" s="83" t="b">
        <v>1</v>
      </c>
      <c r="CK44" s="53" t="s">
        <v>100</v>
      </c>
      <c r="CL44" s="83" t="b">
        <v>1</v>
      </c>
      <c r="CN44" s="223" t="str">
        <f>'GBP Market Data'!BP45</f>
        <v/>
      </c>
      <c r="CO44" s="263" t="str">
        <f>'GBP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294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>'GBP Market Data'!B46</f>
        <v/>
      </c>
      <c r="N45" s="224" t="str">
        <f>'GBP Market Data'!F46</f>
        <v/>
      </c>
      <c r="O45" s="85"/>
      <c r="P45" s="85"/>
      <c r="Q45" s="86" t="b">
        <f t="shared" si="0"/>
        <v>0</v>
      </c>
      <c r="S45" s="92"/>
      <c r="T45" s="93"/>
      <c r="Y45" s="229" t="str">
        <f>'GBP Market Data'!H46</f>
        <v/>
      </c>
      <c r="Z45" s="239" t="str">
        <f>'GBP Market Data'!L46</f>
        <v/>
      </c>
      <c r="AE45" s="229" t="str">
        <f>'GBP Market Data'!N46</f>
        <v/>
      </c>
      <c r="AF45" s="230" t="str">
        <f>'GBP Market Data'!R46</f>
        <v/>
      </c>
      <c r="AH45" s="12"/>
      <c r="AI45" s="83"/>
      <c r="AK45" s="51"/>
      <c r="AL45" s="33"/>
      <c r="AN45" s="259" t="str">
        <f>'GBP Market Data'!AF26</f>
        <v/>
      </c>
      <c r="AO45" s="260" t="str">
        <f>'GBP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>'GBP Market Data'!AR46</f>
        <v/>
      </c>
      <c r="BA45" s="312" t="str">
        <f>'GBP Market Data'!AV46</f>
        <v/>
      </c>
      <c r="BB45" s="80" t="b">
        <f t="shared" si="1"/>
        <v>0</v>
      </c>
      <c r="BC45" s="6"/>
      <c r="BD45" s="12"/>
      <c r="BE45" s="83"/>
      <c r="BG45" s="53" t="s">
        <v>18</v>
      </c>
      <c r="BH45" s="16">
        <v>31</v>
      </c>
      <c r="BJ45" s="223" t="str">
        <f>'GBP Market Data'!AX46</f>
        <v/>
      </c>
      <c r="BK45" s="263" t="str">
        <f>'GBP Market Data'!BB46</f>
        <v/>
      </c>
      <c r="BM45" s="53" t="s">
        <v>18</v>
      </c>
      <c r="BN45" s="16">
        <v>31</v>
      </c>
      <c r="BP45" s="223" t="str">
        <f>'GBP Market Data'!BD46</f>
        <v/>
      </c>
      <c r="BQ45" s="263" t="str">
        <f>'GBP Market Data'!BH46</f>
        <v/>
      </c>
      <c r="BS45" s="53" t="s">
        <v>18</v>
      </c>
      <c r="BT45" s="16">
        <v>31</v>
      </c>
      <c r="BV45" s="223" t="str">
        <f>'GBP Market Data'!BJ46</f>
        <v/>
      </c>
      <c r="BW45" s="263" t="str">
        <f>'GBP Market Data'!BN46</f>
        <v/>
      </c>
      <c r="BY45" s="12"/>
      <c r="BZ45" s="83"/>
      <c r="CB45" s="53" t="s">
        <v>18</v>
      </c>
      <c r="CC45" s="83">
        <v>31</v>
      </c>
      <c r="CE45" s="53" t="s">
        <v>18</v>
      </c>
      <c r="CF45" s="83">
        <v>31</v>
      </c>
      <c r="CH45" s="53" t="s">
        <v>18</v>
      </c>
      <c r="CI45" s="83">
        <v>31</v>
      </c>
      <c r="CK45" s="53" t="s">
        <v>18</v>
      </c>
      <c r="CL45" s="83">
        <v>31</v>
      </c>
      <c r="CN45" s="223" t="str">
        <f>'GBP Market Data'!BP46</f>
        <v/>
      </c>
      <c r="CO45" s="263" t="str">
        <f>'GBP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>'GBP Market Data'!B47</f>
        <v/>
      </c>
      <c r="N46" s="224" t="str">
        <f>'GBP Market Data'!F47</f>
        <v/>
      </c>
      <c r="O46" s="85"/>
      <c r="P46" s="85"/>
      <c r="Q46" s="86" t="b">
        <f t="shared" si="0"/>
        <v>0</v>
      </c>
      <c r="S46" s="92"/>
      <c r="T46" s="93"/>
      <c r="Y46" s="229" t="str">
        <f>'GBP Market Data'!H47</f>
        <v/>
      </c>
      <c r="Z46" s="239" t="str">
        <f>'GBP Market Data'!L47</f>
        <v/>
      </c>
      <c r="AE46" s="229" t="str">
        <f>'GBP Market Data'!N47</f>
        <v/>
      </c>
      <c r="AF46" s="230" t="str">
        <f>'GBP Market Data'!R47</f>
        <v/>
      </c>
      <c r="AH46" s="12"/>
      <c r="AI46" s="83"/>
      <c r="AK46" s="51"/>
      <c r="AL46" s="33"/>
      <c r="AN46" s="259" t="str">
        <f>'GBP Market Data'!AF27</f>
        <v/>
      </c>
      <c r="AO46" s="260" t="str">
        <f>'GBP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>'GBP Market Data'!AR47</f>
        <v/>
      </c>
      <c r="BA46" s="312" t="str">
        <f>'GBP Market Data'!AV47</f>
        <v/>
      </c>
      <c r="BB46" s="80" t="b">
        <f t="shared" si="1"/>
        <v>0</v>
      </c>
      <c r="BC46" s="6"/>
      <c r="BD46" s="12"/>
      <c r="BE46" s="83"/>
      <c r="BG46" s="53" t="s">
        <v>21</v>
      </c>
      <c r="BH46" s="16" t="s">
        <v>51</v>
      </c>
      <c r="BJ46" s="223" t="str">
        <f>'GBP Market Data'!AX47</f>
        <v/>
      </c>
      <c r="BK46" s="263" t="str">
        <f>'GBP Market Data'!BB47</f>
        <v/>
      </c>
      <c r="BM46" s="53" t="s">
        <v>21</v>
      </c>
      <c r="BN46" s="16" t="s">
        <v>20</v>
      </c>
      <c r="BP46" s="223" t="str">
        <f>'GBP Market Data'!BD47</f>
        <v/>
      </c>
      <c r="BQ46" s="263" t="str">
        <f>'GBP Market Data'!BH47</f>
        <v/>
      </c>
      <c r="BS46" s="53" t="s">
        <v>21</v>
      </c>
      <c r="BT46" s="16" t="s">
        <v>250</v>
      </c>
      <c r="BV46" s="223" t="str">
        <f>'GBP Market Data'!BJ47</f>
        <v/>
      </c>
      <c r="BW46" s="263" t="str">
        <f>'GBP Market Data'!BN47</f>
        <v/>
      </c>
      <c r="BY46" s="12"/>
      <c r="BZ46" s="83"/>
      <c r="CB46" s="53" t="s">
        <v>21</v>
      </c>
      <c r="CC46" s="83" t="s">
        <v>51</v>
      </c>
      <c r="CE46" s="53" t="s">
        <v>21</v>
      </c>
      <c r="CF46" s="83" t="s">
        <v>51</v>
      </c>
      <c r="CH46" s="53" t="s">
        <v>21</v>
      </c>
      <c r="CI46" s="83" t="s">
        <v>51</v>
      </c>
      <c r="CK46" s="53" t="s">
        <v>21</v>
      </c>
      <c r="CL46" s="83" t="s">
        <v>51</v>
      </c>
      <c r="CN46" s="223" t="str">
        <f>'GBP Market Data'!BP47</f>
        <v/>
      </c>
      <c r="CO46" s="263" t="str">
        <f>'GBP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>'GBP Market Data'!B48</f>
        <v/>
      </c>
      <c r="N47" s="224" t="str">
        <f>'GBP Market Data'!F48</f>
        <v/>
      </c>
      <c r="O47" s="85"/>
      <c r="P47" s="85"/>
      <c r="Q47" s="86" t="b">
        <f t="shared" si="0"/>
        <v>0</v>
      </c>
      <c r="S47" s="92"/>
      <c r="T47" s="93"/>
      <c r="Y47" s="229" t="str">
        <f>'GBP Market Data'!H48</f>
        <v/>
      </c>
      <c r="Z47" s="239" t="str">
        <f>'GBP Market Data'!L48</f>
        <v/>
      </c>
      <c r="AE47" s="229" t="str">
        <f>'GBP Market Data'!N48</f>
        <v/>
      </c>
      <c r="AF47" s="230" t="str">
        <f>'GBP Market Data'!R48</f>
        <v/>
      </c>
      <c r="AH47" s="12"/>
      <c r="AI47" s="83"/>
      <c r="AK47" s="51"/>
      <c r="AL47" s="33"/>
      <c r="AN47" s="259" t="str">
        <f>'GBP Market Data'!AF28</f>
        <v/>
      </c>
      <c r="AO47" s="260" t="str">
        <f>'GBP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>'GBP Market Data'!AR48</f>
        <v/>
      </c>
      <c r="BA47" s="312" t="str">
        <f>'GBP Market Data'!AV48</f>
        <v/>
      </c>
      <c r="BB47" s="80" t="b">
        <f t="shared" si="1"/>
        <v>0</v>
      </c>
      <c r="BC47" s="6"/>
      <c r="BD47" s="12"/>
      <c r="BE47" s="83"/>
      <c r="BG47" s="53"/>
      <c r="BH47" s="16"/>
      <c r="BJ47" s="223" t="str">
        <f>'GBP Market Data'!AX48</f>
        <v/>
      </c>
      <c r="BK47" s="263" t="str">
        <f>'GBP Market Data'!BB48</f>
        <v/>
      </c>
      <c r="BM47" s="53"/>
      <c r="BN47" s="16"/>
      <c r="BP47" s="223" t="str">
        <f>'GBP Market Data'!BD48</f>
        <v/>
      </c>
      <c r="BQ47" s="263" t="str">
        <f>'GBP Market Data'!BH48</f>
        <v/>
      </c>
      <c r="BS47" s="53"/>
      <c r="BT47" s="16"/>
      <c r="BV47" s="223" t="str">
        <f>'GBP Market Data'!BJ48</f>
        <v/>
      </c>
      <c r="BW47" s="263" t="str">
        <f>'GBP Market Data'!BN48</f>
        <v/>
      </c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>'GBP Market Data'!BP48</f>
        <v/>
      </c>
      <c r="CO47" s="263" t="str">
        <f>'GBP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>'GBP Market Data'!B49</f>
        <v/>
      </c>
      <c r="N48" s="224" t="str">
        <f>'GBP Market Data'!F49</f>
        <v/>
      </c>
      <c r="O48" s="85"/>
      <c r="P48" s="85"/>
      <c r="Q48" s="86" t="b">
        <f t="shared" si="0"/>
        <v>0</v>
      </c>
      <c r="S48" s="92"/>
      <c r="T48" s="93"/>
      <c r="Y48" s="229" t="str">
        <f>'GBP Market Data'!H49</f>
        <v/>
      </c>
      <c r="Z48" s="239" t="str">
        <f>'GBP Market Data'!L49</f>
        <v/>
      </c>
      <c r="AE48" s="229" t="str">
        <f>'GBP Market Data'!N49</f>
        <v/>
      </c>
      <c r="AF48" s="230" t="str">
        <f>'GBP Market Data'!R49</f>
        <v/>
      </c>
      <c r="AH48" s="12"/>
      <c r="AI48" s="83"/>
      <c r="AK48" s="51"/>
      <c r="AL48" s="33"/>
      <c r="AN48" s="259" t="str">
        <f>'GBP Market Data'!AF29</f>
        <v/>
      </c>
      <c r="AO48" s="260" t="str">
        <f>'GBP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>'GBP Market Data'!AR49</f>
        <v/>
      </c>
      <c r="BA48" s="312" t="str">
        <f>'GBP Market Data'!AV49</f>
        <v/>
      </c>
      <c r="BB48" s="80" t="b">
        <f t="shared" si="1"/>
        <v>0</v>
      </c>
      <c r="BC48" s="6"/>
      <c r="BD48" s="12"/>
      <c r="BE48" s="83"/>
      <c r="BG48" s="53"/>
      <c r="BH48" s="16"/>
      <c r="BJ48" s="223" t="str">
        <f>'GBP Market Data'!AX49</f>
        <v/>
      </c>
      <c r="BK48" s="263" t="str">
        <f>'GBP Market Data'!BB49</f>
        <v/>
      </c>
      <c r="BM48" s="53"/>
      <c r="BN48" s="16"/>
      <c r="BP48" s="223" t="str">
        <f>'GBP Market Data'!BD49</f>
        <v/>
      </c>
      <c r="BQ48" s="263" t="str">
        <f>'GBP Market Data'!BH49</f>
        <v/>
      </c>
      <c r="BS48" s="53"/>
      <c r="BT48" s="16"/>
      <c r="BV48" s="223" t="str">
        <f>'GBP Market Data'!BJ49</f>
        <v/>
      </c>
      <c r="BW48" s="263" t="str">
        <f>'GBP Market Data'!BN49</f>
        <v/>
      </c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>'GBP Market Data'!BP49</f>
        <v/>
      </c>
      <c r="CO48" s="263" t="str">
        <f>'GBP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313</v>
      </c>
      <c r="C49" s="9"/>
      <c r="L49" s="203"/>
      <c r="M49" s="223" t="str">
        <f>'GBP Market Data'!B50</f>
        <v/>
      </c>
      <c r="N49" s="224" t="str">
        <f>'GBP Market Data'!F50</f>
        <v/>
      </c>
      <c r="O49" s="85"/>
      <c r="P49" s="85"/>
      <c r="Q49" s="86" t="b">
        <f t="shared" si="0"/>
        <v>0</v>
      </c>
      <c r="S49" s="92"/>
      <c r="T49" s="93"/>
      <c r="Y49" s="229" t="str">
        <f>'GBP Market Data'!H50</f>
        <v/>
      </c>
      <c r="Z49" s="239" t="str">
        <f>'GBP Market Data'!L50</f>
        <v/>
      </c>
      <c r="AE49" s="229" t="str">
        <f>'GBP Market Data'!N50</f>
        <v/>
      </c>
      <c r="AF49" s="230" t="str">
        <f>'GBP Market Data'!R50</f>
        <v/>
      </c>
      <c r="AH49" s="12"/>
      <c r="AI49" s="83"/>
      <c r="AK49" s="51"/>
      <c r="AL49" s="33"/>
      <c r="AN49" s="259" t="str">
        <f>'GBP Market Data'!AF30</f>
        <v/>
      </c>
      <c r="AO49" s="260" t="str">
        <f>'GBP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>'GBP Market Data'!AR50</f>
        <v/>
      </c>
      <c r="BA49" s="312" t="str">
        <f>'GBP Market Data'!AV50</f>
        <v/>
      </c>
      <c r="BB49" s="80" t="b">
        <f t="shared" si="1"/>
        <v>0</v>
      </c>
      <c r="BC49" s="6"/>
      <c r="BD49" s="12"/>
      <c r="BE49" s="83"/>
      <c r="BG49" s="53"/>
      <c r="BH49" s="16"/>
      <c r="BJ49" s="223" t="str">
        <f>'GBP Market Data'!AX50</f>
        <v/>
      </c>
      <c r="BK49" s="263" t="str">
        <f>'GBP Market Data'!BB50</f>
        <v/>
      </c>
      <c r="BM49" s="53"/>
      <c r="BN49" s="16"/>
      <c r="BP49" s="223" t="str">
        <f>'GBP Market Data'!BD50</f>
        <v/>
      </c>
      <c r="BQ49" s="263" t="str">
        <f>'GBP Market Data'!BH50</f>
        <v/>
      </c>
      <c r="BS49" s="53"/>
      <c r="BT49" s="16"/>
      <c r="BV49" s="223" t="str">
        <f>'GBP Market Data'!BJ50</f>
        <v/>
      </c>
      <c r="BW49" s="263" t="str">
        <f>'GBP Market Data'!BN50</f>
        <v/>
      </c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>'GBP Market Data'!BP50</f>
        <v/>
      </c>
      <c r="CO49" s="263" t="str">
        <f>'GBP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192</v>
      </c>
      <c r="D50" s="113"/>
      <c r="E50" s="114"/>
      <c r="L50" s="203"/>
      <c r="M50" s="223" t="str">
        <f>'GBP Market Data'!B51</f>
        <v/>
      </c>
      <c r="N50" s="224" t="str">
        <f>'GBP Market Data'!F51</f>
        <v/>
      </c>
      <c r="O50" s="85"/>
      <c r="P50" s="85"/>
      <c r="Q50" s="86" t="b">
        <f t="shared" si="0"/>
        <v>0</v>
      </c>
      <c r="S50" s="92"/>
      <c r="T50" s="93"/>
      <c r="Y50" s="229" t="str">
        <f>'GBP Market Data'!H51</f>
        <v/>
      </c>
      <c r="Z50" s="239" t="str">
        <f>'GBP Market Data'!L51</f>
        <v/>
      </c>
      <c r="AE50" s="229" t="str">
        <f>'GBP Market Data'!N51</f>
        <v/>
      </c>
      <c r="AF50" s="230" t="str">
        <f>'GBP Market Data'!R51</f>
        <v/>
      </c>
      <c r="AH50" s="12"/>
      <c r="AI50" s="83"/>
      <c r="AK50" s="51"/>
      <c r="AL50" s="33"/>
      <c r="AN50" s="259" t="str">
        <f>'GBP Market Data'!AF31</f>
        <v/>
      </c>
      <c r="AO50" s="260" t="str">
        <f>'GBP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>'GBP Market Data'!AR51</f>
        <v/>
      </c>
      <c r="BA50" s="312" t="str">
        <f>'GBP Market Data'!AV51</f>
        <v/>
      </c>
      <c r="BB50" s="80" t="b">
        <f t="shared" si="1"/>
        <v>0</v>
      </c>
      <c r="BC50" s="6"/>
      <c r="BD50" s="12"/>
      <c r="BE50" s="83"/>
      <c r="BG50" s="53"/>
      <c r="BH50" s="16"/>
      <c r="BJ50" s="223" t="str">
        <f>'GBP Market Data'!AX51</f>
        <v/>
      </c>
      <c r="BK50" s="263" t="str">
        <f>'GBP Market Data'!BB51</f>
        <v/>
      </c>
      <c r="BM50" s="53"/>
      <c r="BN50" s="16"/>
      <c r="BP50" s="223" t="str">
        <f>'GBP Market Data'!BD51</f>
        <v/>
      </c>
      <c r="BQ50" s="263" t="str">
        <f>'GBP Market Data'!BH51</f>
        <v/>
      </c>
      <c r="BS50" s="53"/>
      <c r="BT50" s="16"/>
      <c r="BV50" s="223" t="str">
        <f>'GBP Market Data'!BJ51</f>
        <v/>
      </c>
      <c r="BW50" s="263" t="str">
        <f>'GBP Market Data'!BN51</f>
        <v/>
      </c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>'GBP Market Data'!BP51</f>
        <v/>
      </c>
      <c r="CO50" s="263" t="str">
        <f>'GBP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285</v>
      </c>
      <c r="D51" s="116"/>
      <c r="E51" s="117"/>
      <c r="L51" s="203"/>
      <c r="M51" s="223" t="str">
        <f>'GBP Market Data'!B52</f>
        <v/>
      </c>
      <c r="N51" s="224" t="str">
        <f>'GBP Market Data'!F52</f>
        <v/>
      </c>
      <c r="O51" s="85"/>
      <c r="P51" s="85"/>
      <c r="Q51" s="86" t="b">
        <f t="shared" si="0"/>
        <v>0</v>
      </c>
      <c r="S51" s="92"/>
      <c r="T51" s="93"/>
      <c r="Y51" s="229" t="str">
        <f>'GBP Market Data'!H52</f>
        <v/>
      </c>
      <c r="Z51" s="239" t="str">
        <f>'GBP Market Data'!L52</f>
        <v/>
      </c>
      <c r="AE51" s="229" t="str">
        <f>'GBP Market Data'!N52</f>
        <v/>
      </c>
      <c r="AF51" s="230" t="str">
        <f>'GBP Market Data'!R52</f>
        <v/>
      </c>
      <c r="AH51" s="12"/>
      <c r="AI51" s="83"/>
      <c r="AK51" s="51"/>
      <c r="AL51" s="33"/>
      <c r="AN51" s="259" t="str">
        <f>'GBP Market Data'!AF32</f>
        <v/>
      </c>
      <c r="AO51" s="260" t="str">
        <f>'GBP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>'GBP Market Data'!AR52</f>
        <v/>
      </c>
      <c r="BA51" s="312" t="str">
        <f>'GBP Market Data'!AV52</f>
        <v/>
      </c>
      <c r="BB51" s="80" t="b">
        <f t="shared" si="1"/>
        <v>0</v>
      </c>
      <c r="BC51" s="6"/>
      <c r="BD51" s="12"/>
      <c r="BE51" s="83"/>
      <c r="BG51" s="53"/>
      <c r="BH51" s="16"/>
      <c r="BJ51" s="223" t="str">
        <f>'GBP Market Data'!AX52</f>
        <v/>
      </c>
      <c r="BK51" s="263" t="str">
        <f>'GBP Market Data'!BB52</f>
        <v/>
      </c>
      <c r="BM51" s="53"/>
      <c r="BN51" s="16"/>
      <c r="BP51" s="223" t="str">
        <f>'GBP Market Data'!BD52</f>
        <v/>
      </c>
      <c r="BQ51" s="263" t="str">
        <f>'GBP Market Data'!BH52</f>
        <v/>
      </c>
      <c r="BS51" s="53"/>
      <c r="BT51" s="16"/>
      <c r="BV51" s="223" t="str">
        <f>'GBP Market Data'!BJ52</f>
        <v/>
      </c>
      <c r="BW51" s="263" t="str">
        <f>'GBP Market Data'!BN52</f>
        <v/>
      </c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>'GBP Market Data'!BP52</f>
        <v/>
      </c>
      <c r="CO51" s="263" t="str">
        <f>'GBP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286</v>
      </c>
      <c r="D52" s="119"/>
      <c r="E52" s="120"/>
      <c r="L52" s="203"/>
      <c r="M52" s="223" t="str">
        <f>'GBP Market Data'!B53</f>
        <v/>
      </c>
      <c r="N52" s="224" t="str">
        <f>'GBP Market Data'!F53</f>
        <v/>
      </c>
      <c r="O52" s="85"/>
      <c r="P52" s="85"/>
      <c r="Q52" s="86" t="b">
        <f t="shared" si="0"/>
        <v>0</v>
      </c>
      <c r="S52" s="92"/>
      <c r="T52" s="93"/>
      <c r="Y52" s="229" t="str">
        <f>'GBP Market Data'!H53</f>
        <v/>
      </c>
      <c r="Z52" s="239" t="str">
        <f>'GBP Market Data'!L53</f>
        <v/>
      </c>
      <c r="AE52" s="229" t="str">
        <f>'GBP Market Data'!N53</f>
        <v/>
      </c>
      <c r="AF52" s="230" t="str">
        <f>'GBP Market Data'!R53</f>
        <v/>
      </c>
      <c r="AH52" s="12"/>
      <c r="AI52" s="83"/>
      <c r="AK52" s="51"/>
      <c r="AL52" s="33"/>
      <c r="AN52" s="259" t="str">
        <f>'GBP Market Data'!AF33</f>
        <v/>
      </c>
      <c r="AO52" s="260" t="str">
        <f>'GBP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>'GBP Market Data'!AR53</f>
        <v/>
      </c>
      <c r="BA52" s="312" t="str">
        <f>'GBP Market Data'!AV53</f>
        <v/>
      </c>
      <c r="BB52" s="80" t="b">
        <f t="shared" si="1"/>
        <v>0</v>
      </c>
      <c r="BC52" s="6"/>
      <c r="BD52" s="12"/>
      <c r="BE52" s="83"/>
      <c r="BG52" s="53"/>
      <c r="BH52" s="16"/>
      <c r="BJ52" s="223" t="str">
        <f>'GBP Market Data'!AX53</f>
        <v/>
      </c>
      <c r="BK52" s="263" t="str">
        <f>'GBP Market Data'!BB53</f>
        <v/>
      </c>
      <c r="BM52" s="53"/>
      <c r="BN52" s="16"/>
      <c r="BP52" s="223" t="str">
        <f>'GBP Market Data'!BD53</f>
        <v/>
      </c>
      <c r="BQ52" s="263" t="str">
        <f>'GBP Market Data'!BH53</f>
        <v/>
      </c>
      <c r="BS52" s="53"/>
      <c r="BT52" s="16"/>
      <c r="BV52" s="223" t="str">
        <f>'GBP Market Data'!BJ53</f>
        <v/>
      </c>
      <c r="BW52" s="263" t="str">
        <f>'GBP Market Data'!BN53</f>
        <v/>
      </c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>'GBP Market Data'!BP53</f>
        <v/>
      </c>
      <c r="CO52" s="263" t="str">
        <f>'GBP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336</v>
      </c>
      <c r="D53" s="119"/>
      <c r="E53" s="120"/>
      <c r="L53" s="203"/>
      <c r="M53" s="223" t="str">
        <f>'GBP Market Data'!B54</f>
        <v/>
      </c>
      <c r="N53" s="224" t="str">
        <f>'GBP Market Data'!F54</f>
        <v/>
      </c>
      <c r="O53" s="85"/>
      <c r="P53" s="85"/>
      <c r="Q53" s="86" t="b">
        <f t="shared" si="0"/>
        <v>0</v>
      </c>
      <c r="S53" s="92"/>
      <c r="T53" s="93"/>
      <c r="Y53" s="229" t="str">
        <f>'GBP Market Data'!H54</f>
        <v/>
      </c>
      <c r="Z53" s="239" t="str">
        <f>'GBP Market Data'!L54</f>
        <v/>
      </c>
      <c r="AE53" s="229" t="str">
        <f>'GBP Market Data'!N54</f>
        <v/>
      </c>
      <c r="AF53" s="230" t="str">
        <f>'GBP Market Data'!R54</f>
        <v/>
      </c>
      <c r="AH53" s="12"/>
      <c r="AI53" s="83"/>
      <c r="AK53" s="51"/>
      <c r="AL53" s="33"/>
      <c r="AN53" s="259" t="str">
        <f>'GBP Market Data'!AF34</f>
        <v/>
      </c>
      <c r="AO53" s="260" t="str">
        <f>'GBP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>'GBP Market Data'!AR54</f>
        <v/>
      </c>
      <c r="BA53" s="312" t="str">
        <f>'GBP Market Data'!AV54</f>
        <v/>
      </c>
      <c r="BB53" s="80" t="b">
        <f t="shared" si="1"/>
        <v>0</v>
      </c>
      <c r="BC53" s="6"/>
      <c r="BD53" s="12"/>
      <c r="BE53" s="83"/>
      <c r="BG53" s="53"/>
      <c r="BH53" s="16"/>
      <c r="BJ53" s="223" t="str">
        <f>'GBP Market Data'!AX54</f>
        <v/>
      </c>
      <c r="BK53" s="263" t="str">
        <f>'GBP Market Data'!BB54</f>
        <v/>
      </c>
      <c r="BM53" s="53"/>
      <c r="BN53" s="16"/>
      <c r="BP53" s="223" t="str">
        <f>'GBP Market Data'!BD54</f>
        <v/>
      </c>
      <c r="BQ53" s="263" t="str">
        <f>'GBP Market Data'!BH54</f>
        <v/>
      </c>
      <c r="BS53" s="53"/>
      <c r="BT53" s="16"/>
      <c r="BV53" s="223" t="str">
        <f>'GBP Market Data'!BJ54</f>
        <v/>
      </c>
      <c r="BW53" s="263" t="str">
        <f>'GBP Market Data'!BN54</f>
        <v/>
      </c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>'GBP Market Data'!BP54</f>
        <v/>
      </c>
      <c r="CO53" s="263" t="str">
        <f>'GBP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287</v>
      </c>
      <c r="D54" s="119"/>
      <c r="E54" s="120"/>
      <c r="L54" s="203"/>
      <c r="M54" s="223" t="str">
        <f>'GBP Market Data'!B55</f>
        <v/>
      </c>
      <c r="N54" s="224" t="str">
        <f>'GBP Market Data'!F55</f>
        <v/>
      </c>
      <c r="O54" s="85"/>
      <c r="P54" s="85"/>
      <c r="Q54" s="86" t="b">
        <f t="shared" si="0"/>
        <v>0</v>
      </c>
      <c r="S54" s="92"/>
      <c r="T54" s="93"/>
      <c r="Y54" s="229" t="str">
        <f>'GBP Market Data'!H55</f>
        <v/>
      </c>
      <c r="Z54" s="239" t="str">
        <f>'GBP Market Data'!L55</f>
        <v/>
      </c>
      <c r="AE54" s="229" t="str">
        <f>'GBP Market Data'!N55</f>
        <v/>
      </c>
      <c r="AF54" s="230" t="str">
        <f>'GBP Market Data'!R55</f>
        <v/>
      </c>
      <c r="AH54" s="12"/>
      <c r="AI54" s="83"/>
      <c r="AK54" s="51"/>
      <c r="AL54" s="33"/>
      <c r="AN54" s="259" t="str">
        <f>'GBP Market Data'!AF35</f>
        <v/>
      </c>
      <c r="AO54" s="260" t="str">
        <f>'GBP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>'GBP Market Data'!AR55</f>
        <v/>
      </c>
      <c r="BA54" s="312" t="str">
        <f>'GBP Market Data'!AV55</f>
        <v/>
      </c>
      <c r="BB54" s="80" t="b">
        <f t="shared" si="1"/>
        <v>0</v>
      </c>
      <c r="BC54" s="6"/>
      <c r="BD54" s="12"/>
      <c r="BE54" s="83"/>
      <c r="BG54" s="53"/>
      <c r="BH54" s="16"/>
      <c r="BJ54" s="223" t="str">
        <f>'GBP Market Data'!AX55</f>
        <v/>
      </c>
      <c r="BK54" s="263" t="str">
        <f>'GBP Market Data'!BB55</f>
        <v/>
      </c>
      <c r="BM54" s="53"/>
      <c r="BN54" s="16"/>
      <c r="BP54" s="223" t="str">
        <f>'GBP Market Data'!BD55</f>
        <v/>
      </c>
      <c r="BQ54" s="263" t="str">
        <f>'GBP Market Data'!BH55</f>
        <v/>
      </c>
      <c r="BS54" s="53"/>
      <c r="BT54" s="16"/>
      <c r="BV54" s="223" t="str">
        <f>'GBP Market Data'!BJ55</f>
        <v/>
      </c>
      <c r="BW54" s="263" t="str">
        <f>'GBP Market Data'!BN55</f>
        <v/>
      </c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>'GBP Market Data'!BP55</f>
        <v/>
      </c>
      <c r="CO54" s="263" t="str">
        <f>'GBP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294</v>
      </c>
      <c r="D55" s="119"/>
      <c r="E55" s="120"/>
      <c r="L55" s="203"/>
      <c r="M55" s="223" t="str">
        <f>'GBP Market Data'!B56</f>
        <v/>
      </c>
      <c r="N55" s="224" t="str">
        <f>'GBP Market Data'!F56</f>
        <v/>
      </c>
      <c r="O55" s="85"/>
      <c r="P55" s="85"/>
      <c r="Q55" s="86" t="b">
        <f t="shared" si="0"/>
        <v>0</v>
      </c>
      <c r="S55" s="92"/>
      <c r="T55" s="93"/>
      <c r="Y55" s="229" t="str">
        <f>'GBP Market Data'!H56</f>
        <v/>
      </c>
      <c r="Z55" s="239" t="str">
        <f>'GBP Market Data'!L56</f>
        <v/>
      </c>
      <c r="AE55" s="229" t="str">
        <f>'GBP Market Data'!N56</f>
        <v/>
      </c>
      <c r="AF55" s="230" t="str">
        <f>'GBP Market Data'!R56</f>
        <v/>
      </c>
      <c r="AH55" s="12"/>
      <c r="AI55" s="83"/>
      <c r="AK55" s="51"/>
      <c r="AL55" s="33"/>
      <c r="AN55" s="259" t="str">
        <f>'GBP Market Data'!AF36</f>
        <v/>
      </c>
      <c r="AO55" s="260" t="str">
        <f>'GBP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>'GBP Market Data'!AR56</f>
        <v/>
      </c>
      <c r="BA55" s="312" t="str">
        <f>'GBP Market Data'!AV56</f>
        <v/>
      </c>
      <c r="BB55" s="80" t="b">
        <f t="shared" si="1"/>
        <v>0</v>
      </c>
      <c r="BC55" s="6"/>
      <c r="BD55" s="12"/>
      <c r="BE55" s="83"/>
      <c r="BG55" s="53"/>
      <c r="BH55" s="16"/>
      <c r="BJ55" s="223" t="str">
        <f>'GBP Market Data'!AX56</f>
        <v/>
      </c>
      <c r="BK55" s="263" t="str">
        <f>'GBP Market Data'!BB56</f>
        <v/>
      </c>
      <c r="BM55" s="53"/>
      <c r="BN55" s="16"/>
      <c r="BP55" s="223" t="str">
        <f>'GBP Market Data'!BD56</f>
        <v/>
      </c>
      <c r="BQ55" s="263" t="str">
        <f>'GBP Market Data'!BH56</f>
        <v/>
      </c>
      <c r="BS55" s="53"/>
      <c r="BT55" s="16"/>
      <c r="BV55" s="223" t="str">
        <f>'GBP Market Data'!BJ56</f>
        <v/>
      </c>
      <c r="BW55" s="263" t="str">
        <f>'GBP Market Data'!BN56</f>
        <v/>
      </c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>'GBP Market Data'!BP56</f>
        <v/>
      </c>
      <c r="CO55" s="263" t="str">
        <f>'GBP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>'GBP Market Data'!B57</f>
        <v/>
      </c>
      <c r="N56" s="224" t="str">
        <f>'GBP Market Data'!F57</f>
        <v/>
      </c>
      <c r="O56" s="85"/>
      <c r="P56" s="85"/>
      <c r="Q56" s="86" t="b">
        <f t="shared" si="0"/>
        <v>0</v>
      </c>
      <c r="S56" s="92"/>
      <c r="T56" s="93"/>
      <c r="Y56" s="229" t="str">
        <f>'GBP Market Data'!H57</f>
        <v/>
      </c>
      <c r="Z56" s="239" t="str">
        <f>'GBP Market Data'!L57</f>
        <v/>
      </c>
      <c r="AE56" s="229" t="str">
        <f>'GBP Market Data'!N57</f>
        <v/>
      </c>
      <c r="AF56" s="230" t="str">
        <f>'GBP Market Data'!R57</f>
        <v/>
      </c>
      <c r="AH56" s="12"/>
      <c r="AI56" s="83"/>
      <c r="AK56" s="51"/>
      <c r="AL56" s="33"/>
      <c r="AN56" s="259" t="str">
        <f>'GBP Market Data'!AF37</f>
        <v/>
      </c>
      <c r="AO56" s="260" t="str">
        <f>'GBP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>'GBP Market Data'!AR57</f>
        <v/>
      </c>
      <c r="BA56" s="312" t="str">
        <f>'GBP Market Data'!AV57</f>
        <v/>
      </c>
      <c r="BB56" s="80" t="b">
        <f t="shared" si="1"/>
        <v>0</v>
      </c>
      <c r="BC56" s="6"/>
      <c r="BD56" s="12"/>
      <c r="BE56" s="83"/>
      <c r="BG56" s="53"/>
      <c r="BH56" s="16"/>
      <c r="BJ56" s="223" t="str">
        <f>'GBP Market Data'!AX57</f>
        <v/>
      </c>
      <c r="BK56" s="263" t="str">
        <f>'GBP Market Data'!BB57</f>
        <v/>
      </c>
      <c r="BM56" s="53"/>
      <c r="BN56" s="16"/>
      <c r="BP56" s="223" t="str">
        <f>'GBP Market Data'!BD57</f>
        <v/>
      </c>
      <c r="BQ56" s="263" t="str">
        <f>'GBP Market Data'!BH57</f>
        <v/>
      </c>
      <c r="BS56" s="53"/>
      <c r="BT56" s="16"/>
      <c r="BV56" s="223" t="str">
        <f>'GBP Market Data'!BJ57</f>
        <v/>
      </c>
      <c r="BW56" s="263" t="str">
        <f>'GBP Market Data'!BN57</f>
        <v/>
      </c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>'GBP Market Data'!BP57</f>
        <v/>
      </c>
      <c r="CO56" s="263" t="str">
        <f>'GBP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>'GBP Market Data'!B58</f>
        <v/>
      </c>
      <c r="N57" s="224" t="str">
        <f>'GBP Market Data'!F58</f>
        <v/>
      </c>
      <c r="O57" s="85"/>
      <c r="P57" s="85"/>
      <c r="Q57" s="86" t="b">
        <f t="shared" si="0"/>
        <v>0</v>
      </c>
      <c r="S57" s="92"/>
      <c r="T57" s="93"/>
      <c r="Y57" s="229" t="str">
        <f>'GBP Market Data'!H58</f>
        <v/>
      </c>
      <c r="Z57" s="239" t="str">
        <f>'GBP Market Data'!L58</f>
        <v/>
      </c>
      <c r="AE57" s="229" t="str">
        <f>'GBP Market Data'!N58</f>
        <v/>
      </c>
      <c r="AF57" s="230" t="str">
        <f>'GBP Market Data'!R58</f>
        <v/>
      </c>
      <c r="AH57" s="12"/>
      <c r="AI57" s="83"/>
      <c r="AK57" s="51"/>
      <c r="AL57" s="33"/>
      <c r="AN57" s="259" t="str">
        <f>'GBP Market Data'!AF38</f>
        <v/>
      </c>
      <c r="AO57" s="260" t="str">
        <f>'GBP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>'GBP Market Data'!AR58</f>
        <v/>
      </c>
      <c r="BA57" s="312" t="str">
        <f>'GBP Market Data'!AV58</f>
        <v/>
      </c>
      <c r="BB57" s="80" t="b">
        <f t="shared" si="1"/>
        <v>0</v>
      </c>
      <c r="BC57" s="6"/>
      <c r="BD57" s="12"/>
      <c r="BE57" s="83"/>
      <c r="BG57" s="53"/>
      <c r="BH57" s="16"/>
      <c r="BJ57" s="223" t="str">
        <f>'GBP Market Data'!AX58</f>
        <v/>
      </c>
      <c r="BK57" s="263" t="str">
        <f>'GBP Market Data'!BB58</f>
        <v/>
      </c>
      <c r="BM57" s="53"/>
      <c r="BN57" s="16"/>
      <c r="BP57" s="223" t="str">
        <f>'GBP Market Data'!BD58</f>
        <v/>
      </c>
      <c r="BQ57" s="263" t="str">
        <f>'GBP Market Data'!BH58</f>
        <v/>
      </c>
      <c r="BS57" s="53"/>
      <c r="BT57" s="16"/>
      <c r="BV57" s="223" t="str">
        <f>'GBP Market Data'!BJ58</f>
        <v/>
      </c>
      <c r="BW57" s="263" t="str">
        <f>'GBP Market Data'!BN58</f>
        <v/>
      </c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>'GBP Market Data'!BP58</f>
        <v/>
      </c>
      <c r="CO57" s="263" t="str">
        <f>'GBP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>'GBP Market Data'!B59</f>
        <v/>
      </c>
      <c r="N58" s="224" t="str">
        <f>'GBP Market Data'!F59</f>
        <v/>
      </c>
      <c r="O58" s="85"/>
      <c r="P58" s="85"/>
      <c r="Q58" s="86" t="b">
        <f t="shared" si="0"/>
        <v>0</v>
      </c>
      <c r="S58" s="92"/>
      <c r="T58" s="93"/>
      <c r="Y58" s="229" t="str">
        <f>'GBP Market Data'!H59</f>
        <v/>
      </c>
      <c r="Z58" s="239" t="str">
        <f>'GBP Market Data'!L59</f>
        <v/>
      </c>
      <c r="AE58" s="229" t="str">
        <f>'GBP Market Data'!N59</f>
        <v/>
      </c>
      <c r="AF58" s="230" t="str">
        <f>'GBP Market Data'!R59</f>
        <v/>
      </c>
      <c r="AH58" s="12"/>
      <c r="AI58" s="83"/>
      <c r="AK58" s="51"/>
      <c r="AL58" s="33"/>
      <c r="AN58" s="259" t="str">
        <f>'GBP Market Data'!AF39</f>
        <v/>
      </c>
      <c r="AO58" s="260" t="str">
        <f>'GBP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>'GBP Market Data'!AR59</f>
        <v/>
      </c>
      <c r="BA58" s="312" t="str">
        <f>'GBP Market Data'!AV59</f>
        <v/>
      </c>
      <c r="BB58" s="80" t="b">
        <f t="shared" si="1"/>
        <v>0</v>
      </c>
      <c r="BC58" s="6"/>
      <c r="BD58" s="12"/>
      <c r="BE58" s="83"/>
      <c r="BG58" s="53"/>
      <c r="BH58" s="16"/>
      <c r="BJ58" s="223" t="str">
        <f>'GBP Market Data'!AX59</f>
        <v/>
      </c>
      <c r="BK58" s="263" t="str">
        <f>'GBP Market Data'!BB59</f>
        <v/>
      </c>
      <c r="BM58" s="53"/>
      <c r="BN58" s="16"/>
      <c r="BP58" s="223" t="str">
        <f>'GBP Market Data'!BD59</f>
        <v/>
      </c>
      <c r="BQ58" s="263" t="str">
        <f>'GBP Market Data'!BH59</f>
        <v/>
      </c>
      <c r="BS58" s="53"/>
      <c r="BT58" s="16"/>
      <c r="BV58" s="223" t="str">
        <f>'GBP Market Data'!BJ59</f>
        <v/>
      </c>
      <c r="BW58" s="263" t="str">
        <f>'GBP Market Data'!BN59</f>
        <v/>
      </c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>'GBP Market Data'!BP59</f>
        <v/>
      </c>
      <c r="CO58" s="263" t="str">
        <f>'GBP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>'GBP Market Data'!B60</f>
        <v/>
      </c>
      <c r="N59" s="224" t="str">
        <f>'GBP Market Data'!F60</f>
        <v/>
      </c>
      <c r="O59" s="85"/>
      <c r="P59" s="85"/>
      <c r="Q59" s="86" t="b">
        <f t="shared" si="0"/>
        <v>0</v>
      </c>
      <c r="S59" s="92"/>
      <c r="T59" s="93"/>
      <c r="Y59" s="229" t="str">
        <f>'GBP Market Data'!H60</f>
        <v/>
      </c>
      <c r="Z59" s="239" t="str">
        <f>'GBP Market Data'!L60</f>
        <v/>
      </c>
      <c r="AE59" s="229" t="str">
        <f>'GBP Market Data'!N60</f>
        <v/>
      </c>
      <c r="AF59" s="230" t="str">
        <f>'GBP Market Data'!R60</f>
        <v/>
      </c>
      <c r="AH59" s="12"/>
      <c r="AI59" s="83"/>
      <c r="AK59" s="51"/>
      <c r="AL59" s="33"/>
      <c r="AN59" s="259" t="str">
        <f>'GBP Market Data'!AF40</f>
        <v/>
      </c>
      <c r="AO59" s="260" t="str">
        <f>'GBP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>'GBP Market Data'!AR60</f>
        <v/>
      </c>
      <c r="BA59" s="312" t="str">
        <f>'GBP Market Data'!AV60</f>
        <v/>
      </c>
      <c r="BB59" s="80" t="b">
        <f t="shared" si="1"/>
        <v>0</v>
      </c>
      <c r="BC59" s="6"/>
      <c r="BD59" s="12"/>
      <c r="BE59" s="83"/>
      <c r="BG59" s="53"/>
      <c r="BH59" s="16"/>
      <c r="BJ59" s="223" t="str">
        <f>'GBP Market Data'!AX60</f>
        <v/>
      </c>
      <c r="BK59" s="263" t="str">
        <f>'GBP Market Data'!BB60</f>
        <v/>
      </c>
      <c r="BM59" s="53"/>
      <c r="BN59" s="16"/>
      <c r="BP59" s="223" t="str">
        <f>'GBP Market Data'!BD60</f>
        <v/>
      </c>
      <c r="BQ59" s="263" t="str">
        <f>'GBP Market Data'!BH60</f>
        <v/>
      </c>
      <c r="BS59" s="53"/>
      <c r="BT59" s="16"/>
      <c r="BV59" s="223" t="str">
        <f>'GBP Market Data'!BJ60</f>
        <v/>
      </c>
      <c r="BW59" s="263" t="str">
        <f>'GBP Market Data'!BN60</f>
        <v/>
      </c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>'GBP Market Data'!BP60</f>
        <v/>
      </c>
      <c r="CO59" s="263" t="str">
        <f>'GBP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192</v>
      </c>
      <c r="D60" s="113"/>
      <c r="E60" s="114"/>
      <c r="L60" s="203"/>
      <c r="M60" s="223" t="str">
        <f>'GBP Market Data'!B61</f>
        <v/>
      </c>
      <c r="N60" s="224" t="str">
        <f>'GBP Market Data'!F61</f>
        <v/>
      </c>
      <c r="O60" s="85"/>
      <c r="P60" s="85"/>
      <c r="Q60" s="86" t="b">
        <f t="shared" si="0"/>
        <v>0</v>
      </c>
      <c r="S60" s="92"/>
      <c r="T60" s="93"/>
      <c r="Y60" s="229" t="str">
        <f>'GBP Market Data'!H61</f>
        <v/>
      </c>
      <c r="Z60" s="239" t="str">
        <f>'GBP Market Data'!L61</f>
        <v/>
      </c>
      <c r="AE60" s="229" t="str">
        <f>'GBP Market Data'!N61</f>
        <v/>
      </c>
      <c r="AF60" s="230" t="str">
        <f>'GBP Market Data'!R61</f>
        <v/>
      </c>
      <c r="AH60" s="12"/>
      <c r="AI60" s="83"/>
      <c r="AK60" s="51"/>
      <c r="AL60" s="33"/>
      <c r="AN60" s="259" t="str">
        <f>'GBP Market Data'!AF41</f>
        <v/>
      </c>
      <c r="AO60" s="260" t="str">
        <f>'GBP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>'GBP Market Data'!AR61</f>
        <v/>
      </c>
      <c r="BA60" s="312" t="str">
        <f>'GBP Market Data'!AV61</f>
        <v/>
      </c>
      <c r="BB60" s="80" t="b">
        <f t="shared" si="1"/>
        <v>0</v>
      </c>
      <c r="BC60" s="6"/>
      <c r="BD60" s="12"/>
      <c r="BE60" s="83"/>
      <c r="BG60" s="53"/>
      <c r="BH60" s="16"/>
      <c r="BJ60" s="223" t="str">
        <f>'GBP Market Data'!AX61</f>
        <v/>
      </c>
      <c r="BK60" s="263" t="str">
        <f>'GBP Market Data'!BB61</f>
        <v/>
      </c>
      <c r="BM60" s="53"/>
      <c r="BN60" s="16"/>
      <c r="BP60" s="223" t="str">
        <f>'GBP Market Data'!BD61</f>
        <v/>
      </c>
      <c r="BQ60" s="263" t="str">
        <f>'GBP Market Data'!BH61</f>
        <v/>
      </c>
      <c r="BS60" s="53"/>
      <c r="BT60" s="16"/>
      <c r="BV60" s="223" t="str">
        <f>'GBP Market Data'!BJ61</f>
        <v/>
      </c>
      <c r="BW60" s="263" t="str">
        <f>'GBP Market Data'!BN61</f>
        <v/>
      </c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>'GBP Market Data'!BP61</f>
        <v/>
      </c>
      <c r="CO60" s="263" t="str">
        <f>'GBP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285</v>
      </c>
      <c r="D61" s="116"/>
      <c r="E61" s="117"/>
      <c r="L61" s="203"/>
      <c r="M61" s="223" t="str">
        <f>'GBP Market Data'!B62</f>
        <v/>
      </c>
      <c r="N61" s="224" t="str">
        <f>'GBP Market Data'!F62</f>
        <v/>
      </c>
      <c r="O61" s="85"/>
      <c r="P61" s="85"/>
      <c r="Q61" s="86" t="b">
        <f t="shared" si="0"/>
        <v>0</v>
      </c>
      <c r="S61" s="92"/>
      <c r="T61" s="93"/>
      <c r="Y61" s="229" t="str">
        <f>'GBP Market Data'!H62</f>
        <v/>
      </c>
      <c r="Z61" s="239" t="str">
        <f>'GBP Market Data'!L62</f>
        <v/>
      </c>
      <c r="AE61" s="229" t="str">
        <f>'GBP Market Data'!N62</f>
        <v/>
      </c>
      <c r="AF61" s="230" t="str">
        <f>'GBP Market Data'!R62</f>
        <v/>
      </c>
      <c r="AH61" s="12"/>
      <c r="AI61" s="83"/>
      <c r="AK61" s="51"/>
      <c r="AL61" s="33"/>
      <c r="AN61" s="259" t="str">
        <f>'GBP Market Data'!AF42</f>
        <v/>
      </c>
      <c r="AO61" s="260" t="str">
        <f>'GBP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>'GBP Market Data'!AR62</f>
        <v/>
      </c>
      <c r="BA61" s="312" t="str">
        <f>'GBP Market Data'!AV62</f>
        <v/>
      </c>
      <c r="BB61" s="80" t="b">
        <f t="shared" si="1"/>
        <v>0</v>
      </c>
      <c r="BC61" s="6"/>
      <c r="BD61" s="12"/>
      <c r="BE61" s="83"/>
      <c r="BG61" s="53"/>
      <c r="BH61" s="16"/>
      <c r="BJ61" s="223" t="str">
        <f>'GBP Market Data'!AX62</f>
        <v/>
      </c>
      <c r="BK61" s="263" t="str">
        <f>'GBP Market Data'!BB62</f>
        <v/>
      </c>
      <c r="BM61" s="53"/>
      <c r="BN61" s="16"/>
      <c r="BP61" s="223" t="str">
        <f>'GBP Market Data'!BD62</f>
        <v/>
      </c>
      <c r="BQ61" s="263" t="str">
        <f>'GBP Market Data'!BH62</f>
        <v/>
      </c>
      <c r="BS61" s="53"/>
      <c r="BT61" s="16"/>
      <c r="BV61" s="223" t="str">
        <f>'GBP Market Data'!BJ62</f>
        <v/>
      </c>
      <c r="BW61" s="263" t="str">
        <f>'GBP Market Data'!BN62</f>
        <v/>
      </c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>'GBP Market Data'!BP62</f>
        <v/>
      </c>
      <c r="CO61" s="263" t="str">
        <f>'GBP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286</v>
      </c>
      <c r="D62" s="119"/>
      <c r="E62" s="120"/>
      <c r="L62" s="203"/>
      <c r="M62" s="223" t="str">
        <f>'GBP Market Data'!B63</f>
        <v/>
      </c>
      <c r="N62" s="224" t="str">
        <f>'GBP Market Data'!F63</f>
        <v/>
      </c>
      <c r="O62" s="85"/>
      <c r="P62" s="85"/>
      <c r="Q62" s="86" t="b">
        <f t="shared" si="0"/>
        <v>0</v>
      </c>
      <c r="S62" s="92"/>
      <c r="T62" s="93"/>
      <c r="Y62" s="229" t="str">
        <f>'GBP Market Data'!H63</f>
        <v/>
      </c>
      <c r="Z62" s="239" t="str">
        <f>'GBP Market Data'!L63</f>
        <v/>
      </c>
      <c r="AE62" s="229" t="str">
        <f>'GBP Market Data'!N63</f>
        <v/>
      </c>
      <c r="AF62" s="230" t="str">
        <f>'GBP Market Data'!R63</f>
        <v/>
      </c>
      <c r="AH62" s="12"/>
      <c r="AI62" s="83"/>
      <c r="AK62" s="51"/>
      <c r="AL62" s="33"/>
      <c r="AN62" s="259" t="str">
        <f>'GBP Market Data'!AF43</f>
        <v/>
      </c>
      <c r="AO62" s="260" t="str">
        <f>'GBP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>'GBP Market Data'!AR63</f>
        <v/>
      </c>
      <c r="BA62" s="312" t="str">
        <f>'GBP Market Data'!AV63</f>
        <v/>
      </c>
      <c r="BB62" s="80" t="b">
        <f t="shared" si="1"/>
        <v>0</v>
      </c>
      <c r="BC62" s="6"/>
      <c r="BD62" s="12"/>
      <c r="BE62" s="83"/>
      <c r="BG62" s="53"/>
      <c r="BH62" s="16"/>
      <c r="BJ62" s="223" t="str">
        <f>'GBP Market Data'!AX63</f>
        <v/>
      </c>
      <c r="BK62" s="263" t="str">
        <f>'GBP Market Data'!BB63</f>
        <v/>
      </c>
      <c r="BM62" s="53"/>
      <c r="BN62" s="16"/>
      <c r="BP62" s="223" t="str">
        <f>'GBP Market Data'!BD63</f>
        <v/>
      </c>
      <c r="BQ62" s="263" t="str">
        <f>'GBP Market Data'!BH63</f>
        <v/>
      </c>
      <c r="BS62" s="53"/>
      <c r="BT62" s="16"/>
      <c r="BV62" s="223" t="str">
        <f>'GBP Market Data'!BJ63</f>
        <v/>
      </c>
      <c r="BW62" s="263" t="str">
        <f>'GBP Market Data'!BN63</f>
        <v/>
      </c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>'GBP Market Data'!BP63</f>
        <v/>
      </c>
      <c r="CO62" s="263" t="str">
        <f>'GBP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336</v>
      </c>
      <c r="D63" s="119"/>
      <c r="E63" s="120"/>
      <c r="L63" s="203"/>
      <c r="M63" s="223" t="str">
        <f>'GBP Market Data'!B64</f>
        <v/>
      </c>
      <c r="N63" s="224" t="str">
        <f>'GBP Market Data'!F64</f>
        <v/>
      </c>
      <c r="O63" s="85"/>
      <c r="P63" s="85"/>
      <c r="Q63" s="86" t="b">
        <f t="shared" si="0"/>
        <v>0</v>
      </c>
      <c r="S63" s="92"/>
      <c r="T63" s="93"/>
      <c r="Y63" s="229" t="str">
        <f>'GBP Market Data'!H64</f>
        <v/>
      </c>
      <c r="Z63" s="239" t="str">
        <f>'GBP Market Data'!L64</f>
        <v/>
      </c>
      <c r="AE63" s="229" t="str">
        <f>'GBP Market Data'!N64</f>
        <v/>
      </c>
      <c r="AF63" s="230" t="str">
        <f>'GBP Market Data'!R64</f>
        <v/>
      </c>
      <c r="AH63" s="12"/>
      <c r="AI63" s="83"/>
      <c r="AK63" s="51"/>
      <c r="AL63" s="33"/>
      <c r="AN63" s="259" t="str">
        <f>'GBP Market Data'!AF44</f>
        <v/>
      </c>
      <c r="AO63" s="260" t="str">
        <f>'GBP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>'GBP Market Data'!AR64</f>
        <v/>
      </c>
      <c r="BA63" s="312" t="str">
        <f>'GBP Market Data'!AV64</f>
        <v/>
      </c>
      <c r="BB63" s="80" t="b">
        <f t="shared" si="1"/>
        <v>0</v>
      </c>
      <c r="BC63" s="6"/>
      <c r="BD63" s="12"/>
      <c r="BE63" s="83"/>
      <c r="BG63" s="53"/>
      <c r="BH63" s="16"/>
      <c r="BJ63" s="223" t="str">
        <f>'GBP Market Data'!AX64</f>
        <v/>
      </c>
      <c r="BK63" s="263" t="str">
        <f>'GBP Market Data'!BB64</f>
        <v/>
      </c>
      <c r="BM63" s="53"/>
      <c r="BN63" s="16"/>
      <c r="BP63" s="223" t="str">
        <f>'GBP Market Data'!BD64</f>
        <v/>
      </c>
      <c r="BQ63" s="263" t="str">
        <f>'GBP Market Data'!BH64</f>
        <v/>
      </c>
      <c r="BS63" s="53"/>
      <c r="BT63" s="16"/>
      <c r="BV63" s="223" t="str">
        <f>'GBP Market Data'!BJ64</f>
        <v/>
      </c>
      <c r="BW63" s="263" t="str">
        <f>'GBP Market Data'!BN64</f>
        <v/>
      </c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>'GBP Market Data'!BP64</f>
        <v/>
      </c>
      <c r="CO63" s="263" t="str">
        <f>'GBP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287</v>
      </c>
      <c r="D64" s="119"/>
      <c r="E64" s="120"/>
      <c r="L64" s="203"/>
      <c r="M64" s="223" t="str">
        <f>'GBP Market Data'!B65</f>
        <v/>
      </c>
      <c r="N64" s="224" t="str">
        <f>'GBP Market Data'!F65</f>
        <v/>
      </c>
      <c r="O64" s="85"/>
      <c r="P64" s="85"/>
      <c r="Q64" s="86" t="b">
        <f t="shared" si="0"/>
        <v>0</v>
      </c>
      <c r="S64" s="92"/>
      <c r="T64" s="93"/>
      <c r="Y64" s="229" t="str">
        <f>'GBP Market Data'!H65</f>
        <v/>
      </c>
      <c r="Z64" s="239" t="str">
        <f>'GBP Market Data'!L65</f>
        <v/>
      </c>
      <c r="AE64" s="229" t="str">
        <f>'GBP Market Data'!N65</f>
        <v/>
      </c>
      <c r="AF64" s="230" t="str">
        <f>'GBP Market Data'!R65</f>
        <v/>
      </c>
      <c r="AH64" s="12"/>
      <c r="AI64" s="83"/>
      <c r="AK64" s="51"/>
      <c r="AL64" s="33"/>
      <c r="AN64" s="259" t="str">
        <f>'GBP Market Data'!AF45</f>
        <v/>
      </c>
      <c r="AO64" s="260" t="str">
        <f>'GBP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>'GBP Market Data'!AR65</f>
        <v/>
      </c>
      <c r="BA64" s="312" t="str">
        <f>'GBP Market Data'!AV65</f>
        <v/>
      </c>
      <c r="BB64" s="80" t="b">
        <f t="shared" si="1"/>
        <v>0</v>
      </c>
      <c r="BC64" s="6"/>
      <c r="BD64" s="12"/>
      <c r="BE64" s="83"/>
      <c r="BG64" s="53"/>
      <c r="BH64" s="16"/>
      <c r="BJ64" s="223" t="str">
        <f>'GBP Market Data'!AX65</f>
        <v/>
      </c>
      <c r="BK64" s="263" t="str">
        <f>'GBP Market Data'!BB65</f>
        <v/>
      </c>
      <c r="BM64" s="53"/>
      <c r="BN64" s="16"/>
      <c r="BP64" s="223" t="str">
        <f>'GBP Market Data'!BD65</f>
        <v/>
      </c>
      <c r="BQ64" s="263" t="str">
        <f>'GBP Market Data'!BH65</f>
        <v/>
      </c>
      <c r="BS64" s="53"/>
      <c r="BT64" s="16"/>
      <c r="BV64" s="223" t="str">
        <f>'GBP Market Data'!BJ65</f>
        <v/>
      </c>
      <c r="BW64" s="263" t="str">
        <f>'GBP Market Data'!BN65</f>
        <v/>
      </c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>'GBP Market Data'!BP65</f>
        <v/>
      </c>
      <c r="CO64" s="263" t="str">
        <f>'GBP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>'GBP Market Data'!B66</f>
        <v/>
      </c>
      <c r="N65" s="224" t="str">
        <f>'GBP Market Data'!F66</f>
        <v/>
      </c>
      <c r="O65" s="85"/>
      <c r="P65" s="85"/>
      <c r="Q65" s="86" t="b">
        <f t="shared" si="0"/>
        <v>0</v>
      </c>
      <c r="S65" s="92"/>
      <c r="T65" s="93"/>
      <c r="Y65" s="229" t="str">
        <f>'GBP Market Data'!H66</f>
        <v/>
      </c>
      <c r="Z65" s="239" t="str">
        <f>'GBP Market Data'!L66</f>
        <v/>
      </c>
      <c r="AE65" s="229" t="str">
        <f>'GBP Market Data'!N66</f>
        <v/>
      </c>
      <c r="AF65" s="230" t="str">
        <f>'GBP Market Data'!R66</f>
        <v/>
      </c>
      <c r="AH65" s="12"/>
      <c r="AI65" s="83"/>
      <c r="AK65" s="51"/>
      <c r="AL65" s="33"/>
      <c r="AN65" s="259" t="str">
        <f>'GBP Market Data'!AF46</f>
        <v/>
      </c>
      <c r="AO65" s="260" t="str">
        <f>'GBP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>'GBP Market Data'!AR66</f>
        <v/>
      </c>
      <c r="BA65" s="312" t="str">
        <f>'GBP Market Data'!AV66</f>
        <v/>
      </c>
      <c r="BB65" s="80" t="b">
        <f t="shared" si="1"/>
        <v>0</v>
      </c>
      <c r="BC65" s="6"/>
      <c r="BD65" s="12"/>
      <c r="BE65" s="83"/>
      <c r="BG65" s="53"/>
      <c r="BH65" s="16"/>
      <c r="BJ65" s="223" t="str">
        <f>'GBP Market Data'!AX66</f>
        <v/>
      </c>
      <c r="BK65" s="263" t="str">
        <f>'GBP Market Data'!BB66</f>
        <v/>
      </c>
      <c r="BM65" s="53"/>
      <c r="BN65" s="16"/>
      <c r="BP65" s="223" t="str">
        <f>'GBP Market Data'!BD66</f>
        <v/>
      </c>
      <c r="BQ65" s="263" t="str">
        <f>'GBP Market Data'!BH66</f>
        <v/>
      </c>
      <c r="BS65" s="53"/>
      <c r="BT65" s="16"/>
      <c r="BV65" s="223" t="str">
        <f>'GBP Market Data'!BJ66</f>
        <v/>
      </c>
      <c r="BW65" s="263" t="str">
        <f>'GBP Market Data'!BN66</f>
        <v/>
      </c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>'GBP Market Data'!BP66</f>
        <v/>
      </c>
      <c r="CO65" s="263" t="str">
        <f>'GBP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294</v>
      </c>
      <c r="D66" s="119"/>
      <c r="E66" s="120"/>
      <c r="L66" s="203"/>
      <c r="M66" s="223" t="str">
        <f>'GBP Market Data'!B67</f>
        <v/>
      </c>
      <c r="N66" s="224" t="str">
        <f>'GBP Market Data'!F67</f>
        <v/>
      </c>
      <c r="O66" s="85"/>
      <c r="P66" s="85"/>
      <c r="Q66" s="86" t="b">
        <f t="shared" si="0"/>
        <v>0</v>
      </c>
      <c r="S66" s="92"/>
      <c r="T66" s="93"/>
      <c r="Y66" s="229" t="str">
        <f>'GBP Market Data'!H67</f>
        <v/>
      </c>
      <c r="Z66" s="239" t="str">
        <f>'GBP Market Data'!L67</f>
        <v/>
      </c>
      <c r="AE66" s="229" t="str">
        <f>'GBP Market Data'!N67</f>
        <v/>
      </c>
      <c r="AF66" s="230" t="str">
        <f>'GBP Market Data'!R67</f>
        <v/>
      </c>
      <c r="AH66" s="12"/>
      <c r="AI66" s="83"/>
      <c r="AK66" s="51"/>
      <c r="AL66" s="33"/>
      <c r="AN66" s="259" t="str">
        <f>'GBP Market Data'!AF47</f>
        <v/>
      </c>
      <c r="AO66" s="260" t="str">
        <f>'GBP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>'GBP Market Data'!AR67</f>
        <v/>
      </c>
      <c r="BA66" s="312" t="str">
        <f>'GBP Market Data'!AV67</f>
        <v/>
      </c>
      <c r="BB66" s="80" t="b">
        <f t="shared" si="1"/>
        <v>0</v>
      </c>
      <c r="BC66" s="6"/>
      <c r="BD66" s="12"/>
      <c r="BE66" s="83"/>
      <c r="BG66" s="53"/>
      <c r="BH66" s="16"/>
      <c r="BJ66" s="223" t="str">
        <f>'GBP Market Data'!AX67</f>
        <v/>
      </c>
      <c r="BK66" s="263" t="str">
        <f>'GBP Market Data'!BB67</f>
        <v/>
      </c>
      <c r="BM66" s="53"/>
      <c r="BN66" s="16"/>
      <c r="BP66" s="223" t="str">
        <f>'GBP Market Data'!BD67</f>
        <v/>
      </c>
      <c r="BQ66" s="263" t="str">
        <f>'GBP Market Data'!BH67</f>
        <v/>
      </c>
      <c r="BS66" s="53"/>
      <c r="BT66" s="16"/>
      <c r="BV66" s="223" t="str">
        <f>'GBP Market Data'!BJ67</f>
        <v/>
      </c>
      <c r="BW66" s="263" t="str">
        <f>'GBP Market Data'!BN67</f>
        <v/>
      </c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>'GBP Market Data'!BP67</f>
        <v/>
      </c>
      <c r="CO66" s="263" t="str">
        <f>'GBP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>'GBP Market Data'!B68</f>
        <v/>
      </c>
      <c r="N67" s="224" t="str">
        <f>'GBP Market Data'!F68</f>
        <v/>
      </c>
      <c r="O67" s="85"/>
      <c r="P67" s="85"/>
      <c r="Q67" s="86" t="b">
        <f t="shared" si="0"/>
        <v>0</v>
      </c>
      <c r="S67" s="92"/>
      <c r="T67" s="93"/>
      <c r="Y67" s="229" t="str">
        <f>'GBP Market Data'!H68</f>
        <v/>
      </c>
      <c r="Z67" s="239" t="str">
        <f>'GBP Market Data'!L68</f>
        <v/>
      </c>
      <c r="AE67" s="229" t="str">
        <f>'GBP Market Data'!N68</f>
        <v/>
      </c>
      <c r="AF67" s="230" t="str">
        <f>'GBP Market Data'!R68</f>
        <v/>
      </c>
      <c r="AH67" s="12"/>
      <c r="AI67" s="83"/>
      <c r="AK67" s="51"/>
      <c r="AL67" s="33"/>
      <c r="AN67" s="259" t="str">
        <f>'GBP Market Data'!AF48</f>
        <v/>
      </c>
      <c r="AO67" s="260" t="str">
        <f>'GBP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>'GBP Market Data'!AR68</f>
        <v/>
      </c>
      <c r="BA67" s="312" t="str">
        <f>'GBP Market Data'!AV68</f>
        <v/>
      </c>
      <c r="BB67" s="80" t="b">
        <f t="shared" si="1"/>
        <v>0</v>
      </c>
      <c r="BC67" s="6"/>
      <c r="BD67" s="12"/>
      <c r="BE67" s="83"/>
      <c r="BG67" s="53"/>
      <c r="BH67" s="16"/>
      <c r="BJ67" s="223" t="str">
        <f>'GBP Market Data'!AX68</f>
        <v/>
      </c>
      <c r="BK67" s="263" t="str">
        <f>'GBP Market Data'!BB68</f>
        <v/>
      </c>
      <c r="BM67" s="53"/>
      <c r="BN67" s="16"/>
      <c r="BP67" s="223" t="str">
        <f>'GBP Market Data'!BD68</f>
        <v/>
      </c>
      <c r="BQ67" s="263" t="str">
        <f>'GBP Market Data'!BH68</f>
        <v/>
      </c>
      <c r="BS67" s="53"/>
      <c r="BT67" s="16"/>
      <c r="BV67" s="223" t="str">
        <f>'GBP Market Data'!BJ68</f>
        <v/>
      </c>
      <c r="BW67" s="263" t="str">
        <f>'GBP Market Data'!BN68</f>
        <v/>
      </c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>'GBP Market Data'!BP68</f>
        <v/>
      </c>
      <c r="CO67" s="263" t="str">
        <f>'GBP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>'GBP Market Data'!B69</f>
        <v/>
      </c>
      <c r="N68" s="224" t="str">
        <f>'GBP Market Data'!F69</f>
        <v/>
      </c>
      <c r="O68" s="85"/>
      <c r="P68" s="85"/>
      <c r="Q68" s="86" t="b">
        <f t="shared" si="0"/>
        <v>0</v>
      </c>
      <c r="S68" s="92"/>
      <c r="T68" s="93"/>
      <c r="Y68" s="229" t="str">
        <f>'GBP Market Data'!H69</f>
        <v/>
      </c>
      <c r="Z68" s="239" t="str">
        <f>'GBP Market Data'!L69</f>
        <v/>
      </c>
      <c r="AE68" s="229" t="str">
        <f>'GBP Market Data'!N69</f>
        <v/>
      </c>
      <c r="AF68" s="230" t="str">
        <f>'GBP Market Data'!R69</f>
        <v/>
      </c>
      <c r="AH68" s="12"/>
      <c r="AI68" s="83"/>
      <c r="AK68" s="51"/>
      <c r="AL68" s="33"/>
      <c r="AN68" s="259" t="str">
        <f>'GBP Market Data'!AF49</f>
        <v/>
      </c>
      <c r="AO68" s="260" t="str">
        <f>'GBP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>'GBP Market Data'!AR69</f>
        <v/>
      </c>
      <c r="BA68" s="312" t="str">
        <f>'GBP Market Data'!AV69</f>
        <v/>
      </c>
      <c r="BB68" s="80" t="b">
        <f t="shared" si="1"/>
        <v>0</v>
      </c>
      <c r="BC68" s="6"/>
      <c r="BD68" s="12"/>
      <c r="BE68" s="83"/>
      <c r="BG68" s="53"/>
      <c r="BH68" s="16"/>
      <c r="BJ68" s="223" t="str">
        <f>'GBP Market Data'!AX69</f>
        <v/>
      </c>
      <c r="BK68" s="263" t="str">
        <f>'GBP Market Data'!BB69</f>
        <v/>
      </c>
      <c r="BM68" s="53"/>
      <c r="BN68" s="16"/>
      <c r="BP68" s="223" t="str">
        <f>'GBP Market Data'!BD69</f>
        <v/>
      </c>
      <c r="BQ68" s="263" t="str">
        <f>'GBP Market Data'!BH69</f>
        <v/>
      </c>
      <c r="BS68" s="53"/>
      <c r="BT68" s="16"/>
      <c r="BV68" s="223" t="str">
        <f>'GBP Market Data'!BJ69</f>
        <v/>
      </c>
      <c r="BW68" s="263" t="str">
        <f>'GBP Market Data'!BN69</f>
        <v/>
      </c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>'GBP Market Data'!BP69</f>
        <v/>
      </c>
      <c r="CO68" s="263" t="str">
        <f>'GBP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>'GBP Market Data'!B70</f>
        <v/>
      </c>
      <c r="N69" s="224" t="str">
        <f>'GBP Market Data'!F70</f>
        <v/>
      </c>
      <c r="O69" s="85"/>
      <c r="P69" s="85"/>
      <c r="Q69" s="86" t="b">
        <f t="shared" si="0"/>
        <v>0</v>
      </c>
      <c r="S69" s="92"/>
      <c r="T69" s="93"/>
      <c r="Y69" s="229" t="str">
        <f>'GBP Market Data'!H70</f>
        <v/>
      </c>
      <c r="Z69" s="239" t="str">
        <f>'GBP Market Data'!L70</f>
        <v/>
      </c>
      <c r="AE69" s="229" t="str">
        <f>'GBP Market Data'!N70</f>
        <v/>
      </c>
      <c r="AF69" s="230" t="str">
        <f>'GBP Market Data'!R70</f>
        <v/>
      </c>
      <c r="AH69" s="12"/>
      <c r="AI69" s="83"/>
      <c r="AK69" s="51"/>
      <c r="AL69" s="33"/>
      <c r="AN69" s="259" t="str">
        <f>'GBP Market Data'!AF50</f>
        <v/>
      </c>
      <c r="AO69" s="260" t="str">
        <f>'GBP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>'GBP Market Data'!AR70</f>
        <v/>
      </c>
      <c r="BA69" s="312" t="str">
        <f>'GBP Market Data'!AV70</f>
        <v/>
      </c>
      <c r="BB69" s="80" t="b">
        <f t="shared" si="1"/>
        <v>0</v>
      </c>
      <c r="BC69" s="6"/>
      <c r="BD69" s="12"/>
      <c r="BE69" s="83"/>
      <c r="BG69" s="53"/>
      <c r="BH69" s="16"/>
      <c r="BJ69" s="223" t="str">
        <f>'GBP Market Data'!AX70</f>
        <v/>
      </c>
      <c r="BK69" s="263" t="str">
        <f>'GBP Market Data'!BB70</f>
        <v/>
      </c>
      <c r="BM69" s="53"/>
      <c r="BN69" s="16"/>
      <c r="BP69" s="223" t="str">
        <f>'GBP Market Data'!BD70</f>
        <v/>
      </c>
      <c r="BQ69" s="263" t="str">
        <f>'GBP Market Data'!BH70</f>
        <v/>
      </c>
      <c r="BS69" s="53"/>
      <c r="BT69" s="16"/>
      <c r="BV69" s="223" t="str">
        <f>'GBP Market Data'!BJ70</f>
        <v/>
      </c>
      <c r="BW69" s="263" t="str">
        <f>'GBP Market Data'!BN70</f>
        <v/>
      </c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>'GBP Market Data'!BP70</f>
        <v/>
      </c>
      <c r="CO69" s="263" t="str">
        <f>'GBP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>'GBP Market Data'!B71</f>
        <v/>
      </c>
      <c r="N70" s="224" t="str">
        <f>'GBP Market Data'!F71</f>
        <v/>
      </c>
      <c r="O70" s="85"/>
      <c r="P70" s="85"/>
      <c r="Q70" s="86" t="b">
        <f t="shared" si="0"/>
        <v>0</v>
      </c>
      <c r="S70" s="92"/>
      <c r="T70" s="93"/>
      <c r="Y70" s="229" t="str">
        <f>'GBP Market Data'!H71</f>
        <v/>
      </c>
      <c r="Z70" s="239" t="str">
        <f>'GBP Market Data'!L71</f>
        <v/>
      </c>
      <c r="AE70" s="229" t="str">
        <f>'GBP Market Data'!N71</f>
        <v/>
      </c>
      <c r="AF70" s="230" t="str">
        <f>'GBP Market Data'!R71</f>
        <v/>
      </c>
      <c r="AH70" s="12"/>
      <c r="AI70" s="83"/>
      <c r="AK70" s="51"/>
      <c r="AL70" s="33"/>
      <c r="AN70" s="259" t="str">
        <f>'GBP Market Data'!AF51</f>
        <v/>
      </c>
      <c r="AO70" s="260" t="str">
        <f>'GBP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>'GBP Market Data'!AR71</f>
        <v/>
      </c>
      <c r="BA70" s="312" t="str">
        <f>'GBP Market Data'!AV71</f>
        <v/>
      </c>
      <c r="BB70" s="80" t="b">
        <f t="shared" si="1"/>
        <v>0</v>
      </c>
      <c r="BC70" s="6"/>
      <c r="BD70" s="12"/>
      <c r="BE70" s="83"/>
      <c r="BG70" s="53"/>
      <c r="BH70" s="16"/>
      <c r="BJ70" s="223" t="str">
        <f>'GBP Market Data'!AX71</f>
        <v/>
      </c>
      <c r="BK70" s="263" t="str">
        <f>'GBP Market Data'!BB71</f>
        <v/>
      </c>
      <c r="BM70" s="53"/>
      <c r="BN70" s="16"/>
      <c r="BP70" s="223" t="str">
        <f>'GBP Market Data'!BD71</f>
        <v/>
      </c>
      <c r="BQ70" s="263" t="str">
        <f>'GBP Market Data'!BH71</f>
        <v/>
      </c>
      <c r="BS70" s="53"/>
      <c r="BT70" s="16"/>
      <c r="BV70" s="223" t="str">
        <f>'GBP Market Data'!BJ71</f>
        <v/>
      </c>
      <c r="BW70" s="263" t="str">
        <f>'GBP Market Data'!BN71</f>
        <v/>
      </c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>'GBP Market Data'!BP71</f>
        <v/>
      </c>
      <c r="CO70" s="263" t="str">
        <f>'GBP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>'GBP Market Data'!B72</f>
        <v/>
      </c>
      <c r="N71" s="224" t="str">
        <f>'GBP Market Data'!F72</f>
        <v/>
      </c>
      <c r="O71" s="85"/>
      <c r="P71" s="85"/>
      <c r="Q71" s="86" t="b">
        <f t="shared" si="0"/>
        <v>0</v>
      </c>
      <c r="S71" s="92"/>
      <c r="T71" s="93"/>
      <c r="Y71" s="229" t="str">
        <f>'GBP Market Data'!H72</f>
        <v/>
      </c>
      <c r="Z71" s="239" t="str">
        <f>'GBP Market Data'!L72</f>
        <v/>
      </c>
      <c r="AE71" s="229" t="str">
        <f>'GBP Market Data'!N72</f>
        <v/>
      </c>
      <c r="AF71" s="230" t="str">
        <f>'GBP Market Data'!R72</f>
        <v/>
      </c>
      <c r="AH71" s="12"/>
      <c r="AI71" s="83"/>
      <c r="AK71" s="51"/>
      <c r="AL71" s="33"/>
      <c r="AN71" s="259" t="str">
        <f>'GBP Market Data'!AF52</f>
        <v/>
      </c>
      <c r="AO71" s="260" t="str">
        <f>'GBP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>'GBP Market Data'!AR72</f>
        <v/>
      </c>
      <c r="BA71" s="312" t="str">
        <f>'GBP Market Data'!AV72</f>
        <v/>
      </c>
      <c r="BB71" s="80" t="b">
        <f t="shared" si="1"/>
        <v>0</v>
      </c>
      <c r="BC71" s="6"/>
      <c r="BD71" s="12"/>
      <c r="BE71" s="83"/>
      <c r="BG71" s="53"/>
      <c r="BH71" s="16"/>
      <c r="BJ71" s="223" t="str">
        <f>'GBP Market Data'!AX72</f>
        <v/>
      </c>
      <c r="BK71" s="263" t="str">
        <f>'GBP Market Data'!BB72</f>
        <v/>
      </c>
      <c r="BM71" s="53"/>
      <c r="BN71" s="16"/>
      <c r="BP71" s="223" t="str">
        <f>'GBP Market Data'!BD72</f>
        <v/>
      </c>
      <c r="BQ71" s="263" t="str">
        <f>'GBP Market Data'!BH72</f>
        <v/>
      </c>
      <c r="BS71" s="53"/>
      <c r="BT71" s="16"/>
      <c r="BV71" s="223" t="str">
        <f>'GBP Market Data'!BJ72</f>
        <v/>
      </c>
      <c r="BW71" s="263" t="str">
        <f>'GBP Market Data'!BN72</f>
        <v/>
      </c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>'GBP Market Data'!BP72</f>
        <v/>
      </c>
      <c r="CO71" s="263" t="str">
        <f>'GBP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>'GBP Market Data'!B73</f>
        <v/>
      </c>
      <c r="N72" s="224" t="str">
        <f>'GBP Market Data'!F73</f>
        <v/>
      </c>
      <c r="O72" s="85"/>
      <c r="P72" s="85"/>
      <c r="Q72" s="86" t="b">
        <f t="shared" si="0"/>
        <v>0</v>
      </c>
      <c r="S72" s="92"/>
      <c r="T72" s="93"/>
      <c r="Y72" s="229" t="str">
        <f>'GBP Market Data'!H73</f>
        <v/>
      </c>
      <c r="Z72" s="239" t="str">
        <f>'GBP Market Data'!L73</f>
        <v/>
      </c>
      <c r="AE72" s="229" t="str">
        <f>'GBP Market Data'!N73</f>
        <v/>
      </c>
      <c r="AF72" s="230" t="str">
        <f>'GBP Market Data'!R73</f>
        <v/>
      </c>
      <c r="AH72" s="12"/>
      <c r="AI72" s="83"/>
      <c r="AK72" s="51"/>
      <c r="AL72" s="33"/>
      <c r="AN72" s="259" t="str">
        <f>'GBP Market Data'!AF53</f>
        <v/>
      </c>
      <c r="AO72" s="260" t="str">
        <f>'GBP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>'GBP Market Data'!AR73</f>
        <v/>
      </c>
      <c r="BA72" s="312" t="str">
        <f>'GBP Market Data'!AV73</f>
        <v/>
      </c>
      <c r="BB72" s="80" t="b">
        <f t="shared" si="1"/>
        <v>0</v>
      </c>
      <c r="BC72" s="6"/>
      <c r="BD72" s="12"/>
      <c r="BE72" s="83"/>
      <c r="BG72" s="53"/>
      <c r="BH72" s="16"/>
      <c r="BJ72" s="223" t="str">
        <f>'GBP Market Data'!AX73</f>
        <v/>
      </c>
      <c r="BK72" s="263" t="str">
        <f>'GBP Market Data'!BB73</f>
        <v/>
      </c>
      <c r="BM72" s="53"/>
      <c r="BN72" s="16"/>
      <c r="BP72" s="223" t="str">
        <f>'GBP Market Data'!BD73</f>
        <v/>
      </c>
      <c r="BQ72" s="263" t="str">
        <f>'GBP Market Data'!BH73</f>
        <v/>
      </c>
      <c r="BS72" s="53"/>
      <c r="BT72" s="16"/>
      <c r="BV72" s="223" t="str">
        <f>'GBP Market Data'!BJ73</f>
        <v/>
      </c>
      <c r="BW72" s="263" t="str">
        <f>'GBP Market Data'!BN73</f>
        <v/>
      </c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>'GBP Market Data'!BP73</f>
        <v/>
      </c>
      <c r="CO72" s="263" t="str">
        <f>'GBP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>'GBP Market Data'!B74</f>
        <v/>
      </c>
      <c r="N73" s="224" t="str">
        <f>'GBP Market Data'!F74</f>
        <v/>
      </c>
      <c r="O73" s="85"/>
      <c r="P73" s="85"/>
      <c r="Q73" s="86" t="b">
        <f t="shared" ref="Q73:Q78" si="2">IF(M73="",FALSE,TRUE)</f>
        <v>0</v>
      </c>
      <c r="S73" s="92"/>
      <c r="T73" s="93"/>
      <c r="Y73" s="229" t="str">
        <f>'GBP Market Data'!H74</f>
        <v/>
      </c>
      <c r="Z73" s="239" t="str">
        <f>'GBP Market Data'!L74</f>
        <v/>
      </c>
      <c r="AE73" s="229" t="str">
        <f>'GBP Market Data'!N74</f>
        <v/>
      </c>
      <c r="AF73" s="230" t="str">
        <f>'GBP Market Data'!R74</f>
        <v/>
      </c>
      <c r="AH73" s="12"/>
      <c r="AI73" s="83"/>
      <c r="AK73" s="51"/>
      <c r="AL73" s="33"/>
      <c r="AN73" s="259" t="str">
        <f>'GBP Market Data'!AF54</f>
        <v/>
      </c>
      <c r="AO73" s="260" t="str">
        <f>'GBP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>'GBP Market Data'!AR74</f>
        <v/>
      </c>
      <c r="BA73" s="312" t="str">
        <f>'GBP Market Data'!AV74</f>
        <v/>
      </c>
      <c r="BB73" s="80" t="b">
        <f t="shared" si="1"/>
        <v>0</v>
      </c>
      <c r="BC73" s="6"/>
      <c r="BD73" s="12"/>
      <c r="BE73" s="83"/>
      <c r="BG73" s="53"/>
      <c r="BH73" s="16"/>
      <c r="BJ73" s="223" t="str">
        <f>'GBP Market Data'!AX74</f>
        <v/>
      </c>
      <c r="BK73" s="263" t="str">
        <f>'GBP Market Data'!BB74</f>
        <v/>
      </c>
      <c r="BM73" s="53"/>
      <c r="BN73" s="16"/>
      <c r="BP73" s="223" t="str">
        <f>'GBP Market Data'!BD74</f>
        <v/>
      </c>
      <c r="BQ73" s="263" t="str">
        <f>'GBP Market Data'!BH74</f>
        <v/>
      </c>
      <c r="BS73" s="53"/>
      <c r="BT73" s="16"/>
      <c r="BV73" s="223" t="str">
        <f>'GBP Market Data'!BJ74</f>
        <v/>
      </c>
      <c r="BW73" s="263" t="str">
        <f>'GBP Market Data'!BN74</f>
        <v/>
      </c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>'GBP Market Data'!BP74</f>
        <v/>
      </c>
      <c r="CO73" s="263" t="str">
        <f>'GBP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>'GBP Market Data'!B75</f>
        <v/>
      </c>
      <c r="N74" s="224" t="str">
        <f>'GBP Market Data'!F75</f>
        <v/>
      </c>
      <c r="O74" s="85"/>
      <c r="P74" s="85"/>
      <c r="Q74" s="86" t="b">
        <f t="shared" si="2"/>
        <v>0</v>
      </c>
      <c r="S74" s="92"/>
      <c r="T74" s="93"/>
      <c r="Y74" s="229" t="str">
        <f>'GBP Market Data'!H75</f>
        <v/>
      </c>
      <c r="Z74" s="239" t="str">
        <f>'GBP Market Data'!L75</f>
        <v/>
      </c>
      <c r="AE74" s="229" t="str">
        <f>'GBP Market Data'!N75</f>
        <v/>
      </c>
      <c r="AF74" s="230" t="str">
        <f>'GBP Market Data'!R75</f>
        <v/>
      </c>
      <c r="AH74" s="12"/>
      <c r="AI74" s="83"/>
      <c r="AK74" s="51"/>
      <c r="AL74" s="33"/>
      <c r="AN74" s="259" t="str">
        <f>'GBP Market Data'!AF55</f>
        <v/>
      </c>
      <c r="AO74" s="260" t="str">
        <f>'GBP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>'GBP Market Data'!AR75</f>
        <v/>
      </c>
      <c r="BA74" s="312" t="str">
        <f>'GBP Market Data'!AV75</f>
        <v/>
      </c>
      <c r="BB74" s="80" t="b">
        <f t="shared" ref="BB74:BB78" si="3">IF(AZ74="",FALSE,TRUE)</f>
        <v>0</v>
      </c>
      <c r="BC74" s="6"/>
      <c r="BD74" s="12"/>
      <c r="BE74" s="83"/>
      <c r="BG74" s="53"/>
      <c r="BH74" s="16"/>
      <c r="BJ74" s="223" t="str">
        <f>'GBP Market Data'!AX75</f>
        <v/>
      </c>
      <c r="BK74" s="263" t="str">
        <f>'GBP Market Data'!BB75</f>
        <v/>
      </c>
      <c r="BM74" s="53"/>
      <c r="BN74" s="16"/>
      <c r="BP74" s="223" t="str">
        <f>'GBP Market Data'!BD75</f>
        <v/>
      </c>
      <c r="BQ74" s="263" t="str">
        <f>'GBP Market Data'!BH75</f>
        <v/>
      </c>
      <c r="BS74" s="53"/>
      <c r="BT74" s="16"/>
      <c r="BV74" s="223" t="str">
        <f>'GBP Market Data'!BJ75</f>
        <v/>
      </c>
      <c r="BW74" s="263" t="str">
        <f>'GBP Market Data'!BN75</f>
        <v/>
      </c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>'GBP Market Data'!BP75</f>
        <v/>
      </c>
      <c r="CO74" s="263" t="str">
        <f>'GBP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>'GBP Market Data'!B76</f>
        <v/>
      </c>
      <c r="N75" s="224" t="str">
        <f>'GBP Market Data'!F76</f>
        <v/>
      </c>
      <c r="O75" s="85"/>
      <c r="P75" s="85"/>
      <c r="Q75" s="86" t="b">
        <f t="shared" si="2"/>
        <v>0</v>
      </c>
      <c r="S75" s="92"/>
      <c r="T75" s="93"/>
      <c r="Y75" s="229" t="str">
        <f>'GBP Market Data'!H76</f>
        <v/>
      </c>
      <c r="Z75" s="239" t="str">
        <f>'GBP Market Data'!L76</f>
        <v/>
      </c>
      <c r="AE75" s="229" t="str">
        <f>'GBP Market Data'!N76</f>
        <v/>
      </c>
      <c r="AF75" s="230" t="str">
        <f>'GBP Market Data'!R76</f>
        <v/>
      </c>
      <c r="AH75" s="12"/>
      <c r="AI75" s="83"/>
      <c r="AK75" s="51"/>
      <c r="AL75" s="33"/>
      <c r="AN75" s="259" t="str">
        <f>'GBP Market Data'!AF56</f>
        <v/>
      </c>
      <c r="AO75" s="260" t="str">
        <f>'GBP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>'GBP Market Data'!AR76</f>
        <v/>
      </c>
      <c r="BA75" s="312" t="str">
        <f>'GBP Market Data'!AV76</f>
        <v/>
      </c>
      <c r="BB75" s="80" t="b">
        <f t="shared" si="3"/>
        <v>0</v>
      </c>
      <c r="BC75" s="6"/>
      <c r="BD75" s="12"/>
      <c r="BE75" s="83"/>
      <c r="BG75" s="53"/>
      <c r="BH75" s="16"/>
      <c r="BJ75" s="223" t="str">
        <f>'GBP Market Data'!AX76</f>
        <v/>
      </c>
      <c r="BK75" s="263" t="str">
        <f>'GBP Market Data'!BB76</f>
        <v/>
      </c>
      <c r="BM75" s="53"/>
      <c r="BN75" s="16"/>
      <c r="BP75" s="223" t="str">
        <f>'GBP Market Data'!BD76</f>
        <v/>
      </c>
      <c r="BQ75" s="263" t="str">
        <f>'GBP Market Data'!BH76</f>
        <v/>
      </c>
      <c r="BS75" s="53"/>
      <c r="BT75" s="16"/>
      <c r="BV75" s="223" t="str">
        <f>'GBP Market Data'!BJ76</f>
        <v/>
      </c>
      <c r="BW75" s="263" t="str">
        <f>'GBP Market Data'!BN76</f>
        <v/>
      </c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>'GBP Market Data'!BP76</f>
        <v/>
      </c>
      <c r="CO75" s="263" t="str">
        <f>'GBP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>'GBP Market Data'!B77</f>
        <v/>
      </c>
      <c r="N76" s="224" t="str">
        <f>'GBP Market Data'!F77</f>
        <v/>
      </c>
      <c r="O76" s="85"/>
      <c r="P76" s="85"/>
      <c r="Q76" s="86" t="b">
        <f t="shared" si="2"/>
        <v>0</v>
      </c>
      <c r="S76" s="92"/>
      <c r="T76" s="93"/>
      <c r="Y76" s="229" t="str">
        <f>'GBP Market Data'!H77</f>
        <v/>
      </c>
      <c r="Z76" s="239" t="str">
        <f>'GBP Market Data'!L77</f>
        <v/>
      </c>
      <c r="AE76" s="229" t="str">
        <f>'GBP Market Data'!N77</f>
        <v/>
      </c>
      <c r="AF76" s="230" t="str">
        <f>'GBP Market Data'!R77</f>
        <v/>
      </c>
      <c r="AH76" s="12"/>
      <c r="AI76" s="83"/>
      <c r="AK76" s="51"/>
      <c r="AL76" s="33"/>
      <c r="AN76" s="259" t="str">
        <f>'GBP Market Data'!AF57</f>
        <v/>
      </c>
      <c r="AO76" s="260" t="str">
        <f>'GBP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>'GBP Market Data'!AR77</f>
        <v/>
      </c>
      <c r="BA76" s="312" t="str">
        <f>'GBP Market Data'!AV77</f>
        <v/>
      </c>
      <c r="BB76" s="80" t="b">
        <f t="shared" si="3"/>
        <v>0</v>
      </c>
      <c r="BC76" s="6"/>
      <c r="BD76" s="12"/>
      <c r="BE76" s="83"/>
      <c r="BG76" s="53"/>
      <c r="BH76" s="16"/>
      <c r="BJ76" s="223" t="str">
        <f>'GBP Market Data'!AX77</f>
        <v/>
      </c>
      <c r="BK76" s="263" t="str">
        <f>'GBP Market Data'!BB77</f>
        <v/>
      </c>
      <c r="BM76" s="53"/>
      <c r="BN76" s="16"/>
      <c r="BP76" s="223" t="str">
        <f>'GBP Market Data'!BD77</f>
        <v/>
      </c>
      <c r="BQ76" s="263" t="str">
        <f>'GBP Market Data'!BH77</f>
        <v/>
      </c>
      <c r="BS76" s="53"/>
      <c r="BT76" s="16"/>
      <c r="BV76" s="223" t="str">
        <f>'GBP Market Data'!BJ77</f>
        <v/>
      </c>
      <c r="BW76" s="263" t="str">
        <f>'GBP Market Data'!BN77</f>
        <v/>
      </c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>'GBP Market Data'!BP77</f>
        <v/>
      </c>
      <c r="CO76" s="263" t="str">
        <f>'GBP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>'GBP Market Data'!B78</f>
        <v/>
      </c>
      <c r="N77" s="224" t="str">
        <f>'GBP Market Data'!F78</f>
        <v/>
      </c>
      <c r="O77" s="85"/>
      <c r="P77" s="85"/>
      <c r="Q77" s="86" t="b">
        <f t="shared" si="2"/>
        <v>0</v>
      </c>
      <c r="S77" s="94"/>
      <c r="T77" s="23"/>
      <c r="Y77" s="229" t="str">
        <f>'GBP Market Data'!H78</f>
        <v/>
      </c>
      <c r="Z77" s="239" t="str">
        <f>'GBP Market Data'!L78</f>
        <v/>
      </c>
      <c r="AE77" s="229" t="str">
        <f>'GBP Market Data'!N78</f>
        <v/>
      </c>
      <c r="AF77" s="231" t="str">
        <f>'GBP Market Data'!R78</f>
        <v/>
      </c>
      <c r="AH77" s="12"/>
      <c r="AI77" s="83"/>
      <c r="AK77" s="51"/>
      <c r="AL77" s="33"/>
      <c r="AN77" s="259" t="str">
        <f>'GBP Market Data'!AF58</f>
        <v/>
      </c>
      <c r="AO77" s="260" t="str">
        <f>'GBP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>'GBP Market Data'!AR78</f>
        <v/>
      </c>
      <c r="BA77" s="312" t="str">
        <f>'GBP Market Data'!AV78</f>
        <v/>
      </c>
      <c r="BB77" s="80" t="b">
        <f t="shared" si="3"/>
        <v>0</v>
      </c>
      <c r="BC77" s="6"/>
      <c r="BD77" s="12"/>
      <c r="BE77" s="83"/>
      <c r="BG77" s="53"/>
      <c r="BH77" s="16"/>
      <c r="BJ77" s="223" t="str">
        <f>'GBP Market Data'!AX78</f>
        <v/>
      </c>
      <c r="BK77" s="263" t="str">
        <f>'GBP Market Data'!BB78</f>
        <v/>
      </c>
      <c r="BM77" s="53"/>
      <c r="BN77" s="16"/>
      <c r="BP77" s="223" t="str">
        <f>'GBP Market Data'!BD78</f>
        <v/>
      </c>
      <c r="BQ77" s="263" t="str">
        <f>'GBP Market Data'!BH78</f>
        <v/>
      </c>
      <c r="BS77" s="53"/>
      <c r="BT77" s="16"/>
      <c r="BV77" s="223" t="str">
        <f>'GBP Market Data'!BJ78</f>
        <v/>
      </c>
      <c r="BW77" s="263" t="str">
        <f>'GBP Market Data'!BN78</f>
        <v/>
      </c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>'GBP Market Data'!BP78</f>
        <v/>
      </c>
      <c r="CO77" s="263" t="str">
        <f>'GBP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>'GBP Market Data'!B79</f>
        <v/>
      </c>
      <c r="N78" s="226" t="str">
        <f>'GBP Market Data'!F79</f>
        <v/>
      </c>
      <c r="O78" s="88"/>
      <c r="P78" s="88"/>
      <c r="Q78" s="89" t="b">
        <f t="shared" si="2"/>
        <v>0</v>
      </c>
      <c r="S78" s="95"/>
      <c r="T78" s="25"/>
      <c r="Y78" s="232" t="str">
        <f>'GBP Market Data'!H79</f>
        <v/>
      </c>
      <c r="Z78" s="240" t="str">
        <f>'GBP Market Data'!L79</f>
        <v/>
      </c>
      <c r="AE78" s="232" t="str">
        <f>'GBP Market Data'!N79</f>
        <v/>
      </c>
      <c r="AF78" s="233" t="str">
        <f>'GBP Market Data'!R79</f>
        <v/>
      </c>
      <c r="AH78" s="13"/>
      <c r="AI78" s="103"/>
      <c r="AK78" s="58"/>
      <c r="AL78" s="34"/>
      <c r="AN78" s="261" t="str">
        <f>'GBP Market Data'!AF59</f>
        <v/>
      </c>
      <c r="AO78" s="262" t="str">
        <f>'GBP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>'GBP Market Data'!AR79</f>
        <v/>
      </c>
      <c r="BA78" s="313" t="str">
        <f>'GBP Market Data'!AV79</f>
        <v/>
      </c>
      <c r="BB78" s="82" t="b">
        <f t="shared" si="3"/>
        <v>0</v>
      </c>
      <c r="BC78" s="6"/>
      <c r="BD78" s="13"/>
      <c r="BE78" s="103"/>
      <c r="BG78" s="59"/>
      <c r="BH78" s="17"/>
      <c r="BJ78" s="225" t="str">
        <f>'GBP Market Data'!AX79</f>
        <v/>
      </c>
      <c r="BK78" s="264" t="str">
        <f>'GBP Market Data'!BB79</f>
        <v/>
      </c>
      <c r="BM78" s="59"/>
      <c r="BN78" s="17"/>
      <c r="BP78" s="225" t="str">
        <f>'GBP Market Data'!BD79</f>
        <v/>
      </c>
      <c r="BQ78" s="264" t="str">
        <f>'GBP Market Data'!BH79</f>
        <v/>
      </c>
      <c r="BS78" s="59"/>
      <c r="BT78" s="17"/>
      <c r="BV78" s="225" t="str">
        <f>'GBP Market Data'!BJ79</f>
        <v/>
      </c>
      <c r="BW78" s="264" t="str">
        <f>'GBP Market Data'!BN79</f>
        <v/>
      </c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>'GBP Market Data'!BP79</f>
        <v/>
      </c>
      <c r="CO78" s="264" t="str">
        <f>'GBP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9" tint="-0.249977111117893"/>
  </sheetPr>
  <dimension ref="A2:DA101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30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8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2" spans="2:105">
      <c r="B2" s="1"/>
    </row>
    <row r="5" spans="2:105" s="126" customFormat="1" ht="23.25">
      <c r="B5" s="125" t="s">
        <v>7</v>
      </c>
      <c r="G5" s="125" t="s">
        <v>10</v>
      </c>
      <c r="J5" s="125"/>
      <c r="N5" s="127"/>
      <c r="AH5" s="125" t="s">
        <v>271</v>
      </c>
      <c r="AN5" s="2" t="s">
        <v>179</v>
      </c>
      <c r="AO5"/>
      <c r="AQ5" s="2" t="s">
        <v>178</v>
      </c>
      <c r="AR5"/>
      <c r="AS5"/>
      <c r="AT5"/>
      <c r="AU5"/>
      <c r="BD5" s="125" t="s">
        <v>11</v>
      </c>
      <c r="BG5" s="125" t="s">
        <v>277</v>
      </c>
      <c r="BK5" s="127"/>
      <c r="BM5" s="125" t="s">
        <v>330</v>
      </c>
      <c r="BS5" s="125" t="s">
        <v>280</v>
      </c>
      <c r="BY5" s="125" t="s">
        <v>52</v>
      </c>
      <c r="CB5" s="125"/>
      <c r="CQ5" s="125" t="s">
        <v>281</v>
      </c>
    </row>
    <row r="6" spans="2:105">
      <c r="AN6" s="11" t="s">
        <v>167</v>
      </c>
      <c r="AO6" s="31" t="s">
        <v>203</v>
      </c>
      <c r="AQ6" s="63" t="s">
        <v>167</v>
      </c>
      <c r="AR6" s="35"/>
      <c r="AS6" s="20"/>
      <c r="AT6" s="291" t="s">
        <v>993</v>
      </c>
      <c r="AU6" s="21"/>
      <c r="CO6" s="10"/>
    </row>
    <row r="7" spans="2:105">
      <c r="B7" s="2" t="s">
        <v>979</v>
      </c>
      <c r="C7" s="9"/>
      <c r="F7" t="s">
        <v>12</v>
      </c>
      <c r="G7" s="2" t="s">
        <v>272</v>
      </c>
      <c r="H7" s="9"/>
      <c r="J7" s="2" t="s">
        <v>175</v>
      </c>
      <c r="M7" s="2" t="s">
        <v>174</v>
      </c>
      <c r="S7" s="2" t="s">
        <v>1463</v>
      </c>
      <c r="V7" s="2" t="s">
        <v>1447</v>
      </c>
      <c r="Y7" s="2" t="s">
        <v>933</v>
      </c>
      <c r="AB7" s="2" t="s">
        <v>1446</v>
      </c>
      <c r="AE7" s="2" t="s">
        <v>932</v>
      </c>
      <c r="AH7" s="2" t="s">
        <v>272</v>
      </c>
      <c r="AI7" s="9"/>
      <c r="AK7" s="2" t="s">
        <v>180</v>
      </c>
      <c r="AN7" s="12" t="s">
        <v>126</v>
      </c>
      <c r="AO7" s="16" t="s">
        <v>205</v>
      </c>
      <c r="AQ7" s="54" t="s">
        <v>126</v>
      </c>
      <c r="AR7" s="36"/>
      <c r="AS7" s="22"/>
      <c r="AT7" s="283" t="s">
        <v>379</v>
      </c>
      <c r="AU7" s="281" t="b">
        <v>1</v>
      </c>
      <c r="AW7" s="2" t="s">
        <v>177</v>
      </c>
      <c r="AZ7" s="5" t="s">
        <v>176</v>
      </c>
      <c r="BA7" s="6"/>
      <c r="BB7" s="6"/>
      <c r="BC7" s="6"/>
      <c r="BD7" s="2" t="s">
        <v>272</v>
      </c>
      <c r="BE7" s="9"/>
      <c r="BG7" s="2" t="s">
        <v>173</v>
      </c>
      <c r="BJ7" s="2" t="s">
        <v>172</v>
      </c>
      <c r="BM7" s="2" t="s">
        <v>331</v>
      </c>
      <c r="BP7" s="2" t="s">
        <v>170</v>
      </c>
      <c r="BS7" s="2" t="s">
        <v>273</v>
      </c>
      <c r="BV7" s="2" t="s">
        <v>306</v>
      </c>
      <c r="BY7" s="2" t="s">
        <v>272</v>
      </c>
      <c r="BZ7" s="9"/>
      <c r="CB7" s="2" t="s">
        <v>169</v>
      </c>
      <c r="CC7" s="131" t="s">
        <v>181</v>
      </c>
      <c r="CE7" s="2"/>
      <c r="CF7" s="131" t="s">
        <v>181</v>
      </c>
      <c r="CH7" s="2"/>
      <c r="CI7" s="131" t="s">
        <v>181</v>
      </c>
      <c r="CK7" s="2"/>
      <c r="CL7" s="131" t="s">
        <v>181</v>
      </c>
      <c r="CN7" s="2" t="s">
        <v>168</v>
      </c>
      <c r="CQ7" s="2" t="s">
        <v>272</v>
      </c>
      <c r="CR7" s="9"/>
      <c r="CT7" s="2" t="s">
        <v>282</v>
      </c>
      <c r="CW7" s="2" t="s">
        <v>283</v>
      </c>
      <c r="CZ7" s="2" t="s">
        <v>284</v>
      </c>
    </row>
    <row r="8" spans="2:105">
      <c r="B8" s="52" t="s">
        <v>189</v>
      </c>
      <c r="C8" s="112" t="s">
        <v>1820</v>
      </c>
      <c r="D8" s="113"/>
      <c r="E8" s="114"/>
      <c r="F8" t="s">
        <v>12</v>
      </c>
      <c r="G8" s="52" t="s">
        <v>164</v>
      </c>
      <c r="H8" s="105">
        <f ca="1">COB</f>
        <v>43224</v>
      </c>
      <c r="J8" s="69" t="s">
        <v>167</v>
      </c>
      <c r="K8" s="31" t="s">
        <v>200</v>
      </c>
      <c r="M8" s="71" t="s">
        <v>74</v>
      </c>
      <c r="N8" s="72" t="s">
        <v>73</v>
      </c>
      <c r="O8" s="72" t="s">
        <v>134</v>
      </c>
      <c r="P8" s="72" t="s">
        <v>133</v>
      </c>
      <c r="Q8" s="73" t="s">
        <v>379</v>
      </c>
      <c r="S8" s="64" t="s">
        <v>166</v>
      </c>
      <c r="T8" s="65" t="s">
        <v>73</v>
      </c>
      <c r="V8" s="69" t="s">
        <v>113</v>
      </c>
      <c r="W8" s="31"/>
      <c r="Y8" s="64" t="s">
        <v>74</v>
      </c>
      <c r="Z8" s="65" t="s">
        <v>73</v>
      </c>
      <c r="AB8" s="69" t="s">
        <v>167</v>
      </c>
      <c r="AC8" s="31" t="s">
        <v>200</v>
      </c>
      <c r="AE8" s="64" t="s">
        <v>74</v>
      </c>
      <c r="AF8" s="65" t="s">
        <v>73</v>
      </c>
      <c r="AH8" s="52" t="s">
        <v>164</v>
      </c>
      <c r="AI8" s="105">
        <f ca="1">COB</f>
        <v>43224</v>
      </c>
      <c r="AK8" s="52" t="s">
        <v>167</v>
      </c>
      <c r="AL8" s="31" t="s">
        <v>201</v>
      </c>
      <c r="AN8" s="12" t="s">
        <v>130</v>
      </c>
      <c r="AO8" s="16" t="s">
        <v>41</v>
      </c>
      <c r="AQ8" s="54" t="s">
        <v>130</v>
      </c>
      <c r="AR8" s="37"/>
      <c r="AS8" s="22"/>
      <c r="AT8" s="289" t="s">
        <v>994</v>
      </c>
      <c r="AU8" s="290">
        <v>0.03</v>
      </c>
      <c r="AW8" s="52" t="s">
        <v>167</v>
      </c>
      <c r="AX8" s="111" t="s">
        <v>203</v>
      </c>
      <c r="AZ8" s="67" t="s">
        <v>74</v>
      </c>
      <c r="BA8" s="77" t="s">
        <v>73</v>
      </c>
      <c r="BB8" s="78" t="s">
        <v>379</v>
      </c>
      <c r="BC8" s="6"/>
      <c r="BD8" s="52" t="s">
        <v>164</v>
      </c>
      <c r="BE8" s="105">
        <f ca="1">COB</f>
        <v>43224</v>
      </c>
      <c r="BG8" s="74" t="s">
        <v>165</v>
      </c>
      <c r="BH8" s="96" t="s">
        <v>304</v>
      </c>
      <c r="BJ8" s="64" t="s">
        <v>74</v>
      </c>
      <c r="BK8" s="66" t="s">
        <v>73</v>
      </c>
      <c r="BM8" s="74" t="s">
        <v>165</v>
      </c>
      <c r="BN8" s="96" t="s">
        <v>333</v>
      </c>
      <c r="BP8" s="64" t="s">
        <v>74</v>
      </c>
      <c r="BQ8" s="66" t="s">
        <v>73</v>
      </c>
      <c r="BS8" s="74" t="s">
        <v>165</v>
      </c>
      <c r="BT8" s="96" t="s">
        <v>305</v>
      </c>
      <c r="BV8" s="64" t="s">
        <v>74</v>
      </c>
      <c r="BW8" s="66" t="s">
        <v>73</v>
      </c>
      <c r="BY8" s="52" t="s">
        <v>164</v>
      </c>
      <c r="BZ8" s="105">
        <f ca="1">COB</f>
        <v>43224</v>
      </c>
      <c r="CB8" s="74" t="s">
        <v>165</v>
      </c>
      <c r="CC8" s="96" t="s">
        <v>161</v>
      </c>
      <c r="CE8" s="74" t="s">
        <v>165</v>
      </c>
      <c r="CF8" s="96" t="s">
        <v>161</v>
      </c>
      <c r="CH8" s="74" t="s">
        <v>165</v>
      </c>
      <c r="CI8" s="96" t="s">
        <v>161</v>
      </c>
      <c r="CK8" s="74" t="s">
        <v>165</v>
      </c>
      <c r="CL8" s="96" t="s">
        <v>161</v>
      </c>
      <c r="CN8" s="71" t="s">
        <v>74</v>
      </c>
      <c r="CO8" s="73" t="s">
        <v>73</v>
      </c>
      <c r="CQ8" s="52" t="s">
        <v>164</v>
      </c>
      <c r="CR8" s="105">
        <f ca="1">COB</f>
        <v>43224</v>
      </c>
      <c r="CT8" s="52" t="s">
        <v>204</v>
      </c>
      <c r="CU8" s="30" t="s">
        <v>1050</v>
      </c>
      <c r="CW8" s="52" t="s">
        <v>204</v>
      </c>
      <c r="CX8" s="30" t="s">
        <v>1052</v>
      </c>
      <c r="CZ8" s="52" t="s">
        <v>204</v>
      </c>
      <c r="DA8" s="30" t="s">
        <v>1054</v>
      </c>
    </row>
    <row r="9" spans="2:105">
      <c r="B9" s="53" t="s">
        <v>61</v>
      </c>
      <c r="C9" s="115" t="s">
        <v>1026</v>
      </c>
      <c r="D9" s="116"/>
      <c r="E9" s="117"/>
      <c r="F9" t="s">
        <v>12</v>
      </c>
      <c r="G9" s="53" t="s">
        <v>156</v>
      </c>
      <c r="H9" s="83" t="s">
        <v>188</v>
      </c>
      <c r="J9" s="70" t="s">
        <v>126</v>
      </c>
      <c r="K9" s="16" t="s">
        <v>186</v>
      </c>
      <c r="L9" s="203"/>
      <c r="M9" s="223" t="str">
        <f>'JPY Market Data'!B10</f>
        <v>ON</v>
      </c>
      <c r="N9" s="224">
        <f>'JPY Market Data'!F10</f>
        <v>-6.8000000000000005E-4</v>
      </c>
      <c r="O9" s="85"/>
      <c r="P9" s="85"/>
      <c r="Q9" s="86" t="b">
        <f t="shared" ref="Q9:Q72" si="0">IF(M9="",FALSE,TRUE)</f>
        <v>1</v>
      </c>
      <c r="S9" s="90"/>
      <c r="T9" s="91"/>
      <c r="V9" s="70" t="s">
        <v>120</v>
      </c>
      <c r="W9" s="16"/>
      <c r="Y9" s="227" t="str">
        <f>'JPY Market Data'!H10</f>
        <v/>
      </c>
      <c r="Z9" s="238" t="str">
        <f>'JPY Market Data'!L10</f>
        <v/>
      </c>
      <c r="AB9" s="70" t="s">
        <v>252</v>
      </c>
      <c r="AC9" s="16" t="s">
        <v>251</v>
      </c>
      <c r="AE9" s="227" t="str">
        <f>'JPY Market Data'!N10</f>
        <v/>
      </c>
      <c r="AF9" s="228" t="str">
        <f>'JPY Market Data'!R10</f>
        <v/>
      </c>
      <c r="AH9" s="53" t="s">
        <v>156</v>
      </c>
      <c r="AI9" s="83" t="s">
        <v>188</v>
      </c>
      <c r="AK9" s="53" t="s">
        <v>126</v>
      </c>
      <c r="AL9" s="16" t="s">
        <v>205</v>
      </c>
      <c r="AN9" s="12" t="s">
        <v>111</v>
      </c>
      <c r="AO9" s="16" t="s">
        <v>38</v>
      </c>
      <c r="AQ9" s="12" t="s">
        <v>111</v>
      </c>
      <c r="AR9" s="36"/>
      <c r="AS9" s="22"/>
      <c r="AT9" s="284" t="s">
        <v>132</v>
      </c>
      <c r="AU9" s="282">
        <v>8.9999999999999993E-3</v>
      </c>
      <c r="AW9" s="53" t="s">
        <v>126</v>
      </c>
      <c r="AX9" s="83" t="s">
        <v>251</v>
      </c>
      <c r="AZ9" s="259" t="str">
        <f>'JPY Market Data'!AR10</f>
        <v>2Y</v>
      </c>
      <c r="BA9" s="312">
        <f>'JPY Market Data'!AV10</f>
        <v>5.375E-4</v>
      </c>
      <c r="BB9" s="86" t="b">
        <f>IF(AZ9="",FALSE,TRUE)</f>
        <v>1</v>
      </c>
      <c r="BC9" s="6"/>
      <c r="BD9" s="53" t="s">
        <v>156</v>
      </c>
      <c r="BE9" s="83" t="s">
        <v>188</v>
      </c>
      <c r="BG9" s="75" t="s">
        <v>163</v>
      </c>
      <c r="BH9" s="97" t="s">
        <v>162</v>
      </c>
      <c r="BJ9" s="223" t="str">
        <f>'JPY Market Data'!AX10</f>
        <v>1Y</v>
      </c>
      <c r="BK9" s="263">
        <f>'JPY Market Data'!BB10</f>
        <v>3.6249999999999998E-4</v>
      </c>
      <c r="BM9" s="75" t="s">
        <v>163</v>
      </c>
      <c r="BN9" s="97" t="s">
        <v>162</v>
      </c>
      <c r="BP9" s="223" t="str">
        <f>'JPY Market Data'!BD10</f>
        <v>1Y</v>
      </c>
      <c r="BQ9" s="263">
        <f>'JPY Market Data'!BH10</f>
        <v>5.375E-4</v>
      </c>
      <c r="BS9" s="75"/>
      <c r="BT9" s="97"/>
      <c r="BV9" s="84"/>
      <c r="BW9" s="98"/>
      <c r="BY9" s="53" t="s">
        <v>156</v>
      </c>
      <c r="BZ9" s="83" t="s">
        <v>188</v>
      </c>
      <c r="CB9" s="75" t="s">
        <v>244</v>
      </c>
      <c r="CC9" s="97" t="s">
        <v>162</v>
      </c>
      <c r="CE9" s="75" t="s">
        <v>163</v>
      </c>
      <c r="CF9" s="97" t="s">
        <v>162</v>
      </c>
      <c r="CH9" s="75" t="s">
        <v>163</v>
      </c>
      <c r="CI9" s="97" t="s">
        <v>162</v>
      </c>
      <c r="CK9" s="75" t="s">
        <v>163</v>
      </c>
      <c r="CL9" s="97" t="s">
        <v>162</v>
      </c>
      <c r="CN9" s="223" t="str">
        <f>'JPY Market Data'!BP10</f>
        <v>1Y</v>
      </c>
      <c r="CO9" s="263">
        <f>'JPY Market Data'!BT10</f>
        <v>-3.5249999999999999E-3</v>
      </c>
      <c r="CQ9" s="53" t="s">
        <v>156</v>
      </c>
      <c r="CR9" s="83" t="s">
        <v>188</v>
      </c>
      <c r="CT9" s="53" t="s">
        <v>208</v>
      </c>
      <c r="CU9" s="28" t="s">
        <v>1051</v>
      </c>
      <c r="CW9" s="53" t="s">
        <v>208</v>
      </c>
      <c r="CX9" s="28" t="s">
        <v>1053</v>
      </c>
      <c r="CZ9" s="53" t="s">
        <v>208</v>
      </c>
      <c r="DA9" s="28" t="s">
        <v>1055</v>
      </c>
    </row>
    <row r="10" spans="2:105">
      <c r="B10" s="53" t="s">
        <v>194</v>
      </c>
      <c r="C10" s="118" t="s">
        <v>1027</v>
      </c>
      <c r="D10" s="119"/>
      <c r="E10" s="120"/>
      <c r="F10" t="s">
        <v>12</v>
      </c>
      <c r="G10" s="53" t="s">
        <v>97</v>
      </c>
      <c r="H10" s="83" t="s">
        <v>2261</v>
      </c>
      <c r="I10" t="s">
        <v>12</v>
      </c>
      <c r="J10" s="70" t="s">
        <v>118</v>
      </c>
      <c r="K10" s="16" t="s">
        <v>146</v>
      </c>
      <c r="L10" s="203"/>
      <c r="M10" s="223" t="str">
        <f>'JPY Market Data'!B11</f>
        <v>1M</v>
      </c>
      <c r="N10" s="224">
        <f>'JPY Market Data'!F11</f>
        <v>-5.5000000000000003E-4</v>
      </c>
      <c r="O10" s="85"/>
      <c r="P10" s="85"/>
      <c r="Q10" s="86" t="b">
        <f t="shared" si="0"/>
        <v>1</v>
      </c>
      <c r="S10" s="92"/>
      <c r="T10" s="93"/>
      <c r="V10" s="70" t="s">
        <v>1</v>
      </c>
      <c r="W10" s="16"/>
      <c r="Y10" s="229" t="str">
        <f>'JPY Market Data'!H11</f>
        <v/>
      </c>
      <c r="Z10" s="239" t="str">
        <f>'JPY Market Data'!L11</f>
        <v/>
      </c>
      <c r="AB10" s="70" t="s">
        <v>977</v>
      </c>
      <c r="AC10" s="16" t="s">
        <v>995</v>
      </c>
      <c r="AE10" s="229" t="str">
        <f>'JPY Market Data'!N11</f>
        <v/>
      </c>
      <c r="AF10" s="230" t="str">
        <f>'JPY Market Data'!R11</f>
        <v/>
      </c>
      <c r="AH10" s="53" t="s">
        <v>1</v>
      </c>
      <c r="AI10" s="83" t="s">
        <v>2034</v>
      </c>
      <c r="AJ10" s="995" t="s">
        <v>12</v>
      </c>
      <c r="AK10" s="53" t="s">
        <v>111</v>
      </c>
      <c r="AL10" s="16" t="s">
        <v>209</v>
      </c>
      <c r="AN10" s="54" t="s">
        <v>119</v>
      </c>
      <c r="AO10" s="16" t="b">
        <v>0</v>
      </c>
      <c r="AQ10" s="12" t="str">
        <f>IF($AU$7,"MeanReversion","")</f>
        <v>MeanReversion</v>
      </c>
      <c r="AR10" s="414"/>
      <c r="AS10" s="22"/>
      <c r="AT10" s="22"/>
      <c r="AU10" s="23"/>
      <c r="AW10" s="53" t="s">
        <v>252</v>
      </c>
      <c r="AX10" s="83" t="s">
        <v>251</v>
      </c>
      <c r="AZ10" s="259" t="str">
        <f>'JPY Market Data'!AR11</f>
        <v>3Y</v>
      </c>
      <c r="BA10" s="312">
        <f>'JPY Market Data'!AV11</f>
        <v>7.000000000000001E-4</v>
      </c>
      <c r="BB10" s="80" t="b">
        <f t="shared" ref="BB10:BB73" si="1">IF(AZ10="",FALSE,TRUE)</f>
        <v>1</v>
      </c>
      <c r="BC10" s="6"/>
      <c r="BD10" s="53" t="s">
        <v>137</v>
      </c>
      <c r="BE10" s="83" t="s">
        <v>2261</v>
      </c>
      <c r="BF10" t="s">
        <v>12</v>
      </c>
      <c r="BG10" s="53" t="s">
        <v>155</v>
      </c>
      <c r="BH10" s="16" t="s">
        <v>203</v>
      </c>
      <c r="BJ10" s="223" t="str">
        <f>'JPY Market Data'!AX11</f>
        <v>2Y</v>
      </c>
      <c r="BK10" s="263">
        <f>'JPY Market Data'!BB11</f>
        <v>2.9999999999999997E-4</v>
      </c>
      <c r="BM10" s="53" t="s">
        <v>155</v>
      </c>
      <c r="BN10" s="16" t="s">
        <v>203</v>
      </c>
      <c r="BP10" s="223" t="str">
        <f>'JPY Market Data'!BD11</f>
        <v>2Y</v>
      </c>
      <c r="BQ10" s="263">
        <f>'JPY Market Data'!BH11</f>
        <v>4.75E-4</v>
      </c>
      <c r="BS10" s="53"/>
      <c r="BT10" s="16"/>
      <c r="BV10" s="84"/>
      <c r="BW10" s="98"/>
      <c r="BY10" s="53" t="s">
        <v>137</v>
      </c>
      <c r="BZ10" s="83" t="s">
        <v>2261</v>
      </c>
      <c r="CA10" t="s">
        <v>12</v>
      </c>
      <c r="CB10" s="53" t="s">
        <v>206</v>
      </c>
      <c r="CC10" s="100" t="s">
        <v>207</v>
      </c>
      <c r="CE10" s="53" t="s">
        <v>155</v>
      </c>
      <c r="CF10" s="100" t="s">
        <v>207</v>
      </c>
      <c r="CH10" s="53" t="s">
        <v>155</v>
      </c>
      <c r="CI10" s="100" t="s">
        <v>308</v>
      </c>
      <c r="CK10" s="53" t="s">
        <v>155</v>
      </c>
      <c r="CL10" s="100" t="s">
        <v>207</v>
      </c>
      <c r="CN10" s="223" t="str">
        <f>'JPY Market Data'!BP11</f>
        <v>2Y</v>
      </c>
      <c r="CO10" s="263">
        <f>'JPY Market Data'!BT11</f>
        <v>-4.0875E-3</v>
      </c>
      <c r="CQ10" s="53" t="s">
        <v>137</v>
      </c>
      <c r="CR10" s="83" t="s">
        <v>2261</v>
      </c>
      <c r="CS10" t="s">
        <v>12</v>
      </c>
      <c r="CT10" s="53" t="s">
        <v>212</v>
      </c>
      <c r="CU10" s="128" t="s">
        <v>196</v>
      </c>
      <c r="CW10" s="53" t="s">
        <v>212</v>
      </c>
      <c r="CX10" s="128" t="s">
        <v>196</v>
      </c>
      <c r="CZ10" s="53" t="s">
        <v>212</v>
      </c>
      <c r="DA10" s="128" t="s">
        <v>196</v>
      </c>
    </row>
    <row r="11" spans="2:105">
      <c r="B11" s="53" t="s">
        <v>199</v>
      </c>
      <c r="C11" s="118" t="s">
        <v>1028</v>
      </c>
      <c r="D11" s="119"/>
      <c r="E11" s="120"/>
      <c r="F11" t="s">
        <v>12</v>
      </c>
      <c r="G11" s="53"/>
      <c r="H11" s="83"/>
      <c r="J11" s="70" t="s">
        <v>144</v>
      </c>
      <c r="K11" s="16" t="s">
        <v>143</v>
      </c>
      <c r="L11" s="203"/>
      <c r="M11" s="223" t="str">
        <f>'JPY Market Data'!B12</f>
        <v>3M</v>
      </c>
      <c r="N11" s="224">
        <f>'JPY Market Data'!F12</f>
        <v>-5.375E-4</v>
      </c>
      <c r="O11" s="85"/>
      <c r="P11" s="85"/>
      <c r="Q11" s="86" t="b">
        <f t="shared" si="0"/>
        <v>1</v>
      </c>
      <c r="S11" s="92"/>
      <c r="T11" s="93"/>
      <c r="V11" s="70" t="s">
        <v>88</v>
      </c>
      <c r="W11" s="16"/>
      <c r="Y11" s="229" t="str">
        <f>'JPY Market Data'!H12</f>
        <v/>
      </c>
      <c r="Z11" s="239" t="str">
        <f>'JPY Market Data'!L12</f>
        <v/>
      </c>
      <c r="AB11" s="70" t="s">
        <v>111</v>
      </c>
      <c r="AC11" s="16" t="s">
        <v>38</v>
      </c>
      <c r="AE11" s="229" t="str">
        <f>'JPY Market Data'!N12</f>
        <v/>
      </c>
      <c r="AF11" s="230" t="str">
        <f>'JPY Market Data'!R12</f>
        <v/>
      </c>
      <c r="AH11" s="53" t="s">
        <v>135</v>
      </c>
      <c r="AI11" s="134" t="s">
        <v>2263</v>
      </c>
      <c r="AJ11" s="995" t="s">
        <v>12</v>
      </c>
      <c r="AK11" s="53"/>
      <c r="AL11" s="16"/>
      <c r="AN11" s="54" t="s">
        <v>1476</v>
      </c>
      <c r="AO11" s="16" t="b">
        <v>0</v>
      </c>
      <c r="AQ11" s="54" t="s">
        <v>1476</v>
      </c>
      <c r="AR11" s="36"/>
      <c r="AS11" s="22"/>
      <c r="AT11" s="22"/>
      <c r="AU11" s="23"/>
      <c r="AW11" s="53" t="s">
        <v>253</v>
      </c>
      <c r="AX11" s="83" t="s">
        <v>205</v>
      </c>
      <c r="AZ11" s="259" t="str">
        <f>'JPY Market Data'!AR12</f>
        <v>4Y</v>
      </c>
      <c r="BA11" s="312">
        <f>'JPY Market Data'!AV12</f>
        <v>8.8749999999999994E-4</v>
      </c>
      <c r="BB11" s="80" t="b">
        <f t="shared" si="1"/>
        <v>1</v>
      </c>
      <c r="BC11" s="6"/>
      <c r="BD11" s="53" t="s">
        <v>135</v>
      </c>
      <c r="BE11" s="83" t="s">
        <v>2231</v>
      </c>
      <c r="BF11" t="s">
        <v>12</v>
      </c>
      <c r="BG11" s="53" t="s">
        <v>148</v>
      </c>
      <c r="BH11" s="16" t="s">
        <v>53</v>
      </c>
      <c r="BJ11" s="223" t="str">
        <f>'JPY Market Data'!AX12</f>
        <v>3Y</v>
      </c>
      <c r="BK11" s="263">
        <f>'JPY Market Data'!BB12</f>
        <v>2.9999999999999997E-4</v>
      </c>
      <c r="BM11" s="53" t="s">
        <v>148</v>
      </c>
      <c r="BN11" s="16" t="s">
        <v>53</v>
      </c>
      <c r="BP11" s="223" t="str">
        <f>'JPY Market Data'!BD12</f>
        <v>3Y</v>
      </c>
      <c r="BQ11" s="263">
        <f>'JPY Market Data'!BH12</f>
        <v>4.6250000000000002E-4</v>
      </c>
      <c r="BS11" s="53"/>
      <c r="BT11" s="16"/>
      <c r="BV11" s="84"/>
      <c r="BW11" s="98"/>
      <c r="BY11" s="53" t="s">
        <v>135</v>
      </c>
      <c r="BZ11" s="83" t="s">
        <v>2231</v>
      </c>
      <c r="CA11" t="s">
        <v>12</v>
      </c>
      <c r="CB11" s="53" t="s">
        <v>211</v>
      </c>
      <c r="CC11" s="83" t="s">
        <v>53</v>
      </c>
      <c r="CE11" s="53" t="s">
        <v>148</v>
      </c>
      <c r="CF11" s="83" t="s">
        <v>53</v>
      </c>
      <c r="CH11" s="53" t="s">
        <v>148</v>
      </c>
      <c r="CI11" s="83" t="s">
        <v>53</v>
      </c>
      <c r="CK11" s="53" t="s">
        <v>148</v>
      </c>
      <c r="CL11" s="83" t="s">
        <v>53</v>
      </c>
      <c r="CN11" s="223" t="str">
        <f>'JPY Market Data'!BP12</f>
        <v>3Y</v>
      </c>
      <c r="CO11" s="263">
        <f>'JPY Market Data'!BT12</f>
        <v>-4.4374999999999996E-3</v>
      </c>
      <c r="CQ11" s="53" t="s">
        <v>135</v>
      </c>
      <c r="CR11" s="83" t="s">
        <v>2231</v>
      </c>
      <c r="CS11" t="s">
        <v>12</v>
      </c>
      <c r="CT11" s="53" t="s">
        <v>214</v>
      </c>
      <c r="CU11" s="128" t="s">
        <v>196</v>
      </c>
      <c r="CW11" s="53" t="s">
        <v>214</v>
      </c>
      <c r="CX11" s="128" t="s">
        <v>196</v>
      </c>
      <c r="CZ11" s="53" t="s">
        <v>214</v>
      </c>
      <c r="DA11" s="128" t="s">
        <v>196</v>
      </c>
    </row>
    <row r="12" spans="2:105">
      <c r="B12" s="53" t="s">
        <v>269</v>
      </c>
      <c r="C12" s="118" t="s">
        <v>1029</v>
      </c>
      <c r="D12" s="119"/>
      <c r="E12" s="120"/>
      <c r="F12" t="s">
        <v>12</v>
      </c>
      <c r="G12" s="53"/>
      <c r="H12" s="83"/>
      <c r="J12" s="70" t="s">
        <v>130</v>
      </c>
      <c r="K12" s="16" t="s">
        <v>129</v>
      </c>
      <c r="L12" s="203"/>
      <c r="M12" s="223" t="str">
        <f>'JPY Market Data'!B13</f>
        <v>6M</v>
      </c>
      <c r="N12" s="224">
        <f>'JPY Market Data'!F13</f>
        <v>-4.75E-4</v>
      </c>
      <c r="O12" s="85"/>
      <c r="P12" s="85"/>
      <c r="Q12" s="86" t="b">
        <f t="shared" si="0"/>
        <v>1</v>
      </c>
      <c r="S12" s="92"/>
      <c r="T12" s="93"/>
      <c r="V12" s="70"/>
      <c r="W12" s="16"/>
      <c r="Y12" s="229" t="str">
        <f>'JPY Market Data'!H13</f>
        <v/>
      </c>
      <c r="Z12" s="239" t="str">
        <f>'JPY Market Data'!L13</f>
        <v/>
      </c>
      <c r="AB12" s="70"/>
      <c r="AC12" s="16"/>
      <c r="AE12" s="229" t="str">
        <f>'JPY Market Data'!N13</f>
        <v/>
      </c>
      <c r="AF12" s="230" t="str">
        <f>'JPY Market Data'!R13</f>
        <v/>
      </c>
      <c r="AH12" s="53" t="s">
        <v>151</v>
      </c>
      <c r="AI12" s="134" t="s">
        <v>2263</v>
      </c>
      <c r="AJ12" s="995" t="s">
        <v>12</v>
      </c>
      <c r="AK12" s="59"/>
      <c r="AL12" s="17"/>
      <c r="AN12" s="60" t="s">
        <v>1477</v>
      </c>
      <c r="AO12" s="17">
        <f>ForwardCharts.TensionGap</f>
        <v>2</v>
      </c>
      <c r="AQ12" s="60" t="s">
        <v>1477</v>
      </c>
      <c r="AR12" s="415"/>
      <c r="AS12" s="24"/>
      <c r="AT12" s="24"/>
      <c r="AU12" s="25"/>
      <c r="AW12" s="53" t="s">
        <v>118</v>
      </c>
      <c r="AX12" s="83" t="s">
        <v>254</v>
      </c>
      <c r="AZ12" s="259" t="str">
        <f>'JPY Market Data'!AR13</f>
        <v>5Y</v>
      </c>
      <c r="BA12" s="312">
        <f>'JPY Market Data'!AV13</f>
        <v>1.1125E-3</v>
      </c>
      <c r="BB12" s="80" t="b">
        <f t="shared" si="1"/>
        <v>1</v>
      </c>
      <c r="BC12" s="6"/>
      <c r="BD12" s="53" t="s">
        <v>151</v>
      </c>
      <c r="BE12" s="83" t="s">
        <v>2261</v>
      </c>
      <c r="BF12" t="s">
        <v>12</v>
      </c>
      <c r="BG12" s="53" t="s">
        <v>145</v>
      </c>
      <c r="BH12" s="16" t="s">
        <v>76</v>
      </c>
      <c r="BJ12" s="223" t="str">
        <f>'JPY Market Data'!AX13</f>
        <v>4Y</v>
      </c>
      <c r="BK12" s="263">
        <f>'JPY Market Data'!BB13</f>
        <v>3.1250000000000001E-4</v>
      </c>
      <c r="BM12" s="53" t="s">
        <v>145</v>
      </c>
      <c r="BN12" s="16" t="s">
        <v>76</v>
      </c>
      <c r="BP12" s="223" t="str">
        <f>'JPY Market Data'!BD13</f>
        <v>4Y</v>
      </c>
      <c r="BQ12" s="263">
        <f>'JPY Market Data'!BH13</f>
        <v>4.75E-4</v>
      </c>
      <c r="BS12" s="53"/>
      <c r="BT12" s="16"/>
      <c r="BV12" s="84"/>
      <c r="BW12" s="98"/>
      <c r="BY12" s="53" t="s">
        <v>151</v>
      </c>
      <c r="BZ12" s="83" t="s">
        <v>2261</v>
      </c>
      <c r="CA12" t="s">
        <v>12</v>
      </c>
      <c r="CB12" s="53" t="s">
        <v>213</v>
      </c>
      <c r="CC12" s="83" t="s">
        <v>75</v>
      </c>
      <c r="CE12" s="53" t="s">
        <v>145</v>
      </c>
      <c r="CF12" s="83" t="s">
        <v>75</v>
      </c>
      <c r="CH12" s="53" t="s">
        <v>145</v>
      </c>
      <c r="CI12" s="83" t="s">
        <v>75</v>
      </c>
      <c r="CK12" s="53" t="s">
        <v>145</v>
      </c>
      <c r="CL12" s="83" t="s">
        <v>75</v>
      </c>
      <c r="CN12" s="223" t="str">
        <f>'JPY Market Data'!BP13</f>
        <v>4Y</v>
      </c>
      <c r="CO12" s="263">
        <f>'JPY Market Data'!BT13</f>
        <v>-4.7000000000000002E-3</v>
      </c>
      <c r="CQ12" s="53" t="s">
        <v>151</v>
      </c>
      <c r="CR12" s="83" t="s">
        <v>2261</v>
      </c>
      <c r="CS12" t="s">
        <v>12</v>
      </c>
      <c r="CT12" s="53" t="s">
        <v>217</v>
      </c>
      <c r="CU12" s="83" t="s">
        <v>182</v>
      </c>
      <c r="CW12" s="53" t="s">
        <v>217</v>
      </c>
      <c r="CX12" s="83" t="s">
        <v>182</v>
      </c>
      <c r="CZ12" s="53" t="s">
        <v>217</v>
      </c>
      <c r="DA12" s="83" t="s">
        <v>182</v>
      </c>
    </row>
    <row r="13" spans="2:105">
      <c r="B13" s="53" t="s">
        <v>196</v>
      </c>
      <c r="C13" s="118" t="s">
        <v>1037</v>
      </c>
      <c r="D13" s="119"/>
      <c r="E13" s="120"/>
      <c r="F13" t="s">
        <v>12</v>
      </c>
      <c r="G13" s="53"/>
      <c r="H13" s="83"/>
      <c r="J13" s="70" t="s">
        <v>111</v>
      </c>
      <c r="K13" s="16" t="s">
        <v>38</v>
      </c>
      <c r="L13" s="203"/>
      <c r="M13" s="223" t="str">
        <f>'JPY Market Data'!B14</f>
        <v>12M</v>
      </c>
      <c r="N13" s="224">
        <f>'JPY Market Data'!F14</f>
        <v>-3.5000000000000005E-4</v>
      </c>
      <c r="O13" s="85"/>
      <c r="P13" s="85"/>
      <c r="Q13" s="86" t="b">
        <f t="shared" si="0"/>
        <v>1</v>
      </c>
      <c r="S13" s="92"/>
      <c r="T13" s="93"/>
      <c r="V13" s="70"/>
      <c r="W13" s="16"/>
      <c r="Y13" s="229" t="str">
        <f>'JPY Market Data'!H14</f>
        <v/>
      </c>
      <c r="Z13" s="239" t="str">
        <f>'JPY Market Data'!L14</f>
        <v/>
      </c>
      <c r="AB13" s="70"/>
      <c r="AC13" s="16"/>
      <c r="AE13" s="229" t="str">
        <f>'JPY Market Data'!N14</f>
        <v/>
      </c>
      <c r="AF13" s="230" t="str">
        <f>'JPY Market Data'!R14</f>
        <v/>
      </c>
      <c r="AH13" s="53" t="s">
        <v>97</v>
      </c>
      <c r="AI13" s="134" t="s">
        <v>2263</v>
      </c>
      <c r="AJ13" t="s">
        <v>12</v>
      </c>
      <c r="AK13" s="6"/>
      <c r="AL13" s="4"/>
      <c r="AM13" s="6"/>
      <c r="AN13" s="8"/>
      <c r="AO13" s="4"/>
      <c r="AQ13" s="4"/>
      <c r="AR13" s="4"/>
      <c r="AW13" s="53" t="s">
        <v>255</v>
      </c>
      <c r="AX13" s="83" t="s">
        <v>254</v>
      </c>
      <c r="AZ13" s="259" t="str">
        <f>'JPY Market Data'!AR14</f>
        <v>6Y</v>
      </c>
      <c r="BA13" s="312">
        <f>'JPY Market Data'!AV14</f>
        <v>1.3750000000000001E-3</v>
      </c>
      <c r="BB13" s="80" t="b">
        <f t="shared" si="1"/>
        <v>1</v>
      </c>
      <c r="BC13" s="6"/>
      <c r="BD13" s="53" t="s">
        <v>218</v>
      </c>
      <c r="BE13" s="83" t="b">
        <v>0</v>
      </c>
      <c r="BG13" s="53" t="s">
        <v>142</v>
      </c>
      <c r="BH13" s="16" t="s">
        <v>38</v>
      </c>
      <c r="BJ13" s="223" t="str">
        <f>'JPY Market Data'!AX14</f>
        <v>5Y</v>
      </c>
      <c r="BK13" s="263">
        <f>'JPY Market Data'!BB14</f>
        <v>3.3750000000000002E-4</v>
      </c>
      <c r="BM13" s="53" t="s">
        <v>142</v>
      </c>
      <c r="BN13" s="16" t="s">
        <v>38</v>
      </c>
      <c r="BP13" s="223" t="str">
        <f>'JPY Market Data'!BD14</f>
        <v>5Y</v>
      </c>
      <c r="BQ13" s="263">
        <f>'JPY Market Data'!BH14</f>
        <v>5.0000000000000001E-4</v>
      </c>
      <c r="BS13" s="53"/>
      <c r="BT13" s="16"/>
      <c r="BV13" s="84"/>
      <c r="BW13" s="98"/>
      <c r="BY13" s="53" t="s">
        <v>218</v>
      </c>
      <c r="BZ13" s="83" t="b">
        <v>0</v>
      </c>
      <c r="CB13" s="53" t="s">
        <v>216</v>
      </c>
      <c r="CC13" s="83" t="s">
        <v>38</v>
      </c>
      <c r="CE13" s="53" t="s">
        <v>142</v>
      </c>
      <c r="CF13" s="83" t="s">
        <v>38</v>
      </c>
      <c r="CH13" s="53" t="s">
        <v>142</v>
      </c>
      <c r="CI13" s="83" t="s">
        <v>38</v>
      </c>
      <c r="CK13" s="53" t="s">
        <v>142</v>
      </c>
      <c r="CL13" s="83" t="s">
        <v>38</v>
      </c>
      <c r="CN13" s="223" t="str">
        <f>'JPY Market Data'!BP14</f>
        <v>5Y</v>
      </c>
      <c r="CO13" s="263">
        <f>'JPY Market Data'!BT14</f>
        <v>-4.8875000000000004E-3</v>
      </c>
      <c r="CQ13" s="53" t="s">
        <v>218</v>
      </c>
      <c r="CR13" s="83" t="b">
        <v>0</v>
      </c>
      <c r="CT13" s="53"/>
      <c r="CU13" s="83"/>
      <c r="CW13" s="53"/>
      <c r="CX13" s="83"/>
      <c r="CZ13" s="53"/>
      <c r="DA13" s="83"/>
    </row>
    <row r="14" spans="2:105">
      <c r="B14" s="53" t="s">
        <v>197</v>
      </c>
      <c r="C14" s="118" t="s">
        <v>1025</v>
      </c>
      <c r="D14" s="119"/>
      <c r="E14" s="120"/>
      <c r="F14" t="s">
        <v>12</v>
      </c>
      <c r="G14" s="53"/>
      <c r="H14" s="83"/>
      <c r="J14" s="70" t="s">
        <v>1754</v>
      </c>
      <c r="K14" s="16" t="b">
        <v>1</v>
      </c>
      <c r="L14" s="203"/>
      <c r="M14" s="223" t="str">
        <f>'JPY Market Data'!B15</f>
        <v>2Y</v>
      </c>
      <c r="N14" s="224">
        <f>'JPY Market Data'!F15</f>
        <v>-1.6249999999999999E-4</v>
      </c>
      <c r="O14" s="85"/>
      <c r="P14" s="85"/>
      <c r="Q14" s="86" t="b">
        <f t="shared" si="0"/>
        <v>1</v>
      </c>
      <c r="S14" s="92"/>
      <c r="T14" s="93"/>
      <c r="V14" s="70"/>
      <c r="W14" s="16"/>
      <c r="Y14" s="229" t="str">
        <f>'JPY Market Data'!H15</f>
        <v/>
      </c>
      <c r="Z14" s="239" t="str">
        <f>'JPY Market Data'!L15</f>
        <v/>
      </c>
      <c r="AB14" s="70"/>
      <c r="AC14" s="16"/>
      <c r="AE14" s="229" t="str">
        <f>'JPY Market Data'!N15</f>
        <v/>
      </c>
      <c r="AF14" s="230" t="str">
        <f>'JPY Market Data'!R15</f>
        <v/>
      </c>
      <c r="AH14" s="12" t="s">
        <v>223</v>
      </c>
      <c r="AI14" s="83" t="b">
        <v>1</v>
      </c>
      <c r="AK14" s="7" t="s">
        <v>141</v>
      </c>
      <c r="AL14" s="4"/>
      <c r="AM14" s="6"/>
      <c r="AN14" s="5" t="s">
        <v>140</v>
      </c>
      <c r="AO14" s="4"/>
      <c r="AQ14" s="2" t="s">
        <v>139</v>
      </c>
      <c r="AR14" s="4"/>
      <c r="AW14" s="53" t="s">
        <v>151</v>
      </c>
      <c r="AX14" s="83" t="s">
        <v>2261</v>
      </c>
      <c r="AY14" s="995" t="s">
        <v>12</v>
      </c>
      <c r="AZ14" s="259" t="str">
        <f>'JPY Market Data'!AR15</f>
        <v>7Y</v>
      </c>
      <c r="BA14" s="312">
        <f>'JPY Market Data'!AV15</f>
        <v>1.6750000000000001E-3</v>
      </c>
      <c r="BB14" s="80" t="b">
        <f t="shared" si="1"/>
        <v>1</v>
      </c>
      <c r="BC14" s="6"/>
      <c r="BD14" s="53" t="s">
        <v>220</v>
      </c>
      <c r="BE14" s="83" t="b">
        <v>0</v>
      </c>
      <c r="BG14" s="53" t="s">
        <v>136</v>
      </c>
      <c r="BH14" s="16" t="s">
        <v>41</v>
      </c>
      <c r="BJ14" s="223" t="str">
        <f>'JPY Market Data'!AX15</f>
        <v>6Y</v>
      </c>
      <c r="BK14" s="263">
        <f>'JPY Market Data'!BB15</f>
        <v>3.6249999999999998E-4</v>
      </c>
      <c r="BM14" s="53" t="s">
        <v>136</v>
      </c>
      <c r="BN14" s="16" t="s">
        <v>41</v>
      </c>
      <c r="BP14" s="223" t="str">
        <f>'JPY Market Data'!BD15</f>
        <v>6Y</v>
      </c>
      <c r="BQ14" s="263">
        <f>'JPY Market Data'!BH15</f>
        <v>5.2499999999999997E-4</v>
      </c>
      <c r="BS14" s="53"/>
      <c r="BT14" s="16"/>
      <c r="BV14" s="84"/>
      <c r="BW14" s="98"/>
      <c r="BY14" s="53" t="s">
        <v>220</v>
      </c>
      <c r="BZ14" s="83" t="b">
        <v>0</v>
      </c>
      <c r="CB14" s="53" t="s">
        <v>219</v>
      </c>
      <c r="CC14" s="83">
        <v>2</v>
      </c>
      <c r="CE14" s="53" t="s">
        <v>136</v>
      </c>
      <c r="CF14" s="83">
        <v>2</v>
      </c>
      <c r="CH14" s="53" t="s">
        <v>136</v>
      </c>
      <c r="CI14" s="83">
        <v>2</v>
      </c>
      <c r="CK14" s="53" t="s">
        <v>136</v>
      </c>
      <c r="CL14" s="83">
        <v>2</v>
      </c>
      <c r="CN14" s="223" t="str">
        <f>'JPY Market Data'!BP15</f>
        <v>6Y</v>
      </c>
      <c r="CO14" s="263">
        <f>'JPY Market Data'!BT15</f>
        <v>-5.025E-3</v>
      </c>
      <c r="CQ14" s="53" t="s">
        <v>220</v>
      </c>
      <c r="CR14" s="83" t="b">
        <v>0</v>
      </c>
      <c r="CT14" s="53"/>
      <c r="CU14" s="83"/>
      <c r="CW14" s="53"/>
      <c r="CX14" s="83"/>
      <c r="CZ14" s="53"/>
      <c r="DA14" s="83"/>
    </row>
    <row r="15" spans="2:105">
      <c r="B15" s="53" t="s">
        <v>197</v>
      </c>
      <c r="C15" s="118" t="s">
        <v>1030</v>
      </c>
      <c r="D15" s="119"/>
      <c r="E15" s="120"/>
      <c r="F15" t="s">
        <v>12</v>
      </c>
      <c r="G15" s="53"/>
      <c r="H15" s="83"/>
      <c r="J15" s="70" t="s">
        <v>124</v>
      </c>
      <c r="K15" s="215" t="s">
        <v>123</v>
      </c>
      <c r="L15" s="203"/>
      <c r="M15" s="223" t="str">
        <f>'JPY Market Data'!B16</f>
        <v>3Y</v>
      </c>
      <c r="N15" s="224">
        <f>'JPY Market Data'!F16</f>
        <v>-3.7499999999999997E-5</v>
      </c>
      <c r="O15" s="85"/>
      <c r="P15" s="85"/>
      <c r="Q15" s="86" t="b">
        <f t="shared" si="0"/>
        <v>1</v>
      </c>
      <c r="S15" s="92"/>
      <c r="T15" s="93"/>
      <c r="V15" s="70"/>
      <c r="W15" s="16"/>
      <c r="Y15" s="229" t="str">
        <f>'JPY Market Data'!H16</f>
        <v/>
      </c>
      <c r="Z15" s="239" t="str">
        <f>'JPY Market Data'!L16</f>
        <v/>
      </c>
      <c r="AB15" s="70"/>
      <c r="AC15" s="16"/>
      <c r="AE15" s="229" t="str">
        <f>'JPY Market Data'!N16</f>
        <v/>
      </c>
      <c r="AF15" s="230" t="str">
        <f>'JPY Market Data'!R16</f>
        <v/>
      </c>
      <c r="AH15" s="12" t="s">
        <v>220</v>
      </c>
      <c r="AI15" s="83" t="b">
        <v>0</v>
      </c>
      <c r="AK15" s="11" t="s">
        <v>167</v>
      </c>
      <c r="AL15" s="32" t="s">
        <v>202</v>
      </c>
      <c r="AN15" s="61" t="s">
        <v>74</v>
      </c>
      <c r="AO15" s="18" t="s">
        <v>73</v>
      </c>
      <c r="AQ15" s="64" t="s">
        <v>74</v>
      </c>
      <c r="AR15" s="65" t="s">
        <v>134</v>
      </c>
      <c r="AS15" s="65" t="s">
        <v>133</v>
      </c>
      <c r="AT15" s="65" t="s">
        <v>73</v>
      </c>
      <c r="AU15" s="66" t="s">
        <v>132</v>
      </c>
      <c r="AW15" s="53" t="s">
        <v>100</v>
      </c>
      <c r="AX15" s="83" t="b">
        <v>1</v>
      </c>
      <c r="AZ15" s="259" t="str">
        <f>'JPY Market Data'!AR16</f>
        <v>8Y</v>
      </c>
      <c r="BA15" s="312">
        <f>'JPY Market Data'!AV16</f>
        <v>1.9875000000000001E-3</v>
      </c>
      <c r="BB15" s="80" t="b">
        <f t="shared" si="1"/>
        <v>1</v>
      </c>
      <c r="BC15" s="6"/>
      <c r="BD15" s="53" t="s">
        <v>106</v>
      </c>
      <c r="BE15" s="83" t="b">
        <v>0</v>
      </c>
      <c r="BG15" s="53" t="s">
        <v>128</v>
      </c>
      <c r="BH15" s="28" t="s">
        <v>189</v>
      </c>
      <c r="BJ15" s="223" t="str">
        <f>'JPY Market Data'!AX16</f>
        <v>7Y</v>
      </c>
      <c r="BK15" s="263">
        <f>'JPY Market Data'!BB16</f>
        <v>4.0000000000000002E-4</v>
      </c>
      <c r="BM15" s="53" t="s">
        <v>128</v>
      </c>
      <c r="BN15" s="28" t="s">
        <v>189</v>
      </c>
      <c r="BP15" s="223" t="str">
        <f>'JPY Market Data'!BD16</f>
        <v>7Y</v>
      </c>
      <c r="BQ15" s="263">
        <f>'JPY Market Data'!BH16</f>
        <v>5.6249999999999996E-4</v>
      </c>
      <c r="BS15" s="53"/>
      <c r="BT15" s="28"/>
      <c r="BV15" s="84"/>
      <c r="BW15" s="98"/>
      <c r="BY15" s="53" t="s">
        <v>106</v>
      </c>
      <c r="BZ15" s="83" t="b">
        <v>0</v>
      </c>
      <c r="CB15" s="53" t="s">
        <v>204</v>
      </c>
      <c r="CC15" s="28" t="s">
        <v>1048</v>
      </c>
      <c r="CE15" s="53" t="s">
        <v>128</v>
      </c>
      <c r="CF15" s="28" t="s">
        <v>1048</v>
      </c>
      <c r="CH15" s="53" t="s">
        <v>128</v>
      </c>
      <c r="CI15" s="28" t="s">
        <v>1048</v>
      </c>
      <c r="CK15" s="53" t="s">
        <v>128</v>
      </c>
      <c r="CL15" s="28" t="s">
        <v>1048</v>
      </c>
      <c r="CN15" s="223" t="str">
        <f>'JPY Market Data'!BP16</f>
        <v>7Y</v>
      </c>
      <c r="CO15" s="263">
        <f>'JPY Market Data'!BT16</f>
        <v>-5.1124999999999999E-3</v>
      </c>
      <c r="CQ15" s="53" t="s">
        <v>106</v>
      </c>
      <c r="CR15" s="83" t="b">
        <v>0</v>
      </c>
      <c r="CT15" s="53"/>
      <c r="CU15" s="83"/>
      <c r="CW15" s="53"/>
      <c r="CX15" s="83"/>
      <c r="CZ15" s="53"/>
      <c r="DA15" s="83"/>
    </row>
    <row r="16" spans="2:105">
      <c r="B16" s="53" t="s">
        <v>197</v>
      </c>
      <c r="C16" s="292" t="s">
        <v>6</v>
      </c>
      <c r="D16" s="119"/>
      <c r="E16" s="120"/>
      <c r="F16" t="s">
        <v>12</v>
      </c>
      <c r="G16" s="53"/>
      <c r="H16" s="83"/>
      <c r="J16" s="53" t="s">
        <v>1754</v>
      </c>
      <c r="K16" s="16" t="b">
        <v>1</v>
      </c>
      <c r="L16" s="203"/>
      <c r="M16" s="223" t="str">
        <f>'JPY Market Data'!B17</f>
        <v>4Y</v>
      </c>
      <c r="N16" s="224">
        <f>'JPY Market Data'!F17</f>
        <v>1E-4</v>
      </c>
      <c r="O16" s="85"/>
      <c r="P16" s="85"/>
      <c r="Q16" s="86" t="b">
        <f t="shared" si="0"/>
        <v>1</v>
      </c>
      <c r="S16" s="92"/>
      <c r="T16" s="93"/>
      <c r="V16" s="70"/>
      <c r="W16" s="16"/>
      <c r="Y16" s="229" t="str">
        <f>'JPY Market Data'!H17</f>
        <v/>
      </c>
      <c r="Z16" s="239" t="str">
        <f>'JPY Market Data'!L17</f>
        <v/>
      </c>
      <c r="AB16" s="70"/>
      <c r="AC16" s="16"/>
      <c r="AE16" s="229" t="str">
        <f>'JPY Market Data'!N17</f>
        <v/>
      </c>
      <c r="AF16" s="230" t="str">
        <f>'JPY Market Data'!R17</f>
        <v/>
      </c>
      <c r="AH16" s="12" t="s">
        <v>79</v>
      </c>
      <c r="AI16" s="83" t="s">
        <v>189</v>
      </c>
      <c r="AJ16" t="s">
        <v>12</v>
      </c>
      <c r="AK16" s="12" t="s">
        <v>126</v>
      </c>
      <c r="AL16" s="16" t="s">
        <v>205</v>
      </c>
      <c r="AN16" s="51"/>
      <c r="AO16" s="33"/>
      <c r="AQ16" s="39"/>
      <c r="AR16" s="40"/>
      <c r="AS16" s="40"/>
      <c r="AT16" s="41"/>
      <c r="AU16" s="140" t="s">
        <v>86</v>
      </c>
      <c r="AW16" s="53" t="s">
        <v>256</v>
      </c>
      <c r="AX16" s="83" t="b">
        <v>1</v>
      </c>
      <c r="AZ16" s="259" t="str">
        <f>'JPY Market Data'!AR17</f>
        <v>9Y</v>
      </c>
      <c r="BA16" s="312">
        <f>'JPY Market Data'!AV17</f>
        <v>2.3125000000000003E-3</v>
      </c>
      <c r="BB16" s="80" t="b">
        <f t="shared" si="1"/>
        <v>1</v>
      </c>
      <c r="BC16" s="6"/>
      <c r="BD16" s="53" t="s">
        <v>103</v>
      </c>
      <c r="BE16" s="83" t="b">
        <v>0</v>
      </c>
      <c r="BG16" s="53" t="s">
        <v>122</v>
      </c>
      <c r="BH16" s="28" t="s">
        <v>61</v>
      </c>
      <c r="BJ16" s="223" t="str">
        <f>'JPY Market Data'!AX17</f>
        <v>8Y</v>
      </c>
      <c r="BK16" s="263">
        <f>'JPY Market Data'!BB17</f>
        <v>4.4999999999999999E-4</v>
      </c>
      <c r="BM16" s="53" t="s">
        <v>122</v>
      </c>
      <c r="BN16" s="28" t="s">
        <v>61</v>
      </c>
      <c r="BP16" s="223" t="str">
        <f>'JPY Market Data'!BD17</f>
        <v>8Y</v>
      </c>
      <c r="BQ16" s="263">
        <f>'JPY Market Data'!BH17</f>
        <v>6.1249999999999998E-4</v>
      </c>
      <c r="BS16" s="53"/>
      <c r="BT16" s="28"/>
      <c r="BV16" s="84"/>
      <c r="BW16" s="98"/>
      <c r="BY16" s="53" t="s">
        <v>103</v>
      </c>
      <c r="BZ16" s="83" t="b">
        <v>0</v>
      </c>
      <c r="CB16" s="53" t="s">
        <v>208</v>
      </c>
      <c r="CC16" s="28" t="s">
        <v>1049</v>
      </c>
      <c r="CE16" s="53" t="s">
        <v>122</v>
      </c>
      <c r="CF16" s="28" t="s">
        <v>1049</v>
      </c>
      <c r="CH16" s="53" t="s">
        <v>122</v>
      </c>
      <c r="CI16" s="28" t="s">
        <v>1049</v>
      </c>
      <c r="CK16" s="53" t="s">
        <v>122</v>
      </c>
      <c r="CL16" s="28" t="s">
        <v>1049</v>
      </c>
      <c r="CN16" s="223" t="str">
        <f>'JPY Market Data'!BP17</f>
        <v>8Y</v>
      </c>
      <c r="CO16" s="263">
        <f>'JPY Market Data'!BT17</f>
        <v>-5.1625000000000004E-3</v>
      </c>
      <c r="CQ16" s="53" t="s">
        <v>103</v>
      </c>
      <c r="CR16" s="83" t="b">
        <v>0</v>
      </c>
      <c r="CT16" s="53"/>
      <c r="CU16" s="83"/>
      <c r="CW16" s="53"/>
      <c r="CX16" s="83"/>
      <c r="CZ16" s="53"/>
      <c r="DA16" s="83"/>
    </row>
    <row r="17" spans="2:105">
      <c r="B17" s="59"/>
      <c r="C17" s="121"/>
      <c r="D17" s="122"/>
      <c r="E17" s="123"/>
      <c r="F17" t="s">
        <v>12</v>
      </c>
      <c r="G17" s="53"/>
      <c r="H17" s="83"/>
      <c r="J17" s="12" t="s">
        <v>2077</v>
      </c>
      <c r="K17" s="83" t="s">
        <v>2078</v>
      </c>
      <c r="L17" s="203"/>
      <c r="M17" s="223" t="str">
        <f>'JPY Market Data'!B18</f>
        <v>5Y</v>
      </c>
      <c r="N17" s="224">
        <f>'JPY Market Data'!F18</f>
        <v>2.7500000000000002E-4</v>
      </c>
      <c r="O17" s="85"/>
      <c r="P17" s="85"/>
      <c r="Q17" s="86" t="b">
        <f t="shared" si="0"/>
        <v>1</v>
      </c>
      <c r="S17" s="92"/>
      <c r="T17" s="93"/>
      <c r="V17" s="70"/>
      <c r="W17" s="16"/>
      <c r="Y17" s="229" t="str">
        <f>'JPY Market Data'!H18</f>
        <v/>
      </c>
      <c r="Z17" s="239" t="str">
        <f>'JPY Market Data'!L18</f>
        <v/>
      </c>
      <c r="AB17" s="70"/>
      <c r="AC17" s="16"/>
      <c r="AE17" s="229" t="str">
        <f>'JPY Market Data'!N18</f>
        <v/>
      </c>
      <c r="AF17" s="230" t="str">
        <f>'JPY Market Data'!R18</f>
        <v/>
      </c>
      <c r="AH17" s="12" t="s">
        <v>2230</v>
      </c>
      <c r="AI17" s="83" t="b">
        <v>1</v>
      </c>
      <c r="AK17" s="12" t="s">
        <v>118</v>
      </c>
      <c r="AL17" s="16" t="s">
        <v>210</v>
      </c>
      <c r="AN17" s="51"/>
      <c r="AO17" s="33"/>
      <c r="AQ17" s="39"/>
      <c r="AR17" s="40"/>
      <c r="AS17" s="40"/>
      <c r="AT17" s="41"/>
      <c r="AU17" s="140" t="s">
        <v>86</v>
      </c>
      <c r="AW17" s="53" t="s">
        <v>257</v>
      </c>
      <c r="AX17" s="83" t="b">
        <v>1</v>
      </c>
      <c r="AZ17" s="259" t="str">
        <f>'JPY Market Data'!AR18</f>
        <v>10Y</v>
      </c>
      <c r="BA17" s="312">
        <f>'JPY Market Data'!AV18</f>
        <v>2.6750000000000003E-3</v>
      </c>
      <c r="BB17" s="80" t="b">
        <f t="shared" si="1"/>
        <v>1</v>
      </c>
      <c r="BC17" s="6"/>
      <c r="BD17" s="53" t="s">
        <v>97</v>
      </c>
      <c r="BE17" s="83" t="s">
        <v>2261</v>
      </c>
      <c r="BF17" t="s">
        <v>12</v>
      </c>
      <c r="BG17" s="53" t="s">
        <v>116</v>
      </c>
      <c r="BH17" s="104" t="s">
        <v>22</v>
      </c>
      <c r="BJ17" s="223" t="str">
        <f>'JPY Market Data'!AX18</f>
        <v>9Y</v>
      </c>
      <c r="BK17" s="263">
        <f>'JPY Market Data'!BB18</f>
        <v>5.0000000000000001E-4</v>
      </c>
      <c r="BM17" s="53" t="s">
        <v>116</v>
      </c>
      <c r="BN17" s="104" t="s">
        <v>22</v>
      </c>
      <c r="BP17" s="223" t="str">
        <f>'JPY Market Data'!BD18</f>
        <v>9Y</v>
      </c>
      <c r="BQ17" s="263">
        <f>'JPY Market Data'!BH18</f>
        <v>6.625E-4</v>
      </c>
      <c r="BS17" s="53"/>
      <c r="BT17" s="104"/>
      <c r="BV17" s="84"/>
      <c r="BW17" s="98"/>
      <c r="BY17" s="53" t="s">
        <v>97</v>
      </c>
      <c r="BZ17" s="83" t="s">
        <v>2261</v>
      </c>
      <c r="CA17" t="s">
        <v>12</v>
      </c>
      <c r="CB17" s="53" t="s">
        <v>221</v>
      </c>
      <c r="CC17" s="28" t="s">
        <v>51</v>
      </c>
      <c r="CE17" s="53" t="s">
        <v>116</v>
      </c>
      <c r="CF17" s="28" t="s">
        <v>51</v>
      </c>
      <c r="CH17" s="53" t="s">
        <v>116</v>
      </c>
      <c r="CI17" s="28" t="s">
        <v>51</v>
      </c>
      <c r="CK17" s="53" t="s">
        <v>116</v>
      </c>
      <c r="CL17" s="28" t="s">
        <v>51</v>
      </c>
      <c r="CN17" s="223" t="str">
        <f>'JPY Market Data'!BP18</f>
        <v>9Y</v>
      </c>
      <c r="CO17" s="263">
        <f>'JPY Market Data'!BT18</f>
        <v>-5.1749999999999999E-3</v>
      </c>
      <c r="CQ17" s="53" t="s">
        <v>97</v>
      </c>
      <c r="CR17" s="83" t="s">
        <v>2261</v>
      </c>
      <c r="CS17" t="s">
        <v>12</v>
      </c>
      <c r="CT17" s="53"/>
      <c r="CU17" s="83"/>
      <c r="CW17" s="53"/>
      <c r="CX17" s="83"/>
      <c r="CZ17" s="53"/>
      <c r="DA17" s="83"/>
    </row>
    <row r="18" spans="2:105">
      <c r="F18" t="s">
        <v>12</v>
      </c>
      <c r="G18" s="53"/>
      <c r="H18" s="83"/>
      <c r="J18" s="53"/>
      <c r="K18" s="14"/>
      <c r="L18" s="203"/>
      <c r="M18" s="223" t="str">
        <f>'JPY Market Data'!B19</f>
        <v>6Y</v>
      </c>
      <c r="N18" s="224">
        <f>'JPY Market Data'!F19</f>
        <v>4.8750000000000003E-4</v>
      </c>
      <c r="O18" s="85"/>
      <c r="P18" s="85"/>
      <c r="Q18" s="86" t="b">
        <f t="shared" si="0"/>
        <v>1</v>
      </c>
      <c r="S18" s="92"/>
      <c r="T18" s="93"/>
      <c r="V18" s="53"/>
      <c r="W18" s="16"/>
      <c r="Y18" s="229" t="str">
        <f>'JPY Market Data'!H19</f>
        <v/>
      </c>
      <c r="Z18" s="239" t="str">
        <f>'JPY Market Data'!L19</f>
        <v/>
      </c>
      <c r="AB18" s="53"/>
      <c r="AC18" s="16"/>
      <c r="AE18" s="229" t="str">
        <f>'JPY Market Data'!N19</f>
        <v/>
      </c>
      <c r="AF18" s="230" t="str">
        <f>'JPY Market Data'!R19</f>
        <v/>
      </c>
      <c r="AH18" s="12"/>
      <c r="AI18" s="134"/>
      <c r="AK18" s="12" t="s">
        <v>130</v>
      </c>
      <c r="AL18" s="16" t="s">
        <v>41</v>
      </c>
      <c r="AN18" s="51"/>
      <c r="AO18" s="33"/>
      <c r="AQ18" s="42"/>
      <c r="AR18" s="43"/>
      <c r="AS18" s="43"/>
      <c r="AT18" s="44"/>
      <c r="AU18" s="141" t="s">
        <v>86</v>
      </c>
      <c r="AW18" s="53" t="s">
        <v>130</v>
      </c>
      <c r="AX18" s="83" t="s">
        <v>41</v>
      </c>
      <c r="AZ18" s="259" t="str">
        <f>'JPY Market Data'!AR19</f>
        <v>12Y</v>
      </c>
      <c r="BA18" s="312">
        <f>'JPY Market Data'!AV19</f>
        <v>3.4499999999999999E-3</v>
      </c>
      <c r="BB18" s="80" t="b">
        <f t="shared" si="1"/>
        <v>1</v>
      </c>
      <c r="BC18" s="6"/>
      <c r="BD18" s="53" t="s">
        <v>79</v>
      </c>
      <c r="BE18" s="83" t="s">
        <v>189</v>
      </c>
      <c r="BG18" s="53" t="s">
        <v>110</v>
      </c>
      <c r="BH18" s="16" t="s">
        <v>53</v>
      </c>
      <c r="BJ18" s="223" t="str">
        <f>'JPY Market Data'!AX19</f>
        <v>10Y</v>
      </c>
      <c r="BK18" s="263">
        <f>'JPY Market Data'!BB19</f>
        <v>5.5000000000000003E-4</v>
      </c>
      <c r="BM18" s="53" t="s">
        <v>110</v>
      </c>
      <c r="BN18" s="16" t="s">
        <v>53</v>
      </c>
      <c r="BP18" s="223" t="str">
        <f>'JPY Market Data'!BD19</f>
        <v>10Y</v>
      </c>
      <c r="BQ18" s="263">
        <f>'JPY Market Data'!BH19</f>
        <v>7.1250000000000003E-4</v>
      </c>
      <c r="BS18" s="53"/>
      <c r="BT18" s="16"/>
      <c r="BV18" s="84"/>
      <c r="BW18" s="98"/>
      <c r="BY18" s="53" t="s">
        <v>79</v>
      </c>
      <c r="BZ18" s="83" t="s">
        <v>189</v>
      </c>
      <c r="CB18" s="53" t="s">
        <v>222</v>
      </c>
      <c r="CC18" s="83" t="s">
        <v>53</v>
      </c>
      <c r="CE18" s="53" t="s">
        <v>110</v>
      </c>
      <c r="CF18" s="83" t="s">
        <v>53</v>
      </c>
      <c r="CH18" s="53" t="s">
        <v>110</v>
      </c>
      <c r="CI18" s="83" t="s">
        <v>53</v>
      </c>
      <c r="CK18" s="53" t="s">
        <v>110</v>
      </c>
      <c r="CL18" s="83" t="s">
        <v>53</v>
      </c>
      <c r="CN18" s="223" t="str">
        <f>'JPY Market Data'!BP19</f>
        <v>10Y</v>
      </c>
      <c r="CO18" s="263">
        <f>'JPY Market Data'!BT19</f>
        <v>-5.1500000000000001E-3</v>
      </c>
      <c r="CQ18" s="53" t="s">
        <v>79</v>
      </c>
      <c r="CR18" s="83" t="s">
        <v>189</v>
      </c>
      <c r="CT18" s="53"/>
      <c r="CU18" s="83"/>
      <c r="CW18" s="53"/>
      <c r="CX18" s="83"/>
      <c r="CZ18" s="53"/>
      <c r="DA18" s="83"/>
    </row>
    <row r="19" spans="2:105">
      <c r="B19" s="2" t="s">
        <v>345</v>
      </c>
      <c r="C19" s="9"/>
      <c r="F19" t="s">
        <v>12</v>
      </c>
      <c r="G19" s="53"/>
      <c r="H19" s="83"/>
      <c r="J19" s="53"/>
      <c r="K19" s="14"/>
      <c r="L19" s="203"/>
      <c r="M19" s="223" t="str">
        <f>'JPY Market Data'!B20</f>
        <v>7Y</v>
      </c>
      <c r="N19" s="224">
        <f>'JPY Market Data'!F20</f>
        <v>7.2499999999999995E-4</v>
      </c>
      <c r="O19" s="85"/>
      <c r="P19" s="85"/>
      <c r="Q19" s="86" t="b">
        <f t="shared" si="0"/>
        <v>1</v>
      </c>
      <c r="S19" s="92"/>
      <c r="T19" s="93"/>
      <c r="V19" s="53"/>
      <c r="W19" s="16"/>
      <c r="Y19" s="229" t="str">
        <f>'JPY Market Data'!H20</f>
        <v/>
      </c>
      <c r="Z19" s="239" t="str">
        <f>'JPY Market Data'!L20</f>
        <v/>
      </c>
      <c r="AB19" s="53"/>
      <c r="AC19" s="16"/>
      <c r="AE19" s="229" t="str">
        <f>'JPY Market Data'!N20</f>
        <v/>
      </c>
      <c r="AF19" s="230" t="str">
        <f>'JPY Market Data'!R20</f>
        <v/>
      </c>
      <c r="AH19" s="12"/>
      <c r="AI19" s="134"/>
      <c r="AK19" s="54" t="s">
        <v>111</v>
      </c>
      <c r="AL19" s="16" t="s">
        <v>215</v>
      </c>
      <c r="AN19" s="51"/>
      <c r="AO19" s="33"/>
      <c r="AQ19" s="42"/>
      <c r="AR19" s="43"/>
      <c r="AS19" s="43"/>
      <c r="AT19" s="44"/>
      <c r="AU19" s="141" t="s">
        <v>86</v>
      </c>
      <c r="AW19" s="53" t="s">
        <v>111</v>
      </c>
      <c r="AX19" s="19" t="s">
        <v>38</v>
      </c>
      <c r="AZ19" s="259" t="str">
        <f>'JPY Market Data'!AR20</f>
        <v>15Y</v>
      </c>
      <c r="BA19" s="312">
        <f>'JPY Market Data'!AV20</f>
        <v>4.6250000000000006E-3</v>
      </c>
      <c r="BB19" s="80" t="b">
        <f t="shared" si="1"/>
        <v>1</v>
      </c>
      <c r="BC19" s="6"/>
      <c r="BD19" s="53" t="s">
        <v>242</v>
      </c>
      <c r="BE19" s="83" t="b">
        <v>1</v>
      </c>
      <c r="BG19" s="53" t="s">
        <v>105</v>
      </c>
      <c r="BH19" s="16" t="s">
        <v>44</v>
      </c>
      <c r="BJ19" s="223" t="str">
        <f>'JPY Market Data'!AX20</f>
        <v>11Y</v>
      </c>
      <c r="BK19" s="263">
        <f>'JPY Market Data'!BB20</f>
        <v>5.9999999999999995E-4</v>
      </c>
      <c r="BM19" s="53" t="s">
        <v>105</v>
      </c>
      <c r="BN19" s="16" t="s">
        <v>44</v>
      </c>
      <c r="BP19" s="223" t="str">
        <f>'JPY Market Data'!BD20</f>
        <v>12Y</v>
      </c>
      <c r="BQ19" s="263">
        <f>'JPY Market Data'!BH20</f>
        <v>8.0000000000000004E-4</v>
      </c>
      <c r="BS19" s="53"/>
      <c r="BT19" s="16"/>
      <c r="BV19" s="84"/>
      <c r="BW19" s="98"/>
      <c r="BY19" s="53"/>
      <c r="BZ19" s="83"/>
      <c r="CB19" s="53" t="s">
        <v>224</v>
      </c>
      <c r="CC19" s="83" t="s">
        <v>44</v>
      </c>
      <c r="CE19" s="53" t="s">
        <v>105</v>
      </c>
      <c r="CF19" s="83" t="s">
        <v>44</v>
      </c>
      <c r="CH19" s="53" t="s">
        <v>105</v>
      </c>
      <c r="CI19" s="83" t="s">
        <v>44</v>
      </c>
      <c r="CK19" s="53" t="s">
        <v>105</v>
      </c>
      <c r="CL19" s="83" t="s">
        <v>44</v>
      </c>
      <c r="CN19" s="223" t="str">
        <f>'JPY Market Data'!BP20</f>
        <v>11Y</v>
      </c>
      <c r="CO19" s="263">
        <f>'JPY Market Data'!BT20</f>
        <v>-5.1250000000000002E-3</v>
      </c>
      <c r="CQ19" s="53"/>
      <c r="CR19" s="83"/>
      <c r="CT19" s="53"/>
      <c r="CU19" s="83"/>
      <c r="CW19" s="53"/>
      <c r="CX19" s="83"/>
      <c r="CZ19" s="53"/>
      <c r="DA19" s="83"/>
    </row>
    <row r="20" spans="2:105">
      <c r="B20" s="52" t="s">
        <v>189</v>
      </c>
      <c r="C20" s="112" t="s">
        <v>300</v>
      </c>
      <c r="D20" s="113"/>
      <c r="E20" s="114"/>
      <c r="F20" t="s">
        <v>12</v>
      </c>
      <c r="G20" s="53"/>
      <c r="H20" s="83"/>
      <c r="J20" s="53"/>
      <c r="K20" s="14"/>
      <c r="L20" s="203"/>
      <c r="M20" s="223" t="str">
        <f>'JPY Market Data'!B21</f>
        <v>8Y</v>
      </c>
      <c r="N20" s="224">
        <f>'JPY Market Data'!F21</f>
        <v>9.6250000000000003E-4</v>
      </c>
      <c r="O20" s="85"/>
      <c r="P20" s="85"/>
      <c r="Q20" s="86" t="b">
        <f t="shared" si="0"/>
        <v>1</v>
      </c>
      <c r="S20" s="92"/>
      <c r="T20" s="93"/>
      <c r="V20" s="53"/>
      <c r="W20" s="14"/>
      <c r="Y20" s="229" t="str">
        <f>'JPY Market Data'!H21</f>
        <v/>
      </c>
      <c r="Z20" s="239" t="str">
        <f>'JPY Market Data'!L21</f>
        <v/>
      </c>
      <c r="AB20" s="53"/>
      <c r="AC20" s="14"/>
      <c r="AE20" s="229" t="str">
        <f>'JPY Market Data'!N21</f>
        <v/>
      </c>
      <c r="AF20" s="230" t="str">
        <f>'JPY Market Data'!R21</f>
        <v/>
      </c>
      <c r="AH20" s="12"/>
      <c r="AI20" s="134"/>
      <c r="AK20" s="54"/>
      <c r="AL20" s="16"/>
      <c r="AN20" s="51"/>
      <c r="AO20" s="33"/>
      <c r="AQ20" s="42"/>
      <c r="AR20" s="43"/>
      <c r="AS20" s="43"/>
      <c r="AT20" s="44"/>
      <c r="AU20" s="141" t="s">
        <v>86</v>
      </c>
      <c r="AW20" s="53" t="s">
        <v>32</v>
      </c>
      <c r="AX20" s="83" t="b">
        <v>1</v>
      </c>
      <c r="AZ20" s="259" t="str">
        <f>'JPY Market Data'!AR21</f>
        <v>20Y</v>
      </c>
      <c r="BA20" s="312">
        <f>'JPY Market Data'!AV21</f>
        <v>6.3E-3</v>
      </c>
      <c r="BB20" s="80" t="b">
        <f t="shared" si="1"/>
        <v>1</v>
      </c>
      <c r="BC20" s="6"/>
      <c r="BD20" s="53"/>
      <c r="BE20" s="83"/>
      <c r="BG20" s="53" t="s">
        <v>102</v>
      </c>
      <c r="BH20" s="16" t="s">
        <v>46</v>
      </c>
      <c r="BJ20" s="223" t="str">
        <f>'JPY Market Data'!AX21</f>
        <v>12Y</v>
      </c>
      <c r="BK20" s="263">
        <f>'JPY Market Data'!BB21</f>
        <v>6.3750000000000005E-4</v>
      </c>
      <c r="BM20" s="53" t="s">
        <v>102</v>
      </c>
      <c r="BN20" s="16" t="s">
        <v>46</v>
      </c>
      <c r="BP20" s="223" t="str">
        <f>'JPY Market Data'!BD21</f>
        <v>15Y</v>
      </c>
      <c r="BQ20" s="263">
        <f>'JPY Market Data'!BH21</f>
        <v>8.7500000000000002E-4</v>
      </c>
      <c r="BS20" s="53"/>
      <c r="BT20" s="16"/>
      <c r="BV20" s="84"/>
      <c r="BW20" s="98"/>
      <c r="BY20" s="53"/>
      <c r="BZ20" s="83"/>
      <c r="CB20" s="53" t="s">
        <v>225</v>
      </c>
      <c r="CC20" s="83" t="s">
        <v>46</v>
      </c>
      <c r="CE20" s="53" t="s">
        <v>102</v>
      </c>
      <c r="CF20" s="83" t="s">
        <v>46</v>
      </c>
      <c r="CH20" s="53" t="s">
        <v>102</v>
      </c>
      <c r="CI20" s="83" t="s">
        <v>46</v>
      </c>
      <c r="CK20" s="53" t="s">
        <v>102</v>
      </c>
      <c r="CL20" s="83" t="s">
        <v>46</v>
      </c>
      <c r="CN20" s="223" t="str">
        <f>'JPY Market Data'!BP21</f>
        <v>12Y</v>
      </c>
      <c r="CO20" s="263">
        <f>'JPY Market Data'!BT21</f>
        <v>-5.1000000000000004E-3</v>
      </c>
      <c r="CQ20" s="53"/>
      <c r="CR20" s="83"/>
      <c r="CT20" s="53"/>
      <c r="CU20" s="83"/>
      <c r="CW20" s="53"/>
      <c r="CX20" s="83"/>
      <c r="CZ20" s="53"/>
      <c r="DA20" s="83"/>
    </row>
    <row r="21" spans="2:105">
      <c r="B21" s="53" t="s">
        <v>61</v>
      </c>
      <c r="C21" s="115" t="s">
        <v>296</v>
      </c>
      <c r="D21" s="116"/>
      <c r="E21" s="117"/>
      <c r="F21" t="s">
        <v>12</v>
      </c>
      <c r="G21" s="53"/>
      <c r="H21" s="83"/>
      <c r="J21" s="53"/>
      <c r="K21" s="14"/>
      <c r="L21" s="203"/>
      <c r="M21" s="223" t="str">
        <f>'JPY Market Data'!B22</f>
        <v>9Y</v>
      </c>
      <c r="N21" s="224">
        <f>'JPY Market Data'!F22</f>
        <v>1.225E-3</v>
      </c>
      <c r="O21" s="85"/>
      <c r="P21" s="85"/>
      <c r="Q21" s="86" t="b">
        <f t="shared" si="0"/>
        <v>1</v>
      </c>
      <c r="S21" s="92"/>
      <c r="T21" s="93"/>
      <c r="V21" s="53"/>
      <c r="W21" s="14"/>
      <c r="Y21" s="229" t="str">
        <f>'JPY Market Data'!H22</f>
        <v/>
      </c>
      <c r="Z21" s="239" t="str">
        <f>'JPY Market Data'!L22</f>
        <v/>
      </c>
      <c r="AB21" s="53"/>
      <c r="AC21" s="14"/>
      <c r="AE21" s="229" t="str">
        <f>'JPY Market Data'!N22</f>
        <v/>
      </c>
      <c r="AF21" s="230" t="str">
        <f>'JPY Market Data'!R22</f>
        <v/>
      </c>
      <c r="AH21" s="12"/>
      <c r="AI21" s="134"/>
      <c r="AJ21" s="995" t="s">
        <v>12</v>
      </c>
      <c r="AK21" s="54"/>
      <c r="AL21" s="16"/>
      <c r="AN21" s="51"/>
      <c r="AO21" s="33"/>
      <c r="AQ21" s="42"/>
      <c r="AR21" s="43"/>
      <c r="AS21" s="43"/>
      <c r="AT21" s="44"/>
      <c r="AU21" s="141" t="s">
        <v>86</v>
      </c>
      <c r="AW21" s="53"/>
      <c r="AX21" s="83"/>
      <c r="AZ21" s="259" t="str">
        <f>'JPY Market Data'!AR22</f>
        <v>25Y</v>
      </c>
      <c r="BA21" s="312">
        <f>'JPY Market Data'!AV22</f>
        <v>7.3624999999999993E-3</v>
      </c>
      <c r="BB21" s="80" t="b">
        <f t="shared" si="1"/>
        <v>1</v>
      </c>
      <c r="BC21" s="6"/>
      <c r="BD21" s="53"/>
      <c r="BE21" s="83"/>
      <c r="BG21" s="53" t="s">
        <v>98</v>
      </c>
      <c r="BH21" s="16" t="s">
        <v>44</v>
      </c>
      <c r="BJ21" s="223" t="str">
        <f>'JPY Market Data'!AX22</f>
        <v>15Y</v>
      </c>
      <c r="BK21" s="263">
        <f>'JPY Market Data'!BB22</f>
        <v>7.1250000000000003E-4</v>
      </c>
      <c r="BM21" s="53" t="s">
        <v>98</v>
      </c>
      <c r="BN21" s="16" t="s">
        <v>44</v>
      </c>
      <c r="BP21" s="223" t="str">
        <f>'JPY Market Data'!BD22</f>
        <v>20Y</v>
      </c>
      <c r="BQ21" s="263">
        <f>'JPY Market Data'!BH22</f>
        <v>9.5E-4</v>
      </c>
      <c r="BS21" s="53"/>
      <c r="BT21" s="16"/>
      <c r="BV21" s="84"/>
      <c r="BW21" s="98"/>
      <c r="BY21" s="53"/>
      <c r="BZ21" s="83"/>
      <c r="CB21" s="53" t="s">
        <v>226</v>
      </c>
      <c r="CC21" s="83" t="s">
        <v>44</v>
      </c>
      <c r="CE21" s="53" t="s">
        <v>98</v>
      </c>
      <c r="CF21" s="83" t="s">
        <v>44</v>
      </c>
      <c r="CH21" s="53" t="s">
        <v>98</v>
      </c>
      <c r="CI21" s="83" t="s">
        <v>44</v>
      </c>
      <c r="CK21" s="53" t="s">
        <v>98</v>
      </c>
      <c r="CL21" s="83" t="s">
        <v>44</v>
      </c>
      <c r="CN21" s="223" t="str">
        <f>'JPY Market Data'!BP22</f>
        <v>15Y</v>
      </c>
      <c r="CO21" s="263">
        <f>'JPY Market Data'!BT22</f>
        <v>-5.0625000000000002E-3</v>
      </c>
      <c r="CQ21" s="53"/>
      <c r="CR21" s="83"/>
      <c r="CT21" s="53"/>
      <c r="CU21" s="83"/>
      <c r="CW21" s="53"/>
      <c r="CX21" s="83"/>
      <c r="CZ21" s="53"/>
      <c r="DA21" s="83"/>
    </row>
    <row r="22" spans="2:105">
      <c r="B22" s="53" t="s">
        <v>194</v>
      </c>
      <c r="C22" s="115" t="s">
        <v>297</v>
      </c>
      <c r="D22" s="119"/>
      <c r="E22" s="120"/>
      <c r="F22" t="s">
        <v>12</v>
      </c>
      <c r="G22" s="53"/>
      <c r="H22" s="16"/>
      <c r="J22" s="53"/>
      <c r="K22" s="16"/>
      <c r="L22" s="203"/>
      <c r="M22" s="223" t="str">
        <f>'JPY Market Data'!B23</f>
        <v>10Y</v>
      </c>
      <c r="N22" s="224">
        <f>'JPY Market Data'!F23</f>
        <v>1.5125E-3</v>
      </c>
      <c r="O22" s="85"/>
      <c r="P22" s="85"/>
      <c r="Q22" s="86" t="b">
        <f t="shared" si="0"/>
        <v>1</v>
      </c>
      <c r="S22" s="92"/>
      <c r="T22" s="93"/>
      <c r="V22" s="53"/>
      <c r="W22" s="16"/>
      <c r="Y22" s="229" t="str">
        <f>'JPY Market Data'!H23</f>
        <v/>
      </c>
      <c r="Z22" s="239" t="str">
        <f>'JPY Market Data'!L23</f>
        <v/>
      </c>
      <c r="AB22" s="53"/>
      <c r="AC22" s="16"/>
      <c r="AE22" s="229" t="str">
        <f>'JPY Market Data'!N23</f>
        <v/>
      </c>
      <c r="AF22" s="230" t="str">
        <f>'JPY Market Data'!R23</f>
        <v/>
      </c>
      <c r="AH22" s="12"/>
      <c r="AI22" s="83"/>
      <c r="AJ22" s="995"/>
      <c r="AK22" s="54"/>
      <c r="AL22" s="16"/>
      <c r="AN22" s="51"/>
      <c r="AO22" s="33"/>
      <c r="AQ22" s="42"/>
      <c r="AR22" s="43"/>
      <c r="AS22" s="43"/>
      <c r="AT22" s="44"/>
      <c r="AU22" s="141" t="s">
        <v>86</v>
      </c>
      <c r="AW22" s="53"/>
      <c r="AX22" s="83"/>
      <c r="AZ22" s="259" t="str">
        <f>'JPY Market Data'!AR23</f>
        <v>30Y</v>
      </c>
      <c r="BA22" s="312">
        <f>'JPY Market Data'!AV23</f>
        <v>8.0374999999999995E-3</v>
      </c>
      <c r="BB22" s="80" t="b">
        <f t="shared" si="1"/>
        <v>1</v>
      </c>
      <c r="BC22" s="6"/>
      <c r="BD22" s="53"/>
      <c r="BE22" s="83"/>
      <c r="BG22" s="53" t="s">
        <v>93</v>
      </c>
      <c r="BH22" s="16" t="s">
        <v>41</v>
      </c>
      <c r="BJ22" s="223" t="str">
        <f>'JPY Market Data'!AX23</f>
        <v>20Y</v>
      </c>
      <c r="BK22" s="263">
        <f>'JPY Market Data'!BB23</f>
        <v>7.8750000000000001E-4</v>
      </c>
      <c r="BM22" s="53" t="s">
        <v>93</v>
      </c>
      <c r="BN22" s="16" t="s">
        <v>41</v>
      </c>
      <c r="BP22" s="223" t="str">
        <f>'JPY Market Data'!BD23</f>
        <v>25Y</v>
      </c>
      <c r="BQ22" s="263">
        <f>'JPY Market Data'!BH23</f>
        <v>9.875000000000001E-4</v>
      </c>
      <c r="BS22" s="53"/>
      <c r="BT22" s="16"/>
      <c r="BV22" s="84"/>
      <c r="BW22" s="98"/>
      <c r="BY22" s="53"/>
      <c r="BZ22" s="83"/>
      <c r="CB22" s="53" t="s">
        <v>227</v>
      </c>
      <c r="CC22" s="83">
        <v>2</v>
      </c>
      <c r="CE22" s="53" t="s">
        <v>93</v>
      </c>
      <c r="CF22" s="83">
        <v>2</v>
      </c>
      <c r="CH22" s="53" t="s">
        <v>93</v>
      </c>
      <c r="CI22" s="83">
        <v>2</v>
      </c>
      <c r="CK22" s="53" t="s">
        <v>93</v>
      </c>
      <c r="CL22" s="83" t="s">
        <v>41</v>
      </c>
      <c r="CN22" s="223" t="str">
        <f>'JPY Market Data'!BP23</f>
        <v>20Y</v>
      </c>
      <c r="CO22" s="263">
        <f>'JPY Market Data'!BT23</f>
        <v>-5.0375000000000003E-3</v>
      </c>
      <c r="CQ22" s="53"/>
      <c r="CR22" s="83"/>
      <c r="CT22" s="53"/>
      <c r="CU22" s="83"/>
      <c r="CW22" s="53"/>
      <c r="CX22" s="83"/>
      <c r="CZ22" s="53"/>
      <c r="DA22" s="83"/>
    </row>
    <row r="23" spans="2:105">
      <c r="B23" s="53" t="s">
        <v>199</v>
      </c>
      <c r="C23" s="118" t="s">
        <v>337</v>
      </c>
      <c r="D23" s="119"/>
      <c r="E23" s="120"/>
      <c r="F23" t="s">
        <v>12</v>
      </c>
      <c r="G23" s="12"/>
      <c r="H23" s="27"/>
      <c r="J23" s="12"/>
      <c r="K23" s="27"/>
      <c r="L23" s="203"/>
      <c r="M23" s="223" t="str">
        <f>'JPY Market Data'!B24</f>
        <v>11Y</v>
      </c>
      <c r="N23" s="224">
        <f>'JPY Market Data'!F24</f>
        <v>1.8374999999999999E-3</v>
      </c>
      <c r="O23" s="85" t="s">
        <v>86</v>
      </c>
      <c r="P23" s="85" t="s">
        <v>86</v>
      </c>
      <c r="Q23" s="86" t="b">
        <f t="shared" si="0"/>
        <v>1</v>
      </c>
      <c r="S23" s="92"/>
      <c r="T23" s="93"/>
      <c r="V23" s="12"/>
      <c r="W23" s="27"/>
      <c r="Y23" s="229" t="str">
        <f>'JPY Market Data'!H24</f>
        <v/>
      </c>
      <c r="Z23" s="239" t="str">
        <f>'JPY Market Data'!L24</f>
        <v/>
      </c>
      <c r="AB23" s="12"/>
      <c r="AC23" s="27"/>
      <c r="AE23" s="229" t="str">
        <f>'JPY Market Data'!N24</f>
        <v/>
      </c>
      <c r="AF23" s="230" t="str">
        <f>'JPY Market Data'!R24</f>
        <v/>
      </c>
      <c r="AH23" s="12"/>
      <c r="AI23" s="83"/>
      <c r="AK23" s="54"/>
      <c r="AL23" s="16"/>
      <c r="AN23" s="51"/>
      <c r="AO23" s="33"/>
      <c r="AQ23" s="42"/>
      <c r="AR23" s="43"/>
      <c r="AS23" s="43"/>
      <c r="AT23" s="44"/>
      <c r="AU23" s="141" t="s">
        <v>86</v>
      </c>
      <c r="AW23" s="53"/>
      <c r="AX23" s="83"/>
      <c r="AZ23" s="259" t="str">
        <f>'JPY Market Data'!AR24</f>
        <v>35Y</v>
      </c>
      <c r="BA23" s="312">
        <f>'JPY Market Data'!AV24</f>
        <v>8.5000000000000006E-3</v>
      </c>
      <c r="BB23" s="80" t="b">
        <f t="shared" si="1"/>
        <v>1</v>
      </c>
      <c r="BC23" s="6"/>
      <c r="BD23" s="12"/>
      <c r="BE23" s="83"/>
      <c r="BG23" s="76" t="s">
        <v>90</v>
      </c>
      <c r="BH23" s="19" t="s">
        <v>38</v>
      </c>
      <c r="BJ23" s="223" t="str">
        <f>'JPY Market Data'!AX24</f>
        <v>25Y</v>
      </c>
      <c r="BK23" s="263">
        <f>'JPY Market Data'!BB24</f>
        <v>8.25E-4</v>
      </c>
      <c r="BM23" s="76" t="s">
        <v>90</v>
      </c>
      <c r="BN23" s="19" t="s">
        <v>38</v>
      </c>
      <c r="BP23" s="223" t="str">
        <f>'JPY Market Data'!BD24</f>
        <v>30Y</v>
      </c>
      <c r="BQ23" s="263">
        <f>'JPY Market Data'!BH24</f>
        <v>1E-3</v>
      </c>
      <c r="BS23" s="76"/>
      <c r="BT23" s="19"/>
      <c r="BV23" s="84"/>
      <c r="BW23" s="98"/>
      <c r="BY23" s="12"/>
      <c r="BZ23" s="83"/>
      <c r="CB23" s="53" t="s">
        <v>228</v>
      </c>
      <c r="CC23" s="16" t="s">
        <v>38</v>
      </c>
      <c r="CE23" s="53" t="s">
        <v>90</v>
      </c>
      <c r="CF23" s="16" t="s">
        <v>38</v>
      </c>
      <c r="CH23" s="53" t="s">
        <v>90</v>
      </c>
      <c r="CI23" s="16" t="s">
        <v>38</v>
      </c>
      <c r="CK23" s="53" t="s">
        <v>90</v>
      </c>
      <c r="CL23" s="16" t="s">
        <v>38</v>
      </c>
      <c r="CN23" s="223" t="str">
        <f>'JPY Market Data'!BP24</f>
        <v>25Y</v>
      </c>
      <c r="CO23" s="263">
        <f>'JPY Market Data'!BT24</f>
        <v>-5.025E-3</v>
      </c>
      <c r="CQ23" s="12"/>
      <c r="CR23" s="83"/>
      <c r="CT23" s="53"/>
      <c r="CU23" s="83"/>
      <c r="CW23" s="53"/>
      <c r="CX23" s="83"/>
      <c r="CZ23" s="53"/>
      <c r="DA23" s="83"/>
    </row>
    <row r="24" spans="2:105">
      <c r="B24" s="53" t="s">
        <v>269</v>
      </c>
      <c r="C24" s="118" t="s">
        <v>298</v>
      </c>
      <c r="D24" s="119"/>
      <c r="E24" s="120"/>
      <c r="F24" t="s">
        <v>12</v>
      </c>
      <c r="G24" s="13"/>
      <c r="H24" s="29"/>
      <c r="J24" s="13"/>
      <c r="K24" s="29"/>
      <c r="L24" s="203"/>
      <c r="M24" s="223" t="str">
        <f>'JPY Market Data'!B25</f>
        <v>12Y</v>
      </c>
      <c r="N24" s="224">
        <f>'JPY Market Data'!F25</f>
        <v>2.1749999999999999E-3</v>
      </c>
      <c r="O24" s="85" t="s">
        <v>86</v>
      </c>
      <c r="P24" s="85" t="s">
        <v>86</v>
      </c>
      <c r="Q24" s="86" t="b">
        <f t="shared" si="0"/>
        <v>1</v>
      </c>
      <c r="S24" s="92"/>
      <c r="T24" s="93"/>
      <c r="V24" s="13"/>
      <c r="W24" s="29"/>
      <c r="Y24" s="229" t="str">
        <f>'JPY Market Data'!H25</f>
        <v/>
      </c>
      <c r="Z24" s="239" t="str">
        <f>'JPY Market Data'!L25</f>
        <v/>
      </c>
      <c r="AB24" s="13"/>
      <c r="AC24" s="29"/>
      <c r="AE24" s="229" t="str">
        <f>'JPY Market Data'!N25</f>
        <v/>
      </c>
      <c r="AF24" s="230" t="str">
        <f>'JPY Market Data'!R25</f>
        <v/>
      </c>
      <c r="AH24" s="12"/>
      <c r="AI24" s="83"/>
      <c r="AK24" s="54"/>
      <c r="AL24" s="16"/>
      <c r="AN24" s="51"/>
      <c r="AO24" s="33"/>
      <c r="AQ24" s="42"/>
      <c r="AR24" s="43"/>
      <c r="AS24" s="43"/>
      <c r="AT24" s="44"/>
      <c r="AU24" s="141" t="s">
        <v>86</v>
      </c>
      <c r="AW24" s="53"/>
      <c r="AX24" s="83"/>
      <c r="AZ24" s="259" t="str">
        <f>'JPY Market Data'!AR25</f>
        <v>40Y</v>
      </c>
      <c r="BA24" s="312">
        <f>'JPY Market Data'!AV25</f>
        <v>8.8874999999999996E-3</v>
      </c>
      <c r="BB24" s="80" t="b">
        <f t="shared" si="1"/>
        <v>1</v>
      </c>
      <c r="BC24" s="6"/>
      <c r="BD24" s="12"/>
      <c r="BE24" s="83"/>
      <c r="BG24" s="75" t="s">
        <v>85</v>
      </c>
      <c r="BH24" s="97" t="s">
        <v>203</v>
      </c>
      <c r="BJ24" s="223" t="str">
        <f>'JPY Market Data'!AX25</f>
        <v>30Y</v>
      </c>
      <c r="BK24" s="263">
        <f>'JPY Market Data'!BB25</f>
        <v>8.4999999999999995E-4</v>
      </c>
      <c r="BM24" s="75" t="s">
        <v>85</v>
      </c>
      <c r="BN24" s="97" t="s">
        <v>203</v>
      </c>
      <c r="BP24" s="223" t="str">
        <f>'JPY Market Data'!BD25</f>
        <v>40Y</v>
      </c>
      <c r="BQ24" s="263">
        <f>'JPY Market Data'!BH25</f>
        <v>1E-3</v>
      </c>
      <c r="BS24" s="75"/>
      <c r="BT24" s="97"/>
      <c r="BV24" s="84"/>
      <c r="BW24" s="98"/>
      <c r="BY24" s="12"/>
      <c r="BZ24" s="83"/>
      <c r="CB24" s="53" t="s">
        <v>229</v>
      </c>
      <c r="CC24" s="83" t="s">
        <v>207</v>
      </c>
      <c r="CE24" s="53" t="s">
        <v>85</v>
      </c>
      <c r="CF24" s="83" t="s">
        <v>207</v>
      </c>
      <c r="CH24" s="53" t="s">
        <v>85</v>
      </c>
      <c r="CI24" s="83" t="s">
        <v>207</v>
      </c>
      <c r="CK24" s="53" t="s">
        <v>85</v>
      </c>
      <c r="CL24" s="83" t="s">
        <v>207</v>
      </c>
      <c r="CN24" s="223" t="str">
        <f>'JPY Market Data'!BP25</f>
        <v>30Y</v>
      </c>
      <c r="CO24" s="263">
        <f>'JPY Market Data'!BT25</f>
        <v>-5.0000000000000001E-3</v>
      </c>
      <c r="CQ24" s="12"/>
      <c r="CR24" s="83"/>
      <c r="CT24" s="53"/>
      <c r="CU24" s="83"/>
      <c r="CW24" s="53"/>
      <c r="CX24" s="83"/>
      <c r="CZ24" s="53"/>
      <c r="DA24" s="83"/>
    </row>
    <row r="25" spans="2:105">
      <c r="B25" s="53" t="s">
        <v>196</v>
      </c>
      <c r="C25" s="118" t="s">
        <v>309</v>
      </c>
      <c r="D25" s="119"/>
      <c r="E25" s="120"/>
      <c r="F25" t="s">
        <v>12</v>
      </c>
      <c r="L25" s="203"/>
      <c r="M25" s="223" t="str">
        <f>'JPY Market Data'!B26</f>
        <v>15Y</v>
      </c>
      <c r="N25" s="224">
        <f>'JPY Market Data'!F26</f>
        <v>3.2624999999999998E-3</v>
      </c>
      <c r="O25" s="85"/>
      <c r="P25" s="85"/>
      <c r="Q25" s="86" t="b">
        <f t="shared" si="0"/>
        <v>1</v>
      </c>
      <c r="S25" s="92"/>
      <c r="T25" s="93"/>
      <c r="Y25" s="229" t="str">
        <f>'JPY Market Data'!H26</f>
        <v/>
      </c>
      <c r="Z25" s="239" t="str">
        <f>'JPY Market Data'!L26</f>
        <v/>
      </c>
      <c r="AE25" s="229" t="str">
        <f>'JPY Market Data'!N26</f>
        <v/>
      </c>
      <c r="AF25" s="230" t="str">
        <f>'JPY Market Data'!R26</f>
        <v/>
      </c>
      <c r="AH25" s="12"/>
      <c r="AI25" s="83"/>
      <c r="AK25" s="55"/>
      <c r="AL25" s="19"/>
      <c r="AN25" s="62"/>
      <c r="AO25" s="38"/>
      <c r="AQ25" s="45"/>
      <c r="AR25" s="43"/>
      <c r="AS25" s="43"/>
      <c r="AT25" s="46"/>
      <c r="AU25" s="141" t="s">
        <v>86</v>
      </c>
      <c r="AW25" s="53"/>
      <c r="AX25" s="83"/>
      <c r="AZ25" s="259" t="str">
        <f>'JPY Market Data'!AR26</f>
        <v/>
      </c>
      <c r="BA25" s="312" t="str">
        <f>'JPY Market Data'!AV26</f>
        <v/>
      </c>
      <c r="BB25" s="80" t="b">
        <f t="shared" si="1"/>
        <v>0</v>
      </c>
      <c r="BC25" s="6"/>
      <c r="BD25" s="12"/>
      <c r="BE25" s="83"/>
      <c r="BG25" s="53" t="s">
        <v>83</v>
      </c>
      <c r="BH25" s="16" t="s">
        <v>53</v>
      </c>
      <c r="BJ25" s="223" t="str">
        <f>'JPY Market Data'!AX26</f>
        <v>40Y</v>
      </c>
      <c r="BK25" s="263">
        <f>'JPY Market Data'!BB26</f>
        <v>8.7500000000000002E-4</v>
      </c>
      <c r="BM25" s="53" t="s">
        <v>83</v>
      </c>
      <c r="BN25" s="16" t="s">
        <v>53</v>
      </c>
      <c r="BP25" s="223" t="str">
        <f>'JPY Market Data'!BD26</f>
        <v/>
      </c>
      <c r="BQ25" s="263" t="str">
        <f>'JPY Market Data'!BH26</f>
        <v/>
      </c>
      <c r="BS25" s="53"/>
      <c r="BT25" s="16"/>
      <c r="BV25" s="84"/>
      <c r="BW25" s="98"/>
      <c r="BY25" s="12"/>
      <c r="BZ25" s="83"/>
      <c r="CB25" s="75" t="s">
        <v>230</v>
      </c>
      <c r="CC25" s="101" t="s">
        <v>53</v>
      </c>
      <c r="CE25" s="75" t="s">
        <v>83</v>
      </c>
      <c r="CF25" s="101" t="s">
        <v>53</v>
      </c>
      <c r="CH25" s="75" t="s">
        <v>83</v>
      </c>
      <c r="CI25" s="101" t="s">
        <v>53</v>
      </c>
      <c r="CK25" s="75" t="s">
        <v>83</v>
      </c>
      <c r="CL25" s="101" t="s">
        <v>53</v>
      </c>
      <c r="CN25" s="223" t="str">
        <f>'JPY Market Data'!BP26</f>
        <v/>
      </c>
      <c r="CO25" s="263" t="str">
        <f>'JPY Market Data'!BT26</f>
        <v/>
      </c>
      <c r="CQ25" s="12"/>
      <c r="CR25" s="83"/>
      <c r="CT25" s="53"/>
      <c r="CU25" s="83"/>
      <c r="CW25" s="53"/>
      <c r="CX25" s="83"/>
      <c r="CZ25" s="53"/>
      <c r="DA25" s="83"/>
    </row>
    <row r="26" spans="2:105">
      <c r="B26" s="53"/>
      <c r="C26" s="118"/>
      <c r="D26" s="119"/>
      <c r="E26" s="120"/>
      <c r="F26" t="s">
        <v>12</v>
      </c>
      <c r="L26" s="203"/>
      <c r="M26" s="223" t="str">
        <f>'JPY Market Data'!B27</f>
        <v>20Y</v>
      </c>
      <c r="N26" s="224">
        <f>'JPY Market Data'!F27</f>
        <v>4.8374999999999998E-3</v>
      </c>
      <c r="O26" s="85"/>
      <c r="P26" s="85"/>
      <c r="Q26" s="86" t="b">
        <f t="shared" si="0"/>
        <v>1</v>
      </c>
      <c r="S26" s="92"/>
      <c r="T26" s="93"/>
      <c r="Y26" s="229" t="str">
        <f>'JPY Market Data'!H27</f>
        <v/>
      </c>
      <c r="Z26" s="239" t="str">
        <f>'JPY Market Data'!L27</f>
        <v/>
      </c>
      <c r="AE26" s="229" t="str">
        <f>'JPY Market Data'!N27</f>
        <v/>
      </c>
      <c r="AF26" s="230" t="str">
        <f>'JPY Market Data'!R27</f>
        <v/>
      </c>
      <c r="AH26" s="12"/>
      <c r="AI26" s="83"/>
      <c r="AK26" s="259" t="str">
        <f>'JPY Market Data'!T10</f>
        <v>6M</v>
      </c>
      <c r="AL26" s="260">
        <f>'JPY Market Data'!X10</f>
        <v>2.2700000000000002E-4</v>
      </c>
      <c r="AN26" s="51"/>
      <c r="AO26" s="33"/>
      <c r="AQ26" s="47"/>
      <c r="AR26" s="48"/>
      <c r="AS26" s="48"/>
      <c r="AT26" s="48"/>
      <c r="AU26" s="142" t="s">
        <v>86</v>
      </c>
      <c r="AW26" s="53"/>
      <c r="AX26" s="83"/>
      <c r="AZ26" s="259" t="str">
        <f>'JPY Market Data'!AR27</f>
        <v/>
      </c>
      <c r="BA26" s="312" t="str">
        <f>'JPY Market Data'!AV27</f>
        <v/>
      </c>
      <c r="BB26" s="80" t="b">
        <f t="shared" si="1"/>
        <v>0</v>
      </c>
      <c r="BC26" s="6"/>
      <c r="BD26" s="12"/>
      <c r="BE26" s="83"/>
      <c r="BG26" s="53" t="s">
        <v>81</v>
      </c>
      <c r="BH26" s="83" t="s">
        <v>75</v>
      </c>
      <c r="BJ26" s="223" t="str">
        <f>'JPY Market Data'!AX27</f>
        <v/>
      </c>
      <c r="BK26" s="263" t="str">
        <f>'JPY Market Data'!BB27</f>
        <v/>
      </c>
      <c r="BM26" s="53" t="s">
        <v>81</v>
      </c>
      <c r="BN26" s="83" t="s">
        <v>80</v>
      </c>
      <c r="BP26" s="223" t="str">
        <f>'JPY Market Data'!BD27</f>
        <v/>
      </c>
      <c r="BQ26" s="263" t="str">
        <f>'JPY Market Data'!BH27</f>
        <v/>
      </c>
      <c r="BS26" s="53"/>
      <c r="BT26" s="83"/>
      <c r="BV26" s="84"/>
      <c r="BW26" s="98"/>
      <c r="BY26" s="12"/>
      <c r="BZ26" s="83"/>
      <c r="CB26" s="53" t="s">
        <v>231</v>
      </c>
      <c r="CC26" s="83" t="s">
        <v>75</v>
      </c>
      <c r="CE26" s="53" t="s">
        <v>81</v>
      </c>
      <c r="CF26" s="83" t="s">
        <v>75</v>
      </c>
      <c r="CH26" s="53" t="s">
        <v>81</v>
      </c>
      <c r="CI26" s="83" t="s">
        <v>75</v>
      </c>
      <c r="CK26" s="53" t="s">
        <v>81</v>
      </c>
      <c r="CL26" s="83" t="s">
        <v>75</v>
      </c>
      <c r="CN26" s="223" t="str">
        <f>'JPY Market Data'!BP27</f>
        <v/>
      </c>
      <c r="CO26" s="263" t="str">
        <f>'JPY Market Data'!BT27</f>
        <v/>
      </c>
      <c r="CQ26" s="12"/>
      <c r="CR26" s="83"/>
      <c r="CT26" s="53"/>
      <c r="CU26" s="83"/>
      <c r="CW26" s="53"/>
      <c r="CX26" s="83"/>
      <c r="CZ26" s="53"/>
      <c r="DA26" s="83"/>
    </row>
    <row r="27" spans="2:105">
      <c r="B27" s="59"/>
      <c r="C27" s="121"/>
      <c r="D27" s="122"/>
      <c r="E27" s="123"/>
      <c r="F27" t="s">
        <v>12</v>
      </c>
      <c r="J27" s="70" t="s">
        <v>124</v>
      </c>
      <c r="K27" s="215" t="s">
        <v>123</v>
      </c>
      <c r="L27" s="203"/>
      <c r="M27" s="223" t="str">
        <f>'JPY Market Data'!B28</f>
        <v>25Y</v>
      </c>
      <c r="N27" s="224">
        <f>'JPY Market Data'!F28</f>
        <v>5.8499999999999993E-3</v>
      </c>
      <c r="O27" s="85"/>
      <c r="P27" s="85"/>
      <c r="Q27" s="86" t="b">
        <f t="shared" si="0"/>
        <v>1</v>
      </c>
      <c r="S27" s="92"/>
      <c r="T27" s="93"/>
      <c r="Y27" s="229" t="str">
        <f>'JPY Market Data'!H28</f>
        <v/>
      </c>
      <c r="Z27" s="239" t="str">
        <f>'JPY Market Data'!L28</f>
        <v/>
      </c>
      <c r="AE27" s="229" t="str">
        <f>'JPY Market Data'!N28</f>
        <v/>
      </c>
      <c r="AF27" s="230" t="str">
        <f>'JPY Market Data'!R28</f>
        <v/>
      </c>
      <c r="AH27" s="12"/>
      <c r="AI27" s="83"/>
      <c r="AK27" s="56" t="s">
        <v>78</v>
      </c>
      <c r="AL27" s="16"/>
      <c r="AN27" s="56" t="s">
        <v>77</v>
      </c>
      <c r="AO27" s="33"/>
      <c r="AQ27" s="47"/>
      <c r="AR27" s="48"/>
      <c r="AS27" s="48"/>
      <c r="AT27" s="48"/>
      <c r="AU27" s="142" t="s">
        <v>86</v>
      </c>
      <c r="AW27" s="53"/>
      <c r="AX27" s="83"/>
      <c r="AZ27" s="259" t="str">
        <f>'JPY Market Data'!AR28</f>
        <v/>
      </c>
      <c r="BA27" s="312" t="str">
        <f>'JPY Market Data'!AV28</f>
        <v/>
      </c>
      <c r="BB27" s="80" t="b">
        <f t="shared" si="1"/>
        <v>0</v>
      </c>
      <c r="BC27" s="6"/>
      <c r="BD27" s="12"/>
      <c r="BE27" s="83"/>
      <c r="BG27" s="53" t="s">
        <v>71</v>
      </c>
      <c r="BH27" s="83" t="s">
        <v>38</v>
      </c>
      <c r="BJ27" s="223" t="str">
        <f>'JPY Market Data'!AX28</f>
        <v/>
      </c>
      <c r="BK27" s="263" t="str">
        <f>'JPY Market Data'!BB28</f>
        <v/>
      </c>
      <c r="BM27" s="53" t="s">
        <v>71</v>
      </c>
      <c r="BN27" s="83" t="s">
        <v>38</v>
      </c>
      <c r="BP27" s="223" t="str">
        <f>'JPY Market Data'!BD28</f>
        <v/>
      </c>
      <c r="BQ27" s="263" t="str">
        <f>'JPY Market Data'!BH28</f>
        <v/>
      </c>
      <c r="BS27" s="53"/>
      <c r="BT27" s="83"/>
      <c r="BV27" s="84"/>
      <c r="BW27" s="98"/>
      <c r="BY27" s="12"/>
      <c r="BZ27" s="83"/>
      <c r="CB27" s="53" t="s">
        <v>232</v>
      </c>
      <c r="CC27" s="83" t="s">
        <v>38</v>
      </c>
      <c r="CE27" s="53" t="s">
        <v>71</v>
      </c>
      <c r="CF27" s="83" t="s">
        <v>38</v>
      </c>
      <c r="CH27" s="53" t="s">
        <v>71</v>
      </c>
      <c r="CI27" s="83" t="s">
        <v>38</v>
      </c>
      <c r="CK27" s="53" t="s">
        <v>71</v>
      </c>
      <c r="CL27" s="83" t="s">
        <v>38</v>
      </c>
      <c r="CN27" s="223" t="str">
        <f>'JPY Market Data'!BP28</f>
        <v/>
      </c>
      <c r="CO27" s="263" t="str">
        <f>'JPY Market Data'!BT28</f>
        <v/>
      </c>
      <c r="CQ27" s="12"/>
      <c r="CR27" s="83"/>
      <c r="CT27" s="53"/>
      <c r="CU27" s="83"/>
      <c r="CW27" s="53"/>
      <c r="CX27" s="83"/>
      <c r="CZ27" s="53"/>
      <c r="DA27" s="83"/>
    </row>
    <row r="28" spans="2:105">
      <c r="F28" t="s">
        <v>12</v>
      </c>
      <c r="J28" s="70" t="s">
        <v>926</v>
      </c>
      <c r="K28" s="215" t="s">
        <v>959</v>
      </c>
      <c r="L28" s="203"/>
      <c r="M28" s="223" t="str">
        <f>'JPY Market Data'!B29</f>
        <v>30Y</v>
      </c>
      <c r="N28" s="224">
        <f>'JPY Market Data'!F29</f>
        <v>6.4875000000000002E-3</v>
      </c>
      <c r="O28" s="85"/>
      <c r="P28" s="85"/>
      <c r="Q28" s="86" t="b">
        <f t="shared" si="0"/>
        <v>1</v>
      </c>
      <c r="S28" s="92"/>
      <c r="T28" s="93"/>
      <c r="Y28" s="229" t="str">
        <f>'JPY Market Data'!H29</f>
        <v/>
      </c>
      <c r="Z28" s="239" t="str">
        <f>'JPY Market Data'!L29</f>
        <v/>
      </c>
      <c r="AE28" s="229" t="str">
        <f>'JPY Market Data'!N29</f>
        <v/>
      </c>
      <c r="AF28" s="230" t="str">
        <f>'JPY Market Data'!R29</f>
        <v/>
      </c>
      <c r="AH28" s="12"/>
      <c r="AI28" s="83"/>
      <c r="AK28" s="57" t="s">
        <v>74</v>
      </c>
      <c r="AL28" s="15" t="s">
        <v>73</v>
      </c>
      <c r="AN28" s="57" t="s">
        <v>74</v>
      </c>
      <c r="AO28" s="15" t="s">
        <v>73</v>
      </c>
      <c r="AQ28" s="47"/>
      <c r="AR28" s="48"/>
      <c r="AS28" s="48"/>
      <c r="AT28" s="48"/>
      <c r="AU28" s="142" t="s">
        <v>86</v>
      </c>
      <c r="AW28" s="53"/>
      <c r="AX28" s="83"/>
      <c r="AZ28" s="259" t="str">
        <f>'JPY Market Data'!AR29</f>
        <v/>
      </c>
      <c r="BA28" s="312" t="str">
        <f>'JPY Market Data'!AV29</f>
        <v/>
      </c>
      <c r="BB28" s="80" t="b">
        <f t="shared" si="1"/>
        <v>0</v>
      </c>
      <c r="BC28" s="6"/>
      <c r="BD28" s="12"/>
      <c r="BE28" s="83"/>
      <c r="BG28" s="53" t="s">
        <v>67</v>
      </c>
      <c r="BH28" s="16" t="s">
        <v>41</v>
      </c>
      <c r="BJ28" s="223" t="str">
        <f>'JPY Market Data'!AX29</f>
        <v/>
      </c>
      <c r="BK28" s="263" t="str">
        <f>'JPY Market Data'!BB29</f>
        <v/>
      </c>
      <c r="BM28" s="53" t="s">
        <v>67</v>
      </c>
      <c r="BN28" s="16" t="s">
        <v>41</v>
      </c>
      <c r="BP28" s="223" t="str">
        <f>'JPY Market Data'!BD29</f>
        <v/>
      </c>
      <c r="BQ28" s="263" t="str">
        <f>'JPY Market Data'!BH29</f>
        <v/>
      </c>
      <c r="BS28" s="53"/>
      <c r="BT28" s="16"/>
      <c r="BV28" s="84"/>
      <c r="BW28" s="98"/>
      <c r="BY28" s="12"/>
      <c r="BZ28" s="83"/>
      <c r="CB28" s="53" t="s">
        <v>233</v>
      </c>
      <c r="CC28" s="83">
        <v>2</v>
      </c>
      <c r="CE28" s="53" t="s">
        <v>67</v>
      </c>
      <c r="CF28" s="83">
        <v>2</v>
      </c>
      <c r="CH28" s="53" t="s">
        <v>67</v>
      </c>
      <c r="CI28" s="83">
        <v>2</v>
      </c>
      <c r="CK28" s="53" t="s">
        <v>67</v>
      </c>
      <c r="CL28" s="83">
        <v>2</v>
      </c>
      <c r="CN28" s="223" t="str">
        <f>'JPY Market Data'!BP29</f>
        <v/>
      </c>
      <c r="CO28" s="263" t="str">
        <f>'JPY Market Data'!BT29</f>
        <v/>
      </c>
      <c r="CQ28" s="12"/>
      <c r="CR28" s="83"/>
      <c r="CT28" s="53"/>
      <c r="CU28" s="83"/>
      <c r="CW28" s="53"/>
      <c r="CX28" s="83"/>
      <c r="CZ28" s="53"/>
      <c r="DA28" s="83"/>
    </row>
    <row r="29" spans="2:105">
      <c r="B29" s="2" t="s">
        <v>310</v>
      </c>
      <c r="C29" s="9"/>
      <c r="F29" t="s">
        <v>12</v>
      </c>
      <c r="J29" s="70" t="s">
        <v>927</v>
      </c>
      <c r="K29" s="215" t="s">
        <v>37</v>
      </c>
      <c r="L29" s="203"/>
      <c r="M29" s="223" t="str">
        <f>'JPY Market Data'!B30</f>
        <v/>
      </c>
      <c r="N29" s="224" t="str">
        <f>'JPY Market Data'!F30</f>
        <v/>
      </c>
      <c r="O29" s="85"/>
      <c r="P29" s="85"/>
      <c r="Q29" s="86" t="b">
        <f t="shared" si="0"/>
        <v>0</v>
      </c>
      <c r="S29" s="92"/>
      <c r="T29" s="93"/>
      <c r="Y29" s="229" t="str">
        <f>'JPY Market Data'!H30</f>
        <v/>
      </c>
      <c r="Z29" s="239" t="str">
        <f>'JPY Market Data'!L30</f>
        <v/>
      </c>
      <c r="AE29" s="229" t="str">
        <f>'JPY Market Data'!N30</f>
        <v/>
      </c>
      <c r="AF29" s="230" t="str">
        <f>'JPY Market Data'!R30</f>
        <v/>
      </c>
      <c r="AH29" s="12"/>
      <c r="AI29" s="83"/>
      <c r="AK29" s="259" t="str">
        <f>'JPY Market Data'!T10</f>
        <v>6M</v>
      </c>
      <c r="AL29" s="260">
        <f>'JPY Market Data'!X10</f>
        <v>2.2700000000000002E-4</v>
      </c>
      <c r="AN29" s="259" t="str">
        <f>'JPY Market Data'!AF10</f>
        <v>2X8</v>
      </c>
      <c r="AO29" s="260">
        <f>'JPY Market Data'!AJ10</f>
        <v>2.9999999999999997E-4</v>
      </c>
      <c r="AQ29" s="47"/>
      <c r="AR29" s="48"/>
      <c r="AS29" s="48"/>
      <c r="AT29" s="48"/>
      <c r="AU29" s="142" t="s">
        <v>86</v>
      </c>
      <c r="AW29" s="53"/>
      <c r="AX29" s="83"/>
      <c r="AZ29" s="259" t="str">
        <f>'JPY Market Data'!AR30</f>
        <v/>
      </c>
      <c r="BA29" s="312" t="str">
        <f>'JPY Market Data'!AV30</f>
        <v/>
      </c>
      <c r="BB29" s="80" t="b">
        <f t="shared" si="1"/>
        <v>0</v>
      </c>
      <c r="BC29" s="6"/>
      <c r="BD29" s="12"/>
      <c r="BE29" s="83"/>
      <c r="BG29" s="53" t="s">
        <v>65</v>
      </c>
      <c r="BH29" s="28" t="s">
        <v>189</v>
      </c>
      <c r="BJ29" s="223" t="str">
        <f>'JPY Market Data'!AX30</f>
        <v/>
      </c>
      <c r="BK29" s="263" t="str">
        <f>'JPY Market Data'!BB30</f>
        <v/>
      </c>
      <c r="BM29" s="53" t="s">
        <v>65</v>
      </c>
      <c r="BN29" s="28" t="s">
        <v>189</v>
      </c>
      <c r="BP29" s="223" t="str">
        <f>'JPY Market Data'!BD30</f>
        <v/>
      </c>
      <c r="BQ29" s="263" t="str">
        <f>'JPY Market Data'!BH30</f>
        <v/>
      </c>
      <c r="BS29" s="53"/>
      <c r="BT29" s="28"/>
      <c r="BV29" s="84"/>
      <c r="BW29" s="98"/>
      <c r="BY29" s="12"/>
      <c r="BZ29" s="83"/>
      <c r="CB29" s="53" t="s">
        <v>212</v>
      </c>
      <c r="CC29" s="28" t="s">
        <v>189</v>
      </c>
      <c r="CE29" s="53" t="s">
        <v>65</v>
      </c>
      <c r="CF29" s="28" t="s">
        <v>189</v>
      </c>
      <c r="CH29" s="53" t="s">
        <v>65</v>
      </c>
      <c r="CI29" s="28" t="s">
        <v>189</v>
      </c>
      <c r="CK29" s="53" t="s">
        <v>65</v>
      </c>
      <c r="CL29" s="28" t="s">
        <v>189</v>
      </c>
      <c r="CN29" s="223" t="str">
        <f>'JPY Market Data'!BP30</f>
        <v/>
      </c>
      <c r="CO29" s="263" t="str">
        <f>'JPY Market Data'!BT30</f>
        <v/>
      </c>
      <c r="CQ29" s="12"/>
      <c r="CR29" s="83"/>
      <c r="CT29" s="53"/>
      <c r="CU29" s="83"/>
      <c r="CW29" s="53"/>
      <c r="CX29" s="83"/>
      <c r="CZ29" s="53"/>
      <c r="DA29" s="83"/>
    </row>
    <row r="30" spans="2:105">
      <c r="B30" s="52" t="s">
        <v>189</v>
      </c>
      <c r="C30" s="112" t="s">
        <v>300</v>
      </c>
      <c r="D30" s="113"/>
      <c r="E30" s="114"/>
      <c r="F30" t="s">
        <v>12</v>
      </c>
      <c r="J30" s="53" t="s">
        <v>1448</v>
      </c>
      <c r="K30" s="215" t="s">
        <v>1449</v>
      </c>
      <c r="L30" s="203"/>
      <c r="M30" s="223" t="str">
        <f>'JPY Market Data'!B31</f>
        <v/>
      </c>
      <c r="N30" s="224" t="str">
        <f>'JPY Market Data'!F31</f>
        <v/>
      </c>
      <c r="O30" s="85"/>
      <c r="P30" s="85"/>
      <c r="Q30" s="86" t="b">
        <f t="shared" si="0"/>
        <v>0</v>
      </c>
      <c r="S30" s="92"/>
      <c r="T30" s="93"/>
      <c r="Y30" s="229" t="str">
        <f>'JPY Market Data'!H31</f>
        <v/>
      </c>
      <c r="Z30" s="239" t="str">
        <f>'JPY Market Data'!L31</f>
        <v/>
      </c>
      <c r="AE30" s="229" t="str">
        <f>'JPY Market Data'!N31</f>
        <v/>
      </c>
      <c r="AF30" s="230" t="str">
        <f>'JPY Market Data'!R31</f>
        <v/>
      </c>
      <c r="AH30" s="12"/>
      <c r="AI30" s="83"/>
      <c r="AK30" s="51"/>
      <c r="AL30" s="33"/>
      <c r="AN30" s="259" t="str">
        <f>'JPY Market Data'!AF11</f>
        <v>3X9</v>
      </c>
      <c r="AO30" s="260">
        <f>'JPY Market Data'!AJ11</f>
        <v>3.2499999999999999E-4</v>
      </c>
      <c r="AQ30" s="47"/>
      <c r="AR30" s="48"/>
      <c r="AS30" s="48"/>
      <c r="AT30" s="48"/>
      <c r="AU30" s="142" t="s">
        <v>86</v>
      </c>
      <c r="AW30" s="53"/>
      <c r="AX30" s="83"/>
      <c r="AZ30" s="259" t="str">
        <f>'JPY Market Data'!AR31</f>
        <v/>
      </c>
      <c r="BA30" s="312" t="str">
        <f>'JPY Market Data'!AV31</f>
        <v/>
      </c>
      <c r="BB30" s="80" t="b">
        <f t="shared" si="1"/>
        <v>0</v>
      </c>
      <c r="BC30" s="6"/>
      <c r="BD30" s="12"/>
      <c r="BE30" s="83"/>
      <c r="BG30" s="53" t="s">
        <v>62</v>
      </c>
      <c r="BH30" s="28" t="s">
        <v>61</v>
      </c>
      <c r="BJ30" s="223" t="str">
        <f>'JPY Market Data'!AX31</f>
        <v/>
      </c>
      <c r="BK30" s="263" t="str">
        <f>'JPY Market Data'!BB31</f>
        <v/>
      </c>
      <c r="BM30" s="53" t="s">
        <v>62</v>
      </c>
      <c r="BN30" s="28" t="s">
        <v>61</v>
      </c>
      <c r="BP30" s="223" t="str">
        <f>'JPY Market Data'!BD31</f>
        <v/>
      </c>
      <c r="BQ30" s="263" t="str">
        <f>'JPY Market Data'!BH31</f>
        <v/>
      </c>
      <c r="BS30" s="53"/>
      <c r="BT30" s="28"/>
      <c r="BV30" s="84"/>
      <c r="BW30" s="98"/>
      <c r="BY30" s="12"/>
      <c r="BZ30" s="83"/>
      <c r="CB30" s="53" t="s">
        <v>214</v>
      </c>
      <c r="CC30" s="28" t="s">
        <v>1033</v>
      </c>
      <c r="CE30" s="53" t="s">
        <v>62</v>
      </c>
      <c r="CF30" s="28" t="s">
        <v>1033</v>
      </c>
      <c r="CH30" s="53" t="s">
        <v>62</v>
      </c>
      <c r="CI30" s="28" t="s">
        <v>1033</v>
      </c>
      <c r="CK30" s="53" t="s">
        <v>62</v>
      </c>
      <c r="CL30" s="28" t="s">
        <v>1033</v>
      </c>
      <c r="CN30" s="223" t="str">
        <f>'JPY Market Data'!BP31</f>
        <v/>
      </c>
      <c r="CO30" s="263" t="str">
        <f>'JPY Market Data'!BT31</f>
        <v/>
      </c>
      <c r="CQ30" s="12"/>
      <c r="CR30" s="83"/>
      <c r="CT30" s="53"/>
      <c r="CU30" s="83"/>
      <c r="CW30" s="53"/>
      <c r="CX30" s="83"/>
      <c r="CZ30" s="53"/>
      <c r="DA30" s="83"/>
    </row>
    <row r="31" spans="2:105">
      <c r="B31" s="53" t="s">
        <v>61</v>
      </c>
      <c r="C31" s="115" t="s">
        <v>296</v>
      </c>
      <c r="D31" s="116"/>
      <c r="E31" s="117"/>
      <c r="F31" t="s">
        <v>12</v>
      </c>
      <c r="L31" s="203"/>
      <c r="M31" s="223" t="str">
        <f>'JPY Market Data'!B32</f>
        <v/>
      </c>
      <c r="N31" s="224" t="str">
        <f>'JPY Market Data'!F32</f>
        <v/>
      </c>
      <c r="O31" s="85"/>
      <c r="P31" s="85"/>
      <c r="Q31" s="86" t="b">
        <f t="shared" si="0"/>
        <v>0</v>
      </c>
      <c r="S31" s="92"/>
      <c r="T31" s="93"/>
      <c r="Y31" s="229" t="str">
        <f>'JPY Market Data'!H32</f>
        <v/>
      </c>
      <c r="Z31" s="239" t="str">
        <f>'JPY Market Data'!L32</f>
        <v/>
      </c>
      <c r="AE31" s="229" t="str">
        <f>'JPY Market Data'!N32</f>
        <v/>
      </c>
      <c r="AF31" s="230" t="str">
        <f>'JPY Market Data'!R32</f>
        <v/>
      </c>
      <c r="AH31" s="12"/>
      <c r="AI31" s="83"/>
      <c r="AK31" s="51"/>
      <c r="AL31" s="33"/>
      <c r="AN31" s="259" t="str">
        <f>'JPY Market Data'!AF12</f>
        <v>4X10</v>
      </c>
      <c r="AO31" s="260">
        <f>'JPY Market Data'!AJ12</f>
        <v>3.5000000000000005E-4</v>
      </c>
      <c r="AQ31" s="47"/>
      <c r="AR31" s="48"/>
      <c r="AS31" s="48"/>
      <c r="AT31" s="48"/>
      <c r="AU31" s="142" t="s">
        <v>86</v>
      </c>
      <c r="AW31" s="53"/>
      <c r="AX31" s="83"/>
      <c r="AZ31" s="259" t="str">
        <f>'JPY Market Data'!AR32</f>
        <v/>
      </c>
      <c r="BA31" s="312" t="str">
        <f>'JPY Market Data'!AV32</f>
        <v/>
      </c>
      <c r="BB31" s="80" t="b">
        <f t="shared" si="1"/>
        <v>0</v>
      </c>
      <c r="BC31" s="6"/>
      <c r="BD31" s="12"/>
      <c r="BE31" s="83"/>
      <c r="BG31" s="53" t="s">
        <v>58</v>
      </c>
      <c r="BH31" s="104" t="s">
        <v>51</v>
      </c>
      <c r="BJ31" s="223" t="str">
        <f>'JPY Market Data'!AX32</f>
        <v/>
      </c>
      <c r="BK31" s="263" t="str">
        <f>'JPY Market Data'!BB32</f>
        <v/>
      </c>
      <c r="BM31" s="53" t="s">
        <v>58</v>
      </c>
      <c r="BN31" s="104" t="s">
        <v>20</v>
      </c>
      <c r="BP31" s="223" t="str">
        <f>'JPY Market Data'!BD32</f>
        <v/>
      </c>
      <c r="BQ31" s="263" t="str">
        <f>'JPY Market Data'!BH32</f>
        <v/>
      </c>
      <c r="BS31" s="53"/>
      <c r="BT31" s="104"/>
      <c r="BV31" s="84"/>
      <c r="BW31" s="98"/>
      <c r="BY31" s="12"/>
      <c r="BZ31" s="83"/>
      <c r="CB31" s="53" t="s">
        <v>234</v>
      </c>
      <c r="CC31" s="28" t="s">
        <v>51</v>
      </c>
      <c r="CE31" s="53" t="s">
        <v>58</v>
      </c>
      <c r="CF31" s="28" t="s">
        <v>51</v>
      </c>
      <c r="CH31" s="53" t="s">
        <v>58</v>
      </c>
      <c r="CI31" s="28" t="s">
        <v>51</v>
      </c>
      <c r="CK31" s="53" t="s">
        <v>58</v>
      </c>
      <c r="CL31" s="28" t="s">
        <v>51</v>
      </c>
      <c r="CN31" s="223" t="str">
        <f>'JPY Market Data'!BP32</f>
        <v/>
      </c>
      <c r="CO31" s="263" t="str">
        <f>'JPY Market Data'!BT32</f>
        <v/>
      </c>
      <c r="CQ31" s="12"/>
      <c r="CR31" s="83"/>
      <c r="CT31" s="53"/>
      <c r="CU31" s="83"/>
      <c r="CW31" s="53"/>
      <c r="CX31" s="83"/>
      <c r="CZ31" s="53"/>
      <c r="DA31" s="83"/>
    </row>
    <row r="32" spans="2:105">
      <c r="B32" s="53" t="s">
        <v>315</v>
      </c>
      <c r="C32" s="115" t="s">
        <v>301</v>
      </c>
      <c r="D32" s="119"/>
      <c r="E32" s="120"/>
      <c r="F32" t="s">
        <v>12</v>
      </c>
      <c r="L32" s="203"/>
      <c r="M32" s="223" t="str">
        <f>'JPY Market Data'!B33</f>
        <v/>
      </c>
      <c r="N32" s="224" t="str">
        <f>'JPY Market Data'!F33</f>
        <v/>
      </c>
      <c r="O32" s="85"/>
      <c r="P32" s="85"/>
      <c r="Q32" s="86" t="b">
        <f t="shared" si="0"/>
        <v>0</v>
      </c>
      <c r="S32" s="92"/>
      <c r="T32" s="93"/>
      <c r="Y32" s="229" t="str">
        <f>'JPY Market Data'!H33</f>
        <v/>
      </c>
      <c r="Z32" s="239" t="str">
        <f>'JPY Market Data'!L33</f>
        <v/>
      </c>
      <c r="AE32" s="229" t="str">
        <f>'JPY Market Data'!N33</f>
        <v/>
      </c>
      <c r="AF32" s="230" t="str">
        <f>'JPY Market Data'!R33</f>
        <v/>
      </c>
      <c r="AH32" s="12"/>
      <c r="AI32" s="83"/>
      <c r="AK32" s="51"/>
      <c r="AL32" s="33"/>
      <c r="AM32" s="3"/>
      <c r="AN32" s="259" t="str">
        <f>'JPY Market Data'!AF13</f>
        <v>5X11</v>
      </c>
      <c r="AO32" s="260">
        <f>'JPY Market Data'!AJ13</f>
        <v>3.7500000000000001E-4</v>
      </c>
      <c r="AP32" s="3"/>
      <c r="AQ32" s="47"/>
      <c r="AR32" s="48"/>
      <c r="AS32" s="48"/>
      <c r="AT32" s="48"/>
      <c r="AU32" s="142" t="s">
        <v>86</v>
      </c>
      <c r="AW32" s="53"/>
      <c r="AX32" s="83"/>
      <c r="AZ32" s="259" t="str">
        <f>'JPY Market Data'!AR33</f>
        <v/>
      </c>
      <c r="BA32" s="312" t="str">
        <f>'JPY Market Data'!AV33</f>
        <v/>
      </c>
      <c r="BB32" s="80" t="b">
        <f t="shared" si="1"/>
        <v>0</v>
      </c>
      <c r="BC32" s="6"/>
      <c r="BD32" s="12"/>
      <c r="BE32" s="83"/>
      <c r="BG32" s="53" t="s">
        <v>54</v>
      </c>
      <c r="BH32" s="16" t="s">
        <v>53</v>
      </c>
      <c r="BJ32" s="223" t="str">
        <f>'JPY Market Data'!AX33</f>
        <v/>
      </c>
      <c r="BK32" s="263" t="str">
        <f>'JPY Market Data'!BB33</f>
        <v/>
      </c>
      <c r="BM32" s="53" t="s">
        <v>54</v>
      </c>
      <c r="BN32" s="16" t="s">
        <v>53</v>
      </c>
      <c r="BP32" s="223" t="str">
        <f>'JPY Market Data'!BD33</f>
        <v/>
      </c>
      <c r="BQ32" s="263" t="str">
        <f>'JPY Market Data'!BH33</f>
        <v/>
      </c>
      <c r="BS32" s="53"/>
      <c r="BT32" s="16"/>
      <c r="BV32" s="84"/>
      <c r="BW32" s="98"/>
      <c r="BY32" s="12"/>
      <c r="BZ32" s="83"/>
      <c r="CB32" s="53" t="s">
        <v>235</v>
      </c>
      <c r="CC32" s="83" t="s">
        <v>53</v>
      </c>
      <c r="CE32" s="53" t="s">
        <v>54</v>
      </c>
      <c r="CF32" s="83" t="s">
        <v>53</v>
      </c>
      <c r="CH32" s="53" t="s">
        <v>54</v>
      </c>
      <c r="CI32" s="83" t="s">
        <v>53</v>
      </c>
      <c r="CK32" s="53" t="s">
        <v>54</v>
      </c>
      <c r="CL32" s="83" t="s">
        <v>53</v>
      </c>
      <c r="CN32" s="223" t="str">
        <f>'JPY Market Data'!BP33</f>
        <v/>
      </c>
      <c r="CO32" s="263" t="str">
        <f>'JPY Market Data'!BT33</f>
        <v/>
      </c>
      <c r="CQ32" s="12"/>
      <c r="CR32" s="83"/>
      <c r="CT32" s="53"/>
      <c r="CU32" s="83"/>
      <c r="CW32" s="53"/>
      <c r="CX32" s="83"/>
      <c r="CZ32" s="53"/>
      <c r="DA32" s="83"/>
    </row>
    <row r="33" spans="2:105">
      <c r="B33" s="53" t="s">
        <v>194</v>
      </c>
      <c r="C33" s="118" t="s">
        <v>297</v>
      </c>
      <c r="D33" s="119"/>
      <c r="E33" s="120"/>
      <c r="F33" t="s">
        <v>12</v>
      </c>
      <c r="L33" s="203"/>
      <c r="M33" s="223" t="str">
        <f>'JPY Market Data'!B34</f>
        <v/>
      </c>
      <c r="N33" s="224" t="str">
        <f>'JPY Market Data'!F34</f>
        <v/>
      </c>
      <c r="O33" s="85"/>
      <c r="P33" s="85"/>
      <c r="Q33" s="86" t="b">
        <f t="shared" si="0"/>
        <v>0</v>
      </c>
      <c r="S33" s="92"/>
      <c r="T33" s="93"/>
      <c r="Y33" s="229" t="str">
        <f>'JPY Market Data'!H34</f>
        <v/>
      </c>
      <c r="Z33" s="239" t="str">
        <f>'JPY Market Data'!L34</f>
        <v/>
      </c>
      <c r="AE33" s="229" t="str">
        <f>'JPY Market Data'!N34</f>
        <v/>
      </c>
      <c r="AF33" s="230" t="str">
        <f>'JPY Market Data'!R34</f>
        <v/>
      </c>
      <c r="AH33" s="12"/>
      <c r="AI33" s="83"/>
      <c r="AK33" s="51"/>
      <c r="AL33" s="33"/>
      <c r="AM33" s="3"/>
      <c r="AN33" s="259" t="str">
        <f>'JPY Market Data'!AF14</f>
        <v>6X12</v>
      </c>
      <c r="AO33" s="260">
        <f>'JPY Market Data'!AJ14</f>
        <v>4.125E-4</v>
      </c>
      <c r="AP33" s="3"/>
      <c r="AQ33" s="47"/>
      <c r="AR33" s="48"/>
      <c r="AS33" s="48"/>
      <c r="AT33" s="48"/>
      <c r="AU33" s="142" t="s">
        <v>86</v>
      </c>
      <c r="AW33" s="53"/>
      <c r="AX33" s="83"/>
      <c r="AZ33" s="259" t="str">
        <f>'JPY Market Data'!AR34</f>
        <v/>
      </c>
      <c r="BA33" s="312" t="str">
        <f>'JPY Market Data'!AV34</f>
        <v/>
      </c>
      <c r="BB33" s="80" t="b">
        <f t="shared" si="1"/>
        <v>0</v>
      </c>
      <c r="BC33" s="6"/>
      <c r="BD33" s="12"/>
      <c r="BE33" s="83"/>
      <c r="BG33" s="53" t="s">
        <v>49</v>
      </c>
      <c r="BH33" s="16" t="s">
        <v>44</v>
      </c>
      <c r="BJ33" s="223" t="str">
        <f>'JPY Market Data'!AX34</f>
        <v/>
      </c>
      <c r="BK33" s="263" t="str">
        <f>'JPY Market Data'!BB34</f>
        <v/>
      </c>
      <c r="BM33" s="53" t="s">
        <v>49</v>
      </c>
      <c r="BN33" s="16" t="s">
        <v>44</v>
      </c>
      <c r="BP33" s="223" t="str">
        <f>'JPY Market Data'!BD34</f>
        <v/>
      </c>
      <c r="BQ33" s="263" t="str">
        <f>'JPY Market Data'!BH34</f>
        <v/>
      </c>
      <c r="BS33" s="53"/>
      <c r="BT33" s="16"/>
      <c r="BV33" s="84"/>
      <c r="BW33" s="98"/>
      <c r="BY33" s="12"/>
      <c r="BZ33" s="83"/>
      <c r="CB33" s="53" t="s">
        <v>236</v>
      </c>
      <c r="CC33" s="83" t="s">
        <v>44</v>
      </c>
      <c r="CE33" s="53" t="s">
        <v>49</v>
      </c>
      <c r="CF33" s="83" t="s">
        <v>44</v>
      </c>
      <c r="CH33" s="53" t="s">
        <v>49</v>
      </c>
      <c r="CI33" s="83" t="s">
        <v>44</v>
      </c>
      <c r="CK33" s="53" t="s">
        <v>49</v>
      </c>
      <c r="CL33" s="83" t="s">
        <v>44</v>
      </c>
      <c r="CN33" s="223" t="str">
        <f>'JPY Market Data'!BP34</f>
        <v/>
      </c>
      <c r="CO33" s="263" t="str">
        <f>'JPY Market Data'!BT34</f>
        <v/>
      </c>
      <c r="CQ33" s="12"/>
      <c r="CR33" s="83"/>
      <c r="CT33" s="53"/>
      <c r="CU33" s="83"/>
      <c r="CW33" s="53"/>
      <c r="CX33" s="83"/>
      <c r="CZ33" s="53"/>
      <c r="DA33" s="83"/>
    </row>
    <row r="34" spans="2:105">
      <c r="B34" s="53" t="s">
        <v>199</v>
      </c>
      <c r="C34" s="118" t="s">
        <v>337</v>
      </c>
      <c r="D34" s="119"/>
      <c r="E34" s="120"/>
      <c r="F34" t="s">
        <v>12</v>
      </c>
      <c r="L34" s="203"/>
      <c r="M34" s="223" t="str">
        <f>'JPY Market Data'!B35</f>
        <v/>
      </c>
      <c r="N34" s="224" t="str">
        <f>'JPY Market Data'!F35</f>
        <v/>
      </c>
      <c r="O34" s="85"/>
      <c r="P34" s="85"/>
      <c r="Q34" s="86" t="b">
        <f t="shared" si="0"/>
        <v>0</v>
      </c>
      <c r="S34" s="92"/>
      <c r="T34" s="93"/>
      <c r="Y34" s="229" t="str">
        <f>'JPY Market Data'!H35</f>
        <v/>
      </c>
      <c r="Z34" s="239" t="str">
        <f>'JPY Market Data'!L35</f>
        <v/>
      </c>
      <c r="AE34" s="229" t="str">
        <f>'JPY Market Data'!N35</f>
        <v/>
      </c>
      <c r="AF34" s="230" t="str">
        <f>'JPY Market Data'!R35</f>
        <v/>
      </c>
      <c r="AH34" s="12"/>
      <c r="AI34" s="83"/>
      <c r="AK34" s="51"/>
      <c r="AL34" s="33"/>
      <c r="AM34" s="3"/>
      <c r="AN34" s="259" t="str">
        <f>'JPY Market Data'!AF15</f>
        <v/>
      </c>
      <c r="AO34" s="260" t="str">
        <f>'JPY Market Data'!AJ15</f>
        <v/>
      </c>
      <c r="AP34" s="3"/>
      <c r="AQ34" s="47"/>
      <c r="AR34" s="48"/>
      <c r="AS34" s="48"/>
      <c r="AT34" s="48"/>
      <c r="AU34" s="142" t="s">
        <v>86</v>
      </c>
      <c r="AW34" s="53"/>
      <c r="AX34" s="83"/>
      <c r="AZ34" s="259" t="str">
        <f>'JPY Market Data'!AR35</f>
        <v/>
      </c>
      <c r="BA34" s="312" t="str">
        <f>'JPY Market Data'!AV35</f>
        <v/>
      </c>
      <c r="BB34" s="80" t="b">
        <f t="shared" si="1"/>
        <v>0</v>
      </c>
      <c r="BC34" s="6"/>
      <c r="BD34" s="12"/>
      <c r="BE34" s="83"/>
      <c r="BG34" s="53" t="s">
        <v>47</v>
      </c>
      <c r="BH34" s="16" t="s">
        <v>46</v>
      </c>
      <c r="BJ34" s="223" t="str">
        <f>'JPY Market Data'!AX35</f>
        <v/>
      </c>
      <c r="BK34" s="263" t="str">
        <f>'JPY Market Data'!BB35</f>
        <v/>
      </c>
      <c r="BM34" s="53" t="s">
        <v>47</v>
      </c>
      <c r="BN34" s="16" t="s">
        <v>46</v>
      </c>
      <c r="BP34" s="223" t="str">
        <f>'JPY Market Data'!BD35</f>
        <v/>
      </c>
      <c r="BQ34" s="263" t="str">
        <f>'JPY Market Data'!BH35</f>
        <v/>
      </c>
      <c r="BS34" s="53"/>
      <c r="BT34" s="16"/>
      <c r="BV34" s="84"/>
      <c r="BW34" s="98"/>
      <c r="BY34" s="12"/>
      <c r="BZ34" s="83"/>
      <c r="CB34" s="53" t="s">
        <v>237</v>
      </c>
      <c r="CC34" s="83" t="s">
        <v>46</v>
      </c>
      <c r="CE34" s="53" t="s">
        <v>47</v>
      </c>
      <c r="CF34" s="83" t="s">
        <v>46</v>
      </c>
      <c r="CH34" s="53" t="s">
        <v>47</v>
      </c>
      <c r="CI34" s="83" t="s">
        <v>46</v>
      </c>
      <c r="CK34" s="53" t="s">
        <v>47</v>
      </c>
      <c r="CL34" s="83" t="s">
        <v>46</v>
      </c>
      <c r="CN34" s="223" t="str">
        <f>'JPY Market Data'!BP35</f>
        <v/>
      </c>
      <c r="CO34" s="263" t="str">
        <f>'JPY Market Data'!BT35</f>
        <v/>
      </c>
      <c r="CQ34" s="12"/>
      <c r="CR34" s="83"/>
      <c r="CT34" s="53"/>
      <c r="CU34" s="83"/>
      <c r="CW34" s="53"/>
      <c r="CX34" s="83"/>
      <c r="CZ34" s="53"/>
      <c r="DA34" s="83"/>
    </row>
    <row r="35" spans="2:105">
      <c r="B35" s="53" t="s">
        <v>269</v>
      </c>
      <c r="C35" s="118" t="s">
        <v>298</v>
      </c>
      <c r="D35" s="119"/>
      <c r="E35" s="120"/>
      <c r="F35" t="s">
        <v>12</v>
      </c>
      <c r="L35" s="203"/>
      <c r="M35" s="223" t="str">
        <f>'JPY Market Data'!B36</f>
        <v/>
      </c>
      <c r="N35" s="224" t="str">
        <f>'JPY Market Data'!F36</f>
        <v/>
      </c>
      <c r="O35" s="85"/>
      <c r="P35" s="85"/>
      <c r="Q35" s="86" t="b">
        <f t="shared" si="0"/>
        <v>0</v>
      </c>
      <c r="S35" s="92"/>
      <c r="T35" s="93"/>
      <c r="Y35" s="229" t="str">
        <f>'JPY Market Data'!H36</f>
        <v/>
      </c>
      <c r="Z35" s="239" t="str">
        <f>'JPY Market Data'!L36</f>
        <v/>
      </c>
      <c r="AE35" s="229" t="str">
        <f>'JPY Market Data'!N36</f>
        <v/>
      </c>
      <c r="AF35" s="230" t="str">
        <f>'JPY Market Data'!R36</f>
        <v/>
      </c>
      <c r="AH35" s="12"/>
      <c r="AI35" s="83"/>
      <c r="AK35" s="51"/>
      <c r="AL35" s="33"/>
      <c r="AM35" s="3"/>
      <c r="AN35" s="259" t="str">
        <f>'JPY Market Data'!AF16</f>
        <v/>
      </c>
      <c r="AO35" s="260" t="str">
        <f>'JPY Market Data'!AJ16</f>
        <v/>
      </c>
      <c r="AP35" s="3"/>
      <c r="AQ35" s="47"/>
      <c r="AR35" s="48"/>
      <c r="AS35" s="48"/>
      <c r="AT35" s="48"/>
      <c r="AU35" s="142" t="s">
        <v>86</v>
      </c>
      <c r="AW35" s="53"/>
      <c r="AX35" s="16"/>
      <c r="AZ35" s="259" t="str">
        <f>'JPY Market Data'!AR36</f>
        <v/>
      </c>
      <c r="BA35" s="312" t="str">
        <f>'JPY Market Data'!AV36</f>
        <v/>
      </c>
      <c r="BB35" s="80" t="b">
        <f t="shared" si="1"/>
        <v>0</v>
      </c>
      <c r="BC35" s="6"/>
      <c r="BD35" s="12"/>
      <c r="BE35" s="83"/>
      <c r="BG35" s="53" t="s">
        <v>45</v>
      </c>
      <c r="BH35" s="16" t="s">
        <v>44</v>
      </c>
      <c r="BJ35" s="223" t="str">
        <f>'JPY Market Data'!AX36</f>
        <v/>
      </c>
      <c r="BK35" s="263" t="str">
        <f>'JPY Market Data'!BB36</f>
        <v/>
      </c>
      <c r="BM35" s="53" t="s">
        <v>45</v>
      </c>
      <c r="BN35" s="16" t="s">
        <v>44</v>
      </c>
      <c r="BP35" s="223" t="str">
        <f>'JPY Market Data'!BD36</f>
        <v/>
      </c>
      <c r="BQ35" s="263" t="str">
        <f>'JPY Market Data'!BH36</f>
        <v/>
      </c>
      <c r="BS35" s="53"/>
      <c r="BT35" s="16"/>
      <c r="BV35" s="84"/>
      <c r="BW35" s="98"/>
      <c r="BY35" s="12"/>
      <c r="BZ35" s="83"/>
      <c r="CB35" s="53" t="s">
        <v>238</v>
      </c>
      <c r="CC35" s="83" t="s">
        <v>44</v>
      </c>
      <c r="CE35" s="53" t="s">
        <v>45</v>
      </c>
      <c r="CF35" s="83" t="s">
        <v>44</v>
      </c>
      <c r="CH35" s="53" t="s">
        <v>45</v>
      </c>
      <c r="CI35" s="83" t="s">
        <v>44</v>
      </c>
      <c r="CK35" s="53" t="s">
        <v>45</v>
      </c>
      <c r="CL35" s="83" t="s">
        <v>44</v>
      </c>
      <c r="CN35" s="223" t="str">
        <f>'JPY Market Data'!BP36</f>
        <v/>
      </c>
      <c r="CO35" s="263" t="str">
        <f>'JPY Market Data'!BT36</f>
        <v/>
      </c>
      <c r="CQ35" s="12"/>
      <c r="CR35" s="83"/>
      <c r="CT35" s="53"/>
      <c r="CU35" s="83"/>
      <c r="CW35" s="53"/>
      <c r="CX35" s="83"/>
      <c r="CZ35" s="53"/>
      <c r="DA35" s="83"/>
    </row>
    <row r="36" spans="2:105">
      <c r="B36" s="53"/>
      <c r="C36" s="118"/>
      <c r="D36" s="119"/>
      <c r="E36" s="120"/>
      <c r="F36" t="s">
        <v>12</v>
      </c>
      <c r="L36" s="203"/>
      <c r="M36" s="223" t="str">
        <f>'JPY Market Data'!B37</f>
        <v/>
      </c>
      <c r="N36" s="224" t="str">
        <f>'JPY Market Data'!F37</f>
        <v/>
      </c>
      <c r="O36" s="85"/>
      <c r="P36" s="85"/>
      <c r="Q36" s="86" t="b">
        <f t="shared" si="0"/>
        <v>0</v>
      </c>
      <c r="S36" s="92"/>
      <c r="T36" s="93"/>
      <c r="Y36" s="229" t="str">
        <f>'JPY Market Data'!H37</f>
        <v/>
      </c>
      <c r="Z36" s="239" t="str">
        <f>'JPY Market Data'!L37</f>
        <v/>
      </c>
      <c r="AE36" s="229" t="str">
        <f>'JPY Market Data'!N37</f>
        <v/>
      </c>
      <c r="AF36" s="230" t="str">
        <f>'JPY Market Data'!R37</f>
        <v/>
      </c>
      <c r="AH36" s="12"/>
      <c r="AI36" s="83"/>
      <c r="AK36" s="51"/>
      <c r="AL36" s="33"/>
      <c r="AM36" s="3"/>
      <c r="AN36" s="259" t="str">
        <f>'JPY Market Data'!AF17</f>
        <v/>
      </c>
      <c r="AO36" s="260" t="str">
        <f>'JPY Market Data'!AJ17</f>
        <v/>
      </c>
      <c r="AP36" s="3"/>
      <c r="AQ36" s="47"/>
      <c r="AR36" s="48"/>
      <c r="AS36" s="48"/>
      <c r="AT36" s="48"/>
      <c r="AU36" s="142" t="s">
        <v>86</v>
      </c>
      <c r="AW36" s="53"/>
      <c r="AX36" s="16"/>
      <c r="AZ36" s="259" t="str">
        <f>'JPY Market Data'!AR37</f>
        <v/>
      </c>
      <c r="BA36" s="312" t="str">
        <f>'JPY Market Data'!AV37</f>
        <v/>
      </c>
      <c r="BB36" s="80" t="b">
        <f t="shared" si="1"/>
        <v>0</v>
      </c>
      <c r="BC36" s="6"/>
      <c r="BD36" s="12"/>
      <c r="BE36" s="83"/>
      <c r="BG36" s="53" t="s">
        <v>42</v>
      </c>
      <c r="BH36" s="16" t="s">
        <v>41</v>
      </c>
      <c r="BJ36" s="223" t="str">
        <f>'JPY Market Data'!AX37</f>
        <v/>
      </c>
      <c r="BK36" s="263" t="str">
        <f>'JPY Market Data'!BB37</f>
        <v/>
      </c>
      <c r="BM36" s="53" t="s">
        <v>42</v>
      </c>
      <c r="BN36" s="16" t="s">
        <v>41</v>
      </c>
      <c r="BP36" s="223" t="str">
        <f>'JPY Market Data'!BD37</f>
        <v/>
      </c>
      <c r="BQ36" s="263" t="str">
        <f>'JPY Market Data'!BH37</f>
        <v/>
      </c>
      <c r="BS36" s="53"/>
      <c r="BT36" s="16"/>
      <c r="BV36" s="84"/>
      <c r="BW36" s="98"/>
      <c r="BY36" s="12"/>
      <c r="BZ36" s="83"/>
      <c r="CB36" s="53" t="s">
        <v>239</v>
      </c>
      <c r="CC36" s="83" t="s">
        <v>41</v>
      </c>
      <c r="CE36" s="53" t="s">
        <v>42</v>
      </c>
      <c r="CF36" s="83" t="s">
        <v>41</v>
      </c>
      <c r="CH36" s="53" t="s">
        <v>42</v>
      </c>
      <c r="CI36" s="83" t="s">
        <v>41</v>
      </c>
      <c r="CK36" s="53" t="s">
        <v>42</v>
      </c>
      <c r="CL36" s="83" t="s">
        <v>41</v>
      </c>
      <c r="CN36" s="223" t="str">
        <f>'JPY Market Data'!BP37</f>
        <v/>
      </c>
      <c r="CO36" s="263" t="str">
        <f>'JPY Market Data'!BT37</f>
        <v/>
      </c>
      <c r="CQ36" s="12"/>
      <c r="CR36" s="83"/>
      <c r="CT36" s="53"/>
      <c r="CU36" s="83"/>
      <c r="CW36" s="53"/>
      <c r="CX36" s="83"/>
      <c r="CZ36" s="53"/>
      <c r="DA36" s="83"/>
    </row>
    <row r="37" spans="2:105">
      <c r="B37" s="59"/>
      <c r="C37" s="121"/>
      <c r="D37" s="122"/>
      <c r="E37" s="123"/>
      <c r="F37" t="s">
        <v>12</v>
      </c>
      <c r="L37" s="203"/>
      <c r="M37" s="223" t="str">
        <f>'JPY Market Data'!B38</f>
        <v/>
      </c>
      <c r="N37" s="224" t="str">
        <f>'JPY Market Data'!F38</f>
        <v/>
      </c>
      <c r="O37" s="85"/>
      <c r="P37" s="85"/>
      <c r="Q37" s="86" t="b">
        <f t="shared" si="0"/>
        <v>0</v>
      </c>
      <c r="S37" s="92"/>
      <c r="T37" s="93"/>
      <c r="Y37" s="229" t="str">
        <f>'JPY Market Data'!H38</f>
        <v/>
      </c>
      <c r="Z37" s="239" t="str">
        <f>'JPY Market Data'!L38</f>
        <v/>
      </c>
      <c r="AE37" s="229" t="str">
        <f>'JPY Market Data'!N38</f>
        <v/>
      </c>
      <c r="AF37" s="230" t="str">
        <f>'JPY Market Data'!R38</f>
        <v/>
      </c>
      <c r="AH37" s="12"/>
      <c r="AI37" s="83"/>
      <c r="AK37" s="51"/>
      <c r="AL37" s="33"/>
      <c r="AM37" s="3"/>
      <c r="AN37" s="259" t="str">
        <f>'JPY Market Data'!AF18</f>
        <v/>
      </c>
      <c r="AO37" s="260" t="str">
        <f>'JPY Market Data'!AJ18</f>
        <v/>
      </c>
      <c r="AP37" s="3"/>
      <c r="AQ37" s="47"/>
      <c r="AR37" s="48"/>
      <c r="AS37" s="48"/>
      <c r="AT37" s="48"/>
      <c r="AU37" s="142" t="s">
        <v>86</v>
      </c>
      <c r="AW37" s="53"/>
      <c r="AX37" s="16"/>
      <c r="AZ37" s="259" t="str">
        <f>'JPY Market Data'!AR38</f>
        <v/>
      </c>
      <c r="BA37" s="312" t="str">
        <f>'JPY Market Data'!AV38</f>
        <v/>
      </c>
      <c r="BB37" s="80" t="b">
        <f t="shared" si="1"/>
        <v>0</v>
      </c>
      <c r="BC37" s="6"/>
      <c r="BD37" s="12"/>
      <c r="BE37" s="83"/>
      <c r="BG37" s="53" t="s">
        <v>39</v>
      </c>
      <c r="BH37" s="16" t="s">
        <v>38</v>
      </c>
      <c r="BJ37" s="223" t="str">
        <f>'JPY Market Data'!AX38</f>
        <v/>
      </c>
      <c r="BK37" s="263" t="str">
        <f>'JPY Market Data'!BB38</f>
        <v/>
      </c>
      <c r="BM37" s="53" t="s">
        <v>39</v>
      </c>
      <c r="BN37" s="16" t="s">
        <v>38</v>
      </c>
      <c r="BP37" s="223" t="str">
        <f>'JPY Market Data'!BD38</f>
        <v/>
      </c>
      <c r="BQ37" s="263" t="str">
        <f>'JPY Market Data'!BH38</f>
        <v/>
      </c>
      <c r="BS37" s="53"/>
      <c r="BT37" s="16"/>
      <c r="BV37" s="84"/>
      <c r="BW37" s="98"/>
      <c r="BY37" s="12"/>
      <c r="BZ37" s="83"/>
      <c r="CB37" s="53" t="s">
        <v>240</v>
      </c>
      <c r="CC37" s="83" t="s">
        <v>38</v>
      </c>
      <c r="CE37" s="53" t="s">
        <v>39</v>
      </c>
      <c r="CF37" s="83" t="s">
        <v>38</v>
      </c>
      <c r="CH37" s="53" t="s">
        <v>39</v>
      </c>
      <c r="CI37" s="83" t="s">
        <v>38</v>
      </c>
      <c r="CK37" s="53" t="s">
        <v>39</v>
      </c>
      <c r="CL37" s="83" t="s">
        <v>38</v>
      </c>
      <c r="CN37" s="223" t="str">
        <f>'JPY Market Data'!BP38</f>
        <v/>
      </c>
      <c r="CO37" s="263" t="str">
        <f>'JPY Market Data'!BT38</f>
        <v/>
      </c>
      <c r="CQ37" s="12"/>
      <c r="CR37" s="83"/>
      <c r="CT37" s="53"/>
      <c r="CU37" s="83"/>
      <c r="CW37" s="53"/>
      <c r="CX37" s="83"/>
      <c r="CZ37" s="53"/>
      <c r="DA37" s="83"/>
    </row>
    <row r="38" spans="2:105">
      <c r="F38" t="s">
        <v>12</v>
      </c>
      <c r="L38" s="203"/>
      <c r="M38" s="223" t="str">
        <f>'JPY Market Data'!B39</f>
        <v/>
      </c>
      <c r="N38" s="224" t="str">
        <f>'JPY Market Data'!F39</f>
        <v/>
      </c>
      <c r="O38" s="85"/>
      <c r="P38" s="85"/>
      <c r="Q38" s="86" t="b">
        <f t="shared" si="0"/>
        <v>0</v>
      </c>
      <c r="S38" s="92"/>
      <c r="T38" s="93"/>
      <c r="Y38" s="229" t="str">
        <f>'JPY Market Data'!H39</f>
        <v/>
      </c>
      <c r="Z38" s="239" t="str">
        <f>'JPY Market Data'!L39</f>
        <v/>
      </c>
      <c r="AE38" s="229" t="str">
        <f>'JPY Market Data'!N39</f>
        <v/>
      </c>
      <c r="AF38" s="230" t="str">
        <f>'JPY Market Data'!R39</f>
        <v/>
      </c>
      <c r="AH38" s="12"/>
      <c r="AI38" s="83"/>
      <c r="AK38" s="51"/>
      <c r="AL38" s="33"/>
      <c r="AN38" s="259" t="str">
        <f>'JPY Market Data'!AF19</f>
        <v/>
      </c>
      <c r="AO38" s="260" t="str">
        <f>'JPY Market Data'!AJ19</f>
        <v/>
      </c>
      <c r="AQ38" s="47"/>
      <c r="AR38" s="48"/>
      <c r="AS38" s="48"/>
      <c r="AT38" s="48"/>
      <c r="AU38" s="142" t="s">
        <v>86</v>
      </c>
      <c r="AW38" s="53"/>
      <c r="AX38" s="16"/>
      <c r="AZ38" s="259" t="str">
        <f>'JPY Market Data'!AR39</f>
        <v/>
      </c>
      <c r="BA38" s="312" t="str">
        <f>'JPY Market Data'!AV39</f>
        <v/>
      </c>
      <c r="BB38" s="80" t="b">
        <f t="shared" si="1"/>
        <v>0</v>
      </c>
      <c r="BC38" s="6"/>
      <c r="BD38" s="12"/>
      <c r="BE38" s="83"/>
      <c r="BG38" s="53" t="s">
        <v>35</v>
      </c>
      <c r="BH38" s="16" t="s">
        <v>34</v>
      </c>
      <c r="BJ38" s="223" t="str">
        <f>'JPY Market Data'!AX39</f>
        <v/>
      </c>
      <c r="BK38" s="263" t="str">
        <f>'JPY Market Data'!BB39</f>
        <v/>
      </c>
      <c r="BM38" s="53" t="s">
        <v>35</v>
      </c>
      <c r="BN38" s="16" t="s">
        <v>34</v>
      </c>
      <c r="BP38" s="223" t="str">
        <f>'JPY Market Data'!BD39</f>
        <v/>
      </c>
      <c r="BQ38" s="263" t="str">
        <f>'JPY Market Data'!BH39</f>
        <v/>
      </c>
      <c r="BS38" s="53"/>
      <c r="BT38" s="16"/>
      <c r="BV38" s="84"/>
      <c r="BW38" s="98"/>
      <c r="BY38" s="12"/>
      <c r="BZ38" s="83"/>
      <c r="CB38" s="53" t="s">
        <v>217</v>
      </c>
      <c r="CC38" s="83" t="s">
        <v>182</v>
      </c>
      <c r="CE38" s="53" t="s">
        <v>35</v>
      </c>
      <c r="CF38" s="83" t="s">
        <v>182</v>
      </c>
      <c r="CH38" s="53" t="s">
        <v>35</v>
      </c>
      <c r="CI38" s="83" t="s">
        <v>182</v>
      </c>
      <c r="CK38" s="53" t="s">
        <v>35</v>
      </c>
      <c r="CL38" s="83" t="s">
        <v>182</v>
      </c>
      <c r="CN38" s="223" t="str">
        <f>'JPY Market Data'!BP39</f>
        <v/>
      </c>
      <c r="CO38" s="263" t="str">
        <f>'JPY Market Data'!BT39</f>
        <v/>
      </c>
      <c r="CQ38" s="12"/>
      <c r="CR38" s="83"/>
      <c r="CT38" s="53"/>
      <c r="CU38" s="83"/>
      <c r="CW38" s="53"/>
      <c r="CX38" s="83"/>
      <c r="CZ38" s="53"/>
      <c r="DA38" s="83"/>
    </row>
    <row r="39" spans="2:105">
      <c r="B39" s="2" t="s">
        <v>311</v>
      </c>
      <c r="C39" s="9"/>
      <c r="F39" t="s">
        <v>12</v>
      </c>
      <c r="L39" s="203"/>
      <c r="M39" s="223" t="str">
        <f>'JPY Market Data'!B40</f>
        <v/>
      </c>
      <c r="N39" s="224" t="str">
        <f>'JPY Market Data'!F40</f>
        <v/>
      </c>
      <c r="O39" s="85"/>
      <c r="P39" s="85"/>
      <c r="Q39" s="86" t="b">
        <f t="shared" si="0"/>
        <v>0</v>
      </c>
      <c r="S39" s="92"/>
      <c r="T39" s="93"/>
      <c r="Y39" s="229" t="str">
        <f>'JPY Market Data'!H40</f>
        <v/>
      </c>
      <c r="Z39" s="239" t="str">
        <f>'JPY Market Data'!L40</f>
        <v/>
      </c>
      <c r="AE39" s="229" t="str">
        <f>'JPY Market Data'!N40</f>
        <v/>
      </c>
      <c r="AF39" s="230" t="str">
        <f>'JPY Market Data'!R40</f>
        <v/>
      </c>
      <c r="AH39" s="12"/>
      <c r="AI39" s="83"/>
      <c r="AK39" s="51"/>
      <c r="AL39" s="33"/>
      <c r="AN39" s="259" t="str">
        <f>'JPY Market Data'!AF20</f>
        <v/>
      </c>
      <c r="AO39" s="260" t="str">
        <f>'JPY Market Data'!AJ20</f>
        <v/>
      </c>
      <c r="AQ39" s="47"/>
      <c r="AR39" s="48"/>
      <c r="AS39" s="48"/>
      <c r="AT39" s="48"/>
      <c r="AU39" s="142" t="s">
        <v>86</v>
      </c>
      <c r="AW39" s="53"/>
      <c r="AX39" s="16"/>
      <c r="AZ39" s="259" t="str">
        <f>'JPY Market Data'!AR40</f>
        <v/>
      </c>
      <c r="BA39" s="312" t="str">
        <f>'JPY Market Data'!AV40</f>
        <v/>
      </c>
      <c r="BB39" s="80" t="b">
        <f t="shared" si="1"/>
        <v>0</v>
      </c>
      <c r="BC39" s="6"/>
      <c r="BD39" s="12"/>
      <c r="BE39" s="83"/>
      <c r="BG39" s="53" t="s">
        <v>32</v>
      </c>
      <c r="BH39" s="16" t="b">
        <v>1</v>
      </c>
      <c r="BJ39" s="223" t="str">
        <f>'JPY Market Data'!AX40</f>
        <v/>
      </c>
      <c r="BK39" s="263" t="str">
        <f>'JPY Market Data'!BB40</f>
        <v/>
      </c>
      <c r="BM39" s="53" t="s">
        <v>32</v>
      </c>
      <c r="BN39" s="16" t="b">
        <v>1</v>
      </c>
      <c r="BP39" s="223" t="str">
        <f>'JPY Market Data'!BD40</f>
        <v/>
      </c>
      <c r="BQ39" s="263" t="str">
        <f>'JPY Market Data'!BH40</f>
        <v/>
      </c>
      <c r="BS39" s="53"/>
      <c r="BT39" s="16"/>
      <c r="BV39" s="84"/>
      <c r="BW39" s="98"/>
      <c r="BY39" s="12"/>
      <c r="BZ39" s="83"/>
      <c r="CB39" s="53" t="s">
        <v>32</v>
      </c>
      <c r="CC39" s="83" t="b">
        <v>1</v>
      </c>
      <c r="CE39" s="53" t="s">
        <v>32</v>
      </c>
      <c r="CF39" s="83" t="b">
        <v>1</v>
      </c>
      <c r="CH39" s="53" t="s">
        <v>32</v>
      </c>
      <c r="CI39" s="83" t="b">
        <v>1</v>
      </c>
      <c r="CK39" s="53" t="s">
        <v>32</v>
      </c>
      <c r="CL39" s="83" t="b">
        <v>1</v>
      </c>
      <c r="CN39" s="223" t="str">
        <f>'JPY Market Data'!BP40</f>
        <v/>
      </c>
      <c r="CO39" s="263" t="str">
        <f>'JPY Market Data'!BT40</f>
        <v/>
      </c>
      <c r="CQ39" s="12"/>
      <c r="CR39" s="83"/>
      <c r="CT39" s="53"/>
      <c r="CU39" s="83"/>
      <c r="CW39" s="53"/>
      <c r="CX39" s="83"/>
      <c r="CZ39" s="53"/>
      <c r="DA39" s="83"/>
    </row>
    <row r="40" spans="2:105">
      <c r="B40" s="52" t="s">
        <v>189</v>
      </c>
      <c r="C40" s="112" t="s">
        <v>198</v>
      </c>
      <c r="D40" s="113"/>
      <c r="E40" s="114"/>
      <c r="F40" t="s">
        <v>12</v>
      </c>
      <c r="L40" s="203"/>
      <c r="M40" s="223" t="str">
        <f>'JPY Market Data'!B41</f>
        <v/>
      </c>
      <c r="N40" s="224" t="str">
        <f>'JPY Market Data'!F41</f>
        <v/>
      </c>
      <c r="O40" s="85"/>
      <c r="P40" s="85"/>
      <c r="Q40" s="86" t="b">
        <f t="shared" si="0"/>
        <v>0</v>
      </c>
      <c r="S40" s="92"/>
      <c r="T40" s="93"/>
      <c r="Y40" s="229" t="str">
        <f>'JPY Market Data'!H41</f>
        <v/>
      </c>
      <c r="Z40" s="239" t="str">
        <f>'JPY Market Data'!L41</f>
        <v/>
      </c>
      <c r="AE40" s="229" t="str">
        <f>'JPY Market Data'!N41</f>
        <v/>
      </c>
      <c r="AF40" s="230" t="str">
        <f>'JPY Market Data'!R41</f>
        <v/>
      </c>
      <c r="AH40" s="12"/>
      <c r="AI40" s="83"/>
      <c r="AK40" s="51"/>
      <c r="AL40" s="33"/>
      <c r="AN40" s="259" t="str">
        <f>'JPY Market Data'!AF21</f>
        <v/>
      </c>
      <c r="AO40" s="260" t="str">
        <f>'JPY Market Data'!AJ21</f>
        <v/>
      </c>
      <c r="AQ40" s="47"/>
      <c r="AR40" s="48"/>
      <c r="AS40" s="48"/>
      <c r="AT40" s="48"/>
      <c r="AU40" s="142" t="s">
        <v>86</v>
      </c>
      <c r="AW40" s="53"/>
      <c r="AX40" s="16"/>
      <c r="AZ40" s="259" t="str">
        <f>'JPY Market Data'!AR41</f>
        <v/>
      </c>
      <c r="BA40" s="312" t="str">
        <f>'JPY Market Data'!AV41</f>
        <v/>
      </c>
      <c r="BB40" s="80" t="b">
        <f t="shared" si="1"/>
        <v>0</v>
      </c>
      <c r="BC40" s="6"/>
      <c r="BD40" s="12"/>
      <c r="BE40" s="83"/>
      <c r="BG40" s="53" t="s">
        <v>28</v>
      </c>
      <c r="BH40" s="16" t="s">
        <v>2261</v>
      </c>
      <c r="BJ40" s="223" t="str">
        <f>'JPY Market Data'!AX41</f>
        <v/>
      </c>
      <c r="BK40" s="263" t="str">
        <f>'JPY Market Data'!BB41</f>
        <v/>
      </c>
      <c r="BM40" s="53" t="s">
        <v>28</v>
      </c>
      <c r="BN40" s="16" t="s">
        <v>2261</v>
      </c>
      <c r="BP40" s="223" t="str">
        <f>'JPY Market Data'!BD41</f>
        <v/>
      </c>
      <c r="BQ40" s="263" t="str">
        <f>'JPY Market Data'!BH41</f>
        <v/>
      </c>
      <c r="BS40" s="53"/>
      <c r="BT40" s="16"/>
      <c r="BV40" s="84"/>
      <c r="BW40" s="98"/>
      <c r="BY40" s="12"/>
      <c r="BZ40" s="83"/>
      <c r="CB40" s="53" t="s">
        <v>28</v>
      </c>
      <c r="CC40" s="83" t="s">
        <v>2261</v>
      </c>
      <c r="CE40" s="53" t="s">
        <v>28</v>
      </c>
      <c r="CF40" s="83" t="s">
        <v>2261</v>
      </c>
      <c r="CH40" s="53" t="s">
        <v>28</v>
      </c>
      <c r="CI40" s="83" t="s">
        <v>2261</v>
      </c>
      <c r="CK40" s="53" t="s">
        <v>28</v>
      </c>
      <c r="CL40" s="83" t="s">
        <v>2261</v>
      </c>
      <c r="CN40" s="223" t="str">
        <f>'JPY Market Data'!BP41</f>
        <v/>
      </c>
      <c r="CO40" s="263" t="str">
        <f>'JPY Market Data'!BT41</f>
        <v/>
      </c>
      <c r="CQ40" s="12"/>
      <c r="CR40" s="83"/>
      <c r="CT40" s="53"/>
      <c r="CU40" s="83"/>
      <c r="CW40" s="53"/>
      <c r="CX40" s="83"/>
      <c r="CZ40" s="53"/>
      <c r="DA40" s="83"/>
    </row>
    <row r="41" spans="2:105">
      <c r="B41" s="53" t="s">
        <v>61</v>
      </c>
      <c r="C41" s="115" t="s">
        <v>296</v>
      </c>
      <c r="D41" s="116"/>
      <c r="E41" s="117"/>
      <c r="F41" t="s">
        <v>12</v>
      </c>
      <c r="L41" s="203"/>
      <c r="M41" s="223" t="str">
        <f>'JPY Market Data'!B42</f>
        <v/>
      </c>
      <c r="N41" s="224" t="str">
        <f>'JPY Market Data'!F42</f>
        <v/>
      </c>
      <c r="O41" s="85"/>
      <c r="P41" s="85"/>
      <c r="Q41" s="86" t="b">
        <f t="shared" si="0"/>
        <v>0</v>
      </c>
      <c r="S41" s="92"/>
      <c r="T41" s="93"/>
      <c r="Y41" s="229" t="str">
        <f>'JPY Market Data'!H42</f>
        <v/>
      </c>
      <c r="Z41" s="239" t="str">
        <f>'JPY Market Data'!L42</f>
        <v/>
      </c>
      <c r="AE41" s="229" t="str">
        <f>'JPY Market Data'!N42</f>
        <v/>
      </c>
      <c r="AF41" s="230" t="str">
        <f>'JPY Market Data'!R42</f>
        <v/>
      </c>
      <c r="AH41" s="12"/>
      <c r="AI41" s="83"/>
      <c r="AK41" s="51"/>
      <c r="AL41" s="33"/>
      <c r="AN41" s="259" t="str">
        <f>'JPY Market Data'!AF22</f>
        <v/>
      </c>
      <c r="AO41" s="260" t="str">
        <f>'JPY Market Data'!AJ22</f>
        <v/>
      </c>
      <c r="AQ41" s="47"/>
      <c r="AR41" s="48"/>
      <c r="AS41" s="48"/>
      <c r="AT41" s="48"/>
      <c r="AU41" s="142" t="s">
        <v>86</v>
      </c>
      <c r="AW41" s="53"/>
      <c r="AX41" s="16"/>
      <c r="AZ41" s="259" t="str">
        <f>'JPY Market Data'!AR42</f>
        <v/>
      </c>
      <c r="BA41" s="312" t="str">
        <f>'JPY Market Data'!AV42</f>
        <v/>
      </c>
      <c r="BB41" s="80" t="b">
        <f t="shared" si="1"/>
        <v>0</v>
      </c>
      <c r="BC41" s="6"/>
      <c r="BD41" s="12"/>
      <c r="BE41" s="83"/>
      <c r="BG41" s="53" t="s">
        <v>30</v>
      </c>
      <c r="BH41" s="16" t="b">
        <f ca="1">_xll.meUtilityCurveIsUsingForwards()</f>
        <v>1</v>
      </c>
      <c r="BJ41" s="223" t="str">
        <f>'JPY Market Data'!AX42</f>
        <v/>
      </c>
      <c r="BK41" s="263" t="str">
        <f>'JPY Market Data'!BB42</f>
        <v/>
      </c>
      <c r="BM41" s="53" t="s">
        <v>30</v>
      </c>
      <c r="BN41" s="16" t="b">
        <f ca="1">_xll.meUtilityCurveIsUsingForwards()</f>
        <v>1</v>
      </c>
      <c r="BP41" s="223" t="str">
        <f>'JPY Market Data'!BD42</f>
        <v/>
      </c>
      <c r="BQ41" s="263" t="str">
        <f>'JPY Market Data'!BH42</f>
        <v/>
      </c>
      <c r="BS41" s="53"/>
      <c r="BT41" s="16"/>
      <c r="BV41" s="84"/>
      <c r="BW41" s="98"/>
      <c r="BY41" s="12"/>
      <c r="BZ41" s="83"/>
      <c r="CB41" s="53" t="s">
        <v>30</v>
      </c>
      <c r="CC41" s="83" t="b">
        <v>0</v>
      </c>
      <c r="CE41" s="53" t="s">
        <v>30</v>
      </c>
      <c r="CF41" s="83" t="b">
        <v>0</v>
      </c>
      <c r="CH41" s="53" t="s">
        <v>30</v>
      </c>
      <c r="CI41" s="83" t="b">
        <v>0</v>
      </c>
      <c r="CK41" s="53" t="s">
        <v>30</v>
      </c>
      <c r="CL41" s="83" t="b">
        <v>0</v>
      </c>
      <c r="CN41" s="223" t="str">
        <f>'JPY Market Data'!BP42</f>
        <v/>
      </c>
      <c r="CO41" s="263" t="str">
        <f>'JPY Market Data'!BT42</f>
        <v/>
      </c>
      <c r="CQ41" s="12"/>
      <c r="CR41" s="83"/>
      <c r="CT41" s="53"/>
      <c r="CU41" s="83"/>
      <c r="CW41" s="53"/>
      <c r="CX41" s="83"/>
      <c r="CZ41" s="53"/>
      <c r="DA41" s="83"/>
    </row>
    <row r="42" spans="2:105">
      <c r="B42" s="53" t="s">
        <v>194</v>
      </c>
      <c r="C42" s="118" t="s">
        <v>297</v>
      </c>
      <c r="D42" s="119"/>
      <c r="E42" s="120"/>
      <c r="F42" t="s">
        <v>12</v>
      </c>
      <c r="L42" s="203"/>
      <c r="M42" s="223" t="str">
        <f>'JPY Market Data'!B43</f>
        <v/>
      </c>
      <c r="N42" s="224" t="str">
        <f>'JPY Market Data'!F43</f>
        <v/>
      </c>
      <c r="O42" s="85"/>
      <c r="P42" s="85"/>
      <c r="Q42" s="86" t="b">
        <f t="shared" si="0"/>
        <v>0</v>
      </c>
      <c r="S42" s="92"/>
      <c r="T42" s="93"/>
      <c r="Y42" s="229" t="str">
        <f>'JPY Market Data'!H43</f>
        <v/>
      </c>
      <c r="Z42" s="239" t="str">
        <f>'JPY Market Data'!L43</f>
        <v/>
      </c>
      <c r="AE42" s="229" t="str">
        <f>'JPY Market Data'!N43</f>
        <v/>
      </c>
      <c r="AF42" s="230" t="str">
        <f>'JPY Market Data'!R43</f>
        <v/>
      </c>
      <c r="AH42" s="12"/>
      <c r="AI42" s="83"/>
      <c r="AK42" s="51"/>
      <c r="AL42" s="33"/>
      <c r="AN42" s="259" t="str">
        <f>'JPY Market Data'!AF23</f>
        <v/>
      </c>
      <c r="AO42" s="260" t="str">
        <f>'JPY Market Data'!AJ23</f>
        <v/>
      </c>
      <c r="AQ42" s="47"/>
      <c r="AR42" s="48"/>
      <c r="AS42" s="48"/>
      <c r="AT42" s="48"/>
      <c r="AU42" s="142" t="s">
        <v>86</v>
      </c>
      <c r="AW42" s="53"/>
      <c r="AX42" s="16"/>
      <c r="AZ42" s="259" t="str">
        <f>'JPY Market Data'!AR43</f>
        <v/>
      </c>
      <c r="BA42" s="312" t="str">
        <f>'JPY Market Data'!AV43</f>
        <v/>
      </c>
      <c r="BB42" s="80" t="b">
        <f t="shared" si="1"/>
        <v>0</v>
      </c>
      <c r="BC42" s="6"/>
      <c r="BD42" s="12"/>
      <c r="BE42" s="83"/>
      <c r="BG42" s="53" t="s">
        <v>26</v>
      </c>
      <c r="BH42" s="16" t="b">
        <v>1</v>
      </c>
      <c r="BJ42" s="223" t="str">
        <f>'JPY Market Data'!AX43</f>
        <v/>
      </c>
      <c r="BK42" s="263" t="str">
        <f>'JPY Market Data'!BB43</f>
        <v/>
      </c>
      <c r="BM42" s="53" t="s">
        <v>26</v>
      </c>
      <c r="BN42" s="16" t="b">
        <v>1</v>
      </c>
      <c r="BP42" s="223" t="str">
        <f>'JPY Market Data'!BD43</f>
        <v/>
      </c>
      <c r="BQ42" s="263" t="str">
        <f>'JPY Market Data'!BH43</f>
        <v/>
      </c>
      <c r="BS42" s="53"/>
      <c r="BT42" s="16"/>
      <c r="BV42" s="84"/>
      <c r="BW42" s="98"/>
      <c r="BY42" s="12"/>
      <c r="BZ42" s="83"/>
      <c r="CB42" s="53" t="s">
        <v>26</v>
      </c>
      <c r="CC42" s="83" t="b">
        <v>1</v>
      </c>
      <c r="CE42" s="53" t="s">
        <v>26</v>
      </c>
      <c r="CF42" s="83" t="b">
        <v>1</v>
      </c>
      <c r="CH42" s="53" t="s">
        <v>26</v>
      </c>
      <c r="CI42" s="83" t="b">
        <v>1</v>
      </c>
      <c r="CK42" s="53" t="s">
        <v>26</v>
      </c>
      <c r="CL42" s="83" t="b">
        <v>1</v>
      </c>
      <c r="CN42" s="223" t="str">
        <f>'JPY Market Data'!BP43</f>
        <v/>
      </c>
      <c r="CO42" s="263" t="str">
        <f>'JPY Market Data'!BT43</f>
        <v/>
      </c>
      <c r="CQ42" s="12"/>
      <c r="CR42" s="83"/>
      <c r="CT42" s="53"/>
      <c r="CU42" s="83"/>
      <c r="CW42" s="53"/>
      <c r="CX42" s="83"/>
      <c r="CZ42" s="53"/>
      <c r="DA42" s="83"/>
    </row>
    <row r="43" spans="2:105">
      <c r="B43" s="53" t="s">
        <v>199</v>
      </c>
      <c r="C43" s="118" t="s">
        <v>337</v>
      </c>
      <c r="D43" s="119"/>
      <c r="E43" s="120"/>
      <c r="F43" t="s">
        <v>12</v>
      </c>
      <c r="L43" s="203"/>
      <c r="M43" s="223" t="str">
        <f>'JPY Market Data'!B44</f>
        <v/>
      </c>
      <c r="N43" s="224" t="str">
        <f>'JPY Market Data'!F44</f>
        <v/>
      </c>
      <c r="O43" s="85"/>
      <c r="P43" s="85"/>
      <c r="Q43" s="86" t="b">
        <f t="shared" si="0"/>
        <v>0</v>
      </c>
      <c r="S43" s="92"/>
      <c r="T43" s="93"/>
      <c r="Y43" s="229" t="str">
        <f>'JPY Market Data'!H44</f>
        <v/>
      </c>
      <c r="Z43" s="239" t="str">
        <f>'JPY Market Data'!L44</f>
        <v/>
      </c>
      <c r="AE43" s="229" t="str">
        <f>'JPY Market Data'!N44</f>
        <v/>
      </c>
      <c r="AF43" s="230" t="str">
        <f>'JPY Market Data'!R44</f>
        <v/>
      </c>
      <c r="AH43" s="12"/>
      <c r="AI43" s="83"/>
      <c r="AK43" s="51"/>
      <c r="AL43" s="33"/>
      <c r="AN43" s="259" t="str">
        <f>'JPY Market Data'!AF24</f>
        <v/>
      </c>
      <c r="AO43" s="260" t="str">
        <f>'JPY Market Data'!AJ24</f>
        <v/>
      </c>
      <c r="AQ43" s="47"/>
      <c r="AR43" s="48"/>
      <c r="AS43" s="48"/>
      <c r="AT43" s="48"/>
      <c r="AU43" s="142" t="s">
        <v>86</v>
      </c>
      <c r="AW43" s="53"/>
      <c r="AX43" s="16"/>
      <c r="AZ43" s="259" t="str">
        <f>'JPY Market Data'!AR44</f>
        <v/>
      </c>
      <c r="BA43" s="312" t="str">
        <f>'JPY Market Data'!AV44</f>
        <v/>
      </c>
      <c r="BB43" s="80" t="b">
        <f t="shared" si="1"/>
        <v>0</v>
      </c>
      <c r="BC43" s="6"/>
      <c r="BD43" s="12"/>
      <c r="BE43" s="83"/>
      <c r="BG43" s="53"/>
      <c r="BH43" s="16"/>
      <c r="BJ43" s="223" t="str">
        <f>'JPY Market Data'!AX44</f>
        <v/>
      </c>
      <c r="BK43" s="263" t="str">
        <f>'JPY Market Data'!BB44</f>
        <v/>
      </c>
      <c r="BM43" s="53"/>
      <c r="BN43" s="16"/>
      <c r="BP43" s="223" t="str">
        <f>'JPY Market Data'!BD44</f>
        <v/>
      </c>
      <c r="BQ43" s="263" t="str">
        <f>'JPY Market Data'!BH44</f>
        <v/>
      </c>
      <c r="BS43" s="53"/>
      <c r="BT43" s="16"/>
      <c r="BV43" s="84"/>
      <c r="BW43" s="98"/>
      <c r="BY43" s="12"/>
      <c r="BZ43" s="83"/>
      <c r="CB43" s="53" t="s">
        <v>24</v>
      </c>
      <c r="CC43" s="83" t="s">
        <v>162</v>
      </c>
      <c r="CE43" s="53" t="s">
        <v>24</v>
      </c>
      <c r="CF43" s="83" t="s">
        <v>162</v>
      </c>
      <c r="CH43" s="53" t="s">
        <v>24</v>
      </c>
      <c r="CI43" s="83" t="s">
        <v>162</v>
      </c>
      <c r="CK43" s="53" t="s">
        <v>24</v>
      </c>
      <c r="CL43" s="83" t="s">
        <v>162</v>
      </c>
      <c r="CN43" s="223" t="str">
        <f>'JPY Market Data'!BP44</f>
        <v/>
      </c>
      <c r="CO43" s="263" t="str">
        <f>'JPY Market Data'!BT44</f>
        <v/>
      </c>
      <c r="CQ43" s="12"/>
      <c r="CR43" s="83"/>
      <c r="CT43" s="53"/>
      <c r="CU43" s="83"/>
      <c r="CW43" s="53"/>
      <c r="CX43" s="83"/>
      <c r="CZ43" s="53"/>
      <c r="DA43" s="83"/>
    </row>
    <row r="44" spans="2:105">
      <c r="B44" s="53" t="s">
        <v>269</v>
      </c>
      <c r="C44" s="118" t="s">
        <v>298</v>
      </c>
      <c r="D44" s="119"/>
      <c r="E44" s="120"/>
      <c r="F44" t="s">
        <v>12</v>
      </c>
      <c r="L44" s="203"/>
      <c r="M44" s="223" t="str">
        <f>'JPY Market Data'!B45</f>
        <v/>
      </c>
      <c r="N44" s="224" t="str">
        <f>'JPY Market Data'!F45</f>
        <v/>
      </c>
      <c r="O44" s="85"/>
      <c r="P44" s="85"/>
      <c r="Q44" s="86" t="b">
        <f t="shared" si="0"/>
        <v>0</v>
      </c>
      <c r="S44" s="92"/>
      <c r="T44" s="93"/>
      <c r="Y44" s="229" t="str">
        <f>'JPY Market Data'!H45</f>
        <v/>
      </c>
      <c r="Z44" s="239" t="str">
        <f>'JPY Market Data'!L45</f>
        <v/>
      </c>
      <c r="AE44" s="229" t="str">
        <f>'JPY Market Data'!N45</f>
        <v/>
      </c>
      <c r="AF44" s="230" t="str">
        <f>'JPY Market Data'!R45</f>
        <v/>
      </c>
      <c r="AH44" s="12"/>
      <c r="AI44" s="83"/>
      <c r="AK44" s="51"/>
      <c r="AL44" s="33"/>
      <c r="AN44" s="259" t="str">
        <f>'JPY Market Data'!AF25</f>
        <v/>
      </c>
      <c r="AO44" s="260" t="str">
        <f>'JPY Market Data'!AJ25</f>
        <v/>
      </c>
      <c r="AQ44" s="47"/>
      <c r="AR44" s="48"/>
      <c r="AS44" s="48"/>
      <c r="AT44" s="48"/>
      <c r="AU44" s="142" t="s">
        <v>86</v>
      </c>
      <c r="AW44" s="53"/>
      <c r="AX44" s="16"/>
      <c r="AZ44" s="259" t="str">
        <f>'JPY Market Data'!AR45</f>
        <v/>
      </c>
      <c r="BA44" s="312" t="str">
        <f>'JPY Market Data'!AV45</f>
        <v/>
      </c>
      <c r="BB44" s="80" t="b">
        <f t="shared" si="1"/>
        <v>0</v>
      </c>
      <c r="BC44" s="6"/>
      <c r="BD44" s="12"/>
      <c r="BE44" s="83"/>
      <c r="BG44" s="76"/>
      <c r="BH44" s="19"/>
      <c r="BJ44" s="223" t="str">
        <f>'JPY Market Data'!AX45</f>
        <v/>
      </c>
      <c r="BK44" s="263" t="str">
        <f>'JPY Market Data'!BB45</f>
        <v/>
      </c>
      <c r="BM44" s="76"/>
      <c r="BN44" s="19"/>
      <c r="BP44" s="223" t="str">
        <f>'JPY Market Data'!BD45</f>
        <v/>
      </c>
      <c r="BQ44" s="263" t="str">
        <f>'JPY Market Data'!BH45</f>
        <v/>
      </c>
      <c r="BS44" s="76"/>
      <c r="BT44" s="19"/>
      <c r="BV44" s="84"/>
      <c r="BW44" s="98"/>
      <c r="BY44" s="12"/>
      <c r="BZ44" s="83"/>
      <c r="CB44" s="53" t="s">
        <v>21</v>
      </c>
      <c r="CC44" s="83" t="s">
        <v>51</v>
      </c>
      <c r="CE44" s="53" t="s">
        <v>21</v>
      </c>
      <c r="CF44" s="83" t="s">
        <v>51</v>
      </c>
      <c r="CH44" s="53" t="s">
        <v>21</v>
      </c>
      <c r="CI44" s="83" t="s">
        <v>51</v>
      </c>
      <c r="CK44" s="53" t="s">
        <v>21</v>
      </c>
      <c r="CL44" s="83" t="s">
        <v>51</v>
      </c>
      <c r="CN44" s="223" t="str">
        <f>'JPY Market Data'!BP45</f>
        <v/>
      </c>
      <c r="CO44" s="263" t="str">
        <f>'JPY Market Data'!BT45</f>
        <v/>
      </c>
      <c r="CQ44" s="12"/>
      <c r="CR44" s="83"/>
      <c r="CT44" s="53"/>
      <c r="CU44" s="83"/>
      <c r="CW44" s="53"/>
      <c r="CX44" s="83"/>
      <c r="CZ44" s="53"/>
      <c r="DA44" s="83"/>
    </row>
    <row r="45" spans="2:105">
      <c r="B45" s="53" t="s">
        <v>196</v>
      </c>
      <c r="C45" s="118" t="s">
        <v>299</v>
      </c>
      <c r="D45" s="119"/>
      <c r="E45" s="120"/>
      <c r="F45" t="s">
        <v>12</v>
      </c>
      <c r="J45" t="s">
        <v>12</v>
      </c>
      <c r="K45" t="s">
        <v>12</v>
      </c>
      <c r="L45" s="203"/>
      <c r="M45" s="223" t="str">
        <f>'JPY Market Data'!B46</f>
        <v/>
      </c>
      <c r="N45" s="224" t="str">
        <f>'JPY Market Data'!F46</f>
        <v/>
      </c>
      <c r="O45" s="85"/>
      <c r="P45" s="85"/>
      <c r="Q45" s="86" t="b">
        <f t="shared" si="0"/>
        <v>0</v>
      </c>
      <c r="S45" s="92"/>
      <c r="T45" s="93"/>
      <c r="Y45" s="229" t="str">
        <f>'JPY Market Data'!H46</f>
        <v/>
      </c>
      <c r="Z45" s="239" t="str">
        <f>'JPY Market Data'!L46</f>
        <v/>
      </c>
      <c r="AE45" s="229" t="str">
        <f>'JPY Market Data'!N46</f>
        <v/>
      </c>
      <c r="AF45" s="230" t="str">
        <f>'JPY Market Data'!R46</f>
        <v/>
      </c>
      <c r="AH45" s="12"/>
      <c r="AI45" s="83"/>
      <c r="AK45" s="51"/>
      <c r="AL45" s="33"/>
      <c r="AN45" s="259" t="str">
        <f>'JPY Market Data'!AF26</f>
        <v/>
      </c>
      <c r="AO45" s="260" t="str">
        <f>'JPY Market Data'!AJ26</f>
        <v/>
      </c>
      <c r="AQ45" s="47"/>
      <c r="AR45" s="48"/>
      <c r="AS45" s="48"/>
      <c r="AT45" s="48"/>
      <c r="AU45" s="142" t="s">
        <v>86</v>
      </c>
      <c r="AW45" s="53"/>
      <c r="AX45" s="16"/>
      <c r="AZ45" s="259" t="str">
        <f>'JPY Market Data'!AR46</f>
        <v/>
      </c>
      <c r="BA45" s="312" t="str">
        <f>'JPY Market Data'!AV46</f>
        <v/>
      </c>
      <c r="BB45" s="80" t="b">
        <f t="shared" si="1"/>
        <v>0</v>
      </c>
      <c r="BC45" s="6"/>
      <c r="BD45" s="12"/>
      <c r="BE45" s="83"/>
      <c r="BG45" s="53"/>
      <c r="BH45" s="16"/>
      <c r="BJ45" s="223" t="str">
        <f>'JPY Market Data'!AX46</f>
        <v/>
      </c>
      <c r="BK45" s="263" t="str">
        <f>'JPY Market Data'!BB46</f>
        <v/>
      </c>
      <c r="BM45" s="53"/>
      <c r="BN45" s="16"/>
      <c r="BP45" s="223" t="str">
        <f>'JPY Market Data'!BD46</f>
        <v/>
      </c>
      <c r="BQ45" s="263" t="str">
        <f>'JPY Market Data'!BH46</f>
        <v/>
      </c>
      <c r="BS45" s="53"/>
      <c r="BT45" s="16"/>
      <c r="BV45" s="84"/>
      <c r="BW45" s="98"/>
      <c r="BY45" s="12"/>
      <c r="BZ45" s="83"/>
      <c r="CB45" s="53" t="s">
        <v>18</v>
      </c>
      <c r="CC45" s="83" t="s">
        <v>241</v>
      </c>
      <c r="CE45" s="53" t="s">
        <v>18</v>
      </c>
      <c r="CF45" s="83" t="s">
        <v>241</v>
      </c>
      <c r="CH45" s="53" t="s">
        <v>18</v>
      </c>
      <c r="CI45" s="83" t="s">
        <v>241</v>
      </c>
      <c r="CK45" s="53" t="s">
        <v>18</v>
      </c>
      <c r="CL45" s="83" t="s">
        <v>241</v>
      </c>
      <c r="CN45" s="223" t="str">
        <f>'JPY Market Data'!BP46</f>
        <v/>
      </c>
      <c r="CO45" s="263" t="str">
        <f>'JPY Market Data'!BT46</f>
        <v/>
      </c>
      <c r="CQ45" s="12"/>
      <c r="CR45" s="83"/>
      <c r="CT45" s="53"/>
      <c r="CU45" s="83"/>
      <c r="CW45" s="53"/>
      <c r="CX45" s="83"/>
      <c r="CZ45" s="53"/>
      <c r="DA45" s="83"/>
    </row>
    <row r="46" spans="2:105">
      <c r="B46" s="53"/>
      <c r="C46" s="118"/>
      <c r="D46" s="119"/>
      <c r="E46" s="120"/>
      <c r="F46" t="s">
        <v>12</v>
      </c>
      <c r="L46" s="203"/>
      <c r="M46" s="223" t="str">
        <f>'JPY Market Data'!B47</f>
        <v/>
      </c>
      <c r="N46" s="224" t="str">
        <f>'JPY Market Data'!F47</f>
        <v/>
      </c>
      <c r="O46" s="85"/>
      <c r="P46" s="85"/>
      <c r="Q46" s="86" t="b">
        <f t="shared" si="0"/>
        <v>0</v>
      </c>
      <c r="S46" s="92"/>
      <c r="T46" s="93"/>
      <c r="Y46" s="229" t="str">
        <f>'JPY Market Data'!H47</f>
        <v/>
      </c>
      <c r="Z46" s="239" t="str">
        <f>'JPY Market Data'!L47</f>
        <v/>
      </c>
      <c r="AE46" s="229" t="str">
        <f>'JPY Market Data'!N47</f>
        <v/>
      </c>
      <c r="AF46" s="230" t="str">
        <f>'JPY Market Data'!R47</f>
        <v/>
      </c>
      <c r="AH46" s="12"/>
      <c r="AI46" s="83"/>
      <c r="AK46" s="51"/>
      <c r="AL46" s="33"/>
      <c r="AN46" s="259" t="str">
        <f>'JPY Market Data'!AF27</f>
        <v/>
      </c>
      <c r="AO46" s="260" t="str">
        <f>'JPY Market Data'!AJ27</f>
        <v/>
      </c>
      <c r="AQ46" s="47"/>
      <c r="AR46" s="48"/>
      <c r="AS46" s="48"/>
      <c r="AT46" s="48"/>
      <c r="AU46" s="142" t="s">
        <v>86</v>
      </c>
      <c r="AW46" s="53"/>
      <c r="AX46" s="16"/>
      <c r="AZ46" s="259" t="str">
        <f>'JPY Market Data'!AR47</f>
        <v/>
      </c>
      <c r="BA46" s="312" t="str">
        <f>'JPY Market Data'!AV47</f>
        <v/>
      </c>
      <c r="BB46" s="80" t="b">
        <f t="shared" si="1"/>
        <v>0</v>
      </c>
      <c r="BC46" s="6"/>
      <c r="BD46" s="12"/>
      <c r="BE46" s="83"/>
      <c r="BG46" s="53"/>
      <c r="BH46" s="16"/>
      <c r="BJ46" s="223" t="str">
        <f>'JPY Market Data'!AX47</f>
        <v/>
      </c>
      <c r="BK46" s="263" t="str">
        <f>'JPY Market Data'!BB47</f>
        <v/>
      </c>
      <c r="BM46" s="53"/>
      <c r="BN46" s="16"/>
      <c r="BP46" s="223" t="str">
        <f>'JPY Market Data'!BD47</f>
        <v/>
      </c>
      <c r="BQ46" s="263" t="str">
        <f>'JPY Market Data'!BH47</f>
        <v/>
      </c>
      <c r="BS46" s="53"/>
      <c r="BT46" s="16"/>
      <c r="BV46" s="84"/>
      <c r="BW46" s="98"/>
      <c r="BY46" s="12"/>
      <c r="BZ46" s="83"/>
      <c r="CB46" s="53"/>
      <c r="CC46" s="83"/>
      <c r="CE46" s="53"/>
      <c r="CF46" s="83"/>
      <c r="CH46" s="53"/>
      <c r="CI46" s="83"/>
      <c r="CK46" s="53"/>
      <c r="CL46" s="83"/>
      <c r="CN46" s="223" t="str">
        <f>'JPY Market Data'!BP47</f>
        <v/>
      </c>
      <c r="CO46" s="263" t="str">
        <f>'JPY Market Data'!BT47</f>
        <v/>
      </c>
      <c r="CQ46" s="12"/>
      <c r="CR46" s="83"/>
      <c r="CT46" s="53"/>
      <c r="CU46" s="83"/>
      <c r="CW46" s="53"/>
      <c r="CX46" s="83"/>
      <c r="CZ46" s="53"/>
      <c r="DA46" s="83"/>
    </row>
    <row r="47" spans="2:105">
      <c r="B47" s="59"/>
      <c r="C47" s="121"/>
      <c r="D47" s="122"/>
      <c r="E47" s="123"/>
      <c r="L47" s="203"/>
      <c r="M47" s="223" t="str">
        <f>'JPY Market Data'!B48</f>
        <v/>
      </c>
      <c r="N47" s="224" t="str">
        <f>'JPY Market Data'!F48</f>
        <v/>
      </c>
      <c r="O47" s="85"/>
      <c r="P47" s="85"/>
      <c r="Q47" s="86" t="b">
        <f t="shared" si="0"/>
        <v>0</v>
      </c>
      <c r="S47" s="92"/>
      <c r="T47" s="93"/>
      <c r="Y47" s="229" t="str">
        <f>'JPY Market Data'!H48</f>
        <v/>
      </c>
      <c r="Z47" s="239" t="str">
        <f>'JPY Market Data'!L48</f>
        <v/>
      </c>
      <c r="AE47" s="229" t="str">
        <f>'JPY Market Data'!N48</f>
        <v/>
      </c>
      <c r="AF47" s="230" t="str">
        <f>'JPY Market Data'!R48</f>
        <v/>
      </c>
      <c r="AH47" s="12"/>
      <c r="AI47" s="83"/>
      <c r="AK47" s="51"/>
      <c r="AL47" s="33"/>
      <c r="AN47" s="259" t="str">
        <f>'JPY Market Data'!AF28</f>
        <v/>
      </c>
      <c r="AO47" s="260" t="str">
        <f>'JPY Market Data'!AJ28</f>
        <v/>
      </c>
      <c r="AQ47" s="47"/>
      <c r="AR47" s="48"/>
      <c r="AS47" s="48"/>
      <c r="AT47" s="48"/>
      <c r="AU47" s="142"/>
      <c r="AW47" s="53"/>
      <c r="AX47" s="16"/>
      <c r="AZ47" s="259" t="str">
        <f>'JPY Market Data'!AR48</f>
        <v/>
      </c>
      <c r="BA47" s="312" t="str">
        <f>'JPY Market Data'!AV48</f>
        <v/>
      </c>
      <c r="BB47" s="80" t="b">
        <f t="shared" si="1"/>
        <v>0</v>
      </c>
      <c r="BC47" s="6"/>
      <c r="BD47" s="12"/>
      <c r="BE47" s="83"/>
      <c r="BG47" s="53"/>
      <c r="BH47" s="16"/>
      <c r="BJ47" s="223" t="str">
        <f>'JPY Market Data'!AX48</f>
        <v/>
      </c>
      <c r="BK47" s="263" t="str">
        <f>'JPY Market Data'!BB48</f>
        <v/>
      </c>
      <c r="BM47" s="53"/>
      <c r="BN47" s="16"/>
      <c r="BP47" s="223" t="str">
        <f>'JPY Market Data'!BD48</f>
        <v/>
      </c>
      <c r="BQ47" s="263" t="str">
        <f>'JPY Market Data'!BH48</f>
        <v/>
      </c>
      <c r="BS47" s="53"/>
      <c r="BT47" s="16"/>
      <c r="BV47" s="84"/>
      <c r="BW47" s="98"/>
      <c r="BY47" s="12"/>
      <c r="BZ47" s="83"/>
      <c r="CB47" s="53"/>
      <c r="CC47" s="83"/>
      <c r="CE47" s="53"/>
      <c r="CF47" s="83"/>
      <c r="CH47" s="53"/>
      <c r="CI47" s="83"/>
      <c r="CK47" s="53"/>
      <c r="CL47" s="83"/>
      <c r="CN47" s="223" t="str">
        <f>'JPY Market Data'!BP48</f>
        <v/>
      </c>
      <c r="CO47" s="263" t="str">
        <f>'JPY Market Data'!BT48</f>
        <v/>
      </c>
      <c r="CQ47" s="12"/>
      <c r="CR47" s="83"/>
      <c r="CT47" s="53"/>
      <c r="CU47" s="83"/>
      <c r="CW47" s="53"/>
      <c r="CX47" s="83"/>
      <c r="CZ47" s="53"/>
      <c r="DA47" s="83"/>
    </row>
    <row r="48" spans="2:105">
      <c r="L48" s="203"/>
      <c r="M48" s="223" t="str">
        <f>'JPY Market Data'!B49</f>
        <v/>
      </c>
      <c r="N48" s="224" t="str">
        <f>'JPY Market Data'!F49</f>
        <v/>
      </c>
      <c r="O48" s="85"/>
      <c r="P48" s="85"/>
      <c r="Q48" s="86" t="b">
        <f t="shared" si="0"/>
        <v>0</v>
      </c>
      <c r="S48" s="92"/>
      <c r="T48" s="93"/>
      <c r="Y48" s="229" t="str">
        <f>'JPY Market Data'!H49</f>
        <v/>
      </c>
      <c r="Z48" s="239" t="str">
        <f>'JPY Market Data'!L49</f>
        <v/>
      </c>
      <c r="AE48" s="229" t="str">
        <f>'JPY Market Data'!N49</f>
        <v/>
      </c>
      <c r="AF48" s="230" t="str">
        <f>'JPY Market Data'!R49</f>
        <v/>
      </c>
      <c r="AH48" s="12"/>
      <c r="AI48" s="83"/>
      <c r="AK48" s="51"/>
      <c r="AL48" s="33"/>
      <c r="AN48" s="259" t="str">
        <f>'JPY Market Data'!AF29</f>
        <v/>
      </c>
      <c r="AO48" s="260" t="str">
        <f>'JPY Market Data'!AJ29</f>
        <v/>
      </c>
      <c r="AQ48" s="47"/>
      <c r="AR48" s="48"/>
      <c r="AS48" s="48"/>
      <c r="AT48" s="48"/>
      <c r="AU48" s="142"/>
      <c r="AW48" s="53"/>
      <c r="AX48" s="16"/>
      <c r="AZ48" s="259" t="str">
        <f>'JPY Market Data'!AR49</f>
        <v/>
      </c>
      <c r="BA48" s="312" t="str">
        <f>'JPY Market Data'!AV49</f>
        <v/>
      </c>
      <c r="BB48" s="80" t="b">
        <f t="shared" si="1"/>
        <v>0</v>
      </c>
      <c r="BC48" s="6"/>
      <c r="BD48" s="12"/>
      <c r="BE48" s="83"/>
      <c r="BG48" s="53"/>
      <c r="BH48" s="16"/>
      <c r="BJ48" s="223" t="str">
        <f>'JPY Market Data'!AX49</f>
        <v/>
      </c>
      <c r="BK48" s="263" t="str">
        <f>'JPY Market Data'!BB49</f>
        <v/>
      </c>
      <c r="BM48" s="53"/>
      <c r="BN48" s="16"/>
      <c r="BP48" s="223" t="str">
        <f>'JPY Market Data'!BD49</f>
        <v/>
      </c>
      <c r="BQ48" s="263" t="str">
        <f>'JPY Market Data'!BH49</f>
        <v/>
      </c>
      <c r="BS48" s="53"/>
      <c r="BT48" s="16"/>
      <c r="BV48" s="84"/>
      <c r="BW48" s="98"/>
      <c r="BY48" s="12"/>
      <c r="BZ48" s="83"/>
      <c r="CB48" s="53"/>
      <c r="CC48" s="83"/>
      <c r="CE48" s="53"/>
      <c r="CF48" s="83"/>
      <c r="CH48" s="53"/>
      <c r="CI48" s="83"/>
      <c r="CK48" s="53"/>
      <c r="CL48" s="83"/>
      <c r="CN48" s="223" t="str">
        <f>'JPY Market Data'!BP49</f>
        <v/>
      </c>
      <c r="CO48" s="263" t="str">
        <f>'JPY Market Data'!BT49</f>
        <v/>
      </c>
      <c r="CQ48" s="12"/>
      <c r="CR48" s="83"/>
      <c r="CT48" s="53"/>
      <c r="CU48" s="83"/>
      <c r="CW48" s="53"/>
      <c r="CX48" s="83"/>
      <c r="CZ48" s="53"/>
      <c r="DA48" s="83"/>
    </row>
    <row r="49" spans="2:105">
      <c r="B49" s="2" t="s">
        <v>314</v>
      </c>
      <c r="C49" s="9"/>
      <c r="L49" s="203"/>
      <c r="M49" s="223" t="str">
        <f>'JPY Market Data'!B50</f>
        <v/>
      </c>
      <c r="N49" s="224" t="str">
        <f>'JPY Market Data'!F50</f>
        <v/>
      </c>
      <c r="O49" s="85"/>
      <c r="P49" s="85"/>
      <c r="Q49" s="86" t="b">
        <f t="shared" si="0"/>
        <v>0</v>
      </c>
      <c r="S49" s="92"/>
      <c r="T49" s="93"/>
      <c r="Y49" s="229" t="str">
        <f>'JPY Market Data'!H50</f>
        <v/>
      </c>
      <c r="Z49" s="239" t="str">
        <f>'JPY Market Data'!L50</f>
        <v/>
      </c>
      <c r="AE49" s="229" t="str">
        <f>'JPY Market Data'!N50</f>
        <v/>
      </c>
      <c r="AF49" s="230" t="str">
        <f>'JPY Market Data'!R50</f>
        <v/>
      </c>
      <c r="AH49" s="12"/>
      <c r="AI49" s="83"/>
      <c r="AK49" s="51"/>
      <c r="AL49" s="33"/>
      <c r="AN49" s="259" t="str">
        <f>'JPY Market Data'!AF30</f>
        <v/>
      </c>
      <c r="AO49" s="260" t="str">
        <f>'JPY Market Data'!AJ30</f>
        <v/>
      </c>
      <c r="AQ49" s="47"/>
      <c r="AR49" s="48"/>
      <c r="AS49" s="48"/>
      <c r="AT49" s="48"/>
      <c r="AU49" s="142"/>
      <c r="AW49" s="53"/>
      <c r="AX49" s="16"/>
      <c r="AZ49" s="259" t="str">
        <f>'JPY Market Data'!AR50</f>
        <v/>
      </c>
      <c r="BA49" s="312" t="str">
        <f>'JPY Market Data'!AV50</f>
        <v/>
      </c>
      <c r="BB49" s="80" t="b">
        <f t="shared" si="1"/>
        <v>0</v>
      </c>
      <c r="BC49" s="6"/>
      <c r="BD49" s="12"/>
      <c r="BE49" s="83"/>
      <c r="BG49" s="53"/>
      <c r="BH49" s="16"/>
      <c r="BJ49" s="223" t="str">
        <f>'JPY Market Data'!AX50</f>
        <v/>
      </c>
      <c r="BK49" s="263" t="str">
        <f>'JPY Market Data'!BB50</f>
        <v/>
      </c>
      <c r="BM49" s="53"/>
      <c r="BN49" s="16"/>
      <c r="BP49" s="223" t="str">
        <f>'JPY Market Data'!BD50</f>
        <v/>
      </c>
      <c r="BQ49" s="263" t="str">
        <f>'JPY Market Data'!BH50</f>
        <v/>
      </c>
      <c r="BS49" s="53"/>
      <c r="BT49" s="16"/>
      <c r="BV49" s="84"/>
      <c r="BW49" s="98"/>
      <c r="BY49" s="12"/>
      <c r="BZ49" s="83"/>
      <c r="CB49" s="53"/>
      <c r="CC49" s="83"/>
      <c r="CE49" s="53"/>
      <c r="CF49" s="83"/>
      <c r="CH49" s="53"/>
      <c r="CI49" s="83"/>
      <c r="CK49" s="53"/>
      <c r="CL49" s="83"/>
      <c r="CN49" s="223" t="str">
        <f>'JPY Market Data'!BP50</f>
        <v/>
      </c>
      <c r="CO49" s="263" t="str">
        <f>'JPY Market Data'!BT50</f>
        <v/>
      </c>
      <c r="CQ49" s="12"/>
      <c r="CR49" s="83"/>
      <c r="CT49" s="53"/>
      <c r="CU49" s="83"/>
      <c r="CW49" s="53"/>
      <c r="CX49" s="83"/>
      <c r="CZ49" s="53"/>
      <c r="DA49" s="83"/>
    </row>
    <row r="50" spans="2:105">
      <c r="B50" s="52" t="s">
        <v>189</v>
      </c>
      <c r="C50" s="112" t="s">
        <v>198</v>
      </c>
      <c r="D50" s="113"/>
      <c r="E50" s="114"/>
      <c r="L50" s="203"/>
      <c r="M50" s="223" t="str">
        <f>'JPY Market Data'!B51</f>
        <v/>
      </c>
      <c r="N50" s="224" t="str">
        <f>'JPY Market Data'!F51</f>
        <v/>
      </c>
      <c r="O50" s="85"/>
      <c r="P50" s="85"/>
      <c r="Q50" s="86" t="b">
        <f t="shared" si="0"/>
        <v>0</v>
      </c>
      <c r="S50" s="92"/>
      <c r="T50" s="93"/>
      <c r="Y50" s="229" t="str">
        <f>'JPY Market Data'!H51</f>
        <v/>
      </c>
      <c r="Z50" s="239" t="str">
        <f>'JPY Market Data'!L51</f>
        <v/>
      </c>
      <c r="AE50" s="229" t="str">
        <f>'JPY Market Data'!N51</f>
        <v/>
      </c>
      <c r="AF50" s="230" t="str">
        <f>'JPY Market Data'!R51</f>
        <v/>
      </c>
      <c r="AH50" s="12"/>
      <c r="AI50" s="83"/>
      <c r="AK50" s="51"/>
      <c r="AL50" s="33"/>
      <c r="AN50" s="259" t="str">
        <f>'JPY Market Data'!AF31</f>
        <v/>
      </c>
      <c r="AO50" s="260" t="str">
        <f>'JPY Market Data'!AJ31</f>
        <v/>
      </c>
      <c r="AQ50" s="47"/>
      <c r="AR50" s="48"/>
      <c r="AS50" s="48"/>
      <c r="AT50" s="48"/>
      <c r="AU50" s="142"/>
      <c r="AW50" s="53"/>
      <c r="AX50" s="16"/>
      <c r="AZ50" s="259" t="str">
        <f>'JPY Market Data'!AR51</f>
        <v/>
      </c>
      <c r="BA50" s="312" t="str">
        <f>'JPY Market Data'!AV51</f>
        <v/>
      </c>
      <c r="BB50" s="80" t="b">
        <f t="shared" si="1"/>
        <v>0</v>
      </c>
      <c r="BC50" s="6"/>
      <c r="BD50" s="12"/>
      <c r="BE50" s="83"/>
      <c r="BG50" s="53"/>
      <c r="BH50" s="16"/>
      <c r="BJ50" s="223" t="str">
        <f>'JPY Market Data'!AX51</f>
        <v/>
      </c>
      <c r="BK50" s="263" t="str">
        <f>'JPY Market Data'!BB51</f>
        <v/>
      </c>
      <c r="BM50" s="53"/>
      <c r="BN50" s="16"/>
      <c r="BP50" s="223" t="str">
        <f>'JPY Market Data'!BD51</f>
        <v/>
      </c>
      <c r="BQ50" s="263" t="str">
        <f>'JPY Market Data'!BH51</f>
        <v/>
      </c>
      <c r="BS50" s="53"/>
      <c r="BT50" s="16"/>
      <c r="BV50" s="84"/>
      <c r="BW50" s="98"/>
      <c r="BY50" s="12"/>
      <c r="BZ50" s="83"/>
      <c r="CB50" s="53"/>
      <c r="CC50" s="83"/>
      <c r="CE50" s="53"/>
      <c r="CF50" s="83"/>
      <c r="CH50" s="53"/>
      <c r="CI50" s="83"/>
      <c r="CK50" s="53"/>
      <c r="CL50" s="83"/>
      <c r="CN50" s="223" t="str">
        <f>'JPY Market Data'!BP51</f>
        <v/>
      </c>
      <c r="CO50" s="263" t="str">
        <f>'JPY Market Data'!BT51</f>
        <v/>
      </c>
      <c r="CQ50" s="12"/>
      <c r="CR50" s="83"/>
      <c r="CT50" s="53"/>
      <c r="CU50" s="83"/>
      <c r="CW50" s="53"/>
      <c r="CX50" s="83"/>
      <c r="CZ50" s="53"/>
      <c r="DA50" s="83"/>
    </row>
    <row r="51" spans="2:105">
      <c r="B51" s="53" t="s">
        <v>61</v>
      </c>
      <c r="C51" s="115" t="s">
        <v>296</v>
      </c>
      <c r="D51" s="116"/>
      <c r="E51" s="117"/>
      <c r="L51" s="203"/>
      <c r="M51" s="223" t="str">
        <f>'JPY Market Data'!B52</f>
        <v/>
      </c>
      <c r="N51" s="224" t="str">
        <f>'JPY Market Data'!F52</f>
        <v/>
      </c>
      <c r="O51" s="85"/>
      <c r="P51" s="85"/>
      <c r="Q51" s="86" t="b">
        <f t="shared" si="0"/>
        <v>0</v>
      </c>
      <c r="S51" s="92"/>
      <c r="T51" s="93"/>
      <c r="Y51" s="229" t="str">
        <f>'JPY Market Data'!H52</f>
        <v/>
      </c>
      <c r="Z51" s="239" t="str">
        <f>'JPY Market Data'!L52</f>
        <v/>
      </c>
      <c r="AE51" s="229" t="str">
        <f>'JPY Market Data'!N52</f>
        <v/>
      </c>
      <c r="AF51" s="230" t="str">
        <f>'JPY Market Data'!R52</f>
        <v/>
      </c>
      <c r="AH51" s="12"/>
      <c r="AI51" s="83"/>
      <c r="AK51" s="51"/>
      <c r="AL51" s="33"/>
      <c r="AN51" s="259" t="str">
        <f>'JPY Market Data'!AF32</f>
        <v/>
      </c>
      <c r="AO51" s="260" t="str">
        <f>'JPY Market Data'!AJ32</f>
        <v/>
      </c>
      <c r="AQ51" s="47"/>
      <c r="AR51" s="48"/>
      <c r="AS51" s="48"/>
      <c r="AT51" s="48"/>
      <c r="AU51" s="142"/>
      <c r="AW51" s="53"/>
      <c r="AX51" s="16"/>
      <c r="AZ51" s="259" t="str">
        <f>'JPY Market Data'!AR52</f>
        <v/>
      </c>
      <c r="BA51" s="312" t="str">
        <f>'JPY Market Data'!AV52</f>
        <v/>
      </c>
      <c r="BB51" s="80" t="b">
        <f t="shared" si="1"/>
        <v>0</v>
      </c>
      <c r="BC51" s="6"/>
      <c r="BD51" s="12"/>
      <c r="BE51" s="83"/>
      <c r="BG51" s="53"/>
      <c r="BH51" s="16"/>
      <c r="BJ51" s="223" t="str">
        <f>'JPY Market Data'!AX52</f>
        <v/>
      </c>
      <c r="BK51" s="263" t="str">
        <f>'JPY Market Data'!BB52</f>
        <v/>
      </c>
      <c r="BM51" s="53"/>
      <c r="BN51" s="16"/>
      <c r="BP51" s="223" t="str">
        <f>'JPY Market Data'!BD52</f>
        <v/>
      </c>
      <c r="BQ51" s="263" t="str">
        <f>'JPY Market Data'!BH52</f>
        <v/>
      </c>
      <c r="BS51" s="53"/>
      <c r="BT51" s="16"/>
      <c r="BV51" s="84"/>
      <c r="BW51" s="98"/>
      <c r="BY51" s="12"/>
      <c r="BZ51" s="83"/>
      <c r="CB51" s="53"/>
      <c r="CC51" s="83"/>
      <c r="CE51" s="53"/>
      <c r="CF51" s="83"/>
      <c r="CH51" s="53"/>
      <c r="CI51" s="83"/>
      <c r="CK51" s="53"/>
      <c r="CL51" s="83"/>
      <c r="CN51" s="223" t="str">
        <f>'JPY Market Data'!BP52</f>
        <v/>
      </c>
      <c r="CO51" s="263" t="str">
        <f>'JPY Market Data'!BT52</f>
        <v/>
      </c>
      <c r="CQ51" s="12"/>
      <c r="CR51" s="83"/>
      <c r="CT51" s="53"/>
      <c r="CU51" s="83"/>
      <c r="CW51" s="53"/>
      <c r="CX51" s="83"/>
      <c r="CZ51" s="53"/>
      <c r="DA51" s="83"/>
    </row>
    <row r="52" spans="2:105">
      <c r="B52" s="53" t="s">
        <v>194</v>
      </c>
      <c r="C52" s="118" t="s">
        <v>297</v>
      </c>
      <c r="D52" s="119"/>
      <c r="E52" s="120"/>
      <c r="L52" s="203"/>
      <c r="M52" s="223" t="str">
        <f>'JPY Market Data'!B53</f>
        <v/>
      </c>
      <c r="N52" s="224" t="str">
        <f>'JPY Market Data'!F53</f>
        <v/>
      </c>
      <c r="O52" s="85"/>
      <c r="P52" s="85"/>
      <c r="Q52" s="86" t="b">
        <f t="shared" si="0"/>
        <v>0</v>
      </c>
      <c r="S52" s="92"/>
      <c r="T52" s="93"/>
      <c r="Y52" s="229" t="str">
        <f>'JPY Market Data'!H53</f>
        <v/>
      </c>
      <c r="Z52" s="239" t="str">
        <f>'JPY Market Data'!L53</f>
        <v/>
      </c>
      <c r="AE52" s="229" t="str">
        <f>'JPY Market Data'!N53</f>
        <v/>
      </c>
      <c r="AF52" s="230" t="str">
        <f>'JPY Market Data'!R53</f>
        <v/>
      </c>
      <c r="AH52" s="12"/>
      <c r="AI52" s="83"/>
      <c r="AK52" s="51"/>
      <c r="AL52" s="33"/>
      <c r="AN52" s="259" t="str">
        <f>'JPY Market Data'!AF33</f>
        <v/>
      </c>
      <c r="AO52" s="260" t="str">
        <f>'JPY Market Data'!AJ33</f>
        <v/>
      </c>
      <c r="AQ52" s="47"/>
      <c r="AR52" s="48"/>
      <c r="AS52" s="48"/>
      <c r="AT52" s="48"/>
      <c r="AU52" s="142"/>
      <c r="AW52" s="53"/>
      <c r="AX52" s="16"/>
      <c r="AZ52" s="259" t="str">
        <f>'JPY Market Data'!AR53</f>
        <v/>
      </c>
      <c r="BA52" s="312" t="str">
        <f>'JPY Market Data'!AV53</f>
        <v/>
      </c>
      <c r="BB52" s="80" t="b">
        <f t="shared" si="1"/>
        <v>0</v>
      </c>
      <c r="BC52" s="6"/>
      <c r="BD52" s="12"/>
      <c r="BE52" s="83"/>
      <c r="BG52" s="53"/>
      <c r="BH52" s="16"/>
      <c r="BJ52" s="223" t="str">
        <f>'JPY Market Data'!AX53</f>
        <v/>
      </c>
      <c r="BK52" s="263" t="str">
        <f>'JPY Market Data'!BB53</f>
        <v/>
      </c>
      <c r="BM52" s="53"/>
      <c r="BN52" s="16"/>
      <c r="BP52" s="223" t="str">
        <f>'JPY Market Data'!BD53</f>
        <v/>
      </c>
      <c r="BQ52" s="263" t="str">
        <f>'JPY Market Data'!BH53</f>
        <v/>
      </c>
      <c r="BS52" s="53"/>
      <c r="BT52" s="16"/>
      <c r="BV52" s="84"/>
      <c r="BW52" s="98"/>
      <c r="BY52" s="12"/>
      <c r="BZ52" s="83"/>
      <c r="CB52" s="53"/>
      <c r="CC52" s="83"/>
      <c r="CE52" s="53"/>
      <c r="CF52" s="83"/>
      <c r="CH52" s="53"/>
      <c r="CI52" s="83"/>
      <c r="CK52" s="53"/>
      <c r="CL52" s="83"/>
      <c r="CN52" s="223" t="str">
        <f>'JPY Market Data'!BP53</f>
        <v/>
      </c>
      <c r="CO52" s="263" t="str">
        <f>'JPY Market Data'!BT53</f>
        <v/>
      </c>
      <c r="CQ52" s="12"/>
      <c r="CR52" s="83"/>
      <c r="CT52" s="53"/>
      <c r="CU52" s="83"/>
      <c r="CW52" s="53"/>
      <c r="CX52" s="83"/>
      <c r="CZ52" s="53"/>
      <c r="DA52" s="83"/>
    </row>
    <row r="53" spans="2:105">
      <c r="B53" s="53" t="s">
        <v>199</v>
      </c>
      <c r="C53" s="118" t="s">
        <v>337</v>
      </c>
      <c r="D53" s="119"/>
      <c r="E53" s="120"/>
      <c r="L53" s="203"/>
      <c r="M53" s="223" t="str">
        <f>'JPY Market Data'!B54</f>
        <v/>
      </c>
      <c r="N53" s="224" t="str">
        <f>'JPY Market Data'!F54</f>
        <v/>
      </c>
      <c r="O53" s="85"/>
      <c r="P53" s="85"/>
      <c r="Q53" s="86" t="b">
        <f t="shared" si="0"/>
        <v>0</v>
      </c>
      <c r="S53" s="92"/>
      <c r="T53" s="93"/>
      <c r="Y53" s="229" t="str">
        <f>'JPY Market Data'!H54</f>
        <v/>
      </c>
      <c r="Z53" s="239" t="str">
        <f>'JPY Market Data'!L54</f>
        <v/>
      </c>
      <c r="AE53" s="229" t="str">
        <f>'JPY Market Data'!N54</f>
        <v/>
      </c>
      <c r="AF53" s="230" t="str">
        <f>'JPY Market Data'!R54</f>
        <v/>
      </c>
      <c r="AH53" s="12"/>
      <c r="AI53" s="83"/>
      <c r="AK53" s="51"/>
      <c r="AL53" s="33"/>
      <c r="AN53" s="259" t="str">
        <f>'JPY Market Data'!AF34</f>
        <v/>
      </c>
      <c r="AO53" s="260" t="str">
        <f>'JPY Market Data'!AJ34</f>
        <v/>
      </c>
      <c r="AQ53" s="47"/>
      <c r="AR53" s="48"/>
      <c r="AS53" s="48"/>
      <c r="AT53" s="48"/>
      <c r="AU53" s="142"/>
      <c r="AW53" s="53"/>
      <c r="AX53" s="16"/>
      <c r="AZ53" s="259" t="str">
        <f>'JPY Market Data'!AR54</f>
        <v/>
      </c>
      <c r="BA53" s="312" t="str">
        <f>'JPY Market Data'!AV54</f>
        <v/>
      </c>
      <c r="BB53" s="80" t="b">
        <f t="shared" si="1"/>
        <v>0</v>
      </c>
      <c r="BC53" s="6"/>
      <c r="BD53" s="12"/>
      <c r="BE53" s="83"/>
      <c r="BG53" s="53"/>
      <c r="BH53" s="16"/>
      <c r="BJ53" s="223" t="str">
        <f>'JPY Market Data'!AX54</f>
        <v/>
      </c>
      <c r="BK53" s="263" t="str">
        <f>'JPY Market Data'!BB54</f>
        <v/>
      </c>
      <c r="BM53" s="53"/>
      <c r="BN53" s="16"/>
      <c r="BP53" s="223" t="str">
        <f>'JPY Market Data'!BD54</f>
        <v/>
      </c>
      <c r="BQ53" s="263" t="str">
        <f>'JPY Market Data'!BH54</f>
        <v/>
      </c>
      <c r="BS53" s="53"/>
      <c r="BT53" s="16"/>
      <c r="BV53" s="84"/>
      <c r="BW53" s="98"/>
      <c r="BY53" s="12"/>
      <c r="BZ53" s="83"/>
      <c r="CB53" s="53"/>
      <c r="CC53" s="83"/>
      <c r="CE53" s="53"/>
      <c r="CF53" s="83"/>
      <c r="CH53" s="53"/>
      <c r="CI53" s="83"/>
      <c r="CK53" s="53"/>
      <c r="CL53" s="83"/>
      <c r="CN53" s="223" t="str">
        <f>'JPY Market Data'!BP54</f>
        <v/>
      </c>
      <c r="CO53" s="263" t="str">
        <f>'JPY Market Data'!BT54</f>
        <v/>
      </c>
      <c r="CQ53" s="12"/>
      <c r="CR53" s="83"/>
      <c r="CT53" s="53"/>
      <c r="CU53" s="83"/>
      <c r="CW53" s="53"/>
      <c r="CX53" s="83"/>
      <c r="CZ53" s="53"/>
      <c r="DA53" s="83"/>
    </row>
    <row r="54" spans="2:105">
      <c r="B54" s="53" t="s">
        <v>269</v>
      </c>
      <c r="C54" s="118" t="s">
        <v>298</v>
      </c>
      <c r="D54" s="119"/>
      <c r="E54" s="120"/>
      <c r="L54" s="203"/>
      <c r="M54" s="223" t="str">
        <f>'JPY Market Data'!B55</f>
        <v/>
      </c>
      <c r="N54" s="224" t="str">
        <f>'JPY Market Data'!F55</f>
        <v/>
      </c>
      <c r="O54" s="85"/>
      <c r="P54" s="85"/>
      <c r="Q54" s="86" t="b">
        <f t="shared" si="0"/>
        <v>0</v>
      </c>
      <c r="S54" s="92"/>
      <c r="T54" s="93"/>
      <c r="Y54" s="229" t="str">
        <f>'JPY Market Data'!H55</f>
        <v/>
      </c>
      <c r="Z54" s="239" t="str">
        <f>'JPY Market Data'!L55</f>
        <v/>
      </c>
      <c r="AE54" s="229" t="str">
        <f>'JPY Market Data'!N55</f>
        <v/>
      </c>
      <c r="AF54" s="230" t="str">
        <f>'JPY Market Data'!R55</f>
        <v/>
      </c>
      <c r="AH54" s="12"/>
      <c r="AI54" s="83"/>
      <c r="AK54" s="51"/>
      <c r="AL54" s="33"/>
      <c r="AN54" s="259" t="str">
        <f>'JPY Market Data'!AF35</f>
        <v/>
      </c>
      <c r="AO54" s="260" t="str">
        <f>'JPY Market Data'!AJ35</f>
        <v/>
      </c>
      <c r="AQ54" s="47"/>
      <c r="AR54" s="48"/>
      <c r="AS54" s="48"/>
      <c r="AT54" s="48"/>
      <c r="AU54" s="142"/>
      <c r="AW54" s="53"/>
      <c r="AX54" s="16"/>
      <c r="AZ54" s="259" t="str">
        <f>'JPY Market Data'!AR55</f>
        <v/>
      </c>
      <c r="BA54" s="312" t="str">
        <f>'JPY Market Data'!AV55</f>
        <v/>
      </c>
      <c r="BB54" s="80" t="b">
        <f t="shared" si="1"/>
        <v>0</v>
      </c>
      <c r="BC54" s="6"/>
      <c r="BD54" s="12"/>
      <c r="BE54" s="83"/>
      <c r="BG54" s="53"/>
      <c r="BH54" s="16"/>
      <c r="BJ54" s="223" t="str">
        <f>'JPY Market Data'!AX55</f>
        <v/>
      </c>
      <c r="BK54" s="263" t="str">
        <f>'JPY Market Data'!BB55</f>
        <v/>
      </c>
      <c r="BM54" s="53"/>
      <c r="BN54" s="16"/>
      <c r="BP54" s="223" t="str">
        <f>'JPY Market Data'!BD55</f>
        <v/>
      </c>
      <c r="BQ54" s="263" t="str">
        <f>'JPY Market Data'!BH55</f>
        <v/>
      </c>
      <c r="BS54" s="53"/>
      <c r="BT54" s="16"/>
      <c r="BV54" s="84"/>
      <c r="BW54" s="98"/>
      <c r="BY54" s="12"/>
      <c r="BZ54" s="83"/>
      <c r="CB54" s="53"/>
      <c r="CC54" s="83"/>
      <c r="CE54" s="53"/>
      <c r="CF54" s="83"/>
      <c r="CH54" s="53"/>
      <c r="CI54" s="83"/>
      <c r="CK54" s="53"/>
      <c r="CL54" s="83"/>
      <c r="CN54" s="223" t="str">
        <f>'JPY Market Data'!BP55</f>
        <v/>
      </c>
      <c r="CO54" s="263" t="str">
        <f>'JPY Market Data'!BT55</f>
        <v/>
      </c>
      <c r="CQ54" s="12"/>
      <c r="CR54" s="83"/>
      <c r="CT54" s="53"/>
      <c r="CU54" s="83"/>
      <c r="CW54" s="53"/>
      <c r="CX54" s="83"/>
      <c r="CZ54" s="53"/>
      <c r="DA54" s="83"/>
    </row>
    <row r="55" spans="2:105">
      <c r="B55" s="53" t="s">
        <v>197</v>
      </c>
      <c r="C55" s="118" t="s">
        <v>299</v>
      </c>
      <c r="D55" s="119"/>
      <c r="E55" s="120"/>
      <c r="L55" s="203"/>
      <c r="M55" s="223" t="str">
        <f>'JPY Market Data'!B56</f>
        <v/>
      </c>
      <c r="N55" s="224" t="str">
        <f>'JPY Market Data'!F56</f>
        <v/>
      </c>
      <c r="O55" s="85"/>
      <c r="P55" s="85"/>
      <c r="Q55" s="86" t="b">
        <f t="shared" si="0"/>
        <v>0</v>
      </c>
      <c r="S55" s="92"/>
      <c r="T55" s="93"/>
      <c r="Y55" s="229" t="str">
        <f>'JPY Market Data'!H56</f>
        <v/>
      </c>
      <c r="Z55" s="239" t="str">
        <f>'JPY Market Data'!L56</f>
        <v/>
      </c>
      <c r="AE55" s="229" t="str">
        <f>'JPY Market Data'!N56</f>
        <v/>
      </c>
      <c r="AF55" s="230" t="str">
        <f>'JPY Market Data'!R56</f>
        <v/>
      </c>
      <c r="AH55" s="12"/>
      <c r="AI55" s="83"/>
      <c r="AK55" s="51"/>
      <c r="AL55" s="33"/>
      <c r="AN55" s="259" t="str">
        <f>'JPY Market Data'!AF36</f>
        <v/>
      </c>
      <c r="AO55" s="260" t="str">
        <f>'JPY Market Data'!AJ36</f>
        <v/>
      </c>
      <c r="AQ55" s="47"/>
      <c r="AR55" s="48"/>
      <c r="AS55" s="48"/>
      <c r="AT55" s="48"/>
      <c r="AU55" s="142"/>
      <c r="AW55" s="53"/>
      <c r="AX55" s="16"/>
      <c r="AZ55" s="259" t="str">
        <f>'JPY Market Data'!AR56</f>
        <v/>
      </c>
      <c r="BA55" s="312" t="str">
        <f>'JPY Market Data'!AV56</f>
        <v/>
      </c>
      <c r="BB55" s="80" t="b">
        <f t="shared" si="1"/>
        <v>0</v>
      </c>
      <c r="BC55" s="6"/>
      <c r="BD55" s="12"/>
      <c r="BE55" s="83"/>
      <c r="BG55" s="53"/>
      <c r="BH55" s="16"/>
      <c r="BJ55" s="223" t="str">
        <f>'JPY Market Data'!AX56</f>
        <v/>
      </c>
      <c r="BK55" s="263" t="str">
        <f>'JPY Market Data'!BB56</f>
        <v/>
      </c>
      <c r="BM55" s="53"/>
      <c r="BN55" s="16"/>
      <c r="BP55" s="223" t="str">
        <f>'JPY Market Data'!BD56</f>
        <v/>
      </c>
      <c r="BQ55" s="263" t="str">
        <f>'JPY Market Data'!BH56</f>
        <v/>
      </c>
      <c r="BS55" s="53"/>
      <c r="BT55" s="16"/>
      <c r="BV55" s="84"/>
      <c r="BW55" s="98"/>
      <c r="BY55" s="12"/>
      <c r="BZ55" s="83"/>
      <c r="CB55" s="53"/>
      <c r="CC55" s="83"/>
      <c r="CE55" s="53"/>
      <c r="CF55" s="83"/>
      <c r="CH55" s="53"/>
      <c r="CI55" s="83"/>
      <c r="CK55" s="53"/>
      <c r="CL55" s="83"/>
      <c r="CN55" s="223" t="str">
        <f>'JPY Market Data'!BP56</f>
        <v/>
      </c>
      <c r="CO55" s="263" t="str">
        <f>'JPY Market Data'!BT56</f>
        <v/>
      </c>
      <c r="CQ55" s="12"/>
      <c r="CR55" s="83"/>
      <c r="CT55" s="53"/>
      <c r="CU55" s="83"/>
      <c r="CW55" s="53"/>
      <c r="CX55" s="83"/>
      <c r="CZ55" s="53"/>
      <c r="DA55" s="83"/>
    </row>
    <row r="56" spans="2:105">
      <c r="B56" s="53"/>
      <c r="C56" s="118"/>
      <c r="D56" s="119"/>
      <c r="E56" s="120"/>
      <c r="L56" s="203"/>
      <c r="M56" s="223" t="str">
        <f>'JPY Market Data'!B57</f>
        <v/>
      </c>
      <c r="N56" s="224" t="str">
        <f>'JPY Market Data'!F57</f>
        <v/>
      </c>
      <c r="O56" s="85"/>
      <c r="P56" s="85"/>
      <c r="Q56" s="86" t="b">
        <f t="shared" si="0"/>
        <v>0</v>
      </c>
      <c r="S56" s="92"/>
      <c r="T56" s="93"/>
      <c r="Y56" s="229" t="str">
        <f>'JPY Market Data'!H57</f>
        <v/>
      </c>
      <c r="Z56" s="239" t="str">
        <f>'JPY Market Data'!L57</f>
        <v/>
      </c>
      <c r="AE56" s="229" t="str">
        <f>'JPY Market Data'!N57</f>
        <v/>
      </c>
      <c r="AF56" s="230" t="str">
        <f>'JPY Market Data'!R57</f>
        <v/>
      </c>
      <c r="AH56" s="12"/>
      <c r="AI56" s="83"/>
      <c r="AK56" s="51"/>
      <c r="AL56" s="33"/>
      <c r="AN56" s="259" t="str">
        <f>'JPY Market Data'!AF37</f>
        <v/>
      </c>
      <c r="AO56" s="260" t="str">
        <f>'JPY Market Data'!AJ37</f>
        <v/>
      </c>
      <c r="AQ56" s="47"/>
      <c r="AR56" s="48"/>
      <c r="AS56" s="48"/>
      <c r="AT56" s="48"/>
      <c r="AU56" s="142"/>
      <c r="AW56" s="53"/>
      <c r="AX56" s="16"/>
      <c r="AZ56" s="259" t="str">
        <f>'JPY Market Data'!AR57</f>
        <v/>
      </c>
      <c r="BA56" s="312" t="str">
        <f>'JPY Market Data'!AV57</f>
        <v/>
      </c>
      <c r="BB56" s="80" t="b">
        <f t="shared" si="1"/>
        <v>0</v>
      </c>
      <c r="BC56" s="6"/>
      <c r="BD56" s="12"/>
      <c r="BE56" s="83"/>
      <c r="BG56" s="53"/>
      <c r="BH56" s="16"/>
      <c r="BJ56" s="223" t="str">
        <f>'JPY Market Data'!AX57</f>
        <v/>
      </c>
      <c r="BK56" s="263" t="str">
        <f>'JPY Market Data'!BB57</f>
        <v/>
      </c>
      <c r="BM56" s="53"/>
      <c r="BN56" s="16"/>
      <c r="BP56" s="223" t="str">
        <f>'JPY Market Data'!BD57</f>
        <v/>
      </c>
      <c r="BQ56" s="263" t="str">
        <f>'JPY Market Data'!BH57</f>
        <v/>
      </c>
      <c r="BS56" s="53"/>
      <c r="BT56" s="16"/>
      <c r="BV56" s="84"/>
      <c r="BW56" s="98"/>
      <c r="BY56" s="12"/>
      <c r="BZ56" s="83"/>
      <c r="CB56" s="53"/>
      <c r="CC56" s="83"/>
      <c r="CE56" s="53"/>
      <c r="CF56" s="83"/>
      <c r="CH56" s="53"/>
      <c r="CI56" s="83"/>
      <c r="CK56" s="53"/>
      <c r="CL56" s="83"/>
      <c r="CN56" s="223" t="str">
        <f>'JPY Market Data'!BP57</f>
        <v/>
      </c>
      <c r="CO56" s="263" t="str">
        <f>'JPY Market Data'!BT57</f>
        <v/>
      </c>
      <c r="CQ56" s="12"/>
      <c r="CR56" s="83"/>
      <c r="CT56" s="53"/>
      <c r="CU56" s="83"/>
      <c r="CW56" s="53"/>
      <c r="CX56" s="83"/>
      <c r="CZ56" s="53"/>
      <c r="DA56" s="83"/>
    </row>
    <row r="57" spans="2:105">
      <c r="B57" s="59"/>
      <c r="C57" s="121"/>
      <c r="D57" s="122"/>
      <c r="E57" s="123"/>
      <c r="L57" s="203"/>
      <c r="M57" s="223" t="str">
        <f>'JPY Market Data'!B58</f>
        <v/>
      </c>
      <c r="N57" s="224" t="str">
        <f>'JPY Market Data'!F58</f>
        <v/>
      </c>
      <c r="O57" s="85"/>
      <c r="P57" s="85"/>
      <c r="Q57" s="86" t="b">
        <f t="shared" si="0"/>
        <v>0</v>
      </c>
      <c r="S57" s="92"/>
      <c r="T57" s="93"/>
      <c r="Y57" s="229" t="str">
        <f>'JPY Market Data'!H58</f>
        <v/>
      </c>
      <c r="Z57" s="239" t="str">
        <f>'JPY Market Data'!L58</f>
        <v/>
      </c>
      <c r="AE57" s="229" t="str">
        <f>'JPY Market Data'!N58</f>
        <v/>
      </c>
      <c r="AF57" s="230" t="str">
        <f>'JPY Market Data'!R58</f>
        <v/>
      </c>
      <c r="AH57" s="12"/>
      <c r="AI57" s="83"/>
      <c r="AK57" s="51"/>
      <c r="AL57" s="33"/>
      <c r="AN57" s="259" t="str">
        <f>'JPY Market Data'!AF38</f>
        <v/>
      </c>
      <c r="AO57" s="260" t="str">
        <f>'JPY Market Data'!AJ38</f>
        <v/>
      </c>
      <c r="AQ57" s="47"/>
      <c r="AR57" s="48"/>
      <c r="AS57" s="48"/>
      <c r="AT57" s="48"/>
      <c r="AU57" s="142"/>
      <c r="AW57" s="53"/>
      <c r="AX57" s="16"/>
      <c r="AZ57" s="259" t="str">
        <f>'JPY Market Data'!AR58</f>
        <v/>
      </c>
      <c r="BA57" s="312" t="str">
        <f>'JPY Market Data'!AV58</f>
        <v/>
      </c>
      <c r="BB57" s="80" t="b">
        <f t="shared" si="1"/>
        <v>0</v>
      </c>
      <c r="BC57" s="6"/>
      <c r="BD57" s="12"/>
      <c r="BE57" s="83"/>
      <c r="BG57" s="53"/>
      <c r="BH57" s="16"/>
      <c r="BJ57" s="223" t="str">
        <f>'JPY Market Data'!AX58</f>
        <v/>
      </c>
      <c r="BK57" s="263" t="str">
        <f>'JPY Market Data'!BB58</f>
        <v/>
      </c>
      <c r="BM57" s="53"/>
      <c r="BN57" s="16"/>
      <c r="BP57" s="223" t="str">
        <f>'JPY Market Data'!BD58</f>
        <v/>
      </c>
      <c r="BQ57" s="263" t="str">
        <f>'JPY Market Data'!BH58</f>
        <v/>
      </c>
      <c r="BS57" s="53"/>
      <c r="BT57" s="16"/>
      <c r="BV57" s="84"/>
      <c r="BW57" s="98"/>
      <c r="BY57" s="12"/>
      <c r="BZ57" s="83"/>
      <c r="CB57" s="53"/>
      <c r="CC57" s="83"/>
      <c r="CE57" s="53"/>
      <c r="CF57" s="83"/>
      <c r="CH57" s="53"/>
      <c r="CI57" s="83"/>
      <c r="CK57" s="53"/>
      <c r="CL57" s="83"/>
      <c r="CN57" s="223" t="str">
        <f>'JPY Market Data'!BP58</f>
        <v/>
      </c>
      <c r="CO57" s="263" t="str">
        <f>'JPY Market Data'!BT58</f>
        <v/>
      </c>
      <c r="CQ57" s="12"/>
      <c r="CR57" s="83"/>
      <c r="CT57" s="53"/>
      <c r="CU57" s="83"/>
      <c r="CW57" s="53"/>
      <c r="CX57" s="83"/>
      <c r="CZ57" s="53"/>
      <c r="DA57" s="83"/>
    </row>
    <row r="58" spans="2:105">
      <c r="L58" s="203"/>
      <c r="M58" s="223" t="str">
        <f>'JPY Market Data'!B59</f>
        <v/>
      </c>
      <c r="N58" s="224" t="str">
        <f>'JPY Market Data'!F59</f>
        <v/>
      </c>
      <c r="O58" s="85"/>
      <c r="P58" s="85"/>
      <c r="Q58" s="86" t="b">
        <f t="shared" si="0"/>
        <v>0</v>
      </c>
      <c r="S58" s="92"/>
      <c r="T58" s="93"/>
      <c r="Y58" s="229" t="str">
        <f>'JPY Market Data'!H59</f>
        <v/>
      </c>
      <c r="Z58" s="239" t="str">
        <f>'JPY Market Data'!L59</f>
        <v/>
      </c>
      <c r="AE58" s="229" t="str">
        <f>'JPY Market Data'!N59</f>
        <v/>
      </c>
      <c r="AF58" s="230" t="str">
        <f>'JPY Market Data'!R59</f>
        <v/>
      </c>
      <c r="AH58" s="12"/>
      <c r="AI58" s="83"/>
      <c r="AK58" s="51"/>
      <c r="AL58" s="33"/>
      <c r="AN58" s="259" t="str">
        <f>'JPY Market Data'!AF39</f>
        <v/>
      </c>
      <c r="AO58" s="260" t="str">
        <f>'JPY Market Data'!AJ39</f>
        <v/>
      </c>
      <c r="AQ58" s="47"/>
      <c r="AR58" s="48"/>
      <c r="AS58" s="48"/>
      <c r="AT58" s="48"/>
      <c r="AU58" s="142"/>
      <c r="AW58" s="53"/>
      <c r="AX58" s="16"/>
      <c r="AZ58" s="259" t="str">
        <f>'JPY Market Data'!AR59</f>
        <v/>
      </c>
      <c r="BA58" s="312" t="str">
        <f>'JPY Market Data'!AV59</f>
        <v/>
      </c>
      <c r="BB58" s="80" t="b">
        <f t="shared" si="1"/>
        <v>0</v>
      </c>
      <c r="BC58" s="6"/>
      <c r="BD58" s="12"/>
      <c r="BE58" s="83"/>
      <c r="BG58" s="53"/>
      <c r="BH58" s="16"/>
      <c r="BJ58" s="223" t="str">
        <f>'JPY Market Data'!AX59</f>
        <v/>
      </c>
      <c r="BK58" s="263" t="str">
        <f>'JPY Market Data'!BB59</f>
        <v/>
      </c>
      <c r="BM58" s="53"/>
      <c r="BN58" s="16"/>
      <c r="BP58" s="223" t="str">
        <f>'JPY Market Data'!BD59</f>
        <v/>
      </c>
      <c r="BQ58" s="263" t="str">
        <f>'JPY Market Data'!BH59</f>
        <v/>
      </c>
      <c r="BS58" s="53"/>
      <c r="BT58" s="16"/>
      <c r="BV58" s="84"/>
      <c r="BW58" s="98"/>
      <c r="BY58" s="12"/>
      <c r="BZ58" s="83"/>
      <c r="CB58" s="53"/>
      <c r="CC58" s="83"/>
      <c r="CE58" s="53"/>
      <c r="CF58" s="83"/>
      <c r="CH58" s="53"/>
      <c r="CI58" s="83"/>
      <c r="CK58" s="53"/>
      <c r="CL58" s="83"/>
      <c r="CN58" s="223" t="str">
        <f>'JPY Market Data'!BP59</f>
        <v/>
      </c>
      <c r="CO58" s="263" t="str">
        <f>'JPY Market Data'!BT59</f>
        <v/>
      </c>
      <c r="CQ58" s="12"/>
      <c r="CR58" s="83"/>
      <c r="CT58" s="53"/>
      <c r="CU58" s="83"/>
      <c r="CW58" s="53"/>
      <c r="CX58" s="83"/>
      <c r="CZ58" s="53"/>
      <c r="DA58" s="83"/>
    </row>
    <row r="59" spans="2:105">
      <c r="B59" s="2" t="s">
        <v>312</v>
      </c>
      <c r="C59" s="9"/>
      <c r="L59" s="203"/>
      <c r="M59" s="223" t="str">
        <f>'JPY Market Data'!B60</f>
        <v/>
      </c>
      <c r="N59" s="224" t="str">
        <f>'JPY Market Data'!F60</f>
        <v/>
      </c>
      <c r="O59" s="85"/>
      <c r="P59" s="85"/>
      <c r="Q59" s="86" t="b">
        <f t="shared" si="0"/>
        <v>0</v>
      </c>
      <c r="S59" s="92"/>
      <c r="T59" s="93"/>
      <c r="Y59" s="229" t="str">
        <f>'JPY Market Data'!H60</f>
        <v/>
      </c>
      <c r="Z59" s="239" t="str">
        <f>'JPY Market Data'!L60</f>
        <v/>
      </c>
      <c r="AE59" s="229" t="str">
        <f>'JPY Market Data'!N60</f>
        <v/>
      </c>
      <c r="AF59" s="230" t="str">
        <f>'JPY Market Data'!R60</f>
        <v/>
      </c>
      <c r="AH59" s="12"/>
      <c r="AI59" s="83"/>
      <c r="AK59" s="51"/>
      <c r="AL59" s="33"/>
      <c r="AN59" s="259" t="str">
        <f>'JPY Market Data'!AF40</f>
        <v/>
      </c>
      <c r="AO59" s="260" t="str">
        <f>'JPY Market Data'!AJ40</f>
        <v/>
      </c>
      <c r="AQ59" s="47"/>
      <c r="AR59" s="48"/>
      <c r="AS59" s="48"/>
      <c r="AT59" s="48"/>
      <c r="AU59" s="142"/>
      <c r="AW59" s="53"/>
      <c r="AX59" s="16"/>
      <c r="AZ59" s="259" t="str">
        <f>'JPY Market Data'!AR60</f>
        <v/>
      </c>
      <c r="BA59" s="312" t="str">
        <f>'JPY Market Data'!AV60</f>
        <v/>
      </c>
      <c r="BB59" s="80" t="b">
        <f t="shared" si="1"/>
        <v>0</v>
      </c>
      <c r="BC59" s="6"/>
      <c r="BD59" s="12"/>
      <c r="BE59" s="83"/>
      <c r="BG59" s="53"/>
      <c r="BH59" s="16"/>
      <c r="BJ59" s="223" t="str">
        <f>'JPY Market Data'!AX60</f>
        <v/>
      </c>
      <c r="BK59" s="263" t="str">
        <f>'JPY Market Data'!BB60</f>
        <v/>
      </c>
      <c r="BM59" s="53"/>
      <c r="BN59" s="16"/>
      <c r="BP59" s="223" t="str">
        <f>'JPY Market Data'!BD60</f>
        <v/>
      </c>
      <c r="BQ59" s="263" t="str">
        <f>'JPY Market Data'!BH60</f>
        <v/>
      </c>
      <c r="BS59" s="53"/>
      <c r="BT59" s="16"/>
      <c r="BV59" s="84"/>
      <c r="BW59" s="98"/>
      <c r="BY59" s="12"/>
      <c r="BZ59" s="83"/>
      <c r="CB59" s="53"/>
      <c r="CC59" s="83"/>
      <c r="CE59" s="53"/>
      <c r="CF59" s="83"/>
      <c r="CH59" s="53"/>
      <c r="CI59" s="83"/>
      <c r="CK59" s="53"/>
      <c r="CL59" s="83"/>
      <c r="CN59" s="223" t="str">
        <f>'JPY Market Data'!BP60</f>
        <v/>
      </c>
      <c r="CO59" s="263" t="str">
        <f>'JPY Market Data'!BT60</f>
        <v/>
      </c>
      <c r="CQ59" s="12"/>
      <c r="CR59" s="83"/>
      <c r="CT59" s="53"/>
      <c r="CU59" s="83"/>
      <c r="CW59" s="53"/>
      <c r="CX59" s="83"/>
      <c r="CZ59" s="53"/>
      <c r="DA59" s="83"/>
    </row>
    <row r="60" spans="2:105">
      <c r="B60" s="52" t="s">
        <v>189</v>
      </c>
      <c r="C60" s="112" t="s">
        <v>198</v>
      </c>
      <c r="D60" s="113"/>
      <c r="E60" s="114"/>
      <c r="L60" s="203"/>
      <c r="M60" s="223" t="str">
        <f>'JPY Market Data'!B61</f>
        <v/>
      </c>
      <c r="N60" s="224" t="str">
        <f>'JPY Market Data'!F61</f>
        <v/>
      </c>
      <c r="O60" s="85"/>
      <c r="P60" s="85"/>
      <c r="Q60" s="86" t="b">
        <f t="shared" si="0"/>
        <v>0</v>
      </c>
      <c r="S60" s="92"/>
      <c r="T60" s="93"/>
      <c r="Y60" s="229" t="str">
        <f>'JPY Market Data'!H61</f>
        <v/>
      </c>
      <c r="Z60" s="239" t="str">
        <f>'JPY Market Data'!L61</f>
        <v/>
      </c>
      <c r="AE60" s="229" t="str">
        <f>'JPY Market Data'!N61</f>
        <v/>
      </c>
      <c r="AF60" s="230" t="str">
        <f>'JPY Market Data'!R61</f>
        <v/>
      </c>
      <c r="AH60" s="12"/>
      <c r="AI60" s="83"/>
      <c r="AK60" s="51"/>
      <c r="AL60" s="33"/>
      <c r="AN60" s="259" t="str">
        <f>'JPY Market Data'!AF41</f>
        <v/>
      </c>
      <c r="AO60" s="260" t="str">
        <f>'JPY Market Data'!AJ41</f>
        <v/>
      </c>
      <c r="AQ60" s="47"/>
      <c r="AR60" s="48"/>
      <c r="AS60" s="48"/>
      <c r="AT60" s="48"/>
      <c r="AU60" s="142"/>
      <c r="AW60" s="53"/>
      <c r="AX60" s="16"/>
      <c r="AZ60" s="259" t="str">
        <f>'JPY Market Data'!AR61</f>
        <v/>
      </c>
      <c r="BA60" s="312" t="str">
        <f>'JPY Market Data'!AV61</f>
        <v/>
      </c>
      <c r="BB60" s="80" t="b">
        <f t="shared" si="1"/>
        <v>0</v>
      </c>
      <c r="BC60" s="6"/>
      <c r="BD60" s="12"/>
      <c r="BE60" s="83"/>
      <c r="BG60" s="53"/>
      <c r="BH60" s="16"/>
      <c r="BJ60" s="223" t="str">
        <f>'JPY Market Data'!AX61</f>
        <v/>
      </c>
      <c r="BK60" s="263" t="str">
        <f>'JPY Market Data'!BB61</f>
        <v/>
      </c>
      <c r="BM60" s="53"/>
      <c r="BN60" s="16"/>
      <c r="BP60" s="223" t="str">
        <f>'JPY Market Data'!BD61</f>
        <v/>
      </c>
      <c r="BQ60" s="263" t="str">
        <f>'JPY Market Data'!BH61</f>
        <v/>
      </c>
      <c r="BS60" s="53"/>
      <c r="BT60" s="16"/>
      <c r="BV60" s="84"/>
      <c r="BW60" s="98"/>
      <c r="BY60" s="12"/>
      <c r="BZ60" s="83"/>
      <c r="CB60" s="53"/>
      <c r="CC60" s="83"/>
      <c r="CE60" s="53"/>
      <c r="CF60" s="83"/>
      <c r="CH60" s="53"/>
      <c r="CI60" s="83"/>
      <c r="CK60" s="53"/>
      <c r="CL60" s="83"/>
      <c r="CN60" s="223" t="str">
        <f>'JPY Market Data'!BP61</f>
        <v/>
      </c>
      <c r="CO60" s="263" t="str">
        <f>'JPY Market Data'!BT61</f>
        <v/>
      </c>
      <c r="CQ60" s="12"/>
      <c r="CR60" s="83"/>
      <c r="CT60" s="53"/>
      <c r="CU60" s="83"/>
      <c r="CW60" s="53"/>
      <c r="CX60" s="83"/>
      <c r="CZ60" s="53"/>
      <c r="DA60" s="83"/>
    </row>
    <row r="61" spans="2:105">
      <c r="B61" s="53" t="s">
        <v>61</v>
      </c>
      <c r="C61" s="115" t="s">
        <v>296</v>
      </c>
      <c r="D61" s="116"/>
      <c r="E61" s="117"/>
      <c r="L61" s="203"/>
      <c r="M61" s="223" t="str">
        <f>'JPY Market Data'!B62</f>
        <v/>
      </c>
      <c r="N61" s="224" t="str">
        <f>'JPY Market Data'!F62</f>
        <v/>
      </c>
      <c r="O61" s="85"/>
      <c r="P61" s="85"/>
      <c r="Q61" s="86" t="b">
        <f t="shared" si="0"/>
        <v>0</v>
      </c>
      <c r="S61" s="92"/>
      <c r="T61" s="93"/>
      <c r="Y61" s="229" t="str">
        <f>'JPY Market Data'!H62</f>
        <v/>
      </c>
      <c r="Z61" s="239" t="str">
        <f>'JPY Market Data'!L62</f>
        <v/>
      </c>
      <c r="AE61" s="229" t="str">
        <f>'JPY Market Data'!N62</f>
        <v/>
      </c>
      <c r="AF61" s="230" t="str">
        <f>'JPY Market Data'!R62</f>
        <v/>
      </c>
      <c r="AH61" s="12"/>
      <c r="AI61" s="83"/>
      <c r="AK61" s="51"/>
      <c r="AL61" s="33"/>
      <c r="AN61" s="259" t="str">
        <f>'JPY Market Data'!AF42</f>
        <v/>
      </c>
      <c r="AO61" s="260" t="str">
        <f>'JPY Market Data'!AJ42</f>
        <v/>
      </c>
      <c r="AQ61" s="47"/>
      <c r="AR61" s="48"/>
      <c r="AS61" s="48"/>
      <c r="AT61" s="48"/>
      <c r="AU61" s="142"/>
      <c r="AW61" s="53"/>
      <c r="AX61" s="16"/>
      <c r="AZ61" s="259" t="str">
        <f>'JPY Market Data'!AR62</f>
        <v/>
      </c>
      <c r="BA61" s="312" t="str">
        <f>'JPY Market Data'!AV62</f>
        <v/>
      </c>
      <c r="BB61" s="80" t="b">
        <f t="shared" si="1"/>
        <v>0</v>
      </c>
      <c r="BC61" s="6"/>
      <c r="BD61" s="12"/>
      <c r="BE61" s="83"/>
      <c r="BG61" s="53"/>
      <c r="BH61" s="16"/>
      <c r="BJ61" s="223" t="str">
        <f>'JPY Market Data'!AX62</f>
        <v/>
      </c>
      <c r="BK61" s="263" t="str">
        <f>'JPY Market Data'!BB62</f>
        <v/>
      </c>
      <c r="BM61" s="53"/>
      <c r="BN61" s="16"/>
      <c r="BP61" s="223" t="str">
        <f>'JPY Market Data'!BD62</f>
        <v/>
      </c>
      <c r="BQ61" s="263" t="str">
        <f>'JPY Market Data'!BH62</f>
        <v/>
      </c>
      <c r="BS61" s="53"/>
      <c r="BT61" s="16"/>
      <c r="BV61" s="84"/>
      <c r="BW61" s="98"/>
      <c r="BY61" s="12"/>
      <c r="BZ61" s="83"/>
      <c r="CB61" s="53"/>
      <c r="CC61" s="83"/>
      <c r="CE61" s="53"/>
      <c r="CF61" s="83"/>
      <c r="CH61" s="53"/>
      <c r="CI61" s="83"/>
      <c r="CK61" s="53"/>
      <c r="CL61" s="83"/>
      <c r="CN61" s="223" t="str">
        <f>'JPY Market Data'!BP62</f>
        <v/>
      </c>
      <c r="CO61" s="263" t="str">
        <f>'JPY Market Data'!BT62</f>
        <v/>
      </c>
      <c r="CQ61" s="12"/>
      <c r="CR61" s="83"/>
      <c r="CT61" s="53"/>
      <c r="CU61" s="83"/>
      <c r="CW61" s="53"/>
      <c r="CX61" s="83"/>
      <c r="CZ61" s="53"/>
      <c r="DA61" s="83"/>
    </row>
    <row r="62" spans="2:105">
      <c r="B62" s="53" t="s">
        <v>194</v>
      </c>
      <c r="C62" s="118" t="s">
        <v>297</v>
      </c>
      <c r="D62" s="119"/>
      <c r="E62" s="120"/>
      <c r="L62" s="203"/>
      <c r="M62" s="223" t="str">
        <f>'JPY Market Data'!B63</f>
        <v/>
      </c>
      <c r="N62" s="224" t="str">
        <f>'JPY Market Data'!F63</f>
        <v/>
      </c>
      <c r="O62" s="85"/>
      <c r="P62" s="85"/>
      <c r="Q62" s="86" t="b">
        <f t="shared" si="0"/>
        <v>0</v>
      </c>
      <c r="S62" s="92"/>
      <c r="T62" s="93"/>
      <c r="Y62" s="229" t="str">
        <f>'JPY Market Data'!H63</f>
        <v/>
      </c>
      <c r="Z62" s="239" t="str">
        <f>'JPY Market Data'!L63</f>
        <v/>
      </c>
      <c r="AE62" s="229" t="str">
        <f>'JPY Market Data'!N63</f>
        <v/>
      </c>
      <c r="AF62" s="230" t="str">
        <f>'JPY Market Data'!R63</f>
        <v/>
      </c>
      <c r="AH62" s="12"/>
      <c r="AI62" s="83"/>
      <c r="AK62" s="51"/>
      <c r="AL62" s="33"/>
      <c r="AN62" s="259" t="str">
        <f>'JPY Market Data'!AF43</f>
        <v/>
      </c>
      <c r="AO62" s="260" t="str">
        <f>'JPY Market Data'!AJ43</f>
        <v/>
      </c>
      <c r="AQ62" s="47"/>
      <c r="AR62" s="48"/>
      <c r="AS62" s="48"/>
      <c r="AT62" s="48"/>
      <c r="AU62" s="142"/>
      <c r="AW62" s="53"/>
      <c r="AX62" s="16"/>
      <c r="AZ62" s="259" t="str">
        <f>'JPY Market Data'!AR63</f>
        <v/>
      </c>
      <c r="BA62" s="312" t="str">
        <f>'JPY Market Data'!AV63</f>
        <v/>
      </c>
      <c r="BB62" s="80" t="b">
        <f t="shared" si="1"/>
        <v>0</v>
      </c>
      <c r="BC62" s="6"/>
      <c r="BD62" s="12"/>
      <c r="BE62" s="83"/>
      <c r="BG62" s="53"/>
      <c r="BH62" s="16"/>
      <c r="BJ62" s="223" t="str">
        <f>'JPY Market Data'!AX63</f>
        <v/>
      </c>
      <c r="BK62" s="263" t="str">
        <f>'JPY Market Data'!BB63</f>
        <v/>
      </c>
      <c r="BM62" s="53"/>
      <c r="BN62" s="16"/>
      <c r="BP62" s="223" t="str">
        <f>'JPY Market Data'!BD63</f>
        <v/>
      </c>
      <c r="BQ62" s="263" t="str">
        <f>'JPY Market Data'!BH63</f>
        <v/>
      </c>
      <c r="BS62" s="53"/>
      <c r="BT62" s="16"/>
      <c r="BV62" s="84"/>
      <c r="BW62" s="98"/>
      <c r="BY62" s="12"/>
      <c r="BZ62" s="83"/>
      <c r="CB62" s="53"/>
      <c r="CC62" s="83"/>
      <c r="CE62" s="53"/>
      <c r="CF62" s="83"/>
      <c r="CH62" s="53"/>
      <c r="CI62" s="83"/>
      <c r="CK62" s="53"/>
      <c r="CL62" s="83"/>
      <c r="CN62" s="223" t="str">
        <f>'JPY Market Data'!BP63</f>
        <v/>
      </c>
      <c r="CO62" s="263" t="str">
        <f>'JPY Market Data'!BT63</f>
        <v/>
      </c>
      <c r="CQ62" s="12"/>
      <c r="CR62" s="83"/>
      <c r="CT62" s="53"/>
      <c r="CU62" s="83"/>
      <c r="CW62" s="53"/>
      <c r="CX62" s="83"/>
      <c r="CZ62" s="53"/>
      <c r="DA62" s="83"/>
    </row>
    <row r="63" spans="2:105">
      <c r="B63" s="53" t="s">
        <v>199</v>
      </c>
      <c r="C63" s="118" t="s">
        <v>337</v>
      </c>
      <c r="D63" s="119"/>
      <c r="E63" s="120"/>
      <c r="L63" s="203"/>
      <c r="M63" s="223" t="str">
        <f>'JPY Market Data'!B64</f>
        <v/>
      </c>
      <c r="N63" s="224" t="str">
        <f>'JPY Market Data'!F64</f>
        <v/>
      </c>
      <c r="O63" s="85"/>
      <c r="P63" s="85"/>
      <c r="Q63" s="86" t="b">
        <f t="shared" si="0"/>
        <v>0</v>
      </c>
      <c r="S63" s="92"/>
      <c r="T63" s="93"/>
      <c r="Y63" s="229" t="str">
        <f>'JPY Market Data'!H64</f>
        <v/>
      </c>
      <c r="Z63" s="239" t="str">
        <f>'JPY Market Data'!L64</f>
        <v/>
      </c>
      <c r="AE63" s="229" t="str">
        <f>'JPY Market Data'!N64</f>
        <v/>
      </c>
      <c r="AF63" s="230" t="str">
        <f>'JPY Market Data'!R64</f>
        <v/>
      </c>
      <c r="AH63" s="12"/>
      <c r="AI63" s="83"/>
      <c r="AK63" s="51"/>
      <c r="AL63" s="33"/>
      <c r="AN63" s="259" t="str">
        <f>'JPY Market Data'!AF44</f>
        <v/>
      </c>
      <c r="AO63" s="260" t="str">
        <f>'JPY Market Data'!AJ44</f>
        <v/>
      </c>
      <c r="AQ63" s="47"/>
      <c r="AR63" s="48"/>
      <c r="AS63" s="48"/>
      <c r="AT63" s="48"/>
      <c r="AU63" s="142"/>
      <c r="AW63" s="53"/>
      <c r="AX63" s="16"/>
      <c r="AZ63" s="259" t="str">
        <f>'JPY Market Data'!AR64</f>
        <v/>
      </c>
      <c r="BA63" s="312" t="str">
        <f>'JPY Market Data'!AV64</f>
        <v/>
      </c>
      <c r="BB63" s="80" t="b">
        <f t="shared" si="1"/>
        <v>0</v>
      </c>
      <c r="BC63" s="6"/>
      <c r="BD63" s="12"/>
      <c r="BE63" s="83"/>
      <c r="BG63" s="53"/>
      <c r="BH63" s="16"/>
      <c r="BJ63" s="223" t="str">
        <f>'JPY Market Data'!AX64</f>
        <v/>
      </c>
      <c r="BK63" s="263" t="str">
        <f>'JPY Market Data'!BB64</f>
        <v/>
      </c>
      <c r="BM63" s="53"/>
      <c r="BN63" s="16"/>
      <c r="BP63" s="223" t="str">
        <f>'JPY Market Data'!BD64</f>
        <v/>
      </c>
      <c r="BQ63" s="263" t="str">
        <f>'JPY Market Data'!BH64</f>
        <v/>
      </c>
      <c r="BS63" s="53"/>
      <c r="BT63" s="16"/>
      <c r="BV63" s="84"/>
      <c r="BW63" s="98"/>
      <c r="BY63" s="12"/>
      <c r="BZ63" s="83"/>
      <c r="CB63" s="53"/>
      <c r="CC63" s="83"/>
      <c r="CE63" s="53"/>
      <c r="CF63" s="83"/>
      <c r="CH63" s="53"/>
      <c r="CI63" s="83"/>
      <c r="CK63" s="53"/>
      <c r="CL63" s="83"/>
      <c r="CN63" s="223" t="str">
        <f>'JPY Market Data'!BP64</f>
        <v/>
      </c>
      <c r="CO63" s="263" t="str">
        <f>'JPY Market Data'!BT64</f>
        <v/>
      </c>
      <c r="CQ63" s="12"/>
      <c r="CR63" s="83"/>
      <c r="CT63" s="53"/>
      <c r="CU63" s="83"/>
      <c r="CW63" s="53"/>
      <c r="CX63" s="83"/>
      <c r="CZ63" s="53"/>
      <c r="DA63" s="83"/>
    </row>
    <row r="64" spans="2:105">
      <c r="B64" s="53" t="s">
        <v>269</v>
      </c>
      <c r="C64" s="118" t="s">
        <v>298</v>
      </c>
      <c r="D64" s="119"/>
      <c r="E64" s="120"/>
      <c r="L64" s="203"/>
      <c r="M64" s="223" t="str">
        <f>'JPY Market Data'!B65</f>
        <v/>
      </c>
      <c r="N64" s="224" t="str">
        <f>'JPY Market Data'!F65</f>
        <v/>
      </c>
      <c r="O64" s="85"/>
      <c r="P64" s="85"/>
      <c r="Q64" s="86" t="b">
        <f t="shared" si="0"/>
        <v>0</v>
      </c>
      <c r="S64" s="92"/>
      <c r="T64" s="93"/>
      <c r="Y64" s="229" t="str">
        <f>'JPY Market Data'!H65</f>
        <v/>
      </c>
      <c r="Z64" s="239" t="str">
        <f>'JPY Market Data'!L65</f>
        <v/>
      </c>
      <c r="AE64" s="229" t="str">
        <f>'JPY Market Data'!N65</f>
        <v/>
      </c>
      <c r="AF64" s="230" t="str">
        <f>'JPY Market Data'!R65</f>
        <v/>
      </c>
      <c r="AH64" s="12"/>
      <c r="AI64" s="83"/>
      <c r="AK64" s="51"/>
      <c r="AL64" s="33"/>
      <c r="AN64" s="259" t="str">
        <f>'JPY Market Data'!AF45</f>
        <v/>
      </c>
      <c r="AO64" s="260" t="str">
        <f>'JPY Market Data'!AJ45</f>
        <v/>
      </c>
      <c r="AQ64" s="47"/>
      <c r="AR64" s="48"/>
      <c r="AS64" s="48"/>
      <c r="AT64" s="48"/>
      <c r="AU64" s="142"/>
      <c r="AW64" s="53"/>
      <c r="AX64" s="16"/>
      <c r="AZ64" s="259" t="str">
        <f>'JPY Market Data'!AR65</f>
        <v/>
      </c>
      <c r="BA64" s="312" t="str">
        <f>'JPY Market Data'!AV65</f>
        <v/>
      </c>
      <c r="BB64" s="80" t="b">
        <f t="shared" si="1"/>
        <v>0</v>
      </c>
      <c r="BC64" s="6"/>
      <c r="BD64" s="12"/>
      <c r="BE64" s="83"/>
      <c r="BG64" s="53"/>
      <c r="BH64" s="16"/>
      <c r="BJ64" s="223" t="str">
        <f>'JPY Market Data'!AX65</f>
        <v/>
      </c>
      <c r="BK64" s="263" t="str">
        <f>'JPY Market Data'!BB65</f>
        <v/>
      </c>
      <c r="BM64" s="53"/>
      <c r="BN64" s="16"/>
      <c r="BP64" s="223" t="str">
        <f>'JPY Market Data'!BD65</f>
        <v/>
      </c>
      <c r="BQ64" s="263" t="str">
        <f>'JPY Market Data'!BH65</f>
        <v/>
      </c>
      <c r="BS64" s="53"/>
      <c r="BT64" s="16"/>
      <c r="BV64" s="84"/>
      <c r="BW64" s="98"/>
      <c r="BY64" s="12"/>
      <c r="BZ64" s="83"/>
      <c r="CB64" s="53"/>
      <c r="CC64" s="83"/>
      <c r="CE64" s="53"/>
      <c r="CF64" s="83"/>
      <c r="CH64" s="53"/>
      <c r="CI64" s="83"/>
      <c r="CK64" s="53"/>
      <c r="CL64" s="83"/>
      <c r="CN64" s="223" t="str">
        <f>'JPY Market Data'!BP65</f>
        <v/>
      </c>
      <c r="CO64" s="263" t="str">
        <f>'JPY Market Data'!BT65</f>
        <v/>
      </c>
      <c r="CQ64" s="12"/>
      <c r="CR64" s="83"/>
      <c r="CT64" s="53"/>
      <c r="CU64" s="83"/>
      <c r="CW64" s="53"/>
      <c r="CX64" s="83"/>
      <c r="CZ64" s="53"/>
      <c r="DA64" s="83"/>
    </row>
    <row r="65" spans="1:105">
      <c r="B65" s="53" t="s">
        <v>196</v>
      </c>
      <c r="C65" s="118" t="s">
        <v>309</v>
      </c>
      <c r="D65" s="119"/>
      <c r="E65" s="120"/>
      <c r="L65" s="203"/>
      <c r="M65" s="223" t="str">
        <f>'JPY Market Data'!B66</f>
        <v/>
      </c>
      <c r="N65" s="224" t="str">
        <f>'JPY Market Data'!F66</f>
        <v/>
      </c>
      <c r="O65" s="85"/>
      <c r="P65" s="85"/>
      <c r="Q65" s="86" t="b">
        <f t="shared" si="0"/>
        <v>0</v>
      </c>
      <c r="S65" s="92"/>
      <c r="T65" s="93"/>
      <c r="Y65" s="229" t="str">
        <f>'JPY Market Data'!H66</f>
        <v/>
      </c>
      <c r="Z65" s="239" t="str">
        <f>'JPY Market Data'!L66</f>
        <v/>
      </c>
      <c r="AE65" s="229" t="str">
        <f>'JPY Market Data'!N66</f>
        <v/>
      </c>
      <c r="AF65" s="230" t="str">
        <f>'JPY Market Data'!R66</f>
        <v/>
      </c>
      <c r="AH65" s="12"/>
      <c r="AI65" s="83"/>
      <c r="AK65" s="51"/>
      <c r="AL65" s="33"/>
      <c r="AN65" s="259" t="str">
        <f>'JPY Market Data'!AF46</f>
        <v/>
      </c>
      <c r="AO65" s="260" t="str">
        <f>'JPY Market Data'!AJ46</f>
        <v/>
      </c>
      <c r="AQ65" s="47"/>
      <c r="AR65" s="48"/>
      <c r="AS65" s="48"/>
      <c r="AT65" s="48"/>
      <c r="AU65" s="142"/>
      <c r="AW65" s="53"/>
      <c r="AX65" s="16"/>
      <c r="AZ65" s="259" t="str">
        <f>'JPY Market Data'!AR66</f>
        <v/>
      </c>
      <c r="BA65" s="312" t="str">
        <f>'JPY Market Data'!AV66</f>
        <v/>
      </c>
      <c r="BB65" s="80" t="b">
        <f t="shared" si="1"/>
        <v>0</v>
      </c>
      <c r="BC65" s="6"/>
      <c r="BD65" s="12"/>
      <c r="BE65" s="83"/>
      <c r="BG65" s="53"/>
      <c r="BH65" s="16"/>
      <c r="BJ65" s="223" t="str">
        <f>'JPY Market Data'!AX66</f>
        <v/>
      </c>
      <c r="BK65" s="263" t="str">
        <f>'JPY Market Data'!BB66</f>
        <v/>
      </c>
      <c r="BM65" s="53"/>
      <c r="BN65" s="16"/>
      <c r="BP65" s="223" t="str">
        <f>'JPY Market Data'!BD66</f>
        <v/>
      </c>
      <c r="BQ65" s="263" t="str">
        <f>'JPY Market Data'!BH66</f>
        <v/>
      </c>
      <c r="BS65" s="53"/>
      <c r="BT65" s="16"/>
      <c r="BV65" s="84"/>
      <c r="BW65" s="98"/>
      <c r="BY65" s="12"/>
      <c r="BZ65" s="83"/>
      <c r="CB65" s="53"/>
      <c r="CC65" s="83"/>
      <c r="CE65" s="53"/>
      <c r="CF65" s="83"/>
      <c r="CH65" s="53"/>
      <c r="CI65" s="83"/>
      <c r="CK65" s="53"/>
      <c r="CL65" s="83"/>
      <c r="CN65" s="223" t="str">
        <f>'JPY Market Data'!BP66</f>
        <v/>
      </c>
      <c r="CO65" s="263" t="str">
        <f>'JPY Market Data'!BT66</f>
        <v/>
      </c>
      <c r="CQ65" s="12"/>
      <c r="CR65" s="83"/>
      <c r="CT65" s="53"/>
      <c r="CU65" s="83"/>
      <c r="CW65" s="53"/>
      <c r="CX65" s="83"/>
      <c r="CZ65" s="53"/>
      <c r="DA65" s="83"/>
    </row>
    <row r="66" spans="1:105">
      <c r="B66" s="53" t="s">
        <v>197</v>
      </c>
      <c r="C66" s="118" t="s">
        <v>299</v>
      </c>
      <c r="D66" s="119"/>
      <c r="E66" s="120"/>
      <c r="L66" s="203"/>
      <c r="M66" s="223" t="str">
        <f>'JPY Market Data'!B67</f>
        <v/>
      </c>
      <c r="N66" s="224" t="str">
        <f>'JPY Market Data'!F67</f>
        <v/>
      </c>
      <c r="O66" s="85"/>
      <c r="P66" s="85"/>
      <c r="Q66" s="86" t="b">
        <f t="shared" si="0"/>
        <v>0</v>
      </c>
      <c r="S66" s="92"/>
      <c r="T66" s="93"/>
      <c r="Y66" s="229" t="str">
        <f>'JPY Market Data'!H67</f>
        <v/>
      </c>
      <c r="Z66" s="239" t="str">
        <f>'JPY Market Data'!L67</f>
        <v/>
      </c>
      <c r="AE66" s="229" t="str">
        <f>'JPY Market Data'!N67</f>
        <v/>
      </c>
      <c r="AF66" s="230" t="str">
        <f>'JPY Market Data'!R67</f>
        <v/>
      </c>
      <c r="AH66" s="12"/>
      <c r="AI66" s="83"/>
      <c r="AK66" s="51"/>
      <c r="AL66" s="33"/>
      <c r="AN66" s="259" t="str">
        <f>'JPY Market Data'!AF47</f>
        <v/>
      </c>
      <c r="AO66" s="260" t="str">
        <f>'JPY Market Data'!AJ47</f>
        <v/>
      </c>
      <c r="AQ66" s="47"/>
      <c r="AR66" s="48"/>
      <c r="AS66" s="48"/>
      <c r="AT66" s="48"/>
      <c r="AU66" s="142"/>
      <c r="AW66" s="53"/>
      <c r="AX66" s="16"/>
      <c r="AZ66" s="259" t="str">
        <f>'JPY Market Data'!AR67</f>
        <v/>
      </c>
      <c r="BA66" s="312" t="str">
        <f>'JPY Market Data'!AV67</f>
        <v/>
      </c>
      <c r="BB66" s="80" t="b">
        <f t="shared" si="1"/>
        <v>0</v>
      </c>
      <c r="BC66" s="6"/>
      <c r="BD66" s="12"/>
      <c r="BE66" s="83"/>
      <c r="BG66" s="53"/>
      <c r="BH66" s="16"/>
      <c r="BJ66" s="223" t="str">
        <f>'JPY Market Data'!AX67</f>
        <v/>
      </c>
      <c r="BK66" s="263" t="str">
        <f>'JPY Market Data'!BB67</f>
        <v/>
      </c>
      <c r="BM66" s="53"/>
      <c r="BN66" s="16"/>
      <c r="BP66" s="223" t="str">
        <f>'JPY Market Data'!BD67</f>
        <v/>
      </c>
      <c r="BQ66" s="263" t="str">
        <f>'JPY Market Data'!BH67</f>
        <v/>
      </c>
      <c r="BS66" s="53"/>
      <c r="BT66" s="16"/>
      <c r="BV66" s="84"/>
      <c r="BW66" s="98"/>
      <c r="BY66" s="12"/>
      <c r="BZ66" s="83"/>
      <c r="CB66" s="53"/>
      <c r="CC66" s="83"/>
      <c r="CE66" s="53"/>
      <c r="CF66" s="83"/>
      <c r="CH66" s="53"/>
      <c r="CI66" s="83"/>
      <c r="CK66" s="53"/>
      <c r="CL66" s="83"/>
      <c r="CN66" s="223" t="str">
        <f>'JPY Market Data'!BP67</f>
        <v/>
      </c>
      <c r="CO66" s="263" t="str">
        <f>'JPY Market Data'!BT67</f>
        <v/>
      </c>
      <c r="CQ66" s="12"/>
      <c r="CR66" s="83"/>
      <c r="CT66" s="53"/>
      <c r="CU66" s="83"/>
      <c r="CW66" s="53"/>
      <c r="CX66" s="83"/>
      <c r="CZ66" s="53"/>
      <c r="DA66" s="83"/>
    </row>
    <row r="67" spans="1:105">
      <c r="B67" s="59"/>
      <c r="C67" s="121"/>
      <c r="D67" s="122"/>
      <c r="E67" s="123"/>
      <c r="L67" s="203"/>
      <c r="M67" s="223" t="str">
        <f>'JPY Market Data'!B68</f>
        <v/>
      </c>
      <c r="N67" s="224" t="str">
        <f>'JPY Market Data'!F68</f>
        <v/>
      </c>
      <c r="O67" s="85"/>
      <c r="P67" s="85"/>
      <c r="Q67" s="86" t="b">
        <f t="shared" si="0"/>
        <v>0</v>
      </c>
      <c r="S67" s="92"/>
      <c r="T67" s="93"/>
      <c r="Y67" s="229" t="str">
        <f>'JPY Market Data'!H68</f>
        <v/>
      </c>
      <c r="Z67" s="239" t="str">
        <f>'JPY Market Data'!L68</f>
        <v/>
      </c>
      <c r="AE67" s="229" t="str">
        <f>'JPY Market Data'!N68</f>
        <v/>
      </c>
      <c r="AF67" s="230" t="str">
        <f>'JPY Market Data'!R68</f>
        <v/>
      </c>
      <c r="AH67" s="12"/>
      <c r="AI67" s="83"/>
      <c r="AK67" s="51"/>
      <c r="AL67" s="33"/>
      <c r="AN67" s="259" t="str">
        <f>'JPY Market Data'!AF48</f>
        <v/>
      </c>
      <c r="AO67" s="260" t="str">
        <f>'JPY Market Data'!AJ48</f>
        <v/>
      </c>
      <c r="AQ67" s="47"/>
      <c r="AR67" s="48"/>
      <c r="AS67" s="48"/>
      <c r="AT67" s="48"/>
      <c r="AU67" s="142"/>
      <c r="AW67" s="53"/>
      <c r="AX67" s="16"/>
      <c r="AZ67" s="259" t="str">
        <f>'JPY Market Data'!AR68</f>
        <v/>
      </c>
      <c r="BA67" s="312" t="str">
        <f>'JPY Market Data'!AV68</f>
        <v/>
      </c>
      <c r="BB67" s="80" t="b">
        <f t="shared" si="1"/>
        <v>0</v>
      </c>
      <c r="BC67" s="6"/>
      <c r="BD67" s="12"/>
      <c r="BE67" s="83"/>
      <c r="BG67" s="53"/>
      <c r="BH67" s="16"/>
      <c r="BJ67" s="223" t="str">
        <f>'JPY Market Data'!AX68</f>
        <v/>
      </c>
      <c r="BK67" s="263" t="str">
        <f>'JPY Market Data'!BB68</f>
        <v/>
      </c>
      <c r="BM67" s="53"/>
      <c r="BN67" s="16"/>
      <c r="BP67" s="223" t="str">
        <f>'JPY Market Data'!BD68</f>
        <v/>
      </c>
      <c r="BQ67" s="263" t="str">
        <f>'JPY Market Data'!BH68</f>
        <v/>
      </c>
      <c r="BS67" s="53"/>
      <c r="BT67" s="16"/>
      <c r="BV67" s="84"/>
      <c r="BW67" s="98"/>
      <c r="BY67" s="12"/>
      <c r="BZ67" s="83"/>
      <c r="CB67" s="53"/>
      <c r="CC67" s="83"/>
      <c r="CE67" s="53"/>
      <c r="CF67" s="83"/>
      <c r="CH67" s="53"/>
      <c r="CI67" s="83"/>
      <c r="CK67" s="53"/>
      <c r="CL67" s="83"/>
      <c r="CN67" s="223" t="str">
        <f>'JPY Market Data'!BP68</f>
        <v/>
      </c>
      <c r="CO67" s="263" t="str">
        <f>'JPY Market Data'!BT68</f>
        <v/>
      </c>
      <c r="CQ67" s="12"/>
      <c r="CR67" s="83"/>
      <c r="CT67" s="53"/>
      <c r="CU67" s="83"/>
      <c r="CW67" s="53"/>
      <c r="CX67" s="83"/>
      <c r="CZ67" s="53"/>
      <c r="DA67" s="83"/>
    </row>
    <row r="68" spans="1:105">
      <c r="L68" s="203"/>
      <c r="M68" s="223" t="str">
        <f>'JPY Market Data'!B69</f>
        <v/>
      </c>
      <c r="N68" s="224" t="str">
        <f>'JPY Market Data'!F69</f>
        <v/>
      </c>
      <c r="O68" s="85"/>
      <c r="P68" s="85"/>
      <c r="Q68" s="86" t="b">
        <f t="shared" si="0"/>
        <v>0</v>
      </c>
      <c r="S68" s="92"/>
      <c r="T68" s="93"/>
      <c r="Y68" s="229" t="str">
        <f>'JPY Market Data'!H69</f>
        <v/>
      </c>
      <c r="Z68" s="239" t="str">
        <f>'JPY Market Data'!L69</f>
        <v/>
      </c>
      <c r="AE68" s="229" t="str">
        <f>'JPY Market Data'!N69</f>
        <v/>
      </c>
      <c r="AF68" s="230" t="str">
        <f>'JPY Market Data'!R69</f>
        <v/>
      </c>
      <c r="AH68" s="12"/>
      <c r="AI68" s="83"/>
      <c r="AK68" s="51"/>
      <c r="AL68" s="33"/>
      <c r="AN68" s="259" t="str">
        <f>'JPY Market Data'!AF49</f>
        <v/>
      </c>
      <c r="AO68" s="260" t="str">
        <f>'JPY Market Data'!AJ49</f>
        <v/>
      </c>
      <c r="AQ68" s="47"/>
      <c r="AR68" s="48"/>
      <c r="AS68" s="48"/>
      <c r="AT68" s="48"/>
      <c r="AU68" s="142"/>
      <c r="AW68" s="53"/>
      <c r="AX68" s="16"/>
      <c r="AZ68" s="259" t="str">
        <f>'JPY Market Data'!AR69</f>
        <v/>
      </c>
      <c r="BA68" s="312" t="str">
        <f>'JPY Market Data'!AV69</f>
        <v/>
      </c>
      <c r="BB68" s="80" t="b">
        <f t="shared" si="1"/>
        <v>0</v>
      </c>
      <c r="BC68" s="6"/>
      <c r="BD68" s="12"/>
      <c r="BE68" s="83"/>
      <c r="BG68" s="53"/>
      <c r="BH68" s="16"/>
      <c r="BJ68" s="223" t="str">
        <f>'JPY Market Data'!AX69</f>
        <v/>
      </c>
      <c r="BK68" s="263" t="str">
        <f>'JPY Market Data'!BB69</f>
        <v/>
      </c>
      <c r="BM68" s="53"/>
      <c r="BN68" s="16"/>
      <c r="BP68" s="223" t="str">
        <f>'JPY Market Data'!BD69</f>
        <v/>
      </c>
      <c r="BQ68" s="263" t="str">
        <f>'JPY Market Data'!BH69</f>
        <v/>
      </c>
      <c r="BS68" s="53"/>
      <c r="BT68" s="16"/>
      <c r="BV68" s="84"/>
      <c r="BW68" s="98"/>
      <c r="BY68" s="12"/>
      <c r="BZ68" s="83"/>
      <c r="CB68" s="53"/>
      <c r="CC68" s="83"/>
      <c r="CE68" s="53"/>
      <c r="CF68" s="83"/>
      <c r="CH68" s="53"/>
      <c r="CI68" s="83"/>
      <c r="CK68" s="53"/>
      <c r="CL68" s="83"/>
      <c r="CN68" s="223" t="str">
        <f>'JPY Market Data'!BP69</f>
        <v/>
      </c>
      <c r="CO68" s="263" t="str">
        <f>'JPY Market Data'!BT69</f>
        <v/>
      </c>
      <c r="CQ68" s="12"/>
      <c r="CR68" s="83"/>
      <c r="CT68" s="53"/>
      <c r="CU68" s="83"/>
      <c r="CW68" s="53"/>
      <c r="CX68" s="83"/>
      <c r="CZ68" s="53"/>
      <c r="DA68" s="83"/>
    </row>
    <row r="69" spans="1:105">
      <c r="L69" s="203"/>
      <c r="M69" s="223" t="str">
        <f>'JPY Market Data'!B70</f>
        <v/>
      </c>
      <c r="N69" s="224" t="str">
        <f>'JPY Market Data'!F70</f>
        <v/>
      </c>
      <c r="O69" s="85"/>
      <c r="P69" s="85"/>
      <c r="Q69" s="86" t="b">
        <f t="shared" si="0"/>
        <v>0</v>
      </c>
      <c r="S69" s="92"/>
      <c r="T69" s="93"/>
      <c r="Y69" s="229" t="str">
        <f>'JPY Market Data'!H70</f>
        <v/>
      </c>
      <c r="Z69" s="239" t="str">
        <f>'JPY Market Data'!L70</f>
        <v/>
      </c>
      <c r="AE69" s="229" t="str">
        <f>'JPY Market Data'!N70</f>
        <v/>
      </c>
      <c r="AF69" s="230" t="str">
        <f>'JPY Market Data'!R70</f>
        <v/>
      </c>
      <c r="AH69" s="12"/>
      <c r="AI69" s="83"/>
      <c r="AK69" s="51"/>
      <c r="AL69" s="33"/>
      <c r="AN69" s="259" t="str">
        <f>'JPY Market Data'!AF50</f>
        <v/>
      </c>
      <c r="AO69" s="260" t="str">
        <f>'JPY Market Data'!AJ50</f>
        <v/>
      </c>
      <c r="AQ69" s="47"/>
      <c r="AR69" s="48"/>
      <c r="AS69" s="48"/>
      <c r="AT69" s="48"/>
      <c r="AU69" s="142"/>
      <c r="AW69" s="53"/>
      <c r="AX69" s="16"/>
      <c r="AZ69" s="259" t="str">
        <f>'JPY Market Data'!AR70</f>
        <v/>
      </c>
      <c r="BA69" s="312" t="str">
        <f>'JPY Market Data'!AV70</f>
        <v/>
      </c>
      <c r="BB69" s="80" t="b">
        <f t="shared" si="1"/>
        <v>0</v>
      </c>
      <c r="BC69" s="6"/>
      <c r="BD69" s="12"/>
      <c r="BE69" s="83"/>
      <c r="BG69" s="53"/>
      <c r="BH69" s="16"/>
      <c r="BJ69" s="223" t="str">
        <f>'JPY Market Data'!AX70</f>
        <v/>
      </c>
      <c r="BK69" s="263" t="str">
        <f>'JPY Market Data'!BB70</f>
        <v/>
      </c>
      <c r="BM69" s="53"/>
      <c r="BN69" s="16"/>
      <c r="BP69" s="223" t="str">
        <f>'JPY Market Data'!BD70</f>
        <v/>
      </c>
      <c r="BQ69" s="263" t="str">
        <f>'JPY Market Data'!BH70</f>
        <v/>
      </c>
      <c r="BS69" s="53"/>
      <c r="BT69" s="16"/>
      <c r="BV69" s="84"/>
      <c r="BW69" s="98"/>
      <c r="BY69" s="12"/>
      <c r="BZ69" s="83"/>
      <c r="CB69" s="53"/>
      <c r="CC69" s="83"/>
      <c r="CE69" s="53"/>
      <c r="CF69" s="83"/>
      <c r="CH69" s="53"/>
      <c r="CI69" s="83"/>
      <c r="CK69" s="53"/>
      <c r="CL69" s="83"/>
      <c r="CN69" s="223" t="str">
        <f>'JPY Market Data'!BP70</f>
        <v/>
      </c>
      <c r="CO69" s="263" t="str">
        <f>'JPY Market Data'!BT70</f>
        <v/>
      </c>
      <c r="CQ69" s="12"/>
      <c r="CR69" s="83"/>
      <c r="CT69" s="53"/>
      <c r="CU69" s="83"/>
      <c r="CW69" s="53"/>
      <c r="CX69" s="83"/>
      <c r="CZ69" s="53"/>
      <c r="DA69" s="83"/>
    </row>
    <row r="70" spans="1:105">
      <c r="L70" s="203"/>
      <c r="M70" s="223" t="str">
        <f>'JPY Market Data'!B71</f>
        <v/>
      </c>
      <c r="N70" s="224" t="str">
        <f>'JPY Market Data'!F71</f>
        <v/>
      </c>
      <c r="O70" s="85"/>
      <c r="P70" s="85"/>
      <c r="Q70" s="86" t="b">
        <f t="shared" si="0"/>
        <v>0</v>
      </c>
      <c r="S70" s="92"/>
      <c r="T70" s="93"/>
      <c r="Y70" s="229" t="str">
        <f>'JPY Market Data'!H71</f>
        <v/>
      </c>
      <c r="Z70" s="239" t="str">
        <f>'JPY Market Data'!L71</f>
        <v/>
      </c>
      <c r="AE70" s="229" t="str">
        <f>'JPY Market Data'!N71</f>
        <v/>
      </c>
      <c r="AF70" s="230" t="str">
        <f>'JPY Market Data'!R71</f>
        <v/>
      </c>
      <c r="AH70" s="12"/>
      <c r="AI70" s="83"/>
      <c r="AK70" s="51"/>
      <c r="AL70" s="33"/>
      <c r="AN70" s="259" t="str">
        <f>'JPY Market Data'!AF51</f>
        <v/>
      </c>
      <c r="AO70" s="260" t="str">
        <f>'JPY Market Data'!AJ51</f>
        <v/>
      </c>
      <c r="AQ70" s="47"/>
      <c r="AR70" s="48"/>
      <c r="AS70" s="48"/>
      <c r="AT70" s="48"/>
      <c r="AU70" s="142"/>
      <c r="AW70" s="53"/>
      <c r="AX70" s="16"/>
      <c r="AZ70" s="259" t="str">
        <f>'JPY Market Data'!AR71</f>
        <v/>
      </c>
      <c r="BA70" s="312" t="str">
        <f>'JPY Market Data'!AV71</f>
        <v/>
      </c>
      <c r="BB70" s="80" t="b">
        <f t="shared" si="1"/>
        <v>0</v>
      </c>
      <c r="BC70" s="6"/>
      <c r="BD70" s="12"/>
      <c r="BE70" s="83"/>
      <c r="BG70" s="53"/>
      <c r="BH70" s="16"/>
      <c r="BJ70" s="223" t="str">
        <f>'JPY Market Data'!AX71</f>
        <v/>
      </c>
      <c r="BK70" s="263" t="str">
        <f>'JPY Market Data'!BB71</f>
        <v/>
      </c>
      <c r="BM70" s="53"/>
      <c r="BN70" s="16"/>
      <c r="BP70" s="223" t="str">
        <f>'JPY Market Data'!BD71</f>
        <v/>
      </c>
      <c r="BQ70" s="263" t="str">
        <f>'JPY Market Data'!BH71</f>
        <v/>
      </c>
      <c r="BS70" s="53"/>
      <c r="BT70" s="16"/>
      <c r="BV70" s="84"/>
      <c r="BW70" s="98"/>
      <c r="BY70" s="12"/>
      <c r="BZ70" s="83"/>
      <c r="CB70" s="53"/>
      <c r="CC70" s="83"/>
      <c r="CE70" s="53"/>
      <c r="CF70" s="83"/>
      <c r="CH70" s="53"/>
      <c r="CI70" s="83"/>
      <c r="CK70" s="53"/>
      <c r="CL70" s="83"/>
      <c r="CN70" s="223" t="str">
        <f>'JPY Market Data'!BP71</f>
        <v/>
      </c>
      <c r="CO70" s="263" t="str">
        <f>'JPY Market Data'!BT71</f>
        <v/>
      </c>
      <c r="CQ70" s="12"/>
      <c r="CR70" s="83"/>
      <c r="CT70" s="53"/>
      <c r="CU70" s="83"/>
      <c r="CW70" s="53"/>
      <c r="CX70" s="83"/>
      <c r="CZ70" s="53"/>
      <c r="DA70" s="83"/>
    </row>
    <row r="71" spans="1:105">
      <c r="L71" s="203"/>
      <c r="M71" s="223" t="str">
        <f>'JPY Market Data'!B72</f>
        <v/>
      </c>
      <c r="N71" s="224" t="str">
        <f>'JPY Market Data'!F72</f>
        <v/>
      </c>
      <c r="O71" s="85"/>
      <c r="P71" s="85"/>
      <c r="Q71" s="86" t="b">
        <f t="shared" si="0"/>
        <v>0</v>
      </c>
      <c r="S71" s="92"/>
      <c r="T71" s="93"/>
      <c r="Y71" s="229" t="str">
        <f>'JPY Market Data'!H72</f>
        <v/>
      </c>
      <c r="Z71" s="239" t="str">
        <f>'JPY Market Data'!L72</f>
        <v/>
      </c>
      <c r="AE71" s="229" t="str">
        <f>'JPY Market Data'!N72</f>
        <v/>
      </c>
      <c r="AF71" s="230" t="str">
        <f>'JPY Market Data'!R72</f>
        <v/>
      </c>
      <c r="AH71" s="12"/>
      <c r="AI71" s="83"/>
      <c r="AK71" s="51"/>
      <c r="AL71" s="33"/>
      <c r="AN71" s="259" t="str">
        <f>'JPY Market Data'!AF52</f>
        <v/>
      </c>
      <c r="AO71" s="260" t="str">
        <f>'JPY Market Data'!AJ52</f>
        <v/>
      </c>
      <c r="AQ71" s="47"/>
      <c r="AR71" s="48"/>
      <c r="AS71" s="48"/>
      <c r="AT71" s="48"/>
      <c r="AU71" s="142"/>
      <c r="AW71" s="53"/>
      <c r="AX71" s="16"/>
      <c r="AZ71" s="259" t="str">
        <f>'JPY Market Data'!AR72</f>
        <v/>
      </c>
      <c r="BA71" s="312" t="str">
        <f>'JPY Market Data'!AV72</f>
        <v/>
      </c>
      <c r="BB71" s="80" t="b">
        <f t="shared" si="1"/>
        <v>0</v>
      </c>
      <c r="BC71" s="6"/>
      <c r="BD71" s="12"/>
      <c r="BE71" s="83"/>
      <c r="BG71" s="53"/>
      <c r="BH71" s="16"/>
      <c r="BJ71" s="223" t="str">
        <f>'JPY Market Data'!AX72</f>
        <v/>
      </c>
      <c r="BK71" s="263" t="str">
        <f>'JPY Market Data'!BB72</f>
        <v/>
      </c>
      <c r="BM71" s="53"/>
      <c r="BN71" s="16"/>
      <c r="BP71" s="223" t="str">
        <f>'JPY Market Data'!BD72</f>
        <v/>
      </c>
      <c r="BQ71" s="263" t="str">
        <f>'JPY Market Data'!BH72</f>
        <v/>
      </c>
      <c r="BS71" s="53"/>
      <c r="BT71" s="16"/>
      <c r="BV71" s="84"/>
      <c r="BW71" s="98"/>
      <c r="BY71" s="12"/>
      <c r="BZ71" s="83"/>
      <c r="CB71" s="53"/>
      <c r="CC71" s="83"/>
      <c r="CE71" s="53"/>
      <c r="CF71" s="83"/>
      <c r="CH71" s="53"/>
      <c r="CI71" s="83"/>
      <c r="CK71" s="53"/>
      <c r="CL71" s="83"/>
      <c r="CN71" s="223" t="str">
        <f>'JPY Market Data'!BP72</f>
        <v/>
      </c>
      <c r="CO71" s="263" t="str">
        <f>'JPY Market Data'!BT72</f>
        <v/>
      </c>
      <c r="CQ71" s="12"/>
      <c r="CR71" s="83"/>
      <c r="CT71" s="53"/>
      <c r="CU71" s="83"/>
      <c r="CW71" s="53"/>
      <c r="CX71" s="83"/>
      <c r="CZ71" s="53"/>
      <c r="DA71" s="83"/>
    </row>
    <row r="72" spans="1:105">
      <c r="L72" s="203"/>
      <c r="M72" s="223" t="str">
        <f>'JPY Market Data'!B73</f>
        <v/>
      </c>
      <c r="N72" s="224" t="str">
        <f>'JPY Market Data'!F73</f>
        <v/>
      </c>
      <c r="O72" s="85"/>
      <c r="P72" s="85"/>
      <c r="Q72" s="86" t="b">
        <f t="shared" si="0"/>
        <v>0</v>
      </c>
      <c r="S72" s="92"/>
      <c r="T72" s="93"/>
      <c r="Y72" s="229" t="str">
        <f>'JPY Market Data'!H73</f>
        <v/>
      </c>
      <c r="Z72" s="239" t="str">
        <f>'JPY Market Data'!L73</f>
        <v/>
      </c>
      <c r="AE72" s="229" t="str">
        <f>'JPY Market Data'!N73</f>
        <v/>
      </c>
      <c r="AF72" s="230" t="str">
        <f>'JPY Market Data'!R73</f>
        <v/>
      </c>
      <c r="AH72" s="12"/>
      <c r="AI72" s="83"/>
      <c r="AK72" s="51"/>
      <c r="AL72" s="33"/>
      <c r="AN72" s="259" t="str">
        <f>'JPY Market Data'!AF53</f>
        <v/>
      </c>
      <c r="AO72" s="260" t="str">
        <f>'JPY Market Data'!AJ53</f>
        <v/>
      </c>
      <c r="AQ72" s="47"/>
      <c r="AR72" s="48"/>
      <c r="AS72" s="48"/>
      <c r="AT72" s="48"/>
      <c r="AU72" s="142"/>
      <c r="AW72" s="53"/>
      <c r="AX72" s="16"/>
      <c r="AZ72" s="259" t="str">
        <f>'JPY Market Data'!AR73</f>
        <v/>
      </c>
      <c r="BA72" s="312" t="str">
        <f>'JPY Market Data'!AV73</f>
        <v/>
      </c>
      <c r="BB72" s="80" t="b">
        <f t="shared" si="1"/>
        <v>0</v>
      </c>
      <c r="BC72" s="6"/>
      <c r="BD72" s="12"/>
      <c r="BE72" s="83"/>
      <c r="BG72" s="53"/>
      <c r="BH72" s="16"/>
      <c r="BJ72" s="223" t="str">
        <f>'JPY Market Data'!AX73</f>
        <v/>
      </c>
      <c r="BK72" s="263" t="str">
        <f>'JPY Market Data'!BB73</f>
        <v/>
      </c>
      <c r="BM72" s="53"/>
      <c r="BN72" s="16"/>
      <c r="BP72" s="223" t="str">
        <f>'JPY Market Data'!BD73</f>
        <v/>
      </c>
      <c r="BQ72" s="263" t="str">
        <f>'JPY Market Data'!BH73</f>
        <v/>
      </c>
      <c r="BS72" s="53"/>
      <c r="BT72" s="16"/>
      <c r="BV72" s="84"/>
      <c r="BW72" s="98"/>
      <c r="BY72" s="12"/>
      <c r="BZ72" s="83"/>
      <c r="CB72" s="53"/>
      <c r="CC72" s="83"/>
      <c r="CE72" s="53"/>
      <c r="CF72" s="83"/>
      <c r="CH72" s="53"/>
      <c r="CI72" s="83"/>
      <c r="CK72" s="53"/>
      <c r="CL72" s="83"/>
      <c r="CN72" s="223" t="str">
        <f>'JPY Market Data'!BP73</f>
        <v/>
      </c>
      <c r="CO72" s="263" t="str">
        <f>'JPY Market Data'!BT73</f>
        <v/>
      </c>
      <c r="CQ72" s="12"/>
      <c r="CR72" s="83"/>
      <c r="CT72" s="53"/>
      <c r="CU72" s="83"/>
      <c r="CW72" s="53"/>
      <c r="CX72" s="83"/>
      <c r="CZ72" s="53"/>
      <c r="DA72" s="83"/>
    </row>
    <row r="73" spans="1:105">
      <c r="F73" t="s">
        <v>12</v>
      </c>
      <c r="L73" s="203"/>
      <c r="M73" s="223" t="str">
        <f>'JPY Market Data'!B74</f>
        <v/>
      </c>
      <c r="N73" s="224" t="str">
        <f>'JPY Market Data'!F74</f>
        <v/>
      </c>
      <c r="O73" s="85"/>
      <c r="P73" s="85"/>
      <c r="Q73" s="86" t="b">
        <f t="shared" ref="Q73:Q78" si="2">IF(M73="",FALSE,TRUE)</f>
        <v>0</v>
      </c>
      <c r="S73" s="92"/>
      <c r="T73" s="93"/>
      <c r="Y73" s="229" t="str">
        <f>'JPY Market Data'!H74</f>
        <v/>
      </c>
      <c r="Z73" s="239" t="str">
        <f>'JPY Market Data'!L74</f>
        <v/>
      </c>
      <c r="AE73" s="229" t="str">
        <f>'JPY Market Data'!N74</f>
        <v/>
      </c>
      <c r="AF73" s="230" t="str">
        <f>'JPY Market Data'!R74</f>
        <v/>
      </c>
      <c r="AH73" s="12"/>
      <c r="AI73" s="83"/>
      <c r="AK73" s="51"/>
      <c r="AL73" s="33"/>
      <c r="AN73" s="259" t="str">
        <f>'JPY Market Data'!AF54</f>
        <v/>
      </c>
      <c r="AO73" s="260" t="str">
        <f>'JPY Market Data'!AJ54</f>
        <v/>
      </c>
      <c r="AQ73" s="47"/>
      <c r="AR73" s="48"/>
      <c r="AS73" s="48"/>
      <c r="AT73" s="48"/>
      <c r="AU73" s="142" t="s">
        <v>86</v>
      </c>
      <c r="AW73" s="53"/>
      <c r="AX73" s="16"/>
      <c r="AZ73" s="259" t="str">
        <f>'JPY Market Data'!AR74</f>
        <v/>
      </c>
      <c r="BA73" s="312" t="str">
        <f>'JPY Market Data'!AV74</f>
        <v/>
      </c>
      <c r="BB73" s="80" t="b">
        <f t="shared" si="1"/>
        <v>0</v>
      </c>
      <c r="BC73" s="6"/>
      <c r="BD73" s="12"/>
      <c r="BE73" s="83"/>
      <c r="BG73" s="53"/>
      <c r="BH73" s="16"/>
      <c r="BJ73" s="223" t="str">
        <f>'JPY Market Data'!AX74</f>
        <v/>
      </c>
      <c r="BK73" s="263" t="str">
        <f>'JPY Market Data'!BB74</f>
        <v/>
      </c>
      <c r="BM73" s="53"/>
      <c r="BN73" s="16"/>
      <c r="BP73" s="223" t="str">
        <f>'JPY Market Data'!BD74</f>
        <v/>
      </c>
      <c r="BQ73" s="263" t="str">
        <f>'JPY Market Data'!BH74</f>
        <v/>
      </c>
      <c r="BS73" s="53"/>
      <c r="BT73" s="16"/>
      <c r="BV73" s="84"/>
      <c r="BW73" s="98"/>
      <c r="BY73" s="12"/>
      <c r="BZ73" s="83"/>
      <c r="CB73" s="53"/>
      <c r="CC73" s="83"/>
      <c r="CE73" s="53"/>
      <c r="CF73" s="83"/>
      <c r="CH73" s="53"/>
      <c r="CI73" s="83"/>
      <c r="CK73" s="53"/>
      <c r="CL73" s="83"/>
      <c r="CN73" s="223" t="str">
        <f>'JPY Market Data'!BP74</f>
        <v/>
      </c>
      <c r="CO73" s="263" t="str">
        <f>'JPY Market Data'!BT74</f>
        <v/>
      </c>
      <c r="CQ73" s="12"/>
      <c r="CR73" s="83"/>
      <c r="CT73" s="53"/>
      <c r="CU73" s="83"/>
      <c r="CW73" s="53"/>
      <c r="CX73" s="83"/>
      <c r="CZ73" s="53"/>
      <c r="DA73" s="83"/>
    </row>
    <row r="74" spans="1:105">
      <c r="F74" t="s">
        <v>12</v>
      </c>
      <c r="L74" s="203"/>
      <c r="M74" s="223" t="str">
        <f>'JPY Market Data'!B75</f>
        <v/>
      </c>
      <c r="N74" s="224" t="str">
        <f>'JPY Market Data'!F75</f>
        <v/>
      </c>
      <c r="O74" s="85"/>
      <c r="P74" s="85"/>
      <c r="Q74" s="86" t="b">
        <f t="shared" si="2"/>
        <v>0</v>
      </c>
      <c r="S74" s="92"/>
      <c r="T74" s="93"/>
      <c r="Y74" s="229" t="str">
        <f>'JPY Market Data'!H75</f>
        <v/>
      </c>
      <c r="Z74" s="239" t="str">
        <f>'JPY Market Data'!L75</f>
        <v/>
      </c>
      <c r="AE74" s="229" t="str">
        <f>'JPY Market Data'!N75</f>
        <v/>
      </c>
      <c r="AF74" s="230" t="str">
        <f>'JPY Market Data'!R75</f>
        <v/>
      </c>
      <c r="AH74" s="12"/>
      <c r="AI74" s="83"/>
      <c r="AK74" s="51"/>
      <c r="AL74" s="33"/>
      <c r="AN74" s="259" t="str">
        <f>'JPY Market Data'!AF55</f>
        <v/>
      </c>
      <c r="AO74" s="260" t="str">
        <f>'JPY Market Data'!AJ55</f>
        <v/>
      </c>
      <c r="AQ74" s="47"/>
      <c r="AR74" s="48"/>
      <c r="AS74" s="48"/>
      <c r="AT74" s="48"/>
      <c r="AU74" s="142" t="s">
        <v>86</v>
      </c>
      <c r="AW74" s="53"/>
      <c r="AX74" s="16"/>
      <c r="AZ74" s="259" t="str">
        <f>'JPY Market Data'!AR75</f>
        <v/>
      </c>
      <c r="BA74" s="312" t="str">
        <f>'JPY Market Data'!AV75</f>
        <v/>
      </c>
      <c r="BB74" s="80" t="b">
        <f t="shared" ref="BB74:BB78" si="3">IF(AZ74="",FALSE,TRUE)</f>
        <v>0</v>
      </c>
      <c r="BC74" s="6"/>
      <c r="BD74" s="12"/>
      <c r="BE74" s="83"/>
      <c r="BG74" s="53"/>
      <c r="BH74" s="16"/>
      <c r="BJ74" s="223" t="str">
        <f>'JPY Market Data'!AX75</f>
        <v/>
      </c>
      <c r="BK74" s="263" t="str">
        <f>'JPY Market Data'!BB75</f>
        <v/>
      </c>
      <c r="BM74" s="53"/>
      <c r="BN74" s="16"/>
      <c r="BP74" s="223" t="str">
        <f>'JPY Market Data'!BD75</f>
        <v/>
      </c>
      <c r="BQ74" s="263" t="str">
        <f>'JPY Market Data'!BH75</f>
        <v/>
      </c>
      <c r="BS74" s="53"/>
      <c r="BT74" s="16"/>
      <c r="BV74" s="84"/>
      <c r="BW74" s="98"/>
      <c r="BY74" s="12"/>
      <c r="BZ74" s="83"/>
      <c r="CB74" s="53"/>
      <c r="CC74" s="83"/>
      <c r="CE74" s="53"/>
      <c r="CF74" s="83"/>
      <c r="CH74" s="53"/>
      <c r="CI74" s="83"/>
      <c r="CK74" s="53"/>
      <c r="CL74" s="83"/>
      <c r="CN74" s="223" t="str">
        <f>'JPY Market Data'!BP75</f>
        <v/>
      </c>
      <c r="CO74" s="263" t="str">
        <f>'JPY Market Data'!BT75</f>
        <v/>
      </c>
      <c r="CQ74" s="12"/>
      <c r="CR74" s="83"/>
      <c r="CT74" s="53"/>
      <c r="CU74" s="83"/>
      <c r="CW74" s="53"/>
      <c r="CX74" s="83"/>
      <c r="CZ74" s="53"/>
      <c r="DA74" s="83"/>
    </row>
    <row r="75" spans="1:105">
      <c r="F75" t="s">
        <v>12</v>
      </c>
      <c r="L75" s="203"/>
      <c r="M75" s="223" t="str">
        <f>'JPY Market Data'!B76</f>
        <v/>
      </c>
      <c r="N75" s="224" t="str">
        <f>'JPY Market Data'!F76</f>
        <v/>
      </c>
      <c r="O75" s="85"/>
      <c r="P75" s="85"/>
      <c r="Q75" s="86" t="b">
        <f t="shared" si="2"/>
        <v>0</v>
      </c>
      <c r="S75" s="92"/>
      <c r="T75" s="93"/>
      <c r="Y75" s="229" t="str">
        <f>'JPY Market Data'!H76</f>
        <v/>
      </c>
      <c r="Z75" s="239" t="str">
        <f>'JPY Market Data'!L76</f>
        <v/>
      </c>
      <c r="AE75" s="229" t="str">
        <f>'JPY Market Data'!N76</f>
        <v/>
      </c>
      <c r="AF75" s="230" t="str">
        <f>'JPY Market Data'!R76</f>
        <v/>
      </c>
      <c r="AH75" s="12"/>
      <c r="AI75" s="83"/>
      <c r="AK75" s="51"/>
      <c r="AL75" s="33"/>
      <c r="AN75" s="259" t="str">
        <f>'JPY Market Data'!AF56</f>
        <v/>
      </c>
      <c r="AO75" s="260" t="str">
        <f>'JPY Market Data'!AJ56</f>
        <v/>
      </c>
      <c r="AQ75" s="47"/>
      <c r="AR75" s="48"/>
      <c r="AS75" s="48"/>
      <c r="AT75" s="48"/>
      <c r="AU75" s="142" t="s">
        <v>86</v>
      </c>
      <c r="AW75" s="53"/>
      <c r="AX75" s="16"/>
      <c r="AZ75" s="259" t="str">
        <f>'JPY Market Data'!AR76</f>
        <v/>
      </c>
      <c r="BA75" s="312" t="str">
        <f>'JPY Market Data'!AV76</f>
        <v/>
      </c>
      <c r="BB75" s="80" t="b">
        <f t="shared" si="3"/>
        <v>0</v>
      </c>
      <c r="BC75" s="6"/>
      <c r="BD75" s="12"/>
      <c r="BE75" s="83"/>
      <c r="BG75" s="53"/>
      <c r="BH75" s="16"/>
      <c r="BJ75" s="223" t="str">
        <f>'JPY Market Data'!AX76</f>
        <v/>
      </c>
      <c r="BK75" s="263" t="str">
        <f>'JPY Market Data'!BB76</f>
        <v/>
      </c>
      <c r="BM75" s="53"/>
      <c r="BN75" s="16"/>
      <c r="BP75" s="223" t="str">
        <f>'JPY Market Data'!BD76</f>
        <v/>
      </c>
      <c r="BQ75" s="263" t="str">
        <f>'JPY Market Data'!BH76</f>
        <v/>
      </c>
      <c r="BS75" s="53"/>
      <c r="BT75" s="16"/>
      <c r="BV75" s="84"/>
      <c r="BW75" s="98"/>
      <c r="BY75" s="12"/>
      <c r="BZ75" s="83"/>
      <c r="CB75" s="53"/>
      <c r="CC75" s="83"/>
      <c r="CE75" s="53"/>
      <c r="CF75" s="83"/>
      <c r="CH75" s="53"/>
      <c r="CI75" s="83"/>
      <c r="CK75" s="53"/>
      <c r="CL75" s="83"/>
      <c r="CN75" s="223" t="str">
        <f>'JPY Market Data'!BP76</f>
        <v/>
      </c>
      <c r="CO75" s="263" t="str">
        <f>'JPY Market Data'!BT76</f>
        <v/>
      </c>
      <c r="CQ75" s="12"/>
      <c r="CR75" s="83"/>
      <c r="CT75" s="53"/>
      <c r="CU75" s="83"/>
      <c r="CW75" s="53"/>
      <c r="CX75" s="83"/>
      <c r="CZ75" s="53"/>
      <c r="DA75" s="83"/>
    </row>
    <row r="76" spans="1:105">
      <c r="F76" t="s">
        <v>12</v>
      </c>
      <c r="L76" s="203"/>
      <c r="M76" s="223" t="str">
        <f>'JPY Market Data'!B77</f>
        <v/>
      </c>
      <c r="N76" s="224" t="str">
        <f>'JPY Market Data'!F77</f>
        <v/>
      </c>
      <c r="O76" s="85"/>
      <c r="P76" s="85"/>
      <c r="Q76" s="86" t="b">
        <f t="shared" si="2"/>
        <v>0</v>
      </c>
      <c r="S76" s="92"/>
      <c r="T76" s="93"/>
      <c r="Y76" s="229" t="str">
        <f>'JPY Market Data'!H77</f>
        <v/>
      </c>
      <c r="Z76" s="239" t="str">
        <f>'JPY Market Data'!L77</f>
        <v/>
      </c>
      <c r="AE76" s="229" t="str">
        <f>'JPY Market Data'!N77</f>
        <v/>
      </c>
      <c r="AF76" s="230" t="str">
        <f>'JPY Market Data'!R77</f>
        <v/>
      </c>
      <c r="AH76" s="12"/>
      <c r="AI76" s="83"/>
      <c r="AK76" s="51"/>
      <c r="AL76" s="33"/>
      <c r="AN76" s="259" t="str">
        <f>'JPY Market Data'!AF57</f>
        <v/>
      </c>
      <c r="AO76" s="260" t="str">
        <f>'JPY Market Data'!AJ57</f>
        <v/>
      </c>
      <c r="AQ76" s="47"/>
      <c r="AR76" s="48"/>
      <c r="AS76" s="48"/>
      <c r="AT76" s="48"/>
      <c r="AU76" s="142" t="s">
        <v>86</v>
      </c>
      <c r="AW76" s="53"/>
      <c r="AX76" s="16"/>
      <c r="AZ76" s="259" t="str">
        <f>'JPY Market Data'!AR77</f>
        <v/>
      </c>
      <c r="BA76" s="312" t="str">
        <f>'JPY Market Data'!AV77</f>
        <v/>
      </c>
      <c r="BB76" s="80" t="b">
        <f t="shared" si="3"/>
        <v>0</v>
      </c>
      <c r="BC76" s="6"/>
      <c r="BD76" s="12"/>
      <c r="BE76" s="83"/>
      <c r="BG76" s="53"/>
      <c r="BH76" s="16"/>
      <c r="BJ76" s="223" t="str">
        <f>'JPY Market Data'!AX77</f>
        <v/>
      </c>
      <c r="BK76" s="263" t="str">
        <f>'JPY Market Data'!BB77</f>
        <v/>
      </c>
      <c r="BM76" s="53"/>
      <c r="BN76" s="16"/>
      <c r="BP76" s="223" t="str">
        <f>'JPY Market Data'!BD77</f>
        <v/>
      </c>
      <c r="BQ76" s="263" t="str">
        <f>'JPY Market Data'!BH77</f>
        <v/>
      </c>
      <c r="BS76" s="53"/>
      <c r="BT76" s="16"/>
      <c r="BV76" s="84"/>
      <c r="BW76" s="98"/>
      <c r="BY76" s="12"/>
      <c r="BZ76" s="83"/>
      <c r="CB76" s="53"/>
      <c r="CC76" s="83"/>
      <c r="CE76" s="53"/>
      <c r="CF76" s="83"/>
      <c r="CH76" s="53"/>
      <c r="CI76" s="83"/>
      <c r="CK76" s="53"/>
      <c r="CL76" s="83"/>
      <c r="CN76" s="223" t="str">
        <f>'JPY Market Data'!BP77</f>
        <v/>
      </c>
      <c r="CO76" s="263" t="str">
        <f>'JPY Market Data'!BT77</f>
        <v/>
      </c>
      <c r="CQ76" s="12"/>
      <c r="CR76" s="83"/>
      <c r="CT76" s="53"/>
      <c r="CU76" s="83"/>
      <c r="CW76" s="53"/>
      <c r="CX76" s="83"/>
      <c r="CZ76" s="53"/>
      <c r="DA76" s="83"/>
    </row>
    <row r="77" spans="1:105">
      <c r="F77" t="s">
        <v>12</v>
      </c>
      <c r="L77" s="203"/>
      <c r="M77" s="223" t="str">
        <f>'JPY Market Data'!B78</f>
        <v/>
      </c>
      <c r="N77" s="224" t="str">
        <f>'JPY Market Data'!F78</f>
        <v/>
      </c>
      <c r="O77" s="85"/>
      <c r="P77" s="85"/>
      <c r="Q77" s="86" t="b">
        <f t="shared" si="2"/>
        <v>0</v>
      </c>
      <c r="S77" s="94"/>
      <c r="T77" s="23"/>
      <c r="Y77" s="229" t="str">
        <f>'JPY Market Data'!H78</f>
        <v/>
      </c>
      <c r="Z77" s="239" t="str">
        <f>'JPY Market Data'!L78</f>
        <v/>
      </c>
      <c r="AE77" s="229" t="str">
        <f>'JPY Market Data'!N78</f>
        <v/>
      </c>
      <c r="AF77" s="231" t="str">
        <f>'JPY Market Data'!R78</f>
        <v/>
      </c>
      <c r="AH77" s="12"/>
      <c r="AI77" s="83"/>
      <c r="AK77" s="51"/>
      <c r="AL77" s="33"/>
      <c r="AN77" s="259" t="str">
        <f>'JPY Market Data'!AF58</f>
        <v/>
      </c>
      <c r="AO77" s="260" t="str">
        <f>'JPY Market Data'!AJ58</f>
        <v/>
      </c>
      <c r="AQ77" s="47"/>
      <c r="AR77" s="48"/>
      <c r="AS77" s="48"/>
      <c r="AT77" s="48"/>
      <c r="AU77" s="142" t="s">
        <v>86</v>
      </c>
      <c r="AW77" s="53"/>
      <c r="AX77" s="16"/>
      <c r="AZ77" s="259" t="str">
        <f>'JPY Market Data'!AR78</f>
        <v/>
      </c>
      <c r="BA77" s="312" t="str">
        <f>'JPY Market Data'!AV78</f>
        <v/>
      </c>
      <c r="BB77" s="80" t="b">
        <f t="shared" si="3"/>
        <v>0</v>
      </c>
      <c r="BC77" s="6"/>
      <c r="BD77" s="12"/>
      <c r="BE77" s="83"/>
      <c r="BG77" s="53"/>
      <c r="BH77" s="16"/>
      <c r="BJ77" s="223" t="str">
        <f>'JPY Market Data'!AX78</f>
        <v/>
      </c>
      <c r="BK77" s="263" t="str">
        <f>'JPY Market Data'!BB78</f>
        <v/>
      </c>
      <c r="BM77" s="53"/>
      <c r="BN77" s="16"/>
      <c r="BP77" s="223" t="str">
        <f>'JPY Market Data'!BD78</f>
        <v/>
      </c>
      <c r="BQ77" s="263" t="str">
        <f>'JPY Market Data'!BH78</f>
        <v/>
      </c>
      <c r="BS77" s="53"/>
      <c r="BT77" s="16"/>
      <c r="BV77" s="84"/>
      <c r="BW77" s="98"/>
      <c r="BY77" s="12"/>
      <c r="BZ77" s="83"/>
      <c r="CB77" s="53"/>
      <c r="CC77" s="83"/>
      <c r="CE77" s="53"/>
      <c r="CF77" s="83"/>
      <c r="CH77" s="53"/>
      <c r="CI77" s="83"/>
      <c r="CK77" s="53"/>
      <c r="CL77" s="83"/>
      <c r="CN77" s="223" t="str">
        <f>'JPY Market Data'!BP78</f>
        <v/>
      </c>
      <c r="CO77" s="263" t="str">
        <f>'JPY Market Data'!BT78</f>
        <v/>
      </c>
      <c r="CQ77" s="12"/>
      <c r="CR77" s="83"/>
      <c r="CT77" s="53"/>
      <c r="CU77" s="83"/>
      <c r="CW77" s="53"/>
      <c r="CX77" s="83"/>
      <c r="CZ77" s="53"/>
      <c r="DA77" s="83"/>
    </row>
    <row r="78" spans="1:105">
      <c r="F78" t="s">
        <v>12</v>
      </c>
      <c r="L78" s="203"/>
      <c r="M78" s="225" t="str">
        <f>'JPY Market Data'!B79</f>
        <v/>
      </c>
      <c r="N78" s="226" t="str">
        <f>'JPY Market Data'!F79</f>
        <v/>
      </c>
      <c r="O78" s="88"/>
      <c r="P78" s="88"/>
      <c r="Q78" s="89" t="b">
        <f t="shared" si="2"/>
        <v>0</v>
      </c>
      <c r="S78" s="95"/>
      <c r="T78" s="25"/>
      <c r="Y78" s="232" t="str">
        <f>'JPY Market Data'!H79</f>
        <v/>
      </c>
      <c r="Z78" s="240" t="str">
        <f>'JPY Market Data'!L79</f>
        <v/>
      </c>
      <c r="AE78" s="232" t="str">
        <f>'JPY Market Data'!N79</f>
        <v/>
      </c>
      <c r="AF78" s="233" t="str">
        <f>'JPY Market Data'!R79</f>
        <v/>
      </c>
      <c r="AH78" s="13"/>
      <c r="AI78" s="103"/>
      <c r="AK78" s="58"/>
      <c r="AL78" s="34"/>
      <c r="AN78" s="261" t="str">
        <f>'JPY Market Data'!AF59</f>
        <v/>
      </c>
      <c r="AO78" s="262" t="str">
        <f>'JPY Market Data'!AJ59</f>
        <v/>
      </c>
      <c r="AQ78" s="49"/>
      <c r="AR78" s="50"/>
      <c r="AS78" s="50"/>
      <c r="AT78" s="50"/>
      <c r="AU78" s="143" t="s">
        <v>86</v>
      </c>
      <c r="AW78" s="59"/>
      <c r="AX78" s="17"/>
      <c r="AZ78" s="261" t="str">
        <f>'JPY Market Data'!AR79</f>
        <v/>
      </c>
      <c r="BA78" s="313" t="str">
        <f>'JPY Market Data'!AV79</f>
        <v/>
      </c>
      <c r="BB78" s="82" t="b">
        <f t="shared" si="3"/>
        <v>0</v>
      </c>
      <c r="BC78" s="6"/>
      <c r="BD78" s="13"/>
      <c r="BE78" s="103"/>
      <c r="BG78" s="59"/>
      <c r="BH78" s="17"/>
      <c r="BJ78" s="225" t="str">
        <f>'JPY Market Data'!AX79</f>
        <v/>
      </c>
      <c r="BK78" s="264" t="str">
        <f>'JPY Market Data'!BB79</f>
        <v/>
      </c>
      <c r="BM78" s="59"/>
      <c r="BN78" s="17"/>
      <c r="BP78" s="225" t="str">
        <f>'JPY Market Data'!BD79</f>
        <v/>
      </c>
      <c r="BQ78" s="264" t="str">
        <f>'JPY Market Data'!BH79</f>
        <v/>
      </c>
      <c r="BS78" s="59"/>
      <c r="BT78" s="17"/>
      <c r="BV78" s="87"/>
      <c r="BW78" s="99"/>
      <c r="BY78" s="13"/>
      <c r="BZ78" s="103"/>
      <c r="CB78" s="59"/>
      <c r="CC78" s="103"/>
      <c r="CE78" s="59"/>
      <c r="CF78" s="103"/>
      <c r="CH78" s="59"/>
      <c r="CI78" s="103"/>
      <c r="CK78" s="59"/>
      <c r="CL78" s="103"/>
      <c r="CN78" s="225" t="str">
        <f>'JPY Market Data'!BP79</f>
        <v/>
      </c>
      <c r="CO78" s="264" t="str">
        <f>'JPY Market Data'!BT79</f>
        <v/>
      </c>
      <c r="CQ78" s="13"/>
      <c r="CR78" s="103"/>
      <c r="CT78" s="59"/>
      <c r="CU78" s="103"/>
      <c r="CW78" s="59"/>
      <c r="CX78" s="103"/>
      <c r="CZ78" s="59"/>
      <c r="DA78" s="103"/>
    </row>
    <row r="79" spans="1:105">
      <c r="A79" t="s">
        <v>12</v>
      </c>
      <c r="B79" t="s">
        <v>12</v>
      </c>
      <c r="C79" t="s">
        <v>12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12</v>
      </c>
      <c r="J79" t="s">
        <v>12</v>
      </c>
      <c r="K79" t="s">
        <v>12</v>
      </c>
      <c r="L79" t="s">
        <v>12</v>
      </c>
      <c r="M79" t="s">
        <v>12</v>
      </c>
      <c r="N79" t="s">
        <v>12</v>
      </c>
      <c r="O79" t="s">
        <v>12</v>
      </c>
      <c r="P79" t="s">
        <v>12</v>
      </c>
      <c r="Q79" t="s">
        <v>12</v>
      </c>
      <c r="R79" t="s">
        <v>12</v>
      </c>
      <c r="S79" t="s">
        <v>12</v>
      </c>
      <c r="T79" t="s">
        <v>12</v>
      </c>
      <c r="X79" t="s">
        <v>12</v>
      </c>
      <c r="Y79" t="s">
        <v>12</v>
      </c>
      <c r="Z79" t="s">
        <v>12</v>
      </c>
      <c r="AD79" t="s">
        <v>12</v>
      </c>
      <c r="AE79" t="s">
        <v>12</v>
      </c>
      <c r="AF79" t="s">
        <v>12</v>
      </c>
      <c r="AG79" t="s">
        <v>12</v>
      </c>
      <c r="AH79" t="s">
        <v>12</v>
      </c>
      <c r="AI79" t="s">
        <v>12</v>
      </c>
      <c r="AJ79" t="s">
        <v>12</v>
      </c>
      <c r="AK79" t="s">
        <v>12</v>
      </c>
      <c r="AL79" t="s">
        <v>12</v>
      </c>
      <c r="AM79" t="s">
        <v>12</v>
      </c>
      <c r="AN79" t="s">
        <v>12</v>
      </c>
      <c r="AO79" t="s">
        <v>12</v>
      </c>
      <c r="AP79" t="s">
        <v>12</v>
      </c>
      <c r="AQ79" t="s">
        <v>12</v>
      </c>
      <c r="AR79" t="s">
        <v>12</v>
      </c>
      <c r="AS79" t="s">
        <v>12</v>
      </c>
      <c r="AT79" t="s">
        <v>12</v>
      </c>
      <c r="AU79" t="s">
        <v>12</v>
      </c>
      <c r="AV79" t="s">
        <v>12</v>
      </c>
      <c r="AW79" t="s">
        <v>12</v>
      </c>
      <c r="AX79" t="s">
        <v>12</v>
      </c>
      <c r="AY79" t="s">
        <v>12</v>
      </c>
      <c r="AZ79" t="s">
        <v>12</v>
      </c>
      <c r="BA79" t="s">
        <v>12</v>
      </c>
      <c r="BB79" t="s">
        <v>12</v>
      </c>
      <c r="BC79" t="s">
        <v>12</v>
      </c>
      <c r="BD79" t="s">
        <v>12</v>
      </c>
      <c r="BE79" t="s">
        <v>12</v>
      </c>
      <c r="BF79" t="s">
        <v>12</v>
      </c>
      <c r="BG79" t="s">
        <v>12</v>
      </c>
      <c r="BH79" t="s">
        <v>12</v>
      </c>
      <c r="BI79" t="s">
        <v>12</v>
      </c>
      <c r="BJ79" t="s">
        <v>12</v>
      </c>
      <c r="BK79" t="s">
        <v>12</v>
      </c>
      <c r="BL79" t="s">
        <v>12</v>
      </c>
      <c r="BM79" t="s">
        <v>12</v>
      </c>
      <c r="BN79" t="s">
        <v>12</v>
      </c>
      <c r="BO79" t="s">
        <v>12</v>
      </c>
      <c r="BP79" t="s">
        <v>12</v>
      </c>
      <c r="BQ79" t="s">
        <v>12</v>
      </c>
      <c r="BR79" t="s">
        <v>12</v>
      </c>
      <c r="BS79" t="s">
        <v>12</v>
      </c>
      <c r="BT79" t="s">
        <v>12</v>
      </c>
      <c r="BU79" t="s">
        <v>12</v>
      </c>
      <c r="BV79" t="s">
        <v>12</v>
      </c>
      <c r="BW79" t="s">
        <v>12</v>
      </c>
      <c r="BX79" t="s">
        <v>12</v>
      </c>
      <c r="BY79" t="s">
        <v>12</v>
      </c>
      <c r="BZ79" t="s">
        <v>12</v>
      </c>
      <c r="CA79" t="s">
        <v>12</v>
      </c>
      <c r="CB79" t="s">
        <v>12</v>
      </c>
      <c r="CC79" t="s">
        <v>12</v>
      </c>
      <c r="CD79" t="s">
        <v>12</v>
      </c>
      <c r="CE79" t="s">
        <v>12</v>
      </c>
      <c r="CF79" t="s">
        <v>12</v>
      </c>
      <c r="CG79" t="s">
        <v>12</v>
      </c>
      <c r="CH79" t="s">
        <v>12</v>
      </c>
      <c r="CI79" t="s">
        <v>12</v>
      </c>
      <c r="CJ79" t="s">
        <v>12</v>
      </c>
      <c r="CK79" t="s">
        <v>12</v>
      </c>
      <c r="CL79" t="s">
        <v>12</v>
      </c>
      <c r="CM79" t="s">
        <v>12</v>
      </c>
      <c r="CN79" t="s">
        <v>12</v>
      </c>
      <c r="CO79" t="s">
        <v>12</v>
      </c>
      <c r="CP79" t="s">
        <v>12</v>
      </c>
      <c r="CQ79" t="s">
        <v>12</v>
      </c>
      <c r="CR79" t="s">
        <v>12</v>
      </c>
      <c r="CS79" t="s">
        <v>12</v>
      </c>
      <c r="CT79" t="s">
        <v>12</v>
      </c>
      <c r="CU79" t="s">
        <v>12</v>
      </c>
      <c r="CV79" t="s">
        <v>12</v>
      </c>
      <c r="CW79" t="s">
        <v>12</v>
      </c>
      <c r="CX79" t="s">
        <v>12</v>
      </c>
      <c r="CY79" t="s">
        <v>12</v>
      </c>
      <c r="CZ79" t="s">
        <v>12</v>
      </c>
      <c r="DA79" t="s">
        <v>12</v>
      </c>
    </row>
    <row r="80" spans="1:105">
      <c r="BC80" s="6"/>
      <c r="BD80" s="6"/>
      <c r="BE80" s="6"/>
    </row>
    <row r="81" spans="55:57">
      <c r="BC81" s="6"/>
      <c r="BD81" s="6"/>
      <c r="BE81" s="6"/>
    </row>
    <row r="82" spans="55:57">
      <c r="BC82" s="6"/>
      <c r="BD82" s="6"/>
      <c r="BE82" s="6"/>
    </row>
    <row r="83" spans="55:57">
      <c r="BC83" s="6"/>
      <c r="BD83" s="6"/>
      <c r="BE83" s="6"/>
    </row>
    <row r="84" spans="55:57">
      <c r="BC84" s="6"/>
      <c r="BD84" s="6"/>
      <c r="BE84" s="6"/>
    </row>
    <row r="85" spans="55:57">
      <c r="BC85" s="6"/>
      <c r="BD85" s="6"/>
      <c r="BE85" s="6"/>
    </row>
    <row r="86" spans="55:57">
      <c r="BC86" s="6"/>
      <c r="BD86" s="6"/>
      <c r="BE86" s="6"/>
    </row>
    <row r="87" spans="55:57">
      <c r="BC87" s="6"/>
      <c r="BD87" s="6"/>
      <c r="BE87" s="6"/>
    </row>
    <row r="88" spans="55:57">
      <c r="BC88" s="6"/>
      <c r="BD88" s="6"/>
      <c r="BE88" s="6"/>
    </row>
    <row r="89" spans="55:57">
      <c r="BC89" s="6"/>
      <c r="BD89" s="6"/>
      <c r="BE89" s="6"/>
    </row>
    <row r="90" spans="55:57">
      <c r="BC90" s="6"/>
      <c r="BD90" s="6"/>
      <c r="BE90" s="6"/>
    </row>
    <row r="91" spans="55:57">
      <c r="BC91" s="6"/>
      <c r="BD91" s="6"/>
      <c r="BE91" s="6"/>
    </row>
    <row r="92" spans="55:57">
      <c r="BC92" s="6"/>
      <c r="BD92" s="6"/>
      <c r="BE92" s="6"/>
    </row>
    <row r="93" spans="55:57">
      <c r="BC93" s="6"/>
      <c r="BD93" s="6"/>
      <c r="BE93" s="6"/>
    </row>
    <row r="94" spans="55:57">
      <c r="BC94" s="6"/>
      <c r="BD94" s="6"/>
      <c r="BE94" s="6"/>
    </row>
    <row r="95" spans="55:57">
      <c r="BC95" s="6"/>
      <c r="BD95" s="6"/>
      <c r="BE95" s="6"/>
    </row>
    <row r="96" spans="55:57">
      <c r="BC96" s="6"/>
      <c r="BD96" s="6"/>
      <c r="BE96" s="6"/>
    </row>
    <row r="97" spans="55:57">
      <c r="BC97" s="6"/>
      <c r="BD97" s="6"/>
      <c r="BE97" s="6"/>
    </row>
    <row r="98" spans="55:57">
      <c r="BC98" s="6"/>
      <c r="BD98" s="6"/>
      <c r="BE98" s="6"/>
    </row>
    <row r="99" spans="55:57">
      <c r="BC99" s="6"/>
      <c r="BD99" s="6"/>
      <c r="BE99" s="6"/>
    </row>
    <row r="100" spans="55:57">
      <c r="BC100" s="6"/>
      <c r="BD100" s="6"/>
      <c r="BE100" s="6"/>
    </row>
    <row r="101" spans="55:57">
      <c r="BC101" s="6"/>
      <c r="BD101" s="6"/>
      <c r="BE101" s="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C00000"/>
    <pageSetUpPr fitToPage="1"/>
  </sheetPr>
  <dimension ref="A1:M47"/>
  <sheetViews>
    <sheetView showGridLines="0" workbookViewId="0"/>
  </sheetViews>
  <sheetFormatPr defaultRowHeight="15"/>
  <cols>
    <col min="1" max="1" width="11.42578125" style="110" customWidth="1"/>
    <col min="2" max="2" width="2.28515625" style="108" customWidth="1"/>
    <col min="3" max="3" width="15.7109375" style="108" customWidth="1"/>
    <col min="4" max="4" width="23" style="310" customWidth="1"/>
    <col min="5" max="5" width="30.28515625" style="108" customWidth="1"/>
    <col min="6" max="6" width="3.7109375" style="108" customWidth="1"/>
    <col min="7" max="7" width="16.5703125" style="106" customWidth="1"/>
    <col min="8" max="8" width="10.7109375" style="108" customWidth="1"/>
    <col min="9" max="9" width="3.7109375" style="108" customWidth="1"/>
    <col min="10" max="10" width="14.140625" style="106" customWidth="1"/>
    <col min="11" max="11" width="10.7109375" style="108" customWidth="1"/>
    <col min="12" max="12" width="3.7109375" style="108" customWidth="1"/>
    <col min="13" max="13" width="15.7109375" style="107" customWidth="1"/>
    <col min="14" max="16384" width="9.140625" style="108"/>
  </cols>
  <sheetData>
    <row r="1" spans="1:13">
      <c r="A1" s="381"/>
    </row>
    <row r="2" spans="1:13" s="109" customFormat="1" ht="15" customHeight="1">
      <c r="A2" s="110"/>
      <c r="C2" s="1424" t="s">
        <v>1038</v>
      </c>
      <c r="D2" s="1425"/>
      <c r="E2" s="1425"/>
      <c r="F2" s="331"/>
      <c r="G2" s="331"/>
      <c r="H2" s="331"/>
      <c r="I2" s="331"/>
      <c r="J2" s="331"/>
      <c r="K2" s="331"/>
      <c r="M2" s="129" t="s">
        <v>338</v>
      </c>
    </row>
    <row r="3" spans="1:13" ht="15" customHeight="1">
      <c r="A3" s="139"/>
      <c r="C3" s="1424"/>
      <c r="D3" s="1425"/>
      <c r="E3" s="1425"/>
      <c r="F3" s="332"/>
      <c r="G3" s="332"/>
      <c r="H3" s="332"/>
      <c r="I3" s="332"/>
      <c r="J3" s="332"/>
      <c r="K3" s="332"/>
      <c r="M3" s="138">
        <f ca="1">SUM(CurveErrorsUSD,CurveErrorsEUR,CurveErrorsGBP,CurveErrorsJPY)</f>
        <v>0</v>
      </c>
    </row>
    <row r="4" spans="1:13" ht="15" customHeight="1">
      <c r="A4" s="139"/>
      <c r="C4" s="249"/>
      <c r="D4" s="305"/>
      <c r="F4" s="251"/>
      <c r="G4" s="314"/>
      <c r="H4" s="332"/>
      <c r="J4" s="314"/>
      <c r="K4" s="250"/>
    </row>
    <row r="5" spans="1:13" ht="15" customHeight="1">
      <c r="A5" s="1426" t="s">
        <v>181</v>
      </c>
      <c r="B5" s="106" t="s">
        <v>12</v>
      </c>
      <c r="C5" s="106"/>
      <c r="D5" s="306" t="s">
        <v>343</v>
      </c>
      <c r="E5" s="131" t="s">
        <v>1044</v>
      </c>
      <c r="F5" s="129" t="s">
        <v>12</v>
      </c>
      <c r="G5" s="315" t="s">
        <v>344</v>
      </c>
      <c r="H5" s="144"/>
      <c r="J5" s="315" t="s">
        <v>329</v>
      </c>
      <c r="K5" s="144"/>
    </row>
    <row r="6" spans="1:13" ht="15" customHeight="1">
      <c r="A6" s="1426"/>
      <c r="B6" s="108" t="s">
        <v>12</v>
      </c>
      <c r="C6" s="300" t="s">
        <v>189</v>
      </c>
      <c r="D6" s="307" t="s">
        <v>262</v>
      </c>
      <c r="E6" s="293" t="str">
        <f ca="1">IF(AND(NOW(),CurveEnablement.USD),_xll.meCurveCalibrateOIS(E$5,C$6,OISCurveNamesCombined,YieldCurvePropertiesOIS,OISConv,OISRates,OISHistoricalRates,'USD Curve Config'!OIS.LOBasisConv,'USD Curve Config'!OIS.LobRates,'USD Curve Config'!OIS.SwapConv,'USD Curve Config'!OIS.SwapRates),"DISABLED")</f>
        <v>USDYC OIS Curve has been set (0.03400 sec)</v>
      </c>
      <c r="F6" s="129" t="s">
        <v>12</v>
      </c>
      <c r="G6" s="300" t="s">
        <v>189</v>
      </c>
      <c r="H6" s="136" t="b">
        <f ca="1">IF(UPPER(LEFT($C6,3))=MID($E6,7,3),TRUE,FALSE)</f>
        <v>1</v>
      </c>
      <c r="J6" s="300" t="s">
        <v>189</v>
      </c>
      <c r="K6" s="297">
        <f ca="1">IF(ISERROR(H6),1,IF(H6,0,1))</f>
        <v>0</v>
      </c>
      <c r="M6" s="129" t="s">
        <v>339</v>
      </c>
    </row>
    <row r="7" spans="1:13">
      <c r="B7" s="108" t="s">
        <v>12</v>
      </c>
      <c r="C7" s="301" t="s">
        <v>61</v>
      </c>
      <c r="D7" s="308" t="s">
        <v>260</v>
      </c>
      <c r="E7" s="294" t="str">
        <f ca="1">IF(AND(NOW(),CurveEnablement.USD),IF(H6,_xll.meCurveCalibrateSwap(E$5,C7,SwapCurveNamesCombined,YieldCurvePropertiesSTD,MoneyMarketData,LiborConv,LiborData,SwapsConv,SwapsData,FRAConv,FRADatax3,FRADatax6,FuturesConv,FuturesData),"#WAIT"),"DISABLED")</f>
        <v>USDYC STD Curve has been set (0.00900 sec)</v>
      </c>
      <c r="F7" s="129" t="s">
        <v>12</v>
      </c>
      <c r="G7" s="301" t="s">
        <v>61</v>
      </c>
      <c r="H7" s="137" t="b">
        <f ca="1">IF(UPPER(LEFT($C7,3))=MID($E7,7,3),TRUE,FALSE)</f>
        <v>1</v>
      </c>
      <c r="J7" s="301" t="s">
        <v>61</v>
      </c>
      <c r="K7" s="298">
        <f ca="1">IF(ISERROR(H7),1,IF(H7,0,1))</f>
        <v>0</v>
      </c>
      <c r="M7" s="138">
        <f ca="1">SUM(K6:K14)</f>
        <v>0</v>
      </c>
    </row>
    <row r="8" spans="1:13">
      <c r="B8" s="108" t="s">
        <v>12</v>
      </c>
      <c r="C8" s="301" t="s">
        <v>194</v>
      </c>
      <c r="D8" s="308" t="s">
        <v>258</v>
      </c>
      <c r="E8" s="664" t="str">
        <f ca="1">IF(AND(NOW(),CurveEnablement.USD),IF(H7,_xll.meCurveCalibrateBasis(E$5,C8,TenorBasis3x6CurveNamesCombined,YieldCurvePropertiesTenorBasis,BasisConv3x6,BasisData3x6),"#WAIT"),"DISABLED")</f>
        <v>USDYC 3M6MBasis Curve has been set (0.00600 sec)</v>
      </c>
      <c r="F8" s="129" t="s">
        <v>12</v>
      </c>
      <c r="G8" s="301" t="s">
        <v>194</v>
      </c>
      <c r="H8" s="137" t="b">
        <f ca="1">IF(UPPER(LEFT($C8,3))=MID($E8,7,3),TRUE,FALSE)</f>
        <v>1</v>
      </c>
      <c r="J8" s="301" t="s">
        <v>194</v>
      </c>
      <c r="K8" s="298">
        <f ca="1">IF(ISERROR(H8),1,IF(H8,0,1))</f>
        <v>0</v>
      </c>
    </row>
    <row r="9" spans="1:13">
      <c r="B9" s="108" t="s">
        <v>12</v>
      </c>
      <c r="C9" s="311" t="s">
        <v>195</v>
      </c>
      <c r="D9" s="308" t="s">
        <v>259</v>
      </c>
      <c r="E9" s="294" t="str">
        <f ca="1">IF(AND(NOW(),CurveEnablement.USD),IF(H8,_xll.meCurveCalibrateBasis(E$5,C9,TenorBasis1x3CurveNamesCombined,YieldCurvePropertiesTenorBasis,BasisConv1x3,BasisData1x3),"#WAIT"),"DISABLED")</f>
        <v>USDYC 1M3MBasis Curve has been set (0.01800 sec)</v>
      </c>
      <c r="F9" s="129" t="s">
        <v>12</v>
      </c>
      <c r="G9" s="311" t="s">
        <v>195</v>
      </c>
      <c r="H9" s="137" t="b">
        <f ca="1">IF(UPPER(LEFT($C9,3))=MID($E9,7,3),TRUE,FALSE)</f>
        <v>1</v>
      </c>
      <c r="J9" s="311" t="s">
        <v>195</v>
      </c>
      <c r="K9" s="298">
        <f ca="1">IF(ISERROR(H9),1,IF(H9,0,1))</f>
        <v>0</v>
      </c>
      <c r="M9" s="129" t="s">
        <v>1092</v>
      </c>
    </row>
    <row r="10" spans="1:13">
      <c r="B10" s="108" t="s">
        <v>12</v>
      </c>
      <c r="C10" s="301" t="s">
        <v>268</v>
      </c>
      <c r="D10" s="308" t="s">
        <v>267</v>
      </c>
      <c r="E10" s="296" t="str">
        <f ca="1">IF(AND(NOW(),CurveEnablement.USD),IF(H9,_xll.meCurveCalibrateBasis(E$5,C10,TenorBasis3x12CurveNamesCombined,YieldCurvePropertiesTenorBasis,BasisConv3x12,BasisData3x12),"#WAIT"),"DISABLED")</f>
        <v>USDYC 3M12MBasis Curve has been set (0.00500 sec)</v>
      </c>
      <c r="F10" s="129" t="s">
        <v>12</v>
      </c>
      <c r="G10" s="301" t="s">
        <v>268</v>
      </c>
      <c r="H10" s="304" t="b">
        <f ca="1">IF(UPPER(LEFT($C10,3))=MID($E10,7,3),TRUE,FALSE)</f>
        <v>1</v>
      </c>
      <c r="J10" s="301" t="s">
        <v>268</v>
      </c>
      <c r="K10" s="299">
        <f ca="1">IF(ISERROR(H10),1,IF(H10,0,1))</f>
        <v>0</v>
      </c>
      <c r="M10" s="138">
        <f ca="1">SUM(K6:K10)</f>
        <v>0</v>
      </c>
    </row>
    <row r="11" spans="1:13">
      <c r="B11" s="108" t="s">
        <v>12</v>
      </c>
      <c r="C11" s="302" t="s">
        <v>196</v>
      </c>
      <c r="D11" s="319" t="str">
        <f>"Xccy Basis "&amp;A5&amp;"/"&amp;"USD"</f>
        <v>Xccy Basis USD/USD</v>
      </c>
      <c r="E11" s="316" t="s">
        <v>6</v>
      </c>
      <c r="F11" s="129" t="s">
        <v>12</v>
      </c>
      <c r="G11" s="302" t="s">
        <v>196</v>
      </c>
      <c r="H11" s="322" t="s">
        <v>6</v>
      </c>
      <c r="J11" s="302" t="s">
        <v>196</v>
      </c>
      <c r="K11" s="325" t="s">
        <v>6</v>
      </c>
    </row>
    <row r="12" spans="1:13">
      <c r="C12" s="301" t="s">
        <v>1056</v>
      </c>
      <c r="D12" s="320" t="str">
        <f>"FX Forwards "&amp;A5&amp;"/EUR"</f>
        <v>FX Forwards USD/EUR</v>
      </c>
      <c r="E12" s="317" t="str">
        <f ca="1">IF(AND(NOW(),CurveEnablement.USD),IF(AND(H10,$H$22),_xll.meCurveCalibrateFXForwards(E$5,C12,FwdFXConstCurveNamesCombinedEUR,ConstForwardFXProperties,ConstForwardFXEURCSA),"#WAIT"),"DISABLED")</f>
        <v>USDYC FwdFXConstEUR Curve has been set (0.00000 sec)</v>
      </c>
      <c r="F12" s="129" t="s">
        <v>12</v>
      </c>
      <c r="G12" s="301" t="s">
        <v>197</v>
      </c>
      <c r="H12" s="323" t="b">
        <f ca="1">IF(UPPER(LEFT($C12,3))=MID($E12,7,3),TRUE,FALSE)</f>
        <v>1</v>
      </c>
      <c r="J12" s="301" t="s">
        <v>197</v>
      </c>
      <c r="K12" s="326">
        <f t="shared" ref="K12:K14" ca="1" si="0">IF(ISERROR(H12),1,IF(H12,0,1))</f>
        <v>0</v>
      </c>
    </row>
    <row r="13" spans="1:13">
      <c r="C13" s="301" t="s">
        <v>1057</v>
      </c>
      <c r="D13" s="320" t="str">
        <f>"FX Forwards "&amp;A5&amp;"/GBP"</f>
        <v>FX Forwards USD/GBP</v>
      </c>
      <c r="E13" s="317" t="str">
        <f ca="1">IF(AND(NOW(),CurveEnablement.USD),IF(AND(H10,H33),_xll.meCurveCalibrateFXForwards(E$5,C13,FwdFXConstCurveNamesCombinedGBP,ConstForwardFXProperties,ConstForwardFXGBPCSA),"#WAIT"),"DISABLED")</f>
        <v>USDYC FwdFXConstGBP Curve has been set (0.00100 sec)</v>
      </c>
      <c r="F13" s="129" t="s">
        <v>12</v>
      </c>
      <c r="G13" s="301" t="s">
        <v>197</v>
      </c>
      <c r="H13" s="323" t="b">
        <f t="shared" ref="H13:H14" ca="1" si="1">IF(UPPER(LEFT($C13,3))=MID($E13,7,3),TRUE,FALSE)</f>
        <v>1</v>
      </c>
      <c r="J13" s="301" t="s">
        <v>197</v>
      </c>
      <c r="K13" s="326">
        <f t="shared" ca="1" si="0"/>
        <v>0</v>
      </c>
    </row>
    <row r="14" spans="1:13">
      <c r="C14" s="303" t="s">
        <v>1058</v>
      </c>
      <c r="D14" s="321" t="str">
        <f>"FX Forwards "&amp;A5&amp;"/JPY"</f>
        <v>FX Forwards USD/JPY</v>
      </c>
      <c r="E14" s="318" t="str">
        <f ca="1">IF(AND(NOW(),CurveEnablement.USD),IF(AND(H10,H44),_xll.meCurveCalibrateFXForwards(E$5,C14,FwdFXConstCurveNamesCombinedJPY,ConstForwardFXProperties,ConstForwardFXJPYCSA),"#WAIT"),"DISABLED")</f>
        <v>USDYC FwdFXConstJPY Curve has been set (0.00000 sec)</v>
      </c>
      <c r="F14" s="129" t="s">
        <v>12</v>
      </c>
      <c r="G14" s="303" t="s">
        <v>197</v>
      </c>
      <c r="H14" s="324" t="b">
        <f t="shared" ca="1" si="1"/>
        <v>1</v>
      </c>
      <c r="J14" s="303" t="s">
        <v>197</v>
      </c>
      <c r="K14" s="327">
        <f t="shared" ca="1" si="0"/>
        <v>0</v>
      </c>
    </row>
    <row r="15" spans="1:13">
      <c r="C15" s="106"/>
      <c r="D15" s="309"/>
      <c r="F15" s="129"/>
      <c r="H15" s="130"/>
      <c r="K15" s="130"/>
    </row>
    <row r="16" spans="1:13" ht="15" customHeight="1">
      <c r="A16" s="1426" t="s">
        <v>2</v>
      </c>
      <c r="B16" s="106" t="s">
        <v>12</v>
      </c>
      <c r="C16" s="106"/>
      <c r="D16" s="306" t="s">
        <v>343</v>
      </c>
      <c r="E16" s="131" t="s">
        <v>1045</v>
      </c>
      <c r="F16" s="129" t="s">
        <v>12</v>
      </c>
      <c r="H16" s="144"/>
      <c r="K16" s="144"/>
    </row>
    <row r="17" spans="1:13" ht="15" customHeight="1">
      <c r="A17" s="1426"/>
      <c r="B17" s="108" t="s">
        <v>12</v>
      </c>
      <c r="C17" s="300" t="s">
        <v>189</v>
      </c>
      <c r="D17" s="307" t="s">
        <v>261</v>
      </c>
      <c r="E17" s="293" t="str">
        <f ca="1">IF(AND(NOW(),CurveEnablement.EUR),_xll.meCurveCalibrateOIS(E$16,C17,'EUR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Config'!OIS.SwapRates),"DISABLED")</f>
        <v>EURYC OIS Curve has been set (0.07600 sec)</v>
      </c>
      <c r="F17" s="129" t="s">
        <v>12</v>
      </c>
      <c r="G17" s="300" t="s">
        <v>189</v>
      </c>
      <c r="H17" s="136" t="b">
        <f t="shared" ref="H17:H18" ca="1" si="2">IF(UPPER(LEFT($C17,3))=MID($E17,7,3),TRUE,FALSE)</f>
        <v>1</v>
      </c>
      <c r="J17" s="300" t="s">
        <v>189</v>
      </c>
      <c r="K17" s="297">
        <f t="shared" ref="K17:K22" ca="1" si="3">IF(ISERROR(H17),1,IF(H17,0,1))</f>
        <v>0</v>
      </c>
      <c r="M17" s="129" t="s">
        <v>340</v>
      </c>
    </row>
    <row r="18" spans="1:13">
      <c r="B18" s="108" t="s">
        <v>12</v>
      </c>
      <c r="C18" s="301" t="s">
        <v>61</v>
      </c>
      <c r="D18" s="308" t="s">
        <v>263</v>
      </c>
      <c r="E18" s="294" t="str">
        <f ca="1">IF(AND(NOW(),CurveEnablement.EUR),IF(H17,_xll.meCurveCalibrateSwap(E$16,C18,'EUR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Config'!FuturesData),"#WAIT"),"DISABLED")</f>
        <v>EURYC STD Curve has been set (0.00700 sec)</v>
      </c>
      <c r="F18" s="129" t="s">
        <v>12</v>
      </c>
      <c r="G18" s="301" t="s">
        <v>61</v>
      </c>
      <c r="H18" s="137" t="b">
        <f t="shared" ca="1" si="2"/>
        <v>1</v>
      </c>
      <c r="J18" s="301" t="s">
        <v>61</v>
      </c>
      <c r="K18" s="298">
        <f t="shared" ca="1" si="3"/>
        <v>0</v>
      </c>
      <c r="M18" s="138">
        <f ca="1">SUM(K17:K25)</f>
        <v>0</v>
      </c>
    </row>
    <row r="19" spans="1:13">
      <c r="B19" s="108" t="s">
        <v>12</v>
      </c>
      <c r="C19" s="301" t="s">
        <v>194</v>
      </c>
      <c r="D19" s="308" t="s">
        <v>258</v>
      </c>
      <c r="E19" s="294" t="str">
        <f ca="1">IF(AND(NOW(),CurveEnablement.EUR),IF(H18,_xll.meCurveCalibrateBasis(E$16,C19,'EUR Curve Config'!TenorBasis3x6CurveNamesCombined,'EUR Curve Config'!YieldCurvePropertiesTenorBasis,'EUR Curve Config'!BasisConv3x6,'EUR Curve Config'!BasisData3x6),"#WAIT"),"DISABLED")</f>
        <v>EURYC 3M6MBasis Curve has been set (0.00700 sec)</v>
      </c>
      <c r="F19" s="129" t="s">
        <v>12</v>
      </c>
      <c r="G19" s="301" t="s">
        <v>194</v>
      </c>
      <c r="H19" s="137" t="b">
        <f ca="1">IF(UPPER(LEFT($C19,3))=MID($E19,7,3),TRUE,FALSE)</f>
        <v>1</v>
      </c>
      <c r="J19" s="301" t="s">
        <v>194</v>
      </c>
      <c r="K19" s="298">
        <f t="shared" ca="1" si="3"/>
        <v>0</v>
      </c>
    </row>
    <row r="20" spans="1:13">
      <c r="B20" s="108" t="s">
        <v>12</v>
      </c>
      <c r="C20" s="311" t="s">
        <v>195</v>
      </c>
      <c r="D20" s="308" t="s">
        <v>259</v>
      </c>
      <c r="E20" s="294" t="str">
        <f ca="1">IF(AND(NOW(),CurveEnablement.EUR),IF(H19,_xll.meCurveCalibrateBasis(E$16,C20,'EUR Curve Config'!TenorBasis1x3CurveNamesCombined,'EUR Curve Config'!YieldCurvePropertiesTenorBasis,'EUR Curve Config'!BasisConv1x3,'EUR Curve Config'!BasisData1x3),"#WAIT"),"DISABLED")</f>
        <v>EURYC 1M3MBasis Curve has been set (0.01400 sec)</v>
      </c>
      <c r="F20" s="129" t="s">
        <v>12</v>
      </c>
      <c r="G20" s="311" t="s">
        <v>195</v>
      </c>
      <c r="H20" s="137" t="b">
        <f t="shared" ref="H20:H22" ca="1" si="4">IF(UPPER(LEFT($C20,3))=MID($E20,7,3),TRUE,FALSE)</f>
        <v>1</v>
      </c>
      <c r="J20" s="311" t="s">
        <v>195</v>
      </c>
      <c r="K20" s="298">
        <f t="shared" ca="1" si="3"/>
        <v>0</v>
      </c>
      <c r="M20" s="129" t="s">
        <v>1093</v>
      </c>
    </row>
    <row r="21" spans="1:13">
      <c r="B21" s="108" t="s">
        <v>12</v>
      </c>
      <c r="C21" s="301" t="s">
        <v>269</v>
      </c>
      <c r="D21" s="308" t="s">
        <v>270</v>
      </c>
      <c r="E21" s="296" t="str">
        <f ca="1">IF(AND(NOW(),CurveEnablement.EUR),IF(H20,_xll.meCurveCalibrateBasis(E$16,C21,'EUR Curve Config'!TenorBasis6x12CurveNamesCombined,'EUR Curve Config'!YieldCurvePropertiesTenorBasis,'EUR Curve Config'!BasisConv6x12,'EUR Curve Config'!BasisData6x12),"#WAIT"),"DISABLED")</f>
        <v>EURYC 6M12MBasis Curve has been set (0.00500 sec)</v>
      </c>
      <c r="F21" s="129" t="s">
        <v>12</v>
      </c>
      <c r="G21" s="301" t="s">
        <v>268</v>
      </c>
      <c r="H21" s="304" t="b">
        <f t="shared" ca="1" si="4"/>
        <v>1</v>
      </c>
      <c r="J21" s="301" t="s">
        <v>268</v>
      </c>
      <c r="K21" s="299">
        <f t="shared" ca="1" si="3"/>
        <v>0</v>
      </c>
      <c r="M21" s="138">
        <f ca="1">SUM(K17:K21)</f>
        <v>0</v>
      </c>
    </row>
    <row r="22" spans="1:13">
      <c r="B22" s="108" t="s">
        <v>12</v>
      </c>
      <c r="C22" s="302" t="s">
        <v>196</v>
      </c>
      <c r="D22" s="319" t="str">
        <f>"Xccy Basis "&amp;$A16&amp;"/"&amp;"USD"</f>
        <v>Xccy Basis EUR/USD</v>
      </c>
      <c r="E22" s="328" t="str">
        <f ca="1">IF(AND(NOW(),CurveEnablement.EUR),IF(AND(H21,H10),_xll.meCurveCalibrateBasis(E$16,C22,'EUR Curve Config'!XccyBasisCurveNamesCombined,'EUR Curve Config'!XccyBasisProperties,'EUR Curve Config'!XccyBasisConvEURCSA,'EUR Curve Config'!XccyBasisData),"#WAIT"),"DISABLED")</f>
        <v>EURYC XccyBasis Curve has been set (0.02000 sec)</v>
      </c>
      <c r="F22" s="129" t="s">
        <v>12</v>
      </c>
      <c r="G22" s="302" t="s">
        <v>196</v>
      </c>
      <c r="H22" s="322" t="b">
        <f t="shared" ca="1" si="4"/>
        <v>1</v>
      </c>
      <c r="J22" s="302" t="s">
        <v>196</v>
      </c>
      <c r="K22" s="325">
        <f t="shared" ca="1" si="3"/>
        <v>0</v>
      </c>
    </row>
    <row r="23" spans="1:13">
      <c r="C23" s="301" t="s">
        <v>1056</v>
      </c>
      <c r="D23" s="320" t="str">
        <f>"FX Forwards "&amp;A16&amp;"/EUR"</f>
        <v>FX Forwards EUR/EUR</v>
      </c>
      <c r="E23" s="330" t="s">
        <v>6</v>
      </c>
      <c r="F23" s="129" t="s">
        <v>12</v>
      </c>
      <c r="G23" s="301" t="s">
        <v>197</v>
      </c>
      <c r="H23" s="323" t="s">
        <v>6</v>
      </c>
      <c r="J23" s="301" t="s">
        <v>197</v>
      </c>
      <c r="K23" s="326" t="s">
        <v>6</v>
      </c>
    </row>
    <row r="24" spans="1:13">
      <c r="C24" s="301" t="s">
        <v>1057</v>
      </c>
      <c r="D24" s="320" t="str">
        <f>"FX Forwards "&amp;A16&amp;"/GBP"</f>
        <v>FX Forwards EUR/GBP</v>
      </c>
      <c r="E24" s="317" t="str">
        <f ca="1">IF(AND(NOW(),CurveEnablement.EUR),IF(AND(H22,H33),_xll.meCurveCalibrateFXForwards(E$16,C24,'EUR Curve Config'!FwdFXConstCurveNamesCombinedGBP,'EUR Curve Config'!ConstForwardFXProperties,'EUR Curve Config'!ConstForwardFXGBPCSA),"#WAIT"),"DISABLED")</f>
        <v>EURYC FwdFXConstGBP Curve has been set (0.00000 sec)</v>
      </c>
      <c r="F24" s="129" t="s">
        <v>12</v>
      </c>
      <c r="G24" s="301" t="s">
        <v>197</v>
      </c>
      <c r="H24" s="323" t="b">
        <f t="shared" ref="H24:H25" ca="1" si="5">IF(UPPER(LEFT($C24,3))=MID($E24,7,3),TRUE,FALSE)</f>
        <v>1</v>
      </c>
      <c r="J24" s="301" t="s">
        <v>197</v>
      </c>
      <c r="K24" s="326">
        <f ca="1">IF(ISERROR(H24),1,IF(H24,0,1))</f>
        <v>0</v>
      </c>
    </row>
    <row r="25" spans="1:13">
      <c r="C25" s="303" t="s">
        <v>1058</v>
      </c>
      <c r="D25" s="321" t="str">
        <f>"FX Forwards "&amp;A16&amp;"/JPY"</f>
        <v>FX Forwards EUR/JPY</v>
      </c>
      <c r="E25" s="318" t="str">
        <f ca="1">IF(AND(NOW(),CurveEnablement.EUR),IF(AND(H22,H44),_xll.meCurveCalibrateFXForwards(E$16,C25,'EUR Curve Config'!FwdFXConstCurveNamesCombinedJPY,'EUR Curve Config'!ConstForwardFXProperties,'EUR Curve Config'!ConstForwardFXJPYCSA),"#WAIT"),"DISABLED")</f>
        <v>EURYC FwdFXConstJPY Curve has been set (0.00100 sec)</v>
      </c>
      <c r="F25" s="129" t="s">
        <v>12</v>
      </c>
      <c r="G25" s="303" t="s">
        <v>197</v>
      </c>
      <c r="H25" s="324" t="b">
        <f t="shared" ca="1" si="5"/>
        <v>1</v>
      </c>
      <c r="J25" s="303" t="s">
        <v>197</v>
      </c>
      <c r="K25" s="327">
        <f ca="1">IF(ISERROR(H25),1,IF(H25,0,1))</f>
        <v>0</v>
      </c>
    </row>
    <row r="26" spans="1:13">
      <c r="C26" s="106"/>
      <c r="D26" s="309"/>
      <c r="E26" s="124"/>
      <c r="F26" s="129"/>
      <c r="H26" s="130"/>
      <c r="K26" s="130"/>
    </row>
    <row r="27" spans="1:13" ht="15" customHeight="1">
      <c r="A27" s="1426" t="s">
        <v>187</v>
      </c>
      <c r="B27" s="106" t="s">
        <v>12</v>
      </c>
      <c r="C27" s="106"/>
      <c r="D27" s="306" t="s">
        <v>343</v>
      </c>
      <c r="E27" s="131" t="s">
        <v>1046</v>
      </c>
      <c r="F27" s="129" t="s">
        <v>12</v>
      </c>
      <c r="H27" s="144"/>
      <c r="K27" s="144"/>
    </row>
    <row r="28" spans="1:13" ht="15" customHeight="1">
      <c r="A28" s="1426"/>
      <c r="B28" s="108" t="s">
        <v>12</v>
      </c>
      <c r="C28" s="300" t="s">
        <v>189</v>
      </c>
      <c r="D28" s="307" t="s">
        <v>265</v>
      </c>
      <c r="E28" s="293" t="str">
        <f ca="1">IF(AND(NOW(),CurveEnablement.GBP),_xll.meCurveCalibrateOIS(E$27,C28,'GBP Curve Config'!OISCurveNamesCombined,'GBP Curve Config'!YieldCurvePropertiesOIS,'GBP Curve Config'!OISConv,'GBP Curve Config'!OISRates,'GBP Curve Config'!OISHistoricalRates,'GBP Curve Config'!OIS.LOBasisConv,'GBP Curve Config'!OIS.LobRates,'GBP Curve Config'!OIS.SwapConv,'GBP Curve Config'!OIS.SwapRates),"DISABLED")</f>
        <v>GBPYC OIS Curve has been set (0.05400 sec)</v>
      </c>
      <c r="F28" s="129" t="s">
        <v>12</v>
      </c>
      <c r="G28" s="300" t="s">
        <v>189</v>
      </c>
      <c r="H28" s="136" t="b">
        <f t="shared" ref="H28:H34" ca="1" si="6">IF(UPPER(LEFT($C28,3))=MID($E28,7,3),TRUE,FALSE)</f>
        <v>1</v>
      </c>
      <c r="J28" s="300" t="s">
        <v>189</v>
      </c>
      <c r="K28" s="297">
        <f t="shared" ref="K28:K34" ca="1" si="7">IF(ISERROR(H28),1,IF(H28,0,1))</f>
        <v>0</v>
      </c>
      <c r="M28" s="129" t="s">
        <v>341</v>
      </c>
    </row>
    <row r="29" spans="1:13">
      <c r="B29" s="108" t="s">
        <v>12</v>
      </c>
      <c r="C29" s="301" t="s">
        <v>61</v>
      </c>
      <c r="D29" s="308" t="s">
        <v>264</v>
      </c>
      <c r="E29" s="294" t="str">
        <f ca="1">IF(AND(NOW(),CurveEnablement.GBP),IF(H28,_xll.meCurveCalibrateSwap(E$27,C29,'GBP Curve Config'!SwapCurveNamesCombined,'GBP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Config'!FuturesData,,),"#WAIT"),"DISABLED")</f>
        <v>GBPYC STD Curve has been set (0.00700 sec)</v>
      </c>
      <c r="F29" s="129" t="s">
        <v>12</v>
      </c>
      <c r="G29" s="301" t="s">
        <v>61</v>
      </c>
      <c r="H29" s="137" t="b">
        <f t="shared" ca="1" si="6"/>
        <v>1</v>
      </c>
      <c r="J29" s="301" t="s">
        <v>61</v>
      </c>
      <c r="K29" s="298">
        <f t="shared" ca="1" si="7"/>
        <v>0</v>
      </c>
      <c r="M29" s="138">
        <f ca="1">SUM(K28:K36)</f>
        <v>0</v>
      </c>
    </row>
    <row r="30" spans="1:13">
      <c r="B30" s="108" t="s">
        <v>12</v>
      </c>
      <c r="C30" s="301" t="s">
        <v>194</v>
      </c>
      <c r="D30" s="308" t="s">
        <v>258</v>
      </c>
      <c r="E30" s="294" t="str">
        <f ca="1">IF(AND(NOW(),CurveEnablement.GBP),IF(H29,_xll.meCurveCalibrateBasis(E$27,C30,'GBP Curve Config'!TenorBasis3x6CurveNamesCombined,'GBP Curve Config'!YieldCurvePropertiesTenorBasis,'GBP Curve Config'!BasisConv3x6,'GBP Curve Config'!BasisData3x6),"#WAIT"),"DISABLED")</f>
        <v>GBPYC 3M6MBasis Curve has been set (0.01200 sec)</v>
      </c>
      <c r="F30" s="129" t="s">
        <v>12</v>
      </c>
      <c r="G30" s="301" t="s">
        <v>194</v>
      </c>
      <c r="H30" s="137" t="b">
        <f t="shared" ca="1" si="6"/>
        <v>1</v>
      </c>
      <c r="J30" s="301" t="s">
        <v>194</v>
      </c>
      <c r="K30" s="298">
        <f t="shared" ca="1" si="7"/>
        <v>0</v>
      </c>
    </row>
    <row r="31" spans="1:13">
      <c r="B31" s="108" t="s">
        <v>12</v>
      </c>
      <c r="C31" s="311" t="s">
        <v>199</v>
      </c>
      <c r="D31" s="308" t="s">
        <v>332</v>
      </c>
      <c r="E31" s="294" t="str">
        <f ca="1">IF(AND(NOW(),CurveEnablement.GBP),IF(H30,_xll.meCurveCalibrateBasis(E$27,C31,'GBP Curve Config'!TenorBasis1x6CurveNamesCombined,'GBP Curve Config'!YieldCurvePropertiesTenorBasis,'GBP Curve Config'!BasisConv1x3,'GBP Curve Config'!BasisData1x3),"#WAIT"),"DISABLED")</f>
        <v>GBPYC 1M6MBasis Curve has been set (0.02500 sec)</v>
      </c>
      <c r="F31" s="129" t="s">
        <v>12</v>
      </c>
      <c r="G31" s="311" t="s">
        <v>195</v>
      </c>
      <c r="H31" s="137" t="b">
        <f t="shared" ca="1" si="6"/>
        <v>1</v>
      </c>
      <c r="J31" s="311" t="s">
        <v>195</v>
      </c>
      <c r="K31" s="298">
        <f t="shared" ca="1" si="7"/>
        <v>0</v>
      </c>
      <c r="M31" s="129" t="s">
        <v>1094</v>
      </c>
    </row>
    <row r="32" spans="1:13">
      <c r="B32" s="108" t="s">
        <v>12</v>
      </c>
      <c r="C32" s="301" t="s">
        <v>269</v>
      </c>
      <c r="D32" s="308" t="s">
        <v>270</v>
      </c>
      <c r="E32" s="296" t="str">
        <f ca="1">IF(AND(NOW(),CurveEnablement.GBP),IF(H31,_xll.meCurveCalibrateBasis(E$27,C32,'GBP Curve Config'!TenorBasis6x12CurveNamesCombined,'GBP Curve Config'!YieldCurvePropertiesTenorBasis,'GBP Curve Config'!BasisConv6x12,'GBP Curve Config'!BasisData6x12),"#WAIT"),"DISABLED")</f>
        <v>GBPYC 6M12MBasis Curve has been set (0.00500 sec)</v>
      </c>
      <c r="F32" s="129" t="s">
        <v>12</v>
      </c>
      <c r="G32" s="301" t="s">
        <v>268</v>
      </c>
      <c r="H32" s="304" t="b">
        <f t="shared" ca="1" si="6"/>
        <v>1</v>
      </c>
      <c r="J32" s="301" t="s">
        <v>268</v>
      </c>
      <c r="K32" s="299">
        <f t="shared" ca="1" si="7"/>
        <v>0</v>
      </c>
      <c r="M32" s="138">
        <f ca="1">SUM(K28:K32)</f>
        <v>0</v>
      </c>
    </row>
    <row r="33" spans="1:13">
      <c r="B33" s="108" t="s">
        <v>12</v>
      </c>
      <c r="C33" s="302" t="s">
        <v>196</v>
      </c>
      <c r="D33" s="319" t="str">
        <f>"Xccy Basis "&amp;$A27&amp;"/"&amp;"USD"</f>
        <v>Xccy Basis GBP/USD</v>
      </c>
      <c r="E33" s="328" t="str">
        <f ca="1">IF(AND(NOW(),CurveEnablement.GBP),IF(AND(H32,H10),_xll.meCurveCalibrateBasis(E$27,C33,'GBP Curve Config'!XccyBasisCurveNamesCombined,'GBP Curve Config'!XccyBasisProperties,'GBP Curve Config'!XccyBasisConvUSDCSA,'GBP Curve Config'!XccyBasisData),"#WAIT"),"DISABLED")</f>
        <v>GBPYC XccyBasis Curve has been set (0.01900 sec)</v>
      </c>
      <c r="F33" s="129" t="s">
        <v>12</v>
      </c>
      <c r="G33" s="302" t="s">
        <v>196</v>
      </c>
      <c r="H33" s="322" t="b">
        <f t="shared" ca="1" si="6"/>
        <v>1</v>
      </c>
      <c r="J33" s="302" t="s">
        <v>196</v>
      </c>
      <c r="K33" s="325">
        <f t="shared" ca="1" si="7"/>
        <v>0</v>
      </c>
    </row>
    <row r="34" spans="1:13">
      <c r="B34" s="108" t="s">
        <v>12</v>
      </c>
      <c r="C34" s="301" t="s">
        <v>1056</v>
      </c>
      <c r="D34" s="320" t="str">
        <f>"FX Forwards "&amp;A27&amp;"/EUR"</f>
        <v>FX Forwards GBP/EUR</v>
      </c>
      <c r="E34" s="317" t="str">
        <f ca="1">IF(AND(NOW(),CurveEnablement.GBP),IF(AND(H33,H22),_xll.meCurveCalibrateFXForwards(E$27,C34,'GBP Curve Config'!FwdFXConstCurveNamesCombinedEUR,'GBP Curve Config'!ConstForwardFXProperties,'GBP Curve Config'!ConstForwardFXEURCSA),"#WAIT"),"DISABLED")</f>
        <v>GBPYC FwdFXConstEUR Curve has been set (0.00000 sec)</v>
      </c>
      <c r="F34" s="129" t="s">
        <v>12</v>
      </c>
      <c r="G34" s="301" t="s">
        <v>197</v>
      </c>
      <c r="H34" s="323" t="b">
        <f t="shared" ca="1" si="6"/>
        <v>1</v>
      </c>
      <c r="J34" s="301" t="s">
        <v>197</v>
      </c>
      <c r="K34" s="326">
        <f t="shared" ca="1" si="7"/>
        <v>0</v>
      </c>
    </row>
    <row r="35" spans="1:13">
      <c r="C35" s="301" t="s">
        <v>1057</v>
      </c>
      <c r="D35" s="320" t="str">
        <f>"FX Forwards "&amp;A27&amp;"/GBP"</f>
        <v>FX Forwards GBP/GBP</v>
      </c>
      <c r="E35" s="330" t="s">
        <v>6</v>
      </c>
      <c r="F35" s="129" t="s">
        <v>12</v>
      </c>
      <c r="G35" s="301" t="s">
        <v>197</v>
      </c>
      <c r="H35" s="323" t="s">
        <v>6</v>
      </c>
      <c r="J35" s="301" t="s">
        <v>197</v>
      </c>
      <c r="K35" s="326" t="s">
        <v>6</v>
      </c>
    </row>
    <row r="36" spans="1:13">
      <c r="C36" s="303" t="s">
        <v>1058</v>
      </c>
      <c r="D36" s="321" t="str">
        <f>"FX Forwards "&amp;A27&amp;"/JPY"</f>
        <v>FX Forwards GBP/JPY</v>
      </c>
      <c r="E36" s="318" t="str">
        <f ca="1">IF(AND(NOW(),CurveEnablement.GBP),IF(AND(H33,H44),_xll.meCurveCalibrateFXForwards(E$27,C36,'GBP Curve Config'!FwdFXConstCurveNamesCombinedJPY,'GBP Curve Config'!ConstForwardFXProperties,'GBP Curve Config'!ConstForwardFXJPYCSA),"#WAIT"),"DISABLED")</f>
        <v>GBPYC FwdFXConstJPY Curve has been set (0.00100 sec)</v>
      </c>
      <c r="F36" s="129" t="s">
        <v>12</v>
      </c>
      <c r="G36" s="303" t="s">
        <v>197</v>
      </c>
      <c r="H36" s="324" t="b">
        <f ca="1">IF(UPPER(LEFT($C36,3))=MID($E36,7,3),TRUE,FALSE)</f>
        <v>1</v>
      </c>
      <c r="J36" s="303" t="s">
        <v>197</v>
      </c>
      <c r="K36" s="327">
        <f ca="1">IF(ISERROR(H36),1,IF(H36,0,1))</f>
        <v>0</v>
      </c>
    </row>
    <row r="37" spans="1:13">
      <c r="B37" s="108" t="s">
        <v>12</v>
      </c>
      <c r="C37" s="106"/>
      <c r="D37" s="309"/>
      <c r="F37" s="129"/>
      <c r="H37" s="130"/>
      <c r="K37" s="130"/>
    </row>
    <row r="38" spans="1:13" ht="15" customHeight="1">
      <c r="A38" s="1426" t="s">
        <v>188</v>
      </c>
      <c r="B38" s="106" t="s">
        <v>12</v>
      </c>
      <c r="C38" s="106"/>
      <c r="D38" s="306" t="s">
        <v>343</v>
      </c>
      <c r="E38" s="131" t="s">
        <v>1047</v>
      </c>
      <c r="F38" s="129" t="s">
        <v>12</v>
      </c>
      <c r="H38" s="144"/>
      <c r="K38" s="144"/>
    </row>
    <row r="39" spans="1:13" ht="15" customHeight="1">
      <c r="A39" s="1426"/>
      <c r="B39" s="108" t="s">
        <v>12</v>
      </c>
      <c r="C39" s="300" t="s">
        <v>189</v>
      </c>
      <c r="D39" s="307" t="s">
        <v>266</v>
      </c>
      <c r="E39" s="293" t="str">
        <f ca="1">IF(AND(NOW(),CurveEnablement.JPY),_xll.meCurveCalibrateOIS(E$38,C39,'JPY Curve Config'!OISCurveNamesCombined,'JPY Curve Config'!YieldCurvePropertiesOIS,'JPY Curve Config'!OISConv,'JPY Curve Config'!OISRates,'JPY Curve Config'!OISHistoricalRates,'JPY Curve Config'!OIS.LOBasisConv,'JPY Curve Config'!OIS.LobRates,'JPY Curve Config'!OIS.SwapConv,'JPY Curve Config'!OIS.SwapRates),"DISABLED")</f>
        <v>JPYYC OIS Curve has been set (0.02500 sec)</v>
      </c>
      <c r="F39" s="129" t="s">
        <v>12</v>
      </c>
      <c r="G39" s="300" t="s">
        <v>189</v>
      </c>
      <c r="H39" s="136" t="b">
        <f ca="1">IF(UPPER(LEFT($C39,3))=MID($E39,7,3),TRUE,FALSE)</f>
        <v>1</v>
      </c>
      <c r="J39" s="300" t="s">
        <v>189</v>
      </c>
      <c r="K39" s="297">
        <f ca="1">IF(ISERROR(H39),1,IF(H39,0,1))</f>
        <v>0</v>
      </c>
      <c r="M39" s="129" t="s">
        <v>342</v>
      </c>
    </row>
    <row r="40" spans="1:13">
      <c r="B40" s="108" t="s">
        <v>12</v>
      </c>
      <c r="C40" s="301" t="s">
        <v>61</v>
      </c>
      <c r="D40" s="308" t="s">
        <v>264</v>
      </c>
      <c r="E40" s="294" t="str">
        <f ca="1">IF(AND(NOW(),CurveEnablement.JPY),IF(H39,_xll.meCurveCalibrateSwap(E$38,C40,'JPY Curve Config'!SwapCurveNamesCombined,'JPY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Config'!FuturesData,,),"#WAIT"),"DISABLED")</f>
        <v>JPYYC STD Curve has been set (0.00700 sec)</v>
      </c>
      <c r="F40" s="129" t="s">
        <v>12</v>
      </c>
      <c r="G40" s="301" t="s">
        <v>61</v>
      </c>
      <c r="H40" s="137" t="b">
        <f ca="1">IF(UPPER(LEFT($C40,3))=MID($E40,7,3),TRUE,FALSE)</f>
        <v>1</v>
      </c>
      <c r="J40" s="301" t="s">
        <v>61</v>
      </c>
      <c r="K40" s="298">
        <f ca="1">IF(ISERROR(H40),1,IF(H40,0,1))</f>
        <v>0</v>
      </c>
      <c r="M40" s="138">
        <f ca="1">SUM(K39:K47)</f>
        <v>0</v>
      </c>
    </row>
    <row r="41" spans="1:13">
      <c r="B41" s="108" t="s">
        <v>12</v>
      </c>
      <c r="C41" s="301" t="s">
        <v>194</v>
      </c>
      <c r="D41" s="308" t="s">
        <v>258</v>
      </c>
      <c r="E41" s="294" t="str">
        <f ca="1">IF(AND(NOW(),CurveEnablement.JPY),IF(H40,_xll.meCurveCalibrateBasis(E$38,C41,'JPY Curve Config'!TenorBasis3x6CurveNamesCombined,'JPY Curve Config'!YieldCurvePropertiesTenorBasis,'JPY Curve Config'!BasisConv3x6,'JPY Curve Config'!BasisData3x6),"#WAIT"),"DISABLED")</f>
        <v>JPYYC 3M6MBasis Curve has been set (0.01200 sec)</v>
      </c>
      <c r="F41" s="129" t="s">
        <v>12</v>
      </c>
      <c r="G41" s="301" t="s">
        <v>194</v>
      </c>
      <c r="H41" s="137" t="b">
        <f ca="1">IF(UPPER(LEFT($C41,3))=MID($E41,7,3),TRUE,FALSE)</f>
        <v>1</v>
      </c>
      <c r="J41" s="301" t="s">
        <v>194</v>
      </c>
      <c r="K41" s="298">
        <f ca="1">IF(ISERROR(H41),1,IF(H41,0,1))</f>
        <v>0</v>
      </c>
    </row>
    <row r="42" spans="1:13">
      <c r="B42" s="108" t="s">
        <v>12</v>
      </c>
      <c r="C42" s="311" t="s">
        <v>199</v>
      </c>
      <c r="D42" s="308" t="s">
        <v>332</v>
      </c>
      <c r="E42" s="294" t="str">
        <f ca="1">IF(AND(NOW(),CurveEnablement.JPY),IF(H41,_xll.meCurveCalibrateBasis(E$38,C42,'JPY Curve Config'!TenorBasis1x6CurveNamesCombined,'JPY Curve Config'!YieldCurvePropertiesTenorBasis,'JPY Curve Config'!BasisConv1x3,'JPY Curve Config'!BasisData1x3),"#WAIT"),"DISABLED")</f>
        <v>JPYYC 1M6MBasis Curve has been set (0.02600 sec)</v>
      </c>
      <c r="F42" s="129" t="s">
        <v>12</v>
      </c>
      <c r="G42" s="311" t="s">
        <v>195</v>
      </c>
      <c r="H42" s="137" t="b">
        <f ca="1">IF(UPPER(LEFT($C42,3))=MID($E42,7,3),TRUE,FALSE)</f>
        <v>1</v>
      </c>
      <c r="J42" s="311" t="s">
        <v>195</v>
      </c>
      <c r="K42" s="298">
        <f ca="1">IF(ISERROR(H42),1,IF(H42,0,1))</f>
        <v>0</v>
      </c>
      <c r="M42" s="129" t="s">
        <v>1095</v>
      </c>
    </row>
    <row r="43" spans="1:13">
      <c r="B43" s="108" t="s">
        <v>12</v>
      </c>
      <c r="C43" s="301" t="s">
        <v>268</v>
      </c>
      <c r="D43" s="308" t="s">
        <v>270</v>
      </c>
      <c r="E43" s="295" t="s">
        <v>6</v>
      </c>
      <c r="F43" s="129" t="s">
        <v>12</v>
      </c>
      <c r="G43" s="301" t="s">
        <v>268</v>
      </c>
      <c r="H43" s="304" t="s">
        <v>6</v>
      </c>
      <c r="J43" s="301" t="s">
        <v>268</v>
      </c>
      <c r="K43" s="299" t="s">
        <v>6</v>
      </c>
      <c r="M43" s="138">
        <f ca="1">SUM(K39:K43)</f>
        <v>0</v>
      </c>
    </row>
    <row r="44" spans="1:13">
      <c r="B44" s="108" t="s">
        <v>12</v>
      </c>
      <c r="C44" s="302" t="s">
        <v>196</v>
      </c>
      <c r="D44" s="319" t="str">
        <f>"Xccy Basis "&amp;$A38&amp;"/"&amp;"USD"</f>
        <v>Xccy Basis JPY/USD</v>
      </c>
      <c r="E44" s="328" t="str">
        <f ca="1">IF(AND(NOW(),CurveEnablement.JPY),IF(AND(H42,H10),_xll.meCurveCalibrateBasis(E$38,C44,'JPY Curve Config'!XccyBasisCurveNamesCombined,'JPY Curve Config'!XccyBasisProperties,'JPY Curve Config'!XccyBasisConvUSDCSA,'JPY Curve Config'!XccyBasisData),"#WAIT"),"DISABLED")</f>
        <v>JPYYC XccyBasis Curve has been set (0.01400 sec)</v>
      </c>
      <c r="F44" s="129" t="s">
        <v>12</v>
      </c>
      <c r="G44" s="302" t="s">
        <v>196</v>
      </c>
      <c r="H44" s="322" t="b">
        <f ca="1">IF(UPPER(LEFT($C44,3))=MID($E44,7,3),TRUE,FALSE)</f>
        <v>1</v>
      </c>
      <c r="J44" s="302" t="s">
        <v>196</v>
      </c>
      <c r="K44" s="325">
        <f ca="1">IF(ISERROR(H44),1,IF(H44,0,1))</f>
        <v>0</v>
      </c>
    </row>
    <row r="45" spans="1:13">
      <c r="B45" s="108" t="s">
        <v>12</v>
      </c>
      <c r="C45" s="301" t="s">
        <v>1056</v>
      </c>
      <c r="D45" s="320" t="str">
        <f>"FX Forwards "&amp;A38&amp;"/EUR"</f>
        <v>FX Forwards JPY/EUR</v>
      </c>
      <c r="E45" s="317" t="str">
        <f ca="1">IF(AND(NOW(),CurveEnablement.JPY),IF(AND(H44,H22),_xll.meCurveCalibrateFXForwards(E$38,$C45,'JPY Curve Config'!FwdFXConstCurveNamesCombinedEUR,'JPY Curve Config'!ConstForwardFXProperties,'JPY Curve Config'!ConstForwardFXEURCSA),"#WAIT"),"DISABLED")</f>
        <v>JPYYC FwdFXConstEUR Curve has been set (0.00000 sec)</v>
      </c>
      <c r="F45" s="129" t="s">
        <v>12</v>
      </c>
      <c r="G45" s="301" t="s">
        <v>197</v>
      </c>
      <c r="H45" s="323" t="b">
        <f ca="1">IF(UPPER(LEFT($C45,3))=MID($E45,7,3),TRUE,FALSE)</f>
        <v>1</v>
      </c>
      <c r="J45" s="301" t="s">
        <v>197</v>
      </c>
      <c r="K45" s="326">
        <f ca="1">IF(ISERROR(H45),1,IF(H45,0,1))</f>
        <v>0</v>
      </c>
    </row>
    <row r="46" spans="1:13">
      <c r="C46" s="301" t="s">
        <v>1057</v>
      </c>
      <c r="D46" s="320" t="str">
        <f>"FX Forwards "&amp;A38&amp;"/GBP"</f>
        <v>FX Forwards JPY/GBP</v>
      </c>
      <c r="E46" s="317" t="str">
        <f ca="1">IF(AND(NOW(),CurveEnablement.JPY),IF(AND(H44,H33),_xll.meCurveCalibrateFXForwards(E$38,$C46,'JPY Curve Config'!FwdFXConstCurveNamesCombinedGBP,'JPY Curve Config'!ConstForwardFXProperties,'JPY Curve Config'!ConstForwardFXGBPCSA),"#WAIT"),"DISABLED")</f>
        <v>JPYYC FwdFXConstGBP Curve has been set (0.00100 sec)</v>
      </c>
      <c r="F46" s="129" t="s">
        <v>12</v>
      </c>
      <c r="G46" s="301" t="s">
        <v>197</v>
      </c>
      <c r="H46" s="323" t="b">
        <f ca="1">IF(UPPER(LEFT($C46,3))=MID($E46,7,3),TRUE,FALSE)</f>
        <v>1</v>
      </c>
      <c r="J46" s="301" t="s">
        <v>197</v>
      </c>
      <c r="K46" s="326">
        <f ca="1">IF(ISERROR(H46),1,IF(H46,0,1))</f>
        <v>0</v>
      </c>
    </row>
    <row r="47" spans="1:13">
      <c r="C47" s="303" t="s">
        <v>1058</v>
      </c>
      <c r="D47" s="321" t="str">
        <f>"FX Forwards "&amp;A38&amp;"/JPY"</f>
        <v>FX Forwards JPY/JPY</v>
      </c>
      <c r="E47" s="329" t="s">
        <v>6</v>
      </c>
      <c r="F47" s="129" t="s">
        <v>12</v>
      </c>
      <c r="G47" s="303" t="s">
        <v>197</v>
      </c>
      <c r="H47" s="324" t="s">
        <v>6</v>
      </c>
      <c r="J47" s="303" t="s">
        <v>197</v>
      </c>
      <c r="K47" s="327" t="s">
        <v>6</v>
      </c>
    </row>
  </sheetData>
  <mergeCells count="5">
    <mergeCell ref="C2:E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C00000"/>
    <pageSetUpPr fitToPage="1"/>
  </sheetPr>
  <dimension ref="B1:M4101"/>
  <sheetViews>
    <sheetView showGridLines="0" zoomScaleNormal="100" workbookViewId="0"/>
  </sheetViews>
  <sheetFormatPr defaultRowHeight="15"/>
  <cols>
    <col min="1" max="1" width="2.7109375" style="235" customWidth="1"/>
    <col min="2" max="3" width="20.7109375" style="235" customWidth="1"/>
    <col min="4" max="4" width="2.7109375" style="235" customWidth="1"/>
    <col min="5" max="5" width="13.140625" style="235" customWidth="1"/>
    <col min="6" max="6" width="11" style="235" customWidth="1"/>
    <col min="7" max="7" width="10.5703125" style="235" customWidth="1"/>
    <col min="8" max="16384" width="9.140625" style="235"/>
  </cols>
  <sheetData>
    <row r="1" spans="2:13">
      <c r="F1" s="236"/>
    </row>
    <row r="3" spans="2:13">
      <c r="E3" s="236"/>
      <c r="F3" s="236"/>
    </row>
    <row r="4" spans="2:13">
      <c r="B4" s="390" t="s">
        <v>953</v>
      </c>
      <c r="E4" s="386" t="s">
        <v>1435</v>
      </c>
      <c r="F4" s="236"/>
    </row>
    <row r="5" spans="2:13">
      <c r="B5" s="653" t="s">
        <v>1432</v>
      </c>
      <c r="C5" s="654" t="s">
        <v>1045</v>
      </c>
      <c r="E5" s="657" t="s">
        <v>1755</v>
      </c>
      <c r="F5" s="521" t="str">
        <f>IF(ForwardCurves.Periodicity="1D","OIS",LEFT($C$5,3)&amp;ForwardCurves.Periodicity&amp;"L")</f>
        <v>EUR6ML</v>
      </c>
      <c r="G5" s="404" t="s">
        <v>1478</v>
      </c>
    </row>
    <row r="6" spans="2:13">
      <c r="E6" s="658">
        <f ca="1">COB</f>
        <v>43224</v>
      </c>
      <c r="F6" s="659">
        <f t="array" aca="1" ref="F6:F4100" ca="1">_xll.meCurveForwardRates($E$6:$E$4100,ForwardCurves.CurveID,$C$17)</f>
        <v>-2.6938709677420116E-3</v>
      </c>
      <c r="G6" s="656">
        <v>-2.6929508196720884E-3</v>
      </c>
      <c r="H6" s="237"/>
      <c r="I6" s="236"/>
      <c r="J6" s="237"/>
      <c r="K6" s="237"/>
      <c r="L6" s="237"/>
      <c r="M6" s="237"/>
    </row>
    <row r="7" spans="2:13">
      <c r="B7" s="390" t="s">
        <v>1438</v>
      </c>
      <c r="E7" s="658">
        <f ca="1">_xll.meDateFromTenor(E6,"1D","Following",$C$16)</f>
        <v>43227</v>
      </c>
      <c r="F7" s="659">
        <f ca="1"/>
        <v>-2.6909677419355567E-3</v>
      </c>
      <c r="G7" s="656">
        <v>-2.6909836065573357E-3</v>
      </c>
      <c r="H7" s="237"/>
      <c r="I7" s="236"/>
      <c r="J7" s="237"/>
    </row>
    <row r="8" spans="2:13">
      <c r="B8" s="410" t="s">
        <v>1439</v>
      </c>
      <c r="C8" s="387" t="s">
        <v>22</v>
      </c>
      <c r="E8" s="658">
        <f ca="1">_xll.meDateFromTenor(E7,"1D","Following",$C$16)</f>
        <v>43228</v>
      </c>
      <c r="F8" s="659">
        <f ca="1"/>
        <v>-2.6900000000000717E-3</v>
      </c>
      <c r="G8" s="656">
        <v>-2.6899999999999594E-3</v>
      </c>
      <c r="H8" s="237"/>
      <c r="I8" s="236"/>
      <c r="J8" s="237"/>
    </row>
    <row r="9" spans="2:13">
      <c r="B9" s="409" t="s">
        <v>1437</v>
      </c>
      <c r="C9" s="388">
        <v>10</v>
      </c>
      <c r="E9" s="658">
        <f ca="1">_xll.meDateFromTenor(E8,"1D","Following",$C$16)</f>
        <v>43229</v>
      </c>
      <c r="F9" s="659">
        <f ca="1"/>
        <v>-2.6890322580645867E-3</v>
      </c>
      <c r="G9" s="656">
        <v>-2.689016393442583E-3</v>
      </c>
      <c r="H9" s="237"/>
      <c r="I9" s="236"/>
      <c r="J9" s="237"/>
    </row>
    <row r="10" spans="2:13">
      <c r="B10" s="390"/>
      <c r="E10" s="658">
        <f ca="1">_xll.meDateFromTenor(E9,"1D","Following",$C$16)</f>
        <v>43230</v>
      </c>
      <c r="F10" s="659">
        <f ca="1"/>
        <v>-2.6880645161291017E-3</v>
      </c>
      <c r="G10" s="656">
        <v>-2.686065573770454E-3</v>
      </c>
      <c r="H10" s="237"/>
      <c r="I10" s="236"/>
      <c r="J10" s="237"/>
    </row>
    <row r="11" spans="2:13">
      <c r="B11" s="390" t="s">
        <v>1989</v>
      </c>
      <c r="E11" s="658">
        <f ca="1">_xll.meDateFromTenor(E10,"1D","Following",$C$16)</f>
        <v>43231</v>
      </c>
      <c r="F11" s="659">
        <f ca="1"/>
        <v>-2.6870967741936167E-3</v>
      </c>
      <c r="G11" s="656">
        <v>-2.6850819672130776E-3</v>
      </c>
      <c r="H11" s="237"/>
      <c r="I11" s="236"/>
      <c r="J11" s="237"/>
    </row>
    <row r="12" spans="2:13">
      <c r="B12" s="405" t="s">
        <v>1476</v>
      </c>
      <c r="C12" s="389" t="b">
        <v>0</v>
      </c>
      <c r="E12" s="658">
        <f ca="1">_xll.meDateFromTenor(E11,"1D","Following",$C$16)</f>
        <v>43234</v>
      </c>
      <c r="F12" s="659">
        <f ca="1"/>
        <v>-2.6841935483871613E-3</v>
      </c>
      <c r="G12" s="656">
        <v>-2.6840983606557013E-3</v>
      </c>
      <c r="H12" s="237"/>
      <c r="I12" s="236"/>
      <c r="J12" s="237"/>
    </row>
    <row r="13" spans="2:13">
      <c r="B13" s="406" t="s">
        <v>1477</v>
      </c>
      <c r="C13" s="407">
        <v>2</v>
      </c>
      <c r="E13" s="658">
        <f ca="1">_xll.meDateFromTenor(E12,"1D","Following",$C$16)</f>
        <v>43235</v>
      </c>
      <c r="F13" s="659">
        <f ca="1"/>
        <v>-2.6832258064516763E-3</v>
      </c>
      <c r="G13" s="656">
        <v>-2.6831147540983245E-3</v>
      </c>
      <c r="H13" s="237"/>
      <c r="I13" s="236"/>
      <c r="J13" s="237"/>
    </row>
    <row r="14" spans="2:13">
      <c r="B14" s="335"/>
      <c r="E14" s="658">
        <f ca="1">_xll.meDateFromTenor(E13,"1D","Following",$C$16)</f>
        <v>43236</v>
      </c>
      <c r="F14" s="659">
        <f ca="1"/>
        <v>-2.6822580645161913E-3</v>
      </c>
      <c r="G14" s="656">
        <v>-2.6821311475409481E-3</v>
      </c>
      <c r="H14" s="237"/>
      <c r="I14" s="236"/>
      <c r="J14" s="237"/>
    </row>
    <row r="15" spans="2:13">
      <c r="B15" s="390" t="s">
        <v>1479</v>
      </c>
      <c r="E15" s="658">
        <f ca="1">_xll.meDateFromTenor(E14,"1D","Following",$C$16)</f>
        <v>43237</v>
      </c>
      <c r="F15" s="659">
        <f ca="1"/>
        <v>-2.6812903225807063E-3</v>
      </c>
      <c r="G15" s="656">
        <v>-2.6791803278688191E-3</v>
      </c>
      <c r="H15" s="237"/>
      <c r="I15" s="236"/>
      <c r="J15" s="237"/>
    </row>
    <row r="16" spans="2:13">
      <c r="B16" s="408" t="s">
        <v>1433</v>
      </c>
      <c r="C16" s="655" t="str">
        <f ca="1">INDIRECT("'"&amp;LEFT(ForwardCurves.CurveID,3)&amp;" Curve Config'!K8")</f>
        <v>TGT</v>
      </c>
      <c r="E16" s="658">
        <f ca="1">_xll.meDateFromTenor(E15,"1D","Following",$C$16)</f>
        <v>43238</v>
      </c>
      <c r="F16" s="659">
        <f ca="1"/>
        <v>-2.6803225806452213E-3</v>
      </c>
      <c r="G16" s="656">
        <v>-2.6781967213114427E-3</v>
      </c>
      <c r="H16" s="237"/>
      <c r="I16" s="236"/>
      <c r="J16" s="237"/>
    </row>
    <row r="17" spans="2:10">
      <c r="B17" s="411" t="s">
        <v>1443</v>
      </c>
      <c r="C17" s="412" t="str">
        <f>IF(ForwardCurves.Periodicity="1D","OIS",LEFT(ForwardCurves.CurveID,3)&amp;ForwardCurves.Periodicity&amp;"L")</f>
        <v>EUR6ML</v>
      </c>
      <c r="E17" s="658">
        <f ca="1">_xll.meDateFromTenor(E16,"1D","Following",$C$16)</f>
        <v>43241</v>
      </c>
      <c r="F17" s="659">
        <f ca="1"/>
        <v>-2.6774193548387663E-3</v>
      </c>
      <c r="G17" s="656">
        <v>-2.6772131147540664E-3</v>
      </c>
      <c r="H17" s="237"/>
      <c r="I17" s="236"/>
      <c r="J17" s="237"/>
    </row>
    <row r="18" spans="2:10">
      <c r="E18" s="658">
        <f ca="1">_xll.meDateFromTenor(E17,"1D","Following",$C$16)</f>
        <v>43242</v>
      </c>
      <c r="F18" s="659">
        <f ca="1"/>
        <v>-2.6764516129032813E-3</v>
      </c>
      <c r="G18" s="656">
        <v>-2.67622950819669E-3</v>
      </c>
      <c r="H18" s="237"/>
      <c r="I18" s="236"/>
      <c r="J18" s="237"/>
    </row>
    <row r="19" spans="2:10">
      <c r="B19" s="335" t="s">
        <v>1436</v>
      </c>
      <c r="E19" s="658">
        <f ca="1">_xll.meDateFromTenor(E18,"1D","Following",$C$16)</f>
        <v>43243</v>
      </c>
      <c r="F19" s="659">
        <f ca="1"/>
        <v>-2.6754838709677964E-3</v>
      </c>
      <c r="G19" s="656">
        <v>-2.6752459016393137E-3</v>
      </c>
      <c r="H19" s="237"/>
      <c r="I19" s="236"/>
      <c r="J19" s="237"/>
    </row>
    <row r="20" spans="2:10">
      <c r="B20" s="413">
        <f>MIN(ForwardCurves.DisplayYears*365,4000)</f>
        <v>3650</v>
      </c>
      <c r="E20" s="658">
        <f ca="1">_xll.meDateFromTenor(E19,"1D","Following",$C$16)</f>
        <v>43244</v>
      </c>
      <c r="F20" s="659">
        <f ca="1"/>
        <v>-2.6745161290323114E-3</v>
      </c>
      <c r="G20" s="656">
        <v>-2.6722950819671847E-3</v>
      </c>
      <c r="H20" s="237"/>
      <c r="I20" s="236"/>
      <c r="J20" s="237"/>
    </row>
    <row r="21" spans="2:10">
      <c r="E21" s="658">
        <f ca="1">_xll.meDateFromTenor(E20,"1D","Following",$C$16)</f>
        <v>43245</v>
      </c>
      <c r="F21" s="659">
        <f ca="1"/>
        <v>-2.6735483870968264E-3</v>
      </c>
      <c r="G21" s="656">
        <v>-2.6713114754098083E-3</v>
      </c>
      <c r="H21" s="237"/>
      <c r="I21" s="236"/>
      <c r="J21" s="237"/>
    </row>
    <row r="22" spans="2:10">
      <c r="E22" s="658">
        <f ca="1">_xll.meDateFromTenor(E21,"1D","Following",$C$16)</f>
        <v>43248</v>
      </c>
      <c r="F22" s="659">
        <f ca="1"/>
        <v>-2.670645161290371E-3</v>
      </c>
      <c r="G22" s="656">
        <v>-2.6703278688524315E-3</v>
      </c>
      <c r="H22" s="237"/>
      <c r="I22" s="236"/>
      <c r="J22" s="237"/>
    </row>
    <row r="23" spans="2:10">
      <c r="E23" s="658">
        <f ca="1">_xll.meDateFromTenor(E22,"1D","Following",$C$16)</f>
        <v>43249</v>
      </c>
      <c r="F23" s="659">
        <f ca="1"/>
        <v>-2.669677419354886E-3</v>
      </c>
      <c r="G23" s="656">
        <v>-2.6693442622950552E-3</v>
      </c>
      <c r="H23" s="237"/>
      <c r="I23" s="236"/>
      <c r="J23" s="237"/>
    </row>
    <row r="24" spans="2:10">
      <c r="E24" s="658">
        <f ca="1">_xll.meDateFromTenor(E23,"1D","Following",$C$16)</f>
        <v>43250</v>
      </c>
      <c r="F24" s="659">
        <f ca="1"/>
        <v>-2.668709677419401E-3</v>
      </c>
      <c r="G24" s="656">
        <v>-2.6683606557376788E-3</v>
      </c>
      <c r="H24" s="237"/>
      <c r="I24" s="236"/>
      <c r="J24" s="237"/>
    </row>
    <row r="25" spans="2:10">
      <c r="E25" s="658">
        <f ca="1">_xll.meDateFromTenor(E24,"1D","Following",$C$16)</f>
        <v>43251</v>
      </c>
      <c r="F25" s="659">
        <f ca="1"/>
        <v>-2.667741935483916E-3</v>
      </c>
      <c r="G25" s="656">
        <v>-2.6654098360655498E-3</v>
      </c>
      <c r="H25" s="237"/>
      <c r="I25" s="236"/>
      <c r="J25" s="237"/>
    </row>
    <row r="26" spans="2:10">
      <c r="E26" s="658">
        <f ca="1">_xll.meDateFromTenor(E25,"1D","Following",$C$16)</f>
        <v>43252</v>
      </c>
      <c r="F26" s="659">
        <f ca="1"/>
        <v>-2.666774193548431E-3</v>
      </c>
      <c r="G26" s="656">
        <v>-2.6644262295081734E-3</v>
      </c>
      <c r="H26" s="237"/>
      <c r="I26" s="236"/>
      <c r="J26" s="237"/>
    </row>
    <row r="27" spans="2:10">
      <c r="E27" s="658">
        <f ca="1">_xll.meDateFromTenor(E26,"1D","Following",$C$16)</f>
        <v>43255</v>
      </c>
      <c r="F27" s="659">
        <f ca="1"/>
        <v>-2.663870967741976E-3</v>
      </c>
      <c r="G27" s="656">
        <v>-2.6634426229507971E-3</v>
      </c>
      <c r="H27" s="237"/>
      <c r="I27" s="236"/>
      <c r="J27" s="237"/>
    </row>
    <row r="28" spans="2:10">
      <c r="E28" s="658">
        <f ca="1">_xll.meDateFromTenor(E27,"1D","Following",$C$16)</f>
        <v>43256</v>
      </c>
      <c r="F28" s="659">
        <f ca="1"/>
        <v>-2.662903225806491E-3</v>
      </c>
      <c r="G28" s="656">
        <v>-2.6624590163934207E-3</v>
      </c>
      <c r="H28" s="237"/>
      <c r="I28" s="236"/>
      <c r="J28" s="237"/>
    </row>
    <row r="29" spans="2:10">
      <c r="E29" s="658">
        <f ca="1">_xll.meDateFromTenor(E28,"1D","Following",$C$16)</f>
        <v>43257</v>
      </c>
      <c r="F29" s="659">
        <f ca="1"/>
        <v>-2.661935483871006E-3</v>
      </c>
      <c r="G29" s="656">
        <v>-2.6614754098360444E-3</v>
      </c>
      <c r="H29" s="237"/>
      <c r="I29" s="236"/>
      <c r="J29" s="237"/>
    </row>
    <row r="30" spans="2:10">
      <c r="E30" s="658">
        <f ca="1">_xll.meDateFromTenor(E29,"1D","Following",$C$16)</f>
        <v>43258</v>
      </c>
      <c r="F30" s="659">
        <f ca="1"/>
        <v>-2.6609677419355206E-3</v>
      </c>
      <c r="G30" s="656">
        <v>-2.6585245901639153E-3</v>
      </c>
      <c r="H30" s="237"/>
      <c r="I30" s="236"/>
      <c r="J30" s="237"/>
    </row>
    <row r="31" spans="2:10">
      <c r="E31" s="658">
        <f ca="1">_xll.meDateFromTenor(E30,"1D","Following",$C$16)</f>
        <v>43259</v>
      </c>
      <c r="F31" s="659">
        <f ca="1"/>
        <v>-2.6600000000000356E-3</v>
      </c>
      <c r="G31" s="656">
        <v>-2.6575409836065386E-3</v>
      </c>
      <c r="H31" s="237"/>
      <c r="I31" s="236"/>
      <c r="J31" s="237"/>
    </row>
    <row r="32" spans="2:10">
      <c r="E32" s="658">
        <f ca="1">_xll.meDateFromTenor(E31,"1D","Following",$C$16)</f>
        <v>43262</v>
      </c>
      <c r="F32" s="659">
        <f ca="1"/>
        <v>-2.6570967741935806E-3</v>
      </c>
      <c r="G32" s="656">
        <v>-2.6565573770491622E-3</v>
      </c>
      <c r="H32" s="237"/>
      <c r="I32" s="236"/>
      <c r="J32" s="237"/>
    </row>
    <row r="33" spans="5:10">
      <c r="E33" s="658">
        <f ca="1">_xll.meDateFromTenor(E32,"1D","Following",$C$16)</f>
        <v>43263</v>
      </c>
      <c r="F33" s="659">
        <f ca="1"/>
        <v>-2.6561290322580956E-3</v>
      </c>
      <c r="G33" s="656">
        <v>-2.6555737704917859E-3</v>
      </c>
      <c r="H33" s="237"/>
      <c r="I33" s="236"/>
      <c r="J33" s="237"/>
    </row>
    <row r="34" spans="5:10">
      <c r="E34" s="658">
        <f ca="1">_xll.meDateFromTenor(E33,"1D","Following",$C$16)</f>
        <v>43264</v>
      </c>
      <c r="F34" s="659">
        <f ca="1"/>
        <v>-2.6551612903226106E-3</v>
      </c>
      <c r="G34" s="656">
        <v>-2.6545901639344095E-3</v>
      </c>
      <c r="H34" s="237"/>
      <c r="I34" s="236"/>
      <c r="J34" s="237"/>
    </row>
    <row r="35" spans="5:10">
      <c r="E35" s="658">
        <f ca="1">_xll.meDateFromTenor(E34,"1D","Following",$C$16)</f>
        <v>43265</v>
      </c>
      <c r="F35" s="659">
        <f ca="1"/>
        <v>-2.6541935483871256E-3</v>
      </c>
      <c r="G35" s="656">
        <v>-2.6516393442622805E-3</v>
      </c>
      <c r="H35" s="237"/>
      <c r="I35" s="236"/>
      <c r="J35" s="237"/>
    </row>
    <row r="36" spans="5:10">
      <c r="E36" s="658">
        <f ca="1">_xll.meDateFromTenor(E35,"1D","Following",$C$16)</f>
        <v>43266</v>
      </c>
      <c r="F36" s="659">
        <f ca="1"/>
        <v>-2.6532258064516407E-3</v>
      </c>
      <c r="G36" s="656">
        <v>-2.6506557377049041E-3</v>
      </c>
      <c r="H36" s="237"/>
      <c r="I36" s="236"/>
      <c r="J36" s="237"/>
    </row>
    <row r="37" spans="5:10">
      <c r="E37" s="658">
        <f ca="1">_xll.meDateFromTenor(E36,"1D","Following",$C$16)</f>
        <v>43269</v>
      </c>
      <c r="F37" s="659">
        <f ca="1"/>
        <v>-2.6503225806451857E-3</v>
      </c>
      <c r="G37" s="656">
        <v>-2.6496721311475278E-3</v>
      </c>
      <c r="H37" s="237"/>
      <c r="I37" s="236"/>
      <c r="J37" s="237"/>
    </row>
    <row r="38" spans="5:10">
      <c r="E38" s="658">
        <f ca="1">_xll.meDateFromTenor(E37,"1D","Following",$C$16)</f>
        <v>43270</v>
      </c>
      <c r="F38" s="659">
        <f ca="1"/>
        <v>-2.6493548387097007E-3</v>
      </c>
      <c r="G38" s="656">
        <v>-2.6486885245901514E-3</v>
      </c>
      <c r="H38" s="237"/>
      <c r="I38" s="236"/>
      <c r="J38" s="237"/>
    </row>
    <row r="39" spans="5:10">
      <c r="E39" s="658">
        <f ca="1">_xll.meDateFromTenor(E38,"1D","Following",$C$16)</f>
        <v>43271</v>
      </c>
      <c r="F39" s="659">
        <f ca="1"/>
        <v>-2.6483870967742153E-3</v>
      </c>
      <c r="G39" s="656">
        <v>-2.6477049180327751E-3</v>
      </c>
      <c r="H39" s="237"/>
      <c r="I39" s="236"/>
      <c r="J39" s="237"/>
    </row>
    <row r="40" spans="5:10">
      <c r="E40" s="658">
        <f ca="1">_xll.meDateFromTenor(E39,"1D","Following",$C$16)</f>
        <v>43272</v>
      </c>
      <c r="F40" s="659">
        <f ca="1"/>
        <v>-2.6474193548387303E-3</v>
      </c>
      <c r="G40" s="656">
        <v>-2.6447540983606456E-3</v>
      </c>
      <c r="H40" s="237"/>
      <c r="I40" s="236"/>
      <c r="J40" s="237"/>
    </row>
    <row r="41" spans="5:10">
      <c r="E41" s="658">
        <f ca="1">_xll.meDateFromTenor(E40,"1D","Following",$C$16)</f>
        <v>43273</v>
      </c>
      <c r="F41" s="659">
        <f ca="1"/>
        <v>-2.6464516129032453E-3</v>
      </c>
      <c r="G41" s="656">
        <v>-2.6437704918032693E-3</v>
      </c>
      <c r="H41" s="237"/>
      <c r="I41" s="236"/>
      <c r="J41" s="237"/>
    </row>
    <row r="42" spans="5:10">
      <c r="E42" s="658">
        <f ca="1">_xll.meDateFromTenor(E41,"1D","Following",$C$16)</f>
        <v>43276</v>
      </c>
      <c r="F42" s="659">
        <f ca="1"/>
        <v>-2.6435483870967903E-3</v>
      </c>
      <c r="G42" s="656">
        <v>-2.6427868852458929E-3</v>
      </c>
      <c r="H42" s="237"/>
      <c r="I42" s="236"/>
      <c r="J42" s="237"/>
    </row>
    <row r="43" spans="5:10">
      <c r="E43" s="658">
        <f ca="1">_xll.meDateFromTenor(E42,"1D","Following",$C$16)</f>
        <v>43277</v>
      </c>
      <c r="F43" s="659">
        <f ca="1"/>
        <v>-2.6425806451613053E-3</v>
      </c>
      <c r="G43" s="656">
        <v>-2.6418032786885166E-3</v>
      </c>
    </row>
    <row r="44" spans="5:10">
      <c r="E44" s="658">
        <f ca="1">_xll.meDateFromTenor(E43,"1D","Following",$C$16)</f>
        <v>43278</v>
      </c>
      <c r="F44" s="659">
        <f ca="1"/>
        <v>-2.6416129032258203E-3</v>
      </c>
      <c r="G44" s="656">
        <v>-2.6408196721311402E-3</v>
      </c>
    </row>
    <row r="45" spans="5:10">
      <c r="E45" s="658">
        <f ca="1">_xll.meDateFromTenor(E44,"1D","Following",$C$16)</f>
        <v>43279</v>
      </c>
      <c r="F45" s="659">
        <f ca="1"/>
        <v>-2.6406451612903353E-3</v>
      </c>
      <c r="G45" s="656">
        <v>-2.6378688524590112E-3</v>
      </c>
    </row>
    <row r="46" spans="5:10">
      <c r="E46" s="658">
        <f ca="1">_xll.meDateFromTenor(E45,"1D","Following",$C$16)</f>
        <v>43280</v>
      </c>
      <c r="F46" s="659">
        <f ca="1"/>
        <v>-2.6396774193548503E-3</v>
      </c>
      <c r="G46" s="656">
        <v>-2.6368852459016348E-3</v>
      </c>
    </row>
    <row r="47" spans="5:10">
      <c r="E47" s="658">
        <f ca="1">_xll.meDateFromTenor(E46,"1D","Following",$C$16)</f>
        <v>43283</v>
      </c>
      <c r="F47" s="659">
        <f ca="1"/>
        <v>-2.6367741935483953E-3</v>
      </c>
      <c r="G47" s="656">
        <v>-2.6359016393442585E-3</v>
      </c>
    </row>
    <row r="48" spans="5:10">
      <c r="E48" s="658">
        <f ca="1">_xll.meDateFromTenor(E47,"1D","Following",$C$16)</f>
        <v>43284</v>
      </c>
      <c r="F48" s="659">
        <f ca="1"/>
        <v>-2.6358064516129099E-3</v>
      </c>
      <c r="G48" s="656">
        <v>-2.6349180327868821E-3</v>
      </c>
    </row>
    <row r="49" spans="5:7">
      <c r="E49" s="658">
        <f ca="1">_xll.meDateFromTenor(E48,"1D","Following",$C$16)</f>
        <v>43285</v>
      </c>
      <c r="F49" s="659">
        <f ca="1"/>
        <v>-2.6348387096774249E-3</v>
      </c>
      <c r="G49" s="656">
        <v>-2.6339344262295054E-3</v>
      </c>
    </row>
    <row r="50" spans="5:7">
      <c r="E50" s="658">
        <f ca="1">_xll.meDateFromTenor(E49,"1D","Following",$C$16)</f>
        <v>43286</v>
      </c>
      <c r="F50" s="659">
        <f ca="1"/>
        <v>-2.6338709677419399E-3</v>
      </c>
      <c r="G50" s="656">
        <v>-2.6309836065573763E-3</v>
      </c>
    </row>
    <row r="51" spans="5:7">
      <c r="E51" s="658">
        <f ca="1">_xll.meDateFromTenor(E50,"1D","Following",$C$16)</f>
        <v>43287</v>
      </c>
      <c r="F51" s="659">
        <f ca="1"/>
        <v>-2.6329032258064549E-3</v>
      </c>
      <c r="G51" s="656">
        <v>-2.63E-3</v>
      </c>
    </row>
    <row r="52" spans="5:7">
      <c r="E52" s="658">
        <f ca="1">_xll.meDateFromTenor(E51,"1D","Following",$C$16)</f>
        <v>43290</v>
      </c>
      <c r="F52" s="659">
        <f ca="1"/>
        <v>-2.63E-3</v>
      </c>
      <c r="G52" s="656">
        <v>-2.6287096774193549E-3</v>
      </c>
    </row>
    <row r="53" spans="5:7">
      <c r="E53" s="658">
        <f ca="1">_xll.meDateFromTenor(E52,"1D","Following",$C$16)</f>
        <v>43291</v>
      </c>
      <c r="F53" s="659">
        <f ca="1"/>
        <v>-2.6286666666666667E-3</v>
      </c>
      <c r="G53" s="656">
        <v>-2.6274193548387098E-3</v>
      </c>
    </row>
    <row r="54" spans="5:7">
      <c r="E54" s="658">
        <f ca="1">_xll.meDateFromTenor(E53,"1D","Following",$C$16)</f>
        <v>43292</v>
      </c>
      <c r="F54" s="659">
        <f ca="1"/>
        <v>-2.6273333333333335E-3</v>
      </c>
      <c r="G54" s="656">
        <v>-2.6261290322580648E-3</v>
      </c>
    </row>
    <row r="55" spans="5:7">
      <c r="E55" s="658">
        <f ca="1">_xll.meDateFromTenor(E54,"1D","Following",$C$16)</f>
        <v>43293</v>
      </c>
      <c r="F55" s="659">
        <f ca="1"/>
        <v>-2.6259999999999999E-3</v>
      </c>
      <c r="G55" s="656">
        <v>-2.6222580645161291E-3</v>
      </c>
    </row>
    <row r="56" spans="5:7">
      <c r="E56" s="658">
        <f ca="1">_xll.meDateFromTenor(E55,"1D","Following",$C$16)</f>
        <v>43294</v>
      </c>
      <c r="F56" s="659">
        <f ca="1"/>
        <v>-2.6246666666666666E-3</v>
      </c>
      <c r="G56" s="656">
        <v>-2.6209677419354841E-3</v>
      </c>
    </row>
    <row r="57" spans="5:7">
      <c r="E57" s="658">
        <f ca="1">_xll.meDateFromTenor(E56,"1D","Following",$C$16)</f>
        <v>43297</v>
      </c>
      <c r="F57" s="659">
        <f ca="1"/>
        <v>-2.6206666666666665E-3</v>
      </c>
      <c r="G57" s="656">
        <v>-2.619677419354839E-3</v>
      </c>
    </row>
    <row r="58" spans="5:7">
      <c r="E58" s="658">
        <f ca="1">_xll.meDateFromTenor(E57,"1D","Following",$C$16)</f>
        <v>43298</v>
      </c>
      <c r="F58" s="659">
        <f ca="1"/>
        <v>-2.6193333333333333E-3</v>
      </c>
      <c r="G58" s="656">
        <v>-2.6183870967741935E-3</v>
      </c>
    </row>
    <row r="59" spans="5:7">
      <c r="E59" s="658">
        <f ca="1">_xll.meDateFromTenor(E58,"1D","Following",$C$16)</f>
        <v>43299</v>
      </c>
      <c r="F59" s="659">
        <f ca="1"/>
        <v>-2.6180000000000001E-3</v>
      </c>
      <c r="G59" s="656">
        <v>-2.6170967741935484E-3</v>
      </c>
    </row>
    <row r="60" spans="5:7">
      <c r="E60" s="658">
        <f ca="1">_xll.meDateFromTenor(E59,"1D","Following",$C$16)</f>
        <v>43300</v>
      </c>
      <c r="F60" s="659">
        <f ca="1"/>
        <v>-2.6166666666666669E-3</v>
      </c>
      <c r="G60" s="656">
        <v>-2.6132258064516132E-3</v>
      </c>
    </row>
    <row r="61" spans="5:7">
      <c r="E61" s="658">
        <f ca="1">_xll.meDateFromTenor(E60,"1D","Following",$C$16)</f>
        <v>43301</v>
      </c>
      <c r="F61" s="659">
        <f ca="1"/>
        <v>-2.6153333333333332E-3</v>
      </c>
      <c r="G61" s="656">
        <v>-2.6119354838709677E-3</v>
      </c>
    </row>
    <row r="62" spans="5:7">
      <c r="E62" s="658">
        <f ca="1">_xll.meDateFromTenor(E61,"1D","Following",$C$16)</f>
        <v>43304</v>
      </c>
      <c r="F62" s="659">
        <f ca="1"/>
        <v>-2.6113333333333336E-3</v>
      </c>
      <c r="G62" s="656">
        <v>-2.6106451612903227E-3</v>
      </c>
    </row>
    <row r="63" spans="5:7">
      <c r="E63" s="658">
        <f ca="1">_xll.meDateFromTenor(E62,"1D","Following",$C$16)</f>
        <v>43305</v>
      </c>
      <c r="F63" s="659">
        <f ca="1"/>
        <v>-2.6099999999999999E-3</v>
      </c>
      <c r="G63" s="656">
        <v>-2.6093548387096776E-3</v>
      </c>
    </row>
    <row r="64" spans="5:7">
      <c r="E64" s="658">
        <f ca="1">_xll.meDateFromTenor(E63,"1D","Following",$C$16)</f>
        <v>43306</v>
      </c>
      <c r="F64" s="659">
        <f ca="1"/>
        <v>-2.6086666666666667E-3</v>
      </c>
      <c r="G64" s="656">
        <v>-2.6080645161290325E-3</v>
      </c>
    </row>
    <row r="65" spans="5:7">
      <c r="E65" s="658">
        <f ca="1">_xll.meDateFromTenor(E64,"1D","Following",$C$16)</f>
        <v>43307</v>
      </c>
      <c r="F65" s="659">
        <f ca="1"/>
        <v>-2.6073333333333335E-3</v>
      </c>
      <c r="G65" s="656">
        <v>-2.6041935483870969E-3</v>
      </c>
    </row>
    <row r="66" spans="5:7">
      <c r="E66" s="658">
        <f ca="1">_xll.meDateFromTenor(E65,"1D","Following",$C$16)</f>
        <v>43308</v>
      </c>
      <c r="F66" s="659">
        <f ca="1"/>
        <v>-2.6060000000000002E-3</v>
      </c>
      <c r="G66" s="656">
        <v>-2.6029032258064518E-3</v>
      </c>
    </row>
    <row r="67" spans="5:7">
      <c r="E67" s="658">
        <f ca="1">_xll.meDateFromTenor(E66,"1D","Following",$C$16)</f>
        <v>43311</v>
      </c>
      <c r="F67" s="659">
        <f ca="1"/>
        <v>-2.6020000000000001E-3</v>
      </c>
      <c r="G67" s="656">
        <v>-2.6016129032258068E-3</v>
      </c>
    </row>
    <row r="68" spans="5:7">
      <c r="E68" s="658">
        <f ca="1">_xll.meDateFromTenor(E67,"1D","Following",$C$16)</f>
        <v>43312</v>
      </c>
      <c r="F68" s="659">
        <f ca="1"/>
        <v>-2.6006666666666669E-3</v>
      </c>
      <c r="G68" s="656">
        <v>-2.6003225806451617E-3</v>
      </c>
    </row>
    <row r="69" spans="5:7">
      <c r="E69" s="658">
        <f ca="1">_xll.meDateFromTenor(E68,"1D","Following",$C$16)</f>
        <v>43313</v>
      </c>
      <c r="F69" s="659">
        <f ca="1"/>
        <v>-2.5993333333333337E-3</v>
      </c>
      <c r="G69" s="656">
        <v>-2.5990322580645166E-3</v>
      </c>
    </row>
    <row r="70" spans="5:7">
      <c r="E70" s="658">
        <f ca="1">_xll.meDateFromTenor(E69,"1D","Following",$C$16)</f>
        <v>43314</v>
      </c>
      <c r="F70" s="659">
        <f ca="1"/>
        <v>-2.598E-3</v>
      </c>
      <c r="G70" s="656">
        <v>-2.595161290322581E-3</v>
      </c>
    </row>
    <row r="71" spans="5:7">
      <c r="E71" s="658">
        <f ca="1">_xll.meDateFromTenor(E70,"1D","Following",$C$16)</f>
        <v>43315</v>
      </c>
      <c r="F71" s="659">
        <f ca="1"/>
        <v>-2.5966666666666668E-3</v>
      </c>
      <c r="G71" s="656">
        <v>-2.5938709677419359E-3</v>
      </c>
    </row>
    <row r="72" spans="5:7">
      <c r="E72" s="658">
        <f ca="1">_xll.meDateFromTenor(E71,"1D","Following",$C$16)</f>
        <v>43318</v>
      </c>
      <c r="F72" s="659">
        <f ca="1"/>
        <v>-2.5926666666666667E-3</v>
      </c>
      <c r="G72" s="656">
        <v>-2.5925806451612909E-3</v>
      </c>
    </row>
    <row r="73" spans="5:7">
      <c r="E73" s="658">
        <f ca="1">_xll.meDateFromTenor(E72,"1D","Following",$C$16)</f>
        <v>43319</v>
      </c>
      <c r="F73" s="659">
        <f ca="1"/>
        <v>-2.5913333333333335E-3</v>
      </c>
      <c r="G73" s="656">
        <v>-2.5912903225806454E-3</v>
      </c>
    </row>
    <row r="74" spans="5:7">
      <c r="E74" s="658">
        <f ca="1">_xll.meDateFromTenor(E73,"1D","Following",$C$16)</f>
        <v>43320</v>
      </c>
      <c r="F74" s="659">
        <f ca="1"/>
        <v>-2.5900000000000003E-3</v>
      </c>
      <c r="G74" s="656">
        <v>-2.5900000000000003E-3</v>
      </c>
    </row>
    <row r="75" spans="5:7">
      <c r="E75" s="658">
        <f ca="1">_xll.meDateFromTenor(E74,"1D","Following",$C$16)</f>
        <v>43321</v>
      </c>
      <c r="F75" s="659">
        <f ca="1"/>
        <v>-2.5887878787878792E-3</v>
      </c>
      <c r="G75" s="656">
        <v>-2.5861290322580647E-3</v>
      </c>
    </row>
    <row r="76" spans="5:7">
      <c r="E76" s="658">
        <f ca="1">_xll.meDateFromTenor(E75,"1D","Following",$C$16)</f>
        <v>43322</v>
      </c>
      <c r="F76" s="659">
        <f ca="1"/>
        <v>-2.5875757575757577E-3</v>
      </c>
      <c r="G76" s="656">
        <v>-2.5848387096774196E-3</v>
      </c>
    </row>
    <row r="77" spans="5:7">
      <c r="E77" s="658">
        <f ca="1">_xll.meDateFromTenor(E76,"1D","Following",$C$16)</f>
        <v>43325</v>
      </c>
      <c r="F77" s="659">
        <f ca="1"/>
        <v>-2.5839393939393941E-3</v>
      </c>
      <c r="G77" s="656">
        <v>-2.5835483870967745E-3</v>
      </c>
    </row>
    <row r="78" spans="5:7">
      <c r="E78" s="658">
        <f ca="1">_xll.meDateFromTenor(E77,"1D","Following",$C$16)</f>
        <v>43326</v>
      </c>
      <c r="F78" s="659">
        <f ca="1"/>
        <v>-2.582727272727273E-3</v>
      </c>
      <c r="G78" s="656">
        <v>-2.5822580645161295E-3</v>
      </c>
    </row>
    <row r="79" spans="5:7">
      <c r="E79" s="658">
        <f ca="1">_xll.meDateFromTenor(E78,"1D","Following",$C$16)</f>
        <v>43327</v>
      </c>
      <c r="F79" s="659">
        <f ca="1"/>
        <v>-2.5815151515151519E-3</v>
      </c>
      <c r="G79" s="656">
        <v>-2.5809677419354844E-3</v>
      </c>
    </row>
    <row r="80" spans="5:7">
      <c r="E80" s="658">
        <f ca="1">_xll.meDateFromTenor(E79,"1D","Following",$C$16)</f>
        <v>43328</v>
      </c>
      <c r="F80" s="659">
        <f ca="1"/>
        <v>-2.5803030303030304E-3</v>
      </c>
      <c r="G80" s="656">
        <v>-2.5770967741935488E-3</v>
      </c>
    </row>
    <row r="81" spans="5:7">
      <c r="E81" s="658">
        <f ca="1">_xll.meDateFromTenor(E80,"1D","Following",$C$16)</f>
        <v>43329</v>
      </c>
      <c r="F81" s="659">
        <f ca="1"/>
        <v>-2.5790909090909094E-3</v>
      </c>
      <c r="G81" s="656">
        <v>-2.5758064516129037E-3</v>
      </c>
    </row>
    <row r="82" spans="5:7">
      <c r="E82" s="658">
        <f ca="1">_xll.meDateFromTenor(E81,"1D","Following",$C$16)</f>
        <v>43332</v>
      </c>
      <c r="F82" s="659">
        <f ca="1"/>
        <v>-2.5754545454545457E-3</v>
      </c>
      <c r="G82" s="656">
        <v>-2.5745161290322582E-3</v>
      </c>
    </row>
    <row r="83" spans="5:7">
      <c r="E83" s="658">
        <f ca="1">_xll.meDateFromTenor(E82,"1D","Following",$C$16)</f>
        <v>43333</v>
      </c>
      <c r="F83" s="659">
        <f ca="1"/>
        <v>-2.5742424242424246E-3</v>
      </c>
      <c r="G83" s="656">
        <v>-2.5732258064516131E-3</v>
      </c>
    </row>
    <row r="84" spans="5:7">
      <c r="E84" s="658">
        <f ca="1">_xll.meDateFromTenor(E83,"1D","Following",$C$16)</f>
        <v>43334</v>
      </c>
      <c r="F84" s="659">
        <f ca="1"/>
        <v>-2.5730303030303031E-3</v>
      </c>
      <c r="G84" s="656">
        <v>-2.5719354838709681E-3</v>
      </c>
    </row>
    <row r="85" spans="5:7">
      <c r="E85" s="658">
        <f ca="1">_xll.meDateFromTenor(E84,"1D","Following",$C$16)</f>
        <v>43335</v>
      </c>
      <c r="F85" s="659">
        <f ca="1"/>
        <v>-2.5718181818181821E-3</v>
      </c>
      <c r="G85" s="656">
        <v>-2.5680645161290324E-3</v>
      </c>
    </row>
    <row r="86" spans="5:7">
      <c r="E86" s="658">
        <f ca="1">_xll.meDateFromTenor(E85,"1D","Following",$C$16)</f>
        <v>43336</v>
      </c>
      <c r="F86" s="659">
        <f ca="1"/>
        <v>-2.570606060606061E-3</v>
      </c>
      <c r="G86" s="656">
        <v>-2.5667741935483874E-3</v>
      </c>
    </row>
    <row r="87" spans="5:7">
      <c r="E87" s="658">
        <f ca="1">_xll.meDateFromTenor(E86,"1D","Following",$C$16)</f>
        <v>43339</v>
      </c>
      <c r="F87" s="659">
        <f ca="1"/>
        <v>-2.5669696969696973E-3</v>
      </c>
      <c r="G87" s="656">
        <v>-2.5654838709677423E-3</v>
      </c>
    </row>
    <row r="88" spans="5:7">
      <c r="E88" s="658">
        <f ca="1">_xll.meDateFromTenor(E87,"1D","Following",$C$16)</f>
        <v>43340</v>
      </c>
      <c r="F88" s="659">
        <f ca="1"/>
        <v>-2.5657575757575758E-3</v>
      </c>
      <c r="G88" s="656">
        <v>-2.5641935483870972E-3</v>
      </c>
    </row>
    <row r="89" spans="5:7">
      <c r="E89" s="658">
        <f ca="1">_xll.meDateFromTenor(E88,"1D","Following",$C$16)</f>
        <v>43341</v>
      </c>
      <c r="F89" s="659">
        <f ca="1"/>
        <v>-2.5645454545454548E-3</v>
      </c>
      <c r="G89" s="656">
        <v>-2.5629032258064517E-3</v>
      </c>
    </row>
    <row r="90" spans="5:7">
      <c r="E90" s="658">
        <f ca="1">_xll.meDateFromTenor(E89,"1D","Following",$C$16)</f>
        <v>43342</v>
      </c>
      <c r="F90" s="659">
        <f ca="1"/>
        <v>-2.5633333333333337E-3</v>
      </c>
      <c r="G90" s="656">
        <v>-2.5590322580645165E-3</v>
      </c>
    </row>
    <row r="91" spans="5:7">
      <c r="E91" s="658">
        <f ca="1">_xll.meDateFromTenor(E90,"1D","Following",$C$16)</f>
        <v>43343</v>
      </c>
      <c r="F91" s="659">
        <f ca="1"/>
        <v>-2.5621212121212122E-3</v>
      </c>
      <c r="G91" s="656">
        <v>-2.5577419354838715E-3</v>
      </c>
    </row>
    <row r="92" spans="5:7">
      <c r="E92" s="658">
        <f ca="1">_xll.meDateFromTenor(E91,"1D","Following",$C$16)</f>
        <v>43346</v>
      </c>
      <c r="F92" s="659">
        <f ca="1"/>
        <v>-2.5584848484848485E-3</v>
      </c>
      <c r="G92" s="656">
        <v>-2.556451612903226E-3</v>
      </c>
    </row>
    <row r="93" spans="5:7">
      <c r="E93" s="658">
        <f ca="1">_xll.meDateFromTenor(E92,"1D","Following",$C$16)</f>
        <v>43347</v>
      </c>
      <c r="F93" s="659">
        <f ca="1"/>
        <v>-2.5572727272727275E-3</v>
      </c>
      <c r="G93" s="656">
        <v>-2.5551612903225809E-3</v>
      </c>
    </row>
    <row r="94" spans="5:7">
      <c r="E94" s="658">
        <f ca="1">_xll.meDateFromTenor(E93,"1D","Following",$C$16)</f>
        <v>43348</v>
      </c>
      <c r="F94" s="659">
        <f ca="1"/>
        <v>-2.5560606060606064E-3</v>
      </c>
      <c r="G94" s="656">
        <v>-2.5538709677419358E-3</v>
      </c>
    </row>
    <row r="95" spans="5:7">
      <c r="E95" s="658">
        <f ca="1">_xll.meDateFromTenor(E94,"1D","Following",$C$16)</f>
        <v>43349</v>
      </c>
      <c r="F95" s="659">
        <f ca="1"/>
        <v>-2.5548484848484849E-3</v>
      </c>
      <c r="G95" s="656">
        <v>-2.5500000000000002E-3</v>
      </c>
    </row>
    <row r="96" spans="5:7">
      <c r="E96" s="658">
        <f ca="1">_xll.meDateFromTenor(E95,"1D","Following",$C$16)</f>
        <v>43350</v>
      </c>
      <c r="F96" s="659">
        <f ca="1"/>
        <v>-2.5536363636363638E-3</v>
      </c>
      <c r="G96" s="656">
        <v>-2.5476666666666668E-3</v>
      </c>
    </row>
    <row r="97" spans="5:7">
      <c r="E97" s="658">
        <f ca="1">_xll.meDateFromTenor(E96,"1D","Following",$C$16)</f>
        <v>43353</v>
      </c>
      <c r="F97" s="659">
        <f ca="1"/>
        <v>-2.5500000000000002E-3</v>
      </c>
      <c r="G97" s="656">
        <v>-2.5453333333333339E-3</v>
      </c>
    </row>
    <row r="98" spans="5:7">
      <c r="E98" s="658">
        <f ca="1">_xll.meDateFromTenor(E97,"1D","Following",$C$16)</f>
        <v>43354</v>
      </c>
      <c r="F98" s="659">
        <f ca="1"/>
        <v>-2.5475000000000003E-3</v>
      </c>
      <c r="G98" s="656">
        <v>-2.5430000000000001E-3</v>
      </c>
    </row>
    <row r="99" spans="5:7">
      <c r="E99" s="658">
        <f ca="1">_xll.meDateFromTenor(E98,"1D","Following",$C$16)</f>
        <v>43355</v>
      </c>
      <c r="F99" s="659">
        <f ca="1"/>
        <v>-2.5450000000000004E-3</v>
      </c>
      <c r="G99" s="656">
        <v>-2.5406666666666668E-3</v>
      </c>
    </row>
    <row r="100" spans="5:7">
      <c r="E100" s="658">
        <f ca="1">_xll.meDateFromTenor(E99,"1D","Following",$C$16)</f>
        <v>43356</v>
      </c>
      <c r="F100" s="659">
        <f ca="1"/>
        <v>-2.5425000000000001E-3</v>
      </c>
      <c r="G100" s="656">
        <v>-2.5336666666666671E-3</v>
      </c>
    </row>
    <row r="101" spans="5:7">
      <c r="E101" s="658">
        <f ca="1">_xll.meDateFromTenor(E100,"1D","Following",$C$16)</f>
        <v>43357</v>
      </c>
      <c r="F101" s="659">
        <f ca="1"/>
        <v>-2.5400000000000002E-3</v>
      </c>
      <c r="G101" s="656">
        <v>-2.5313333333333334E-3</v>
      </c>
    </row>
    <row r="102" spans="5:7">
      <c r="E102" s="658">
        <f ca="1">_xll.meDateFromTenor(E101,"1D","Following",$C$16)</f>
        <v>43360</v>
      </c>
      <c r="F102" s="659">
        <f ca="1"/>
        <v>-2.5325E-3</v>
      </c>
      <c r="G102" s="656">
        <v>-2.5290000000000004E-3</v>
      </c>
    </row>
    <row r="103" spans="5:7">
      <c r="E103" s="658">
        <f ca="1">_xll.meDateFromTenor(E102,"1D","Following",$C$16)</f>
        <v>43361</v>
      </c>
      <c r="F103" s="659">
        <f ca="1"/>
        <v>-2.5300000000000001E-3</v>
      </c>
      <c r="G103" s="656">
        <v>-2.5266666666666666E-3</v>
      </c>
    </row>
    <row r="104" spans="5:7">
      <c r="E104" s="658">
        <f ca="1">_xll.meDateFromTenor(E103,"1D","Following",$C$16)</f>
        <v>43362</v>
      </c>
      <c r="F104" s="659">
        <f ca="1"/>
        <v>-2.5275000000000002E-3</v>
      </c>
      <c r="G104" s="656">
        <v>-2.5243333333333337E-3</v>
      </c>
    </row>
    <row r="105" spans="5:7">
      <c r="E105" s="658">
        <f ca="1">_xll.meDateFromTenor(E104,"1D","Following",$C$16)</f>
        <v>43363</v>
      </c>
      <c r="F105" s="659">
        <f ca="1"/>
        <v>-2.5249999999999999E-3</v>
      </c>
      <c r="G105" s="656">
        <v>-2.5173333333333337E-3</v>
      </c>
    </row>
    <row r="106" spans="5:7">
      <c r="E106" s="658">
        <f ca="1">_xll.meDateFromTenor(E105,"1D","Following",$C$16)</f>
        <v>43364</v>
      </c>
      <c r="F106" s="659">
        <f ca="1"/>
        <v>-2.5225E-3</v>
      </c>
      <c r="G106" s="656">
        <v>-2.5149999999999999E-3</v>
      </c>
    </row>
    <row r="107" spans="5:7">
      <c r="E107" s="658">
        <f ca="1">_xll.meDateFromTenor(E106,"1D","Following",$C$16)</f>
        <v>43367</v>
      </c>
      <c r="F107" s="659">
        <f ca="1"/>
        <v>-2.5149999999999999E-3</v>
      </c>
      <c r="G107" s="656">
        <v>-2.512666666666667E-3</v>
      </c>
    </row>
    <row r="108" spans="5:7">
      <c r="E108" s="658">
        <f ca="1">_xll.meDateFromTenor(E107,"1D","Following",$C$16)</f>
        <v>43368</v>
      </c>
      <c r="F108" s="659">
        <f ca="1"/>
        <v>-2.5125E-3</v>
      </c>
      <c r="G108" s="656">
        <v>-2.5103333333333336E-3</v>
      </c>
    </row>
    <row r="109" spans="5:7">
      <c r="E109" s="658">
        <f ca="1">_xll.meDateFromTenor(E108,"1D","Following",$C$16)</f>
        <v>43369</v>
      </c>
      <c r="F109" s="659">
        <f ca="1"/>
        <v>-2.5100000000000001E-3</v>
      </c>
      <c r="G109" s="656">
        <v>-2.5080000000000002E-3</v>
      </c>
    </row>
    <row r="110" spans="5:7">
      <c r="E110" s="658">
        <f ca="1">_xll.meDateFromTenor(E109,"1D","Following",$C$16)</f>
        <v>43370</v>
      </c>
      <c r="F110" s="659">
        <f ca="1"/>
        <v>-2.5075000000000002E-3</v>
      </c>
      <c r="G110" s="656">
        <v>-2.5010000000000002E-3</v>
      </c>
    </row>
    <row r="111" spans="5:7">
      <c r="E111" s="658">
        <f ca="1">_xll.meDateFromTenor(E110,"1D","Following",$C$16)</f>
        <v>43371</v>
      </c>
      <c r="F111" s="659">
        <f ca="1"/>
        <v>-2.5049999999999998E-3</v>
      </c>
      <c r="G111" s="656">
        <v>-2.4986666666666668E-3</v>
      </c>
    </row>
    <row r="112" spans="5:7">
      <c r="E112" s="658">
        <f ca="1">_xll.meDateFromTenor(E111,"1D","Following",$C$16)</f>
        <v>43374</v>
      </c>
      <c r="F112" s="659">
        <f ca="1"/>
        <v>-2.4974999999999997E-3</v>
      </c>
      <c r="G112" s="656">
        <v>-2.4963333333333335E-3</v>
      </c>
    </row>
    <row r="113" spans="5:7">
      <c r="E113" s="658">
        <f ca="1">_xll.meDateFromTenor(E112,"1D","Following",$C$16)</f>
        <v>43375</v>
      </c>
      <c r="F113" s="659">
        <f ca="1"/>
        <v>-2.4949999999999998E-3</v>
      </c>
      <c r="G113" s="656">
        <v>-2.4940000000000001E-3</v>
      </c>
    </row>
    <row r="114" spans="5:7">
      <c r="E114" s="658">
        <f ca="1">_xll.meDateFromTenor(E113,"1D","Following",$C$16)</f>
        <v>43376</v>
      </c>
      <c r="F114" s="659">
        <f ca="1"/>
        <v>-2.4924999999999999E-3</v>
      </c>
      <c r="G114" s="656">
        <v>-2.4916666666666668E-3</v>
      </c>
    </row>
    <row r="115" spans="5:7">
      <c r="E115" s="658">
        <f ca="1">_xll.meDateFromTenor(E114,"1D","Following",$C$16)</f>
        <v>43377</v>
      </c>
      <c r="F115" s="659">
        <f ca="1"/>
        <v>-2.49E-3</v>
      </c>
      <c r="G115" s="656">
        <v>-2.4846666666666667E-3</v>
      </c>
    </row>
    <row r="116" spans="5:7">
      <c r="E116" s="658">
        <f ca="1">_xll.meDateFromTenor(E115,"1D","Following",$C$16)</f>
        <v>43378</v>
      </c>
      <c r="F116" s="659">
        <f ca="1"/>
        <v>-2.4874999999999997E-3</v>
      </c>
      <c r="G116" s="656">
        <v>-2.4823333333333334E-3</v>
      </c>
    </row>
    <row r="117" spans="5:7">
      <c r="E117" s="658">
        <f ca="1">_xll.meDateFromTenor(E116,"1D","Following",$C$16)</f>
        <v>43381</v>
      </c>
      <c r="F117" s="659">
        <f ca="1"/>
        <v>-2.48E-3</v>
      </c>
      <c r="G117" s="656">
        <v>-2.48E-3</v>
      </c>
    </row>
    <row r="118" spans="5:7">
      <c r="E118" s="658">
        <f ca="1">_xll.meDateFromTenor(E117,"1D","Following",$C$16)</f>
        <v>43382</v>
      </c>
      <c r="F118" s="659">
        <f ca="1"/>
        <v>-2.4770967741935567E-3</v>
      </c>
      <c r="G118" s="656">
        <v>-2.4772727272727333E-3</v>
      </c>
    </row>
    <row r="119" spans="5:7">
      <c r="E119" s="658">
        <f ca="1">_xll.meDateFromTenor(E118,"1D","Following",$C$16)</f>
        <v>43383</v>
      </c>
      <c r="F119" s="659">
        <f ca="1"/>
        <v>-2.4741935483871139E-3</v>
      </c>
      <c r="G119" s="656">
        <v>-2.4745454545454667E-3</v>
      </c>
    </row>
    <row r="120" spans="5:7">
      <c r="E120" s="658">
        <f ca="1">_xll.meDateFromTenor(E119,"1D","Following",$C$16)</f>
        <v>43384</v>
      </c>
      <c r="F120" s="659">
        <f ca="1"/>
        <v>-2.4712903225806711E-3</v>
      </c>
      <c r="G120" s="656">
        <v>-2.4663636363636663E-3</v>
      </c>
    </row>
    <row r="121" spans="5:7">
      <c r="E121" s="658">
        <f ca="1">_xll.meDateFromTenor(E120,"1D","Following",$C$16)</f>
        <v>43385</v>
      </c>
      <c r="F121" s="659">
        <f ca="1"/>
        <v>-2.4683870967742278E-3</v>
      </c>
      <c r="G121" s="656">
        <v>-2.4636363636363996E-3</v>
      </c>
    </row>
    <row r="122" spans="5:7">
      <c r="E122" s="658">
        <f ca="1">_xll.meDateFromTenor(E121,"1D","Following",$C$16)</f>
        <v>43388</v>
      </c>
      <c r="F122" s="659">
        <f ca="1"/>
        <v>-2.4596774193548989E-3</v>
      </c>
      <c r="G122" s="656">
        <v>-2.4609090909091329E-3</v>
      </c>
    </row>
    <row r="123" spans="5:7">
      <c r="E123" s="658">
        <f ca="1">_xll.meDateFromTenor(E122,"1D","Following",$C$16)</f>
        <v>43389</v>
      </c>
      <c r="F123" s="659">
        <f ca="1"/>
        <v>-2.4567741935484556E-3</v>
      </c>
      <c r="G123" s="656">
        <v>-2.4581818181818663E-3</v>
      </c>
    </row>
    <row r="124" spans="5:7">
      <c r="E124" s="658">
        <f ca="1">_xll.meDateFromTenor(E123,"1D","Following",$C$16)</f>
        <v>43390</v>
      </c>
      <c r="F124" s="659">
        <f ca="1"/>
        <v>-2.4538709677420128E-3</v>
      </c>
      <c r="G124" s="656">
        <v>-2.4554545454545992E-3</v>
      </c>
    </row>
    <row r="125" spans="5:7">
      <c r="E125" s="658">
        <f ca="1">_xll.meDateFromTenor(E124,"1D","Following",$C$16)</f>
        <v>43391</v>
      </c>
      <c r="F125" s="659">
        <f ca="1"/>
        <v>-2.4509677419355699E-3</v>
      </c>
      <c r="G125" s="656">
        <v>-2.4472727272727992E-3</v>
      </c>
    </row>
    <row r="126" spans="5:7">
      <c r="E126" s="658">
        <f ca="1">_xll.meDateFromTenor(E125,"1D","Following",$C$16)</f>
        <v>43392</v>
      </c>
      <c r="F126" s="659">
        <f ca="1"/>
        <v>-2.4480645161291266E-3</v>
      </c>
      <c r="G126" s="656">
        <v>-2.4445454545455325E-3</v>
      </c>
    </row>
    <row r="127" spans="5:7">
      <c r="E127" s="658">
        <f ca="1">_xll.meDateFromTenor(E126,"1D","Following",$C$16)</f>
        <v>43395</v>
      </c>
      <c r="F127" s="659">
        <f ca="1"/>
        <v>-2.4393548387097977E-3</v>
      </c>
      <c r="G127" s="656">
        <v>-2.4418181818182654E-3</v>
      </c>
    </row>
    <row r="128" spans="5:7">
      <c r="E128" s="658">
        <f ca="1">_xll.meDateFromTenor(E127,"1D","Following",$C$16)</f>
        <v>43396</v>
      </c>
      <c r="F128" s="659">
        <f ca="1"/>
        <v>-2.4364516129033544E-3</v>
      </c>
      <c r="G128" s="656">
        <v>-2.4390909090909988E-3</v>
      </c>
    </row>
    <row r="129" spans="5:7">
      <c r="E129" s="658">
        <f ca="1">_xll.meDateFromTenor(E128,"1D","Following",$C$16)</f>
        <v>43397</v>
      </c>
      <c r="F129" s="659">
        <f ca="1"/>
        <v>-2.4335483870969116E-3</v>
      </c>
      <c r="G129" s="656">
        <v>-2.4363636363637321E-3</v>
      </c>
    </row>
    <row r="130" spans="5:7">
      <c r="E130" s="658">
        <f ca="1">_xll.meDateFromTenor(E129,"1D","Following",$C$16)</f>
        <v>43398</v>
      </c>
      <c r="F130" s="659">
        <f ca="1"/>
        <v>-2.4306451612904683E-3</v>
      </c>
      <c r="G130" s="656">
        <v>-2.4281818181819321E-3</v>
      </c>
    </row>
    <row r="131" spans="5:7">
      <c r="E131" s="658">
        <f ca="1">_xll.meDateFromTenor(E130,"1D","Following",$C$16)</f>
        <v>43399</v>
      </c>
      <c r="F131" s="659">
        <f ca="1"/>
        <v>-2.4277419354840255E-3</v>
      </c>
      <c r="G131" s="656">
        <v>-2.425454545454665E-3</v>
      </c>
    </row>
    <row r="132" spans="5:7">
      <c r="E132" s="658">
        <f ca="1">_xll.meDateFromTenor(E131,"1D","Following",$C$16)</f>
        <v>43402</v>
      </c>
      <c r="F132" s="659">
        <f ca="1"/>
        <v>-2.4190322580646966E-3</v>
      </c>
      <c r="G132" s="656">
        <v>-2.4227272727273983E-3</v>
      </c>
    </row>
    <row r="133" spans="5:7">
      <c r="E133" s="658">
        <f ca="1">_xll.meDateFromTenor(E132,"1D","Following",$C$16)</f>
        <v>43403</v>
      </c>
      <c r="F133" s="659">
        <f ca="1"/>
        <v>-2.4161290322582533E-3</v>
      </c>
      <c r="G133" s="656">
        <v>-2.4200000000001317E-3</v>
      </c>
    </row>
    <row r="134" spans="5:7">
      <c r="E134" s="658">
        <f ca="1">_xll.meDateFromTenor(E133,"1D","Following",$C$16)</f>
        <v>43404</v>
      </c>
      <c r="F134" s="659">
        <f ca="1"/>
        <v>-2.4132258064518105E-3</v>
      </c>
      <c r="G134" s="656">
        <v>-2.417272727272865E-3</v>
      </c>
    </row>
    <row r="135" spans="5:7">
      <c r="E135" s="658">
        <f ca="1">_xll.meDateFromTenor(E134,"1D","Following",$C$16)</f>
        <v>43405</v>
      </c>
      <c r="F135" s="659">
        <f ca="1"/>
        <v>-2.4103225806453672E-3</v>
      </c>
      <c r="G135" s="656">
        <v>-2.4090909090910646E-3</v>
      </c>
    </row>
    <row r="136" spans="5:7">
      <c r="E136" s="658">
        <f ca="1">_xll.meDateFromTenor(E135,"1D","Following",$C$16)</f>
        <v>43406</v>
      </c>
      <c r="F136" s="659">
        <f ca="1"/>
        <v>-2.4074193548389244E-3</v>
      </c>
      <c r="G136" s="656">
        <v>-2.4063636363637979E-3</v>
      </c>
    </row>
    <row r="137" spans="5:7">
      <c r="E137" s="658">
        <f ca="1">_xll.meDateFromTenor(E136,"1D","Following",$C$16)</f>
        <v>43409</v>
      </c>
      <c r="F137" s="659">
        <f ca="1"/>
        <v>-2.3987096774195954E-3</v>
      </c>
      <c r="G137" s="656">
        <v>-2.4036363636365313E-3</v>
      </c>
    </row>
    <row r="138" spans="5:7">
      <c r="E138" s="658">
        <f ca="1">_xll.meDateFromTenor(E137,"1D","Following",$C$16)</f>
        <v>43410</v>
      </c>
      <c r="F138" s="659">
        <f ca="1"/>
        <v>-2.3958064516131526E-3</v>
      </c>
      <c r="G138" s="656">
        <v>-2.4009090909092646E-3</v>
      </c>
    </row>
    <row r="139" spans="5:7">
      <c r="E139" s="658">
        <f ca="1">_xll.meDateFromTenor(E138,"1D","Following",$C$16)</f>
        <v>43411</v>
      </c>
      <c r="F139" s="659">
        <f ca="1"/>
        <v>-2.3929032258067093E-3</v>
      </c>
      <c r="G139" s="656">
        <v>-2.3981818181819979E-3</v>
      </c>
    </row>
    <row r="140" spans="5:7">
      <c r="E140" s="658">
        <f ca="1">_xll.meDateFromTenor(E139,"1D","Following",$C$16)</f>
        <v>43412</v>
      </c>
      <c r="F140" s="659">
        <f ca="1"/>
        <v>-2.390000000000266E-3</v>
      </c>
      <c r="G140" s="656">
        <v>-2.3900000000001975E-3</v>
      </c>
    </row>
    <row r="141" spans="5:7">
      <c r="E141" s="658">
        <f ca="1">_xll.meDateFromTenor(E140,"1D","Following",$C$16)</f>
        <v>43413</v>
      </c>
      <c r="F141" s="659">
        <f ca="1"/>
        <v>-2.387187500000258E-3</v>
      </c>
      <c r="G141" s="656">
        <v>-2.3867857142859045E-3</v>
      </c>
    </row>
    <row r="142" spans="5:7">
      <c r="E142" s="658">
        <f ca="1">_xll.meDateFromTenor(E141,"1D","Following",$C$16)</f>
        <v>43416</v>
      </c>
      <c r="F142" s="659">
        <f ca="1"/>
        <v>-2.3787500000002331E-3</v>
      </c>
      <c r="G142" s="656">
        <v>-2.3835714285716119E-3</v>
      </c>
    </row>
    <row r="143" spans="5:7">
      <c r="E143" s="658">
        <f ca="1">_xll.meDateFromTenor(E142,"1D","Following",$C$16)</f>
        <v>43417</v>
      </c>
      <c r="F143" s="659">
        <f ca="1"/>
        <v>-2.3759375000002247E-3</v>
      </c>
      <c r="G143" s="656">
        <v>-2.3803571428573193E-3</v>
      </c>
    </row>
    <row r="144" spans="5:7">
      <c r="E144" s="658">
        <f ca="1">_xll.meDateFromTenor(E143,"1D","Following",$C$16)</f>
        <v>43418</v>
      </c>
      <c r="F144" s="659">
        <f ca="1"/>
        <v>-2.3731250000002162E-3</v>
      </c>
      <c r="G144" s="656">
        <v>-2.3771428571430263E-3</v>
      </c>
    </row>
    <row r="145" spans="5:7">
      <c r="E145" s="658">
        <f ca="1">_xll.meDateFromTenor(E144,"1D","Following",$C$16)</f>
        <v>43419</v>
      </c>
      <c r="F145" s="659">
        <f ca="1"/>
        <v>-2.3703125000002082E-3</v>
      </c>
      <c r="G145" s="656">
        <v>-2.3675000000001481E-3</v>
      </c>
    </row>
    <row r="146" spans="5:7">
      <c r="E146" s="658">
        <f ca="1">_xll.meDateFromTenor(E145,"1D","Following",$C$16)</f>
        <v>43420</v>
      </c>
      <c r="F146" s="659">
        <f ca="1"/>
        <v>-2.3675000000001997E-3</v>
      </c>
      <c r="G146" s="656">
        <v>-2.3642857142858555E-3</v>
      </c>
    </row>
    <row r="147" spans="5:7">
      <c r="E147" s="658">
        <f ca="1">_xll.meDateFromTenor(E146,"1D","Following",$C$16)</f>
        <v>43423</v>
      </c>
      <c r="F147" s="659">
        <f ca="1"/>
        <v>-2.3590625000001748E-3</v>
      </c>
      <c r="G147" s="656">
        <v>-2.3610714285715625E-3</v>
      </c>
    </row>
    <row r="148" spans="5:7">
      <c r="E148" s="658">
        <f ca="1">_xll.meDateFromTenor(E147,"1D","Following",$C$16)</f>
        <v>43424</v>
      </c>
      <c r="F148" s="659">
        <f ca="1"/>
        <v>-2.3562500000001664E-3</v>
      </c>
      <c r="G148" s="656">
        <v>-2.3578571428572699E-3</v>
      </c>
    </row>
    <row r="149" spans="5:7">
      <c r="E149" s="658">
        <f ca="1">_xll.meDateFromTenor(E148,"1D","Following",$C$16)</f>
        <v>43425</v>
      </c>
      <c r="F149" s="659">
        <f ca="1"/>
        <v>-2.3534375000001579E-3</v>
      </c>
      <c r="G149" s="656">
        <v>-2.3546428571429769E-3</v>
      </c>
    </row>
    <row r="150" spans="5:7">
      <c r="E150" s="658">
        <f ca="1">_xll.meDateFromTenor(E149,"1D","Following",$C$16)</f>
        <v>43426</v>
      </c>
      <c r="F150" s="659">
        <f ca="1"/>
        <v>-2.3506250000001499E-3</v>
      </c>
      <c r="G150" s="656">
        <v>-2.3450000000000987E-3</v>
      </c>
    </row>
    <row r="151" spans="5:7">
      <c r="E151" s="658">
        <f ca="1">_xll.meDateFromTenor(E150,"1D","Following",$C$16)</f>
        <v>43427</v>
      </c>
      <c r="F151" s="659">
        <f ca="1"/>
        <v>-2.3478125000001415E-3</v>
      </c>
      <c r="G151" s="656">
        <v>-2.3417857142858062E-3</v>
      </c>
    </row>
    <row r="152" spans="5:7">
      <c r="E152" s="658">
        <f ca="1">_xll.meDateFromTenor(E151,"1D","Following",$C$16)</f>
        <v>43430</v>
      </c>
      <c r="F152" s="659">
        <f ca="1"/>
        <v>-2.3393750000001165E-3</v>
      </c>
      <c r="G152" s="656">
        <v>-2.3385714285715131E-3</v>
      </c>
    </row>
    <row r="153" spans="5:7">
      <c r="E153" s="658">
        <f ca="1">_xll.meDateFromTenor(E152,"1D","Following",$C$16)</f>
        <v>43431</v>
      </c>
      <c r="F153" s="659">
        <f ca="1"/>
        <v>-2.3365625000001081E-3</v>
      </c>
      <c r="G153" s="656">
        <v>-2.3353571428572206E-3</v>
      </c>
    </row>
    <row r="154" spans="5:7">
      <c r="E154" s="658">
        <f ca="1">_xll.meDateFromTenor(E153,"1D","Following",$C$16)</f>
        <v>43432</v>
      </c>
      <c r="F154" s="659">
        <f ca="1"/>
        <v>-2.3337500000000996E-3</v>
      </c>
      <c r="G154" s="656">
        <v>-2.3321428571429275E-3</v>
      </c>
    </row>
    <row r="155" spans="5:7">
      <c r="E155" s="658">
        <f ca="1">_xll.meDateFromTenor(E154,"1D","Following",$C$16)</f>
        <v>43433</v>
      </c>
      <c r="F155" s="659">
        <f ca="1"/>
        <v>-2.3309375000000916E-3</v>
      </c>
      <c r="G155" s="656">
        <v>-2.3225000000000494E-3</v>
      </c>
    </row>
    <row r="156" spans="5:7">
      <c r="E156" s="658">
        <f ca="1">_xll.meDateFromTenor(E155,"1D","Following",$C$16)</f>
        <v>43434</v>
      </c>
      <c r="F156" s="659">
        <f ca="1"/>
        <v>-2.3281250000000832E-3</v>
      </c>
      <c r="G156" s="656">
        <v>-2.3192857142857568E-3</v>
      </c>
    </row>
    <row r="157" spans="5:7">
      <c r="E157" s="658">
        <f ca="1">_xll.meDateFromTenor(E156,"1D","Following",$C$16)</f>
        <v>43437</v>
      </c>
      <c r="F157" s="659">
        <f ca="1"/>
        <v>-2.3196875000000582E-3</v>
      </c>
      <c r="G157" s="656">
        <v>-2.3160714285714637E-3</v>
      </c>
    </row>
    <row r="158" spans="5:7">
      <c r="E158" s="658">
        <f ca="1">_xll.meDateFromTenor(E157,"1D","Following",$C$16)</f>
        <v>43438</v>
      </c>
      <c r="F158" s="659">
        <f ca="1"/>
        <v>-2.3168750000000498E-3</v>
      </c>
      <c r="G158" s="656">
        <v>-2.3128571428571712E-3</v>
      </c>
    </row>
    <row r="159" spans="5:7">
      <c r="E159" s="658">
        <f ca="1">_xll.meDateFromTenor(E158,"1D","Following",$C$16)</f>
        <v>43439</v>
      </c>
      <c r="F159" s="659">
        <f ca="1"/>
        <v>-2.3140625000000418E-3</v>
      </c>
      <c r="G159" s="656">
        <v>-2.3096428571428781E-3</v>
      </c>
    </row>
    <row r="160" spans="5:7">
      <c r="E160" s="658">
        <f ca="1">_xll.meDateFromTenor(E159,"1D","Following",$C$16)</f>
        <v>43440</v>
      </c>
      <c r="F160" s="659">
        <f ca="1"/>
        <v>-2.3112500000000333E-3</v>
      </c>
      <c r="G160" s="656">
        <v>-2.3000000000000004E-3</v>
      </c>
    </row>
    <row r="161" spans="5:7">
      <c r="E161" s="658">
        <f ca="1">_xll.meDateFromTenor(E160,"1D","Following",$C$16)</f>
        <v>43441</v>
      </c>
      <c r="F161" s="659">
        <f ca="1"/>
        <v>-2.3084375000000249E-3</v>
      </c>
      <c r="G161" s="656">
        <v>-2.2958064516129034E-3</v>
      </c>
    </row>
    <row r="162" spans="5:7">
      <c r="E162" s="658">
        <f ca="1">_xll.meDateFromTenor(E161,"1D","Following",$C$16)</f>
        <v>43444</v>
      </c>
      <c r="F162" s="659">
        <f ca="1"/>
        <v>-2.3E-3</v>
      </c>
      <c r="G162" s="656">
        <v>-2.2916129032258064E-3</v>
      </c>
    </row>
    <row r="163" spans="5:7">
      <c r="E163" s="658">
        <f ca="1">_xll.meDateFromTenor(E162,"1D","Following",$C$16)</f>
        <v>43445</v>
      </c>
      <c r="F163" s="659">
        <f ca="1"/>
        <v>-2.2955172413793102E-3</v>
      </c>
      <c r="G163" s="656">
        <v>-2.2874193548387098E-3</v>
      </c>
    </row>
    <row r="164" spans="5:7">
      <c r="E164" s="658">
        <f ca="1">_xll.meDateFromTenor(E163,"1D","Following",$C$16)</f>
        <v>43446</v>
      </c>
      <c r="F164" s="659">
        <f ca="1"/>
        <v>-2.2910344827586208E-3</v>
      </c>
      <c r="G164" s="656">
        <v>-2.2832258064516128E-3</v>
      </c>
    </row>
    <row r="165" spans="5:7">
      <c r="E165" s="658">
        <f ca="1">_xll.meDateFromTenor(E164,"1D","Following",$C$16)</f>
        <v>43447</v>
      </c>
      <c r="F165" s="659">
        <f ca="1"/>
        <v>-2.286551724137931E-3</v>
      </c>
      <c r="G165" s="656">
        <v>-2.2706451612903226E-3</v>
      </c>
    </row>
    <row r="166" spans="5:7">
      <c r="E166" s="658">
        <f ca="1">_xll.meDateFromTenor(E165,"1D","Following",$C$16)</f>
        <v>43448</v>
      </c>
      <c r="F166" s="659">
        <f ca="1"/>
        <v>-2.2820689655172416E-3</v>
      </c>
      <c r="G166" s="656">
        <v>-2.2664516129032261E-3</v>
      </c>
    </row>
    <row r="167" spans="5:7">
      <c r="E167" s="658">
        <f ca="1">_xll.meDateFromTenor(E166,"1D","Following",$C$16)</f>
        <v>43451</v>
      </c>
      <c r="F167" s="659">
        <f ca="1"/>
        <v>-2.2686206896551722E-3</v>
      </c>
      <c r="G167" s="656">
        <v>-2.2622580645161295E-3</v>
      </c>
    </row>
    <row r="168" spans="5:7">
      <c r="E168" s="658">
        <f ca="1">_xll.meDateFromTenor(E167,"1D","Following",$C$16)</f>
        <v>43452</v>
      </c>
      <c r="F168" s="659">
        <f ca="1"/>
        <v>-2.2641379310344824E-3</v>
      </c>
      <c r="G168" s="656">
        <v>-2.2580645161290325E-3</v>
      </c>
    </row>
    <row r="169" spans="5:7">
      <c r="E169" s="658">
        <f ca="1">_xll.meDateFromTenor(E168,"1D","Following",$C$16)</f>
        <v>43453</v>
      </c>
      <c r="F169" s="659">
        <f ca="1"/>
        <v>-2.259655172413793E-3</v>
      </c>
      <c r="G169" s="656">
        <v>-2.2538709677419355E-3</v>
      </c>
    </row>
    <row r="170" spans="5:7">
      <c r="E170" s="658">
        <f ca="1">_xll.meDateFromTenor(E169,"1D","Following",$C$16)</f>
        <v>43454</v>
      </c>
      <c r="F170" s="659">
        <f ca="1"/>
        <v>-2.2551724137931032E-3</v>
      </c>
      <c r="G170" s="656">
        <v>-2.2412903225806453E-3</v>
      </c>
    </row>
    <row r="171" spans="5:7">
      <c r="E171" s="658">
        <f ca="1">_xll.meDateFromTenor(E170,"1D","Following",$C$16)</f>
        <v>43455</v>
      </c>
      <c r="F171" s="659">
        <f ca="1"/>
        <v>-2.2506896551724139E-3</v>
      </c>
      <c r="G171" s="656">
        <v>-2.2370967741935483E-3</v>
      </c>
    </row>
    <row r="172" spans="5:7">
      <c r="E172" s="658">
        <f ca="1">_xll.meDateFromTenor(E171,"1D","Following",$C$16)</f>
        <v>43458</v>
      </c>
      <c r="F172" s="659">
        <f ca="1"/>
        <v>-2.2372413793103449E-3</v>
      </c>
      <c r="G172" s="656">
        <v>-2.2329032258064517E-3</v>
      </c>
    </row>
    <row r="173" spans="5:7">
      <c r="E173" s="658">
        <f ca="1">_xll.meDateFromTenor(E172,"1D","Following",$C$16)</f>
        <v>43461</v>
      </c>
      <c r="F173" s="659">
        <f ca="1"/>
        <v>-2.2237931034482755E-3</v>
      </c>
      <c r="G173" s="656">
        <v>-2.2287096774193551E-3</v>
      </c>
    </row>
    <row r="174" spans="5:7">
      <c r="E174" s="658">
        <f ca="1">_xll.meDateFromTenor(E173,"1D","Following",$C$16)</f>
        <v>43462</v>
      </c>
      <c r="F174" s="659">
        <f ca="1"/>
        <v>-2.2193103448275861E-3</v>
      </c>
      <c r="G174" s="656">
        <v>-2.2245161290322586E-3</v>
      </c>
    </row>
    <row r="175" spans="5:7">
      <c r="E175" s="658">
        <f ca="1">_xll.meDateFromTenor(E174,"1D","Following",$C$16)</f>
        <v>43465</v>
      </c>
      <c r="F175" s="659">
        <f ca="1"/>
        <v>-2.2058620689655172E-3</v>
      </c>
      <c r="G175" s="656">
        <v>-2.211935483870968E-3</v>
      </c>
    </row>
    <row r="176" spans="5:7">
      <c r="E176" s="658">
        <f ca="1">_xll.meDateFromTenor(E175,"1D","Following",$C$16)</f>
        <v>43467</v>
      </c>
      <c r="F176" s="659">
        <f ca="1"/>
        <v>-2.196896551724138E-3</v>
      </c>
      <c r="G176" s="656">
        <v>-2.1993548387096774E-3</v>
      </c>
    </row>
    <row r="177" spans="5:7">
      <c r="E177" s="658">
        <f ca="1">_xll.meDateFromTenor(E176,"1D","Following",$C$16)</f>
        <v>43468</v>
      </c>
      <c r="F177" s="659">
        <f ca="1"/>
        <v>-2.1924137931034482E-3</v>
      </c>
      <c r="G177" s="656">
        <v>-2.1951612903225808E-3</v>
      </c>
    </row>
    <row r="178" spans="5:7">
      <c r="E178" s="658">
        <f ca="1">_xll.meDateFromTenor(E177,"1D","Following",$C$16)</f>
        <v>43469</v>
      </c>
      <c r="F178" s="659">
        <f ca="1"/>
        <v>-2.1879310344827584E-3</v>
      </c>
      <c r="G178" s="656">
        <v>-2.1825806451612906E-3</v>
      </c>
    </row>
    <row r="179" spans="5:7">
      <c r="E179" s="658">
        <f ca="1">_xll.meDateFromTenor(E178,"1D","Following",$C$16)</f>
        <v>43472</v>
      </c>
      <c r="F179" s="659">
        <f ca="1"/>
        <v>-2.1744827586206899E-3</v>
      </c>
      <c r="G179" s="656">
        <v>-2.1741935483870971E-3</v>
      </c>
    </row>
    <row r="180" spans="5:7">
      <c r="E180" s="658">
        <f ca="1">_xll.meDateFromTenor(E179,"1D","Following",$C$16)</f>
        <v>43473</v>
      </c>
      <c r="F180" s="659">
        <f ca="1"/>
        <v>-2.1700000000000001E-3</v>
      </c>
      <c r="G180" s="656">
        <v>-2.1700000000000001E-3</v>
      </c>
    </row>
    <row r="181" spans="5:7">
      <c r="E181" s="658">
        <f ca="1">_xll.meDateFromTenor(E180,"1D","Following",$C$16)</f>
        <v>43474</v>
      </c>
      <c r="F181" s="659">
        <f ca="1"/>
        <v>-2.1632258064516129E-3</v>
      </c>
      <c r="G181" s="656">
        <v>-2.1634375000000004E-3</v>
      </c>
    </row>
    <row r="182" spans="5:7">
      <c r="E182" s="658">
        <f ca="1">_xll.meDateFromTenor(E181,"1D","Following",$C$16)</f>
        <v>43475</v>
      </c>
      <c r="F182" s="659">
        <f ca="1"/>
        <v>-2.1564516129032258E-3</v>
      </c>
      <c r="G182" s="656">
        <v>-2.1437500000000003E-3</v>
      </c>
    </row>
    <row r="183" spans="5:7">
      <c r="E183" s="658">
        <f ca="1">_xll.meDateFromTenor(E182,"1D","Following",$C$16)</f>
        <v>43476</v>
      </c>
      <c r="F183" s="659">
        <f ca="1"/>
        <v>-2.1496774193548386E-3</v>
      </c>
      <c r="G183" s="656">
        <v>-2.1371875000000002E-3</v>
      </c>
    </row>
    <row r="184" spans="5:7">
      <c r="E184" s="658">
        <f ca="1">_xll.meDateFromTenor(E183,"1D","Following",$C$16)</f>
        <v>43479</v>
      </c>
      <c r="F184" s="659">
        <f ca="1"/>
        <v>-2.1293548387096772E-3</v>
      </c>
      <c r="G184" s="656">
        <v>-2.1306250000000001E-3</v>
      </c>
    </row>
    <row r="185" spans="5:7">
      <c r="E185" s="658">
        <f ca="1">_xll.meDateFromTenor(E184,"1D","Following",$C$16)</f>
        <v>43480</v>
      </c>
      <c r="F185" s="659">
        <f ca="1"/>
        <v>-2.1225806451612901E-3</v>
      </c>
      <c r="G185" s="656">
        <v>-2.1240625000000001E-3</v>
      </c>
    </row>
    <row r="186" spans="5:7">
      <c r="E186" s="658">
        <f ca="1">_xll.meDateFromTenor(E185,"1D","Following",$C$16)</f>
        <v>43481</v>
      </c>
      <c r="F186" s="659">
        <f ca="1"/>
        <v>-2.1158064516129033E-3</v>
      </c>
      <c r="G186" s="656">
        <v>-2.1175E-3</v>
      </c>
    </row>
    <row r="187" spans="5:7">
      <c r="E187" s="658">
        <f ca="1">_xll.meDateFromTenor(E186,"1D","Following",$C$16)</f>
        <v>43482</v>
      </c>
      <c r="F187" s="659">
        <f ca="1"/>
        <v>-2.1090322580645162E-3</v>
      </c>
      <c r="G187" s="656">
        <v>-2.0978125000000003E-3</v>
      </c>
    </row>
    <row r="188" spans="5:7">
      <c r="E188" s="658">
        <f ca="1">_xll.meDateFromTenor(E187,"1D","Following",$C$16)</f>
        <v>43483</v>
      </c>
      <c r="F188" s="659">
        <f ca="1"/>
        <v>-2.1022580645161291E-3</v>
      </c>
      <c r="G188" s="656">
        <v>-2.0912500000000002E-3</v>
      </c>
    </row>
    <row r="189" spans="5:7">
      <c r="E189" s="658">
        <f ca="1">_xll.meDateFromTenor(E188,"1D","Following",$C$16)</f>
        <v>43486</v>
      </c>
      <c r="F189" s="659">
        <f ca="1"/>
        <v>-2.0819354838709676E-3</v>
      </c>
      <c r="G189" s="656">
        <v>-2.0846875000000002E-3</v>
      </c>
    </row>
    <row r="190" spans="5:7">
      <c r="E190" s="658">
        <f ca="1">_xll.meDateFromTenor(E189,"1D","Following",$C$16)</f>
        <v>43487</v>
      </c>
      <c r="F190" s="659">
        <f ca="1"/>
        <v>-2.0751612903225805E-3</v>
      </c>
      <c r="G190" s="656">
        <v>-2.0781250000000001E-3</v>
      </c>
    </row>
    <row r="191" spans="5:7">
      <c r="E191" s="658">
        <f ca="1">_xll.meDateFromTenor(E190,"1D","Following",$C$16)</f>
        <v>43488</v>
      </c>
      <c r="F191" s="659">
        <f ca="1"/>
        <v>-2.0683870967741933E-3</v>
      </c>
      <c r="G191" s="656">
        <v>-2.0715625000000001E-3</v>
      </c>
    </row>
    <row r="192" spans="5:7">
      <c r="E192" s="658">
        <f ca="1">_xll.meDateFromTenor(E191,"1D","Following",$C$16)</f>
        <v>43489</v>
      </c>
      <c r="F192" s="659">
        <f ca="1"/>
        <v>-2.0616129032258062E-3</v>
      </c>
      <c r="G192" s="656">
        <v>-2.0518750000000003E-3</v>
      </c>
    </row>
    <row r="193" spans="5:7">
      <c r="E193" s="658">
        <f ca="1">_xll.meDateFromTenor(E192,"1D","Following",$C$16)</f>
        <v>43490</v>
      </c>
      <c r="F193" s="659">
        <f ca="1"/>
        <v>-2.0548387096774191E-3</v>
      </c>
      <c r="G193" s="656">
        <v>-2.0453125000000003E-3</v>
      </c>
    </row>
    <row r="194" spans="5:7">
      <c r="E194" s="658">
        <f ca="1">_xll.meDateFromTenor(E193,"1D","Following",$C$16)</f>
        <v>43493</v>
      </c>
      <c r="F194" s="659">
        <f ca="1"/>
        <v>-2.0345161290322581E-3</v>
      </c>
      <c r="G194" s="656">
        <v>-2.0387500000000002E-3</v>
      </c>
    </row>
    <row r="195" spans="5:7">
      <c r="E195" s="658">
        <f ca="1">_xll.meDateFromTenor(E194,"1D","Following",$C$16)</f>
        <v>43494</v>
      </c>
      <c r="F195" s="659">
        <f ca="1"/>
        <v>-2.0277419354838709E-3</v>
      </c>
      <c r="G195" s="656">
        <v>-2.0321875000000001E-3</v>
      </c>
    </row>
    <row r="196" spans="5:7">
      <c r="E196" s="658">
        <f ca="1">_xll.meDateFromTenor(E195,"1D","Following",$C$16)</f>
        <v>43495</v>
      </c>
      <c r="F196" s="659">
        <f ca="1"/>
        <v>-2.0209677419354838E-3</v>
      </c>
      <c r="G196" s="656">
        <v>-2.0256250000000001E-3</v>
      </c>
    </row>
    <row r="197" spans="5:7">
      <c r="E197" s="658">
        <f ca="1">_xll.meDateFromTenor(E196,"1D","Following",$C$16)</f>
        <v>43496</v>
      </c>
      <c r="F197" s="659">
        <f ca="1"/>
        <v>-2.0141935483870966E-3</v>
      </c>
      <c r="G197" s="656">
        <v>-2.0059374999999999E-3</v>
      </c>
    </row>
    <row r="198" spans="5:7">
      <c r="E198" s="658">
        <f ca="1">_xll.meDateFromTenor(E197,"1D","Following",$C$16)</f>
        <v>43497</v>
      </c>
      <c r="F198" s="659">
        <f ca="1"/>
        <v>-2.0074193548387095E-3</v>
      </c>
      <c r="G198" s="656">
        <v>-1.9993750000000003E-3</v>
      </c>
    </row>
    <row r="199" spans="5:7">
      <c r="E199" s="658">
        <f ca="1">_xll.meDateFromTenor(E198,"1D","Following",$C$16)</f>
        <v>43500</v>
      </c>
      <c r="F199" s="659">
        <f ca="1"/>
        <v>-1.9870967741935481E-3</v>
      </c>
      <c r="G199" s="656">
        <v>-1.9928125000000002E-3</v>
      </c>
    </row>
    <row r="200" spans="5:7">
      <c r="E200" s="658">
        <f ca="1">_xll.meDateFromTenor(E199,"1D","Following",$C$16)</f>
        <v>43501</v>
      </c>
      <c r="F200" s="659">
        <f ca="1"/>
        <v>-1.9803225806451609E-3</v>
      </c>
      <c r="G200" s="656">
        <v>-1.9862500000000002E-3</v>
      </c>
    </row>
    <row r="201" spans="5:7">
      <c r="E201" s="658">
        <f ca="1">_xll.meDateFromTenor(E200,"1D","Following",$C$16)</f>
        <v>43502</v>
      </c>
      <c r="F201" s="659">
        <f ca="1"/>
        <v>-1.9735483870967742E-3</v>
      </c>
      <c r="G201" s="656">
        <v>-1.9796875000000001E-3</v>
      </c>
    </row>
    <row r="202" spans="5:7">
      <c r="E202" s="658">
        <f ca="1">_xll.meDateFromTenor(E201,"1D","Following",$C$16)</f>
        <v>43503</v>
      </c>
      <c r="F202" s="659">
        <f ca="1"/>
        <v>-1.9667741935483871E-3</v>
      </c>
      <c r="G202" s="656">
        <v>-1.9600000000000004E-3</v>
      </c>
    </row>
    <row r="203" spans="5:7">
      <c r="E203" s="658">
        <f ca="1">_xll.meDateFromTenor(E202,"1D","Following",$C$16)</f>
        <v>43504</v>
      </c>
      <c r="F203" s="659">
        <f ca="1"/>
        <v>-1.9599999999999999E-3</v>
      </c>
      <c r="G203" s="656">
        <v>-1.9535714285714286E-3</v>
      </c>
    </row>
    <row r="204" spans="5:7">
      <c r="E204" s="658">
        <f ca="1">_xll.meDateFromTenor(E203,"1D","Following",$C$16)</f>
        <v>43507</v>
      </c>
      <c r="F204" s="659">
        <f ca="1"/>
        <v>-1.9407142857142854E-3</v>
      </c>
      <c r="G204" s="656">
        <v>-1.9471428571428571E-3</v>
      </c>
    </row>
    <row r="205" spans="5:7">
      <c r="E205" s="658">
        <f ca="1">_xll.meDateFromTenor(E204,"1D","Following",$C$16)</f>
        <v>43508</v>
      </c>
      <c r="F205" s="659">
        <f ca="1"/>
        <v>-1.9342857142857141E-3</v>
      </c>
      <c r="G205" s="656">
        <v>-1.9407142857142856E-3</v>
      </c>
    </row>
    <row r="206" spans="5:7">
      <c r="E206" s="658">
        <f ca="1">_xll.meDateFromTenor(E205,"1D","Following",$C$16)</f>
        <v>43509</v>
      </c>
      <c r="F206" s="659">
        <f ca="1"/>
        <v>-1.9278571428571426E-3</v>
      </c>
      <c r="G206" s="656">
        <v>-1.9342857142857143E-3</v>
      </c>
    </row>
    <row r="207" spans="5:7">
      <c r="E207" s="658">
        <f ca="1">_xll.meDateFromTenor(E206,"1D","Following",$C$16)</f>
        <v>43510</v>
      </c>
      <c r="F207" s="659">
        <f ca="1"/>
        <v>-1.9214285714285713E-3</v>
      </c>
      <c r="G207" s="656">
        <v>-1.915E-3</v>
      </c>
    </row>
    <row r="208" spans="5:7">
      <c r="E208" s="658">
        <f ca="1">_xll.meDateFromTenor(E207,"1D","Following",$C$16)</f>
        <v>43511</v>
      </c>
      <c r="F208" s="659">
        <f ca="1"/>
        <v>-1.9149999999999998E-3</v>
      </c>
      <c r="G208" s="656">
        <v>-1.9085714285714287E-3</v>
      </c>
    </row>
    <row r="209" spans="5:7">
      <c r="E209" s="658">
        <f ca="1">_xll.meDateFromTenor(E208,"1D","Following",$C$16)</f>
        <v>43514</v>
      </c>
      <c r="F209" s="659">
        <f ca="1"/>
        <v>-1.8957142857142857E-3</v>
      </c>
      <c r="G209" s="656">
        <v>-1.9021428571428572E-3</v>
      </c>
    </row>
    <row r="210" spans="5:7">
      <c r="E210" s="658">
        <f ca="1">_xll.meDateFromTenor(E209,"1D","Following",$C$16)</f>
        <v>43515</v>
      </c>
      <c r="F210" s="659">
        <f ca="1"/>
        <v>-1.8892857142857142E-3</v>
      </c>
      <c r="G210" s="656">
        <v>-1.8957142857142859E-3</v>
      </c>
    </row>
    <row r="211" spans="5:7">
      <c r="E211" s="658">
        <f ca="1">_xll.meDateFromTenor(E210,"1D","Following",$C$16)</f>
        <v>43516</v>
      </c>
      <c r="F211" s="659">
        <f ca="1"/>
        <v>-1.8828571428571425E-3</v>
      </c>
      <c r="G211" s="656">
        <v>-1.8892857142857144E-3</v>
      </c>
    </row>
    <row r="212" spans="5:7">
      <c r="E212" s="658">
        <f ca="1">_xll.meDateFromTenor(E211,"1D","Following",$C$16)</f>
        <v>43517</v>
      </c>
      <c r="F212" s="659">
        <f ca="1"/>
        <v>-1.8764285714285712E-3</v>
      </c>
      <c r="G212" s="656">
        <v>-1.8700000000000001E-3</v>
      </c>
    </row>
    <row r="213" spans="5:7">
      <c r="E213" s="658">
        <f ca="1">_xll.meDateFromTenor(E212,"1D","Following",$C$16)</f>
        <v>43518</v>
      </c>
      <c r="F213" s="659">
        <f ca="1"/>
        <v>-1.8699999999999997E-3</v>
      </c>
      <c r="G213" s="656">
        <v>-1.8635714285714286E-3</v>
      </c>
    </row>
    <row r="214" spans="5:7">
      <c r="E214" s="658">
        <f ca="1">_xll.meDateFromTenor(E213,"1D","Following",$C$16)</f>
        <v>43521</v>
      </c>
      <c r="F214" s="659">
        <f ca="1"/>
        <v>-1.8507142857142856E-3</v>
      </c>
      <c r="G214" s="656">
        <v>-1.8571428571428573E-3</v>
      </c>
    </row>
    <row r="215" spans="5:7">
      <c r="E215" s="658">
        <f ca="1">_xll.meDateFromTenor(E214,"1D","Following",$C$16)</f>
        <v>43522</v>
      </c>
      <c r="F215" s="659">
        <f ca="1"/>
        <v>-1.8442857142857141E-3</v>
      </c>
      <c r="G215" s="656">
        <v>-1.8507142857142858E-3</v>
      </c>
    </row>
    <row r="216" spans="5:7">
      <c r="E216" s="658">
        <f ca="1">_xll.meDateFromTenor(E215,"1D","Following",$C$16)</f>
        <v>43523</v>
      </c>
      <c r="F216" s="659">
        <f ca="1"/>
        <v>-1.8378571428571428E-3</v>
      </c>
      <c r="G216" s="656">
        <v>-1.8442857142857145E-3</v>
      </c>
    </row>
    <row r="217" spans="5:7">
      <c r="E217" s="658">
        <f ca="1">_xll.meDateFromTenor(E216,"1D","Following",$C$16)</f>
        <v>43524</v>
      </c>
      <c r="F217" s="659">
        <f ca="1"/>
        <v>-1.8314285714285713E-3</v>
      </c>
      <c r="G217" s="656">
        <v>-1.825E-3</v>
      </c>
    </row>
    <row r="218" spans="5:7">
      <c r="E218" s="658">
        <f ca="1">_xll.meDateFromTenor(E217,"1D","Following",$C$16)</f>
        <v>43525</v>
      </c>
      <c r="F218" s="659">
        <f ca="1"/>
        <v>-1.8249999999999998E-3</v>
      </c>
      <c r="G218" s="656">
        <v>-1.8185714285714285E-3</v>
      </c>
    </row>
    <row r="219" spans="5:7">
      <c r="E219" s="658">
        <f ca="1">_xll.meDateFromTenor(E218,"1D","Following",$C$16)</f>
        <v>43528</v>
      </c>
      <c r="F219" s="659">
        <f ca="1"/>
        <v>-1.8057142857142855E-3</v>
      </c>
      <c r="G219" s="656">
        <v>-1.8121428571428572E-3</v>
      </c>
    </row>
    <row r="220" spans="5:7">
      <c r="E220" s="658">
        <f ca="1">_xll.meDateFromTenor(E219,"1D","Following",$C$16)</f>
        <v>43529</v>
      </c>
      <c r="F220" s="659">
        <f ca="1"/>
        <v>-1.7992857142857142E-3</v>
      </c>
      <c r="G220" s="656">
        <v>-1.8057142857142857E-3</v>
      </c>
    </row>
    <row r="221" spans="5:7">
      <c r="E221" s="658">
        <f ca="1">_xll.meDateFromTenor(E220,"1D","Following",$C$16)</f>
        <v>43530</v>
      </c>
      <c r="F221" s="659">
        <f ca="1"/>
        <v>-1.7928571428571427E-3</v>
      </c>
      <c r="G221" s="656">
        <v>-1.7992857142857144E-3</v>
      </c>
    </row>
    <row r="222" spans="5:7">
      <c r="E222" s="658">
        <f ca="1">_xll.meDateFromTenor(E221,"1D","Following",$C$16)</f>
        <v>43531</v>
      </c>
      <c r="F222" s="659">
        <f ca="1"/>
        <v>-1.7864285714285712E-3</v>
      </c>
      <c r="G222" s="656">
        <v>-1.7800000000000001E-3</v>
      </c>
    </row>
    <row r="223" spans="5:7">
      <c r="E223" s="658">
        <f ca="1">_xll.meDateFromTenor(E222,"1D","Following",$C$16)</f>
        <v>43532</v>
      </c>
      <c r="F223" s="659">
        <f ca="1"/>
        <v>-1.7799999999999999E-3</v>
      </c>
      <c r="G223" s="656">
        <v>-1.7720000000000004E-3</v>
      </c>
    </row>
    <row r="224" spans="5:7">
      <c r="E224" s="658">
        <f ca="1">_xll.meDateFromTenor(E223,"1D","Following",$C$16)</f>
        <v>43535</v>
      </c>
      <c r="F224" s="659">
        <f ca="1"/>
        <v>-1.7567741935483867E-3</v>
      </c>
      <c r="G224" s="656">
        <v>-1.7640000000000004E-3</v>
      </c>
    </row>
    <row r="225" spans="5:7">
      <c r="E225" s="658">
        <f ca="1">_xll.meDateFromTenor(E224,"1D","Following",$C$16)</f>
        <v>43536</v>
      </c>
      <c r="F225" s="659">
        <f ca="1"/>
        <v>-1.7490322580645159E-3</v>
      </c>
      <c r="G225" s="656">
        <v>-1.756E-3</v>
      </c>
    </row>
    <row r="226" spans="5:7">
      <c r="E226" s="658">
        <f ca="1">_xll.meDateFromTenor(E225,"1D","Following",$C$16)</f>
        <v>43537</v>
      </c>
      <c r="F226" s="659">
        <f ca="1"/>
        <v>-1.7412903225806449E-3</v>
      </c>
      <c r="G226" s="656">
        <v>-1.748E-3</v>
      </c>
    </row>
    <row r="227" spans="5:7">
      <c r="E227" s="658">
        <f ca="1">_xll.meDateFromTenor(E226,"1D","Following",$C$16)</f>
        <v>43538</v>
      </c>
      <c r="F227" s="659">
        <f ca="1"/>
        <v>-1.733548387096774E-3</v>
      </c>
      <c r="G227" s="656">
        <v>-1.7240000000000001E-3</v>
      </c>
    </row>
    <row r="228" spans="5:7">
      <c r="E228" s="658">
        <f ca="1">_xll.meDateFromTenor(E227,"1D","Following",$C$16)</f>
        <v>43539</v>
      </c>
      <c r="F228" s="659">
        <f ca="1"/>
        <v>-1.725806451612903E-3</v>
      </c>
      <c r="G228" s="656">
        <v>-1.7160000000000001E-3</v>
      </c>
    </row>
    <row r="229" spans="5:7">
      <c r="E229" s="658">
        <f ca="1">_xll.meDateFromTenor(E228,"1D","Following",$C$16)</f>
        <v>43542</v>
      </c>
      <c r="F229" s="659">
        <f ca="1"/>
        <v>-1.7025806451612903E-3</v>
      </c>
      <c r="G229" s="656">
        <v>-1.7080000000000001E-3</v>
      </c>
    </row>
    <row r="230" spans="5:7">
      <c r="E230" s="658">
        <f ca="1">_xll.meDateFromTenor(E229,"1D","Following",$C$16)</f>
        <v>43543</v>
      </c>
      <c r="F230" s="659">
        <f ca="1"/>
        <v>-1.6948387096774192E-3</v>
      </c>
      <c r="G230" s="656">
        <v>-1.7000000000000001E-3</v>
      </c>
    </row>
    <row r="231" spans="5:7">
      <c r="E231" s="658">
        <f ca="1">_xll.meDateFromTenor(E230,"1D","Following",$C$16)</f>
        <v>43544</v>
      </c>
      <c r="F231" s="659">
        <f ca="1"/>
        <v>-1.6870967741935484E-3</v>
      </c>
      <c r="G231" s="656">
        <v>-1.6920000000000004E-3</v>
      </c>
    </row>
    <row r="232" spans="5:7">
      <c r="E232" s="658">
        <f ca="1">_xll.meDateFromTenor(E231,"1D","Following",$C$16)</f>
        <v>43545</v>
      </c>
      <c r="F232" s="659">
        <f ca="1"/>
        <v>-1.6793548387096771E-3</v>
      </c>
      <c r="G232" s="656">
        <v>-1.668E-3</v>
      </c>
    </row>
    <row r="233" spans="5:7">
      <c r="E233" s="658">
        <f ca="1">_xll.meDateFromTenor(E232,"1D","Following",$C$16)</f>
        <v>43546</v>
      </c>
      <c r="F233" s="659">
        <f ca="1"/>
        <v>-1.6716129032258061E-3</v>
      </c>
      <c r="G233" s="656">
        <v>-1.66E-3</v>
      </c>
    </row>
    <row r="234" spans="5:7">
      <c r="E234" s="658">
        <f ca="1">_xll.meDateFromTenor(E233,"1D","Following",$C$16)</f>
        <v>43549</v>
      </c>
      <c r="F234" s="659">
        <f ca="1"/>
        <v>-1.6483870967741933E-3</v>
      </c>
      <c r="G234" s="656">
        <v>-1.652E-3</v>
      </c>
    </row>
    <row r="235" spans="5:7">
      <c r="E235" s="658">
        <f ca="1">_xll.meDateFromTenor(E234,"1D","Following",$C$16)</f>
        <v>43550</v>
      </c>
      <c r="F235" s="659">
        <f ca="1"/>
        <v>-1.6406451612903225E-3</v>
      </c>
      <c r="G235" s="656">
        <v>-1.6440000000000001E-3</v>
      </c>
    </row>
    <row r="236" spans="5:7">
      <c r="E236" s="658">
        <f ca="1">_xll.meDateFromTenor(E235,"1D","Following",$C$16)</f>
        <v>43551</v>
      </c>
      <c r="F236" s="659">
        <f ca="1"/>
        <v>-1.6329032258064514E-3</v>
      </c>
      <c r="G236" s="656">
        <v>-1.6360000000000001E-3</v>
      </c>
    </row>
    <row r="237" spans="5:7">
      <c r="E237" s="658">
        <f ca="1">_xll.meDateFromTenor(E236,"1D","Following",$C$16)</f>
        <v>43552</v>
      </c>
      <c r="F237" s="659">
        <f ca="1"/>
        <v>-1.6251612903225806E-3</v>
      </c>
      <c r="G237" s="656">
        <v>-1.6120000000000002E-3</v>
      </c>
    </row>
    <row r="238" spans="5:7">
      <c r="E238" s="658">
        <f ca="1">_xll.meDateFromTenor(E237,"1D","Following",$C$16)</f>
        <v>43553</v>
      </c>
      <c r="F238" s="659">
        <f ca="1"/>
        <v>-1.6174193548387096E-3</v>
      </c>
      <c r="G238" s="656">
        <v>-1.6040000000000004E-3</v>
      </c>
    </row>
    <row r="239" spans="5:7">
      <c r="E239" s="658">
        <f ca="1">_xll.meDateFromTenor(E238,"1D","Following",$C$16)</f>
        <v>43556</v>
      </c>
      <c r="F239" s="659">
        <f ca="1"/>
        <v>-1.5941935483870964E-3</v>
      </c>
      <c r="G239" s="656">
        <v>-1.596E-3</v>
      </c>
    </row>
    <row r="240" spans="5:7">
      <c r="E240" s="658">
        <f ca="1">_xll.meDateFromTenor(E239,"1D","Following",$C$16)</f>
        <v>43557</v>
      </c>
      <c r="F240" s="659">
        <f ca="1"/>
        <v>-1.5864516129032256E-3</v>
      </c>
      <c r="G240" s="656">
        <v>-1.588E-3</v>
      </c>
    </row>
    <row r="241" spans="5:7">
      <c r="E241" s="658">
        <f ca="1">_xll.meDateFromTenor(E240,"1D","Following",$C$16)</f>
        <v>43558</v>
      </c>
      <c r="F241" s="659">
        <f ca="1"/>
        <v>-1.5787096774193545E-3</v>
      </c>
      <c r="G241" s="656">
        <v>-1.58E-3</v>
      </c>
    </row>
    <row r="242" spans="5:7">
      <c r="E242" s="658">
        <f ca="1">_xll.meDateFromTenor(E241,"1D","Following",$C$16)</f>
        <v>43559</v>
      </c>
      <c r="F242" s="659">
        <f ca="1"/>
        <v>-1.5709677419354837E-3</v>
      </c>
      <c r="G242" s="656">
        <v>-1.5560000000000001E-3</v>
      </c>
    </row>
    <row r="243" spans="5:7">
      <c r="E243" s="658">
        <f ca="1">_xll.meDateFromTenor(E242,"1D","Following",$C$16)</f>
        <v>43560</v>
      </c>
      <c r="F243" s="659">
        <f ca="1"/>
        <v>-1.5632258064516126E-3</v>
      </c>
      <c r="G243" s="656">
        <v>-1.5480000000000003E-3</v>
      </c>
    </row>
    <row r="244" spans="5:7">
      <c r="E244" s="658">
        <f ca="1">_xll.meDateFromTenor(E243,"1D","Following",$C$16)</f>
        <v>43563</v>
      </c>
      <c r="F244" s="659">
        <f ca="1"/>
        <v>-1.5399999999999999E-3</v>
      </c>
      <c r="G244" s="656">
        <v>-1.5400000000000001E-3</v>
      </c>
    </row>
    <row r="245" spans="5:7">
      <c r="E245" s="658">
        <f ca="1">_xll.meDateFromTenor(E244,"1D","Following",$C$16)</f>
        <v>43564</v>
      </c>
      <c r="F245" s="659">
        <f ca="1"/>
        <v>-1.5299999999999971E-3</v>
      </c>
      <c r="G245" s="656">
        <v>-1.5299999999999975E-3</v>
      </c>
    </row>
    <row r="246" spans="5:7">
      <c r="E246" s="658">
        <f ca="1">_xll.meDateFromTenor(E245,"1D","Following",$C$16)</f>
        <v>43565</v>
      </c>
      <c r="F246" s="659">
        <f ca="1"/>
        <v>-1.5199999999999938E-3</v>
      </c>
      <c r="G246" s="656">
        <v>-1.5199999999999947E-3</v>
      </c>
    </row>
    <row r="247" spans="5:7">
      <c r="E247" s="658">
        <f ca="1">_xll.meDateFromTenor(E246,"1D","Following",$C$16)</f>
        <v>43566</v>
      </c>
      <c r="F247" s="659">
        <f ca="1"/>
        <v>-1.509999999999991E-3</v>
      </c>
      <c r="G247" s="656">
        <v>-1.4899999999999857E-3</v>
      </c>
    </row>
    <row r="248" spans="5:7">
      <c r="E248" s="658">
        <f ca="1">_xll.meDateFromTenor(E247,"1D","Following",$C$16)</f>
        <v>43567</v>
      </c>
      <c r="F248" s="659">
        <f ca="1"/>
        <v>-1.4999999999999881E-3</v>
      </c>
      <c r="G248" s="656">
        <v>-1.4799999999999831E-3</v>
      </c>
    </row>
    <row r="249" spans="5:7">
      <c r="E249" s="658">
        <f ca="1">_xll.meDateFromTenor(E248,"1D","Following",$C$16)</f>
        <v>43570</v>
      </c>
      <c r="F249" s="659">
        <f ca="1"/>
        <v>-1.4699999999999796E-3</v>
      </c>
      <c r="G249" s="656">
        <v>-1.4699999999999802E-3</v>
      </c>
    </row>
    <row r="250" spans="5:7">
      <c r="E250" s="658">
        <f ca="1">_xll.meDateFromTenor(E249,"1D","Following",$C$16)</f>
        <v>43571</v>
      </c>
      <c r="F250" s="659">
        <f ca="1"/>
        <v>-1.4599999999999765E-3</v>
      </c>
      <c r="G250" s="656">
        <v>-1.4599999999999774E-3</v>
      </c>
    </row>
    <row r="251" spans="5:7">
      <c r="E251" s="658">
        <f ca="1">_xll.meDateFromTenor(E250,"1D","Following",$C$16)</f>
        <v>43572</v>
      </c>
      <c r="F251" s="659">
        <f ca="1"/>
        <v>-1.4499999999999737E-3</v>
      </c>
      <c r="G251" s="656">
        <v>-1.4499999999999745E-3</v>
      </c>
    </row>
    <row r="252" spans="5:7">
      <c r="E252" s="658">
        <f ca="1">_xll.meDateFromTenor(E251,"1D","Following",$C$16)</f>
        <v>43573</v>
      </c>
      <c r="F252" s="659">
        <f ca="1"/>
        <v>-1.4399999999999708E-3</v>
      </c>
      <c r="G252" s="656">
        <v>-1.419999999999966E-3</v>
      </c>
    </row>
    <row r="253" spans="5:7">
      <c r="E253" s="658">
        <f ca="1">_xll.meDateFromTenor(E252,"1D","Following",$C$16)</f>
        <v>43578</v>
      </c>
      <c r="F253" s="659">
        <f ca="1"/>
        <v>-1.3899999999999562E-3</v>
      </c>
      <c r="G253" s="656">
        <v>-1.4099999999999627E-3</v>
      </c>
    </row>
    <row r="254" spans="5:7">
      <c r="E254" s="658">
        <f ca="1">_xll.meDateFromTenor(E253,"1D","Following",$C$16)</f>
        <v>43579</v>
      </c>
      <c r="F254" s="659">
        <f ca="1"/>
        <v>-1.3799999999999533E-3</v>
      </c>
      <c r="G254" s="656">
        <v>-1.3999999999999599E-3</v>
      </c>
    </row>
    <row r="255" spans="5:7">
      <c r="E255" s="658">
        <f ca="1">_xll.meDateFromTenor(E254,"1D","Following",$C$16)</f>
        <v>43580</v>
      </c>
      <c r="F255" s="659">
        <f ca="1"/>
        <v>-1.3699999999999505E-3</v>
      </c>
      <c r="G255" s="656">
        <v>-1.3899999999999572E-3</v>
      </c>
    </row>
    <row r="256" spans="5:7">
      <c r="E256" s="658">
        <f ca="1">_xll.meDateFromTenor(E255,"1D","Following",$C$16)</f>
        <v>43581</v>
      </c>
      <c r="F256" s="659">
        <f ca="1"/>
        <v>-1.3599999999999476E-3</v>
      </c>
      <c r="G256" s="656">
        <v>-1.339999999999943E-3</v>
      </c>
    </row>
    <row r="257" spans="5:7">
      <c r="E257" s="658">
        <f ca="1">_xll.meDateFromTenor(E256,"1D","Following",$C$16)</f>
        <v>43584</v>
      </c>
      <c r="F257" s="659">
        <f ca="1"/>
        <v>-1.3299999999999389E-3</v>
      </c>
      <c r="G257" s="656">
        <v>-1.3299999999999402E-3</v>
      </c>
    </row>
    <row r="258" spans="5:7">
      <c r="E258" s="658">
        <f ca="1">_xll.meDateFromTenor(E257,"1D","Following",$C$16)</f>
        <v>43585</v>
      </c>
      <c r="F258" s="659">
        <f ca="1"/>
        <v>-1.3199999999999358E-3</v>
      </c>
      <c r="G258" s="656">
        <v>-1.3199999999999373E-3</v>
      </c>
    </row>
    <row r="259" spans="5:7">
      <c r="E259" s="658">
        <f ca="1">_xll.meDateFromTenor(E258,"1D","Following",$C$16)</f>
        <v>43587</v>
      </c>
      <c r="F259" s="659">
        <f ca="1"/>
        <v>-1.2999999999999299E-3</v>
      </c>
      <c r="G259" s="656">
        <v>-1.309999999999934E-3</v>
      </c>
    </row>
    <row r="260" spans="5:7">
      <c r="E260" s="658">
        <f ca="1">_xll.meDateFromTenor(E259,"1D","Following",$C$16)</f>
        <v>43588</v>
      </c>
      <c r="F260" s="659">
        <f ca="1"/>
        <v>-1.2899999999999271E-3</v>
      </c>
      <c r="G260" s="656">
        <v>-1.2799999999999257E-3</v>
      </c>
    </row>
    <row r="261" spans="5:7">
      <c r="E261" s="658">
        <f ca="1">_xll.meDateFromTenor(E260,"1D","Following",$C$16)</f>
        <v>43591</v>
      </c>
      <c r="F261" s="659">
        <f ca="1"/>
        <v>-1.2599999999999185E-3</v>
      </c>
      <c r="G261" s="656">
        <v>-1.2699999999999229E-3</v>
      </c>
    </row>
    <row r="262" spans="5:7">
      <c r="E262" s="658">
        <f ca="1">_xll.meDateFromTenor(E261,"1D","Following",$C$16)</f>
        <v>43592</v>
      </c>
      <c r="F262" s="659">
        <f ca="1"/>
        <v>-1.2499999999999152E-3</v>
      </c>
      <c r="G262" s="656">
        <v>-1.2499999999999172E-3</v>
      </c>
    </row>
    <row r="263" spans="5:7">
      <c r="E263" s="658">
        <f ca="1">_xll.meDateFromTenor(E262,"1D","Following",$C$16)</f>
        <v>43593</v>
      </c>
      <c r="F263" s="659">
        <f ca="1"/>
        <v>-1.2399999999999128E-3</v>
      </c>
      <c r="G263" s="656">
        <v>-1.2399999999999139E-3</v>
      </c>
    </row>
    <row r="264" spans="5:7">
      <c r="E264" s="658">
        <f ca="1">_xll.meDateFromTenor(E263,"1D","Following",$C$16)</f>
        <v>43594</v>
      </c>
      <c r="F264" s="659">
        <f ca="1"/>
        <v>-1.2295757674361447E-3</v>
      </c>
      <c r="G264" s="656">
        <v>-1.2088574082546719E-3</v>
      </c>
    </row>
    <row r="265" spans="5:7">
      <c r="E265" s="658">
        <f ca="1">_xll.meDateFromTenor(E264,"1D","Following",$C$16)</f>
        <v>43595</v>
      </c>
      <c r="F265" s="659">
        <f ca="1"/>
        <v>-1.2191515348723772E-3</v>
      </c>
      <c r="G265" s="656">
        <v>-1.1984765443395905E-3</v>
      </c>
    </row>
    <row r="266" spans="5:7">
      <c r="E266" s="658">
        <f ca="1">_xll.meDateFromTenor(E265,"1D","Following",$C$16)</f>
        <v>43598</v>
      </c>
      <c r="F266" s="659">
        <f ca="1"/>
        <v>-1.1878788371810734E-3</v>
      </c>
      <c r="G266" s="656">
        <v>-1.18809568042451E-3</v>
      </c>
    </row>
    <row r="267" spans="5:7">
      <c r="E267" s="658">
        <f ca="1">_xll.meDateFromTenor(E266,"1D","Following",$C$16)</f>
        <v>43599</v>
      </c>
      <c r="F267" s="659">
        <f ca="1"/>
        <v>-1.1774546046173053E-3</v>
      </c>
      <c r="G267" s="656">
        <v>-1.1777148165094287E-3</v>
      </c>
    </row>
    <row r="268" spans="5:7">
      <c r="E268" s="658">
        <f ca="1">_xll.meDateFromTenor(E267,"1D","Following",$C$16)</f>
        <v>43600</v>
      </c>
      <c r="F268" s="659">
        <f ca="1"/>
        <v>-1.1670303720535378E-3</v>
      </c>
      <c r="G268" s="656">
        <v>-1.1673339525943476E-3</v>
      </c>
    </row>
    <row r="269" spans="5:7">
      <c r="E269" s="658">
        <f ca="1">_xll.meDateFromTenor(E268,"1D","Following",$C$16)</f>
        <v>43601</v>
      </c>
      <c r="F269" s="659">
        <f ca="1"/>
        <v>-1.1566061394897697E-3</v>
      </c>
      <c r="G269" s="656">
        <v>-1.1361913608491053E-3</v>
      </c>
    </row>
    <row r="270" spans="5:7">
      <c r="E270" s="658">
        <f ca="1">_xll.meDateFromTenor(E269,"1D","Following",$C$16)</f>
        <v>43602</v>
      </c>
      <c r="F270" s="659">
        <f ca="1"/>
        <v>-1.1461819069260024E-3</v>
      </c>
      <c r="G270" s="656">
        <v>-1.1258104969340242E-3</v>
      </c>
    </row>
    <row r="271" spans="5:7">
      <c r="E271" s="658">
        <f ca="1">_xll.meDateFromTenor(E270,"1D","Following",$C$16)</f>
        <v>43605</v>
      </c>
      <c r="F271" s="659">
        <f ca="1"/>
        <v>-1.1149092092346987E-3</v>
      </c>
      <c r="G271" s="656">
        <v>-1.1154296330189437E-3</v>
      </c>
    </row>
    <row r="272" spans="5:7">
      <c r="E272" s="658">
        <f ca="1">_xll.meDateFromTenor(E271,"1D","Following",$C$16)</f>
        <v>43606</v>
      </c>
      <c r="F272" s="659">
        <f ca="1"/>
        <v>-1.1044849766709312E-3</v>
      </c>
      <c r="G272" s="656">
        <v>-1.1050487691038624E-3</v>
      </c>
    </row>
    <row r="273" spans="5:7">
      <c r="E273" s="658">
        <f ca="1">_xll.meDateFromTenor(E272,"1D","Following",$C$16)</f>
        <v>43607</v>
      </c>
      <c r="F273" s="659">
        <f ca="1"/>
        <v>-1.094060744107163E-3</v>
      </c>
      <c r="G273" s="656">
        <v>-1.0946679051887819E-3</v>
      </c>
    </row>
    <row r="274" spans="5:7">
      <c r="E274" s="658">
        <f ca="1">_xll.meDateFromTenor(E273,"1D","Following",$C$16)</f>
        <v>43608</v>
      </c>
      <c r="F274" s="659">
        <f ca="1"/>
        <v>-1.0836365115433956E-3</v>
      </c>
      <c r="G274" s="656">
        <v>-1.063525313443539E-3</v>
      </c>
    </row>
    <row r="275" spans="5:7">
      <c r="E275" s="658">
        <f ca="1">_xll.meDateFromTenor(E274,"1D","Following",$C$16)</f>
        <v>43609</v>
      </c>
      <c r="F275" s="659">
        <f ca="1"/>
        <v>-1.0732122789796274E-3</v>
      </c>
      <c r="G275" s="656">
        <v>-1.0531444495284576E-3</v>
      </c>
    </row>
    <row r="276" spans="5:7">
      <c r="E276" s="658">
        <f ca="1">_xll.meDateFromTenor(E275,"1D","Following",$C$16)</f>
        <v>43612</v>
      </c>
      <c r="F276" s="659">
        <f ca="1"/>
        <v>-1.0419395812883237E-3</v>
      </c>
      <c r="G276" s="656">
        <v>-1.0427635856133772E-3</v>
      </c>
    </row>
    <row r="277" spans="5:7">
      <c r="E277" s="658">
        <f ca="1">_xll.meDateFromTenor(E276,"1D","Following",$C$16)</f>
        <v>43613</v>
      </c>
      <c r="F277" s="659">
        <f ca="1"/>
        <v>-1.0315153487245564E-3</v>
      </c>
      <c r="G277" s="656">
        <v>-1.0323827216982961E-3</v>
      </c>
    </row>
    <row r="278" spans="5:7">
      <c r="E278" s="658">
        <f ca="1">_xll.meDateFromTenor(E277,"1D","Following",$C$16)</f>
        <v>43614</v>
      </c>
      <c r="F278" s="659">
        <f ca="1"/>
        <v>-1.021091116160788E-3</v>
      </c>
      <c r="G278" s="656">
        <v>-1.0220018577832156E-3</v>
      </c>
    </row>
    <row r="279" spans="5:7">
      <c r="E279" s="658">
        <f ca="1">_xll.meDateFromTenor(E278,"1D","Following",$C$16)</f>
        <v>43615</v>
      </c>
      <c r="F279" s="659">
        <f ca="1"/>
        <v>-1.0106668835970208E-3</v>
      </c>
      <c r="G279" s="656">
        <v>-9.9085926603797265E-4</v>
      </c>
    </row>
    <row r="280" spans="5:7">
      <c r="E280" s="658">
        <f ca="1">_xll.meDateFromTenor(E279,"1D","Following",$C$16)</f>
        <v>43616</v>
      </c>
      <c r="F280" s="659">
        <f ca="1"/>
        <v>-1.0002426510332526E-3</v>
      </c>
      <c r="G280" s="656">
        <v>-9.8047840212289218E-4</v>
      </c>
    </row>
    <row r="281" spans="5:7">
      <c r="E281" s="658">
        <f ca="1">_xll.meDateFromTenor(E280,"1D","Following",$C$16)</f>
        <v>43619</v>
      </c>
      <c r="F281" s="659">
        <f ca="1"/>
        <v>-9.6896995334194876E-4</v>
      </c>
      <c r="G281" s="656">
        <v>-9.7009753820781084E-4</v>
      </c>
    </row>
    <row r="282" spans="5:7">
      <c r="E282" s="658">
        <f ca="1">_xll.meDateFromTenor(E281,"1D","Following",$C$16)</f>
        <v>43620</v>
      </c>
      <c r="F282" s="659">
        <f ca="1"/>
        <v>-9.5854572077818138E-4</v>
      </c>
      <c r="G282" s="656">
        <v>-9.5971667429272961E-4</v>
      </c>
    </row>
    <row r="283" spans="5:7">
      <c r="E283" s="658">
        <f ca="1">_xll.meDateFromTenor(E282,"1D","Following",$C$16)</f>
        <v>43621</v>
      </c>
      <c r="F283" s="659">
        <f ca="1"/>
        <v>-9.4812148821441324E-4</v>
      </c>
      <c r="G283" s="656">
        <v>-9.4933581037764925E-4</v>
      </c>
    </row>
    <row r="284" spans="5:7">
      <c r="E284" s="658">
        <f ca="1">_xll.meDateFromTenor(E283,"1D","Following",$C$16)</f>
        <v>43622</v>
      </c>
      <c r="F284" s="659">
        <f ca="1"/>
        <v>-9.3769725565064576E-4</v>
      </c>
      <c r="G284" s="656">
        <v>-9.1819321863240622E-4</v>
      </c>
    </row>
    <row r="285" spans="5:7">
      <c r="E285" s="658">
        <f ca="1">_xll.meDateFromTenor(E284,"1D","Following",$C$16)</f>
        <v>43623</v>
      </c>
      <c r="F285" s="659">
        <f ca="1"/>
        <v>-9.2727302308687762E-4</v>
      </c>
      <c r="G285" s="656">
        <v>-9.0781235471732585E-4</v>
      </c>
    </row>
    <row r="286" spans="5:7">
      <c r="E286" s="658">
        <f ca="1">_xll.meDateFromTenor(E285,"1D","Following",$C$16)</f>
        <v>43626</v>
      </c>
      <c r="F286" s="659">
        <f ca="1"/>
        <v>-8.9600032539557473E-4</v>
      </c>
      <c r="G286" s="656">
        <v>-8.9743149080224452E-4</v>
      </c>
    </row>
    <row r="287" spans="5:7">
      <c r="E287" s="658">
        <f ca="1">_xll.meDateFromTenor(E286,"1D","Following",$C$16)</f>
        <v>43627</v>
      </c>
      <c r="F287" s="659">
        <f ca="1"/>
        <v>-8.8557609283180648E-4</v>
      </c>
      <c r="G287" s="656">
        <v>-8.8705062688716405E-4</v>
      </c>
    </row>
    <row r="288" spans="5:7">
      <c r="E288" s="658">
        <f ca="1">_xll.meDateFromTenor(E287,"1D","Following",$C$16)</f>
        <v>43628</v>
      </c>
      <c r="F288" s="659">
        <f ca="1"/>
        <v>-8.7515186026803911E-4</v>
      </c>
      <c r="G288" s="656">
        <v>-8.7666976297208282E-4</v>
      </c>
    </row>
    <row r="289" spans="5:7">
      <c r="E289" s="658">
        <f ca="1">_xll.meDateFromTenor(E288,"1D","Following",$C$16)</f>
        <v>43629</v>
      </c>
      <c r="F289" s="659">
        <f ca="1"/>
        <v>-8.6472762770427097E-4</v>
      </c>
      <c r="G289" s="656">
        <v>-8.4552717122683978E-4</v>
      </c>
    </row>
    <row r="290" spans="5:7">
      <c r="E290" s="658">
        <f ca="1">_xll.meDateFromTenor(E289,"1D","Following",$C$16)</f>
        <v>43630</v>
      </c>
      <c r="F290" s="659">
        <f ca="1"/>
        <v>-8.5430339514050273E-4</v>
      </c>
      <c r="G290" s="656">
        <v>-8.3514630731175931E-4</v>
      </c>
    </row>
    <row r="291" spans="5:7">
      <c r="E291" s="658">
        <f ca="1">_xll.meDateFromTenor(E290,"1D","Following",$C$16)</f>
        <v>43633</v>
      </c>
      <c r="F291" s="659">
        <f ca="1"/>
        <v>-8.2303069744919972E-4</v>
      </c>
      <c r="G291" s="656">
        <v>-8.2476544339667819E-4</v>
      </c>
    </row>
    <row r="292" spans="5:7">
      <c r="E292" s="658">
        <f ca="1">_xll.meDateFromTenor(E291,"1D","Following",$C$16)</f>
        <v>43634</v>
      </c>
      <c r="F292" s="659">
        <f ca="1"/>
        <v>-8.1260646488543159E-4</v>
      </c>
      <c r="G292" s="656">
        <v>-8.1438457948159772E-4</v>
      </c>
    </row>
    <row r="293" spans="5:7">
      <c r="E293" s="658">
        <f ca="1">_xll.meDateFromTenor(E292,"1D","Following",$C$16)</f>
        <v>43635</v>
      </c>
      <c r="F293" s="659">
        <f ca="1"/>
        <v>-8.0218223232166421E-4</v>
      </c>
      <c r="G293" s="656">
        <v>-8.0400371556651638E-4</v>
      </c>
    </row>
    <row r="294" spans="5:7">
      <c r="E294" s="658">
        <f ca="1">_xll.meDateFromTenor(E293,"1D","Following",$C$16)</f>
        <v>43636</v>
      </c>
      <c r="F294" s="659">
        <f ca="1"/>
        <v>-7.9175799975789597E-4</v>
      </c>
      <c r="G294" s="656">
        <v>-7.7286112382127432E-4</v>
      </c>
    </row>
    <row r="295" spans="5:7">
      <c r="E295" s="658">
        <f ca="1">_xll.meDateFromTenor(E294,"1D","Following",$C$16)</f>
        <v>43637</v>
      </c>
      <c r="F295" s="659">
        <f ca="1"/>
        <v>-7.813337671941287E-4</v>
      </c>
      <c r="G295" s="656">
        <v>-7.6248025990619298E-4</v>
      </c>
    </row>
    <row r="296" spans="5:7">
      <c r="E296" s="658">
        <f ca="1">_xll.meDateFromTenor(E295,"1D","Following",$C$16)</f>
        <v>43640</v>
      </c>
      <c r="F296" s="659">
        <f ca="1"/>
        <v>-7.5006106950282483E-4</v>
      </c>
      <c r="G296" s="656">
        <v>-7.5209939599111164E-4</v>
      </c>
    </row>
    <row r="297" spans="5:7">
      <c r="E297" s="658">
        <f ca="1">_xll.meDateFromTenor(E296,"1D","Following",$C$16)</f>
        <v>43641</v>
      </c>
      <c r="F297" s="659">
        <f ca="1"/>
        <v>-7.3963683693905669E-4</v>
      </c>
      <c r="G297" s="656">
        <v>-7.4171853207603128E-4</v>
      </c>
    </row>
    <row r="298" spans="5:7">
      <c r="E298" s="658">
        <f ca="1">_xll.meDateFromTenor(E297,"1D","Following",$C$16)</f>
        <v>43642</v>
      </c>
      <c r="F298" s="659">
        <f ca="1"/>
        <v>-7.2921260437528931E-4</v>
      </c>
      <c r="G298" s="656">
        <v>-7.3133766816095005E-4</v>
      </c>
    </row>
    <row r="299" spans="5:7">
      <c r="E299" s="658">
        <f ca="1">_xll.meDateFromTenor(E298,"1D","Following",$C$16)</f>
        <v>43643</v>
      </c>
      <c r="F299" s="659">
        <f ca="1"/>
        <v>-7.1878837181152107E-4</v>
      </c>
      <c r="G299" s="656">
        <v>-7.0019507641570788E-4</v>
      </c>
    </row>
    <row r="300" spans="5:7">
      <c r="E300" s="658">
        <f ca="1">_xll.meDateFromTenor(E299,"1D","Following",$C$16)</f>
        <v>43644</v>
      </c>
      <c r="F300" s="659">
        <f ca="1"/>
        <v>-7.0836413924775369E-4</v>
      </c>
      <c r="G300" s="656">
        <v>-6.8981421250062665E-4</v>
      </c>
    </row>
    <row r="301" spans="5:7">
      <c r="E301" s="658">
        <f ca="1">_xll.meDateFromTenor(E300,"1D","Following",$C$16)</f>
        <v>43647</v>
      </c>
      <c r="F301" s="659">
        <f ca="1"/>
        <v>-6.7709144155644993E-4</v>
      </c>
      <c r="G301" s="656">
        <v>-6.7943334858554618E-4</v>
      </c>
    </row>
    <row r="302" spans="5:7">
      <c r="E302" s="658">
        <f ca="1">_xll.meDateFromTenor(E301,"1D","Following",$C$16)</f>
        <v>43648</v>
      </c>
      <c r="F302" s="659">
        <f ca="1"/>
        <v>-6.6666720899268255E-4</v>
      </c>
      <c r="G302" s="656">
        <v>-6.6905248467046484E-4</v>
      </c>
    </row>
    <row r="303" spans="5:7">
      <c r="E303" s="658">
        <f ca="1">_xll.meDateFromTenor(E302,"1D","Following",$C$16)</f>
        <v>43649</v>
      </c>
      <c r="F303" s="659">
        <f ca="1"/>
        <v>-6.5624297642891442E-4</v>
      </c>
      <c r="G303" s="656">
        <v>-6.5867162075538448E-4</v>
      </c>
    </row>
    <row r="304" spans="5:7">
      <c r="E304" s="658">
        <f ca="1">_xll.meDateFromTenor(E303,"1D","Following",$C$16)</f>
        <v>43650</v>
      </c>
      <c r="F304" s="659">
        <f ca="1"/>
        <v>-6.4581874386514617E-4</v>
      </c>
      <c r="G304" s="656">
        <v>-6.2752902901014145E-4</v>
      </c>
    </row>
    <row r="305" spans="5:7">
      <c r="E305" s="658">
        <f ca="1">_xll.meDateFromTenor(E304,"1D","Following",$C$16)</f>
        <v>43651</v>
      </c>
      <c r="F305" s="659">
        <f ca="1"/>
        <v>-6.3539451130137879E-4</v>
      </c>
      <c r="G305" s="656">
        <v>-6.1714816509506022E-4</v>
      </c>
    </row>
    <row r="306" spans="5:7">
      <c r="E306" s="658">
        <f ca="1">_xll.meDateFromTenor(E305,"1D","Following",$C$16)</f>
        <v>43654</v>
      </c>
      <c r="F306" s="659">
        <f ca="1"/>
        <v>-6.0412181361007504E-4</v>
      </c>
      <c r="G306" s="656">
        <v>-6.0676730117997975E-4</v>
      </c>
    </row>
    <row r="307" spans="5:7">
      <c r="E307" s="658">
        <f ca="1">_xll.meDateFromTenor(E306,"1D","Following",$C$16)</f>
        <v>43655</v>
      </c>
      <c r="F307" s="659">
        <f ca="1"/>
        <v>-5.9369758104630766E-4</v>
      </c>
      <c r="G307" s="656">
        <v>-5.9638643726489852E-4</v>
      </c>
    </row>
    <row r="308" spans="5:7">
      <c r="E308" s="658">
        <f ca="1">_xll.meDateFromTenor(E307,"1D","Following",$C$16)</f>
        <v>43656</v>
      </c>
      <c r="F308" s="659">
        <f ca="1"/>
        <v>-5.8327334848253941E-4</v>
      </c>
      <c r="G308" s="656">
        <v>-5.8600557334981805E-4</v>
      </c>
    </row>
    <row r="309" spans="5:7">
      <c r="E309" s="658">
        <f ca="1">_xll.meDateFromTenor(E308,"1D","Following",$C$16)</f>
        <v>43657</v>
      </c>
      <c r="F309" s="659">
        <f ca="1"/>
        <v>-5.7284911591877214E-4</v>
      </c>
      <c r="G309" s="656">
        <v>-5.5486298160457512E-4</v>
      </c>
    </row>
    <row r="310" spans="5:7">
      <c r="E310" s="658">
        <f ca="1">_xll.meDateFromTenor(E309,"1D","Following",$C$16)</f>
        <v>43658</v>
      </c>
      <c r="F310" s="659">
        <f ca="1"/>
        <v>-5.624248833550039E-4</v>
      </c>
      <c r="G310" s="656">
        <v>-5.4448211768949378E-4</v>
      </c>
    </row>
    <row r="311" spans="5:7">
      <c r="E311" s="658">
        <f ca="1">_xll.meDateFromTenor(E310,"1D","Following",$C$16)</f>
        <v>43661</v>
      </c>
      <c r="F311" s="659">
        <f ca="1"/>
        <v>-5.3115218566370014E-4</v>
      </c>
      <c r="G311" s="656">
        <v>-5.3410125377441342E-4</v>
      </c>
    </row>
    <row r="312" spans="5:7">
      <c r="E312" s="658">
        <f ca="1">_xll.meDateFromTenor(E311,"1D","Following",$C$16)</f>
        <v>43662</v>
      </c>
      <c r="F312" s="659">
        <f ca="1"/>
        <v>-5.2072795309993276E-4</v>
      </c>
      <c r="G312" s="656">
        <v>-5.2372038985933208E-4</v>
      </c>
    </row>
    <row r="313" spans="5:7">
      <c r="E313" s="658">
        <f ca="1">_xll.meDateFromTenor(E312,"1D","Following",$C$16)</f>
        <v>43663</v>
      </c>
      <c r="F313" s="659">
        <f ca="1"/>
        <v>-5.1030372053616452E-4</v>
      </c>
      <c r="G313" s="656">
        <v>-5.1333952594425172E-4</v>
      </c>
    </row>
    <row r="314" spans="5:7">
      <c r="E314" s="658">
        <f ca="1">_xll.meDateFromTenor(E313,"1D","Following",$C$16)</f>
        <v>43664</v>
      </c>
      <c r="F314" s="659">
        <f ca="1"/>
        <v>-4.9987948797239714E-4</v>
      </c>
      <c r="G314" s="656">
        <v>-4.8219693419900868E-4</v>
      </c>
    </row>
    <row r="315" spans="5:7">
      <c r="E315" s="658">
        <f ca="1">_xll.meDateFromTenor(E314,"1D","Following",$C$16)</f>
        <v>43665</v>
      </c>
      <c r="F315" s="659">
        <f ca="1"/>
        <v>-4.89455255408629E-4</v>
      </c>
      <c r="G315" s="656">
        <v>-4.7181607028392832E-4</v>
      </c>
    </row>
    <row r="316" spans="5:7">
      <c r="E316" s="658">
        <f ca="1">_xll.meDateFromTenor(E315,"1D","Following",$C$16)</f>
        <v>43668</v>
      </c>
      <c r="F316" s="659">
        <f ca="1"/>
        <v>-4.5818255771732524E-4</v>
      </c>
      <c r="G316" s="656">
        <v>-4.6143520636884698E-4</v>
      </c>
    </row>
    <row r="317" spans="5:7">
      <c r="E317" s="658">
        <f ca="1">_xll.meDateFromTenor(E316,"1D","Following",$C$16)</f>
        <v>43669</v>
      </c>
      <c r="F317" s="659">
        <f ca="1"/>
        <v>-4.4775832515355786E-4</v>
      </c>
      <c r="G317" s="656">
        <v>-4.5105434245376575E-4</v>
      </c>
    </row>
    <row r="318" spans="5:7">
      <c r="E318" s="658">
        <f ca="1">_xll.meDateFromTenor(E317,"1D","Following",$C$16)</f>
        <v>43670</v>
      </c>
      <c r="F318" s="659">
        <f ca="1"/>
        <v>-4.3733409258978962E-4</v>
      </c>
      <c r="G318" s="656">
        <v>-4.4067347853868528E-4</v>
      </c>
    </row>
    <row r="319" spans="5:7">
      <c r="E319" s="658">
        <f ca="1">_xll.meDateFromTenor(E318,"1D","Following",$C$16)</f>
        <v>43671</v>
      </c>
      <c r="F319" s="659">
        <f ca="1"/>
        <v>-4.2690986002602224E-4</v>
      </c>
      <c r="G319" s="656">
        <v>-4.0953088679344235E-4</v>
      </c>
    </row>
    <row r="320" spans="5:7">
      <c r="E320" s="658">
        <f ca="1">_xll.meDateFromTenor(E319,"1D","Following",$C$16)</f>
        <v>43672</v>
      </c>
      <c r="F320" s="659">
        <f ca="1"/>
        <v>-4.1648562746225411E-4</v>
      </c>
      <c r="G320" s="656">
        <v>-3.9915002287836188E-4</v>
      </c>
    </row>
    <row r="321" spans="5:7">
      <c r="E321" s="658">
        <f ca="1">_xll.meDateFromTenor(E320,"1D","Following",$C$16)</f>
        <v>43675</v>
      </c>
      <c r="F321" s="659">
        <f ca="1"/>
        <v>-3.852129297709511E-4</v>
      </c>
      <c r="G321" s="656">
        <v>-3.8876915896328065E-4</v>
      </c>
    </row>
    <row r="322" spans="5:7">
      <c r="E322" s="658">
        <f ca="1">_xll.meDateFromTenor(E321,"1D","Following",$C$16)</f>
        <v>43676</v>
      </c>
      <c r="F322" s="659">
        <f ca="1"/>
        <v>-3.7478869720718297E-4</v>
      </c>
      <c r="G322" s="656">
        <v>-3.7838829504820018E-4</v>
      </c>
    </row>
    <row r="323" spans="5:7">
      <c r="E323" s="658">
        <f ca="1">_xll.meDateFromTenor(E322,"1D","Following",$C$16)</f>
        <v>43677</v>
      </c>
      <c r="F323" s="659">
        <f ca="1"/>
        <v>-3.6436446464341559E-4</v>
      </c>
      <c r="G323" s="656">
        <v>-3.6800743113311885E-4</v>
      </c>
    </row>
    <row r="324" spans="5:7">
      <c r="E324" s="658">
        <f ca="1">_xll.meDateFromTenor(E323,"1D","Following",$C$16)</f>
        <v>43678</v>
      </c>
      <c r="F324" s="659">
        <f ca="1"/>
        <v>-3.5394023207964735E-4</v>
      </c>
      <c r="G324" s="656">
        <v>-3.3686483938787592E-4</v>
      </c>
    </row>
    <row r="325" spans="5:7">
      <c r="E325" s="658">
        <f ca="1">_xll.meDateFromTenor(E324,"1D","Following",$C$16)</f>
        <v>43679</v>
      </c>
      <c r="F325" s="659">
        <f ca="1"/>
        <v>-3.4351599951587921E-4</v>
      </c>
      <c r="G325" s="656">
        <v>-3.2648397547279545E-4</v>
      </c>
    </row>
    <row r="326" spans="5:7">
      <c r="E326" s="658">
        <f ca="1">_xll.meDateFromTenor(E325,"1D","Following",$C$16)</f>
        <v>43682</v>
      </c>
      <c r="F326" s="659">
        <f ca="1"/>
        <v>-3.1224330182457621E-4</v>
      </c>
      <c r="G326" s="656">
        <v>-3.1610311155771422E-4</v>
      </c>
    </row>
    <row r="327" spans="5:7">
      <c r="E327" s="658">
        <f ca="1">_xll.meDateFromTenor(E326,"1D","Following",$C$16)</f>
        <v>43683</v>
      </c>
      <c r="F327" s="659">
        <f ca="1"/>
        <v>-3.0181906926080807E-4</v>
      </c>
      <c r="G327" s="656">
        <v>-3.0572224764263375E-4</v>
      </c>
    </row>
    <row r="328" spans="5:7">
      <c r="E328" s="658">
        <f ca="1">_xll.meDateFromTenor(E327,"1D","Following",$C$16)</f>
        <v>43684</v>
      </c>
      <c r="F328" s="659">
        <f ca="1"/>
        <v>-2.9139483669704069E-4</v>
      </c>
      <c r="G328" s="656">
        <v>-2.9534138372755252E-4</v>
      </c>
    </row>
    <row r="329" spans="5:7">
      <c r="E329" s="658">
        <f ca="1">_xll.meDateFromTenor(E328,"1D","Following",$C$16)</f>
        <v>43685</v>
      </c>
      <c r="F329" s="659">
        <f ca="1"/>
        <v>-2.8097060413327245E-4</v>
      </c>
      <c r="G329" s="656">
        <v>-2.6419879198231035E-4</v>
      </c>
    </row>
    <row r="330" spans="5:7">
      <c r="E330" s="658">
        <f ca="1">_xll.meDateFromTenor(E329,"1D","Following",$C$16)</f>
        <v>43686</v>
      </c>
      <c r="F330" s="659">
        <f ca="1"/>
        <v>-2.7054637156950507E-4</v>
      </c>
      <c r="G330" s="656">
        <v>-2.5381792806722912E-4</v>
      </c>
    </row>
    <row r="331" spans="5:7">
      <c r="E331" s="658">
        <f ca="1">_xll.meDateFromTenor(E330,"1D","Following",$C$16)</f>
        <v>43689</v>
      </c>
      <c r="F331" s="659">
        <f ca="1"/>
        <v>-2.3927367387820142E-4</v>
      </c>
      <c r="G331" s="656">
        <v>-2.4343706415214778E-4</v>
      </c>
    </row>
    <row r="332" spans="5:7">
      <c r="E332" s="658">
        <f ca="1">_xll.meDateFromTenor(E331,"1D","Following",$C$16)</f>
        <v>43690</v>
      </c>
      <c r="F332" s="659">
        <f ca="1"/>
        <v>-2.2884944131443307E-4</v>
      </c>
      <c r="G332" s="656">
        <v>-2.3305620023706731E-4</v>
      </c>
    </row>
    <row r="333" spans="5:7">
      <c r="E333" s="658">
        <f ca="1">_xll.meDateFromTenor(E332,"1D","Following",$C$16)</f>
        <v>43691</v>
      </c>
      <c r="F333" s="659">
        <f ca="1"/>
        <v>-2.184252087506658E-4</v>
      </c>
      <c r="G333" s="656">
        <v>-2.2267533632198619E-4</v>
      </c>
    </row>
    <row r="334" spans="5:7">
      <c r="E334" s="658">
        <f ca="1">_xll.meDateFromTenor(E333,"1D","Following",$C$16)</f>
        <v>43692</v>
      </c>
      <c r="F334" s="659">
        <f ca="1"/>
        <v>-2.0800097618689744E-4</v>
      </c>
      <c r="G334" s="656">
        <v>-1.9153274457674391E-4</v>
      </c>
    </row>
    <row r="335" spans="5:7">
      <c r="E335" s="658">
        <f ca="1">_xll.meDateFromTenor(E334,"1D","Following",$C$16)</f>
        <v>43693</v>
      </c>
      <c r="F335" s="659">
        <f ca="1"/>
        <v>-1.9757674362313018E-4</v>
      </c>
      <c r="G335" s="656">
        <v>-1.8115188066166279E-4</v>
      </c>
    </row>
    <row r="336" spans="5:7">
      <c r="E336" s="658">
        <f ca="1">_xll.meDateFromTenor(E335,"1D","Following",$C$16)</f>
        <v>43696</v>
      </c>
      <c r="F336" s="659">
        <f ca="1"/>
        <v>-1.6630404593182642E-4</v>
      </c>
      <c r="G336" s="656">
        <v>-1.7077101674658232E-4</v>
      </c>
    </row>
    <row r="337" spans="5:7">
      <c r="E337" s="658">
        <f ca="1">_xll.meDateFromTenor(E336,"1D","Following",$C$16)</f>
        <v>43697</v>
      </c>
      <c r="F337" s="659">
        <f ca="1"/>
        <v>-1.5587981336805915E-4</v>
      </c>
      <c r="G337" s="656">
        <v>-1.6039015283150098E-4</v>
      </c>
    </row>
    <row r="338" spans="5:7">
      <c r="E338" s="658">
        <f ca="1">_xll.meDateFromTenor(E337,"1D","Following",$C$16)</f>
        <v>43698</v>
      </c>
      <c r="F338" s="659">
        <f ca="1"/>
        <v>-1.4545558080429079E-4</v>
      </c>
      <c r="G338" s="656">
        <v>-1.5000928891642051E-4</v>
      </c>
    </row>
    <row r="339" spans="5:7">
      <c r="E339" s="658">
        <f ca="1">_xll.meDateFromTenor(E338,"1D","Following",$C$16)</f>
        <v>43699</v>
      </c>
      <c r="F339" s="659">
        <f ca="1"/>
        <v>-1.3503134824052266E-4</v>
      </c>
      <c r="G339" s="656">
        <v>-1.1886669717117758E-4</v>
      </c>
    </row>
    <row r="340" spans="5:7">
      <c r="E340" s="658">
        <f ca="1">_xll.meDateFromTenor(E339,"1D","Following",$C$16)</f>
        <v>43700</v>
      </c>
      <c r="F340" s="659">
        <f ca="1"/>
        <v>-1.2460711567675517E-4</v>
      </c>
      <c r="G340" s="656">
        <v>-1.0848583325609625E-4</v>
      </c>
    </row>
    <row r="341" spans="5:7">
      <c r="E341" s="658">
        <f ca="1">_xll.meDateFromTenor(E340,"1D","Following",$C$16)</f>
        <v>43703</v>
      </c>
      <c r="F341" s="659">
        <f ca="1"/>
        <v>-9.3334417985451411E-5</v>
      </c>
      <c r="G341" s="656">
        <v>-9.8104969341015775E-5</v>
      </c>
    </row>
    <row r="342" spans="5:7">
      <c r="E342" s="658">
        <f ca="1">_xll.meDateFromTenor(E341,"1D","Following",$C$16)</f>
        <v>43704</v>
      </c>
      <c r="F342" s="659">
        <f ca="1"/>
        <v>-8.2910185421684142E-5</v>
      </c>
      <c r="G342" s="656">
        <v>-8.7724105425934654E-5</v>
      </c>
    </row>
    <row r="343" spans="5:7">
      <c r="E343" s="658">
        <f ca="1">_xll.meDateFromTenor(E342,"1D","Following",$C$16)</f>
        <v>43705</v>
      </c>
      <c r="F343" s="659">
        <f ca="1"/>
        <v>-7.2485952857916005E-5</v>
      </c>
      <c r="G343" s="656">
        <v>-7.7343241510854184E-5</v>
      </c>
    </row>
    <row r="344" spans="5:7">
      <c r="E344" s="658">
        <f ca="1">_xll.meDateFromTenor(E343,"1D","Following",$C$16)</f>
        <v>43706</v>
      </c>
      <c r="F344" s="659">
        <f ca="1"/>
        <v>-6.2061720294148519E-5</v>
      </c>
      <c r="G344" s="656">
        <v>-4.6200649765611255E-5</v>
      </c>
    </row>
    <row r="345" spans="5:7">
      <c r="E345" s="658">
        <f ca="1">_xll.meDateFromTenor(E344,"1D","Following",$C$16)</f>
        <v>43707</v>
      </c>
      <c r="F345" s="659">
        <f ca="1"/>
        <v>-5.1637487730380382E-5</v>
      </c>
      <c r="G345" s="656">
        <v>-3.5819785850529917E-5</v>
      </c>
    </row>
    <row r="346" spans="5:7">
      <c r="E346" s="658">
        <f ca="1">_xll.meDateFromTenor(E345,"1D","Following",$C$16)</f>
        <v>43710</v>
      </c>
      <c r="F346" s="659">
        <f ca="1"/>
        <v>-2.0364790039076623E-5</v>
      </c>
      <c r="G346" s="656">
        <v>-2.5438921935449447E-5</v>
      </c>
    </row>
    <row r="347" spans="5:7">
      <c r="E347" s="658">
        <f ca="1">_xll.meDateFromTenor(E346,"1D","Following",$C$16)</f>
        <v>43711</v>
      </c>
      <c r="F347" s="659">
        <f ca="1"/>
        <v>-9.9405574753091367E-6</v>
      </c>
      <c r="G347" s="656">
        <v>-1.5058058020368109E-5</v>
      </c>
    </row>
    <row r="348" spans="5:7">
      <c r="E348" s="658">
        <f ca="1">_xll.meDateFromTenor(E347,"1D","Following",$C$16)</f>
        <v>43712</v>
      </c>
      <c r="F348" s="659">
        <f ca="1"/>
        <v>4.8367508845899992E-7</v>
      </c>
      <c r="G348" s="656">
        <v>-4.6771941052878557E-6</v>
      </c>
    </row>
    <row r="349" spans="5:7">
      <c r="E349" s="658">
        <f ca="1">_xll.meDateFromTenor(E348,"1D","Following",$C$16)</f>
        <v>43713</v>
      </c>
      <c r="F349" s="659">
        <f ca="1"/>
        <v>1.0907907652226269E-5</v>
      </c>
      <c r="G349" s="656">
        <v>2.646539763995529E-5</v>
      </c>
    </row>
    <row r="350" spans="5:7">
      <c r="E350" s="658">
        <f ca="1">_xll.meDateFromTenor(E349,"1D","Following",$C$16)</f>
        <v>43714</v>
      </c>
      <c r="F350" s="659">
        <f ca="1"/>
        <v>2.1332140215994623E-5</v>
      </c>
      <c r="G350" s="656">
        <v>3.6846261555035544E-5</v>
      </c>
    </row>
    <row r="351" spans="5:7">
      <c r="E351" s="658">
        <f ca="1">_xll.meDateFromTenor(E350,"1D","Following",$C$16)</f>
        <v>43717</v>
      </c>
      <c r="F351" s="659">
        <f ca="1"/>
        <v>5.2604837907297515E-5</v>
      </c>
      <c r="G351" s="656">
        <v>4.7227125470116881E-5</v>
      </c>
    </row>
    <row r="352" spans="5:7">
      <c r="E352" s="658">
        <f ca="1">_xll.meDateFromTenor(E351,"1D","Following",$C$16)</f>
        <v>43718</v>
      </c>
      <c r="F352" s="659">
        <f ca="1"/>
        <v>6.3029070471065651E-5</v>
      </c>
      <c r="G352" s="656">
        <v>5.7607989385197352E-5</v>
      </c>
    </row>
    <row r="353" spans="5:7">
      <c r="E353" s="658">
        <f ca="1">_xll.meDateFromTenor(E352,"1D","Following",$C$16)</f>
        <v>43719</v>
      </c>
      <c r="F353" s="659">
        <f ca="1"/>
        <v>7.3453303034834005E-5</v>
      </c>
      <c r="G353" s="656">
        <v>6.7988853300278689E-5</v>
      </c>
    </row>
    <row r="354" spans="5:7">
      <c r="E354" s="658">
        <f ca="1">_xll.meDateFromTenor(E353,"1D","Following",$C$16)</f>
        <v>43720</v>
      </c>
      <c r="F354" s="659">
        <f ca="1"/>
        <v>8.3877535598601274E-5</v>
      </c>
      <c r="G354" s="656">
        <v>9.9131445045521618E-5</v>
      </c>
    </row>
    <row r="355" spans="5:7">
      <c r="E355" s="658">
        <f ca="1">_xll.meDateFromTenor(E354,"1D","Following",$C$16)</f>
        <v>43721</v>
      </c>
      <c r="F355" s="659">
        <f ca="1"/>
        <v>9.4301768162369411E-5</v>
      </c>
      <c r="G355" s="656">
        <v>1.0951230896060209E-4</v>
      </c>
    </row>
    <row r="356" spans="5:7">
      <c r="E356" s="658">
        <f ca="1">_xll.meDateFromTenor(E355,"1D","Following",$C$16)</f>
        <v>43724</v>
      </c>
      <c r="F356" s="659">
        <f ca="1"/>
        <v>1.255744658536723E-4</v>
      </c>
      <c r="G356" s="656">
        <v>1.1989317287568321E-4</v>
      </c>
    </row>
    <row r="357" spans="5:7">
      <c r="E357" s="658">
        <f ca="1">_xll.meDateFromTenor(E356,"1D","Following",$C$16)</f>
        <v>43725</v>
      </c>
      <c r="F357" s="659">
        <f ca="1"/>
        <v>1.3599869841744066E-4</v>
      </c>
      <c r="G357" s="656">
        <v>1.3027403679076368E-4</v>
      </c>
    </row>
    <row r="358" spans="5:7">
      <c r="E358" s="658">
        <f ca="1">_xll.meDateFromTenor(E357,"1D","Following",$C$16)</f>
        <v>43726</v>
      </c>
      <c r="F358" s="659">
        <f ca="1"/>
        <v>1.4642293098120793E-4</v>
      </c>
      <c r="G358" s="656">
        <v>1.4065490070584502E-4</v>
      </c>
    </row>
    <row r="359" spans="5:7">
      <c r="E359" s="658">
        <f ca="1">_xll.meDateFromTenor(E358,"1D","Following",$C$16)</f>
        <v>43727</v>
      </c>
      <c r="F359" s="659">
        <f ca="1"/>
        <v>1.5684716354497628E-4</v>
      </c>
      <c r="G359" s="656">
        <v>1.7179749245108795E-4</v>
      </c>
    </row>
    <row r="360" spans="5:7">
      <c r="E360" s="658">
        <f ca="1">_xll.meDateFromTenor(E359,"1D","Following",$C$16)</f>
        <v>43728</v>
      </c>
      <c r="F360" s="659">
        <f ca="1"/>
        <v>1.6727139610874442E-4</v>
      </c>
      <c r="G360" s="656">
        <v>1.8217835636616842E-4</v>
      </c>
    </row>
    <row r="361" spans="5:7">
      <c r="E361" s="658">
        <f ca="1">_xll.meDateFromTenor(E360,"1D","Following",$C$16)</f>
        <v>43731</v>
      </c>
      <c r="F361" s="659">
        <f ca="1"/>
        <v>1.9854409380004731E-4</v>
      </c>
      <c r="G361" s="656">
        <v>1.9255922028124975E-4</v>
      </c>
    </row>
    <row r="362" spans="5:7">
      <c r="E362" s="658">
        <f ca="1">_xll.meDateFromTenor(E361,"1D","Following",$C$16)</f>
        <v>43732</v>
      </c>
      <c r="F362" s="659">
        <f ca="1"/>
        <v>2.0896832636381544E-4</v>
      </c>
      <c r="G362" s="656">
        <v>2.0294008419633022E-4</v>
      </c>
    </row>
    <row r="363" spans="5:7">
      <c r="E363" s="658">
        <f ca="1">_xll.meDateFromTenor(E362,"1D","Following",$C$16)</f>
        <v>43733</v>
      </c>
      <c r="F363" s="659">
        <f ca="1"/>
        <v>2.1939255892758293E-4</v>
      </c>
      <c r="G363" s="656">
        <v>2.1332094811141135E-4</v>
      </c>
    </row>
    <row r="364" spans="5:7">
      <c r="E364" s="658">
        <f ca="1">_xll.meDateFromTenor(E363,"1D","Following",$C$16)</f>
        <v>43734</v>
      </c>
      <c r="F364" s="659">
        <f ca="1"/>
        <v>2.2981679149135107E-4</v>
      </c>
      <c r="G364" s="656">
        <v>2.4446353985665362E-4</v>
      </c>
    </row>
    <row r="365" spans="5:7">
      <c r="E365" s="658">
        <f ca="1">_xll.meDateFromTenor(E364,"1D","Following",$C$16)</f>
        <v>43735</v>
      </c>
      <c r="F365" s="659">
        <f ca="1"/>
        <v>2.4024102405511855E-4</v>
      </c>
      <c r="G365" s="656">
        <v>2.5484440377173474E-4</v>
      </c>
    </row>
    <row r="366" spans="5:7">
      <c r="E366" s="658">
        <f ca="1">_xll.meDateFromTenor(E365,"1D","Following",$C$16)</f>
        <v>43738</v>
      </c>
      <c r="F366" s="659">
        <f ca="1"/>
        <v>2.7151372174642231E-4</v>
      </c>
      <c r="G366" s="656">
        <v>2.6522526768681608E-4</v>
      </c>
    </row>
    <row r="367" spans="5:7">
      <c r="E367" s="658">
        <f ca="1">_xll.meDateFromTenor(E366,"1D","Following",$C$16)</f>
        <v>43739</v>
      </c>
      <c r="F367" s="659">
        <f ca="1"/>
        <v>2.8193795431019045E-4</v>
      </c>
      <c r="G367" s="656">
        <v>2.7560613160189655E-4</v>
      </c>
    </row>
    <row r="368" spans="5:7">
      <c r="E368" s="658">
        <f ca="1">_xll.meDateFromTenor(E367,"1D","Following",$C$16)</f>
        <v>43740</v>
      </c>
      <c r="F368" s="659">
        <f ca="1"/>
        <v>2.9236218687395772E-4</v>
      </c>
      <c r="G368" s="656">
        <v>2.8598699551697789E-4</v>
      </c>
    </row>
    <row r="369" spans="5:7">
      <c r="E369" s="658">
        <f ca="1">_xll.meDateFromTenor(E368,"1D","Following",$C$16)</f>
        <v>43741</v>
      </c>
      <c r="F369" s="659">
        <f ca="1"/>
        <v>3.0278641943772607E-4</v>
      </c>
      <c r="G369" s="656">
        <v>3.1712958726221995E-4</v>
      </c>
    </row>
    <row r="370" spans="5:7">
      <c r="E370" s="658">
        <f ca="1">_xll.meDateFromTenor(E369,"1D","Following",$C$16)</f>
        <v>43742</v>
      </c>
      <c r="F370" s="659">
        <f ca="1"/>
        <v>3.1321065200149334E-4</v>
      </c>
      <c r="G370" s="656">
        <v>3.2751045117730129E-4</v>
      </c>
    </row>
    <row r="371" spans="5:7">
      <c r="E371" s="658">
        <f ca="1">_xll.meDateFromTenor(E370,"1D","Following",$C$16)</f>
        <v>43745</v>
      </c>
      <c r="F371" s="659">
        <f ca="1"/>
        <v>3.444833496927971E-4</v>
      </c>
      <c r="G371" s="656">
        <v>3.3789131509238154E-4</v>
      </c>
    </row>
    <row r="372" spans="5:7">
      <c r="E372" s="658">
        <f ca="1">_xll.meDateFromTenor(E371,"1D","Following",$C$16)</f>
        <v>43746</v>
      </c>
      <c r="F372" s="659">
        <f ca="1"/>
        <v>3.5490758225656459E-4</v>
      </c>
      <c r="G372" s="656">
        <v>3.4827217900746288E-4</v>
      </c>
    </row>
    <row r="373" spans="5:7">
      <c r="E373" s="658">
        <f ca="1">_xll.meDateFromTenor(E372,"1D","Following",$C$16)</f>
        <v>43747</v>
      </c>
      <c r="F373" s="659">
        <f ca="1"/>
        <v>3.6533181482033272E-4</v>
      </c>
      <c r="G373" s="656">
        <v>3.5865304292254335E-4</v>
      </c>
    </row>
    <row r="374" spans="5:7">
      <c r="E374" s="658">
        <f ca="1">_xll.meDateFromTenor(E373,"1D","Following",$C$16)</f>
        <v>43748</v>
      </c>
      <c r="F374" s="659">
        <f ca="1"/>
        <v>3.7575604738410086E-4</v>
      </c>
      <c r="G374" s="656">
        <v>3.8979563466778628E-4</v>
      </c>
    </row>
    <row r="375" spans="5:7">
      <c r="E375" s="658">
        <f ca="1">_xll.meDateFromTenor(E374,"1D","Following",$C$16)</f>
        <v>43749</v>
      </c>
      <c r="F375" s="659">
        <f ca="1"/>
        <v>3.8618027994786835E-4</v>
      </c>
      <c r="G375" s="656">
        <v>4.0017649858286762E-4</v>
      </c>
    </row>
    <row r="376" spans="5:7">
      <c r="E376" s="658">
        <f ca="1">_xll.meDateFromTenor(E375,"1D","Following",$C$16)</f>
        <v>43752</v>
      </c>
      <c r="F376" s="659">
        <f ca="1"/>
        <v>4.1745297763917211E-4</v>
      </c>
      <c r="G376" s="656">
        <v>4.1055736249794809E-4</v>
      </c>
    </row>
    <row r="377" spans="5:7">
      <c r="E377" s="658">
        <f ca="1">_xll.meDateFromTenor(E376,"1D","Following",$C$16)</f>
        <v>43753</v>
      </c>
      <c r="F377" s="659">
        <f ca="1"/>
        <v>4.2787721020293937E-4</v>
      </c>
      <c r="G377" s="656">
        <v>4.2093822641302921E-4</v>
      </c>
    </row>
    <row r="378" spans="5:7">
      <c r="E378" s="658">
        <f ca="1">_xll.meDateFromTenor(E377,"1D","Following",$C$16)</f>
        <v>43754</v>
      </c>
      <c r="F378" s="659">
        <f ca="1"/>
        <v>4.3830144276670773E-4</v>
      </c>
      <c r="G378" s="656">
        <v>4.3131909032810968E-4</v>
      </c>
    </row>
    <row r="379" spans="5:7">
      <c r="E379" s="658">
        <f ca="1">_xll.meDateFromTenor(E378,"1D","Following",$C$16)</f>
        <v>43755</v>
      </c>
      <c r="F379" s="659">
        <f ca="1"/>
        <v>4.48725675330475E-4</v>
      </c>
      <c r="G379" s="656">
        <v>4.6246168207335261E-4</v>
      </c>
    </row>
    <row r="380" spans="5:7">
      <c r="E380" s="658">
        <f ca="1">_xll.meDateFromTenor(E379,"1D","Following",$C$16)</f>
        <v>43756</v>
      </c>
      <c r="F380" s="659">
        <f ca="1"/>
        <v>4.5914990789424313E-4</v>
      </c>
      <c r="G380" s="656">
        <v>4.7284254598843395E-4</v>
      </c>
    </row>
    <row r="381" spans="5:7">
      <c r="E381" s="658">
        <f ca="1">_xll.meDateFromTenor(E380,"1D","Following",$C$16)</f>
        <v>43759</v>
      </c>
      <c r="F381" s="659">
        <f ca="1"/>
        <v>4.9042260558554689E-4</v>
      </c>
      <c r="G381" s="656">
        <v>4.8322340990351442E-4</v>
      </c>
    </row>
    <row r="382" spans="5:7">
      <c r="E382" s="658">
        <f ca="1">_xll.meDateFromTenor(E381,"1D","Following",$C$16)</f>
        <v>43760</v>
      </c>
      <c r="F382" s="659">
        <f ca="1"/>
        <v>5.0084683814931438E-4</v>
      </c>
      <c r="G382" s="656">
        <v>4.9360427381859575E-4</v>
      </c>
    </row>
    <row r="383" spans="5:7">
      <c r="E383" s="658">
        <f ca="1">_xll.meDateFromTenor(E382,"1D","Following",$C$16)</f>
        <v>43761</v>
      </c>
      <c r="F383" s="659">
        <f ca="1"/>
        <v>5.1127107071308252E-4</v>
      </c>
      <c r="G383" s="656">
        <v>5.0398513773367622E-4</v>
      </c>
    </row>
    <row r="384" spans="5:7">
      <c r="E384" s="658">
        <f ca="1">_xll.meDateFromTenor(E383,"1D","Following",$C$16)</f>
        <v>43762</v>
      </c>
      <c r="F384" s="659">
        <f ca="1"/>
        <v>5.2169530327685E-4</v>
      </c>
      <c r="G384" s="656">
        <v>5.3512772947891915E-4</v>
      </c>
    </row>
    <row r="385" spans="5:7">
      <c r="E385" s="658">
        <f ca="1">_xll.meDateFromTenor(E384,"1D","Following",$C$16)</f>
        <v>43763</v>
      </c>
      <c r="F385" s="659">
        <f ca="1"/>
        <v>5.3211953584061814E-4</v>
      </c>
      <c r="G385" s="656">
        <v>5.4550859339399962E-4</v>
      </c>
    </row>
    <row r="386" spans="5:7">
      <c r="E386" s="658">
        <f ca="1">_xll.meDateFromTenor(E385,"1D","Following",$C$16)</f>
        <v>43766</v>
      </c>
      <c r="F386" s="659">
        <f ca="1"/>
        <v>5.6339223353192103E-4</v>
      </c>
      <c r="G386" s="656">
        <v>5.5588945730908074E-4</v>
      </c>
    </row>
    <row r="387" spans="5:7">
      <c r="E387" s="658">
        <f ca="1">_xll.meDateFromTenor(E386,"1D","Following",$C$16)</f>
        <v>43767</v>
      </c>
      <c r="F387" s="659">
        <f ca="1"/>
        <v>5.7381646609568917E-4</v>
      </c>
      <c r="G387" s="656">
        <v>5.6627032122416121E-4</v>
      </c>
    </row>
    <row r="388" spans="5:7">
      <c r="E388" s="658">
        <f ca="1">_xll.meDateFromTenor(E387,"1D","Following",$C$16)</f>
        <v>43768</v>
      </c>
      <c r="F388" s="659">
        <f ca="1"/>
        <v>5.8424069865945752E-4</v>
      </c>
      <c r="G388" s="656">
        <v>5.7665118513924255E-4</v>
      </c>
    </row>
    <row r="389" spans="5:7">
      <c r="E389" s="658">
        <f ca="1">_xll.meDateFromTenor(E388,"1D","Following",$C$16)</f>
        <v>43769</v>
      </c>
      <c r="F389" s="659">
        <f ca="1"/>
        <v>5.9466493122322479E-4</v>
      </c>
      <c r="G389" s="656">
        <v>6.0779377688448548E-4</v>
      </c>
    </row>
    <row r="390" spans="5:7">
      <c r="E390" s="658">
        <f ca="1">_xll.meDateFromTenor(E389,"1D","Following",$C$16)</f>
        <v>43770</v>
      </c>
      <c r="F390" s="659">
        <f ca="1"/>
        <v>6.0508916378699293E-4</v>
      </c>
      <c r="G390" s="656">
        <v>6.1817464079956595E-4</v>
      </c>
    </row>
    <row r="391" spans="5:7">
      <c r="E391" s="658">
        <f ca="1">_xll.meDateFromTenor(E390,"1D","Following",$C$16)</f>
        <v>43773</v>
      </c>
      <c r="F391" s="659">
        <f ca="1"/>
        <v>6.3636186147829604E-4</v>
      </c>
      <c r="G391" s="656">
        <v>6.2855550471464729E-4</v>
      </c>
    </row>
    <row r="392" spans="5:7">
      <c r="E392" s="658">
        <f ca="1">_xll.meDateFromTenor(E391,"1D","Following",$C$16)</f>
        <v>43774</v>
      </c>
      <c r="F392" s="659">
        <f ca="1"/>
        <v>6.4724744628972067E-4</v>
      </c>
      <c r="G392" s="656">
        <v>6.3893636862972754E-4</v>
      </c>
    </row>
    <row r="393" spans="5:7">
      <c r="E393" s="658">
        <f ca="1">_xll.meDateFromTenor(E392,"1D","Following",$C$16)</f>
        <v>43775</v>
      </c>
      <c r="F393" s="659">
        <f ca="1"/>
        <v>6.5813323978938896E-4</v>
      </c>
      <c r="G393" s="656">
        <v>6.4931723254480877E-4</v>
      </c>
    </row>
    <row r="394" spans="5:7">
      <c r="E394" s="658">
        <f ca="1">_xll.meDateFromTenor(E393,"1D","Following",$C$16)</f>
        <v>43776</v>
      </c>
      <c r="F394" s="659">
        <f ca="1"/>
        <v>6.6901945066554684E-4</v>
      </c>
      <c r="G394" s="656">
        <v>6.8213561497442073E-4</v>
      </c>
    </row>
    <row r="395" spans="5:7">
      <c r="E395" s="658">
        <f ca="1">_xll.meDateFromTenor(E394,"1D","Following",$C$16)</f>
        <v>43777</v>
      </c>
      <c r="F395" s="659">
        <f ca="1"/>
        <v>6.7990628760643832E-4</v>
      </c>
      <c r="G395" s="656">
        <v>6.9308117719064683E-4</v>
      </c>
    </row>
    <row r="396" spans="5:7">
      <c r="E396" s="658">
        <f ca="1">_xll.meDateFromTenor(E395,"1D","Following",$C$16)</f>
        <v>43780</v>
      </c>
      <c r="F396" s="659">
        <f ca="1"/>
        <v>7.1257193364884124E-4</v>
      </c>
      <c r="G396" s="656">
        <v>7.040308282993741E-4</v>
      </c>
    </row>
    <row r="397" spans="5:7">
      <c r="E397" s="658">
        <f ca="1">_xll.meDateFromTenor(E396,"1D","Following",$C$16)</f>
        <v>43781</v>
      </c>
      <c r="F397" s="659">
        <f ca="1"/>
        <v>7.2346239143884316E-4</v>
      </c>
      <c r="G397" s="656">
        <v>7.1498459224989637E-4</v>
      </c>
    </row>
    <row r="398" spans="5:7">
      <c r="E398" s="658">
        <f ca="1">_xll.meDateFromTenor(E397,"1D","Following",$C$16)</f>
        <v>43782</v>
      </c>
      <c r="F398" s="659">
        <f ca="1"/>
        <v>7.3435388935603162E-4</v>
      </c>
      <c r="G398" s="656">
        <v>7.2594249299151126E-4</v>
      </c>
    </row>
    <row r="399" spans="5:7">
      <c r="E399" s="658">
        <f ca="1">_xll.meDateFromTenor(E398,"1D","Following",$C$16)</f>
        <v>43783</v>
      </c>
      <c r="F399" s="659">
        <f ca="1"/>
        <v>7.4524647874396101E-4</v>
      </c>
      <c r="G399" s="656">
        <v>7.5884125545586188E-4</v>
      </c>
    </row>
    <row r="400" spans="5:7">
      <c r="E400" s="658">
        <f ca="1">_xll.meDateFromTenor(E399,"1D","Following",$C$16)</f>
        <v>43784</v>
      </c>
      <c r="F400" s="659">
        <f ca="1"/>
        <v>7.5614021094618194E-4</v>
      </c>
      <c r="G400" s="656">
        <v>7.6981594285480094E-4</v>
      </c>
    </row>
    <row r="401" spans="5:7">
      <c r="E401" s="658">
        <f ca="1">_xll.meDateFromTenor(E400,"1D","Following",$C$16)</f>
        <v>43787</v>
      </c>
      <c r="F401" s="659">
        <f ca="1"/>
        <v>7.8882877787412502E-4</v>
      </c>
      <c r="G401" s="656">
        <v>7.8079488679130935E-4</v>
      </c>
    </row>
    <row r="402" spans="5:7">
      <c r="E402" s="658">
        <f ca="1">_xll.meDateFromTenor(E401,"1D","Following",$C$16)</f>
        <v>43788</v>
      </c>
      <c r="F402" s="659">
        <f ca="1"/>
        <v>7.9972759476904063E-4</v>
      </c>
      <c r="G402" s="656">
        <v>7.9177811121468485E-4</v>
      </c>
    </row>
    <row r="403" spans="5:7">
      <c r="E403" s="658">
        <f ca="1">_xll.meDateFromTenor(E402,"1D","Following",$C$16)</f>
        <v>43789</v>
      </c>
      <c r="F403" s="659">
        <f ca="1"/>
        <v>8.1062781119600996E-4</v>
      </c>
      <c r="G403" s="656">
        <v>8.0276564007422202E-4</v>
      </c>
    </row>
    <row r="404" spans="5:7">
      <c r="E404" s="658">
        <f ca="1">_xll.meDateFromTenor(E403,"1D","Following",$C$16)</f>
        <v>43790</v>
      </c>
      <c r="F404" s="659">
        <f ca="1"/>
        <v>8.215294784985872E-4</v>
      </c>
      <c r="G404" s="656">
        <v>8.3575429276276029E-4</v>
      </c>
    </row>
    <row r="405" spans="5:7">
      <c r="E405" s="658">
        <f ca="1">_xll.meDateFromTenor(E404,"1D","Following",$C$16)</f>
        <v>43791</v>
      </c>
      <c r="F405" s="659">
        <f ca="1"/>
        <v>8.3243264802032298E-4</v>
      </c>
      <c r="G405" s="656">
        <v>8.4675927885990217E-4</v>
      </c>
    </row>
    <row r="406" spans="5:7">
      <c r="E406" s="658">
        <f ca="1">_xll.meDateFromTenor(E405,"1D","Following",$C$16)</f>
        <v>43794</v>
      </c>
      <c r="F406" s="659">
        <f ca="1"/>
        <v>8.6515168333601287E-4</v>
      </c>
      <c r="G406" s="656">
        <v>8.5776868913968365E-4</v>
      </c>
    </row>
    <row r="407" spans="5:7">
      <c r="E407" s="658">
        <f ca="1">_xll.meDateFromTenor(E406,"1D","Following",$C$16)</f>
        <v>43795</v>
      </c>
      <c r="F407" s="659">
        <f ca="1"/>
        <v>8.7606137516991079E-4</v>
      </c>
      <c r="G407" s="656">
        <v>8.6878254755140213E-4</v>
      </c>
    </row>
    <row r="408" spans="5:7">
      <c r="E408" s="658">
        <f ca="1">_xll.meDateFromTenor(E407,"1D","Following",$C$16)</f>
        <v>43796</v>
      </c>
      <c r="F408" s="659">
        <f ca="1"/>
        <v>8.8697282594073093E-4</v>
      </c>
      <c r="G408" s="656">
        <v>8.7980087804435155E-4</v>
      </c>
    </row>
    <row r="409" spans="5:7">
      <c r="E409" s="658">
        <f ca="1">_xll.meDateFromTenor(E408,"1D","Following",$C$16)</f>
        <v>43797</v>
      </c>
      <c r="F409" s="659">
        <f ca="1"/>
        <v>8.978860869920251E-4</v>
      </c>
      <c r="G409" s="656">
        <v>9.1288294150355075E-4</v>
      </c>
    </row>
    <row r="410" spans="5:7">
      <c r="E410" s="658">
        <f ca="1">_xll.meDateFromTenor(E409,"1D","Following",$C$16)</f>
        <v>43798</v>
      </c>
      <c r="F410" s="659">
        <f ca="1"/>
        <v>9.0880120966734489E-4</v>
      </c>
      <c r="G410" s="656">
        <v>9.2391939981438618E-4</v>
      </c>
    </row>
    <row r="411" spans="5:7">
      <c r="E411" s="658">
        <f ca="1">_xll.meDateFromTenor(E410,"1D","Following",$C$16)</f>
        <v>43801</v>
      </c>
      <c r="F411" s="659">
        <f ca="1"/>
        <v>9.4155826087298923E-4</v>
      </c>
      <c r="G411" s="656">
        <v>9.3496044995293134E-4</v>
      </c>
    </row>
    <row r="412" spans="5:7">
      <c r="E412" s="658">
        <f ca="1">_xll.meDateFromTenor(E411,"1D","Following",$C$16)</f>
        <v>43802</v>
      </c>
      <c r="F412" s="659">
        <f ca="1"/>
        <v>9.5248134347993897E-4</v>
      </c>
      <c r="G412" s="656">
        <v>9.4600611586848364E-4</v>
      </c>
    </row>
    <row r="413" spans="5:7">
      <c r="E413" s="658">
        <f ca="1">_xll.meDateFromTenor(E412,"1D","Following",$C$16)</f>
        <v>43803</v>
      </c>
      <c r="F413" s="659">
        <f ca="1"/>
        <v>9.6340654442867845E-4</v>
      </c>
      <c r="G413" s="656">
        <v>9.5705642151033702E-4</v>
      </c>
    </row>
    <row r="414" spans="5:7">
      <c r="E414" s="658">
        <f ca="1">_xll.meDateFromTenor(E413,"1D","Following",$C$16)</f>
        <v>43804</v>
      </c>
      <c r="F414" s="659">
        <f ca="1"/>
        <v>9.7433391506275818E-4</v>
      </c>
      <c r="G414" s="656">
        <v>9.9023541628666845E-4</v>
      </c>
    </row>
    <row r="415" spans="5:7">
      <c r="E415" s="658">
        <f ca="1">_xll.meDateFromTenor(E414,"1D","Following",$C$16)</f>
        <v>43805</v>
      </c>
      <c r="F415" s="659">
        <f ca="1"/>
        <v>9.8526350672573202E-4</v>
      </c>
      <c r="G415" s="656">
        <v>1.0013045203266875E-3</v>
      </c>
    </row>
    <row r="416" spans="5:7">
      <c r="E416" s="658">
        <f ca="1">_xll.meDateFromTenor(E415,"1D","Following",$C$16)</f>
        <v>43808</v>
      </c>
      <c r="F416" s="659">
        <f ca="1"/>
        <v>1.018066121323538E-3</v>
      </c>
      <c r="G416" s="656">
        <v>1.0123783838394879E-3</v>
      </c>
    </row>
    <row r="417" spans="5:7">
      <c r="E417" s="658">
        <f ca="1">_xll.meDateFromTenor(E416,"1D","Following",$C$16)</f>
        <v>43809</v>
      </c>
      <c r="F417" s="659">
        <f ca="1"/>
        <v>1.0290051105376092E-3</v>
      </c>
      <c r="G417" s="656">
        <v>1.0234570307743648E-3</v>
      </c>
    </row>
    <row r="418" spans="5:7">
      <c r="E418" s="658">
        <f ca="1">_xll.meDateFromTenor(E417,"1D","Following",$C$16)</f>
        <v>43810</v>
      </c>
      <c r="F418" s="659">
        <f ca="1"/>
        <v>1.0399465774983373E-3</v>
      </c>
      <c r="G418" s="656">
        <v>1.0345404850806131E-3</v>
      </c>
    </row>
    <row r="419" spans="5:7">
      <c r="E419" s="658">
        <f ca="1">_xll.meDateFromTenor(E418,"1D","Following",$C$16)</f>
        <v>43811</v>
      </c>
      <c r="F419" s="659">
        <f ca="1"/>
        <v>1.0508905735492719E-3</v>
      </c>
      <c r="G419" s="656">
        <v>1.0678199317205493E-3</v>
      </c>
    </row>
    <row r="420" spans="5:7">
      <c r="E420" s="658">
        <f ca="1">_xll.meDateFromTenor(E419,"1D","Following",$C$16)</f>
        <v>43812</v>
      </c>
      <c r="F420" s="659">
        <f ca="1"/>
        <v>1.0618371500339683E-3</v>
      </c>
      <c r="G420" s="656">
        <v>1.0789228550052434E-3</v>
      </c>
    </row>
    <row r="421" spans="5:7">
      <c r="E421" s="658">
        <f ca="1">_xll.meDateFromTenor(E420,"1D","Following",$C$16)</f>
        <v>43815</v>
      </c>
      <c r="F421" s="659">
        <f ca="1"/>
        <v>1.0946928755261427E-3</v>
      </c>
      <c r="G421" s="656">
        <v>1.0900307054077891E-3</v>
      </c>
    </row>
    <row r="422" spans="5:7">
      <c r="E422" s="658">
        <f ca="1">_xll.meDateFromTenor(E421,"1D","Following",$C$16)</f>
        <v>43816</v>
      </c>
      <c r="F422" s="659">
        <f ca="1"/>
        <v>1.1056502871814053E-3</v>
      </c>
      <c r="G422" s="656">
        <v>1.1011435068774805E-3</v>
      </c>
    </row>
    <row r="423" spans="5:7">
      <c r="E423" s="658">
        <f ca="1">_xll.meDateFromTenor(E422,"1D","Following",$C$16)</f>
        <v>43817</v>
      </c>
      <c r="F423" s="659">
        <f ca="1"/>
        <v>1.1166105359881908E-3</v>
      </c>
      <c r="G423" s="656">
        <v>1.1122612833636149E-3</v>
      </c>
    </row>
    <row r="424" spans="5:7">
      <c r="E424" s="658">
        <f ca="1">_xll.meDateFromTenor(E423,"1D","Following",$C$16)</f>
        <v>43818</v>
      </c>
      <c r="F424" s="659">
        <f ca="1"/>
        <v>1.1275736732900502E-3</v>
      </c>
      <c r="G424" s="656">
        <v>1.1456447024136285E-3</v>
      </c>
    </row>
    <row r="425" spans="5:7">
      <c r="E425" s="658">
        <f ca="1">_xll.meDateFromTenor(E424,"1D","Following",$C$16)</f>
        <v>43819</v>
      </c>
      <c r="F425" s="659">
        <f ca="1"/>
        <v>1.1385397504305378E-3</v>
      </c>
      <c r="G425" s="656">
        <v>1.1567826184584883E-3</v>
      </c>
    </row>
    <row r="426" spans="5:7">
      <c r="E426" s="658">
        <f ca="1">_xll.meDateFromTenor(E425,"1D","Following",$C$16)</f>
        <v>43822</v>
      </c>
      <c r="F426" s="659">
        <f ca="1"/>
        <v>1.1714561343192892E-3</v>
      </c>
      <c r="G426" s="656">
        <v>1.1679256292662699E-3</v>
      </c>
    </row>
    <row r="427" spans="5:7">
      <c r="E427" s="658">
        <f ca="1">_xll.meDateFromTenor(E426,"1D","Following",$C$16)</f>
        <v>43823</v>
      </c>
      <c r="F427" s="659">
        <f ca="1"/>
        <v>1.1824344842498113E-3</v>
      </c>
      <c r="G427" s="656">
        <v>1.1790737587862674E-3</v>
      </c>
    </row>
    <row r="428" spans="5:7">
      <c r="E428" s="658">
        <f ca="1">_xll.meDateFromTenor(E427,"1D","Following",$C$16)</f>
        <v>43826</v>
      </c>
      <c r="F428" s="659">
        <f ca="1"/>
        <v>1.2153889187539251E-3</v>
      </c>
      <c r="G428" s="656">
        <v>1.1902270309677781E-3</v>
      </c>
    </row>
    <row r="429" spans="5:7">
      <c r="E429" s="658">
        <f ca="1">_xll.meDateFromTenor(E428,"1D","Following",$C$16)</f>
        <v>43829</v>
      </c>
      <c r="F429" s="659">
        <f ca="1"/>
        <v>1.2483735085414608E-3</v>
      </c>
      <c r="G429" s="656">
        <v>1.2237179429743408E-3</v>
      </c>
    </row>
    <row r="430" spans="5:7">
      <c r="E430" s="658">
        <f ca="1">_xll.meDateFromTenor(E429,"1D","Following",$C$16)</f>
        <v>43830</v>
      </c>
      <c r="F430" s="659">
        <f ca="1"/>
        <v>1.2593753125813118E-3</v>
      </c>
      <c r="G430" s="656">
        <v>1.2348920252948576E-3</v>
      </c>
    </row>
    <row r="431" spans="5:7">
      <c r="E431" s="658">
        <f ca="1">_xll.meDateFromTenor(E430,"1D","Following",$C$16)</f>
        <v>43832</v>
      </c>
      <c r="F431" s="659">
        <f ca="1"/>
        <v>1.281329471702123E-3</v>
      </c>
      <c r="G431" s="656">
        <v>1.2684459425015382E-3</v>
      </c>
    </row>
    <row r="432" spans="5:7">
      <c r="E432" s="658">
        <f ca="1">_xll.meDateFromTenor(E431,"1D","Following",$C$16)</f>
        <v>43833</v>
      </c>
      <c r="F432" s="659">
        <f ca="1"/>
        <v>1.2923119834066408E-3</v>
      </c>
      <c r="G432" s="656">
        <v>1.3020478680111219E-3</v>
      </c>
    </row>
    <row r="433" spans="5:7">
      <c r="E433" s="658">
        <f ca="1">_xll.meDateFromTenor(E432,"1D","Following",$C$16)</f>
        <v>43836</v>
      </c>
      <c r="F433" s="659">
        <f ca="1"/>
        <v>1.3252818581828674E-3</v>
      </c>
      <c r="G433" s="656">
        <v>1.3132592901227867E-3</v>
      </c>
    </row>
    <row r="434" spans="5:7">
      <c r="E434" s="658">
        <f ca="1">_xll.meDateFromTenor(E433,"1D","Following",$C$16)</f>
        <v>43837</v>
      </c>
      <c r="F434" s="659">
        <f ca="1"/>
        <v>1.3362794327420101E-3</v>
      </c>
      <c r="G434" s="656">
        <v>1.3356371095136965E-3</v>
      </c>
    </row>
    <row r="435" spans="5:7">
      <c r="E435" s="658">
        <f ca="1">_xll.meDateFromTenor(E434,"1D","Following",$C$16)</f>
        <v>43838</v>
      </c>
      <c r="F435" s="659">
        <f ca="1"/>
        <v>1.3472809003244402E-3</v>
      </c>
      <c r="G435" s="656">
        <v>1.3468341792247302E-3</v>
      </c>
    </row>
    <row r="436" spans="5:7">
      <c r="E436" s="658">
        <f ca="1">_xll.meDateFromTenor(E435,"1D","Following",$C$16)</f>
        <v>43839</v>
      </c>
      <c r="F436" s="659">
        <f ca="1"/>
        <v>1.358286311854009E-3</v>
      </c>
      <c r="G436" s="656">
        <v>1.3804583134624587E-3</v>
      </c>
    </row>
    <row r="437" spans="5:7">
      <c r="E437" s="658">
        <f ca="1">_xll.meDateFromTenor(E436,"1D","Following",$C$16)</f>
        <v>43840</v>
      </c>
      <c r="F437" s="659">
        <f ca="1"/>
        <v>1.3692957182545702E-3</v>
      </c>
      <c r="G437" s="656">
        <v>1.3916774124216628E-3</v>
      </c>
    </row>
    <row r="438" spans="5:7">
      <c r="E438" s="658">
        <f ca="1">_xll.meDateFromTenor(E437,"1D","Following",$C$16)</f>
        <v>43843</v>
      </c>
      <c r="F438" s="659">
        <f ca="1"/>
        <v>1.4023484159207335E-3</v>
      </c>
      <c r="G438" s="656">
        <v>1.4029020780767249E-3</v>
      </c>
    </row>
    <row r="439" spans="5:7">
      <c r="E439" s="658">
        <f ca="1">_xll.meDateFromTenor(E438,"1D","Following",$C$16)</f>
        <v>43844</v>
      </c>
      <c r="F439" s="659">
        <f ca="1"/>
        <v>1.4133743110437886E-3</v>
      </c>
      <c r="G439" s="656">
        <v>1.4141323341811704E-3</v>
      </c>
    </row>
    <row r="440" spans="5:7">
      <c r="E440" s="658">
        <f ca="1">_xll.meDateFromTenor(E439,"1D","Following",$C$16)</f>
        <v>43845</v>
      </c>
      <c r="F440" s="659">
        <f ca="1"/>
        <v>1.4244044556570986E-3</v>
      </c>
      <c r="G440" s="656">
        <v>1.4253682044885244E-3</v>
      </c>
    </row>
    <row r="441" spans="5:7">
      <c r="E441" s="658">
        <f ca="1">_xll.meDateFromTenor(E440,"1D","Following",$C$16)</f>
        <v>43846</v>
      </c>
      <c r="F441" s="659">
        <f ca="1"/>
        <v>1.4354389006845155E-3</v>
      </c>
      <c r="G441" s="656">
        <v>1.4591097381633006E-3</v>
      </c>
    </row>
    <row r="442" spans="5:7">
      <c r="E442" s="658">
        <f ca="1">_xll.meDateFromTenor(E441,"1D","Following",$C$16)</f>
        <v>43847</v>
      </c>
      <c r="F442" s="659">
        <f ca="1"/>
        <v>1.4464776970498916E-3</v>
      </c>
      <c r="G442" s="656">
        <v>1.4703683028175498E-3</v>
      </c>
    </row>
    <row r="443" spans="5:7">
      <c r="E443" s="658">
        <f ca="1">_xll.meDateFromTenor(E442,"1D","Following",$C$16)</f>
        <v>43850</v>
      </c>
      <c r="F443" s="659">
        <f ca="1"/>
        <v>1.4796207034123013E-3</v>
      </c>
      <c r="G443" s="656">
        <v>1.4816326004423389E-3</v>
      </c>
    </row>
    <row r="444" spans="5:7">
      <c r="E444" s="658">
        <f ca="1">_xll.meDateFromTenor(E443,"1D","Following",$C$16)</f>
        <v>43851</v>
      </c>
      <c r="F444" s="659">
        <f ca="1"/>
        <v>1.4906774143680394E-3</v>
      </c>
      <c r="G444" s="656">
        <v>1.4929026547911926E-3</v>
      </c>
    </row>
    <row r="445" spans="5:7">
      <c r="E445" s="658">
        <f ca="1">_xll.meDateFromTenor(E444,"1D","Following",$C$16)</f>
        <v>43852</v>
      </c>
      <c r="F445" s="659">
        <f ca="1"/>
        <v>1.5017387312809994E-3</v>
      </c>
      <c r="G445" s="656">
        <v>1.5041784896176354E-3</v>
      </c>
    </row>
    <row r="446" spans="5:7">
      <c r="E446" s="658">
        <f ca="1">_xll.meDateFromTenor(E445,"1D","Following",$C$16)</f>
        <v>43853</v>
      </c>
      <c r="F446" s="659">
        <f ca="1"/>
        <v>1.5128047050750339E-3</v>
      </c>
      <c r="G446" s="656">
        <v>1.5380409144977675E-3</v>
      </c>
    </row>
    <row r="447" spans="5:7">
      <c r="E447" s="658">
        <f ca="1">_xll.meDateFromTenor(E446,"1D","Following",$C$16)</f>
        <v>43854</v>
      </c>
      <c r="F447" s="659">
        <f ca="1"/>
        <v>1.5238753866739952E-3</v>
      </c>
      <c r="G447" s="656">
        <v>1.5493401087698312E-3</v>
      </c>
    </row>
    <row r="448" spans="5:7">
      <c r="E448" s="658">
        <f ca="1">_xll.meDateFromTenor(E447,"1D","Following",$C$16)</f>
        <v>43857</v>
      </c>
      <c r="F448" s="659">
        <f ca="1"/>
        <v>1.5571161875389617E-3</v>
      </c>
      <c r="G448" s="656">
        <v>1.5606452022871148E-3</v>
      </c>
    </row>
    <row r="449" spans="5:7">
      <c r="E449" s="658">
        <f ca="1">_xll.meDateFromTenor(E448,"1D","Following",$C$16)</f>
        <v>43858</v>
      </c>
      <c r="F449" s="659">
        <f ca="1"/>
        <v>1.5682062095961542E-3</v>
      </c>
      <c r="G449" s="656">
        <v>1.5719562188031449E-3</v>
      </c>
    </row>
    <row r="450" spans="5:7">
      <c r="E450" s="658">
        <f ca="1">_xll.meDateFromTenor(E449,"1D","Following",$C$16)</f>
        <v>43859</v>
      </c>
      <c r="F450" s="659">
        <f ca="1"/>
        <v>1.5793011940775344E-3</v>
      </c>
      <c r="G450" s="656">
        <v>1.583273182071447E-3</v>
      </c>
    </row>
    <row r="451" spans="5:7">
      <c r="E451" s="658">
        <f ca="1">_xll.meDateFromTenor(E450,"1D","Following",$C$16)</f>
        <v>43860</v>
      </c>
      <c r="F451" s="659">
        <f ca="1"/>
        <v>1.5904011919069562E-3</v>
      </c>
      <c r="G451" s="656">
        <v>1.6172599899252397E-3</v>
      </c>
    </row>
    <row r="452" spans="5:7">
      <c r="E452" s="658">
        <f ca="1">_xll.meDateFromTenor(E451,"1D","Following",$C$16)</f>
        <v>43861</v>
      </c>
      <c r="F452" s="659">
        <f ca="1"/>
        <v>1.6015062540082727E-3</v>
      </c>
      <c r="G452" s="656">
        <v>1.6286009777378868E-3</v>
      </c>
    </row>
    <row r="453" spans="5:7">
      <c r="E453" s="658">
        <f ca="1">_xll.meDateFromTenor(E452,"1D","Following",$C$16)</f>
        <v>43864</v>
      </c>
      <c r="F453" s="659">
        <f ca="1"/>
        <v>1.6348523351821073E-3</v>
      </c>
      <c r="G453" s="656">
        <v>1.6399480310704344E-3</v>
      </c>
    </row>
    <row r="454" spans="5:7">
      <c r="E454" s="658">
        <f ca="1">_xll.meDateFromTenor(E453,"1D","Following",$C$16)</f>
        <v>43865</v>
      </c>
      <c r="F454" s="659">
        <f ca="1"/>
        <v>1.6459781636095237E-3</v>
      </c>
      <c r="G454" s="656">
        <v>1.6513011736764094E-3</v>
      </c>
    </row>
    <row r="455" spans="5:7">
      <c r="E455" s="658">
        <f ca="1">_xll.meDateFromTenor(E454,"1D","Following",$C$16)</f>
        <v>43866</v>
      </c>
      <c r="F455" s="659">
        <f ca="1"/>
        <v>1.657109310928095E-3</v>
      </c>
      <c r="G455" s="656">
        <v>1.6626604293093379E-3</v>
      </c>
    </row>
    <row r="456" spans="5:7">
      <c r="E456" s="658">
        <f ca="1">_xll.meDateFromTenor(E455,"1D","Following",$C$16)</f>
        <v>43867</v>
      </c>
      <c r="F456" s="659">
        <f ca="1"/>
        <v>1.6682458280616746E-3</v>
      </c>
      <c r="G456" s="656">
        <v>1.696775111905098E-3</v>
      </c>
    </row>
    <row r="457" spans="5:7">
      <c r="E457" s="658">
        <f ca="1">_xll.meDateFromTenor(E456,"1D","Following",$C$16)</f>
        <v>43868</v>
      </c>
      <c r="F457" s="659">
        <f ca="1"/>
        <v>1.6793877659341163E-3</v>
      </c>
      <c r="G457" s="656">
        <v>1.7081590571810974E-3</v>
      </c>
    </row>
    <row r="458" spans="5:7">
      <c r="E458" s="658">
        <f ca="1">_xll.meDateFromTenor(E457,"1D","Following",$C$16)</f>
        <v>43871</v>
      </c>
      <c r="F458" s="659">
        <f ca="1"/>
        <v>1.7128466132231303E-3</v>
      </c>
      <c r="G458" s="656">
        <v>1.7195492342516789E-3</v>
      </c>
    </row>
    <row r="459" spans="5:7">
      <c r="E459" s="658">
        <f ca="1">_xll.meDateFromTenor(E458,"1D","Following",$C$16)</f>
        <v>43872</v>
      </c>
      <c r="F459" s="659">
        <f ca="1"/>
        <v>1.7240107432895406E-3</v>
      </c>
      <c r="G459" s="656">
        <v>1.730945666870368E-3</v>
      </c>
    </row>
    <row r="460" spans="5:7">
      <c r="E460" s="658">
        <f ca="1">_xll.meDateFromTenor(E459,"1D","Following",$C$16)</f>
        <v>43873</v>
      </c>
      <c r="F460" s="659">
        <f ca="1"/>
        <v>1.735180548714074E-3</v>
      </c>
      <c r="G460" s="656">
        <v>1.7423483787906908E-3</v>
      </c>
    </row>
    <row r="461" spans="5:7">
      <c r="E461" s="658">
        <f ca="1">_xll.meDateFromTenor(E460,"1D","Following",$C$16)</f>
        <v>43874</v>
      </c>
      <c r="F461" s="659">
        <f ca="1"/>
        <v>1.746356080420582E-3</v>
      </c>
      <c r="G461" s="656">
        <v>1.7765944278967261E-3</v>
      </c>
    </row>
    <row r="462" spans="5:7">
      <c r="E462" s="658">
        <f ca="1">_xll.meDateFromTenor(E461,"1D","Following",$C$16)</f>
        <v>43875</v>
      </c>
      <c r="F462" s="659">
        <f ca="1"/>
        <v>1.7575373893329188E-3</v>
      </c>
      <c r="G462" s="656">
        <v>1.7880224945588451E-3</v>
      </c>
    </row>
    <row r="463" spans="5:7">
      <c r="E463" s="658">
        <f ca="1">_xll.meDateFromTenor(E462,"1D","Following",$C$16)</f>
        <v>43878</v>
      </c>
      <c r="F463" s="659">
        <f ca="1"/>
        <v>1.7911164885434231E-3</v>
      </c>
      <c r="G463" s="656">
        <v>1.799456959290228E-3</v>
      </c>
    </row>
    <row r="464" spans="5:7">
      <c r="E464" s="658">
        <f ca="1">_xll.meDateFromTenor(E463,"1D","Following",$C$16)</f>
        <v>43879</v>
      </c>
      <c r="F464" s="659">
        <f ca="1"/>
        <v>1.8023214155175966E-3</v>
      </c>
      <c r="G464" s="656">
        <v>1.8108978458444011E-3</v>
      </c>
    </row>
    <row r="465" spans="5:7">
      <c r="E465" s="658">
        <f ca="1">_xll.meDateFromTenor(E464,"1D","Following",$C$16)</f>
        <v>43880</v>
      </c>
      <c r="F465" s="659">
        <f ca="1"/>
        <v>1.8135323743168617E-3</v>
      </c>
      <c r="G465" s="656">
        <v>1.8223451779748885E-3</v>
      </c>
    </row>
    <row r="466" spans="5:7">
      <c r="E466" s="658">
        <f ca="1">_xll.meDateFromTenor(E465,"1D","Following",$C$16)</f>
        <v>43881</v>
      </c>
      <c r="F466" s="659">
        <f ca="1"/>
        <v>1.8247494158650695E-3</v>
      </c>
      <c r="G466" s="656">
        <v>1.8567260853595041E-3</v>
      </c>
    </row>
    <row r="467" spans="5:7">
      <c r="E467" s="658">
        <f ca="1">_xll.meDateFromTenor(E466,"1D","Following",$C$16)</f>
        <v>43882</v>
      </c>
      <c r="F467" s="659">
        <f ca="1"/>
        <v>1.8359725910860717E-3</v>
      </c>
      <c r="G467" s="656">
        <v>1.8681994373305109E-3</v>
      </c>
    </row>
    <row r="468" spans="5:7">
      <c r="E468" s="658">
        <f ca="1">_xll.meDateFromTenor(E467,"1D","Following",$C$16)</f>
        <v>43885</v>
      </c>
      <c r="F468" s="659">
        <f ca="1"/>
        <v>1.869679428024377E-3</v>
      </c>
      <c r="G468" s="656">
        <v>1.8796793536454649E-3</v>
      </c>
    </row>
    <row r="469" spans="5:7">
      <c r="E469" s="658">
        <f ca="1">_xll.meDateFromTenor(E468,"1D","Following",$C$16)</f>
        <v>43886</v>
      </c>
      <c r="F469" s="659">
        <f ca="1"/>
        <v>1.8809276471750851E-3</v>
      </c>
      <c r="G469" s="656">
        <v>1.8911658580578895E-3</v>
      </c>
    </row>
    <row r="470" spans="5:7">
      <c r="E470" s="658">
        <f ca="1">_xll.meDateFromTenor(E469,"1D","Following",$C$16)</f>
        <v>43887</v>
      </c>
      <c r="F470" s="659">
        <f ca="1"/>
        <v>1.892182254617851E-3</v>
      </c>
      <c r="G470" s="656">
        <v>1.90265897432131E-3</v>
      </c>
    </row>
    <row r="471" spans="5:7">
      <c r="E471" s="658">
        <f ca="1">_xll.meDateFromTenor(E470,"1D","Following",$C$16)</f>
        <v>43888</v>
      </c>
      <c r="F471" s="659">
        <f ca="1"/>
        <v>1.9034433012765277E-3</v>
      </c>
      <c r="G471" s="656">
        <v>1.9371782317528119E-3</v>
      </c>
    </row>
    <row r="472" spans="5:7">
      <c r="E472" s="658">
        <f ca="1">_xll.meDateFromTenor(E471,"1D","Following",$C$16)</f>
        <v>43889</v>
      </c>
      <c r="F472" s="659">
        <f ca="1"/>
        <v>1.9147108380749671E-3</v>
      </c>
      <c r="G472" s="656">
        <v>1.9486980329554782E-3</v>
      </c>
    </row>
    <row r="473" spans="5:7">
      <c r="E473" s="658">
        <f ca="1">_xll.meDateFromTenor(E472,"1D","Following",$C$16)</f>
        <v>43892</v>
      </c>
      <c r="F473" s="659">
        <f ca="1"/>
        <v>1.9485528985473829E-3</v>
      </c>
      <c r="G473" s="656">
        <v>1.9602245647767705E-3</v>
      </c>
    </row>
    <row r="474" spans="5:7">
      <c r="E474" s="658">
        <f ca="1">_xll.meDateFromTenor(E473,"1D","Following",$C$16)</f>
        <v>43893</v>
      </c>
      <c r="F474" s="659">
        <f ca="1"/>
        <v>1.9598469051433963E-3</v>
      </c>
      <c r="G474" s="656">
        <v>1.9717578509702155E-3</v>
      </c>
    </row>
    <row r="475" spans="5:7">
      <c r="E475" s="658">
        <f ca="1">_xll.meDateFromTenor(E474,"1D","Following",$C$16)</f>
        <v>43894</v>
      </c>
      <c r="F475" s="659">
        <f ca="1"/>
        <v>1.9711476564984341E-3</v>
      </c>
      <c r="G475" s="656">
        <v>1.9832979152893393E-3</v>
      </c>
    </row>
    <row r="476" spans="5:7">
      <c r="E476" s="658">
        <f ca="1">_xll.meDateFromTenor(E475,"1D","Following",$C$16)</f>
        <v>43895</v>
      </c>
      <c r="F476" s="659">
        <f ca="1"/>
        <v>1.9824552035363494E-3</v>
      </c>
      <c r="G476" s="656">
        <v>2.0179590145360327E-3</v>
      </c>
    </row>
    <row r="477" spans="5:7">
      <c r="E477" s="658">
        <f ca="1">_xll.meDateFromTenor(E476,"1D","Following",$C$16)</f>
        <v>43896</v>
      </c>
      <c r="F477" s="659">
        <f ca="1"/>
        <v>1.9937695971809955E-3</v>
      </c>
      <c r="G477" s="656">
        <v>2.0295264288931266E-3</v>
      </c>
    </row>
    <row r="478" spans="5:7">
      <c r="E478" s="658">
        <f ca="1">_xll.meDateFromTenor(E477,"1D","Following",$C$16)</f>
        <v>43899</v>
      </c>
      <c r="F478" s="659">
        <f ca="1"/>
        <v>2.027754366993833E-3</v>
      </c>
      <c r="G478" s="656">
        <v>2.0411007401435269E-3</v>
      </c>
    </row>
    <row r="479" spans="5:7">
      <c r="E479" s="658">
        <f ca="1">_xll.meDateFromTenor(E478,"1D","Following",$C$16)</f>
        <v>43900</v>
      </c>
      <c r="F479" s="659">
        <f ca="1"/>
        <v>2.039096656303922E-3</v>
      </c>
      <c r="G479" s="656">
        <v>2.0526819720407606E-3</v>
      </c>
    </row>
    <row r="480" spans="5:7">
      <c r="E480" s="658">
        <f ca="1">_xll.meDateFromTenor(E479,"1D","Following",$C$16)</f>
        <v>43901</v>
      </c>
      <c r="F480" s="659">
        <f ca="1"/>
        <v>2.050446046840002E-3</v>
      </c>
      <c r="G480" s="656">
        <v>2.0642701483383542E-3</v>
      </c>
    </row>
    <row r="481" spans="5:7">
      <c r="E481" s="658">
        <f ca="1">_xll.meDateFromTenor(E480,"1D","Following",$C$16)</f>
        <v>43902</v>
      </c>
      <c r="F481" s="659">
        <f ca="1"/>
        <v>2.0618025895259265E-3</v>
      </c>
      <c r="G481" s="656">
        <v>2.0990765811685478E-3</v>
      </c>
    </row>
    <row r="482" spans="5:7">
      <c r="E482" s="658">
        <f ca="1">_xll.meDateFromTenor(E481,"1D","Following",$C$16)</f>
        <v>43903</v>
      </c>
      <c r="F482" s="659">
        <f ca="1"/>
        <v>2.0731663352855489E-3</v>
      </c>
      <c r="G482" s="656">
        <v>2.1106927726028371E-3</v>
      </c>
    </row>
    <row r="483" spans="5:7">
      <c r="E483" s="658">
        <f ca="1">_xll.meDateFromTenor(E482,"1D","Following",$C$16)</f>
        <v>43906</v>
      </c>
      <c r="F483" s="659">
        <f ca="1"/>
        <v>2.1073013002451198E-3</v>
      </c>
      <c r="G483" s="656">
        <v>2.1223160272051149E-3</v>
      </c>
    </row>
    <row r="484" spans="5:7">
      <c r="E484" s="658">
        <f ca="1">_xll.meDateFromTenor(E483,"1D","Following",$C$16)</f>
        <v>43907</v>
      </c>
      <c r="F484" s="659">
        <f ca="1"/>
        <v>2.1186943675380542E-3</v>
      </c>
      <c r="G484" s="656">
        <v>2.1339463687289066E-3</v>
      </c>
    </row>
    <row r="485" spans="5:7">
      <c r="E485" s="658">
        <f ca="1">_xll.meDateFromTenor(E484,"1D","Following",$C$16)</f>
        <v>43908</v>
      </c>
      <c r="F485" s="659">
        <f ca="1"/>
        <v>2.1300948925239479E-3</v>
      </c>
      <c r="G485" s="656">
        <v>2.1455838209277389E-3</v>
      </c>
    </row>
    <row r="486" spans="5:7">
      <c r="E486" s="658">
        <f ca="1">_xll.meDateFromTenor(E485,"1D","Following",$C$16)</f>
        <v>43909</v>
      </c>
      <c r="F486" s="659">
        <f ca="1"/>
        <v>2.1415029261266519E-3</v>
      </c>
      <c r="G486" s="656">
        <v>2.1805390791097387E-3</v>
      </c>
    </row>
    <row r="487" spans="5:7">
      <c r="E487" s="658">
        <f ca="1">_xll.meDateFromTenor(E486,"1D","Following",$C$16)</f>
        <v>43910</v>
      </c>
      <c r="F487" s="659">
        <f ca="1"/>
        <v>2.15291851927002E-3</v>
      </c>
      <c r="G487" s="656">
        <v>2.1922052115439915E-3</v>
      </c>
    </row>
    <row r="488" spans="5:7">
      <c r="E488" s="658">
        <f ca="1">_xll.meDateFromTenor(E487,"1D","Following",$C$16)</f>
        <v>43913</v>
      </c>
      <c r="F488" s="659">
        <f ca="1"/>
        <v>2.1872111651826363E-3</v>
      </c>
      <c r="G488" s="656">
        <v>2.2038785734209152E-3</v>
      </c>
    </row>
    <row r="489" spans="5:7">
      <c r="E489" s="658">
        <f ca="1">_xll.meDateFromTenor(E488,"1D","Following",$C$16)</f>
        <v>43914</v>
      </c>
      <c r="F489" s="659">
        <f ca="1"/>
        <v>2.1986575057271851E-3</v>
      </c>
      <c r="G489" s="656">
        <v>2.2155591884940348E-3</v>
      </c>
    </row>
    <row r="490" spans="5:7">
      <c r="E490" s="658">
        <f ca="1">_xll.meDateFromTenor(E489,"1D","Following",$C$16)</f>
        <v>43915</v>
      </c>
      <c r="F490" s="659">
        <f ca="1"/>
        <v>2.210111660431661E-3</v>
      </c>
      <c r="G490" s="656">
        <v>2.2272470805168752E-3</v>
      </c>
    </row>
    <row r="491" spans="5:7">
      <c r="E491" s="658">
        <f ca="1">_xll.meDateFromTenor(E490,"1D","Following",$C$16)</f>
        <v>43916</v>
      </c>
      <c r="F491" s="659">
        <f ca="1"/>
        <v>2.2215736802199161E-3</v>
      </c>
      <c r="G491" s="656">
        <v>2.2623546558189866E-3</v>
      </c>
    </row>
    <row r="492" spans="5:7">
      <c r="E492" s="658">
        <f ca="1">_xll.meDateFromTenor(E491,"1D","Following",$C$16)</f>
        <v>43917</v>
      </c>
      <c r="F492" s="659">
        <f ca="1"/>
        <v>2.2330436160158018E-3</v>
      </c>
      <c r="G492" s="656">
        <v>2.2740718931759728E-3</v>
      </c>
    </row>
    <row r="493" spans="5:7">
      <c r="E493" s="658">
        <f ca="1">_xll.meDateFromTenor(E492,"1D","Following",$C$16)</f>
        <v>43920</v>
      </c>
      <c r="F493" s="659">
        <f ca="1"/>
        <v>2.2675014286877722E-3</v>
      </c>
      <c r="G493" s="656">
        <v>2.2857965262503099E-3</v>
      </c>
    </row>
    <row r="494" spans="5:7">
      <c r="E494" s="658">
        <f ca="1">_xll.meDateFromTenor(E493,"1D","Following",$C$16)</f>
        <v>43921</v>
      </c>
      <c r="F494" s="659">
        <f ca="1"/>
        <v>2.2790035377527073E-3</v>
      </c>
      <c r="G494" s="656">
        <v>2.297528578795525E-3</v>
      </c>
    </row>
    <row r="495" spans="5:7">
      <c r="E495" s="658">
        <f ca="1">_xll.meDateFromTenor(E494,"1D","Following",$C$16)</f>
        <v>43922</v>
      </c>
      <c r="F495" s="659">
        <f ca="1"/>
        <v>2.2905138174445358E-3</v>
      </c>
      <c r="G495" s="656">
        <v>2.3092680745651424E-3</v>
      </c>
    </row>
    <row r="496" spans="5:7">
      <c r="E496" s="658">
        <f ca="1">_xll.meDateFromTenor(E495,"1D","Following",$C$16)</f>
        <v>43923</v>
      </c>
      <c r="F496" s="659">
        <f ca="1"/>
        <v>2.3020323186871117E-3</v>
      </c>
      <c r="G496" s="656">
        <v>2.3445314587556719E-3</v>
      </c>
    </row>
    <row r="497" spans="5:7">
      <c r="E497" s="658">
        <f ca="1">_xll.meDateFromTenor(E496,"1D","Following",$C$16)</f>
        <v>43924</v>
      </c>
      <c r="F497" s="659">
        <f ca="1"/>
        <v>2.3135590924042854E-3</v>
      </c>
      <c r="G497" s="656">
        <v>2.3563009649581598E-3</v>
      </c>
    </row>
    <row r="498" spans="5:7">
      <c r="E498" s="658">
        <f ca="1">_xll.meDateFromTenor(E497,"1D","Following",$C$16)</f>
        <v>43927</v>
      </c>
      <c r="F498" s="659">
        <f ca="1"/>
        <v>2.3481895576419197E-3</v>
      </c>
      <c r="G498" s="656">
        <v>2.3680780331526803E-3</v>
      </c>
    </row>
    <row r="499" spans="5:7">
      <c r="E499" s="658">
        <f ca="1">_xll.meDateFromTenor(E498,"1D","Following",$C$16)</f>
        <v>43928</v>
      </c>
      <c r="F499" s="659">
        <f ca="1"/>
        <v>2.3597499304960122E-3</v>
      </c>
      <c r="G499" s="656">
        <v>2.3798626870927602E-3</v>
      </c>
    </row>
    <row r="500" spans="5:7">
      <c r="E500" s="658">
        <f ca="1">_xll.meDateFromTenor(E499,"1D","Following",$C$16)</f>
        <v>43929</v>
      </c>
      <c r="F500" s="659">
        <f ca="1"/>
        <v>2.3713188304439639E-3</v>
      </c>
      <c r="G500" s="656">
        <v>2.3916549505319236E-3</v>
      </c>
    </row>
    <row r="501" spans="5:7">
      <c r="E501" s="658">
        <f ca="1">_xll.meDateFromTenor(E500,"1D","Following",$C$16)</f>
        <v>43930</v>
      </c>
      <c r="F501" s="659">
        <f ca="1"/>
        <v>2.3828963084096288E-3</v>
      </c>
      <c r="G501" s="656">
        <v>2.4270776353791774E-3</v>
      </c>
    </row>
    <row r="502" spans="5:7">
      <c r="E502" s="658">
        <f ca="1">_xll.meDateFromTenor(E501,"1D","Following",$C$16)</f>
        <v>43935</v>
      </c>
      <c r="F502" s="659">
        <f ca="1"/>
        <v>2.4409141508384899E-3</v>
      </c>
      <c r="G502" s="656">
        <v>2.4389005743499369E-3</v>
      </c>
    </row>
    <row r="503" spans="5:7">
      <c r="E503" s="658">
        <f ca="1">_xll.meDateFromTenor(E502,"1D","Following",$C$16)</f>
        <v>43936</v>
      </c>
      <c r="F503" s="659">
        <f ca="1"/>
        <v>2.4525441663113363E-3</v>
      </c>
      <c r="G503" s="656">
        <v>2.4507312415874092E-3</v>
      </c>
    </row>
    <row r="504" spans="5:7">
      <c r="E504" s="658">
        <f ca="1">_xll.meDateFromTenor(E503,"1D","Following",$C$16)</f>
        <v>43937</v>
      </c>
      <c r="F504" s="659">
        <f ca="1"/>
        <v>2.4641831162688622E-3</v>
      </c>
      <c r="G504" s="656">
        <v>2.4625696608451203E-3</v>
      </c>
    </row>
    <row r="505" spans="5:7">
      <c r="E505" s="658">
        <f ca="1">_xll.meDateFromTenor(E504,"1D","Following",$C$16)</f>
        <v>43938</v>
      </c>
      <c r="F505" s="659">
        <f ca="1"/>
        <v>2.4758310516349211E-3</v>
      </c>
      <c r="G505" s="656">
        <v>2.5218788688106827E-3</v>
      </c>
    </row>
    <row r="506" spans="5:7">
      <c r="E506" s="658">
        <f ca="1">_xll.meDateFromTenor(E505,"1D","Following",$C$16)</f>
        <v>43941</v>
      </c>
      <c r="F506" s="659">
        <f ca="1"/>
        <v>2.5108292794228187E-3</v>
      </c>
      <c r="G506" s="656">
        <v>2.5337642990138766E-3</v>
      </c>
    </row>
    <row r="507" spans="5:7">
      <c r="E507" s="658">
        <f ca="1">_xll.meDateFromTenor(E506,"1D","Following",$C$16)</f>
        <v>43942</v>
      </c>
      <c r="F507" s="659">
        <f ca="1"/>
        <v>2.5225136656615338E-3</v>
      </c>
      <c r="G507" s="656">
        <v>2.54565764751199E-3</v>
      </c>
    </row>
    <row r="508" spans="5:7">
      <c r="E508" s="658">
        <f ca="1">_xll.meDateFromTenor(E507,"1D","Following",$C$16)</f>
        <v>43943</v>
      </c>
      <c r="F508" s="659">
        <f ca="1"/>
        <v>2.5342072919280444E-3</v>
      </c>
      <c r="G508" s="656">
        <v>2.5575589380585507E-3</v>
      </c>
    </row>
    <row r="509" spans="5:7">
      <c r="E509" s="658">
        <f ca="1">_xll.meDateFromTenor(E508,"1D","Following",$C$16)</f>
        <v>43944</v>
      </c>
      <c r="F509" s="659">
        <f ca="1"/>
        <v>2.5459102091462018E-3</v>
      </c>
      <c r="G509" s="656">
        <v>2.5933106995241727E-3</v>
      </c>
    </row>
    <row r="510" spans="5:7">
      <c r="E510" s="658">
        <f ca="1">_xll.meDateFromTenor(E509,"1D","Following",$C$16)</f>
        <v>43945</v>
      </c>
      <c r="F510" s="659">
        <f ca="1"/>
        <v>2.5576224682398582E-3</v>
      </c>
      <c r="G510" s="656">
        <v>2.6052439957997791E-3</v>
      </c>
    </row>
    <row r="511" spans="5:7">
      <c r="E511" s="658">
        <f ca="1">_xll.meDateFromTenor(E510,"1D","Following",$C$16)</f>
        <v>43948</v>
      </c>
      <c r="F511" s="659">
        <f ca="1"/>
        <v>2.592815806012355E-3</v>
      </c>
      <c r="G511" s="656">
        <v>2.6171853528914623E-3</v>
      </c>
    </row>
    <row r="512" spans="5:7">
      <c r="E512" s="658">
        <f ca="1">_xll.meDateFromTenor(E511,"1D","Following",$C$16)</f>
        <v>43949</v>
      </c>
      <c r="F512" s="659">
        <f ca="1"/>
        <v>2.6045659418465362E-3</v>
      </c>
      <c r="G512" s="656">
        <v>2.6291347945527478E-3</v>
      </c>
    </row>
    <row r="513" spans="5:7">
      <c r="E513" s="658">
        <f ca="1">_xll.meDateFromTenor(E512,"1D","Following",$C$16)</f>
        <v>43950</v>
      </c>
      <c r="F513" s="659">
        <f ca="1"/>
        <v>2.6163256741754807E-3</v>
      </c>
      <c r="G513" s="656">
        <v>2.6410923445371604E-3</v>
      </c>
    </row>
    <row r="514" spans="5:7">
      <c r="E514" s="658">
        <f ca="1">_xll.meDateFromTenor(E513,"1D","Following",$C$16)</f>
        <v>43951</v>
      </c>
      <c r="F514" s="659">
        <f ca="1"/>
        <v>2.6280950539230396E-3</v>
      </c>
      <c r="G514" s="656">
        <v>2.6770138819644262E-3</v>
      </c>
    </row>
    <row r="515" spans="5:7">
      <c r="E515" s="658">
        <f ca="1">_xll.meDateFromTenor(E514,"1D","Following",$C$16)</f>
        <v>43955</v>
      </c>
      <c r="F515" s="659">
        <f ca="1"/>
        <v>2.6752700655764709E-3</v>
      </c>
      <c r="G515" s="656">
        <v>2.6890041027766102E-3</v>
      </c>
    </row>
    <row r="516" spans="5:7">
      <c r="E516" s="658">
        <f ca="1">_xll.meDateFromTenor(E515,"1D","Following",$C$16)</f>
        <v>43956</v>
      </c>
      <c r="F516" s="659">
        <f ca="1"/>
        <v>2.6870884462748901E-3</v>
      </c>
      <c r="G516" s="656">
        <v>2.7010025506795502E-3</v>
      </c>
    </row>
    <row r="517" spans="5:7">
      <c r="E517" s="658">
        <f ca="1">_xll.meDateFromTenor(E516,"1D","Following",$C$16)</f>
        <v>43957</v>
      </c>
      <c r="F517" s="659">
        <f ca="1"/>
        <v>2.6989167799350371E-3</v>
      </c>
      <c r="G517" s="656">
        <v>2.7130092494267754E-3</v>
      </c>
    </row>
    <row r="518" spans="5:7">
      <c r="E518" s="658">
        <f ca="1">_xll.meDateFromTenor(E517,"1D","Following",$C$16)</f>
        <v>43958</v>
      </c>
      <c r="F518" s="659">
        <f ca="1"/>
        <v>2.7107551174807678E-3</v>
      </c>
      <c r="G518" s="656">
        <v>2.7611190279290244E-3</v>
      </c>
    </row>
    <row r="519" spans="5:7">
      <c r="E519" s="658">
        <f ca="1">_xll.meDateFromTenor(E518,"1D","Following",$C$16)</f>
        <v>43959</v>
      </c>
      <c r="F519" s="659">
        <f ca="1"/>
        <v>2.7226035098359327E-3</v>
      </c>
      <c r="G519" s="656">
        <v>2.7731673143530818E-3</v>
      </c>
    </row>
    <row r="520" spans="5:7">
      <c r="E520" s="658">
        <f ca="1">_xll.meDateFromTenor(E519,"1D","Following",$C$16)</f>
        <v>43962</v>
      </c>
      <c r="F520" s="659">
        <f ca="1"/>
        <v>2.7582087774957313E-3</v>
      </c>
      <c r="G520" s="656">
        <v>2.7852238570577588E-3</v>
      </c>
    </row>
    <row r="521" spans="5:7">
      <c r="E521" s="658">
        <f ca="1">_xll.meDateFromTenor(E520,"1D","Following",$C$16)</f>
        <v>43963</v>
      </c>
      <c r="F521" s="659">
        <f ca="1"/>
        <v>2.770096873974174E-3</v>
      </c>
      <c r="G521" s="656">
        <v>2.7972885427117512E-3</v>
      </c>
    </row>
    <row r="522" spans="5:7">
      <c r="E522" s="658">
        <f ca="1">_xll.meDateFromTenor(E521,"1D","Following",$C$16)</f>
        <v>43964</v>
      </c>
      <c r="F522" s="659">
        <f ca="1"/>
        <v>2.7819946154361381E-3</v>
      </c>
      <c r="G522" s="656">
        <v>2.8093612579837661E-3</v>
      </c>
    </row>
    <row r="523" spans="5:7">
      <c r="E523" s="658">
        <f ca="1">_xll.meDateFromTenor(E522,"1D","Following",$C$16)</f>
        <v>43965</v>
      </c>
      <c r="F523" s="659">
        <f ca="1"/>
        <v>2.7939018866941757E-3</v>
      </c>
      <c r="G523" s="656">
        <v>2.8456264481949659E-3</v>
      </c>
    </row>
    <row r="524" spans="5:7">
      <c r="E524" s="658">
        <f ca="1">_xll.meDateFromTenor(E523,"1D","Following",$C$16)</f>
        <v>43966</v>
      </c>
      <c r="F524" s="659">
        <f ca="1"/>
        <v>2.8058185725608493E-3</v>
      </c>
      <c r="G524" s="656">
        <v>2.857730148626096E-3</v>
      </c>
    </row>
    <row r="525" spans="5:7">
      <c r="E525" s="658">
        <f ca="1">_xll.meDateFromTenor(E524,"1D","Following",$C$16)</f>
        <v>43969</v>
      </c>
      <c r="F525" s="659">
        <f ca="1"/>
        <v>2.841623965938254E-3</v>
      </c>
      <c r="G525" s="656">
        <v>2.8698413120187595E-3</v>
      </c>
    </row>
    <row r="526" spans="5:7">
      <c r="E526" s="658">
        <f ca="1">_xll.meDateFromTenor(E525,"1D","Following",$C$16)</f>
        <v>43970</v>
      </c>
      <c r="F526" s="659">
        <f ca="1"/>
        <v>2.8535771583650445E-3</v>
      </c>
      <c r="G526" s="656">
        <v>2.8819598250416651E-3</v>
      </c>
    </row>
    <row r="527" spans="5:7">
      <c r="E527" s="658">
        <f ca="1">_xll.meDateFromTenor(E526,"1D","Following",$C$16)</f>
        <v>43971</v>
      </c>
      <c r="F527" s="659">
        <f ca="1"/>
        <v>2.8655391894632574E-3</v>
      </c>
      <c r="G527" s="656">
        <v>2.8940855743635088E-3</v>
      </c>
    </row>
    <row r="528" spans="5:7">
      <c r="E528" s="658">
        <f ca="1">_xll.meDateFromTenor(E527,"1D","Following",$C$16)</f>
        <v>43972</v>
      </c>
      <c r="F528" s="659">
        <f ca="1"/>
        <v>2.8775099440454558E-3</v>
      </c>
      <c r="G528" s="656">
        <v>2.930505106809722E-3</v>
      </c>
    </row>
    <row r="529" spans="5:7">
      <c r="E529" s="658">
        <f ca="1">_xll.meDateFromTenor(E528,"1D","Following",$C$16)</f>
        <v>43973</v>
      </c>
      <c r="F529" s="659">
        <f ca="1"/>
        <v>2.8894893069241912E-3</v>
      </c>
      <c r="G529" s="656">
        <v>2.942658668014362E-3</v>
      </c>
    </row>
    <row r="530" spans="5:7">
      <c r="E530" s="658">
        <f ca="1">_xll.meDateFromTenor(E529,"1D","Following",$C$16)</f>
        <v>43976</v>
      </c>
      <c r="F530" s="659">
        <f ca="1"/>
        <v>2.9254778934652195E-3</v>
      </c>
      <c r="G530" s="656">
        <v>2.9548188988614585E-3</v>
      </c>
    </row>
    <row r="531" spans="5:7">
      <c r="E531" s="658">
        <f ca="1">_xll.meDateFromTenor(E530,"1D","Following",$C$16)</f>
        <v>43977</v>
      </c>
      <c r="F531" s="659">
        <f ca="1"/>
        <v>2.9374905376556952E-3</v>
      </c>
      <c r="G531" s="656">
        <v>2.9669856860197116E-3</v>
      </c>
    </row>
    <row r="532" spans="5:7">
      <c r="E532" s="658">
        <f ca="1">_xll.meDateFromTenor(E531,"1D","Following",$C$16)</f>
        <v>43978</v>
      </c>
      <c r="F532" s="659">
        <f ca="1"/>
        <v>2.9495112142055016E-3</v>
      </c>
      <c r="G532" s="656">
        <v>2.9791589161578288E-3</v>
      </c>
    </row>
    <row r="533" spans="5:7">
      <c r="E533" s="658">
        <f ca="1">_xll.meDateFromTenor(E532,"1D","Following",$C$16)</f>
        <v>43979</v>
      </c>
      <c r="F533" s="659">
        <f ca="1"/>
        <v>2.961539807927193E-3</v>
      </c>
      <c r="G533" s="656">
        <v>3.0157161311383783E-3</v>
      </c>
    </row>
    <row r="534" spans="5:7">
      <c r="E534" s="658">
        <f ca="1">_xll.meDateFromTenor(E533,"1D","Following",$C$16)</f>
        <v>43980</v>
      </c>
      <c r="F534" s="659">
        <f ca="1"/>
        <v>2.9735762036333341E-3</v>
      </c>
      <c r="G534" s="656">
        <v>3.0279139998829691E-3</v>
      </c>
    </row>
    <row r="535" spans="5:7">
      <c r="E535" s="658">
        <f ca="1">_xll.meDateFromTenor(E534,"1D","Following",$C$16)</f>
        <v>43983</v>
      </c>
      <c r="F535" s="659">
        <f ca="1"/>
        <v>3.0097310507840023E-3</v>
      </c>
      <c r="G535" s="656">
        <v>3.0401177449509375E-3</v>
      </c>
    </row>
    <row r="536" spans="5:7">
      <c r="E536" s="658">
        <f ca="1">_xll.meDateFromTenor(E535,"1D","Following",$C$16)</f>
        <v>43984</v>
      </c>
      <c r="F536" s="659">
        <f ca="1"/>
        <v>3.021797502553502E-3</v>
      </c>
      <c r="G536" s="656">
        <v>3.0523272530109846E-3</v>
      </c>
    </row>
    <row r="537" spans="5:7">
      <c r="E537" s="658">
        <f ca="1">_xll.meDateFromTenor(E536,"1D","Following",$C$16)</f>
        <v>43985</v>
      </c>
      <c r="F537" s="659">
        <f ca="1"/>
        <v>3.0338711803702379E-3</v>
      </c>
      <c r="G537" s="656">
        <v>3.0645424107318122E-3</v>
      </c>
    </row>
    <row r="538" spans="5:7">
      <c r="E538" s="658">
        <f ca="1">_xll.meDateFromTenor(E537,"1D","Following",$C$16)</f>
        <v>43986</v>
      </c>
      <c r="F538" s="659">
        <f ca="1"/>
        <v>3.0459519690467676E-3</v>
      </c>
      <c r="G538" s="656">
        <v>3.1012206485460173E-3</v>
      </c>
    </row>
    <row r="539" spans="5:7">
      <c r="E539" s="658">
        <f ca="1">_xll.meDateFromTenor(E538,"1D","Following",$C$16)</f>
        <v>43987</v>
      </c>
      <c r="F539" s="659">
        <f ca="1"/>
        <v>3.058039753395646E-3</v>
      </c>
      <c r="G539" s="656">
        <v>3.1134572715970045E-3</v>
      </c>
    </row>
    <row r="540" spans="5:7">
      <c r="E540" s="658">
        <f ca="1">_xll.meDateFromTenor(E539,"1D","Following",$C$16)</f>
        <v>43990</v>
      </c>
      <c r="F540" s="659">
        <f ca="1"/>
        <v>3.0943439286019742E-3</v>
      </c>
      <c r="G540" s="656">
        <v>3.1256989776522839E-3</v>
      </c>
    </row>
    <row r="541" spans="5:7">
      <c r="E541" s="658">
        <f ca="1">_xll.meDateFromTenor(E540,"1D","Following",$C$16)</f>
        <v>43991</v>
      </c>
      <c r="F541" s="659">
        <f ca="1"/>
        <v>3.1064585437658391E-3</v>
      </c>
      <c r="G541" s="656">
        <v>3.1379456533805641E-3</v>
      </c>
    </row>
    <row r="542" spans="5:7">
      <c r="E542" s="658">
        <f ca="1">_xll.meDateFromTenor(E541,"1D","Following",$C$16)</f>
        <v>43992</v>
      </c>
      <c r="F542" s="659">
        <f ca="1"/>
        <v>3.1185795786648428E-3</v>
      </c>
      <c r="G542" s="656">
        <v>3.1501971854505468E-3</v>
      </c>
    </row>
    <row r="543" spans="5:7">
      <c r="E543" s="658">
        <f ca="1">_xll.meDateFromTenor(E542,"1D","Following",$C$16)</f>
        <v>43993</v>
      </c>
      <c r="F543" s="659">
        <f ca="1"/>
        <v>3.1307069181115465E-3</v>
      </c>
      <c r="G543" s="656">
        <v>3.1869797863977325E-3</v>
      </c>
    </row>
    <row r="544" spans="5:7">
      <c r="E544" s="658">
        <f ca="1">_xll.meDateFromTenor(E543,"1D","Following",$C$16)</f>
        <v>43994</v>
      </c>
      <c r="F544" s="659">
        <f ca="1"/>
        <v>3.1428404469185079E-3</v>
      </c>
      <c r="G544" s="656">
        <v>3.199249610521549E-3</v>
      </c>
    </row>
    <row r="545" spans="5:7">
      <c r="E545" s="658">
        <f ca="1">_xll.meDateFromTenor(E544,"1D","Following",$C$16)</f>
        <v>43997</v>
      </c>
      <c r="F545" s="659">
        <f ca="1"/>
        <v>3.1792770176265091E-3</v>
      </c>
      <c r="G545" s="656">
        <v>3.2115237243305868E-3</v>
      </c>
    </row>
    <row r="546" spans="5:7">
      <c r="E546" s="658">
        <f ca="1">_xll.meDateFromTenor(E545,"1D","Following",$C$16)</f>
        <v>43998</v>
      </c>
      <c r="F546" s="659">
        <f ca="1"/>
        <v>3.1914341520000735E-3</v>
      </c>
      <c r="G546" s="656">
        <v>3.2238020144935392E-3</v>
      </c>
    </row>
    <row r="547" spans="5:7">
      <c r="E547" s="658">
        <f ca="1">_xll.meDateFromTenor(E546,"1D","Following",$C$16)</f>
        <v>43999</v>
      </c>
      <c r="F547" s="659">
        <f ca="1"/>
        <v>3.2035968997966898E-3</v>
      </c>
      <c r="G547" s="656">
        <v>3.2360843676791161E-3</v>
      </c>
    </row>
    <row r="548" spans="5:7">
      <c r="E548" s="658">
        <f ca="1">_xll.meDateFromTenor(E547,"1D","Following",$C$16)</f>
        <v>44000</v>
      </c>
      <c r="F548" s="659">
        <f ca="1"/>
        <v>3.215765145828906E-3</v>
      </c>
      <c r="G548" s="656">
        <v>3.2729546720586047E-3</v>
      </c>
    </row>
    <row r="549" spans="5:7">
      <c r="E549" s="658">
        <f ca="1">_xll.meDateFromTenor(E548,"1D","Following",$C$16)</f>
        <v>44001</v>
      </c>
      <c r="F549" s="659">
        <f ca="1"/>
        <v>3.2279387749092866E-3</v>
      </c>
      <c r="G549" s="656">
        <v>3.285252144021698E-3</v>
      </c>
    </row>
    <row r="550" spans="5:7">
      <c r="E550" s="658">
        <f ca="1">_xll.meDateFromTenor(E549,"1D","Following",$C$16)</f>
        <v>44004</v>
      </c>
      <c r="F550" s="659">
        <f ca="1"/>
        <v>3.2644908085649798E-3</v>
      </c>
      <c r="G550" s="656">
        <v>3.2975531123509258E-3</v>
      </c>
    </row>
    <row r="551" spans="5:7">
      <c r="E551" s="658">
        <f ca="1">_xll.meDateFromTenor(E550,"1D","Following",$C$16)</f>
        <v>44005</v>
      </c>
      <c r="F551" s="659">
        <f ca="1"/>
        <v>3.2766848179635894E-3</v>
      </c>
      <c r="G551" s="656">
        <v>3.3098574637149972E-3</v>
      </c>
    </row>
    <row r="552" spans="5:7">
      <c r="E552" s="658">
        <f ca="1">_xll.meDateFromTenor(E551,"1D","Following",$C$16)</f>
        <v>44006</v>
      </c>
      <c r="F552" s="659">
        <f ca="1"/>
        <v>3.2888836344731483E-3</v>
      </c>
      <c r="G552" s="656">
        <v>3.3221650847826073E-3</v>
      </c>
    </row>
    <row r="553" spans="5:7">
      <c r="E553" s="658">
        <f ca="1">_xll.meDateFromTenor(E552,"1D","Following",$C$16)</f>
        <v>44007</v>
      </c>
      <c r="F553" s="659">
        <f ca="1"/>
        <v>3.3010871429062214E-3</v>
      </c>
      <c r="G553" s="656">
        <v>3.3591064328937219E-3</v>
      </c>
    </row>
    <row r="554" spans="5:7">
      <c r="E554" s="658">
        <f ca="1">_xll.meDateFromTenor(E553,"1D","Following",$C$16)</f>
        <v>44008</v>
      </c>
      <c r="F554" s="659">
        <f ca="1"/>
        <v>3.3132952280753585E-3</v>
      </c>
      <c r="G554" s="656">
        <v>3.3714259994625305E-3</v>
      </c>
    </row>
    <row r="555" spans="5:7">
      <c r="E555" s="658">
        <f ca="1">_xll.meDateFromTenor(E554,"1D","Following",$C$16)</f>
        <v>44011</v>
      </c>
      <c r="F555" s="659">
        <f ca="1"/>
        <v>3.3499457921247599E-3</v>
      </c>
      <c r="G555" s="656">
        <v>3.3837482690783969E-3</v>
      </c>
    </row>
    <row r="556" spans="5:7">
      <c r="E556" s="658">
        <f ca="1">_xll.meDateFromTenor(E555,"1D","Following",$C$16)</f>
        <v>44012</v>
      </c>
      <c r="F556" s="659">
        <f ca="1"/>
        <v>3.3621710323637503E-3</v>
      </c>
      <c r="G556" s="656">
        <v>3.3960731284100199E-3</v>
      </c>
    </row>
    <row r="557" spans="5:7">
      <c r="E557" s="658">
        <f ca="1">_xll.meDateFromTenor(E556,"1D","Following",$C$16)</f>
        <v>44013</v>
      </c>
      <c r="F557" s="659">
        <f ca="1"/>
        <v>3.3744002734015983E-3</v>
      </c>
      <c r="G557" s="656">
        <v>3.4084004641261076E-3</v>
      </c>
    </row>
    <row r="558" spans="5:7">
      <c r="E558" s="658">
        <f ca="1">_xll.meDateFromTenor(E557,"1D","Following",$C$16)</f>
        <v>44014</v>
      </c>
      <c r="F558" s="659">
        <f ca="1"/>
        <v>3.3866334000508592E-3</v>
      </c>
      <c r="G558" s="656">
        <v>3.4453961962681726E-3</v>
      </c>
    </row>
    <row r="559" spans="5:7">
      <c r="E559" s="658">
        <f ca="1">_xll.meDateFromTenor(E558,"1D","Following",$C$16)</f>
        <v>44015</v>
      </c>
      <c r="F559" s="659">
        <f ca="1"/>
        <v>3.3988702971240979E-3</v>
      </c>
      <c r="G559" s="656">
        <v>3.4577323042091364E-3</v>
      </c>
    </row>
    <row r="560" spans="5:7">
      <c r="E560" s="658">
        <f ca="1">_xll.meDateFromTenor(E559,"1D","Following",$C$16)</f>
        <v>44018</v>
      </c>
      <c r="F560" s="659">
        <f ca="1"/>
        <v>3.4356024590132261E-3</v>
      </c>
      <c r="G560" s="656">
        <v>3.4700703218780789E-3</v>
      </c>
    </row>
    <row r="561" spans="5:7">
      <c r="E561" s="658">
        <f ca="1">_xll.meDateFromTenor(E560,"1D","Following",$C$16)</f>
        <v>44019</v>
      </c>
      <c r="F561" s="659">
        <f ca="1"/>
        <v>3.4478532859079343E-3</v>
      </c>
      <c r="G561" s="656">
        <v>3.4824101359437003E-3</v>
      </c>
    </row>
    <row r="562" spans="5:7">
      <c r="E562" s="658">
        <f ca="1">_xll.meDateFromTenor(E561,"1D","Following",$C$16)</f>
        <v>44020</v>
      </c>
      <c r="F562" s="659">
        <f ca="1"/>
        <v>3.4601073072894079E-3</v>
      </c>
      <c r="G562" s="656">
        <v>3.4947516330747033E-3</v>
      </c>
    </row>
    <row r="563" spans="5:7">
      <c r="E563" s="658">
        <f ca="1">_xll.meDateFromTenor(E562,"1D","Following",$C$16)</f>
        <v>44021</v>
      </c>
      <c r="F563" s="659">
        <f ca="1"/>
        <v>3.4723644079702014E-3</v>
      </c>
      <c r="G563" s="656">
        <v>3.5317850895470381E-3</v>
      </c>
    </row>
    <row r="564" spans="5:7">
      <c r="E564" s="658">
        <f ca="1">_xll.meDateFromTenor(E563,"1D","Following",$C$16)</f>
        <v>44022</v>
      </c>
      <c r="F564" s="659">
        <f ca="1"/>
        <v>3.4846244727628731E-3</v>
      </c>
      <c r="G564" s="656">
        <v>3.5441321856266028E-3</v>
      </c>
    </row>
    <row r="565" spans="5:7">
      <c r="E565" s="658">
        <f ca="1">_xll.meDateFromTenor(E564,"1D","Following",$C$16)</f>
        <v>44025</v>
      </c>
      <c r="F565" s="659">
        <f ca="1"/>
        <v>3.5214212999377464E-3</v>
      </c>
      <c r="G565" s="656">
        <v>3.5564803981150608E-3</v>
      </c>
    </row>
    <row r="566" spans="5:7">
      <c r="E566" s="658">
        <f ca="1">_xll.meDateFromTenor(E565,"1D","Following",$C$16)</f>
        <v>44026</v>
      </c>
      <c r="F566" s="659">
        <f ca="1"/>
        <v>3.5336920693035158E-3</v>
      </c>
      <c r="G566" s="656">
        <v>3.5688296136811202E-3</v>
      </c>
    </row>
    <row r="567" spans="5:7">
      <c r="E567" s="658">
        <f ca="1">_xll.meDateFromTenor(E566,"1D","Following",$C$16)</f>
        <v>44027</v>
      </c>
      <c r="F567" s="659">
        <f ca="1"/>
        <v>3.5459652268439511E-3</v>
      </c>
      <c r="G567" s="656">
        <v>3.5811797189934822E-3</v>
      </c>
    </row>
    <row r="568" spans="5:7">
      <c r="E568" s="658">
        <f ca="1">_xll.meDateFromTenor(E567,"1D","Following",$C$16)</f>
        <v>44028</v>
      </c>
      <c r="F568" s="659">
        <f ca="1"/>
        <v>3.5582406573716153E-3</v>
      </c>
      <c r="G568" s="656">
        <v>3.6182342400954116E-3</v>
      </c>
    </row>
    <row r="569" spans="5:7">
      <c r="E569" s="658">
        <f ca="1">_xll.meDateFromTenor(E568,"1D","Following",$C$16)</f>
        <v>44029</v>
      </c>
      <c r="F569" s="659">
        <f ca="1"/>
        <v>3.5705182456990643E-3</v>
      </c>
      <c r="G569" s="656">
        <v>3.6305867710800109E-3</v>
      </c>
    </row>
    <row r="570" spans="5:7">
      <c r="E570" s="658">
        <f ca="1">_xll.meDateFromTenor(E569,"1D","Following",$C$16)</f>
        <v>44032</v>
      </c>
      <c r="F570" s="659">
        <f ca="1"/>
        <v>3.607362805605697E-3</v>
      </c>
      <c r="G570" s="656">
        <v>3.6429396251544312E-3</v>
      </c>
    </row>
    <row r="571" spans="5:7">
      <c r="E571" s="658">
        <f ca="1">_xll.meDateFromTenor(E570,"1D","Following",$C$16)</f>
        <v>44033</v>
      </c>
      <c r="F571" s="659">
        <f ca="1"/>
        <v>3.6196478732578616E-3</v>
      </c>
      <c r="G571" s="656">
        <v>3.6552926889873672E-3</v>
      </c>
    </row>
    <row r="572" spans="5:7">
      <c r="E572" s="658">
        <f ca="1">_xll.meDateFromTenor(E571,"1D","Following",$C$16)</f>
        <v>44034</v>
      </c>
      <c r="F572" s="659">
        <f ca="1"/>
        <v>3.631934522772605E-3</v>
      </c>
      <c r="G572" s="656">
        <v>3.667645849247528E-3</v>
      </c>
    </row>
    <row r="573" spans="5:7">
      <c r="E573" s="658">
        <f ca="1">_xll.meDateFromTenor(E572,"1D","Following",$C$16)</f>
        <v>44035</v>
      </c>
      <c r="F573" s="659">
        <f ca="1"/>
        <v>3.6442226389624762E-3</v>
      </c>
      <c r="G573" s="656">
        <v>3.7047047752783741E-3</v>
      </c>
    </row>
    <row r="574" spans="5:7">
      <c r="E574" s="658">
        <f ca="1">_xll.meDateFromTenor(E573,"1D","Following",$C$16)</f>
        <v>44036</v>
      </c>
      <c r="F574" s="659">
        <f ca="1"/>
        <v>3.6565121066400399E-3</v>
      </c>
      <c r="G574" s="656">
        <v>3.7170571879344542E-3</v>
      </c>
    </row>
    <row r="575" spans="5:7">
      <c r="E575" s="658">
        <f ca="1">_xll.meDateFromTenor(E574,"1D","Following",$C$16)</f>
        <v>44039</v>
      </c>
      <c r="F575" s="659">
        <f ca="1"/>
        <v>3.6933874667244506E-3</v>
      </c>
      <c r="G575" s="656">
        <v>3.7294091303612699E-3</v>
      </c>
    </row>
    <row r="576" spans="5:7">
      <c r="E576" s="658">
        <f ca="1">_xll.meDateFromTenor(E575,"1D","Following",$C$16)</f>
        <v>44040</v>
      </c>
      <c r="F576" s="659">
        <f ca="1"/>
        <v>3.7056811884783542E-3</v>
      </c>
      <c r="G576" s="656">
        <v>3.7417604892275298E-3</v>
      </c>
    </row>
    <row r="577" spans="5:7">
      <c r="E577" s="658">
        <f ca="1">_xll.meDateFromTenor(E576,"1D","Following",$C$16)</f>
        <v>44041</v>
      </c>
      <c r="F577" s="659">
        <f ca="1"/>
        <v>3.7179756857827367E-3</v>
      </c>
      <c r="G577" s="656">
        <v>3.7541111512019287E-3</v>
      </c>
    </row>
    <row r="578" spans="5:7">
      <c r="E578" s="658">
        <f ca="1">_xll.meDateFromTenor(E577,"1D","Following",$C$16)</f>
        <v>44042</v>
      </c>
      <c r="F578" s="659">
        <f ca="1"/>
        <v>3.7302708434501603E-3</v>
      </c>
      <c r="G578" s="656">
        <v>3.7911578224610132E-3</v>
      </c>
    </row>
    <row r="579" spans="5:7">
      <c r="E579" s="658">
        <f ca="1">_xll.meDateFromTenor(E578,"1D","Following",$C$16)</f>
        <v>44043</v>
      </c>
      <c r="F579" s="659">
        <f ca="1"/>
        <v>3.7425665462931757E-3</v>
      </c>
      <c r="G579" s="656">
        <v>3.8035045635550144E-3</v>
      </c>
    </row>
    <row r="580" spans="5:7">
      <c r="E580" s="658">
        <f ca="1">_xll.meDateFromTenor(E579,"1D","Following",$C$16)</f>
        <v>44046</v>
      </c>
      <c r="F580" s="659">
        <f ca="1"/>
        <v>3.7794557740013801E-3</v>
      </c>
      <c r="G580" s="656">
        <v>3.8158500411006723E-3</v>
      </c>
    </row>
    <row r="581" spans="5:7">
      <c r="E581" s="658">
        <f ca="1">_xll.meDateFromTenor(E580,"1D","Following",$C$16)</f>
        <v>44047</v>
      </c>
      <c r="F581" s="659">
        <f ca="1"/>
        <v>3.7917525056723601E-3</v>
      </c>
      <c r="G581" s="656">
        <v>3.8281941417666887E-3</v>
      </c>
    </row>
    <row r="582" spans="5:7">
      <c r="E582" s="658">
        <f ca="1">_xll.meDateFromTenor(E581,"1D","Following",$C$16)</f>
        <v>44048</v>
      </c>
      <c r="F582" s="659">
        <f ca="1"/>
        <v>3.804049206581726E-3</v>
      </c>
      <c r="G582" s="656">
        <v>3.8405367522217713E-3</v>
      </c>
    </row>
    <row r="583" spans="5:7">
      <c r="E583" s="658">
        <f ca="1">_xll.meDateFromTenor(E582,"1D","Following",$C$16)</f>
        <v>44049</v>
      </c>
      <c r="F583" s="659">
        <f ca="1"/>
        <v>3.8163457615420331E-3</v>
      </c>
      <c r="G583" s="656">
        <v>3.8775545090084197E-3</v>
      </c>
    </row>
    <row r="584" spans="5:7">
      <c r="E584" s="658">
        <f ca="1">_xll.meDateFromTenor(E583,"1D","Following",$C$16)</f>
        <v>44050</v>
      </c>
      <c r="F584" s="659">
        <f ca="1"/>
        <v>3.8286420553658453E-3</v>
      </c>
      <c r="G584" s="656">
        <v>3.8898900253067793E-3</v>
      </c>
    </row>
    <row r="585" spans="5:7">
      <c r="E585" s="658">
        <f ca="1">_xll.meDateFromTenor(E584,"1D","Following",$C$16)</f>
        <v>44053</v>
      </c>
      <c r="F585" s="659">
        <f ca="1"/>
        <v>3.8655282181438619E-3</v>
      </c>
      <c r="G585" s="656">
        <v>3.9022234847377181E-3</v>
      </c>
    </row>
    <row r="586" spans="5:7">
      <c r="E586" s="658">
        <f ca="1">_xll.meDateFromTenor(E585,"1D","Following",$C$16)</f>
        <v>44054</v>
      </c>
      <c r="F586" s="659">
        <f ca="1"/>
        <v>3.8778223155472549E-3</v>
      </c>
      <c r="G586" s="656">
        <v>3.9145547739699383E-3</v>
      </c>
    </row>
    <row r="587" spans="5:7">
      <c r="E587" s="658">
        <f ca="1">_xll.meDateFromTenor(E586,"1D","Following",$C$16)</f>
        <v>44055</v>
      </c>
      <c r="F587" s="659">
        <f ca="1"/>
        <v>3.890115575876942E-3</v>
      </c>
      <c r="G587" s="656">
        <v>3.9268837796721384E-3</v>
      </c>
    </row>
    <row r="588" spans="5:7">
      <c r="E588" s="658">
        <f ca="1">_xll.meDateFromTenor(E587,"1D","Following",$C$16)</f>
        <v>44056</v>
      </c>
      <c r="F588" s="659">
        <f ca="1"/>
        <v>3.9024078839454772E-3</v>
      </c>
      <c r="G588" s="656">
        <v>3.9638559622856709E-3</v>
      </c>
    </row>
    <row r="589" spans="5:7">
      <c r="E589" s="658">
        <f ca="1">_xll.meDateFromTenor(E588,"1D","Following",$C$16)</f>
        <v>44057</v>
      </c>
      <c r="F589" s="659">
        <f ca="1"/>
        <v>3.9146991245654177E-3</v>
      </c>
      <c r="G589" s="656">
        <v>3.9761747005548371E-3</v>
      </c>
    </row>
    <row r="590" spans="5:7">
      <c r="E590" s="658">
        <f ca="1">_xll.meDateFromTenor(E589,"1D","Following",$C$16)</f>
        <v>44060</v>
      </c>
      <c r="F590" s="659">
        <f ca="1"/>
        <v>3.9515652898592648E-3</v>
      </c>
      <c r="G590" s="656">
        <v>3.9884905886374963E-3</v>
      </c>
    </row>
    <row r="591" spans="5:7">
      <c r="E591" s="658">
        <f ca="1">_xll.meDateFromTenor(E590,"1D","Following",$C$16)</f>
        <v>44061</v>
      </c>
      <c r="F591" s="659">
        <f ca="1"/>
        <v>3.9638511088104147E-3</v>
      </c>
      <c r="G591" s="656">
        <v>4.000803513202358E-3</v>
      </c>
    </row>
    <row r="592" spans="5:7">
      <c r="E592" s="658">
        <f ca="1">_xll.meDateFromTenor(E591,"1D","Following",$C$16)</f>
        <v>44062</v>
      </c>
      <c r="F592" s="659">
        <f ca="1"/>
        <v>3.9761352843757595E-3</v>
      </c>
      <c r="G592" s="656">
        <v>4.0131133609181222E-3</v>
      </c>
    </row>
    <row r="593" spans="5:7">
      <c r="E593" s="658">
        <f ca="1">_xll.meDateFromTenor(E592,"1D","Following",$C$16)</f>
        <v>44063</v>
      </c>
      <c r="F593" s="659">
        <f ca="1"/>
        <v>3.9884177013678598E-3</v>
      </c>
      <c r="G593" s="656">
        <v>4.0500233096578643E-3</v>
      </c>
    </row>
    <row r="594" spans="5:7">
      <c r="E594" s="658">
        <f ca="1">_xll.meDateFromTenor(E593,"1D","Following",$C$16)</f>
        <v>44064</v>
      </c>
      <c r="F594" s="659">
        <f ca="1"/>
        <v>4.0006982445992727E-3</v>
      </c>
      <c r="G594" s="656">
        <v>4.0623197166642687E-3</v>
      </c>
    </row>
    <row r="595" spans="5:7">
      <c r="E595" s="658">
        <f ca="1">_xll.meDateFromTenor(E594,"1D","Following",$C$16)</f>
        <v>44067</v>
      </c>
      <c r="F595" s="659">
        <f ca="1"/>
        <v>4.0375274798549647E-3</v>
      </c>
      <c r="G595" s="656">
        <v>4.0746124801650943E-3</v>
      </c>
    </row>
    <row r="596" spans="5:7">
      <c r="E596" s="658">
        <f ca="1">_xll.meDateFromTenor(E595,"1D","Following",$C$16)</f>
        <v>44068</v>
      </c>
      <c r="F596" s="659">
        <f ca="1"/>
        <v>4.0497993761692058E-3</v>
      </c>
      <c r="G596" s="656">
        <v>4.0869014868290367E-3</v>
      </c>
    </row>
    <row r="597" spans="5:7">
      <c r="E597" s="658">
        <f ca="1">_xll.meDateFromTenor(E596,"1D","Following",$C$16)</f>
        <v>44069</v>
      </c>
      <c r="F597" s="659">
        <f ca="1"/>
        <v>4.0620688227855526E-3</v>
      </c>
      <c r="G597" s="656">
        <v>4.0991866233248053E-3</v>
      </c>
    </row>
    <row r="598" spans="5:7">
      <c r="E598" s="658">
        <f ca="1">_xll.meDateFromTenor(E597,"1D","Following",$C$16)</f>
        <v>44070</v>
      </c>
      <c r="F598" s="659">
        <f ca="1"/>
        <v>4.0743357045165563E-3</v>
      </c>
      <c r="G598" s="656">
        <v>4.1360176784900771E-3</v>
      </c>
    </row>
    <row r="599" spans="5:7">
      <c r="E599" s="658">
        <f ca="1">_xll.meDateFromTenor(E598,"1D","Following",$C$16)</f>
        <v>44071</v>
      </c>
      <c r="F599" s="659">
        <f ca="1"/>
        <v>4.0865999061747791E-3</v>
      </c>
      <c r="G599" s="656">
        <v>4.1482862010001672E-3</v>
      </c>
    </row>
    <row r="600" spans="5:7">
      <c r="E600" s="658">
        <f ca="1">_xll.meDateFromTenor(E599,"1D","Following",$C$16)</f>
        <v>44074</v>
      </c>
      <c r="F600" s="659">
        <f ca="1"/>
        <v>4.1233752788383347E-3</v>
      </c>
      <c r="G600" s="656">
        <v>4.1605502866855935E-3</v>
      </c>
    </row>
    <row r="601" spans="5:7">
      <c r="E601" s="658">
        <f ca="1">_xll.meDateFromTenor(E600,"1D","Following",$C$16)</f>
        <v>44075</v>
      </c>
      <c r="F601" s="659">
        <f ca="1"/>
        <v>4.1356276083310108E-3</v>
      </c>
      <c r="G601" s="656">
        <v>4.1728098222150647E-3</v>
      </c>
    </row>
    <row r="602" spans="5:7">
      <c r="E602" s="658">
        <f ca="1">_xll.meDateFromTenor(E601,"1D","Following",$C$16)</f>
        <v>44076</v>
      </c>
      <c r="F602" s="659">
        <f ca="1"/>
        <v>4.1478766818136906E-3</v>
      </c>
      <c r="G602" s="656">
        <v>4.1850646942572754E-3</v>
      </c>
    </row>
    <row r="603" spans="5:7">
      <c r="E603" s="658">
        <f ca="1">_xll.meDateFromTenor(E602,"1D","Following",$C$16)</f>
        <v>44077</v>
      </c>
      <c r="F603" s="659">
        <f ca="1"/>
        <v>4.1601223840989406E-3</v>
      </c>
      <c r="G603" s="656">
        <v>4.2218001961473999E-3</v>
      </c>
    </row>
    <row r="604" spans="5:7">
      <c r="E604" s="658">
        <f ca="1">_xll.meDateFromTenor(E603,"1D","Following",$C$16)</f>
        <v>44078</v>
      </c>
      <c r="F604" s="659">
        <f ca="1"/>
        <v>4.172364599999312E-3</v>
      </c>
      <c r="G604" s="656">
        <v>4.2340352809276159E-3</v>
      </c>
    </row>
    <row r="605" spans="5:7">
      <c r="E605" s="658">
        <f ca="1">_xll.meDateFromTenor(E604,"1D","Following",$C$16)</f>
        <v>44081</v>
      </c>
      <c r="F605" s="659">
        <f ca="1"/>
        <v>4.209069177516748E-3</v>
      </c>
      <c r="G605" s="656">
        <v>4.2462651355640885E-3</v>
      </c>
    </row>
    <row r="606" spans="5:7">
      <c r="E606" s="658">
        <f ca="1">_xll.meDateFromTenor(E605,"1D","Following",$C$16)</f>
        <v>44082</v>
      </c>
      <c r="F606" s="659">
        <f ca="1"/>
        <v>4.2212962960031944E-3</v>
      </c>
      <c r="G606" s="656">
        <v>4.2584896467255202E-3</v>
      </c>
    </row>
    <row r="607" spans="5:7">
      <c r="E607" s="658">
        <f ca="1">_xll.meDateFromTenor(E606,"1D","Following",$C$16)</f>
        <v>44083</v>
      </c>
      <c r="F607" s="659">
        <f ca="1"/>
        <v>4.2335193521675545E-3</v>
      </c>
      <c r="G607" s="656">
        <v>4.2707087010806196E-3</v>
      </c>
    </row>
    <row r="608" spans="5:7">
      <c r="E608" s="658">
        <f ca="1">_xll.meDateFromTenor(E607,"1D","Following",$C$16)</f>
        <v>44084</v>
      </c>
      <c r="F608" s="659">
        <f ca="1"/>
        <v>4.2457382308223835E-3</v>
      </c>
      <c r="G608" s="656">
        <v>4.3073319899949204E-3</v>
      </c>
    </row>
    <row r="609" spans="5:7">
      <c r="E609" s="658">
        <f ca="1">_xll.meDateFromTenor(E608,"1D","Following",$C$16)</f>
        <v>44085</v>
      </c>
      <c r="F609" s="659">
        <f ca="1"/>
        <v>4.2579528167802456E-3</v>
      </c>
      <c r="G609" s="656">
        <v>4.3195280838116993E-3</v>
      </c>
    </row>
    <row r="610" spans="5:7">
      <c r="E610" s="658">
        <f ca="1">_xll.meDateFromTenor(E609,"1D","Following",$C$16)</f>
        <v>44088</v>
      </c>
      <c r="F610" s="659">
        <f ca="1"/>
        <v>4.2945696665975799E-3</v>
      </c>
      <c r="G610" s="656">
        <v>4.3317181541656586E-3</v>
      </c>
    </row>
    <row r="611" spans="5:7">
      <c r="E611" s="658">
        <f ca="1">_xll.meDateFromTenor(E610,"1D","Following",$C$16)</f>
        <v>44089</v>
      </c>
      <c r="F611" s="659">
        <f ca="1"/>
        <v>4.3067659298931344E-3</v>
      </c>
      <c r="G611" s="656">
        <v>4.3439020877254989E-3</v>
      </c>
    </row>
    <row r="612" spans="5:7">
      <c r="E612" s="658">
        <f ca="1">_xll.meDateFromTenor(E611,"1D","Following",$C$16)</f>
        <v>44090</v>
      </c>
      <c r="F612" s="659">
        <f ca="1"/>
        <v>4.31895732455451E-3</v>
      </c>
      <c r="G612" s="656">
        <v>4.3560797711599203E-3</v>
      </c>
    </row>
    <row r="613" spans="5:7">
      <c r="E613" s="658">
        <f ca="1">_xll.meDateFromTenor(E612,"1D","Following",$C$16)</f>
        <v>44091</v>
      </c>
      <c r="F613" s="659">
        <f ca="1"/>
        <v>4.3311437353942628E-3</v>
      </c>
      <c r="G613" s="656">
        <v>4.3925741873977204E-3</v>
      </c>
    </row>
    <row r="614" spans="5:7">
      <c r="E614" s="658">
        <f ca="1">_xll.meDateFromTenor(E613,"1D","Following",$C$16)</f>
        <v>44092</v>
      </c>
      <c r="F614" s="659">
        <f ca="1"/>
        <v>4.3433250472249482E-3</v>
      </c>
      <c r="G614" s="656">
        <v>4.4047257370175095E-3</v>
      </c>
    </row>
    <row r="615" spans="5:7">
      <c r="E615" s="658">
        <f ca="1">_xll.meDateFromTenor(E614,"1D","Following",$C$16)</f>
        <v>44095</v>
      </c>
      <c r="F615" s="659">
        <f ca="1"/>
        <v>4.3798372367881994E-3</v>
      </c>
      <c r="G615" s="656">
        <v>4.4168704698553931E-3</v>
      </c>
    </row>
    <row r="616" spans="5:7">
      <c r="E616" s="658">
        <f ca="1">_xll.meDateFromTenor(E615,"1D","Following",$C$16)</f>
        <v>44096</v>
      </c>
      <c r="F616" s="659">
        <f ca="1"/>
        <v>4.391997000708206E-3</v>
      </c>
      <c r="G616" s="656">
        <v>4.4290082725800791E-3</v>
      </c>
    </row>
    <row r="617" spans="5:7">
      <c r="E617" s="658">
        <f ca="1">_xll.meDateFromTenor(E616,"1D","Following",$C$16)</f>
        <v>44097</v>
      </c>
      <c r="F617" s="659">
        <f ca="1"/>
        <v>4.4041510896819349E-3</v>
      </c>
      <c r="G617" s="656">
        <v>4.4411390318602698E-3</v>
      </c>
    </row>
    <row r="618" spans="5:7">
      <c r="E618" s="658">
        <f ca="1">_xll.meDateFromTenor(E617,"1D","Following",$C$16)</f>
        <v>44098</v>
      </c>
      <c r="F618" s="659">
        <f ca="1"/>
        <v>4.4162993885219484E-3</v>
      </c>
      <c r="G618" s="656">
        <v>4.477487915720892E-3</v>
      </c>
    </row>
    <row r="619" spans="5:7">
      <c r="E619" s="658">
        <f ca="1">_xll.meDateFromTenor(E618,"1D","Following",$C$16)</f>
        <v>44099</v>
      </c>
      <c r="F619" s="659">
        <f ca="1"/>
        <v>4.4284417820408019E-3</v>
      </c>
      <c r="G619" s="656">
        <v>4.4895893679101247E-3</v>
      </c>
    </row>
    <row r="620" spans="5:7">
      <c r="E620" s="658">
        <f ca="1">_xll.meDateFromTenor(E619,"1D","Following",$C$16)</f>
        <v>44102</v>
      </c>
      <c r="F620" s="659">
        <f ca="1"/>
        <v>4.4648323787959835E-3</v>
      </c>
      <c r="G620" s="656">
        <v>4.50168320999838E-3</v>
      </c>
    </row>
    <row r="621" spans="5:7">
      <c r="E621" s="658">
        <f ca="1">_xll.meDateFromTenor(E620,"1D","Following",$C$16)</f>
        <v>44103</v>
      </c>
      <c r="F621" s="659">
        <f ca="1"/>
        <v>4.4769499991557755E-3</v>
      </c>
      <c r="G621" s="656">
        <v>4.5137693286543519E-3</v>
      </c>
    </row>
    <row r="622" spans="5:7">
      <c r="E622" s="658">
        <f ca="1">_xll.meDateFromTenor(E621,"1D","Following",$C$16)</f>
        <v>44104</v>
      </c>
      <c r="F622" s="659">
        <f ca="1"/>
        <v>4.4890611382572025E-3</v>
      </c>
      <c r="G622" s="656">
        <v>4.5258476105467507E-3</v>
      </c>
    </row>
    <row r="623" spans="5:7">
      <c r="E623" s="658">
        <f ca="1">_xll.meDateFromTenor(E622,"1D","Following",$C$16)</f>
        <v>44105</v>
      </c>
      <c r="F623" s="659">
        <f ca="1"/>
        <v>4.5011656809128145E-3</v>
      </c>
      <c r="G623" s="656">
        <v>4.5620343023295169E-3</v>
      </c>
    </row>
    <row r="624" spans="5:7">
      <c r="E624" s="658">
        <f ca="1">_xll.meDateFromTenor(E623,"1D","Following",$C$16)</f>
        <v>44106</v>
      </c>
      <c r="F624" s="659">
        <f ca="1"/>
        <v>4.5132635119351731E-3</v>
      </c>
      <c r="G624" s="656">
        <v>4.5740801038546396E-3</v>
      </c>
    </row>
    <row r="625" spans="5:7">
      <c r="E625" s="658">
        <f ca="1">_xll.meDateFromTenor(E624,"1D","Following",$C$16)</f>
        <v>44109</v>
      </c>
      <c r="F625" s="659">
        <f ca="1"/>
        <v>4.5495155833283028E-3</v>
      </c>
      <c r="G625" s="656">
        <v>4.5861175019596993E-3</v>
      </c>
    </row>
    <row r="626" spans="5:7">
      <c r="E626" s="658">
        <f ca="1">_xll.meDateFromTenor(E625,"1D","Following",$C$16)</f>
        <v>44110</v>
      </c>
      <c r="F626" s="659">
        <f ca="1"/>
        <v>4.5615854159432251E-3</v>
      </c>
      <c r="G626" s="656">
        <v>4.5981463833134053E-3</v>
      </c>
    </row>
    <row r="627" spans="5:7">
      <c r="E627" s="658">
        <f ca="1">_xll.meDateFromTenor(E626,"1D","Following",$C$16)</f>
        <v>44111</v>
      </c>
      <c r="F627" s="659">
        <f ca="1"/>
        <v>4.5736479609876819E-3</v>
      </c>
      <c r="G627" s="656">
        <v>4.6101666345844507E-3</v>
      </c>
    </row>
    <row r="628" spans="5:7">
      <c r="E628" s="658">
        <f ca="1">_xll.meDateFromTenor(E627,"1D","Following",$C$16)</f>
        <v>44112</v>
      </c>
      <c r="F628" s="659">
        <f ca="1"/>
        <v>4.5857031032742347E-3</v>
      </c>
      <c r="G628" s="656">
        <v>4.6461744745886838E-3</v>
      </c>
    </row>
    <row r="629" spans="5:7">
      <c r="E629" s="658">
        <f ca="1">_xll.meDateFromTenor(E628,"1D","Following",$C$16)</f>
        <v>44113</v>
      </c>
      <c r="F629" s="659">
        <f ca="1"/>
        <v>4.5977507276154369E-3</v>
      </c>
      <c r="G629" s="656">
        <v>4.6581590722161352E-3</v>
      </c>
    </row>
    <row r="630" spans="5:7">
      <c r="E630" s="658">
        <f ca="1">_xll.meDateFromTenor(E629,"1D","Following",$C$16)</f>
        <v>44116</v>
      </c>
      <c r="F630" s="659">
        <f ca="1"/>
        <v>4.6338473410925335E-3</v>
      </c>
      <c r="G630" s="656">
        <v>4.6701344731044465E-3</v>
      </c>
    </row>
    <row r="631" spans="5:7">
      <c r="E631" s="658">
        <f ca="1">_xll.meDateFromTenor(E630,"1D","Following",$C$16)</f>
        <v>44117</v>
      </c>
      <c r="F631" s="659">
        <f ca="1"/>
        <v>4.6458637417779221E-3</v>
      </c>
      <c r="G631" s="656">
        <v>4.6821005639223175E-3</v>
      </c>
    </row>
    <row r="632" spans="5:7">
      <c r="E632" s="658">
        <f ca="1">_xll.meDateFromTenor(E631,"1D","Following",$C$16)</f>
        <v>44118</v>
      </c>
      <c r="F632" s="659">
        <f ca="1"/>
        <v>4.6578720485807518E-3</v>
      </c>
      <c r="G632" s="656">
        <v>4.6940572313384559E-3</v>
      </c>
    </row>
    <row r="633" spans="5:7">
      <c r="E633" s="658">
        <f ca="1">_xll.meDateFromTenor(E632,"1D","Following",$C$16)</f>
        <v>44119</v>
      </c>
      <c r="F633" s="659">
        <f ca="1"/>
        <v>4.6698721463135804E-3</v>
      </c>
      <c r="G633" s="656">
        <v>4.7298695598634796E-3</v>
      </c>
    </row>
    <row r="634" spans="5:7">
      <c r="E634" s="658">
        <f ca="1">_xll.meDateFromTenor(E633,"1D","Following",$C$16)</f>
        <v>44120</v>
      </c>
      <c r="F634" s="659">
        <f ca="1"/>
        <v>4.6818639197889686E-3</v>
      </c>
      <c r="G634" s="656">
        <v>4.7417874003597002E-3</v>
      </c>
    </row>
    <row r="635" spans="5:7">
      <c r="E635" s="658">
        <f ca="1">_xll.meDateFromTenor(E634,"1D","Following",$C$16)</f>
        <v>44123</v>
      </c>
      <c r="F635" s="659">
        <f ca="1"/>
        <v>4.717788142796049E-3</v>
      </c>
      <c r="G635" s="656">
        <v>4.7536952507977025E-3</v>
      </c>
    </row>
    <row r="636" spans="5:7">
      <c r="E636" s="658">
        <f ca="1">_xll.meDateFromTenor(E635,"1D","Following",$C$16)</f>
        <v>44124</v>
      </c>
      <c r="F636" s="659">
        <f ca="1"/>
        <v>4.7297454673672409E-3</v>
      </c>
      <c r="G636" s="656">
        <v>4.7655929978461849E-3</v>
      </c>
    </row>
    <row r="637" spans="5:7">
      <c r="E637" s="658">
        <f ca="1">_xll.meDateFromTenor(E636,"1D","Following",$C$16)</f>
        <v>44125</v>
      </c>
      <c r="F637" s="659">
        <f ca="1"/>
        <v>4.7416938917437829E-3</v>
      </c>
      <c r="G637" s="656">
        <v>4.7774805281738508E-3</v>
      </c>
    </row>
    <row r="638" spans="5:7">
      <c r="E638" s="658">
        <f ca="1">_xll.meDateFromTenor(E637,"1D","Following",$C$16)</f>
        <v>44126</v>
      </c>
      <c r="F638" s="659">
        <f ca="1"/>
        <v>4.7536333007382296E-3</v>
      </c>
      <c r="G638" s="656">
        <v>4.8130806855189862E-3</v>
      </c>
    </row>
    <row r="639" spans="5:7">
      <c r="E639" s="658">
        <f ca="1">_xll.meDateFromTenor(E638,"1D","Following",$C$16)</f>
        <v>44127</v>
      </c>
      <c r="F639" s="659">
        <f ca="1"/>
        <v>4.7655635791631363E-3</v>
      </c>
      <c r="G639" s="656">
        <v>4.8249262156504231E-3</v>
      </c>
    </row>
    <row r="640" spans="5:7">
      <c r="E640" s="658">
        <f ca="1">_xll.meDateFromTenor(E639,"1D","Following",$C$16)</f>
        <v>44130</v>
      </c>
      <c r="F640" s="659">
        <f ca="1"/>
        <v>4.8012984791462191E-3</v>
      </c>
      <c r="G640" s="656">
        <v>4.8367609624045535E-3</v>
      </c>
    </row>
    <row r="641" spans="5:7">
      <c r="E641" s="658">
        <f ca="1">_xll.meDateFromTenor(E640,"1D","Following",$C$16)</f>
        <v>44131</v>
      </c>
      <c r="F641" s="659">
        <f ca="1"/>
        <v>4.813191083418559E-3</v>
      </c>
      <c r="G641" s="656">
        <v>4.8485848124500876E-3</v>
      </c>
    </row>
    <row r="642" spans="5:7">
      <c r="E642" s="658">
        <f ca="1">_xll.meDateFromTenor(E641,"1D","Following",$C$16)</f>
        <v>44132</v>
      </c>
      <c r="F642" s="659">
        <f ca="1"/>
        <v>4.8250739811841487E-3</v>
      </c>
      <c r="G642" s="656">
        <v>4.8603976524557273E-3</v>
      </c>
    </row>
    <row r="643" spans="5:7">
      <c r="E643" s="658">
        <f ca="1">_xll.meDateFromTenor(E642,"1D","Following",$C$16)</f>
        <v>44133</v>
      </c>
      <c r="F643" s="659">
        <f ca="1"/>
        <v>4.8369470572555504E-3</v>
      </c>
      <c r="G643" s="656">
        <v>4.8957689789202972E-3</v>
      </c>
    </row>
    <row r="644" spans="5:7">
      <c r="E644" s="658">
        <f ca="1">_xll.meDateFromTenor(E643,"1D","Following",$C$16)</f>
        <v>44134</v>
      </c>
      <c r="F644" s="659">
        <f ca="1"/>
        <v>4.8488101964453212E-3</v>
      </c>
      <c r="G644" s="656">
        <v>4.9075366454533823E-3</v>
      </c>
    </row>
    <row r="645" spans="5:7">
      <c r="E645" s="658">
        <f ca="1">_xll.meDateFromTenor(E644,"1D","Following",$C$16)</f>
        <v>44137</v>
      </c>
      <c r="F645" s="659">
        <f ca="1"/>
        <v>4.8843388408504199E-3</v>
      </c>
      <c r="G645" s="656">
        <v>4.9192927352900888E-3</v>
      </c>
    </row>
    <row r="646" spans="5:7">
      <c r="E646" s="658">
        <f ca="1">_xll.meDateFromTenor(E645,"1D","Following",$C$16)</f>
        <v>44138</v>
      </c>
      <c r="F646" s="659">
        <f ca="1"/>
        <v>4.8961610806392431E-3</v>
      </c>
      <c r="G646" s="656">
        <v>4.9310371350991134E-3</v>
      </c>
    </row>
    <row r="647" spans="5:7">
      <c r="E647" s="658">
        <f ca="1">_xll.meDateFromTenor(E646,"1D","Following",$C$16)</f>
        <v>44139</v>
      </c>
      <c r="F647" s="659">
        <f ca="1"/>
        <v>4.9079728076092234E-3</v>
      </c>
      <c r="G647" s="656">
        <v>4.9427697315491664E-3</v>
      </c>
    </row>
    <row r="648" spans="5:7">
      <c r="E648" s="658">
        <f ca="1">_xll.meDateFromTenor(E647,"1D","Following",$C$16)</f>
        <v>44140</v>
      </c>
      <c r="F648" s="659">
        <f ca="1"/>
        <v>4.9197739065729197E-3</v>
      </c>
      <c r="G648" s="656">
        <v>4.9778955674324955E-3</v>
      </c>
    </row>
    <row r="649" spans="5:7">
      <c r="E649" s="658">
        <f ca="1">_xll.meDateFromTenor(E648,"1D","Following",$C$16)</f>
        <v>44141</v>
      </c>
      <c r="F649" s="659">
        <f ca="1"/>
        <v>4.9315642623428899E-3</v>
      </c>
      <c r="G649" s="656">
        <v>4.9895798171336742E-3</v>
      </c>
    </row>
    <row r="650" spans="5:7">
      <c r="E650" s="658">
        <f ca="1">_xll.meDateFromTenor(E649,"1D","Following",$C$16)</f>
        <v>44144</v>
      </c>
      <c r="F650" s="659">
        <f ca="1"/>
        <v>4.966869718616024E-3</v>
      </c>
      <c r="G650" s="656">
        <v>5.0012517174665887E-3</v>
      </c>
    </row>
    <row r="651" spans="5:7">
      <c r="E651" s="658">
        <f ca="1">_xll.meDateFromTenor(E650,"1D","Following",$C$16)</f>
        <v>44145</v>
      </c>
      <c r="F651" s="659">
        <f ca="1"/>
        <v>4.9786159696867524E-3</v>
      </c>
      <c r="G651" s="656">
        <v>5.0129112583359465E-3</v>
      </c>
    </row>
    <row r="652" spans="5:7">
      <c r="E652" s="658">
        <f ca="1">_xll.meDateFromTenor(E651,"1D","Following",$C$16)</f>
        <v>44146</v>
      </c>
      <c r="F652" s="659">
        <f ca="1"/>
        <v>4.990351021327037E-3</v>
      </c>
      <c r="G652" s="656">
        <v>5.0245584502936333E-3</v>
      </c>
    </row>
    <row r="653" spans="5:7">
      <c r="E653" s="658">
        <f ca="1">_xll.meDateFromTenor(E652,"1D","Following",$C$16)</f>
        <v>44147</v>
      </c>
      <c r="F653" s="659">
        <f ca="1"/>
        <v>5.002074878049937E-3</v>
      </c>
      <c r="G653" s="656">
        <v>5.0594260382156933E-3</v>
      </c>
    </row>
    <row r="654" spans="5:7">
      <c r="E654" s="658">
        <f ca="1">_xll.meDateFromTenor(E653,"1D","Following",$C$16)</f>
        <v>44148</v>
      </c>
      <c r="F654" s="659">
        <f ca="1"/>
        <v>5.0137875443684978E-3</v>
      </c>
      <c r="G654" s="656">
        <v>5.0710239400457028E-3</v>
      </c>
    </row>
    <row r="655" spans="5:7">
      <c r="E655" s="658">
        <f ca="1">_xll.meDateFromTenor(E654,"1D","Following",$C$16)</f>
        <v>44151</v>
      </c>
      <c r="F655" s="659">
        <f ca="1"/>
        <v>5.0488584460286938E-3</v>
      </c>
      <c r="G655" s="656">
        <v>5.0826095457235394E-3</v>
      </c>
    </row>
    <row r="656" spans="5:7">
      <c r="E656" s="658">
        <f ca="1">_xll.meDateFromTenor(E655,"1D","Following",$C$16)</f>
        <v>44152</v>
      </c>
      <c r="F656" s="659">
        <f ca="1"/>
        <v>5.0605263958604409E-3</v>
      </c>
      <c r="G656" s="656">
        <v>5.0941828658010984E-3</v>
      </c>
    </row>
    <row r="657" spans="5:7">
      <c r="E657" s="658">
        <f ca="1">_xll.meDateFromTenor(E656,"1D","Following",$C$16)</f>
        <v>44153</v>
      </c>
      <c r="F657" s="659">
        <f ca="1"/>
        <v>5.0721831778531151E-3</v>
      </c>
      <c r="G657" s="656">
        <v>5.1057439108302812E-3</v>
      </c>
    </row>
    <row r="658" spans="5:7">
      <c r="E658" s="658">
        <f ca="1">_xll.meDateFromTenor(E657,"1D","Following",$C$16)</f>
        <v>44154</v>
      </c>
      <c r="F658" s="659">
        <f ca="1"/>
        <v>5.083828796519768E-3</v>
      </c>
      <c r="G658" s="656">
        <v>5.1403535011465351E-3</v>
      </c>
    </row>
    <row r="659" spans="5:7">
      <c r="E659" s="658">
        <f ca="1">_xll.meDateFromTenor(E658,"1D","Following",$C$16)</f>
        <v>44155</v>
      </c>
      <c r="F659" s="659">
        <f ca="1"/>
        <v>5.0954632563734578E-3</v>
      </c>
      <c r="G659" s="656">
        <v>5.1518655515011818E-3</v>
      </c>
    </row>
    <row r="660" spans="5:7">
      <c r="E660" s="658">
        <f ca="1">_xll.meDateFromTenor(E659,"1D","Following",$C$16)</f>
        <v>44158</v>
      </c>
      <c r="F660" s="659">
        <f ca="1"/>
        <v>5.1302997281872523E-3</v>
      </c>
      <c r="G660" s="656">
        <v>5.1633653795669443E-3</v>
      </c>
    </row>
    <row r="661" spans="5:7">
      <c r="E661" s="658">
        <f ca="1">_xll.meDateFromTenor(E660,"1D","Following",$C$16)</f>
        <v>44159</v>
      </c>
      <c r="F661" s="659">
        <f ca="1"/>
        <v>5.141889597919602E-3</v>
      </c>
      <c r="G661" s="656">
        <v>5.1748529958957137E-3</v>
      </c>
    </row>
    <row r="662" spans="5:7">
      <c r="E662" s="658">
        <f ca="1">_xll.meDateFromTenor(E661,"1D","Following",$C$16)</f>
        <v>44160</v>
      </c>
      <c r="F662" s="659">
        <f ca="1"/>
        <v>5.15346833140425E-3</v>
      </c>
      <c r="G662" s="656">
        <v>5.1863284110393914E-3</v>
      </c>
    </row>
    <row r="663" spans="5:7">
      <c r="E663" s="658">
        <f ca="1">_xll.meDateFromTenor(E662,"1D","Following",$C$16)</f>
        <v>44161</v>
      </c>
      <c r="F663" s="659">
        <f ca="1"/>
        <v>5.1650359331542484E-3</v>
      </c>
      <c r="G663" s="656">
        <v>5.2206815548788551E-3</v>
      </c>
    </row>
    <row r="664" spans="5:7">
      <c r="E664" s="658">
        <f ca="1">_xll.meDateFromTenor(E663,"1D","Following",$C$16)</f>
        <v>44162</v>
      </c>
      <c r="F664" s="659">
        <f ca="1"/>
        <v>5.1765924076826496E-3</v>
      </c>
      <c r="G664" s="656">
        <v>5.2321082708011481E-3</v>
      </c>
    </row>
    <row r="665" spans="5:7">
      <c r="E665" s="658">
        <f ca="1">_xll.meDateFromTenor(E664,"1D","Following",$C$16)</f>
        <v>44165</v>
      </c>
      <c r="F665" s="659">
        <f ca="1"/>
        <v>5.2111951130688026E-3</v>
      </c>
      <c r="G665" s="656">
        <v>5.243522838297837E-3</v>
      </c>
    </row>
    <row r="666" spans="5:7">
      <c r="E666" s="658">
        <f ca="1">_xll.meDateFromTenor(E665,"1D","Following",$C$16)</f>
        <v>44166</v>
      </c>
      <c r="F666" s="659">
        <f ca="1"/>
        <v>5.2227071238413452E-3</v>
      </c>
      <c r="G666" s="656">
        <v>5.2549252679208224E-3</v>
      </c>
    </row>
    <row r="667" spans="5:7">
      <c r="E667" s="658">
        <f ca="1">_xll.meDateFromTenor(E666,"1D","Following",$C$16)</f>
        <v>44167</v>
      </c>
      <c r="F667" s="659">
        <f ca="1"/>
        <v>5.2342080299575535E-3</v>
      </c>
      <c r="G667" s="656">
        <v>5.2663155702220047E-3</v>
      </c>
    </row>
    <row r="668" spans="5:7">
      <c r="E668" s="658">
        <f ca="1">_xll.meDateFromTenor(E667,"1D","Following",$C$16)</f>
        <v>44168</v>
      </c>
      <c r="F668" s="659">
        <f ca="1"/>
        <v>5.2456978359304825E-3</v>
      </c>
      <c r="G668" s="656">
        <v>5.3004138187136935E-3</v>
      </c>
    </row>
    <row r="669" spans="5:7">
      <c r="E669" s="658">
        <f ca="1">_xll.meDateFromTenor(E668,"1D","Following",$C$16)</f>
        <v>44169</v>
      </c>
      <c r="F669" s="659">
        <f ca="1"/>
        <v>5.2571765462731852E-3</v>
      </c>
      <c r="G669" s="656">
        <v>5.3117557172466297E-3</v>
      </c>
    </row>
    <row r="670" spans="5:7">
      <c r="E670" s="658">
        <f ca="1">_xll.meDateFromTenor(E669,"1D","Following",$C$16)</f>
        <v>44172</v>
      </c>
      <c r="F670" s="659">
        <f ca="1"/>
        <v>5.2915461486504568E-3</v>
      </c>
      <c r="G670" s="656">
        <v>5.3230855412172559E-3</v>
      </c>
    </row>
    <row r="671" spans="5:7">
      <c r="E671" s="658">
        <f ca="1">_xll.meDateFromTenor(E670,"1D","Following",$C$16)</f>
        <v>44173</v>
      </c>
      <c r="F671" s="659">
        <f ca="1"/>
        <v>5.3029805216027771E-3</v>
      </c>
      <c r="G671" s="656">
        <v>5.334403301177462E-3</v>
      </c>
    </row>
    <row r="672" spans="5:7">
      <c r="E672" s="658">
        <f ca="1">_xll.meDateFromTenor(E671,"1D","Following",$C$16)</f>
        <v>44174</v>
      </c>
      <c r="F672" s="659">
        <f ca="1"/>
        <v>5.314403821490136E-3</v>
      </c>
      <c r="G672" s="656">
        <v>5.3457090076791504E-3</v>
      </c>
    </row>
    <row r="673" spans="5:7">
      <c r="E673" s="658">
        <f ca="1">_xll.meDateFromTenor(E672,"1D","Following",$C$16)</f>
        <v>44175</v>
      </c>
      <c r="F673" s="659">
        <f ca="1"/>
        <v>5.3258160528255804E-3</v>
      </c>
      <c r="G673" s="656">
        <v>5.3795539119520785E-3</v>
      </c>
    </row>
    <row r="674" spans="5:7">
      <c r="E674" s="658">
        <f ca="1">_xll.meDateFromTenor(E673,"1D","Following",$C$16)</f>
        <v>44176</v>
      </c>
      <c r="F674" s="659">
        <f ca="1"/>
        <v>5.3372172201221714E-3</v>
      </c>
      <c r="G674" s="656">
        <v>5.3908115101386715E-3</v>
      </c>
    </row>
    <row r="675" spans="5:7">
      <c r="E675" s="658">
        <f ca="1">_xll.meDateFromTenor(E674,"1D","Following",$C$16)</f>
        <v>44179</v>
      </c>
      <c r="F675" s="659">
        <f ca="1"/>
        <v>5.3713543829093215E-3</v>
      </c>
      <c r="G675" s="656">
        <v>5.4020571076262335E-3</v>
      </c>
    </row>
    <row r="676" spans="5:7">
      <c r="E676" s="658">
        <f ca="1">_xll.meDateFromTenor(E675,"1D","Following",$C$16)</f>
        <v>44180</v>
      </c>
      <c r="F676" s="659">
        <f ca="1"/>
        <v>5.3827113391810089E-3</v>
      </c>
      <c r="G676" s="656">
        <v>5.4132907149666686E-3</v>
      </c>
    </row>
    <row r="677" spans="5:7">
      <c r="E677" s="658">
        <f ca="1">_xll.meDateFromTenor(E676,"1D","Following",$C$16)</f>
        <v>44181</v>
      </c>
      <c r="F677" s="659">
        <f ca="1"/>
        <v>5.3940572539790997E-3</v>
      </c>
      <c r="G677" s="656">
        <v>5.4245123427118661E-3</v>
      </c>
    </row>
    <row r="678" spans="5:7">
      <c r="E678" s="658">
        <f ca="1">_xll.meDateFromTenor(E677,"1D","Following",$C$16)</f>
        <v>44182</v>
      </c>
      <c r="F678" s="659">
        <f ca="1"/>
        <v>5.4053921318166541E-3</v>
      </c>
      <c r="G678" s="656">
        <v>5.4581054538950504E-3</v>
      </c>
    </row>
    <row r="679" spans="5:7">
      <c r="E679" s="658">
        <f ca="1">_xll.meDateFromTenor(E678,"1D","Following",$C$16)</f>
        <v>44183</v>
      </c>
      <c r="F679" s="659">
        <f ca="1"/>
        <v>5.4167159772067174E-3</v>
      </c>
      <c r="G679" s="656">
        <v>5.4692792687783005E-3</v>
      </c>
    </row>
    <row r="680" spans="5:7">
      <c r="E680" s="658">
        <f ca="1">_xll.meDateFromTenor(E679,"1D","Following",$C$16)</f>
        <v>44186</v>
      </c>
      <c r="F680" s="659">
        <f ca="1"/>
        <v>5.4506213638225061E-3</v>
      </c>
      <c r="G680" s="656">
        <v>5.4804411568258092E-3</v>
      </c>
    </row>
    <row r="681" spans="5:7">
      <c r="E681" s="658">
        <f ca="1">_xll.meDateFromTenor(E680,"1D","Following",$C$16)</f>
        <v>44187</v>
      </c>
      <c r="F681" s="659">
        <f ca="1"/>
        <v>5.4619011245531472E-3</v>
      </c>
      <c r="G681" s="656">
        <v>5.4915911285894712E-3</v>
      </c>
    </row>
    <row r="682" spans="5:7">
      <c r="E682" s="658">
        <f ca="1">_xll.meDateFromTenor(E681,"1D","Following",$C$16)</f>
        <v>44188</v>
      </c>
      <c r="F682" s="659">
        <f ca="1"/>
        <v>5.473169875401562E-3</v>
      </c>
      <c r="G682" s="656">
        <v>5.5027291946211903E-3</v>
      </c>
    </row>
    <row r="683" spans="5:7">
      <c r="E683" s="658">
        <f ca="1">_xll.meDateFromTenor(E682,"1D","Following",$C$16)</f>
        <v>44189</v>
      </c>
      <c r="F683" s="659">
        <f ca="1"/>
        <v>5.4844276208808052E-3</v>
      </c>
      <c r="G683" s="656">
        <v>5.5360720638436452E-3</v>
      </c>
    </row>
    <row r="684" spans="5:7">
      <c r="E684" s="658">
        <f ca="1">_xll.meDateFromTenor(E683,"1D","Following",$C$16)</f>
        <v>44193</v>
      </c>
      <c r="F684" s="659">
        <f ca="1"/>
        <v>5.5293486393671243E-3</v>
      </c>
      <c r="G684" s="656">
        <v>5.5471626124665562E-3</v>
      </c>
    </row>
    <row r="685" spans="5:7">
      <c r="E685" s="658">
        <f ca="1">_xll.meDateFromTenor(E684,"1D","Following",$C$16)</f>
        <v>44194</v>
      </c>
      <c r="F685" s="659">
        <f ca="1"/>
        <v>5.5405514256963023E-3</v>
      </c>
      <c r="G685" s="656">
        <v>5.5582413081170139E-3</v>
      </c>
    </row>
    <row r="686" spans="5:7">
      <c r="E686" s="658">
        <f ca="1">_xll.meDateFromTenor(E685,"1D","Following",$C$16)</f>
        <v>44195</v>
      </c>
      <c r="F686" s="659">
        <f ca="1"/>
        <v>5.5517432337346267E-3</v>
      </c>
      <c r="G686" s="656">
        <v>5.5693081613469135E-3</v>
      </c>
    </row>
    <row r="687" spans="5:7">
      <c r="E687" s="658">
        <f ca="1">_xll.meDateFromTenor(E686,"1D","Following",$C$16)</f>
        <v>44196</v>
      </c>
      <c r="F687" s="659">
        <f ca="1"/>
        <v>5.5629240679951498E-3</v>
      </c>
      <c r="G687" s="656">
        <v>5.6134573610988909E-3</v>
      </c>
    </row>
    <row r="688" spans="5:7">
      <c r="E688" s="658">
        <f ca="1">_xll.meDateFromTenor(E687,"1D","Following",$C$16)</f>
        <v>44200</v>
      </c>
      <c r="F688" s="659">
        <f ca="1"/>
        <v>5.6076597459905776E-3</v>
      </c>
      <c r="G688" s="656">
        <v>5.6244651605044738E-3</v>
      </c>
    </row>
    <row r="689" spans="5:7">
      <c r="E689" s="658">
        <f ca="1">_xll.meDateFromTenor(E688,"1D","Following",$C$16)</f>
        <v>44201</v>
      </c>
      <c r="F689" s="659">
        <f ca="1"/>
        <v>5.6188161259846815E-3</v>
      </c>
      <c r="G689" s="656">
        <v>5.6354611808008843E-3</v>
      </c>
    </row>
    <row r="690" spans="5:7">
      <c r="E690" s="658">
        <f ca="1">_xll.meDateFromTenor(E689,"1D","Following",$C$16)</f>
        <v>44202</v>
      </c>
      <c r="F690" s="659">
        <f ca="1"/>
        <v>5.6299614992773792E-3</v>
      </c>
      <c r="G690" s="656">
        <v>5.6464454325400246E-3</v>
      </c>
    </row>
    <row r="691" spans="5:7">
      <c r="E691" s="658">
        <f ca="1">_xll.meDateFromTenor(E690,"1D","Following",$C$16)</f>
        <v>44203</v>
      </c>
      <c r="F691" s="659">
        <f ca="1"/>
        <v>5.6410958704189206E-3</v>
      </c>
      <c r="G691" s="656">
        <v>5.6903847606788235E-3</v>
      </c>
    </row>
    <row r="692" spans="5:7">
      <c r="E692" s="658">
        <f ca="1">_xll.meDateFromTenor(E691,"1D","Following",$C$16)</f>
        <v>44204</v>
      </c>
      <c r="F692" s="659">
        <f ca="1"/>
        <v>5.6522192439595531E-3</v>
      </c>
      <c r="G692" s="656">
        <v>5.7013401162023603E-3</v>
      </c>
    </row>
    <row r="693" spans="5:7">
      <c r="E693" s="658">
        <f ca="1">_xll.meDateFromTenor(E692,"1D","Following",$C$16)</f>
        <v>44207</v>
      </c>
      <c r="F693" s="659">
        <f ca="1"/>
        <v>5.6855234244784798E-3</v>
      </c>
      <c r="G693" s="656">
        <v>5.7122837023991591E-3</v>
      </c>
    </row>
    <row r="694" spans="5:7">
      <c r="E694" s="658">
        <f ca="1">_xll.meDateFromTenor(E693,"1D","Following",$C$16)</f>
        <v>44208</v>
      </c>
      <c r="F694" s="659">
        <f ca="1"/>
        <v>5.696602853117955E-3</v>
      </c>
      <c r="G694" s="656">
        <v>5.7232155299080838E-3</v>
      </c>
    </row>
    <row r="695" spans="5:7">
      <c r="E695" s="658">
        <f ca="1">_xll.meDateFromTenor(E694,"1D","Following",$C$16)</f>
        <v>44209</v>
      </c>
      <c r="F695" s="659">
        <f ca="1"/>
        <v>5.7076713069077641E-3</v>
      </c>
      <c r="G695" s="656">
        <v>5.7341356093679975E-3</v>
      </c>
    </row>
    <row r="696" spans="5:7">
      <c r="E696" s="658">
        <f ca="1">_xll.meDateFromTenor(E695,"1D","Following",$C$16)</f>
        <v>44210</v>
      </c>
      <c r="F696" s="659">
        <f ca="1"/>
        <v>5.7187287903981542E-3</v>
      </c>
      <c r="G696" s="656">
        <v>5.7668254658423202E-3</v>
      </c>
    </row>
    <row r="697" spans="5:7">
      <c r="E697" s="658">
        <f ca="1">_xll.meDateFromTenor(E696,"1D","Following",$C$16)</f>
        <v>44211</v>
      </c>
      <c r="F697" s="659">
        <f ca="1"/>
        <v>5.7297753081393694E-3</v>
      </c>
      <c r="G697" s="656">
        <v>5.7776986594948324E-3</v>
      </c>
    </row>
    <row r="698" spans="5:7">
      <c r="E698" s="658">
        <f ca="1">_xll.meDateFromTenor(E697,"1D","Following",$C$16)</f>
        <v>44214</v>
      </c>
      <c r="F698" s="659">
        <f ca="1"/>
        <v>5.7628491123704667E-3</v>
      </c>
      <c r="G698" s="656">
        <v>5.7885601582926549E-3</v>
      </c>
    </row>
    <row r="699" spans="5:7">
      <c r="E699" s="658">
        <f ca="1">_xll.meDateFromTenor(E698,"1D","Following",$C$16)</f>
        <v>44215</v>
      </c>
      <c r="F699" s="659">
        <f ca="1"/>
        <v>5.7738518126174759E-3</v>
      </c>
      <c r="G699" s="656">
        <v>5.7994099728746491E-3</v>
      </c>
    </row>
    <row r="700" spans="5:7">
      <c r="E700" s="658">
        <f ca="1">_xll.meDateFromTenor(E699,"1D","Following",$C$16)</f>
        <v>44216</v>
      </c>
      <c r="F700" s="659">
        <f ca="1"/>
        <v>5.784843569866552E-3</v>
      </c>
      <c r="G700" s="656">
        <v>5.8102481138796814E-3</v>
      </c>
    </row>
    <row r="701" spans="5:7">
      <c r="E701" s="658">
        <f ca="1">_xll.meDateFromTenor(E700,"1D","Following",$C$16)</f>
        <v>44217</v>
      </c>
      <c r="F701" s="659">
        <f ca="1"/>
        <v>5.7958243886679457E-3</v>
      </c>
      <c r="G701" s="656">
        <v>5.8426926018216334E-3</v>
      </c>
    </row>
    <row r="702" spans="5:7">
      <c r="E702" s="658">
        <f ca="1">_xll.meDateFromTenor(E701,"1D","Following",$C$16)</f>
        <v>44218</v>
      </c>
      <c r="F702" s="659">
        <f ca="1"/>
        <v>5.8067942735719018E-3</v>
      </c>
      <c r="G702" s="656">
        <v>5.8534841549074488E-3</v>
      </c>
    </row>
    <row r="703" spans="5:7">
      <c r="E703" s="658">
        <f ca="1">_xll.meDateFromTenor(E702,"1D","Following",$C$16)</f>
        <v>44221</v>
      </c>
      <c r="F703" s="659">
        <f ca="1"/>
        <v>5.8396383704016419E-3</v>
      </c>
      <c r="G703" s="656">
        <v>5.8642640876106203E-3</v>
      </c>
    </row>
    <row r="704" spans="5:7">
      <c r="E704" s="658">
        <f ca="1">_xll.meDateFromTenor(E703,"1D","Following",$C$16)</f>
        <v>44222</v>
      </c>
      <c r="F704" s="659">
        <f ca="1"/>
        <v>5.8505645652183382E-3</v>
      </c>
      <c r="G704" s="656">
        <v>5.8750324105700108E-3</v>
      </c>
    </row>
    <row r="705" spans="5:7">
      <c r="E705" s="658">
        <f ca="1">_xll.meDateFromTenor(E704,"1D","Following",$C$16)</f>
        <v>44223</v>
      </c>
      <c r="F705" s="659">
        <f ca="1"/>
        <v>5.8614798488888387E-3</v>
      </c>
      <c r="G705" s="656">
        <v>5.8857891344244869E-3</v>
      </c>
    </row>
    <row r="706" spans="5:7">
      <c r="E706" s="658">
        <f ca="1">_xll.meDateFromTenor(E705,"1D","Following",$C$16)</f>
        <v>44224</v>
      </c>
      <c r="F706" s="659">
        <f ca="1"/>
        <v>5.8723842259633934E-3</v>
      </c>
      <c r="G706" s="656">
        <v>5.91798981774705E-3</v>
      </c>
    </row>
    <row r="707" spans="5:7">
      <c r="E707" s="658">
        <f ca="1">_xll.meDateFromTenor(E706,"1D","Following",$C$16)</f>
        <v>44225</v>
      </c>
      <c r="F707" s="659">
        <f ca="1"/>
        <v>5.8832777009922479E-3</v>
      </c>
      <c r="G707" s="656">
        <v>5.9287002515704965E-3</v>
      </c>
    </row>
    <row r="708" spans="5:7">
      <c r="E708" s="658">
        <f ca="1">_xll.meDateFromTenor(E707,"1D","Following",$C$16)</f>
        <v>44228</v>
      </c>
      <c r="F708" s="659">
        <f ca="1"/>
        <v>5.9158927593071014E-3</v>
      </c>
      <c r="G708" s="656">
        <v>5.9393991394833456E-3</v>
      </c>
    </row>
    <row r="709" spans="5:7">
      <c r="E709" s="658">
        <f ca="1">_xll.meDateFromTenor(E708,"1D","Following",$C$16)</f>
        <v>44229</v>
      </c>
      <c r="F709" s="659">
        <f ca="1"/>
        <v>5.9267426716556413E-3</v>
      </c>
      <c r="G709" s="656">
        <v>5.9500864921244612E-3</v>
      </c>
    </row>
    <row r="710" spans="5:7">
      <c r="E710" s="658">
        <f ca="1">_xll.meDateFromTenor(E709,"1D","Following",$C$16)</f>
        <v>44230</v>
      </c>
      <c r="F710" s="659">
        <f ca="1"/>
        <v>5.9375817047097245E-3</v>
      </c>
      <c r="G710" s="656">
        <v>5.9607623201327056E-3</v>
      </c>
    </row>
    <row r="711" spans="5:7">
      <c r="E711" s="658">
        <f ca="1">_xll.meDateFromTenor(E710,"1D","Following",$C$16)</f>
        <v>44231</v>
      </c>
      <c r="F711" s="659">
        <f ca="1"/>
        <v>5.9484098630195959E-3</v>
      </c>
      <c r="G711" s="656">
        <v>5.9927207627488615E-3</v>
      </c>
    </row>
    <row r="712" spans="5:7">
      <c r="E712" s="658">
        <f ca="1">_xll.meDateFromTenor(E711,"1D","Following",$C$16)</f>
        <v>44232</v>
      </c>
      <c r="F712" s="659">
        <f ca="1"/>
        <v>5.9592271511355061E-3</v>
      </c>
      <c r="G712" s="656">
        <v>6.0033505986142677E-3</v>
      </c>
    </row>
    <row r="713" spans="5:7">
      <c r="E713" s="658">
        <f ca="1">_xll.meDateFromTenor(E712,"1D","Following",$C$16)</f>
        <v>44235</v>
      </c>
      <c r="F713" s="659">
        <f ca="1"/>
        <v>5.9916138398219436E-3</v>
      </c>
      <c r="G713" s="656">
        <v>6.013968963041118E-3</v>
      </c>
    </row>
    <row r="714" spans="5:7">
      <c r="E714" s="658">
        <f ca="1">_xll.meDateFromTenor(E713,"1D","Following",$C$16)</f>
        <v>44236</v>
      </c>
      <c r="F714" s="659">
        <f ca="1"/>
        <v>6.0023876926644845E-3</v>
      </c>
      <c r="G714" s="656">
        <v>6.0245758666682848E-3</v>
      </c>
    </row>
    <row r="715" spans="5:7">
      <c r="E715" s="658">
        <f ca="1">_xll.meDateFromTenor(E714,"1D","Following",$C$16)</f>
        <v>44237</v>
      </c>
      <c r="F715" s="659">
        <f ca="1"/>
        <v>6.0131506980643061E-3</v>
      </c>
      <c r="G715" s="656">
        <v>6.0351713201346286E-3</v>
      </c>
    </row>
    <row r="716" spans="5:7">
      <c r="E716" s="658">
        <f ca="1">_xll.meDateFromTenor(E715,"1D","Following",$C$16)</f>
        <v>44238</v>
      </c>
      <c r="F716" s="659">
        <f ca="1"/>
        <v>6.0239028605716515E-3</v>
      </c>
      <c r="G716" s="656">
        <v>6.0668890859573582E-3</v>
      </c>
    </row>
    <row r="717" spans="5:7">
      <c r="E717" s="658">
        <f ca="1">_xll.meDateFromTenor(E716,"1D","Following",$C$16)</f>
        <v>44239</v>
      </c>
      <c r="F717" s="659">
        <f ca="1"/>
        <v>6.0346441847367732E-3</v>
      </c>
      <c r="G717" s="656">
        <v>6.077438845169046E-3</v>
      </c>
    </row>
    <row r="718" spans="5:7">
      <c r="E718" s="658">
        <f ca="1">_xll.meDateFromTenor(E717,"1D","Following",$C$16)</f>
        <v>44242</v>
      </c>
      <c r="F718" s="659">
        <f ca="1"/>
        <v>6.0668031726812659E-3</v>
      </c>
      <c r="G718" s="656">
        <v>6.0879772074142312E-3</v>
      </c>
    </row>
    <row r="719" spans="5:7">
      <c r="E719" s="658">
        <f ca="1">_xll.meDateFromTenor(E718,"1D","Following",$C$16)</f>
        <v>44243</v>
      </c>
      <c r="F719" s="659">
        <f ca="1"/>
        <v>6.0775011889799644E-3</v>
      </c>
      <c r="G719" s="656">
        <v>6.0985041833317771E-3</v>
      </c>
    </row>
    <row r="720" spans="5:7">
      <c r="E720" s="658">
        <f ca="1">_xll.meDateFromTenor(E719,"1D","Following",$C$16)</f>
        <v>44244</v>
      </c>
      <c r="F720" s="659">
        <f ca="1"/>
        <v>6.0881883896876801E-3</v>
      </c>
      <c r="G720" s="656">
        <v>6.109019783560544E-3</v>
      </c>
    </row>
    <row r="721" spans="5:7">
      <c r="E721" s="658">
        <f ca="1">_xll.meDateFromTenor(E720,"1D","Following",$C$16)</f>
        <v>44245</v>
      </c>
      <c r="F721" s="659">
        <f ca="1"/>
        <v>6.0988647793546588E-3</v>
      </c>
      <c r="G721" s="656">
        <v>6.1404984365028281E-3</v>
      </c>
    </row>
    <row r="722" spans="5:7">
      <c r="E722" s="658">
        <f ca="1">_xll.meDateFromTenor(E721,"1D","Following",$C$16)</f>
        <v>44246</v>
      </c>
      <c r="F722" s="659">
        <f ca="1"/>
        <v>6.1095303625311468E-3</v>
      </c>
      <c r="G722" s="656">
        <v>6.1509686403651278E-3</v>
      </c>
    </row>
    <row r="723" spans="5:7">
      <c r="E723" s="658">
        <f ca="1">_xll.meDateFromTenor(E722,"1D","Following",$C$16)</f>
        <v>44249</v>
      </c>
      <c r="F723" s="659">
        <f ca="1"/>
        <v>6.1414623186201644E-3</v>
      </c>
      <c r="G723" s="656">
        <v>6.1614275217329725E-3</v>
      </c>
    </row>
    <row r="724" spans="5:7">
      <c r="E724" s="658">
        <f ca="1">_xll.meDateFromTenor(E723,"1D","Following",$C$16)</f>
        <v>44250</v>
      </c>
      <c r="F724" s="659">
        <f ca="1"/>
        <v>6.1520847213371796E-3</v>
      </c>
      <c r="G724" s="656">
        <v>6.1718750912452226E-3</v>
      </c>
    </row>
    <row r="725" spans="5:7">
      <c r="E725" s="658">
        <f ca="1">_xll.meDateFromTenor(E724,"1D","Following",$C$16)</f>
        <v>44251</v>
      </c>
      <c r="F725" s="659">
        <f ca="1"/>
        <v>6.1626963403149477E-3</v>
      </c>
      <c r="G725" s="656">
        <v>6.1823113595407438E-3</v>
      </c>
    </row>
    <row r="726" spans="5:7">
      <c r="E726" s="658">
        <f ca="1">_xll.meDateFromTenor(E725,"1D","Following",$C$16)</f>
        <v>44252</v>
      </c>
      <c r="F726" s="659">
        <f ca="1"/>
        <v>6.1732971801037127E-3</v>
      </c>
      <c r="G726" s="656">
        <v>6.2135524635155625E-3</v>
      </c>
    </row>
    <row r="727" spans="5:7">
      <c r="E727" s="658">
        <f ca="1">_xll.meDateFromTenor(E726,"1D","Following",$C$16)</f>
        <v>44253</v>
      </c>
      <c r="F727" s="659">
        <f ca="1"/>
        <v>6.1838872452537278E-3</v>
      </c>
      <c r="G727" s="656">
        <v>6.2239436333328029E-3</v>
      </c>
    </row>
    <row r="728" spans="5:7">
      <c r="E728" s="658">
        <f ca="1">_xll.meDateFromTenor(E727,"1D","Following",$C$16)</f>
        <v>44256</v>
      </c>
      <c r="F728" s="659">
        <f ca="1"/>
        <v>6.21559283837374E-3</v>
      </c>
      <c r="G728" s="656">
        <v>6.2343235551276313E-3</v>
      </c>
    </row>
    <row r="729" spans="5:7">
      <c r="E729" s="658">
        <f ca="1">_xll.meDateFromTenor(E728,"1D","Following",$C$16)</f>
        <v>44257</v>
      </c>
      <c r="F729" s="659">
        <f ca="1"/>
        <v>6.2261398504712268E-3</v>
      </c>
      <c r="G729" s="656">
        <v>6.2446922395389135E-3</v>
      </c>
    </row>
    <row r="730" spans="5:7">
      <c r="E730" s="658">
        <f ca="1">_xll.meDateFromTenor(E729,"1D","Following",$C$16)</f>
        <v>44258</v>
      </c>
      <c r="F730" s="659">
        <f ca="1"/>
        <v>6.2366761106812021E-3</v>
      </c>
      <c r="G730" s="656">
        <v>6.2550496972055142E-3</v>
      </c>
    </row>
    <row r="731" spans="5:7">
      <c r="E731" s="658">
        <f ca="1">_xll.meDateFromTenor(E730,"1D","Following",$C$16)</f>
        <v>44259</v>
      </c>
      <c r="F731" s="659">
        <f ca="1"/>
        <v>6.2472016235539151E-3</v>
      </c>
      <c r="G731" s="656">
        <v>6.2860548161258537E-3</v>
      </c>
    </row>
    <row r="732" spans="5:7">
      <c r="E732" s="658">
        <f ca="1">_xll.meDateFromTenor(E731,"1D","Following",$C$16)</f>
        <v>44260</v>
      </c>
      <c r="F732" s="659">
        <f ca="1"/>
        <v>6.2577163936396113E-3</v>
      </c>
      <c r="G732" s="656">
        <v>6.2963674732023573E-3</v>
      </c>
    </row>
    <row r="733" spans="5:7">
      <c r="E733" s="658">
        <f ca="1">_xll.meDateFromTenor(E732,"1D","Following",$C$16)</f>
        <v>44263</v>
      </c>
      <c r="F733" s="659">
        <f ca="1"/>
        <v>6.2891962926770895E-3</v>
      </c>
      <c r="G733" s="656">
        <v>6.3066689567284999E-3</v>
      </c>
    </row>
    <row r="734" spans="5:7">
      <c r="E734" s="658">
        <f ca="1">_xll.meDateFromTenor(E733,"1D","Following",$C$16)</f>
        <v>44264</v>
      </c>
      <c r="F734" s="659">
        <f ca="1"/>
        <v>6.2996681371172043E-3</v>
      </c>
      <c r="G734" s="656">
        <v>6.316959277343142E-3</v>
      </c>
    </row>
    <row r="735" spans="5:7">
      <c r="E735" s="658">
        <f ca="1">_xll.meDateFromTenor(E734,"1D","Following",$C$16)</f>
        <v>44265</v>
      </c>
      <c r="F735" s="659">
        <f ca="1"/>
        <v>6.3101292615215469E-3</v>
      </c>
      <c r="G735" s="656">
        <v>6.3272384456851466E-3</v>
      </c>
    </row>
    <row r="736" spans="5:7">
      <c r="E736" s="658">
        <f ca="1">_xll.meDateFromTenor(E735,"1D","Following",$C$16)</f>
        <v>44266</v>
      </c>
      <c r="F736" s="659">
        <f ca="1"/>
        <v>6.320579670440361E-3</v>
      </c>
      <c r="G736" s="656">
        <v>6.3580091434639859E-3</v>
      </c>
    </row>
    <row r="737" spans="5:7">
      <c r="E737" s="658">
        <f ca="1">_xll.meDateFromTenor(E736,"1D","Following",$C$16)</f>
        <v>44267</v>
      </c>
      <c r="F737" s="659">
        <f ca="1"/>
        <v>6.3310193684238967E-3</v>
      </c>
      <c r="G737" s="656">
        <v>6.3682438091040841E-3</v>
      </c>
    </row>
    <row r="738" spans="5:7">
      <c r="E738" s="658">
        <f ca="1">_xll.meDateFromTenor(E737,"1D","Following",$C$16)</f>
        <v>44270</v>
      </c>
      <c r="F738" s="659">
        <f ca="1"/>
        <v>6.3622742422653105E-3</v>
      </c>
      <c r="G738" s="656">
        <v>6.378467375665867E-3</v>
      </c>
    </row>
    <row r="739" spans="5:7">
      <c r="E739" s="658">
        <f ca="1">_xll.meDateFromTenor(E738,"1D","Following",$C$16)</f>
        <v>44271</v>
      </c>
      <c r="F739" s="659">
        <f ca="1"/>
        <v>6.3726711420102134E-3</v>
      </c>
      <c r="G739" s="656">
        <v>6.3886798537881942E-3</v>
      </c>
    </row>
    <row r="740" spans="5:7">
      <c r="E740" s="658">
        <f ca="1">_xll.meDateFromTenor(E739,"1D","Following",$C$16)</f>
        <v>44272</v>
      </c>
      <c r="F740" s="659">
        <f ca="1"/>
        <v>6.3830573535710762E-3</v>
      </c>
      <c r="G740" s="656">
        <v>6.398881254109934E-3</v>
      </c>
    </row>
    <row r="741" spans="5:7">
      <c r="E741" s="658">
        <f ca="1">_xll.meDateFromTenor(E740,"1D","Following",$C$16)</f>
        <v>44273</v>
      </c>
      <c r="F741" s="659">
        <f ca="1"/>
        <v>6.3934328814981472E-3</v>
      </c>
      <c r="G741" s="656">
        <v>6.4294190946602514E-3</v>
      </c>
    </row>
    <row r="742" spans="5:7">
      <c r="E742" s="658">
        <f ca="1">_xll.meDateFromTenor(E741,"1D","Following",$C$16)</f>
        <v>44274</v>
      </c>
      <c r="F742" s="659">
        <f ca="1"/>
        <v>6.4037977303416788E-3</v>
      </c>
      <c r="G742" s="656">
        <v>6.4395762901682703E-3</v>
      </c>
    </row>
    <row r="743" spans="5:7">
      <c r="E743" s="658">
        <f ca="1">_xll.meDateFromTenor(E742,"1D","Following",$C$16)</f>
        <v>44277</v>
      </c>
      <c r="F743" s="659">
        <f ca="1"/>
        <v>6.434828247873503E-3</v>
      </c>
      <c r="G743" s="656">
        <v>6.4497224610700205E-3</v>
      </c>
    </row>
    <row r="744" spans="5:7">
      <c r="E744" s="658">
        <f ca="1">_xll.meDateFromTenor(E743,"1D","Following",$C$16)</f>
        <v>44278</v>
      </c>
      <c r="F744" s="659">
        <f ca="1"/>
        <v>6.445150425885348E-3</v>
      </c>
      <c r="G744" s="656">
        <v>6.4598576180043624E-3</v>
      </c>
    </row>
    <row r="745" spans="5:7">
      <c r="E745" s="658">
        <f ca="1">_xll.meDateFromTenor(E744,"1D","Following",$C$16)</f>
        <v>44279</v>
      </c>
      <c r="F745" s="659">
        <f ca="1"/>
        <v>6.4554619475648885E-3</v>
      </c>
      <c r="G745" s="656">
        <v>6.4699817716101626E-3</v>
      </c>
    </row>
    <row r="746" spans="5:7">
      <c r="E746" s="658">
        <f ca="1">_xll.meDateFromTenor(E745,"1D","Following",$C$16)</f>
        <v>44280</v>
      </c>
      <c r="F746" s="659">
        <f ca="1"/>
        <v>6.4657628174623772E-3</v>
      </c>
      <c r="G746" s="656">
        <v>6.5002883188449417E-3</v>
      </c>
    </row>
    <row r="747" spans="5:7">
      <c r="E747" s="658">
        <f ca="1">_xll.meDateFromTenor(E746,"1D","Following",$C$16)</f>
        <v>44281</v>
      </c>
      <c r="F747" s="659">
        <f ca="1"/>
        <v>6.4760530401280613E-3</v>
      </c>
      <c r="G747" s="656">
        <v>6.5103685655252073E-3</v>
      </c>
    </row>
    <row r="748" spans="5:7">
      <c r="E748" s="658">
        <f ca="1">_xll.meDateFromTenor(E747,"1D","Following",$C$16)</f>
        <v>44284</v>
      </c>
      <c r="F748" s="659">
        <f ca="1"/>
        <v>6.5068598702367622E-3</v>
      </c>
      <c r="G748" s="656">
        <v>6.5204378620712508E-3</v>
      </c>
    </row>
    <row r="749" spans="5:7">
      <c r="E749" s="658">
        <f ca="1">_xll.meDateFromTenor(E748,"1D","Following",$C$16)</f>
        <v>44285</v>
      </c>
      <c r="F749" s="659">
        <f ca="1"/>
        <v>6.5171075494777041E-3</v>
      </c>
      <c r="G749" s="656">
        <v>6.5304962191219344E-3</v>
      </c>
    </row>
    <row r="750" spans="5:7">
      <c r="E750" s="658">
        <f ca="1">_xll.meDateFromTenor(E749,"1D","Following",$C$16)</f>
        <v>44286</v>
      </c>
      <c r="F750" s="659">
        <f ca="1"/>
        <v>6.5273446042380841E-3</v>
      </c>
      <c r="G750" s="656">
        <v>6.5405436473161219E-3</v>
      </c>
    </row>
    <row r="751" spans="5:7">
      <c r="E751" s="658">
        <f ca="1">_xll.meDateFromTenor(E750,"1D","Following",$C$16)</f>
        <v>44287</v>
      </c>
      <c r="F751" s="659">
        <f ca="1"/>
        <v>6.5375710390681461E-3</v>
      </c>
      <c r="G751" s="656">
        <v>6.5706204651483444E-3</v>
      </c>
    </row>
    <row r="752" spans="5:7">
      <c r="E752" s="658">
        <f ca="1">_xll.meDateFromTenor(E751,"1D","Following",$C$16)</f>
        <v>44292</v>
      </c>
      <c r="F752" s="659">
        <f ca="1"/>
        <v>6.5885440735223852E-3</v>
      </c>
      <c r="G752" s="656">
        <v>6.5806242843051855E-3</v>
      </c>
    </row>
    <row r="753" spans="5:7">
      <c r="E753" s="658">
        <f ca="1">_xll.meDateFromTenor(E752,"1D","Following",$C$16)</f>
        <v>44293</v>
      </c>
      <c r="F753" s="659">
        <f ca="1"/>
        <v>6.5987068843257569E-3</v>
      </c>
      <c r="G753" s="656">
        <v>6.590617227799851E-3</v>
      </c>
    </row>
    <row r="754" spans="5:7">
      <c r="E754" s="658">
        <f ca="1">_xll.meDateFromTenor(E753,"1D","Following",$C$16)</f>
        <v>44294</v>
      </c>
      <c r="F754" s="659">
        <f ca="1"/>
        <v>6.6088591070505489E-3</v>
      </c>
      <c r="G754" s="656">
        <v>6.6005993062712006E-3</v>
      </c>
    </row>
    <row r="755" spans="5:7">
      <c r="E755" s="658">
        <f ca="1">_xll.meDateFromTenor(E754,"1D","Following",$C$16)</f>
        <v>44295</v>
      </c>
      <c r="F755" s="659">
        <f ca="1"/>
        <v>6.6190007462470076E-3</v>
      </c>
      <c r="G755" s="656">
        <v>6.6503470956384945E-3</v>
      </c>
    </row>
    <row r="756" spans="5:7">
      <c r="E756" s="658">
        <f ca="1">_xll.meDateFromTenor(E755,"1D","Following",$C$16)</f>
        <v>44298</v>
      </c>
      <c r="F756" s="659">
        <f ca="1"/>
        <v>6.6493622081688743E-3</v>
      </c>
      <c r="G756" s="656">
        <v>6.6602642073861065E-3</v>
      </c>
    </row>
    <row r="757" spans="5:7">
      <c r="E757" s="658">
        <f ca="1">_xll.meDateFromTenor(E756,"1D","Following",$C$16)</f>
        <v>44299</v>
      </c>
      <c r="F757" s="659">
        <f ca="1"/>
        <v>6.6594615587544865E-3</v>
      </c>
      <c r="G757" s="656">
        <v>6.6701705285824534E-3</v>
      </c>
    </row>
    <row r="758" spans="5:7">
      <c r="E758" s="658">
        <f ca="1">_xll.meDateFromTenor(E757,"1D","Following",$C$16)</f>
        <v>44300</v>
      </c>
      <c r="F758" s="659">
        <f ca="1"/>
        <v>6.6695503485630064E-3</v>
      </c>
      <c r="G758" s="656">
        <v>6.6800660698663967E-3</v>
      </c>
    </row>
    <row r="759" spans="5:7">
      <c r="E759" s="658">
        <f ca="1">_xll.meDateFromTenor(E758,"1D","Following",$C$16)</f>
        <v>44301</v>
      </c>
      <c r="F759" s="659">
        <f ca="1"/>
        <v>6.6796285821446831E-3</v>
      </c>
      <c r="G759" s="656">
        <v>6.7096881206324512E-3</v>
      </c>
    </row>
    <row r="760" spans="5:7">
      <c r="E760" s="658">
        <f ca="1">_xll.meDateFromTenor(E759,"1D","Following",$C$16)</f>
        <v>44302</v>
      </c>
      <c r="F760" s="659">
        <f ca="1"/>
        <v>6.6896962640497675E-3</v>
      </c>
      <c r="G760" s="656">
        <v>6.7195406486554223E-3</v>
      </c>
    </row>
    <row r="761" spans="5:7">
      <c r="E761" s="658">
        <f ca="1">_xll.meDateFromTenor(E760,"1D","Following",$C$16)</f>
        <v>44305</v>
      </c>
      <c r="F761" s="659">
        <f ca="1"/>
        <v>6.7198360452079232E-3</v>
      </c>
      <c r="G761" s="656">
        <v>6.7293824499603111E-3</v>
      </c>
    </row>
    <row r="762" spans="5:7">
      <c r="E762" s="658">
        <f ca="1">_xll.meDateFromTenor(E761,"1D","Following",$C$16)</f>
        <v>44306</v>
      </c>
      <c r="F762" s="659">
        <f ca="1"/>
        <v>6.7298615659091062E-3</v>
      </c>
      <c r="G762" s="656">
        <v>6.739213535185978E-3</v>
      </c>
    </row>
    <row r="763" spans="5:7">
      <c r="E763" s="658">
        <f ca="1">_xll.meDateFromTenor(E762,"1D","Following",$C$16)</f>
        <v>44307</v>
      </c>
      <c r="F763" s="659">
        <f ca="1"/>
        <v>6.7398765576849326E-3</v>
      </c>
      <c r="G763" s="656">
        <v>6.7490339149712912E-3</v>
      </c>
    </row>
    <row r="764" spans="5:7">
      <c r="E764" s="658">
        <f ca="1">_xll.meDateFromTenor(E763,"1D","Following",$C$16)</f>
        <v>44308</v>
      </c>
      <c r="F764" s="659">
        <f ca="1"/>
        <v>6.7498810250856542E-3</v>
      </c>
      <c r="G764" s="656">
        <v>6.7784309280737318E-3</v>
      </c>
    </row>
    <row r="765" spans="5:7">
      <c r="E765" s="658">
        <f ca="1">_xll.meDateFromTenor(E764,"1D","Following",$C$16)</f>
        <v>44309</v>
      </c>
      <c r="F765" s="659">
        <f ca="1"/>
        <v>6.7598749726615146E-3</v>
      </c>
      <c r="G765" s="656">
        <v>6.7882085924862601E-3</v>
      </c>
    </row>
    <row r="766" spans="5:7">
      <c r="E766" s="658">
        <f ca="1">_xll.meDateFromTenor(E765,"1D","Following",$C$16)</f>
        <v>44312</v>
      </c>
      <c r="F766" s="659">
        <f ca="1"/>
        <v>6.7897937419424334E-3</v>
      </c>
      <c r="G766" s="656">
        <v>6.797975604652751E-3</v>
      </c>
    </row>
    <row r="767" spans="5:7">
      <c r="E767" s="658">
        <f ca="1">_xll.meDateFromTenor(E766,"1D","Following",$C$16)</f>
        <v>44313</v>
      </c>
      <c r="F767" s="659">
        <f ca="1"/>
        <v>6.7997456557213412E-3</v>
      </c>
      <c r="G767" s="656">
        <v>6.8077319752120691E-3</v>
      </c>
    </row>
    <row r="768" spans="5:7">
      <c r="E768" s="658">
        <f ca="1">_xll.meDateFromTenor(E767,"1D","Following",$C$16)</f>
        <v>44314</v>
      </c>
      <c r="F768" s="659">
        <f ca="1"/>
        <v>6.8096870724266307E-3</v>
      </c>
      <c r="G768" s="656">
        <v>6.8174777148030784E-3</v>
      </c>
    </row>
    <row r="769" spans="5:7">
      <c r="E769" s="658">
        <f ca="1">_xll.meDateFromTenor(E768,"1D","Following",$C$16)</f>
        <v>44315</v>
      </c>
      <c r="F769" s="659">
        <f ca="1"/>
        <v>6.8196179966085527E-3</v>
      </c>
      <c r="G769" s="656">
        <v>6.8466512541548877E-3</v>
      </c>
    </row>
    <row r="770" spans="5:7">
      <c r="E770" s="658">
        <f ca="1">_xll.meDateFromTenor(E769,"1D","Following",$C$16)</f>
        <v>44316</v>
      </c>
      <c r="F770" s="659">
        <f ca="1"/>
        <v>6.8295384328173527E-3</v>
      </c>
      <c r="G770" s="656">
        <v>6.8563545762612985E-3</v>
      </c>
    </row>
    <row r="771" spans="5:7">
      <c r="E771" s="658">
        <f ca="1">_xll.meDateFromTenor(E770,"1D","Following",$C$16)</f>
        <v>44319</v>
      </c>
      <c r="F771" s="659">
        <f ca="1"/>
        <v>6.8592368591074973E-3</v>
      </c>
      <c r="G771" s="656">
        <v>6.8660473205937184E-3</v>
      </c>
    </row>
    <row r="772" spans="5:7">
      <c r="E772" s="658">
        <f ca="1">_xll.meDateFromTenor(E771,"1D","Following",$C$16)</f>
        <v>44320</v>
      </c>
      <c r="F772" s="659">
        <f ca="1"/>
        <v>6.8691153889262908E-3</v>
      </c>
      <c r="G772" s="656">
        <v>6.875729497791013E-3</v>
      </c>
    </row>
    <row r="773" spans="5:7">
      <c r="E773" s="658">
        <f ca="1">_xll.meDateFromTenor(E772,"1D","Following",$C$16)</f>
        <v>44321</v>
      </c>
      <c r="F773" s="659">
        <f ca="1"/>
        <v>6.8789834535232016E-3</v>
      </c>
      <c r="G773" s="656">
        <v>6.8854011184920445E-3</v>
      </c>
    </row>
    <row r="774" spans="5:7">
      <c r="E774" s="658">
        <f ca="1">_xll.meDateFromTenor(E773,"1D","Following",$C$16)</f>
        <v>44322</v>
      </c>
      <c r="F774" s="659">
        <f ca="1"/>
        <v>6.8888410574484806E-3</v>
      </c>
      <c r="G774" s="656">
        <v>6.9143527480062059E-3</v>
      </c>
    </row>
    <row r="775" spans="5:7">
      <c r="E775" s="658">
        <f ca="1">_xll.meDateFromTenor(E774,"1D","Following",$C$16)</f>
        <v>44323</v>
      </c>
      <c r="F775" s="659">
        <f ca="1"/>
        <v>6.8986882052523733E-3</v>
      </c>
      <c r="G775" s="656">
        <v>6.9239822503171485E-3</v>
      </c>
    </row>
    <row r="776" spans="5:7">
      <c r="E776" s="658">
        <f ca="1">_xll.meDateFromTenor(E775,"1D","Following",$C$16)</f>
        <v>44326</v>
      </c>
      <c r="F776" s="659">
        <f ca="1"/>
        <v>6.9281669574382185E-3</v>
      </c>
      <c r="G776" s="656">
        <v>6.9336012565640905E-3</v>
      </c>
    </row>
    <row r="777" spans="5:7">
      <c r="E777" s="658">
        <f ca="1">_xll.meDateFromTenor(E776,"1D","Following",$C$16)</f>
        <v>44327</v>
      </c>
      <c r="F777" s="659">
        <f ca="1"/>
        <v>6.9379723272591613E-3</v>
      </c>
      <c r="G777" s="656">
        <v>6.9432097846238309E-3</v>
      </c>
    </row>
    <row r="778" spans="5:7">
      <c r="E778" s="658">
        <f ca="1">_xll.meDateFromTenor(E777,"1D","Following",$C$16)</f>
        <v>44328</v>
      </c>
      <c r="F778" s="659">
        <f ca="1"/>
        <v>6.9477672697106181E-3</v>
      </c>
      <c r="G778" s="656">
        <v>6.9528078523731782E-3</v>
      </c>
    </row>
    <row r="779" spans="5:7">
      <c r="E779" s="658">
        <f ca="1">_xll.meDateFromTenor(E778,"1D","Following",$C$16)</f>
        <v>44329</v>
      </c>
      <c r="F779" s="659">
        <f ca="1"/>
        <v>6.9575517953434961E-3</v>
      </c>
      <c r="G779" s="656">
        <v>6.981539472526891E-3</v>
      </c>
    </row>
    <row r="780" spans="5:7">
      <c r="E780" s="658">
        <f ca="1">_xll.meDateFromTenor(E779,"1D","Following",$C$16)</f>
        <v>44330</v>
      </c>
      <c r="F780" s="659">
        <f ca="1"/>
        <v>6.9673259147087011E-3</v>
      </c>
      <c r="G780" s="656">
        <v>6.9910958778026996E-3</v>
      </c>
    </row>
    <row r="781" spans="5:7">
      <c r="E781" s="658">
        <f ca="1">_xll.meDateFromTenor(E780,"1D","Following",$C$16)</f>
        <v>44333</v>
      </c>
      <c r="F781" s="659">
        <f ca="1"/>
        <v>6.996585940707345E-3</v>
      </c>
      <c r="G781" s="656">
        <v>7.0006419121521335E-3</v>
      </c>
    </row>
    <row r="782" spans="5:7">
      <c r="E782" s="658">
        <f ca="1">_xll.meDateFromTenor(E781,"1D","Following",$C$16)</f>
        <v>44334</v>
      </c>
      <c r="F782" s="659">
        <f ca="1"/>
        <v>7.006318540510926E-3</v>
      </c>
      <c r="G782" s="656">
        <v>7.0101775934519953E-3</v>
      </c>
    </row>
    <row r="783" spans="5:7">
      <c r="E783" s="658">
        <f ca="1">_xll.meDateFromTenor(E782,"1D","Following",$C$16)</f>
        <v>44335</v>
      </c>
      <c r="F783" s="659">
        <f ca="1"/>
        <v>7.0160407868013665E-3</v>
      </c>
      <c r="G783" s="656">
        <v>7.0197029395790908E-3</v>
      </c>
    </row>
    <row r="784" spans="5:7">
      <c r="E784" s="658">
        <f ca="1">_xll.meDateFromTenor(E783,"1D","Following",$C$16)</f>
        <v>44336</v>
      </c>
      <c r="F784" s="659">
        <f ca="1"/>
        <v>7.0257526901295756E-3</v>
      </c>
      <c r="G784" s="656">
        <v>7.0482171456918196E-3</v>
      </c>
    </row>
    <row r="785" spans="5:7">
      <c r="E785" s="658">
        <f ca="1">_xll.meDateFromTenor(E784,"1D","Following",$C$16)</f>
        <v>44337</v>
      </c>
      <c r="F785" s="659">
        <f ca="1"/>
        <v>7.0354542610464605E-3</v>
      </c>
      <c r="G785" s="656">
        <v>7.0577013298958897E-3</v>
      </c>
    </row>
    <row r="786" spans="5:7">
      <c r="E786" s="658">
        <f ca="1">_xll.meDateFromTenor(E785,"1D","Following",$C$16)</f>
        <v>44340</v>
      </c>
      <c r="F786" s="659">
        <f ca="1"/>
        <v>7.0644970848382253E-3</v>
      </c>
      <c r="G786" s="656">
        <v>7.0671752683112146E-3</v>
      </c>
    </row>
    <row r="787" spans="5:7">
      <c r="E787" s="658">
        <f ca="1">_xll.meDateFromTenor(E786,"1D","Following",$C$16)</f>
        <v>44341</v>
      </c>
      <c r="F787" s="659">
        <f ca="1"/>
        <v>7.0741574316188736E-3</v>
      </c>
      <c r="G787" s="656">
        <v>7.0766389788145968E-3</v>
      </c>
    </row>
    <row r="788" spans="5:7">
      <c r="E788" s="658">
        <f ca="1">_xll.meDateFromTenor(E787,"1D","Following",$C$16)</f>
        <v>44342</v>
      </c>
      <c r="F788" s="659">
        <f ca="1"/>
        <v>7.0838074987427278E-3</v>
      </c>
      <c r="G788" s="656">
        <v>7.0860924792828413E-3</v>
      </c>
    </row>
    <row r="789" spans="5:7">
      <c r="E789" s="658">
        <f ca="1">_xll.meDateFromTenor(E788,"1D","Following",$C$16)</f>
        <v>44343</v>
      </c>
      <c r="F789" s="659">
        <f ca="1"/>
        <v>7.0934472967606977E-3</v>
      </c>
      <c r="G789" s="656">
        <v>7.1143918992447805E-3</v>
      </c>
    </row>
    <row r="790" spans="5:7">
      <c r="E790" s="658">
        <f ca="1">_xll.meDateFromTenor(E789,"1D","Following",$C$16)</f>
        <v>44344</v>
      </c>
      <c r="F790" s="659">
        <f ca="1"/>
        <v>7.1030768362236882E-3</v>
      </c>
      <c r="G790" s="656">
        <v>7.1238047383405138E-3</v>
      </c>
    </row>
    <row r="791" spans="5:7">
      <c r="E791" s="658">
        <f ca="1">_xll.meDateFromTenor(E790,"1D","Following",$C$16)</f>
        <v>44347</v>
      </c>
      <c r="F791" s="659">
        <f ca="1"/>
        <v>7.1319040087918575E-3</v>
      </c>
      <c r="G791" s="656">
        <v>7.133207456785127E-3</v>
      </c>
    </row>
    <row r="792" spans="5:7">
      <c r="E792" s="658">
        <f ca="1">_xll.meDateFromTenor(E791,"1D","Following",$C$16)</f>
        <v>44348</v>
      </c>
      <c r="F792" s="659">
        <f ca="1"/>
        <v>7.1414926195440031E-3</v>
      </c>
      <c r="G792" s="656">
        <v>7.1426000724554269E-3</v>
      </c>
    </row>
    <row r="793" spans="5:7">
      <c r="E793" s="658">
        <f ca="1">_xll.meDateFromTenor(E792,"1D","Following",$C$16)</f>
        <v>44349</v>
      </c>
      <c r="F793" s="659">
        <f ca="1"/>
        <v>7.1510710244957008E-3</v>
      </c>
      <c r="G793" s="656">
        <v>7.1519826032282159E-3</v>
      </c>
    </row>
    <row r="794" spans="5:7">
      <c r="E794" s="658">
        <f ca="1">_xll.meDateFromTenor(E793,"1D","Following",$C$16)</f>
        <v>44350</v>
      </c>
      <c r="F794" s="659">
        <f ca="1"/>
        <v>7.1606392341978598E-3</v>
      </c>
      <c r="G794" s="656">
        <v>7.1800698649295662E-3</v>
      </c>
    </row>
    <row r="795" spans="5:7">
      <c r="E795" s="658">
        <f ca="1">_xll.meDateFromTenor(E794,"1D","Following",$C$16)</f>
        <v>44351</v>
      </c>
      <c r="F795" s="659">
        <f ca="1"/>
        <v>7.1701972592013866E-3</v>
      </c>
      <c r="G795" s="656">
        <v>7.1894122348803583E-3</v>
      </c>
    </row>
    <row r="796" spans="5:7">
      <c r="E796" s="658">
        <f ca="1">_xll.meDateFromTenor(E795,"1D","Following",$C$16)</f>
        <v>44354</v>
      </c>
      <c r="F796" s="659">
        <f ca="1"/>
        <v>7.1988103315292467E-3</v>
      </c>
      <c r="G796" s="656">
        <v>7.1987446093176579E-3</v>
      </c>
    </row>
    <row r="797" spans="5:7">
      <c r="E797" s="658">
        <f ca="1">_xll.meDateFromTenor(E796,"1D","Following",$C$16)</f>
        <v>44355</v>
      </c>
      <c r="F797" s="659">
        <f ca="1"/>
        <v>7.2083277232473158E-3</v>
      </c>
      <c r="G797" s="656">
        <v>7.2080670061182746E-3</v>
      </c>
    </row>
    <row r="798" spans="5:7">
      <c r="E798" s="658">
        <f ca="1">_xll.meDateFromTenor(E797,"1D","Following",$C$16)</f>
        <v>44356</v>
      </c>
      <c r="F798" s="659">
        <f ca="1"/>
        <v>7.2178349830212853E-3</v>
      </c>
      <c r="G798" s="656">
        <v>7.217379443159009E-3</v>
      </c>
    </row>
    <row r="799" spans="5:7">
      <c r="E799" s="658">
        <f ca="1">_xll.meDateFromTenor(E798,"1D","Following",$C$16)</f>
        <v>44357</v>
      </c>
      <c r="F799" s="659">
        <f ca="1"/>
        <v>7.2273321214020641E-3</v>
      </c>
      <c r="G799" s="656">
        <v>7.2452571744899665E-3</v>
      </c>
    </row>
    <row r="800" spans="5:7">
      <c r="E800" s="658">
        <f ca="1">_xll.meDateFromTenor(E799,"1D","Following",$C$16)</f>
        <v>44358</v>
      </c>
      <c r="F800" s="659">
        <f ca="1"/>
        <v>7.236819148940558E-3</v>
      </c>
      <c r="G800" s="656">
        <v>7.2545299512592146E-3</v>
      </c>
    </row>
    <row r="801" spans="5:7">
      <c r="E801" s="658">
        <f ca="1">_xll.meDateFromTenor(E800,"1D","Following",$C$16)</f>
        <v>44361</v>
      </c>
      <c r="F801" s="659">
        <f ca="1"/>
        <v>7.2652196720113952E-3</v>
      </c>
      <c r="G801" s="656">
        <v>7.2637928576526024E-3</v>
      </c>
    </row>
    <row r="802" spans="5:7">
      <c r="E802" s="658">
        <f ca="1">_xll.meDateFromTenor(E801,"1D","Following",$C$16)</f>
        <v>44362</v>
      </c>
      <c r="F802" s="659">
        <f ca="1"/>
        <v>7.2746663616898152E-3</v>
      </c>
      <c r="G802" s="656">
        <v>7.273045911546934E-3</v>
      </c>
    </row>
    <row r="803" spans="5:7">
      <c r="E803" s="658">
        <f ca="1">_xll.meDateFromTenor(E802,"1D","Following",$C$16)</f>
        <v>44363</v>
      </c>
      <c r="F803" s="659">
        <f ca="1"/>
        <v>7.2841029932804854E-3</v>
      </c>
      <c r="G803" s="656">
        <v>7.282289130819011E-3</v>
      </c>
    </row>
    <row r="804" spans="5:7">
      <c r="E804" s="658">
        <f ca="1">_xll.meDateFromTenor(E803,"1D","Following",$C$16)</f>
        <v>44364</v>
      </c>
      <c r="F804" s="659">
        <f ca="1"/>
        <v>7.2935295773343114E-3</v>
      </c>
      <c r="G804" s="656">
        <v>7.3099599596697677E-3</v>
      </c>
    </row>
    <row r="805" spans="5:7">
      <c r="E805" s="658">
        <f ca="1">_xll.meDateFromTenor(E804,"1D","Following",$C$16)</f>
        <v>44365</v>
      </c>
      <c r="F805" s="659">
        <f ca="1"/>
        <v>7.3029461244021989E-3</v>
      </c>
      <c r="G805" s="656">
        <v>7.3191640192208744E-3</v>
      </c>
    </row>
    <row r="806" spans="5:7">
      <c r="E806" s="658">
        <f ca="1">_xll.meDateFromTenor(E805,"1D","Following",$C$16)</f>
        <v>44368</v>
      </c>
      <c r="F806" s="659">
        <f ca="1"/>
        <v>7.3311356491993001E-3</v>
      </c>
      <c r="G806" s="656">
        <v>7.3283583335337476E-3</v>
      </c>
    </row>
    <row r="807" spans="5:7">
      <c r="E807" s="658">
        <f ca="1">_xll.meDateFromTenor(E806,"1D","Following",$C$16)</f>
        <v>44369</v>
      </c>
      <c r="F807" s="659">
        <f ca="1"/>
        <v>7.3405121538325036E-3</v>
      </c>
      <c r="G807" s="656">
        <v>7.3375429204851914E-3</v>
      </c>
    </row>
    <row r="808" spans="5:7">
      <c r="E808" s="658">
        <f ca="1">_xll.meDateFromTenor(E807,"1D","Following",$C$16)</f>
        <v>44370</v>
      </c>
      <c r="F808" s="659">
        <f ca="1"/>
        <v>7.3498786742343027E-3</v>
      </c>
      <c r="G808" s="656">
        <v>7.3467177979520118E-3</v>
      </c>
    </row>
    <row r="809" spans="5:7">
      <c r="E809" s="658">
        <f ca="1">_xll.meDateFromTenor(E808,"1D","Following",$C$16)</f>
        <v>44371</v>
      </c>
      <c r="F809" s="659">
        <f ca="1"/>
        <v>7.3592352209556023E-3</v>
      </c>
      <c r="G809" s="656">
        <v>7.3741843522127639E-3</v>
      </c>
    </row>
    <row r="810" spans="5:7">
      <c r="E810" s="658">
        <f ca="1">_xll.meDateFromTenor(E809,"1D","Following",$C$16)</f>
        <v>44372</v>
      </c>
      <c r="F810" s="659">
        <f ca="1"/>
        <v>7.3685818045473124E-3</v>
      </c>
      <c r="G810" s="656">
        <v>7.3833205705091257E-3</v>
      </c>
    </row>
    <row r="811" spans="5:7">
      <c r="E811" s="658">
        <f ca="1">_xll.meDateFromTenor(E810,"1D","Following",$C$16)</f>
        <v>44375</v>
      </c>
      <c r="F811" s="659">
        <f ca="1"/>
        <v>7.3965618820539666E-3</v>
      </c>
      <c r="G811" s="656">
        <v>7.3924471687048833E-3</v>
      </c>
    </row>
    <row r="812" spans="5:7">
      <c r="E812" s="658">
        <f ca="1">_xll.meDateFromTenor(E811,"1D","Following",$C$16)</f>
        <v>44376</v>
      </c>
      <c r="F812" s="659">
        <f ca="1"/>
        <v>7.4058687186363799E-3</v>
      </c>
      <c r="G812" s="656">
        <v>7.4015641646768392E-3</v>
      </c>
    </row>
    <row r="813" spans="5:7">
      <c r="E813" s="658">
        <f ca="1">_xll.meDateFromTenor(E812,"1D","Following",$C$16)</f>
        <v>44377</v>
      </c>
      <c r="F813" s="659">
        <f ca="1"/>
        <v>7.4151656448437344E-3</v>
      </c>
      <c r="G813" s="656">
        <v>7.4106715763018012E-3</v>
      </c>
    </row>
    <row r="814" spans="5:7">
      <c r="E814" s="658">
        <f ca="1">_xll.meDateFromTenor(E813,"1D","Following",$C$16)</f>
        <v>44378</v>
      </c>
      <c r="F814" s="659">
        <f ca="1"/>
        <v>7.424452671226941E-3</v>
      </c>
      <c r="G814" s="656">
        <v>7.4379364838627433E-3</v>
      </c>
    </row>
    <row r="815" spans="5:7">
      <c r="E815" s="658">
        <f ca="1">_xll.meDateFromTenor(E814,"1D","Following",$C$16)</f>
        <v>44379</v>
      </c>
      <c r="F815" s="659">
        <f ca="1"/>
        <v>7.4337298083369001E-3</v>
      </c>
      <c r="G815" s="656">
        <v>7.4470057368677591E-3</v>
      </c>
    </row>
    <row r="816" spans="5:7">
      <c r="E816" s="658">
        <f ca="1">_xll.meDateFromTenor(E815,"1D","Following",$C$16)</f>
        <v>44382</v>
      </c>
      <c r="F816" s="659">
        <f ca="1"/>
        <v>7.4615019895363892E-3</v>
      </c>
      <c r="G816" s="656">
        <v>7.4560654949098002E-3</v>
      </c>
    </row>
    <row r="817" spans="5:7">
      <c r="E817" s="658">
        <f ca="1">_xll.meDateFromTenor(E816,"1D","Following",$C$16)</f>
        <v>44383</v>
      </c>
      <c r="F817" s="659">
        <f ca="1"/>
        <v>7.4707396750624423E-3</v>
      </c>
      <c r="G817" s="656">
        <v>7.4651157758656673E-3</v>
      </c>
    </row>
    <row r="818" spans="5:7">
      <c r="E818" s="658">
        <f ca="1">_xll.meDateFromTenor(E817,"1D","Following",$C$16)</f>
        <v>44384</v>
      </c>
      <c r="F818" s="659">
        <f ca="1"/>
        <v>7.4799675240697855E-3</v>
      </c>
      <c r="G818" s="656">
        <v>7.4741565976121681E-3</v>
      </c>
    </row>
    <row r="819" spans="5:7">
      <c r="E819" s="658">
        <f ca="1">_xll.meDateFromTenor(E818,"1D","Following",$C$16)</f>
        <v>44385</v>
      </c>
      <c r="F819" s="659">
        <f ca="1"/>
        <v>7.4891855471093246E-3</v>
      </c>
      <c r="G819" s="656">
        <v>7.5012224863634999E-3</v>
      </c>
    </row>
    <row r="820" spans="5:7">
      <c r="E820" s="658">
        <f ca="1">_xll.meDateFromTenor(E819,"1D","Following",$C$16)</f>
        <v>44386</v>
      </c>
      <c r="F820" s="659">
        <f ca="1"/>
        <v>7.4983937547319643E-3</v>
      </c>
      <c r="G820" s="656">
        <v>7.5102256500405688E-3</v>
      </c>
    </row>
    <row r="821" spans="5:7">
      <c r="E821" s="658">
        <f ca="1">_xll.meDateFromTenor(E820,"1D","Following",$C$16)</f>
        <v>44389</v>
      </c>
      <c r="F821" s="659">
        <f ca="1"/>
        <v>7.5259595906075746E-3</v>
      </c>
      <c r="G821" s="656">
        <v>7.5192194438922872E-3</v>
      </c>
    </row>
    <row r="822" spans="5:7">
      <c r="E822" s="658">
        <f ca="1">_xll.meDateFromTenor(E821,"1D","Following",$C$16)</f>
        <v>44390</v>
      </c>
      <c r="F822" s="659">
        <f ca="1"/>
        <v>7.5351286420716956E-3</v>
      </c>
      <c r="G822" s="656">
        <v>7.5282038857954663E-3</v>
      </c>
    </row>
    <row r="823" spans="5:7">
      <c r="E823" s="658">
        <f ca="1">_xll.meDateFromTenor(E822,"1D","Following",$C$16)</f>
        <v>44391</v>
      </c>
      <c r="F823" s="659">
        <f ca="1"/>
        <v>7.5442879308734523E-3</v>
      </c>
      <c r="G823" s="656">
        <v>7.5371789936269033E-3</v>
      </c>
    </row>
    <row r="824" spans="5:7">
      <c r="E824" s="658">
        <f ca="1">_xll.meDateFromTenor(E823,"1D","Following",$C$16)</f>
        <v>44392</v>
      </c>
      <c r="F824" s="659">
        <f ca="1"/>
        <v>7.5534374675637547E-3</v>
      </c>
      <c r="G824" s="656">
        <v>7.564048491458821E-3</v>
      </c>
    </row>
    <row r="825" spans="5:7">
      <c r="E825" s="658">
        <f ca="1">_xll.meDateFromTenor(E824,"1D","Following",$C$16)</f>
        <v>44393</v>
      </c>
      <c r="F825" s="659">
        <f ca="1"/>
        <v>7.562577262693505E-3</v>
      </c>
      <c r="G825" s="656">
        <v>7.5729864417713412E-3</v>
      </c>
    </row>
    <row r="826" spans="5:7">
      <c r="E826" s="658">
        <f ca="1">_xll.meDateFromTenor(E825,"1D","Following",$C$16)</f>
        <v>44396</v>
      </c>
      <c r="F826" s="659">
        <f ca="1"/>
        <v>7.5899383042285226E-3</v>
      </c>
      <c r="G826" s="656">
        <v>7.5819151473961411E-3</v>
      </c>
    </row>
    <row r="827" spans="5:7">
      <c r="E827" s="658">
        <f ca="1">_xll.meDateFromTenor(E826,"1D","Following",$C$16)</f>
        <v>44397</v>
      </c>
      <c r="F827" s="659">
        <f ca="1"/>
        <v>7.599039238625138E-3</v>
      </c>
      <c r="G827" s="656">
        <v>7.590834626210026E-3</v>
      </c>
    </row>
    <row r="828" spans="5:7">
      <c r="E828" s="658">
        <f ca="1">_xll.meDateFromTenor(E827,"1D","Following",$C$16)</f>
        <v>44398</v>
      </c>
      <c r="F828" s="659">
        <f ca="1"/>
        <v>7.6081304842157381E-3</v>
      </c>
      <c r="G828" s="656">
        <v>7.5997448960897981E-3</v>
      </c>
    </row>
    <row r="829" spans="5:7">
      <c r="E829" s="658">
        <f ca="1">_xll.meDateFromTenor(E828,"1D","Following",$C$16)</f>
        <v>44399</v>
      </c>
      <c r="F829" s="659">
        <f ca="1"/>
        <v>7.6172120515512311E-3</v>
      </c>
      <c r="G829" s="656">
        <v>7.6264206308924954E-3</v>
      </c>
    </row>
    <row r="830" spans="5:7">
      <c r="E830" s="658">
        <f ca="1">_xll.meDateFromTenor(E829,"1D","Following",$C$16)</f>
        <v>44400</v>
      </c>
      <c r="F830" s="659">
        <f ca="1"/>
        <v>7.6262839511825192E-3</v>
      </c>
      <c r="G830" s="656">
        <v>7.6352942438038659E-3</v>
      </c>
    </row>
    <row r="831" spans="5:7">
      <c r="E831" s="658">
        <f ca="1">_xll.meDateFromTenor(E830,"1D","Following",$C$16)</f>
        <v>44403</v>
      </c>
      <c r="F831" s="659">
        <f ca="1"/>
        <v>7.6534417493602331E-3</v>
      </c>
      <c r="G831" s="656">
        <v>7.6441587371651456E-3</v>
      </c>
    </row>
    <row r="832" spans="5:7">
      <c r="E832" s="658">
        <f ca="1">_xll.meDateFromTenor(E831,"1D","Following",$C$16)</f>
        <v>44404</v>
      </c>
      <c r="F832" s="659">
        <f ca="1"/>
        <v>7.6624750836837745E-3</v>
      </c>
      <c r="G832" s="656">
        <v>7.6530141288531361E-3</v>
      </c>
    </row>
    <row r="833" spans="5:7">
      <c r="E833" s="658">
        <f ca="1">_xll.meDateFromTenor(E832,"1D","Following",$C$16)</f>
        <v>44405</v>
      </c>
      <c r="F833" s="659">
        <f ca="1"/>
        <v>7.6714988030576478E-3</v>
      </c>
      <c r="G833" s="656">
        <v>7.6618604367446452E-3</v>
      </c>
    </row>
    <row r="834" spans="5:7">
      <c r="E834" s="658">
        <f ca="1">_xll.meDateFromTenor(E833,"1D","Following",$C$16)</f>
        <v>44406</v>
      </c>
      <c r="F834" s="659">
        <f ca="1"/>
        <v>7.680512918032757E-3</v>
      </c>
      <c r="G834" s="656">
        <v>7.6883450364083157E-3</v>
      </c>
    </row>
    <row r="835" spans="5:7">
      <c r="E835" s="658">
        <f ca="1">_xll.meDateFromTenor(E834,"1D","Following",$C$16)</f>
        <v>44407</v>
      </c>
      <c r="F835" s="659">
        <f ca="1"/>
        <v>7.6895174391600129E-3</v>
      </c>
      <c r="G835" s="656">
        <v>7.6971551878819346E-3</v>
      </c>
    </row>
    <row r="836" spans="5:7">
      <c r="E836" s="658">
        <f ca="1">_xll.meDateFromTenor(E835,"1D","Following",$C$16)</f>
        <v>44410</v>
      </c>
      <c r="F836" s="659">
        <f ca="1"/>
        <v>7.7164735449637058E-3</v>
      </c>
      <c r="G836" s="656">
        <v>7.7059563449430914E-3</v>
      </c>
    </row>
    <row r="837" spans="5:7">
      <c r="E837" s="658">
        <f ca="1">_xll.meDateFromTenor(E836,"1D","Following",$C$16)</f>
        <v>44411</v>
      </c>
      <c r="F837" s="659">
        <f ca="1"/>
        <v>7.725439796208604E-3</v>
      </c>
      <c r="G837" s="656">
        <v>7.7147485254685892E-3</v>
      </c>
    </row>
    <row r="838" spans="5:7">
      <c r="E838" s="658">
        <f ca="1">_xll.meDateFromTenor(E837,"1D","Following",$C$16)</f>
        <v>44412</v>
      </c>
      <c r="F838" s="659">
        <f ca="1"/>
        <v>7.7343965063601779E-3</v>
      </c>
      <c r="G838" s="656">
        <v>7.7235317473352307E-3</v>
      </c>
    </row>
    <row r="839" spans="5:7">
      <c r="E839" s="658">
        <f ca="1">_xll.meDateFromTenor(E838,"1D","Following",$C$16)</f>
        <v>44413</v>
      </c>
      <c r="F839" s="659">
        <f ca="1"/>
        <v>7.7433436859693349E-3</v>
      </c>
      <c r="G839" s="656">
        <v>7.7498278397500732E-3</v>
      </c>
    </row>
    <row r="840" spans="5:7">
      <c r="E840" s="658">
        <f ca="1">_xll.meDateFromTenor(E839,"1D","Following",$C$16)</f>
        <v>44414</v>
      </c>
      <c r="F840" s="659">
        <f ca="1"/>
        <v>7.752281345586985E-3</v>
      </c>
      <c r="G840" s="656">
        <v>7.758575405749338E-3</v>
      </c>
    </row>
    <row r="841" spans="5:7">
      <c r="E841" s="658">
        <f ca="1">_xll.meDateFromTenor(E840,"1D","Following",$C$16)</f>
        <v>44417</v>
      </c>
      <c r="F841" s="659">
        <f ca="1"/>
        <v>7.7790373099999449E-3</v>
      </c>
      <c r="G841" s="656">
        <v>7.7673141024737708E-3</v>
      </c>
    </row>
    <row r="842" spans="5:7">
      <c r="E842" s="658">
        <f ca="1">_xll.meDateFromTenor(E841,"1D","Following",$C$16)</f>
        <v>44418</v>
      </c>
      <c r="F842" s="659">
        <f ca="1"/>
        <v>7.7879369951606237E-3</v>
      </c>
      <c r="G842" s="656">
        <v>7.7760439478001715E-3</v>
      </c>
    </row>
    <row r="843" spans="5:7">
      <c r="E843" s="658">
        <f ca="1">_xll.meDateFromTenor(E842,"1D","Following",$C$16)</f>
        <v>44419</v>
      </c>
      <c r="F843" s="659">
        <f ca="1"/>
        <v>7.7968272130843298E-3</v>
      </c>
      <c r="G843" s="656">
        <v>7.7847649596053479E-3</v>
      </c>
    </row>
    <row r="844" spans="5:7">
      <c r="E844" s="658">
        <f ca="1">_xll.meDateFromTenor(E843,"1D","Following",$C$16)</f>
        <v>44420</v>
      </c>
      <c r="F844" s="659">
        <f ca="1"/>
        <v>7.8057079743219645E-3</v>
      </c>
      <c r="G844" s="656">
        <v>7.8108751726615588E-3</v>
      </c>
    </row>
    <row r="845" spans="5:7">
      <c r="E845" s="658">
        <f ca="1">_xll.meDateFromTenor(E844,"1D","Following",$C$16)</f>
        <v>44421</v>
      </c>
      <c r="F845" s="659">
        <f ca="1"/>
        <v>7.8145792894244379E-3</v>
      </c>
      <c r="G845" s="656">
        <v>7.8195610291498675E-3</v>
      </c>
    </row>
    <row r="846" spans="5:7">
      <c r="E846" s="658">
        <f ca="1">_xll.meDateFromTenor(E845,"1D","Following",$C$16)</f>
        <v>44424</v>
      </c>
      <c r="F846" s="659">
        <f ca="1"/>
        <v>7.8411366634299484E-3</v>
      </c>
      <c r="G846" s="656">
        <v>7.8282381415009736E-3</v>
      </c>
    </row>
    <row r="847" spans="5:7">
      <c r="E847" s="658">
        <f ca="1">_xll.meDateFromTenor(E846,"1D","Following",$C$16)</f>
        <v>44425</v>
      </c>
      <c r="F847" s="659">
        <f ca="1"/>
        <v>7.8499702995008403E-3</v>
      </c>
      <c r="G847" s="656">
        <v>7.8369065275916781E-3</v>
      </c>
    </row>
    <row r="848" spans="5:7">
      <c r="E848" s="658">
        <f ca="1">_xll.meDateFromTenor(E847,"1D","Following",$C$16)</f>
        <v>44426</v>
      </c>
      <c r="F848" s="659">
        <f ca="1"/>
        <v>7.8587945421911033E-3</v>
      </c>
      <c r="G848" s="656">
        <v>7.8455662052987832E-3</v>
      </c>
    </row>
    <row r="849" spans="5:7">
      <c r="E849" s="658">
        <f ca="1">_xll.meDateFromTenor(E848,"1D","Following",$C$16)</f>
        <v>44427</v>
      </c>
      <c r="F849" s="659">
        <f ca="1"/>
        <v>7.8676094020516431E-3</v>
      </c>
      <c r="G849" s="656">
        <v>7.8714931668865569E-3</v>
      </c>
    </row>
    <row r="850" spans="5:7">
      <c r="E850" s="658">
        <f ca="1">_xll.meDateFromTenor(E849,"1D","Following",$C$16)</f>
        <v>44428</v>
      </c>
      <c r="F850" s="659">
        <f ca="1"/>
        <v>7.8764148896333687E-3</v>
      </c>
      <c r="G850" s="656">
        <v>7.880118189827312E-3</v>
      </c>
    </row>
    <row r="851" spans="5:7">
      <c r="E851" s="658">
        <f ca="1">_xll.meDateFromTenor(E850,"1D","Following",$C$16)</f>
        <v>44431</v>
      </c>
      <c r="F851" s="659">
        <f ca="1"/>
        <v>7.9027752242147205E-3</v>
      </c>
      <c r="G851" s="656">
        <v>7.8887345937684906E-3</v>
      </c>
    </row>
    <row r="852" spans="5:7">
      <c r="E852" s="658">
        <f ca="1">_xll.meDateFromTenor(E851,"1D","Following",$C$16)</f>
        <v>44432</v>
      </c>
      <c r="F852" s="659">
        <f ca="1"/>
        <v>7.9115433281902528E-3</v>
      </c>
      <c r="G852" s="656">
        <v>7.8973423965868952E-3</v>
      </c>
    </row>
    <row r="853" spans="5:7">
      <c r="E853" s="658">
        <f ca="1">_xll.meDateFromTenor(E852,"1D","Following",$C$16)</f>
        <v>44433</v>
      </c>
      <c r="F853" s="659">
        <f ca="1"/>
        <v>7.9203021126415009E-3</v>
      </c>
      <c r="G853" s="656">
        <v>7.9059416161593316E-3</v>
      </c>
    </row>
    <row r="854" spans="5:7">
      <c r="E854" s="658">
        <f ca="1">_xll.meDateFromTenor(E853,"1D","Following",$C$16)</f>
        <v>44434</v>
      </c>
      <c r="F854" s="659">
        <f ca="1"/>
        <v>7.9290515881193756E-3</v>
      </c>
      <c r="G854" s="656">
        <v>7.9316879541688635E-3</v>
      </c>
    </row>
    <row r="855" spans="5:7">
      <c r="E855" s="658">
        <f ca="1">_xll.meDateFromTenor(E854,"1D","Following",$C$16)</f>
        <v>44435</v>
      </c>
      <c r="F855" s="659">
        <f ca="1"/>
        <v>7.9377917651747825E-3</v>
      </c>
      <c r="G855" s="656">
        <v>7.9402530195254607E-3</v>
      </c>
    </row>
    <row r="856" spans="5:7">
      <c r="E856" s="658">
        <f ca="1">_xll.meDateFromTenor(E855,"1D","Following",$C$16)</f>
        <v>44438</v>
      </c>
      <c r="F856" s="659">
        <f ca="1"/>
        <v>7.9639566113152618E-3</v>
      </c>
      <c r="G856" s="656">
        <v>7.9488095910201107E-3</v>
      </c>
    </row>
    <row r="857" spans="5:7">
      <c r="E857" s="658">
        <f ca="1">_xll.meDateFromTenor(E856,"1D","Following",$C$16)</f>
        <v>44439</v>
      </c>
      <c r="F857" s="659">
        <f ca="1"/>
        <v>7.9726597001898627E-3</v>
      </c>
      <c r="G857" s="656">
        <v>7.9573576865296161E-3</v>
      </c>
    </row>
    <row r="858" spans="5:7">
      <c r="E858" s="658">
        <f ca="1">_xll.meDateFromTenor(E857,"1D","Following",$C$16)</f>
        <v>44440</v>
      </c>
      <c r="F858" s="659">
        <f ca="1"/>
        <v>7.9813535433965275E-3</v>
      </c>
      <c r="G858" s="656">
        <v>7.9658973239307828E-3</v>
      </c>
    </row>
    <row r="859" spans="5:7">
      <c r="E859" s="658">
        <f ca="1">_xll.meDateFromTenor(E858,"1D","Following",$C$16)</f>
        <v>44441</v>
      </c>
      <c r="F859" s="659">
        <f ca="1"/>
        <v>7.9900381514861653E-3</v>
      </c>
      <c r="G859" s="656">
        <v>7.9914656662522648E-3</v>
      </c>
    </row>
    <row r="860" spans="5:7">
      <c r="E860" s="658">
        <f ca="1">_xll.meDateFromTenor(E859,"1D","Following",$C$16)</f>
        <v>44442</v>
      </c>
      <c r="F860" s="659">
        <f ca="1"/>
        <v>7.99871353500968E-3</v>
      </c>
      <c r="G860" s="656">
        <v>7.9999716499881066E-3</v>
      </c>
    </row>
    <row r="861" spans="5:7">
      <c r="E861" s="658">
        <f ca="1">_xll.meDateFromTenor(E860,"1D","Following",$C$16)</f>
        <v>44445</v>
      </c>
      <c r="F861" s="659">
        <f ca="1"/>
        <v>8.0246844436925695E-3</v>
      </c>
      <c r="G861" s="656">
        <v>8.0084692649996271E-3</v>
      </c>
    </row>
    <row r="862" spans="5:7">
      <c r="E862" s="658">
        <f ca="1">_xll.meDateFromTenor(E861,"1D","Following",$C$16)</f>
        <v>44446</v>
      </c>
      <c r="F862" s="659">
        <f ca="1"/>
        <v>8.0333230344606672E-3</v>
      </c>
      <c r="G862" s="656">
        <v>8.016958529163629E-3</v>
      </c>
    </row>
    <row r="863" spans="5:7">
      <c r="E863" s="658">
        <f ca="1">_xll.meDateFromTenor(E862,"1D","Following",$C$16)</f>
        <v>44447</v>
      </c>
      <c r="F863" s="659">
        <f ca="1"/>
        <v>8.0419524534171768E-3</v>
      </c>
      <c r="G863" s="656">
        <v>8.0254394603569215E-3</v>
      </c>
    </row>
    <row r="864" spans="5:7">
      <c r="E864" s="658">
        <f ca="1">_xll.meDateFromTenor(E863,"1D","Following",$C$16)</f>
        <v>44448</v>
      </c>
      <c r="F864" s="659">
        <f ca="1"/>
        <v>8.0505727111130059E-3</v>
      </c>
      <c r="G864" s="656">
        <v>8.0508324348805577E-3</v>
      </c>
    </row>
    <row r="865" spans="5:7">
      <c r="E865" s="658">
        <f ca="1">_xll.meDateFromTenor(E864,"1D","Following",$C$16)</f>
        <v>44449</v>
      </c>
      <c r="F865" s="659">
        <f ca="1"/>
        <v>8.0591838180990617E-3</v>
      </c>
      <c r="G865" s="656">
        <v>8.0592802129590378E-3</v>
      </c>
    </row>
    <row r="866" spans="5:7">
      <c r="E866" s="658">
        <f ca="1">_xll.meDateFromTenor(E865,"1D","Following",$C$16)</f>
        <v>44452</v>
      </c>
      <c r="F866" s="659">
        <f ca="1"/>
        <v>8.084962340307646E-3</v>
      </c>
      <c r="G866" s="656">
        <v>8.0677197474508244E-3</v>
      </c>
    </row>
    <row r="867" spans="5:7">
      <c r="E867" s="658">
        <f ca="1">_xll.meDateFromTenor(E866,"1D","Following",$C$16)</f>
        <v>44453</v>
      </c>
      <c r="F867" s="659">
        <f ca="1"/>
        <v>8.0935369499636704E-3</v>
      </c>
      <c r="G867" s="656">
        <v>8.0761510562327252E-3</v>
      </c>
    </row>
    <row r="868" spans="5:7">
      <c r="E868" s="658">
        <f ca="1">_xll.meDateFromTenor(E867,"1D","Following",$C$16)</f>
        <v>44454</v>
      </c>
      <c r="F868" s="659">
        <f ca="1"/>
        <v>8.1021024616644548E-3</v>
      </c>
      <c r="G868" s="656">
        <v>8.0845741571815427E-3</v>
      </c>
    </row>
    <row r="869" spans="5:7">
      <c r="E869" s="658">
        <f ca="1">_xll.meDateFromTenor(E868,"1D","Following",$C$16)</f>
        <v>44455</v>
      </c>
      <c r="F869" s="659">
        <f ca="1"/>
        <v>8.1106588859609051E-3</v>
      </c>
      <c r="G869" s="656">
        <v>8.109794391797525E-3</v>
      </c>
    </row>
    <row r="870" spans="5:7">
      <c r="E870" s="658">
        <f ca="1">_xll.meDateFromTenor(E869,"1D","Following",$C$16)</f>
        <v>44456</v>
      </c>
      <c r="F870" s="659">
        <f ca="1"/>
        <v>8.1192062334039267E-3</v>
      </c>
      <c r="G870" s="656">
        <v>8.1181848401820442E-3</v>
      </c>
    </row>
    <row r="871" spans="5:7">
      <c r="E871" s="658">
        <f ca="1">_xll.meDateFromTenor(E870,"1D","Following",$C$16)</f>
        <v>44459</v>
      </c>
      <c r="F871" s="659">
        <f ca="1"/>
        <v>8.1447939201214938E-3</v>
      </c>
      <c r="G871" s="656">
        <v>8.1265671701174994E-3</v>
      </c>
    </row>
    <row r="872" spans="5:7">
      <c r="E872" s="658">
        <f ca="1">_xll.meDateFromTenor(E871,"1D","Following",$C$16)</f>
        <v>44460</v>
      </c>
      <c r="F872" s="659">
        <f ca="1"/>
        <v>8.1533050656598747E-3</v>
      </c>
      <c r="G872" s="656">
        <v>8.1349413994806965E-3</v>
      </c>
    </row>
    <row r="873" spans="5:7">
      <c r="E873" s="658">
        <f ca="1">_xll.meDateFromTenor(E872,"1D","Following",$C$16)</f>
        <v>44461</v>
      </c>
      <c r="F873" s="659">
        <f ca="1"/>
        <v>8.1618071870993587E-3</v>
      </c>
      <c r="G873" s="656">
        <v>8.1433075461484362E-3</v>
      </c>
    </row>
    <row r="874" spans="5:7">
      <c r="E874" s="658">
        <f ca="1">_xll.meDateFromTenor(E873,"1D","Following",$C$16)</f>
        <v>44462</v>
      </c>
      <c r="F874" s="659">
        <f ca="1"/>
        <v>8.1703002949908583E-3</v>
      </c>
      <c r="G874" s="656">
        <v>8.1683576687469599E-3</v>
      </c>
    </row>
    <row r="875" spans="5:7">
      <c r="E875" s="658">
        <f ca="1">_xll.meDateFromTenor(E874,"1D","Following",$C$16)</f>
        <v>44463</v>
      </c>
      <c r="F875" s="659">
        <f ca="1"/>
        <v>8.1787843998852774E-3</v>
      </c>
      <c r="G875" s="656">
        <v>8.1766916634009191E-3</v>
      </c>
    </row>
    <row r="876" spans="5:7">
      <c r="E876" s="658">
        <f ca="1">_xll.meDateFromTenor(E875,"1D","Following",$C$16)</f>
        <v>44466</v>
      </c>
      <c r="F876" s="659">
        <f ca="1"/>
        <v>8.2041828020951151E-3</v>
      </c>
      <c r="G876" s="656">
        <v>8.1850176647434401E-3</v>
      </c>
    </row>
    <row r="877" spans="5:7">
      <c r="E877" s="658">
        <f ca="1">_xll.meDateFromTenor(E876,"1D","Following",$C$16)</f>
        <v>44467</v>
      </c>
      <c r="F877" s="659">
        <f ca="1"/>
        <v>8.2126310005102791E-3</v>
      </c>
      <c r="G877" s="656">
        <v>8.193335690651329E-3</v>
      </c>
    </row>
    <row r="878" spans="5:7">
      <c r="E878" s="658">
        <f ca="1">_xll.meDateFromTenor(E877,"1D","Following",$C$16)</f>
        <v>44468</v>
      </c>
      <c r="F878" s="659">
        <f ca="1"/>
        <v>8.2210702486828942E-3</v>
      </c>
      <c r="G878" s="656">
        <v>8.2016457590013917E-3</v>
      </c>
    </row>
    <row r="879" spans="5:7">
      <c r="E879" s="658">
        <f ca="1">_xll.meDateFromTenor(E878,"1D","Following",$C$16)</f>
        <v>44469</v>
      </c>
      <c r="F879" s="659">
        <f ca="1"/>
        <v>8.2295005571638713E-3</v>
      </c>
      <c r="G879" s="656">
        <v>8.2265283974726558E-3</v>
      </c>
    </row>
    <row r="880" spans="5:7">
      <c r="E880" s="658">
        <f ca="1">_xll.meDateFromTenor(E879,"1D","Following",$C$16)</f>
        <v>44470</v>
      </c>
      <c r="F880" s="659">
        <f ca="1"/>
        <v>8.2379219365041126E-3</v>
      </c>
      <c r="G880" s="656">
        <v>8.2348068143594487E-3</v>
      </c>
    </row>
    <row r="881" spans="5:7">
      <c r="E881" s="658">
        <f ca="1">_xll.meDateFromTenor(E880,"1D","Following",$C$16)</f>
        <v>44473</v>
      </c>
      <c r="F881" s="659">
        <f ca="1"/>
        <v>8.263132605189509E-3</v>
      </c>
      <c r="G881" s="656">
        <v>8.2430773630724347E-3</v>
      </c>
    </row>
    <row r="882" spans="5:7">
      <c r="E882" s="658">
        <f ca="1">_xll.meDateFromTenor(E881,"1D","Following",$C$16)</f>
        <v>44474</v>
      </c>
      <c r="F882" s="659">
        <f ca="1"/>
        <v>8.2715183734758842E-3</v>
      </c>
      <c r="G882" s="656">
        <v>8.2513400614884179E-3</v>
      </c>
    </row>
    <row r="883" spans="5:7">
      <c r="E883" s="658">
        <f ca="1">_xll.meDateFromTenor(E882,"1D","Following",$C$16)</f>
        <v>44475</v>
      </c>
      <c r="F883" s="659">
        <f ca="1"/>
        <v>8.2798952653760586E-3</v>
      </c>
      <c r="G883" s="656">
        <v>8.2595949274842026E-3</v>
      </c>
    </row>
    <row r="884" spans="5:7">
      <c r="E884" s="658">
        <f ca="1">_xll.meDateFromTenor(E883,"1D","Following",$C$16)</f>
        <v>44476</v>
      </c>
      <c r="F884" s="659">
        <f ca="1"/>
        <v>8.2882632914409414E-3</v>
      </c>
      <c r="G884" s="656">
        <v>8.2843127097183972E-3</v>
      </c>
    </row>
    <row r="885" spans="5:7">
      <c r="E885" s="658">
        <f ca="1">_xll.meDateFromTenor(E884,"1D","Following",$C$16)</f>
        <v>44477</v>
      </c>
      <c r="F885" s="659">
        <f ca="1"/>
        <v>8.2966224622214365E-3</v>
      </c>
      <c r="G885" s="656">
        <v>8.2925364248014246E-3</v>
      </c>
    </row>
    <row r="886" spans="5:7">
      <c r="E886" s="658">
        <f ca="1">_xll.meDateFromTenor(E885,"1D","Following",$C$16)</f>
        <v>44480</v>
      </c>
      <c r="F886" s="659">
        <f ca="1"/>
        <v>8.3216469483656727E-3</v>
      </c>
      <c r="G886" s="656">
        <v>8.3007523968482745E-3</v>
      </c>
    </row>
    <row r="887" spans="5:7">
      <c r="E887" s="658">
        <f ca="1">_xll.meDateFromTenor(E886,"1D","Following",$C$16)</f>
        <v>44481</v>
      </c>
      <c r="F887" s="659">
        <f ca="1"/>
        <v>8.3299708035176907E-3</v>
      </c>
      <c r="G887" s="656">
        <v>8.3089606437357494E-3</v>
      </c>
    </row>
    <row r="888" spans="5:7">
      <c r="E888" s="658">
        <f ca="1">_xll.meDateFromTenor(E887,"1D","Following",$C$16)</f>
        <v>44482</v>
      </c>
      <c r="F888" s="659">
        <f ca="1"/>
        <v>8.338285856139856E-3</v>
      </c>
      <c r="G888" s="656">
        <v>8.3171611833406534E-3</v>
      </c>
    </row>
    <row r="889" spans="5:7">
      <c r="E889" s="658">
        <f ca="1">_xll.meDateFromTenor(E888,"1D","Following",$C$16)</f>
        <v>44483</v>
      </c>
      <c r="F889" s="659">
        <f ca="1"/>
        <v>8.3465921167830727E-3</v>
      </c>
      <c r="G889" s="656">
        <v>8.3417167372279808E-3</v>
      </c>
    </row>
    <row r="890" spans="5:7">
      <c r="E890" s="658">
        <f ca="1">_xll.meDateFromTenor(E889,"1D","Following",$C$16)</f>
        <v>44484</v>
      </c>
      <c r="F890" s="659">
        <f ca="1"/>
        <v>8.3548895959982498E-3</v>
      </c>
      <c r="G890" s="656">
        <v>8.3498866264706418E-3</v>
      </c>
    </row>
    <row r="891" spans="5:7">
      <c r="E891" s="658">
        <f ca="1">_xll.meDateFromTenor(E890,"1D","Following",$C$16)</f>
        <v>44487</v>
      </c>
      <c r="F891" s="659">
        <f ca="1"/>
        <v>8.3797294505846154E-3</v>
      </c>
      <c r="G891" s="656">
        <v>8.3580488978147495E-3</v>
      </c>
    </row>
    <row r="892" spans="5:7">
      <c r="E892" s="658">
        <f ca="1">_xll.meDateFromTenor(E891,"1D","Following",$C$16)</f>
        <v>44488</v>
      </c>
      <c r="F892" s="659">
        <f ca="1"/>
        <v>8.3879919095967009E-3</v>
      </c>
      <c r="G892" s="656">
        <v>8.3662035691371168E-3</v>
      </c>
    </row>
    <row r="893" spans="5:7">
      <c r="E893" s="658">
        <f ca="1">_xll.meDateFromTenor(E892,"1D","Following",$C$16)</f>
        <v>44489</v>
      </c>
      <c r="F893" s="659">
        <f ca="1"/>
        <v>8.3962456399352837E-3</v>
      </c>
      <c r="G893" s="656">
        <v>8.3743506583145375E-3</v>
      </c>
    </row>
    <row r="894" spans="5:7">
      <c r="E894" s="658">
        <f ca="1">_xll.meDateFromTenor(E893,"1D","Following",$C$16)</f>
        <v>44490</v>
      </c>
      <c r="F894" s="659">
        <f ca="1"/>
        <v>8.4044906521512659E-3</v>
      </c>
      <c r="G894" s="656">
        <v>8.3987466117451913E-3</v>
      </c>
    </row>
    <row r="895" spans="5:7">
      <c r="E895" s="658">
        <f ca="1">_xll.meDateFromTenor(E894,"1D","Following",$C$16)</f>
        <v>44491</v>
      </c>
      <c r="F895" s="659">
        <f ca="1"/>
        <v>8.4127269567955566E-3</v>
      </c>
      <c r="G895" s="656">
        <v>8.4068635511108849E-3</v>
      </c>
    </row>
    <row r="896" spans="5:7">
      <c r="E896" s="658">
        <f ca="1">_xll.meDateFromTenor(E895,"1D","Following",$C$16)</f>
        <v>44494</v>
      </c>
      <c r="F896" s="659">
        <f ca="1"/>
        <v>8.4373837308073327E-3</v>
      </c>
      <c r="G896" s="656">
        <v>8.4149729977156546E-3</v>
      </c>
    </row>
    <row r="897" spans="5:7">
      <c r="E897" s="658">
        <f ca="1">_xll.meDateFromTenor(E896,"1D","Following",$C$16)</f>
        <v>44495</v>
      </c>
      <c r="F897" s="659">
        <f ca="1"/>
        <v>8.4455853106739174E-3</v>
      </c>
      <c r="G897" s="656">
        <v>8.4230749694363099E-3</v>
      </c>
    </row>
    <row r="898" spans="5:7">
      <c r="E898" s="658">
        <f ca="1">_xll.meDateFromTenor(E897,"1D","Following",$C$16)</f>
        <v>44496</v>
      </c>
      <c r="F898" s="659">
        <f ca="1"/>
        <v>8.453778235723344E-3</v>
      </c>
      <c r="G898" s="656">
        <v>8.431169484149648E-3</v>
      </c>
    </row>
    <row r="899" spans="5:7">
      <c r="E899" s="658">
        <f ca="1">_xll.meDateFromTenor(E898,"1D","Following",$C$16)</f>
        <v>44497</v>
      </c>
      <c r="F899" s="659">
        <f ca="1"/>
        <v>8.4619625165065198E-3</v>
      </c>
      <c r="G899" s="656">
        <v>8.4554084650138219E-3</v>
      </c>
    </row>
    <row r="900" spans="5:7">
      <c r="E900" s="658">
        <f ca="1">_xll.meDateFromTenor(E899,"1D","Following",$C$16)</f>
        <v>44498</v>
      </c>
      <c r="F900" s="659">
        <f ca="1"/>
        <v>8.4701381635743471E-3</v>
      </c>
      <c r="G900" s="656">
        <v>8.4634733304659454E-3</v>
      </c>
    </row>
    <row r="901" spans="5:7">
      <c r="E901" s="658">
        <f ca="1">_xll.meDateFromTenor(E900,"1D","Following",$C$16)</f>
        <v>44501</v>
      </c>
      <c r="F901" s="659">
        <f ca="1"/>
        <v>8.4946134079948252E-3</v>
      </c>
      <c r="G901" s="656">
        <v>8.4715308282947762E-3</v>
      </c>
    </row>
    <row r="902" spans="5:7">
      <c r="E902" s="658">
        <f ca="1">_xll.meDateFromTenor(E901,"1D","Following",$C$16)</f>
        <v>44502</v>
      </c>
      <c r="F902" s="659">
        <f ca="1"/>
        <v>8.502754625710339E-3</v>
      </c>
      <c r="G902" s="656">
        <v>8.479580976377115E-3</v>
      </c>
    </row>
    <row r="903" spans="5:7">
      <c r="E903" s="658">
        <f ca="1">_xll.meDateFromTenor(E902,"1D","Following",$C$16)</f>
        <v>44503</v>
      </c>
      <c r="F903" s="659">
        <f ca="1"/>
        <v>8.5108872624650393E-3</v>
      </c>
      <c r="G903" s="656">
        <v>8.4876237925897696E-3</v>
      </c>
    </row>
    <row r="904" spans="5:7">
      <c r="E904" s="658">
        <f ca="1">_xll.meDateFromTenor(E903,"1D","Following",$C$16)</f>
        <v>44504</v>
      </c>
      <c r="F904" s="659">
        <f ca="1"/>
        <v>8.5190113288098352E-3</v>
      </c>
      <c r="G904" s="656">
        <v>8.5117084287776607E-3</v>
      </c>
    </row>
    <row r="905" spans="5:7">
      <c r="E905" s="658">
        <f ca="1">_xll.meDateFromTenor(E904,"1D","Following",$C$16)</f>
        <v>44505</v>
      </c>
      <c r="F905" s="659">
        <f ca="1"/>
        <v>8.5271268352956307E-3</v>
      </c>
      <c r="G905" s="656">
        <v>8.5197220962796149E-3</v>
      </c>
    </row>
    <row r="906" spans="5:7">
      <c r="E906" s="658">
        <f ca="1">_xll.meDateFromTenor(E905,"1D","Following",$C$16)</f>
        <v>44508</v>
      </c>
      <c r="F906" s="659">
        <f ca="1"/>
        <v>8.5514221011080971E-3</v>
      </c>
      <c r="G906" s="656">
        <v>8.5277285212959023E-3</v>
      </c>
    </row>
    <row r="907" spans="5:7">
      <c r="E907" s="658">
        <f ca="1">_xll.meDateFromTenor(E906,"1D","Following",$C$16)</f>
        <v>44509</v>
      </c>
      <c r="F907" s="659">
        <f ca="1"/>
        <v>8.55950347559019E-3</v>
      </c>
      <c r="G907" s="656">
        <v>8.5357277213232684E-3</v>
      </c>
    </row>
    <row r="908" spans="5:7">
      <c r="E908" s="658">
        <f ca="1">_xll.meDateFromTenor(E907,"1D","Following",$C$16)</f>
        <v>44510</v>
      </c>
      <c r="F908" s="659">
        <f ca="1"/>
        <v>8.5675763545071618E-3</v>
      </c>
      <c r="G908" s="656">
        <v>8.5437197123382092E-3</v>
      </c>
    </row>
    <row r="909" spans="5:7">
      <c r="E909" s="658">
        <f ca="1">_xll.meDateFromTenor(E908,"1D","Following",$C$16)</f>
        <v>44511</v>
      </c>
      <c r="F909" s="659">
        <f ca="1"/>
        <v>8.5756407599492605E-3</v>
      </c>
      <c r="G909" s="656">
        <v>8.5676525872728851E-3</v>
      </c>
    </row>
    <row r="910" spans="5:7">
      <c r="E910" s="658">
        <f ca="1">_xll.meDateFromTenor(E909,"1D","Following",$C$16)</f>
        <v>44512</v>
      </c>
      <c r="F910" s="659">
        <f ca="1"/>
        <v>8.5836967140067374E-3</v>
      </c>
      <c r="G910" s="656">
        <v>8.5756158982025175E-3</v>
      </c>
    </row>
    <row r="911" spans="5:7">
      <c r="E911" s="658">
        <f ca="1">_xll.meDateFromTenor(E910,"1D","Following",$C$16)</f>
        <v>44515</v>
      </c>
      <c r="F911" s="659">
        <f ca="1"/>
        <v>8.6078140887739501E-3</v>
      </c>
      <c r="G911" s="656">
        <v>8.5835720781019201E-3</v>
      </c>
    </row>
    <row r="912" spans="5:7">
      <c r="E912" s="658">
        <f ca="1">_xll.meDateFromTenor(E911,"1D","Following",$C$16)</f>
        <v>44516</v>
      </c>
      <c r="F912" s="659">
        <f ca="1"/>
        <v>8.6158364581954468E-3</v>
      </c>
      <c r="G912" s="656">
        <v>8.591521142567532E-3</v>
      </c>
    </row>
    <row r="913" spans="5:7">
      <c r="E913" s="658">
        <f ca="1">_xll.meDateFromTenor(E912,"1D","Following",$C$16)</f>
        <v>44517</v>
      </c>
      <c r="F913" s="659">
        <f ca="1"/>
        <v>8.6238504866835708E-3</v>
      </c>
      <c r="G913" s="656">
        <v>8.5994631071957886E-3</v>
      </c>
    </row>
    <row r="914" spans="5:7">
      <c r="E914" s="658">
        <f ca="1">_xll.meDateFromTenor(E913,"1D","Following",$C$16)</f>
        <v>44518</v>
      </c>
      <c r="F914" s="659">
        <f ca="1"/>
        <v>8.6318561963285769E-3</v>
      </c>
      <c r="G914" s="656">
        <v>8.6232465580208129E-3</v>
      </c>
    </row>
    <row r="915" spans="5:7">
      <c r="E915" s="658">
        <f ca="1">_xll.meDateFromTenor(E914,"1D","Following",$C$16)</f>
        <v>44519</v>
      </c>
      <c r="F915" s="659">
        <f ca="1"/>
        <v>8.639853609220715E-3</v>
      </c>
      <c r="G915" s="656">
        <v>8.6311602792640343E-3</v>
      </c>
    </row>
    <row r="916" spans="5:7">
      <c r="E916" s="658">
        <f ca="1">_xll.meDateFromTenor(E915,"1D","Following",$C$16)</f>
        <v>44522</v>
      </c>
      <c r="F916" s="659">
        <f ca="1"/>
        <v>8.6637962882824063E-3</v>
      </c>
      <c r="G916" s="656">
        <v>8.6390669786520942E-3</v>
      </c>
    </row>
    <row r="917" spans="5:7">
      <c r="E917" s="658">
        <f ca="1">_xll.meDateFromTenor(E916,"1D","Following",$C$16)</f>
        <v>44523</v>
      </c>
      <c r="F917" s="659">
        <f ca="1"/>
        <v>8.6717607350655646E-3</v>
      </c>
      <c r="G917" s="656">
        <v>8.6469666717814316E-3</v>
      </c>
    </row>
    <row r="918" spans="5:7">
      <c r="E918" s="658">
        <f ca="1">_xll.meDateFromTenor(E917,"1D","Following",$C$16)</f>
        <v>44524</v>
      </c>
      <c r="F918" s="659">
        <f ca="1"/>
        <v>8.6797169955471071E-3</v>
      </c>
      <c r="G918" s="656">
        <v>8.654859374248482E-3</v>
      </c>
    </row>
    <row r="919" spans="5:7">
      <c r="E919" s="658">
        <f ca="1">_xll.meDateFromTenor(E918,"1D","Following",$C$16)</f>
        <v>44525</v>
      </c>
      <c r="F919" s="659">
        <f ca="1"/>
        <v>8.6876650918172801E-3</v>
      </c>
      <c r="G919" s="656">
        <v>8.6784956936402993E-3</v>
      </c>
    </row>
    <row r="920" spans="5:7">
      <c r="E920" s="658">
        <f ca="1">_xll.meDateFromTenor(E919,"1D","Following",$C$16)</f>
        <v>44526</v>
      </c>
      <c r="F920" s="659">
        <f ca="1"/>
        <v>8.6956050459663353E-3</v>
      </c>
      <c r="G920" s="656">
        <v>8.6863605894225912E-3</v>
      </c>
    </row>
    <row r="921" spans="5:7">
      <c r="E921" s="658">
        <f ca="1">_xll.meDateFromTenor(E920,"1D","Following",$C$16)</f>
        <v>44529</v>
      </c>
      <c r="F921" s="659">
        <f ca="1"/>
        <v>8.7193762765892923E-3</v>
      </c>
      <c r="G921" s="656">
        <v>8.6942185725247863E-3</v>
      </c>
    </row>
    <row r="922" spans="5:7">
      <c r="E922" s="658">
        <f ca="1">_xll.meDateFromTenor(E921,"1D","Following",$C$16)</f>
        <v>44530</v>
      </c>
      <c r="F922" s="659">
        <f ca="1"/>
        <v>8.7272838831563768E-3</v>
      </c>
      <c r="G922" s="656">
        <v>8.7020696585433256E-3</v>
      </c>
    </row>
    <row r="923" spans="5:7">
      <c r="E923" s="658">
        <f ca="1">_xll.meDateFromTenor(E922,"1D","Following",$C$16)</f>
        <v>44531</v>
      </c>
      <c r="F923" s="659">
        <f ca="1"/>
        <v>8.7351834580535921E-3</v>
      </c>
      <c r="G923" s="656">
        <v>8.7099138630746496E-3</v>
      </c>
    </row>
    <row r="924" spans="5:7">
      <c r="E924" s="658">
        <f ca="1">_xll.meDateFromTenor(E923,"1D","Following",$C$16)</f>
        <v>44532</v>
      </c>
      <c r="F924" s="659">
        <f ca="1"/>
        <v>8.7430750233711933E-3</v>
      </c>
      <c r="G924" s="656">
        <v>8.7334053437096992E-3</v>
      </c>
    </row>
    <row r="925" spans="5:7">
      <c r="E925" s="658">
        <f ca="1">_xll.meDateFromTenor(E924,"1D","Following",$C$16)</f>
        <v>44533</v>
      </c>
      <c r="F925" s="659">
        <f ca="1"/>
        <v>8.7509586011994284E-3</v>
      </c>
      <c r="G925" s="656">
        <v>8.7412221782565361E-3</v>
      </c>
    </row>
    <row r="926" spans="5:7">
      <c r="E926" s="658">
        <f ca="1">_xll.meDateFromTenor(E925,"1D","Following",$C$16)</f>
        <v>44536</v>
      </c>
      <c r="F926" s="659">
        <f ca="1"/>
        <v>8.7745616306504331E-3</v>
      </c>
      <c r="G926" s="656">
        <v>8.7490322092983481E-3</v>
      </c>
    </row>
    <row r="927" spans="5:7">
      <c r="E927" s="658">
        <f ca="1">_xll.meDateFromTenor(E926,"1D","Following",$C$16)</f>
        <v>44537</v>
      </c>
      <c r="F927" s="659">
        <f ca="1"/>
        <v>8.7824134794237015E-3</v>
      </c>
      <c r="G927" s="656">
        <v>8.7568354524315741E-3</v>
      </c>
    </row>
    <row r="928" spans="5:7">
      <c r="E928" s="658">
        <f ca="1">_xll.meDateFromTenor(E927,"1D","Following",$C$16)</f>
        <v>44538</v>
      </c>
      <c r="F928" s="659">
        <f ca="1"/>
        <v>8.790257451158856E-3</v>
      </c>
      <c r="G928" s="656">
        <v>8.7646319232526498E-3</v>
      </c>
    </row>
    <row r="929" spans="5:7">
      <c r="E929" s="658">
        <f ca="1">_xll.meDateFromTenor(E928,"1D","Following",$C$16)</f>
        <v>44539</v>
      </c>
      <c r="F929" s="659">
        <f ca="1"/>
        <v>8.7980935679461449E-3</v>
      </c>
      <c r="G929" s="656">
        <v>8.7879808578073693E-3</v>
      </c>
    </row>
    <row r="930" spans="5:7">
      <c r="E930" s="658">
        <f ca="1">_xll.meDateFromTenor(E929,"1D","Following",$C$16)</f>
        <v>44540</v>
      </c>
      <c r="F930" s="659">
        <f ca="1"/>
        <v>8.8059218518758177E-3</v>
      </c>
      <c r="G930" s="656">
        <v>8.7957503953442363E-3</v>
      </c>
    </row>
    <row r="931" spans="5:7">
      <c r="E931" s="658">
        <f ca="1">_xll.meDateFromTenor(E930,"1D","Following",$C$16)</f>
        <v>44543</v>
      </c>
      <c r="F931" s="659">
        <f ca="1"/>
        <v>8.8293599274216518E-3</v>
      </c>
      <c r="G931" s="656">
        <v>8.8035132385511448E-3</v>
      </c>
    </row>
    <row r="932" spans="5:7">
      <c r="E932" s="658">
        <f ca="1">_xll.meDateFromTenor(E931,"1D","Following",$C$16)</f>
        <v>44544</v>
      </c>
      <c r="F932" s="659">
        <f ca="1"/>
        <v>8.837157100823367E-3</v>
      </c>
      <c r="G932" s="656">
        <v>8.8112694030245339E-3</v>
      </c>
    </row>
    <row r="933" spans="5:7">
      <c r="E933" s="658">
        <f ca="1">_xll.meDateFromTenor(E932,"1D","Following",$C$16)</f>
        <v>44545</v>
      </c>
      <c r="F933" s="659">
        <f ca="1"/>
        <v>8.8449465518187186E-3</v>
      </c>
      <c r="G933" s="656">
        <v>8.8190189043608428E-3</v>
      </c>
    </row>
    <row r="934" spans="5:7">
      <c r="E934" s="658">
        <f ca="1">_xll.meDateFromTenor(E933,"1D","Following",$C$16)</f>
        <v>44546</v>
      </c>
      <c r="F934" s="659">
        <f ca="1"/>
        <v>8.8527283024979562E-3</v>
      </c>
      <c r="G934" s="656">
        <v>8.842227585511675E-3</v>
      </c>
    </row>
    <row r="935" spans="5:7">
      <c r="E935" s="658">
        <f ca="1">_xll.meDateFromTenor(E934,"1D","Following",$C$16)</f>
        <v>44547</v>
      </c>
      <c r="F935" s="659">
        <f ca="1"/>
        <v>8.8605023749513297E-3</v>
      </c>
      <c r="G935" s="656">
        <v>8.8499505902640465E-3</v>
      </c>
    </row>
    <row r="936" spans="5:7">
      <c r="E936" s="658">
        <f ca="1">_xll.meDateFromTenor(E935,"1D","Following",$C$16)</f>
        <v>44550</v>
      </c>
      <c r="F936" s="659">
        <f ca="1"/>
        <v>8.8837787438587716E-3</v>
      </c>
      <c r="G936" s="656">
        <v>8.8576670098615279E-3</v>
      </c>
    </row>
    <row r="937" spans="5:7">
      <c r="E937" s="658">
        <f ca="1">_xll.meDateFromTenor(E936,"1D","Following",$C$16)</f>
        <v>44551</v>
      </c>
      <c r="F937" s="659">
        <f ca="1"/>
        <v>8.8915223243111966E-3</v>
      </c>
      <c r="G937" s="656">
        <v>8.8653768599005651E-3</v>
      </c>
    </row>
    <row r="938" spans="5:7">
      <c r="E938" s="658">
        <f ca="1">_xll.meDateFromTenor(E937,"1D","Following",$C$16)</f>
        <v>44552</v>
      </c>
      <c r="F938" s="659">
        <f ca="1"/>
        <v>8.8992583369890046E-3</v>
      </c>
      <c r="G938" s="656">
        <v>8.873080155977587E-3</v>
      </c>
    </row>
    <row r="939" spans="5:7">
      <c r="E939" s="658">
        <f ca="1">_xll.meDateFromTenor(E938,"1D","Following",$C$16)</f>
        <v>44553</v>
      </c>
      <c r="F939" s="659">
        <f ca="1"/>
        <v>8.9069868039824539E-3</v>
      </c>
      <c r="G939" s="656">
        <v>8.8961508764009677E-3</v>
      </c>
    </row>
    <row r="940" spans="5:7">
      <c r="E940" s="658">
        <f ca="1">_xll.meDateFromTenor(E939,"1D","Following",$C$16)</f>
        <v>44554</v>
      </c>
      <c r="F940" s="659">
        <f ca="1"/>
        <v>8.9147077473817875E-3</v>
      </c>
      <c r="G940" s="656">
        <v>8.9038281125943253E-3</v>
      </c>
    </row>
    <row r="941" spans="5:7">
      <c r="E941" s="658">
        <f ca="1">_xll.meDateFromTenor(E940,"1D","Following",$C$16)</f>
        <v>44557</v>
      </c>
      <c r="F941" s="659">
        <f ca="1"/>
        <v>8.9378256569176244E-3</v>
      </c>
      <c r="G941" s="656">
        <v>8.9114988728078662E-3</v>
      </c>
    </row>
    <row r="942" spans="5:7">
      <c r="E942" s="658">
        <f ca="1">_xll.meDateFromTenor(E941,"1D","Following",$C$16)</f>
        <v>44558</v>
      </c>
      <c r="F942" s="659">
        <f ca="1"/>
        <v>8.9455167268430134E-3</v>
      </c>
      <c r="G942" s="656">
        <v>8.9191631726380245E-3</v>
      </c>
    </row>
    <row r="943" spans="5:7">
      <c r="E943" s="658">
        <f ca="1">_xll.meDateFromTenor(E942,"1D","Following",$C$16)</f>
        <v>44559</v>
      </c>
      <c r="F943" s="659">
        <f ca="1"/>
        <v>8.9532003836255425E-3</v>
      </c>
      <c r="G943" s="656">
        <v>8.926821027681239E-3</v>
      </c>
    </row>
    <row r="944" spans="5:7">
      <c r="E944" s="658">
        <f ca="1">_xll.meDateFromTenor(E943,"1D","Following",$C$16)</f>
        <v>44560</v>
      </c>
      <c r="F944" s="659">
        <f ca="1"/>
        <v>8.9608766493554596E-3</v>
      </c>
      <c r="G944" s="656">
        <v>8.949756080053611E-3</v>
      </c>
    </row>
    <row r="945" spans="5:7">
      <c r="E945" s="658">
        <f ca="1">_xll.meDateFromTenor(E944,"1D","Following",$C$16)</f>
        <v>44561</v>
      </c>
      <c r="F945" s="659">
        <f ca="1"/>
        <v>8.968545546123018E-3</v>
      </c>
      <c r="G945" s="656">
        <v>8.9573883119134362E-3</v>
      </c>
    </row>
    <row r="946" spans="5:7">
      <c r="E946" s="658">
        <f ca="1">_xll.meDateFromTenor(E945,"1D","Following",$C$16)</f>
        <v>44564</v>
      </c>
      <c r="F946" s="659">
        <f ca="1"/>
        <v>8.9915082435540299E-3</v>
      </c>
      <c r="G946" s="656">
        <v>8.9650141769685113E-3</v>
      </c>
    </row>
    <row r="947" spans="5:7">
      <c r="E947" s="658">
        <f ca="1">_xll.meDateFromTenor(E946,"1D","Following",$C$16)</f>
        <v>44565</v>
      </c>
      <c r="F947" s="659">
        <f ca="1"/>
        <v>8.9991478853746476E-3</v>
      </c>
      <c r="G947" s="656">
        <v>8.972633690815272E-3</v>
      </c>
    </row>
    <row r="948" spans="5:7">
      <c r="E948" s="658">
        <f ca="1">_xll.meDateFromTenor(E947,"1D","Following",$C$16)</f>
        <v>44566</v>
      </c>
      <c r="F948" s="659">
        <f ca="1"/>
        <v>9.0067802686841572E-3</v>
      </c>
      <c r="G948" s="656">
        <v>8.9802468690501607E-3</v>
      </c>
    </row>
    <row r="949" spans="5:7">
      <c r="E949" s="658">
        <f ca="1">_xll.meDateFromTenor(E948,"1D","Following",$C$16)</f>
        <v>44567</v>
      </c>
      <c r="F949" s="659">
        <f ca="1"/>
        <v>9.014405415572805E-3</v>
      </c>
      <c r="G949" s="656">
        <v>9.0030485460479582E-3</v>
      </c>
    </row>
    <row r="950" spans="5:7">
      <c r="E950" s="658">
        <f ca="1">_xll.meDateFromTenor(E949,"1D","Following",$C$16)</f>
        <v>44568</v>
      </c>
      <c r="F950" s="659">
        <f ca="1"/>
        <v>9.0220233481308441E-3</v>
      </c>
      <c r="G950" s="656">
        <v>9.0106365377997343E-3</v>
      </c>
    </row>
    <row r="951" spans="5:7">
      <c r="E951" s="658">
        <f ca="1">_xll.meDateFromTenor(E950,"1D","Following",$C$16)</f>
        <v>44571</v>
      </c>
      <c r="F951" s="659">
        <f ca="1"/>
        <v>9.0448340807238129E-3</v>
      </c>
      <c r="G951" s="656">
        <v>9.0182182719218233E-3</v>
      </c>
    </row>
    <row r="952" spans="5:7">
      <c r="E952" s="658">
        <f ca="1">_xll.meDateFromTenor(E951,"1D","Following",$C$16)</f>
        <v>44572</v>
      </c>
      <c r="F952" s="659">
        <f ca="1"/>
        <v>9.0524233768619206E-3</v>
      </c>
      <c r="G952" s="656">
        <v>9.0257937640106697E-3</v>
      </c>
    </row>
    <row r="953" spans="5:7">
      <c r="E953" s="658">
        <f ca="1">_xll.meDateFromTenor(E952,"1D","Following",$C$16)</f>
        <v>44573</v>
      </c>
      <c r="F953" s="659">
        <f ca="1"/>
        <v>9.0600055691206702E-3</v>
      </c>
      <c r="G953" s="656">
        <v>9.0333630296627089E-3</v>
      </c>
    </row>
    <row r="954" spans="5:7">
      <c r="E954" s="658">
        <f ca="1">_xll.meDateFromTenor(E953,"1D","Following",$C$16)</f>
        <v>44574</v>
      </c>
      <c r="F954" s="659">
        <f ca="1"/>
        <v>9.0675806795903098E-3</v>
      </c>
      <c r="G954" s="656">
        <v>9.0560336239623763E-3</v>
      </c>
    </row>
    <row r="955" spans="5:7">
      <c r="E955" s="658">
        <f ca="1">_xll.meDateFromTenor(E954,"1D","Following",$C$16)</f>
        <v>44575</v>
      </c>
      <c r="F955" s="659">
        <f ca="1"/>
        <v>9.0751487303610961E-3</v>
      </c>
      <c r="G955" s="656">
        <v>9.0635781398315744E-3</v>
      </c>
    </row>
    <row r="956" spans="5:7">
      <c r="E956" s="658">
        <f ca="1">_xll.meDateFromTenor(E955,"1D","Following",$C$16)</f>
        <v>44578</v>
      </c>
      <c r="F956" s="659">
        <f ca="1"/>
        <v>9.0978107453828037E-3</v>
      </c>
      <c r="G956" s="656">
        <v>9.0711165072461606E-3</v>
      </c>
    </row>
    <row r="957" spans="5:7">
      <c r="E957" s="658">
        <f ca="1">_xll.meDateFromTenor(E956,"1D","Following",$C$16)</f>
        <v>44579</v>
      </c>
      <c r="F957" s="659">
        <f ca="1"/>
        <v>9.1053507782606607E-3</v>
      </c>
      <c r="G957" s="656">
        <v>9.0786487418025689E-3</v>
      </c>
    </row>
    <row r="958" spans="5:7">
      <c r="E958" s="658">
        <f ca="1">_xll.meDateFromTenor(E957,"1D","Following",$C$16)</f>
        <v>44580</v>
      </c>
      <c r="F958" s="659">
        <f ca="1"/>
        <v>9.1128838618909115E-3</v>
      </c>
      <c r="G958" s="656">
        <v>9.0861748590972437E-3</v>
      </c>
    </row>
    <row r="959" spans="5:7">
      <c r="E959" s="658">
        <f ca="1">_xll.meDateFromTenor(E958,"1D","Following",$C$16)</f>
        <v>44581</v>
      </c>
      <c r="F959" s="659">
        <f ca="1"/>
        <v>9.1204100183638042E-3</v>
      </c>
      <c r="G959" s="656">
        <v>9.1087166633752187E-3</v>
      </c>
    </row>
    <row r="960" spans="5:7">
      <c r="E960" s="658">
        <f ca="1">_xll.meDateFromTenor(E959,"1D","Following",$C$16)</f>
        <v>44582</v>
      </c>
      <c r="F960" s="659">
        <f ca="1"/>
        <v>9.127929269769592E-3</v>
      </c>
      <c r="G960" s="656">
        <v>9.1162184675873236E-3</v>
      </c>
    </row>
    <row r="961" spans="5:7">
      <c r="E961" s="658">
        <f ca="1">_xll.meDateFromTenor(E960,"1D","Following",$C$16)</f>
        <v>44585</v>
      </c>
      <c r="F961" s="659">
        <f ca="1"/>
        <v>9.1504458144868218E-3</v>
      </c>
      <c r="G961" s="656">
        <v>9.1237142325198833E-3</v>
      </c>
    </row>
    <row r="962" spans="5:7">
      <c r="E962" s="658">
        <f ca="1">_xll.meDateFromTenor(E961,"1D","Following",$C$16)</f>
        <v>44586</v>
      </c>
      <c r="F962" s="659">
        <f ca="1"/>
        <v>9.1579376665266894E-3</v>
      </c>
      <c r="G962" s="656">
        <v>9.1312039737693369E-3</v>
      </c>
    </row>
    <row r="963" spans="5:7">
      <c r="E963" s="658">
        <f ca="1">_xll.meDateFromTenor(E962,"1D","Following",$C$16)</f>
        <v>44587</v>
      </c>
      <c r="F963" s="659">
        <f ca="1"/>
        <v>9.1654227239507009E-3</v>
      </c>
      <c r="G963" s="656">
        <v>9.13868770693212E-3</v>
      </c>
    </row>
    <row r="964" spans="5:7">
      <c r="E964" s="658">
        <f ca="1">_xll.meDateFromTenor(E963,"1D","Following",$C$16)</f>
        <v>44588</v>
      </c>
      <c r="F964" s="659">
        <f ca="1"/>
        <v>9.1729010088491096E-3</v>
      </c>
      <c r="G964" s="656">
        <v>9.1611030138648436E-3</v>
      </c>
    </row>
    <row r="965" spans="5:7">
      <c r="E965" s="658">
        <f ca="1">_xll.meDateFromTenor(E964,"1D","Following",$C$16)</f>
        <v>44589</v>
      </c>
      <c r="F965" s="659">
        <f ca="1"/>
        <v>9.18037254331216E-3</v>
      </c>
      <c r="G965" s="656">
        <v>9.1685628706453335E-3</v>
      </c>
    </row>
    <row r="966" spans="5:7">
      <c r="E966" s="658">
        <f ca="1">_xll.meDateFromTenor(E965,"1D","Following",$C$16)</f>
        <v>44592</v>
      </c>
      <c r="F966" s="659">
        <f ca="1"/>
        <v>9.2027468649916941E-3</v>
      </c>
      <c r="G966" s="656">
        <v>9.1760167973213482E-3</v>
      </c>
    </row>
    <row r="967" spans="5:7">
      <c r="E967" s="658">
        <f ca="1">_xll.meDateFromTenor(E966,"1D","Following",$C$16)</f>
        <v>44593</v>
      </c>
      <c r="F967" s="659">
        <f ca="1"/>
        <v>9.2101916186158334E-3</v>
      </c>
      <c r="G967" s="656">
        <v>9.1834648094893268E-3</v>
      </c>
    </row>
    <row r="968" spans="5:7">
      <c r="E968" s="658">
        <f ca="1">_xll.meDateFromTenor(E967,"1D","Following",$C$16)</f>
        <v>44594</v>
      </c>
      <c r="F968" s="659">
        <f ca="1"/>
        <v>9.2176297322558668E-3</v>
      </c>
      <c r="G968" s="656">
        <v>9.1909069227457015E-3</v>
      </c>
    </row>
    <row r="969" spans="5:7">
      <c r="E969" s="658">
        <f ca="1">_xll.meDateFromTenor(E968,"1D","Following",$C$16)</f>
        <v>44595</v>
      </c>
      <c r="F969" s="659">
        <f ca="1"/>
        <v>9.2250612280020475E-3</v>
      </c>
      <c r="G969" s="656">
        <v>9.2131980250096113E-3</v>
      </c>
    </row>
    <row r="970" spans="5:7">
      <c r="E970" s="658">
        <f ca="1">_xll.meDateFromTenor(E969,"1D","Following",$C$16)</f>
        <v>44596</v>
      </c>
      <c r="F970" s="659">
        <f ca="1"/>
        <v>9.2324861279446287E-3</v>
      </c>
      <c r="G970" s="656">
        <v>9.2206166985839676E-3</v>
      </c>
    </row>
    <row r="971" spans="5:7">
      <c r="E971" s="658">
        <f ca="1">_xll.meDateFromTenor(E970,"1D","Following",$C$16)</f>
        <v>44599</v>
      </c>
      <c r="F971" s="659">
        <f ca="1"/>
        <v>9.2547214738532488E-3</v>
      </c>
      <c r="G971" s="656">
        <v>9.2280295512289189E-3</v>
      </c>
    </row>
    <row r="972" spans="5:7">
      <c r="E972" s="658">
        <f ca="1">_xll.meDateFromTenor(E971,"1D","Following",$C$16)</f>
        <v>44600</v>
      </c>
      <c r="F972" s="659">
        <f ca="1"/>
        <v>9.2621202114839176E-3</v>
      </c>
      <c r="G972" s="656">
        <v>9.235436598540897E-3</v>
      </c>
    </row>
    <row r="973" spans="5:7">
      <c r="E973" s="658">
        <f ca="1">_xll.meDateFromTenor(E972,"1D","Following",$C$16)</f>
        <v>44601</v>
      </c>
      <c r="F973" s="659">
        <f ca="1"/>
        <v>9.2695124637622341E-3</v>
      </c>
      <c r="G973" s="656">
        <v>9.2428378561163448E-3</v>
      </c>
    </row>
    <row r="974" spans="5:7">
      <c r="E974" s="658">
        <f ca="1">_xll.meDateFromTenor(E973,"1D","Following",$C$16)</f>
        <v>44602</v>
      </c>
      <c r="F974" s="659">
        <f ca="1"/>
        <v>9.2768982527784514E-3</v>
      </c>
      <c r="G974" s="656">
        <v>9.2650070463878801E-3</v>
      </c>
    </row>
    <row r="975" spans="5:7">
      <c r="E975" s="658">
        <f ca="1">_xll.meDateFromTenor(E974,"1D","Following",$C$16)</f>
        <v>44603</v>
      </c>
      <c r="F975" s="659">
        <f ca="1"/>
        <v>9.2842776006228159E-3</v>
      </c>
      <c r="G975" s="656">
        <v>9.2723853009815844E-3</v>
      </c>
    </row>
    <row r="976" spans="5:7">
      <c r="E976" s="658">
        <f ca="1">_xll.meDateFromTenor(E975,"1D","Following",$C$16)</f>
        <v>44606</v>
      </c>
      <c r="F976" s="659">
        <f ca="1"/>
        <v>9.3063772180273056E-3</v>
      </c>
      <c r="G976" s="656">
        <v>9.2797578438209485E-3</v>
      </c>
    </row>
    <row r="977" spans="5:7">
      <c r="E977" s="658">
        <f ca="1">_xll.meDateFromTenor(E976,"1D","Following",$C$16)</f>
        <v>44607</v>
      </c>
      <c r="F977" s="659">
        <f ca="1"/>
        <v>9.3137310220867686E-3</v>
      </c>
      <c r="G977" s="656">
        <v>9.2871246905024095E-3</v>
      </c>
    </row>
    <row r="978" spans="5:7">
      <c r="E978" s="658">
        <f ca="1">_xll.meDateFromTenor(E977,"1D","Following",$C$16)</f>
        <v>44608</v>
      </c>
      <c r="F978" s="659">
        <f ca="1"/>
        <v>9.3210784954256276E-3</v>
      </c>
      <c r="G978" s="656">
        <v>9.2944858566224118E-3</v>
      </c>
    </row>
    <row r="979" spans="5:7">
      <c r="E979" s="658">
        <f ca="1">_xll.meDateFromTenor(E978,"1D","Following",$C$16)</f>
        <v>44609</v>
      </c>
      <c r="F979" s="659">
        <f ca="1"/>
        <v>9.328419660134141E-3</v>
      </c>
      <c r="G979" s="656">
        <v>9.3165354275780085E-3</v>
      </c>
    </row>
    <row r="980" spans="5:7">
      <c r="E980" s="658">
        <f ca="1">_xll.meDateFromTenor(E979,"1D","Following",$C$16)</f>
        <v>44610</v>
      </c>
      <c r="F980" s="659">
        <f ca="1"/>
        <v>9.3357545383025535E-3</v>
      </c>
      <c r="G980" s="656">
        <v>9.3238740274165389E-3</v>
      </c>
    </row>
    <row r="981" spans="5:7">
      <c r="E981" s="658">
        <f ca="1">_xll.meDateFromTenor(E980,"1D","Following",$C$16)</f>
        <v>44613</v>
      </c>
      <c r="F981" s="659">
        <f ca="1"/>
        <v>9.3577216744696913E-3</v>
      </c>
      <c r="G981" s="656">
        <v>9.3312070246757972E-3</v>
      </c>
    </row>
    <row r="982" spans="5:7">
      <c r="E982" s="658">
        <f ca="1">_xll.meDateFromTenor(E981,"1D","Following",$C$16)</f>
        <v>44614</v>
      </c>
      <c r="F982" s="659">
        <f ca="1"/>
        <v>9.3650316273802079E-3</v>
      </c>
      <c r="G982" s="656">
        <v>9.3385344349522208E-3</v>
      </c>
    </row>
    <row r="983" spans="5:7">
      <c r="E983" s="658">
        <f ca="1">_xll.meDateFromTenor(E982,"1D","Following",$C$16)</f>
        <v>44615</v>
      </c>
      <c r="F983" s="659">
        <f ca="1"/>
        <v>9.3723354042018741E-3</v>
      </c>
      <c r="G983" s="656">
        <v>9.345856273842254E-3</v>
      </c>
    </row>
    <row r="984" spans="5:7">
      <c r="E984" s="658">
        <f ca="1">_xll.meDateFromTenor(E983,"1D","Following",$C$16)</f>
        <v>44616</v>
      </c>
      <c r="F984" s="659">
        <f ca="1"/>
        <v>9.3796330270249431E-3</v>
      </c>
      <c r="G984" s="656">
        <v>9.3677885181583567E-3</v>
      </c>
    </row>
    <row r="985" spans="5:7">
      <c r="E985" s="658">
        <f ca="1">_xll.meDateFromTenor(E984,"1D","Following",$C$16)</f>
        <v>44617</v>
      </c>
      <c r="F985" s="659">
        <f ca="1"/>
        <v>9.3869245179396613E-3</v>
      </c>
      <c r="G985" s="656">
        <v>9.3750882274671911E-3</v>
      </c>
    </row>
    <row r="986" spans="5:7">
      <c r="E986" s="658">
        <f ca="1">_xll.meDateFromTenor(E985,"1D","Following",$C$16)</f>
        <v>44620</v>
      </c>
      <c r="F986" s="659">
        <f ca="1"/>
        <v>9.4087624201362324E-3</v>
      </c>
      <c r="G986" s="656">
        <v>9.3823824433718252E-3</v>
      </c>
    </row>
    <row r="987" spans="5:7">
      <c r="E987" s="658">
        <f ca="1">_xll.meDateFromTenor(E986,"1D","Following",$C$16)</f>
        <v>44621</v>
      </c>
      <c r="F987" s="659">
        <f ca="1"/>
        <v>9.4160296043200621E-3</v>
      </c>
      <c r="G987" s="656">
        <v>9.3896711814686912E-3</v>
      </c>
    </row>
    <row r="988" spans="5:7">
      <c r="E988" s="658">
        <f ca="1">_xll.meDateFromTenor(E987,"1D","Following",$C$16)</f>
        <v>44622</v>
      </c>
      <c r="F988" s="659">
        <f ca="1"/>
        <v>9.423290767046795E-3</v>
      </c>
      <c r="G988" s="656">
        <v>9.3969544573542334E-3</v>
      </c>
    </row>
    <row r="989" spans="5:7">
      <c r="E989" s="658">
        <f ca="1">_xll.meDateFromTenor(E988,"1D","Following",$C$16)</f>
        <v>44623</v>
      </c>
      <c r="F989" s="659">
        <f ca="1"/>
        <v>9.430545930406679E-3</v>
      </c>
      <c r="G989" s="656">
        <v>9.4187716677072847E-3</v>
      </c>
    </row>
    <row r="990" spans="5:7">
      <c r="E990" s="658">
        <f ca="1">_xll.meDateFromTenor(E989,"1D","Following",$C$16)</f>
        <v>44624</v>
      </c>
      <c r="F990" s="659">
        <f ca="1"/>
        <v>9.4377951164899675E-3</v>
      </c>
      <c r="G990" s="656">
        <v>9.4260332507119047E-3</v>
      </c>
    </row>
    <row r="991" spans="5:7">
      <c r="E991" s="658">
        <f ca="1">_xll.meDateFromTenor(E990,"1D","Following",$C$16)</f>
        <v>44627</v>
      </c>
      <c r="F991" s="659">
        <f ca="1"/>
        <v>9.4595070319827539E-3</v>
      </c>
      <c r="G991" s="656">
        <v>9.4332894494873892E-3</v>
      </c>
    </row>
    <row r="992" spans="5:7">
      <c r="E992" s="658">
        <f ca="1">_xll.meDateFromTenor(E991,"1D","Following",$C$16)</f>
        <v>44628</v>
      </c>
      <c r="F992" s="659">
        <f ca="1"/>
        <v>9.4667325298621579E-3</v>
      </c>
      <c r="G992" s="656">
        <v>9.4405402796301791E-3</v>
      </c>
    </row>
    <row r="993" spans="5:7">
      <c r="E993" s="658">
        <f ca="1">_xll.meDateFromTenor(E992,"1D","Following",$C$16)</f>
        <v>44629</v>
      </c>
      <c r="F993" s="659">
        <f ca="1"/>
        <v>9.4739521609162151E-3</v>
      </c>
      <c r="G993" s="656">
        <v>9.4477857567367117E-3</v>
      </c>
    </row>
    <row r="994" spans="5:7">
      <c r="E994" s="658">
        <f ca="1">_xll.meDateFromTenor(E993,"1D","Following",$C$16)</f>
        <v>44630</v>
      </c>
      <c r="F994" s="659">
        <f ca="1"/>
        <v>9.4811659472351789E-3</v>
      </c>
      <c r="G994" s="656">
        <v>9.4694902258031458E-3</v>
      </c>
    </row>
    <row r="995" spans="5:7">
      <c r="E995" s="658">
        <f ca="1">_xll.meDateFromTenor(E994,"1D","Following",$C$16)</f>
        <v>44631</v>
      </c>
      <c r="F995" s="659">
        <f ca="1"/>
        <v>9.4883739109092972E-3</v>
      </c>
      <c r="G995" s="656">
        <v>9.4767144467290312E-3</v>
      </c>
    </row>
    <row r="996" spans="5:7">
      <c r="E996" s="658">
        <f ca="1">_xll.meDateFromTenor(E995,"1D","Following",$C$16)</f>
        <v>44634</v>
      </c>
      <c r="F996" s="659">
        <f ca="1"/>
        <v>9.5099630869650825E-3</v>
      </c>
      <c r="G996" s="656">
        <v>9.4839333926008511E-3</v>
      </c>
    </row>
    <row r="997" spans="5:7">
      <c r="E997" s="658">
        <f ca="1">_xll.meDateFromTenor(E996,"1D","Following",$C$16)</f>
        <v>44635</v>
      </c>
      <c r="F997" s="659">
        <f ca="1"/>
        <v>9.5171479809623202E-3</v>
      </c>
      <c r="G997" s="656">
        <v>9.4911470790150446E-3</v>
      </c>
    </row>
    <row r="998" spans="5:7">
      <c r="E998" s="658">
        <f ca="1">_xll.meDateFromTenor(E997,"1D","Following",$C$16)</f>
        <v>44636</v>
      </c>
      <c r="F998" s="659">
        <f ca="1"/>
        <v>9.5243271627659665E-3</v>
      </c>
      <c r="G998" s="656">
        <v>9.4983555215680457E-3</v>
      </c>
    </row>
    <row r="999" spans="5:7">
      <c r="E999" s="658">
        <f ca="1">_xll.meDateFromTenor(E998,"1D","Following",$C$16)</f>
        <v>44637</v>
      </c>
      <c r="F999" s="659">
        <f ca="1"/>
        <v>9.5315006544662677E-3</v>
      </c>
      <c r="G999" s="656">
        <v>9.519949542024302E-3</v>
      </c>
    </row>
    <row r="1000" spans="5:7">
      <c r="E1000" s="658">
        <f ca="1">_xll.meDateFromTenor(E999,"1D","Following",$C$16)</f>
        <v>44638</v>
      </c>
      <c r="F1000" s="659">
        <f ca="1"/>
        <v>9.5386684781534736E-3</v>
      </c>
      <c r="G1000" s="656">
        <v>9.5271371650969341E-3</v>
      </c>
    </row>
    <row r="1001" spans="5:7">
      <c r="E1001" s="658">
        <f ca="1">_xll.meDateFromTenor(E1000,"1D","Following",$C$16)</f>
        <v>44641</v>
      </c>
      <c r="F1001" s="659">
        <f ca="1"/>
        <v>9.5601381620390394E-3</v>
      </c>
      <c r="G1001" s="656">
        <v>9.5343196222905675E-3</v>
      </c>
    </row>
    <row r="1002" spans="5:7">
      <c r="E1002" s="658">
        <f ca="1">_xll.meDateFromTenor(E1001,"1D","Following",$C$16)</f>
        <v>44642</v>
      </c>
      <c r="F1002" s="659">
        <f ca="1"/>
        <v>9.5672835345763738E-3</v>
      </c>
      <c r="G1002" s="656">
        <v>9.541496929201641E-3</v>
      </c>
    </row>
    <row r="1003" spans="5:7">
      <c r="E1003" s="658">
        <f ca="1">_xll.meDateFromTenor(E1002,"1D","Following",$C$16)</f>
        <v>44643</v>
      </c>
      <c r="F1003" s="659">
        <f ca="1"/>
        <v>9.5744233495518669E-3</v>
      </c>
      <c r="G1003" s="656">
        <v>9.5486691014265955E-3</v>
      </c>
    </row>
    <row r="1004" spans="5:7">
      <c r="E1004" s="658">
        <f ca="1">_xll.meDateFromTenor(E1003,"1D","Following",$C$16)</f>
        <v>44644</v>
      </c>
      <c r="F1004" s="659">
        <f ca="1"/>
        <v>9.5815576290557668E-3</v>
      </c>
      <c r="G1004" s="656">
        <v>9.570154965949115E-3</v>
      </c>
    </row>
    <row r="1005" spans="5:7">
      <c r="E1005" s="658">
        <f ca="1">_xll.meDateFromTenor(E1004,"1D","Following",$C$16)</f>
        <v>44645</v>
      </c>
      <c r="F1005" s="659">
        <f ca="1"/>
        <v>9.5886863951783266E-3</v>
      </c>
      <c r="G1005" s="656">
        <v>9.5773067553939703E-3</v>
      </c>
    </row>
    <row r="1006" spans="5:7">
      <c r="E1006" s="658">
        <f ca="1">_xll.meDateFromTenor(E1005,"1D","Following",$C$16)</f>
        <v>44648</v>
      </c>
      <c r="F1006" s="659">
        <f ca="1"/>
        <v>9.6100398341604498E-3</v>
      </c>
      <c r="G1006" s="656">
        <v>9.5844534881348968E-3</v>
      </c>
    </row>
    <row r="1007" spans="5:7">
      <c r="E1007" s="658">
        <f ca="1">_xll.meDateFromTenor(E1006,"1D","Following",$C$16)</f>
        <v>44649</v>
      </c>
      <c r="F1007" s="659">
        <f ca="1"/>
        <v>9.6171467676601421E-3</v>
      </c>
      <c r="G1007" s="656">
        <v>9.5915951797683301E-3</v>
      </c>
    </row>
    <row r="1008" spans="5:7">
      <c r="E1008" s="658">
        <f ca="1">_xll.meDateFromTenor(E1007,"1D","Following",$C$16)</f>
        <v>44650</v>
      </c>
      <c r="F1008" s="659">
        <f ca="1"/>
        <v>9.6242482982297449E-3</v>
      </c>
      <c r="G1008" s="656">
        <v>9.5987318458907178E-3</v>
      </c>
    </row>
    <row r="1009" spans="5:7">
      <c r="E1009" s="658">
        <f ca="1">_xll.meDateFromTenor(E1008,"1D","Following",$C$16)</f>
        <v>44651</v>
      </c>
      <c r="F1009" s="659">
        <f ca="1"/>
        <v>9.6313444479595046E-3</v>
      </c>
      <c r="G1009" s="656">
        <v>9.620111847155938E-3</v>
      </c>
    </row>
    <row r="1010" spans="5:7">
      <c r="E1010" s="658">
        <f ca="1">_xll.meDateFromTenor(E1009,"1D","Following",$C$16)</f>
        <v>44652</v>
      </c>
      <c r="F1010" s="659">
        <f ca="1"/>
        <v>9.6384352389396761E-3</v>
      </c>
      <c r="G1010" s="656">
        <v>9.6272285671984981E-3</v>
      </c>
    </row>
    <row r="1011" spans="5:7">
      <c r="E1011" s="658">
        <f ca="1">_xll.meDateFromTenor(E1010,"1D","Following",$C$16)</f>
        <v>44655</v>
      </c>
      <c r="F1011" s="659">
        <f ca="1"/>
        <v>9.659675680285142E-3</v>
      </c>
      <c r="G1011" s="656">
        <v>9.6343403397121993E-3</v>
      </c>
    </row>
    <row r="1012" spans="5:7">
      <c r="E1012" s="658">
        <f ca="1">_xll.meDateFromTenor(E1011,"1D","Following",$C$16)</f>
        <v>44656</v>
      </c>
      <c r="F1012" s="659">
        <f ca="1"/>
        <v>9.6667452571694516E-3</v>
      </c>
      <c r="G1012" s="656">
        <v>9.6414471802934755E-3</v>
      </c>
    </row>
    <row r="1013" spans="5:7">
      <c r="E1013" s="658">
        <f ca="1">_xll.meDateFromTenor(E1012,"1D","Following",$C$16)</f>
        <v>44657</v>
      </c>
      <c r="F1013" s="659">
        <f ca="1"/>
        <v>9.6738095857554236E-3</v>
      </c>
      <c r="G1013" s="656">
        <v>9.6485491045387676E-3</v>
      </c>
    </row>
    <row r="1014" spans="5:7">
      <c r="E1014" s="658">
        <f ca="1">_xll.meDateFromTenor(E1013,"1D","Following",$C$16)</f>
        <v>44658</v>
      </c>
      <c r="F1014" s="659">
        <f ca="1"/>
        <v>9.6808686881333043E-3</v>
      </c>
      <c r="G1014" s="656">
        <v>9.6698255352231349E-3</v>
      </c>
    </row>
    <row r="1015" spans="5:7">
      <c r="E1015" s="658">
        <f ca="1">_xll.meDateFromTenor(E1014,"1D","Following",$C$16)</f>
        <v>44659</v>
      </c>
      <c r="F1015" s="659">
        <f ca="1"/>
        <v>9.6879225863933469E-3</v>
      </c>
      <c r="G1015" s="656">
        <v>9.6769079500888793E-3</v>
      </c>
    </row>
    <row r="1016" spans="5:7">
      <c r="E1016" s="658">
        <f ca="1">_xll.meDateFromTenor(E1015,"1D","Following",$C$16)</f>
        <v>44662</v>
      </c>
      <c r="F1016" s="659">
        <f ca="1"/>
        <v>9.7090532773689391E-3</v>
      </c>
      <c r="G1016" s="656">
        <v>9.6839855266008315E-3</v>
      </c>
    </row>
    <row r="1017" spans="5:7">
      <c r="E1017" s="658">
        <f ca="1">_xll.meDateFromTenor(E1016,"1D","Following",$C$16)</f>
        <v>44663</v>
      </c>
      <c r="F1017" s="659">
        <f ca="1"/>
        <v>9.7160865800601289E-3</v>
      </c>
      <c r="G1017" s="656">
        <v>9.6910582803554288E-3</v>
      </c>
    </row>
    <row r="1018" spans="5:7">
      <c r="E1018" s="658">
        <f ca="1">_xll.meDateFromTenor(E1017,"1D","Following",$C$16)</f>
        <v>44664</v>
      </c>
      <c r="F1018" s="659">
        <f ca="1"/>
        <v>9.7231147890847296E-3</v>
      </c>
      <c r="G1018" s="656">
        <v>9.6981262269491154E-3</v>
      </c>
    </row>
    <row r="1019" spans="5:7">
      <c r="E1019" s="658">
        <f ca="1">_xll.meDateFromTenor(E1018,"1D","Following",$C$16)</f>
        <v>44665</v>
      </c>
      <c r="F1019" s="659">
        <f ca="1"/>
        <v>9.7301379265329908E-3</v>
      </c>
      <c r="G1019" s="656">
        <v>9.7193013797290586E-3</v>
      </c>
    </row>
    <row r="1020" spans="5:7">
      <c r="E1020" s="658">
        <f ca="1">_xll.meDateFromTenor(E1019,"1D","Following",$C$16)</f>
        <v>44670</v>
      </c>
      <c r="F1020" s="659">
        <f ca="1"/>
        <v>9.7651783132879939E-3</v>
      </c>
      <c r="G1020" s="656">
        <v>9.726350253643469E-3</v>
      </c>
    </row>
    <row r="1021" spans="5:7">
      <c r="E1021" s="658">
        <f ca="1">_xll.meDateFromTenor(E1020,"1D","Following",$C$16)</f>
        <v>44671</v>
      </c>
      <c r="F1021" s="659">
        <f ca="1"/>
        <v>9.7721714851734844E-3</v>
      </c>
      <c r="G1021" s="656">
        <v>9.7333943983791537E-3</v>
      </c>
    </row>
    <row r="1022" spans="5:7">
      <c r="E1022" s="658">
        <f ca="1">_xll.meDateFromTenor(E1021,"1D","Following",$C$16)</f>
        <v>44672</v>
      </c>
      <c r="F1022" s="659">
        <f ca="1"/>
        <v>9.7791597401143907E-3</v>
      </c>
      <c r="G1022" s="656">
        <v>9.7404338295325552E-3</v>
      </c>
    </row>
    <row r="1023" spans="5:7">
      <c r="E1023" s="658">
        <f ca="1">_xll.meDateFromTenor(E1022,"1D","Following",$C$16)</f>
        <v>44673</v>
      </c>
      <c r="F1023" s="659">
        <f ca="1"/>
        <v>9.7861431002009593E-3</v>
      </c>
      <c r="G1023" s="656">
        <v>9.7755608274406255E-3</v>
      </c>
    </row>
    <row r="1024" spans="5:7">
      <c r="E1024" s="658">
        <f ca="1">_xll.meDateFromTenor(E1023,"1D","Following",$C$16)</f>
        <v>44676</v>
      </c>
      <c r="F1024" s="659">
        <f ca="1"/>
        <v>9.8070640322371512E-3</v>
      </c>
      <c r="G1024" s="656">
        <v>9.7825723046255243E-3</v>
      </c>
    </row>
    <row r="1025" spans="5:7">
      <c r="E1025" s="658">
        <f ca="1">_xll.meDateFromTenor(E1024,"1D","Following",$C$16)</f>
        <v>44677</v>
      </c>
      <c r="F1025" s="659">
        <f ca="1"/>
        <v>9.8140280338088783E-3</v>
      </c>
      <c r="G1025" s="656">
        <v>9.7895791774032064E-3</v>
      </c>
    </row>
    <row r="1026" spans="5:7">
      <c r="E1026" s="658">
        <f ca="1">_xll.meDateFromTenor(E1025,"1D","Following",$C$16)</f>
        <v>44678</v>
      </c>
      <c r="F1026" s="659">
        <f ca="1"/>
        <v>9.8209872509775215E-3</v>
      </c>
      <c r="G1026" s="656">
        <v>9.7965814613701109E-3</v>
      </c>
    </row>
    <row r="1027" spans="5:7">
      <c r="E1027" s="658">
        <f ca="1">_xll.meDateFromTenor(E1026,"1D","Following",$C$16)</f>
        <v>44679</v>
      </c>
      <c r="F1027" s="659">
        <f ca="1"/>
        <v>9.8279417058333273E-3</v>
      </c>
      <c r="G1027" s="656">
        <v>9.8175609363705361E-3</v>
      </c>
    </row>
    <row r="1028" spans="5:7">
      <c r="E1028" s="658">
        <f ca="1">_xll.meDateFromTenor(E1027,"1D","Following",$C$16)</f>
        <v>44680</v>
      </c>
      <c r="F1028" s="659">
        <f ca="1"/>
        <v>9.8348914204665506E-3</v>
      </c>
      <c r="G1028" s="656">
        <v>9.8245450210587126E-3</v>
      </c>
    </row>
    <row r="1029" spans="5:7">
      <c r="E1029" s="658">
        <f ca="1">_xll.meDateFromTenor(E1028,"1D","Following",$C$16)</f>
        <v>44683</v>
      </c>
      <c r="F1029" s="659">
        <f ca="1"/>
        <v>9.8557123439332144E-3</v>
      </c>
      <c r="G1029" s="656">
        <v>9.8315245949183051E-3</v>
      </c>
    </row>
    <row r="1030" spans="5:7">
      <c r="E1030" s="658">
        <f ca="1">_xll.meDateFromTenor(E1029,"1D","Following",$C$16)</f>
        <v>44684</v>
      </c>
      <c r="F1030" s="659">
        <f ca="1"/>
        <v>9.8626433185786018E-3</v>
      </c>
      <c r="G1030" s="656">
        <v>9.8384996735457458E-3</v>
      </c>
    </row>
    <row r="1031" spans="5:7">
      <c r="E1031" s="658">
        <f ca="1">_xll.meDateFromTenor(E1030,"1D","Following",$C$16)</f>
        <v>44685</v>
      </c>
      <c r="F1031" s="659">
        <f ca="1"/>
        <v>9.8695696634526573E-3</v>
      </c>
      <c r="G1031" s="656">
        <v>9.8454702725374772E-3</v>
      </c>
    </row>
    <row r="1032" spans="5:7">
      <c r="E1032" s="658">
        <f ca="1">_xll.meDateFromTenor(E1031,"1D","Following",$C$16)</f>
        <v>44686</v>
      </c>
      <c r="F1032" s="659">
        <f ca="1"/>
        <v>9.8764914006456289E-3</v>
      </c>
      <c r="G1032" s="656">
        <v>9.8663553476628068E-3</v>
      </c>
    </row>
    <row r="1033" spans="5:7">
      <c r="E1033" s="658">
        <f ca="1">_xll.meDateFromTenor(E1032,"1D","Following",$C$16)</f>
        <v>44687</v>
      </c>
      <c r="F1033" s="659">
        <f ca="1"/>
        <v>9.8834085522477664E-3</v>
      </c>
      <c r="G1033" s="656">
        <v>9.8733081840760867E-3</v>
      </c>
    </row>
    <row r="1034" spans="5:7">
      <c r="E1034" s="658">
        <f ca="1">_xll.meDateFromTenor(E1033,"1D","Following",$C$16)</f>
        <v>44690</v>
      </c>
      <c r="F1034" s="659">
        <f ca="1"/>
        <v>9.9041327144116838E-3</v>
      </c>
      <c r="G1034" s="656">
        <v>9.8802566199454288E-3</v>
      </c>
    </row>
    <row r="1035" spans="5:7">
      <c r="E1035" s="658">
        <f ca="1">_xll.meDateFromTenor(E1034,"1D","Following",$C$16)</f>
        <v>44691</v>
      </c>
      <c r="F1035" s="659">
        <f ca="1"/>
        <v>9.9110317441996713E-3</v>
      </c>
      <c r="G1035" s="656">
        <v>9.887200676415157E-3</v>
      </c>
    </row>
    <row r="1036" spans="5:7">
      <c r="E1036" s="658">
        <f ca="1">_xll.meDateFromTenor(E1035,"1D","Following",$C$16)</f>
        <v>44692</v>
      </c>
      <c r="F1036" s="659">
        <f ca="1"/>
        <v>9.9179262967281426E-3</v>
      </c>
      <c r="G1036" s="656">
        <v>9.8941403757391855E-3</v>
      </c>
    </row>
    <row r="1037" spans="5:7">
      <c r="E1037" s="658">
        <f ca="1">_xll.meDateFromTenor(E1036,"1D","Following",$C$16)</f>
        <v>44693</v>
      </c>
      <c r="F1037" s="659">
        <f ca="1"/>
        <v>9.9248163919674216E-3</v>
      </c>
      <c r="G1037" s="656">
        <v>9.9149335533761443E-3</v>
      </c>
    </row>
    <row r="1038" spans="5:7">
      <c r="E1038" s="658">
        <f ca="1">_xll.meDateFromTenor(E1037,"1D","Following",$C$16)</f>
        <v>44694</v>
      </c>
      <c r="F1038" s="659">
        <f ca="1"/>
        <v>9.931702049887815E-3</v>
      </c>
      <c r="G1038" s="656">
        <v>9.9218560466564458E-3</v>
      </c>
    </row>
    <row r="1039" spans="5:7">
      <c r="E1039" s="658">
        <f ca="1">_xll.meDateFromTenor(E1038,"1D","Following",$C$16)</f>
        <v>44697</v>
      </c>
      <c r="F1039" s="659">
        <f ca="1"/>
        <v>9.9523325994389095E-3</v>
      </c>
      <c r="G1039" s="656">
        <v>9.928774294060588E-3</v>
      </c>
    </row>
    <row r="1040" spans="5:7">
      <c r="E1040" s="658">
        <f ca="1">_xll.meDateFromTenor(E1039,"1D","Following",$C$16)</f>
        <v>44698</v>
      </c>
      <c r="F1040" s="659">
        <f ca="1"/>
        <v>9.9592007077869676E-3</v>
      </c>
      <c r="G1040" s="656">
        <v>9.9356883178424744E-3</v>
      </c>
    </row>
    <row r="1041" spans="5:7">
      <c r="E1041" s="658">
        <f ca="1">_xll.meDateFromTenor(E1040,"1D","Following",$C$16)</f>
        <v>44699</v>
      </c>
      <c r="F1041" s="659">
        <f ca="1"/>
        <v>9.9660644786677306E-3</v>
      </c>
      <c r="G1041" s="656">
        <v>9.9425981402560138E-3</v>
      </c>
    </row>
    <row r="1042" spans="5:7">
      <c r="E1042" s="658">
        <f ca="1">_xll.meDateFromTenor(E1041,"1D","Following",$C$16)</f>
        <v>44700</v>
      </c>
      <c r="F1042" s="659">
        <f ca="1"/>
        <v>9.9729239320515261E-3</v>
      </c>
      <c r="G1042" s="656">
        <v>9.9633026218256347E-3</v>
      </c>
    </row>
    <row r="1043" spans="5:7">
      <c r="E1043" s="658">
        <f ca="1">_xll.meDateFromTenor(E1042,"1D","Following",$C$16)</f>
        <v>44701</v>
      </c>
      <c r="F1043" s="659">
        <f ca="1"/>
        <v>9.9797790879086658E-3</v>
      </c>
      <c r="G1043" s="656">
        <v>9.9701958613048706E-3</v>
      </c>
    </row>
    <row r="1044" spans="5:7">
      <c r="E1044" s="658">
        <f ca="1">_xll.meDateFromTenor(E1043,"1D","Following",$C$16)</f>
        <v>44704</v>
      </c>
      <c r="F1044" s="659">
        <f ca="1"/>
        <v>1.0000318970023327E-2</v>
      </c>
      <c r="G1044" s="656">
        <v>9.9770850106853E-3</v>
      </c>
    </row>
    <row r="1045" spans="5:7">
      <c r="E1045" s="658">
        <f ca="1">_xll.meDateFromTenor(E1044,"1D","Following",$C$16)</f>
        <v>44705</v>
      </c>
      <c r="F1045" s="659">
        <f ca="1"/>
        <v>1.0007157135477023E-2</v>
      </c>
      <c r="G1045" s="656">
        <v>9.9839700922208282E-3</v>
      </c>
    </row>
    <row r="1046" spans="5:7">
      <c r="E1046" s="658">
        <f ca="1">_xll.meDateFromTenor(E1045,"1D","Following",$C$16)</f>
        <v>44706</v>
      </c>
      <c r="F1046" s="659">
        <f ca="1"/>
        <v>1.0013991103255652E-2</v>
      </c>
      <c r="G1046" s="656">
        <v>9.9908511281653692E-3</v>
      </c>
    </row>
    <row r="1047" spans="5:7">
      <c r="E1047" s="658">
        <f ca="1">_xll.meDateFromTenor(E1046,"1D","Following",$C$16)</f>
        <v>44707</v>
      </c>
      <c r="F1047" s="659">
        <f ca="1"/>
        <v>1.0020820893329532E-2</v>
      </c>
      <c r="G1047" s="656">
        <v>1.0011470184992122E-2</v>
      </c>
    </row>
    <row r="1048" spans="5:7">
      <c r="E1048" s="658">
        <f ca="1">_xll.meDateFromTenor(E1047,"1D","Following",$C$16)</f>
        <v>44708</v>
      </c>
      <c r="F1048" s="659">
        <f ca="1"/>
        <v>1.0027646525668977E-2</v>
      </c>
      <c r="G1048" s="656">
        <v>1.0018335261111774E-2</v>
      </c>
    </row>
    <row r="1049" spans="5:7">
      <c r="E1049" s="658">
        <f ca="1">_xll.meDateFromTenor(E1048,"1D","Following",$C$16)</f>
        <v>44711</v>
      </c>
      <c r="F1049" s="659">
        <f ca="1"/>
        <v>1.0048098675983908E-2</v>
      </c>
      <c r="G1049" s="656">
        <v>1.0025196402909983E-2</v>
      </c>
    </row>
    <row r="1050" spans="5:7">
      <c r="E1050" s="658">
        <f ca="1">_xll.meDateFromTenor(E1049,"1D","Following",$C$16)</f>
        <v>44712</v>
      </c>
      <c r="F1050" s="659">
        <f ca="1"/>
        <v>1.0054907877088806E-2</v>
      </c>
      <c r="G1050" s="656">
        <v>1.0032053632640644E-2</v>
      </c>
    </row>
    <row r="1051" spans="5:7">
      <c r="E1051" s="658">
        <f ca="1">_xll.meDateFromTenor(E1050,"1D","Following",$C$16)</f>
        <v>44713</v>
      </c>
      <c r="F1051" s="659">
        <f ca="1"/>
        <v>1.0061713020310861E-2</v>
      </c>
      <c r="G1051" s="656">
        <v>1.003890697255767E-2</v>
      </c>
    </row>
    <row r="1052" spans="5:7">
      <c r="E1052" s="658">
        <f ca="1">_xll.meDateFromTenor(E1051,"1D","Following",$C$16)</f>
        <v>44714</v>
      </c>
      <c r="F1052" s="659">
        <f ca="1"/>
        <v>1.0068514125620391E-2</v>
      </c>
      <c r="G1052" s="656">
        <v>1.005944387596602E-2</v>
      </c>
    </row>
    <row r="1053" spans="5:7">
      <c r="E1053" s="658">
        <f ca="1">_xll.meDateFromTenor(E1052,"1D","Following",$C$16)</f>
        <v>44715</v>
      </c>
      <c r="F1053" s="659">
        <f ca="1"/>
        <v>1.0075311212987714E-2</v>
      </c>
      <c r="G1053" s="656">
        <v>1.0066281879167586E-2</v>
      </c>
    </row>
    <row r="1054" spans="5:7">
      <c r="E1054" s="658">
        <f ca="1">_xll.meDateFromTenor(E1053,"1D","Following",$C$16)</f>
        <v>44718</v>
      </c>
      <c r="F1054" s="659">
        <f ca="1"/>
        <v>1.0095678567139608E-2</v>
      </c>
      <c r="G1054" s="656">
        <v>1.0073116103825053E-2</v>
      </c>
    </row>
    <row r="1055" spans="5:7">
      <c r="E1055" s="658">
        <f ca="1">_xll.meDateFromTenor(E1054,"1D","Following",$C$16)</f>
        <v>44719</v>
      </c>
      <c r="F1055" s="659">
        <f ca="1"/>
        <v>1.0102459782441278E-2</v>
      </c>
      <c r="G1055" s="656">
        <v>1.0079946572192335E-2</v>
      </c>
    </row>
    <row r="1056" spans="5:7">
      <c r="E1056" s="658">
        <f ca="1">_xll.meDateFromTenor(E1055,"1D","Following",$C$16)</f>
        <v>44720</v>
      </c>
      <c r="F1056" s="659">
        <f ca="1"/>
        <v>1.0109237079652328E-2</v>
      </c>
      <c r="G1056" s="656">
        <v>1.0086773306523338E-2</v>
      </c>
    </row>
    <row r="1057" spans="5:7">
      <c r="E1057" s="658">
        <f ca="1">_xll.meDateFromTenor(E1056,"1D","Following",$C$16)</f>
        <v>44721</v>
      </c>
      <c r="F1057" s="659">
        <f ca="1"/>
        <v>1.0116010478743076E-2</v>
      </c>
      <c r="G1057" s="656">
        <v>1.0107231327837748E-2</v>
      </c>
    </row>
    <row r="1058" spans="5:7">
      <c r="E1058" s="658">
        <f ca="1">_xll.meDateFromTenor(E1057,"1D","Following",$C$16)</f>
        <v>44722</v>
      </c>
      <c r="F1058" s="659">
        <f ca="1"/>
        <v>1.0122779999683841E-2</v>
      </c>
      <c r="G1058" s="656">
        <v>1.011404334856271E-2</v>
      </c>
    </row>
    <row r="1059" spans="5:7">
      <c r="E1059" s="658">
        <f ca="1">_xll.meDateFromTenor(E1058,"1D","Following",$C$16)</f>
        <v>44725</v>
      </c>
      <c r="F1059" s="659">
        <f ca="1"/>
        <v>1.0143065493309405E-2</v>
      </c>
      <c r="G1059" s="656">
        <v>1.012085174652093E-2</v>
      </c>
    </row>
    <row r="1060" spans="5:7">
      <c r="E1060" s="658">
        <f ca="1">_xll.meDateFromTenor(E1059,"1D","Following",$C$16)</f>
        <v>44726</v>
      </c>
      <c r="F1060" s="659">
        <f ca="1"/>
        <v>1.014981970135341E-2</v>
      </c>
      <c r="G1060" s="656">
        <v>1.0127656543966324E-2</v>
      </c>
    </row>
    <row r="1061" spans="5:7">
      <c r="E1061" s="658">
        <f ca="1">_xll.meDateFromTenor(E1060,"1D","Following",$C$16)</f>
        <v>44727</v>
      </c>
      <c r="F1061" s="659">
        <f ca="1"/>
        <v>1.0156570131099021E-2</v>
      </c>
      <c r="G1061" s="656">
        <v>1.013445776315279E-2</v>
      </c>
    </row>
    <row r="1062" spans="5:7">
      <c r="E1062" s="658">
        <f ca="1">_xll.meDateFromTenor(E1061,"1D","Following",$C$16)</f>
        <v>44728</v>
      </c>
      <c r="F1062" s="659">
        <f ca="1"/>
        <v>1.016331680251655E-2</v>
      </c>
      <c r="G1062" s="656">
        <v>1.0154840173697723E-2</v>
      </c>
    </row>
    <row r="1063" spans="5:7">
      <c r="E1063" s="658">
        <f ca="1">_xll.meDateFromTenor(E1062,"1D","Following",$C$16)</f>
        <v>44729</v>
      </c>
      <c r="F1063" s="659">
        <f ca="1"/>
        <v>1.0170059735576322E-2</v>
      </c>
      <c r="G1063" s="656">
        <v>1.0161627302387573E-2</v>
      </c>
    </row>
    <row r="1064" spans="5:7">
      <c r="E1064" s="658">
        <f ca="1">_xll.meDateFromTenor(E1063,"1D","Following",$C$16)</f>
        <v>44732</v>
      </c>
      <c r="F1064" s="659">
        <f ca="1"/>
        <v>1.0190266304312252E-2</v>
      </c>
      <c r="G1064" s="656">
        <v>1.0168410964088038E-2</v>
      </c>
    </row>
    <row r="1065" spans="5:7">
      <c r="E1065" s="658">
        <f ca="1">_xll.meDateFromTenor(E1064,"1D","Following",$C$16)</f>
        <v>44733</v>
      </c>
      <c r="F1065" s="659">
        <f ca="1"/>
        <v>1.019699448364416E-2</v>
      </c>
      <c r="G1065" s="656">
        <v>1.0175191181053023E-2</v>
      </c>
    </row>
    <row r="1066" spans="5:7">
      <c r="E1066" s="658">
        <f ca="1">_xll.meDateFromTenor(E1065,"1D","Following",$C$16)</f>
        <v>44734</v>
      </c>
      <c r="F1066" s="659">
        <f ca="1"/>
        <v>1.0203719024469898E-2</v>
      </c>
      <c r="G1066" s="656">
        <v>1.0181967975536442E-2</v>
      </c>
    </row>
    <row r="1067" spans="5:7">
      <c r="E1067" s="658">
        <f ca="1">_xll.meDateFromTenor(E1066,"1D","Following",$C$16)</f>
        <v>44735</v>
      </c>
      <c r="F1067" s="659">
        <f ca="1"/>
        <v>1.0210439946759778E-2</v>
      </c>
      <c r="G1067" s="656">
        <v>1.0202278046636369E-2</v>
      </c>
    </row>
    <row r="1068" spans="5:7">
      <c r="E1068" s="658">
        <f ca="1">_xll.meDateFromTenor(E1067,"1D","Following",$C$16)</f>
        <v>44736</v>
      </c>
      <c r="F1068" s="659">
        <f ca="1"/>
        <v>1.0217157270484124E-2</v>
      </c>
      <c r="G1068" s="656">
        <v>1.0209041373732592E-2</v>
      </c>
    </row>
    <row r="1069" spans="5:7">
      <c r="E1069" s="658">
        <f ca="1">_xll.meDateFromTenor(E1068,"1D","Following",$C$16)</f>
        <v>44739</v>
      </c>
      <c r="F1069" s="659">
        <f ca="1"/>
        <v>1.0237287849967122E-2</v>
      </c>
      <c r="G1069" s="656">
        <v>1.0215801389616787E-2</v>
      </c>
    </row>
    <row r="1070" spans="5:7">
      <c r="E1070" s="658">
        <f ca="1">_xll.meDateFromTenor(E1069,"1D","Following",$C$16)</f>
        <v>44740</v>
      </c>
      <c r="F1070" s="659">
        <f ca="1"/>
        <v>1.0243990979132497E-2</v>
      </c>
      <c r="G1070" s="656">
        <v>1.0222558116542858E-2</v>
      </c>
    </row>
    <row r="1071" spans="5:7">
      <c r="E1071" s="658">
        <f ca="1">_xll.meDateFromTenor(E1070,"1D","Following",$C$16)</f>
        <v>44741</v>
      </c>
      <c r="F1071" s="659">
        <f ca="1"/>
        <v>1.0250690609583928E-2</v>
      </c>
      <c r="G1071" s="656">
        <v>1.0229311576764717E-2</v>
      </c>
    </row>
    <row r="1072" spans="5:7">
      <c r="E1072" s="658">
        <f ca="1">_xll.meDateFromTenor(E1071,"1D","Following",$C$16)</f>
        <v>44742</v>
      </c>
      <c r="F1072" s="659">
        <f ca="1"/>
        <v>1.0257386761291724E-2</v>
      </c>
      <c r="G1072" s="656">
        <v>1.02495525797441E-2</v>
      </c>
    </row>
    <row r="1073" spans="5:7">
      <c r="E1073" s="658">
        <f ca="1">_xll.meDateFromTenor(E1072,"1D","Following",$C$16)</f>
        <v>44743</v>
      </c>
      <c r="F1073" s="659">
        <f ca="1"/>
        <v>1.0264079454226215E-2</v>
      </c>
      <c r="G1073" s="656">
        <v>1.0256293195688182E-2</v>
      </c>
    </row>
    <row r="1074" spans="5:7">
      <c r="E1074" s="658">
        <f ca="1">_xll.meDateFromTenor(E1073,"1D","Following",$C$16)</f>
        <v>44746</v>
      </c>
      <c r="F1074" s="659">
        <f ca="1"/>
        <v>1.0284136980092971E-2</v>
      </c>
      <c r="G1074" s="656">
        <v>1.0263030656197596E-2</v>
      </c>
    </row>
    <row r="1075" spans="5:7">
      <c r="E1075" s="658">
        <f ca="1">_xll.meDateFromTenor(E1074,"1D","Following",$C$16)</f>
        <v>44747</v>
      </c>
      <c r="F1075" s="659">
        <f ca="1"/>
        <v>1.0290816037637384E-2</v>
      </c>
      <c r="G1075" s="656">
        <v>1.0269764983526244E-2</v>
      </c>
    </row>
    <row r="1076" spans="5:7">
      <c r="E1076" s="658">
        <f ca="1">_xll.meDateFromTenor(E1075,"1D","Following",$C$16)</f>
        <v>44748</v>
      </c>
      <c r="F1076" s="659">
        <f ca="1"/>
        <v>1.0297491736260073E-2</v>
      </c>
      <c r="G1076" s="656">
        <v>1.0276496199928034E-2</v>
      </c>
    </row>
    <row r="1077" spans="5:7">
      <c r="E1077" s="658">
        <f ca="1">_xll.meDateFromTenor(E1076,"1D","Following",$C$16)</f>
        <v>44749</v>
      </c>
      <c r="F1077" s="659">
        <f ca="1"/>
        <v>1.0304164095931356E-2</v>
      </c>
      <c r="G1077" s="656">
        <v>1.0296671406111334E-2</v>
      </c>
    </row>
    <row r="1078" spans="5:7">
      <c r="E1078" s="658">
        <f ca="1">_xll.meDateFromTenor(E1077,"1D","Following",$C$16)</f>
        <v>44750</v>
      </c>
      <c r="F1078" s="659">
        <f ca="1"/>
        <v>1.0310833136621549E-2</v>
      </c>
      <c r="G1078" s="656">
        <v>1.0303390401344771E-2</v>
      </c>
    </row>
    <row r="1079" spans="5:7">
      <c r="E1079" s="658">
        <f ca="1">_xll.meDateFromTenor(E1078,"1D","Following",$C$16)</f>
        <v>44753</v>
      </c>
      <c r="F1079" s="659">
        <f ca="1"/>
        <v>1.0330820544508771E-2</v>
      </c>
      <c r="G1079" s="656">
        <v>1.0310106396920891E-2</v>
      </c>
    </row>
    <row r="1080" spans="5:7">
      <c r="E1080" s="658">
        <f ca="1">_xll.meDateFromTenor(E1079,"1D","Following",$C$16)</f>
        <v>44754</v>
      </c>
      <c r="F1080" s="659">
        <f ca="1"/>
        <v>1.0337476508977787E-2</v>
      </c>
      <c r="G1080" s="656">
        <v>1.0316819415093598E-2</v>
      </c>
    </row>
    <row r="1081" spans="5:7">
      <c r="E1081" s="658">
        <f ca="1">_xll.meDateFromTenor(E1080,"1D","Following",$C$16)</f>
        <v>44755</v>
      </c>
      <c r="F1081" s="659">
        <f ca="1"/>
        <v>1.03441292543173E-2</v>
      </c>
      <c r="G1081" s="656">
        <v>1.0323529478116806E-2</v>
      </c>
    </row>
    <row r="1082" spans="5:7">
      <c r="E1082" s="658">
        <f ca="1">_xll.meDateFromTenor(E1081,"1D","Following",$C$16)</f>
        <v>44756</v>
      </c>
      <c r="F1082" s="659">
        <f ca="1"/>
        <v>1.0350778800497633E-2</v>
      </c>
      <c r="G1082" s="656">
        <v>1.0343642158828494E-2</v>
      </c>
    </row>
    <row r="1083" spans="5:7">
      <c r="E1083" s="658">
        <f ca="1">_xll.meDateFromTenor(E1082,"1D","Following",$C$16)</f>
        <v>44757</v>
      </c>
      <c r="F1083" s="659">
        <f ca="1"/>
        <v>1.0357425167489099E-2</v>
      </c>
      <c r="G1083" s="656">
        <v>1.0350340623792767E-2</v>
      </c>
    </row>
    <row r="1084" spans="5:7">
      <c r="E1084" s="658">
        <f ca="1">_xll.meDateFromTenor(E1083,"1D","Following",$C$16)</f>
        <v>44760</v>
      </c>
      <c r="F1084" s="659">
        <f ca="1"/>
        <v>1.0377345393033484E-2</v>
      </c>
      <c r="G1084" s="656">
        <v>1.0357036244877084E-2</v>
      </c>
    </row>
    <row r="1085" spans="5:7">
      <c r="E1085" s="658">
        <f ca="1">_xll.meDateFromTenor(E1084,"1D","Following",$C$16)</f>
        <v>44761</v>
      </c>
      <c r="F1085" s="659">
        <f ca="1"/>
        <v>1.038397924297267E-2</v>
      </c>
      <c r="G1085" s="656">
        <v>1.0363729044335341E-2</v>
      </c>
    </row>
    <row r="1086" spans="5:7">
      <c r="E1086" s="658">
        <f ca="1">_xll.meDateFromTenor(E1085,"1D","Following",$C$16)</f>
        <v>44762</v>
      </c>
      <c r="F1086" s="659">
        <f ca="1"/>
        <v>1.0390610013574575E-2</v>
      </c>
      <c r="G1086" s="656">
        <v>1.0370419044421457E-2</v>
      </c>
    </row>
    <row r="1087" spans="5:7">
      <c r="E1087" s="658">
        <f ca="1">_xll.meDateFromTenor(E1086,"1D","Following",$C$16)</f>
        <v>44763</v>
      </c>
      <c r="F1087" s="659">
        <f ca="1"/>
        <v>1.0397237724809522E-2</v>
      </c>
      <c r="G1087" s="656">
        <v>1.0390472470985993E-2</v>
      </c>
    </row>
    <row r="1088" spans="5:7">
      <c r="E1088" s="658">
        <f ca="1">_xll.meDateFromTenor(E1087,"1D","Following",$C$16)</f>
        <v>44764</v>
      </c>
      <c r="F1088" s="659">
        <f ca="1"/>
        <v>1.0403862396647829E-2</v>
      </c>
      <c r="G1088" s="656">
        <v>1.0397151496122596E-2</v>
      </c>
    </row>
    <row r="1089" spans="5:7">
      <c r="E1089" s="658">
        <f ca="1">_xll.meDateFromTenor(E1088,"1D","Following",$C$16)</f>
        <v>44767</v>
      </c>
      <c r="F1089" s="659">
        <f ca="1"/>
        <v>1.0423718375486076E-2</v>
      </c>
      <c r="G1089" s="656">
        <v>1.0403827833156595E-2</v>
      </c>
    </row>
    <row r="1090" spans="5:7">
      <c r="E1090" s="658">
        <f ca="1">_xll.meDateFromTenor(E1089,"1D","Following",$C$16)</f>
        <v>44768</v>
      </c>
      <c r="F1090" s="659">
        <f ca="1"/>
        <v>1.0430331089440994E-2</v>
      </c>
      <c r="G1090" s="656">
        <v>1.0410501504341894E-2</v>
      </c>
    </row>
    <row r="1091" spans="5:7">
      <c r="E1091" s="658">
        <f ca="1">_xll.meDateFromTenor(E1090,"1D","Following",$C$16)</f>
        <v>44769</v>
      </c>
      <c r="F1091" s="659">
        <f ca="1"/>
        <v>1.0436940863850858E-2</v>
      </c>
      <c r="G1091" s="656">
        <v>1.04171725319324E-2</v>
      </c>
    </row>
    <row r="1092" spans="5:7">
      <c r="E1092" s="658">
        <f ca="1">_xll.meDateFromTenor(E1091,"1D","Following",$C$16)</f>
        <v>44770</v>
      </c>
      <c r="F1092" s="659">
        <f ca="1"/>
        <v>1.044354771868599E-2</v>
      </c>
      <c r="G1092" s="656">
        <v>1.0437169975674251E-2</v>
      </c>
    </row>
    <row r="1093" spans="5:7">
      <c r="E1093" s="658">
        <f ca="1">_xll.meDateFromTenor(E1092,"1D","Following",$C$16)</f>
        <v>44771</v>
      </c>
      <c r="F1093" s="659">
        <f ca="1"/>
        <v>1.04501516739167E-2</v>
      </c>
      <c r="G1093" s="656">
        <v>1.0443830651424672E-2</v>
      </c>
    </row>
    <row r="1094" spans="5:7">
      <c r="E1094" s="658">
        <f ca="1">_xll.meDateFromTenor(E1093,"1D","Following",$C$16)</f>
        <v>44774</v>
      </c>
      <c r="F1094" s="659">
        <f ca="1"/>
        <v>1.0469946341685509E-2</v>
      </c>
      <c r="G1094" s="656">
        <v>1.0450488794849843E-2</v>
      </c>
    </row>
    <row r="1095" spans="5:7">
      <c r="E1095" s="658">
        <f ca="1">_xll.meDateFromTenor(E1094,"1D","Following",$C$16)</f>
        <v>44775</v>
      </c>
      <c r="F1095" s="659">
        <f ca="1"/>
        <v>1.0476538898201731E-2</v>
      </c>
      <c r="G1095" s="656">
        <v>1.0457144428203669E-2</v>
      </c>
    </row>
    <row r="1096" spans="5:7">
      <c r="E1096" s="658">
        <f ca="1">_xll.meDateFromTenor(E1095,"1D","Following",$C$16)</f>
        <v>44776</v>
      </c>
      <c r="F1096" s="659">
        <f ca="1"/>
        <v>1.048312865496512E-2</v>
      </c>
      <c r="G1096" s="656">
        <v>1.0463797573740058E-2</v>
      </c>
    </row>
    <row r="1097" spans="5:7">
      <c r="E1097" s="658">
        <f ca="1">_xll.meDateFromTenor(E1096,"1D","Following",$C$16)</f>
        <v>44777</v>
      </c>
      <c r="F1097" s="659">
        <f ca="1"/>
        <v>1.0489715631945999E-2</v>
      </c>
      <c r="G1097" s="656">
        <v>1.0483742305983689E-2</v>
      </c>
    </row>
    <row r="1098" spans="5:7">
      <c r="E1098" s="658">
        <f ca="1">_xll.meDateFromTenor(E1097,"1D","Following",$C$16)</f>
        <v>44778</v>
      </c>
      <c r="F1098" s="659">
        <f ca="1"/>
        <v>1.049629984911468E-2</v>
      </c>
      <c r="G1098" s="656">
        <v>1.0490385722789418E-2</v>
      </c>
    </row>
    <row r="1099" spans="5:7">
      <c r="E1099" s="658">
        <f ca="1">_xll.meDateFromTenor(E1098,"1D","Following",$C$16)</f>
        <v>44781</v>
      </c>
      <c r="F1099" s="659">
        <f ca="1"/>
        <v>1.051603614145075E-2</v>
      </c>
      <c r="G1099" s="656">
        <v>1.0497026763047246E-2</v>
      </c>
    </row>
    <row r="1100" spans="5:7">
      <c r="E1100" s="658">
        <f ca="1">_xll.meDateFromTenor(E1099,"1D","Following",$C$16)</f>
        <v>44782</v>
      </c>
      <c r="F1100" s="659">
        <f ca="1"/>
        <v>1.0522609519073838E-2</v>
      </c>
      <c r="G1100" s="656">
        <v>1.0503665449011086E-2</v>
      </c>
    </row>
    <row r="1101" spans="5:7">
      <c r="E1101" s="658">
        <f ca="1">_xll.meDateFromTenor(E1100,"1D","Following",$C$16)</f>
        <v>44783</v>
      </c>
      <c r="F1101" s="659">
        <f ca="1"/>
        <v>1.0529180236736319E-2</v>
      </c>
      <c r="G1101" s="656">
        <v>1.0510301802934847E-2</v>
      </c>
    </row>
    <row r="1102" spans="5:7">
      <c r="E1102" s="658">
        <f ca="1">_xll.meDateFromTenor(E1101,"1D","Following",$C$16)</f>
        <v>44784</v>
      </c>
      <c r="F1102" s="659">
        <f ca="1"/>
        <v>1.0535748314408512E-2</v>
      </c>
      <c r="G1102" s="656">
        <v>1.0530197095004728E-2</v>
      </c>
    </row>
    <row r="1103" spans="5:7">
      <c r="E1103" s="658">
        <f ca="1">_xll.meDateFromTenor(E1102,"1D","Following",$C$16)</f>
        <v>44785</v>
      </c>
      <c r="F1103" s="659">
        <f ca="1"/>
        <v>1.0542313772060738E-2</v>
      </c>
      <c r="G1103" s="656">
        <v>1.0536824343307246E-2</v>
      </c>
    </row>
    <row r="1104" spans="5:7">
      <c r="E1104" s="658">
        <f ca="1">_xll.meDateFromTenor(E1103,"1D","Following",$C$16)</f>
        <v>44788</v>
      </c>
      <c r="F1104" s="659">
        <f ca="1"/>
        <v>1.0561994624600767E-2</v>
      </c>
      <c r="G1104" s="656">
        <v>1.054344937083922E-2</v>
      </c>
    </row>
    <row r="1105" spans="5:7">
      <c r="E1105" s="658">
        <f ca="1">_xll.meDateFromTenor(E1104,"1D","Following",$C$16)</f>
        <v>44789</v>
      </c>
      <c r="F1105" s="659">
        <f ca="1"/>
        <v>1.0568549801876284E-2</v>
      </c>
      <c r="G1105" s="656">
        <v>1.0550072199854569E-2</v>
      </c>
    </row>
    <row r="1106" spans="5:7">
      <c r="E1106" s="658">
        <f ca="1">_xll.meDateFromTenor(E1105,"1D","Following",$C$16)</f>
        <v>44790</v>
      </c>
      <c r="F1106" s="659">
        <f ca="1"/>
        <v>1.0575102458983425E-2</v>
      </c>
      <c r="G1106" s="656">
        <v>1.0556692852607187E-2</v>
      </c>
    </row>
    <row r="1107" spans="5:7">
      <c r="E1107" s="658">
        <f ca="1">_xll.meDateFromTenor(E1106,"1D","Following",$C$16)</f>
        <v>44791</v>
      </c>
      <c r="F1107" s="659">
        <f ca="1"/>
        <v>1.0581652615892499E-2</v>
      </c>
      <c r="G1107" s="656">
        <v>1.0576541975827776E-2</v>
      </c>
    </row>
    <row r="1108" spans="5:7">
      <c r="E1108" s="658">
        <f ca="1">_xll.meDateFromTenor(E1107,"1D","Following",$C$16)</f>
        <v>44792</v>
      </c>
      <c r="F1108" s="659">
        <f ca="1"/>
        <v>1.0588200292573829E-2</v>
      </c>
      <c r="G1108" s="656">
        <v>1.0583154146068578E-2</v>
      </c>
    </row>
    <row r="1109" spans="5:7">
      <c r="E1109" s="658">
        <f ca="1">_xll.meDateFromTenor(E1108,"1D","Following",$C$16)</f>
        <v>44795</v>
      </c>
      <c r="F1109" s="659">
        <f ca="1"/>
        <v>1.0607828640954515E-2</v>
      </c>
      <c r="G1109" s="656">
        <v>1.0589764251316193E-2</v>
      </c>
    </row>
    <row r="1110" spans="5:7">
      <c r="E1110" s="658">
        <f ca="1">_xll.meDateFromTenor(E1109,"1D","Following",$C$16)</f>
        <v>44796</v>
      </c>
      <c r="F1110" s="659">
        <f ca="1"/>
        <v>1.0614366596428037E-2</v>
      </c>
      <c r="G1110" s="656">
        <v>1.0596372313824532E-2</v>
      </c>
    </row>
    <row r="1111" spans="5:7">
      <c r="E1111" s="658">
        <f ca="1">_xll.meDateFromTenor(E1110,"1D","Following",$C$16)</f>
        <v>44797</v>
      </c>
      <c r="F1111" s="659">
        <f ca="1"/>
        <v>1.0620902171525401E-2</v>
      </c>
      <c r="G1111" s="656">
        <v>1.0602978355847496E-2</v>
      </c>
    </row>
    <row r="1112" spans="5:7">
      <c r="E1112" s="658">
        <f ca="1">_xll.meDateFromTenor(E1111,"1D","Following",$C$16)</f>
        <v>44798</v>
      </c>
      <c r="F1112" s="659">
        <f ca="1"/>
        <v>1.0627435386216921E-2</v>
      </c>
      <c r="G1112" s="656">
        <v>1.0622784581543263E-2</v>
      </c>
    </row>
    <row r="1113" spans="5:7">
      <c r="E1113" s="658">
        <f ca="1">_xll.meDateFromTenor(E1112,"1D","Following",$C$16)</f>
        <v>44799</v>
      </c>
      <c r="F1113" s="659">
        <f ca="1"/>
        <v>1.0633966260472923E-2</v>
      </c>
      <c r="G1113" s="656">
        <v>1.0629382764163833E-2</v>
      </c>
    </row>
    <row r="1114" spans="5:7">
      <c r="E1114" s="658">
        <f ca="1">_xll.meDateFromTenor(E1113,"1D","Following",$C$16)</f>
        <v>44802</v>
      </c>
      <c r="F1114" s="659">
        <f ca="1"/>
        <v>1.0653545040330968E-2</v>
      </c>
      <c r="G1114" s="656">
        <v>1.0635979037568574E-2</v>
      </c>
    </row>
    <row r="1115" spans="5:7">
      <c r="E1115" s="658">
        <f ca="1">_xll.meDateFromTenor(E1114,"1D","Following",$C$16)</f>
        <v>44803</v>
      </c>
      <c r="F1115" s="659">
        <f ca="1"/>
        <v>1.0660066752548054E-2</v>
      </c>
      <c r="G1115" s="656">
        <v>1.0642573424011389E-2</v>
      </c>
    </row>
    <row r="1116" spans="5:7">
      <c r="E1116" s="658">
        <f ca="1">_xll.meDateFromTenor(E1115,"1D","Following",$C$16)</f>
        <v>44804</v>
      </c>
      <c r="F1116" s="659">
        <f ca="1"/>
        <v>1.0666586224181209E-2</v>
      </c>
      <c r="G1116" s="656">
        <v>1.0649165945746194E-2</v>
      </c>
    </row>
    <row r="1117" spans="5:7">
      <c r="E1117" s="658">
        <f ca="1">_xll.meDateFromTenor(E1116,"1D","Following",$C$16)</f>
        <v>44805</v>
      </c>
      <c r="F1117" s="659">
        <f ca="1"/>
        <v>1.0673103475200747E-2</v>
      </c>
      <c r="G1117" s="656">
        <v>1.0668932545241603E-2</v>
      </c>
    </row>
    <row r="1118" spans="5:7">
      <c r="E1118" s="658">
        <f ca="1">_xll.meDateFromTenor(E1117,"1D","Following",$C$16)</f>
        <v>44806</v>
      </c>
      <c r="F1118" s="659">
        <f ca="1"/>
        <v>1.0679618525576987E-2</v>
      </c>
      <c r="G1118" s="656">
        <v>1.0675517830683427E-2</v>
      </c>
    </row>
    <row r="1119" spans="5:7">
      <c r="E1119" s="658">
        <f ca="1">_xll.meDateFromTenor(E1118,"1D","Following",$C$16)</f>
        <v>44809</v>
      </c>
      <c r="F1119" s="659">
        <f ca="1"/>
        <v>1.0699150672549087E-2</v>
      </c>
      <c r="G1119" s="656">
        <v>1.0682101362686781E-2</v>
      </c>
    </row>
    <row r="1120" spans="5:7">
      <c r="E1120" s="658">
        <f ca="1">_xll.meDateFromTenor(E1119,"1D","Following",$C$16)</f>
        <v>44810</v>
      </c>
      <c r="F1120" s="659">
        <f ca="1"/>
        <v>1.0705657120055308E-2</v>
      </c>
      <c r="G1120" s="656">
        <v>1.0688683163505569E-2</v>
      </c>
    </row>
    <row r="1121" spans="5:7">
      <c r="E1121" s="658">
        <f ca="1">_xll.meDateFromTenor(E1120,"1D","Following",$C$16)</f>
        <v>44811</v>
      </c>
      <c r="F1121" s="659">
        <f ca="1"/>
        <v>1.0712161466769819E-2</v>
      </c>
      <c r="G1121" s="656">
        <v>1.0695263255393698E-2</v>
      </c>
    </row>
    <row r="1122" spans="5:7">
      <c r="E1122" s="658">
        <f ca="1">_xll.meDateFromTenor(E1121,"1D","Following",$C$16)</f>
        <v>44812</v>
      </c>
      <c r="F1122" s="659">
        <f ca="1"/>
        <v>1.0718663732662935E-2</v>
      </c>
      <c r="G1122" s="656">
        <v>1.071499350001321E-2</v>
      </c>
    </row>
    <row r="1123" spans="5:7">
      <c r="E1123" s="658">
        <f ca="1">_xll.meDateFromTenor(E1122,"1D","Following",$C$16)</f>
        <v>44813</v>
      </c>
      <c r="F1123" s="659">
        <f ca="1"/>
        <v>1.0725163937704979E-2</v>
      </c>
      <c r="G1123" s="656">
        <v>1.0721566978717782E-2</v>
      </c>
    </row>
    <row r="1124" spans="5:7">
      <c r="E1124" s="658">
        <f ca="1">_xll.meDateFromTenor(E1123,"1D","Following",$C$16)</f>
        <v>44816</v>
      </c>
      <c r="F1124" s="659">
        <f ca="1"/>
        <v>1.0744652387427835E-2</v>
      </c>
      <c r="G1124" s="656">
        <v>1.0728138859761241E-2</v>
      </c>
    </row>
    <row r="1125" spans="5:7">
      <c r="E1125" s="658">
        <f ca="1">_xll.meDateFromTenor(E1124,"1D","Following",$C$16)</f>
        <v>44817</v>
      </c>
      <c r="F1125" s="659">
        <f ca="1"/>
        <v>1.0751144548768755E-2</v>
      </c>
      <c r="G1125" s="656">
        <v>1.0734709165397482E-2</v>
      </c>
    </row>
    <row r="1126" spans="5:7">
      <c r="E1126" s="658">
        <f ca="1">_xll.meDateFromTenor(E1125,"1D","Following",$C$16)</f>
        <v>44818</v>
      </c>
      <c r="F1126" s="659">
        <f ca="1"/>
        <v>1.0757634749110191E-2</v>
      </c>
      <c r="G1126" s="656">
        <v>1.0741277917880425E-2</v>
      </c>
    </row>
    <row r="1127" spans="5:7">
      <c r="E1127" s="658">
        <f ca="1">_xll.meDateFromTenor(E1126,"1D","Following",$C$16)</f>
        <v>44819</v>
      </c>
      <c r="F1127" s="659">
        <f ca="1"/>
        <v>1.0764123008422454E-2</v>
      </c>
      <c r="G1127" s="656">
        <v>1.0760975078948508E-2</v>
      </c>
    </row>
    <row r="1128" spans="5:7">
      <c r="E1128" s="658">
        <f ca="1">_xll.meDateFromTenor(E1127,"1D","Following",$C$16)</f>
        <v>44820</v>
      </c>
      <c r="F1128" s="659">
        <f ca="1"/>
        <v>1.0770609346675869E-2</v>
      </c>
      <c r="G1128" s="656">
        <v>1.0767537841357318E-2</v>
      </c>
    </row>
    <row r="1129" spans="5:7">
      <c r="E1129" s="658">
        <f ca="1">_xll.meDateFromTenor(E1128,"1D","Following",$C$16)</f>
        <v>44823</v>
      </c>
      <c r="F1129" s="659">
        <f ca="1"/>
        <v>1.0790057034786181E-2</v>
      </c>
      <c r="G1129" s="656">
        <v>1.0774099161882364E-2</v>
      </c>
    </row>
    <row r="1130" spans="5:7">
      <c r="E1130" s="658">
        <f ca="1">_xll.meDateFromTenor(E1129,"1D","Following",$C$16)</f>
        <v>44824</v>
      </c>
      <c r="F1130" s="659">
        <f ca="1"/>
        <v>1.0796535888507368E-2</v>
      </c>
      <c r="G1130" s="656">
        <v>1.0780659062777552E-2</v>
      </c>
    </row>
    <row r="1131" spans="5:7">
      <c r="E1131" s="658">
        <f ca="1">_xll.meDateFromTenor(E1130,"1D","Following",$C$16)</f>
        <v>44825</v>
      </c>
      <c r="F1131" s="659">
        <f ca="1"/>
        <v>1.0803012921021289E-2</v>
      </c>
      <c r="G1131" s="656">
        <v>1.0787217566296796E-2</v>
      </c>
    </row>
    <row r="1132" spans="5:7">
      <c r="E1132" s="658">
        <f ca="1">_xll.meDateFromTenor(E1131,"1D","Following",$C$16)</f>
        <v>44826</v>
      </c>
      <c r="F1132" s="659">
        <f ca="1"/>
        <v>1.0809488152298269E-2</v>
      </c>
      <c r="G1132" s="656">
        <v>1.0806884915137916E-2</v>
      </c>
    </row>
    <row r="1133" spans="5:7">
      <c r="E1133" s="658">
        <f ca="1">_xll.meDateFromTenor(E1132,"1D","Following",$C$16)</f>
        <v>44827</v>
      </c>
      <c r="F1133" s="659">
        <f ca="1"/>
        <v>1.081596160230862E-2</v>
      </c>
      <c r="G1133" s="656">
        <v>1.0813438051692445E-2</v>
      </c>
    </row>
    <row r="1134" spans="5:7">
      <c r="E1134" s="658">
        <f ca="1">_xll.meDateFromTenor(E1133,"1D","Following",$C$16)</f>
        <v>44830</v>
      </c>
      <c r="F1134" s="659">
        <f ca="1"/>
        <v>1.083537146444309E-2</v>
      </c>
      <c r="G1134" s="656">
        <v>1.0819989902140571E-2</v>
      </c>
    </row>
    <row r="1135" spans="5:7">
      <c r="E1135" s="658">
        <f ca="1">_xll.meDateFromTenor(E1134,"1D","Following",$C$16)</f>
        <v>44831</v>
      </c>
      <c r="F1135" s="659">
        <f ca="1"/>
        <v>1.0841837989090107E-2</v>
      </c>
      <c r="G1135" s="656">
        <v>1.0826540488736193E-2</v>
      </c>
    </row>
    <row r="1136" spans="5:7">
      <c r="E1136" s="658">
        <f ca="1">_xll.meDateFromTenor(E1135,"1D","Following",$C$16)</f>
        <v>44832</v>
      </c>
      <c r="F1136" s="659">
        <f ca="1"/>
        <v>1.0848302832322083E-2</v>
      </c>
      <c r="G1136" s="656">
        <v>1.0833089833733227E-2</v>
      </c>
    </row>
    <row r="1137" spans="5:7">
      <c r="E1137" s="658">
        <f ca="1">_xll.meDateFromTenor(E1136,"1D","Following",$C$16)</f>
        <v>44833</v>
      </c>
      <c r="F1137" s="659">
        <f ca="1"/>
        <v>1.0854766014109346E-2</v>
      </c>
      <c r="G1137" s="656">
        <v>1.0852730641671847E-2</v>
      </c>
    </row>
    <row r="1138" spans="5:7">
      <c r="E1138" s="658">
        <f ca="1">_xll.meDateFromTenor(E1137,"1D","Following",$C$16)</f>
        <v>44834</v>
      </c>
      <c r="F1138" s="659">
        <f ca="1"/>
        <v>1.0861227554422197E-2</v>
      </c>
      <c r="G1138" s="656">
        <v>1.085927524281359E-2</v>
      </c>
    </row>
    <row r="1139" spans="5:7">
      <c r="E1139" s="658">
        <f ca="1">_xll.meDateFromTenor(E1138,"1D","Following",$C$16)</f>
        <v>44837</v>
      </c>
      <c r="F1139" s="659">
        <f ca="1"/>
        <v>1.0880602526217519E-2</v>
      </c>
      <c r="G1139" s="656">
        <v>1.0865818713626281E-2</v>
      </c>
    </row>
    <row r="1140" spans="5:7">
      <c r="E1140" s="658">
        <f ca="1">_xll.meDateFromTenor(E1139,"1D","Following",$C$16)</f>
        <v>44838</v>
      </c>
      <c r="F1140" s="659">
        <f ca="1"/>
        <v>1.0887057700335937E-2</v>
      </c>
      <c r="G1140" s="656">
        <v>1.0872361076363827E-2</v>
      </c>
    </row>
    <row r="1141" spans="5:7">
      <c r="E1141" s="658">
        <f ca="1">_xll.meDateFromTenor(E1140,"1D","Following",$C$16)</f>
        <v>44839</v>
      </c>
      <c r="F1141" s="659">
        <f ca="1"/>
        <v>1.0893511332831536E-2</v>
      </c>
      <c r="G1141" s="656">
        <v>1.0878902353280137E-2</v>
      </c>
    </row>
    <row r="1142" spans="5:7">
      <c r="E1142" s="658">
        <f ca="1">_xll.meDateFromTenor(E1141,"1D","Following",$C$16)</f>
        <v>44840</v>
      </c>
      <c r="F1142" s="659">
        <f ca="1"/>
        <v>1.0899963443674643E-2</v>
      </c>
      <c r="G1142" s="656">
        <v>1.0898519891640725E-2</v>
      </c>
    </row>
    <row r="1143" spans="5:7">
      <c r="E1143" s="658">
        <f ca="1">_xll.meDateFromTenor(E1142,"1D","Following",$C$16)</f>
        <v>44841</v>
      </c>
      <c r="F1143" s="659">
        <f ca="1"/>
        <v>1.0906414052835565E-2</v>
      </c>
      <c r="G1143" s="656">
        <v>1.0905057047811167E-2</v>
      </c>
    </row>
    <row r="1144" spans="5:7">
      <c r="E1144" s="658">
        <f ca="1">_xll.meDateFromTenor(E1143,"1D","Following",$C$16)</f>
        <v>44844</v>
      </c>
      <c r="F1144" s="659">
        <f ca="1"/>
        <v>1.0925757069928439E-2</v>
      </c>
      <c r="G1144" s="656">
        <v>1.0911593229429912E-2</v>
      </c>
    </row>
    <row r="1145" spans="5:7">
      <c r="E1145" s="658">
        <f ca="1">_xll.meDateFromTenor(E1144,"1D","Following",$C$16)</f>
        <v>44845</v>
      </c>
      <c r="F1145" s="659">
        <f ca="1"/>
        <v>1.0932201872063823E-2</v>
      </c>
      <c r="G1145" s="656">
        <v>1.091812845875087E-2</v>
      </c>
    </row>
    <row r="1146" spans="5:7">
      <c r="E1146" s="658">
        <f ca="1">_xll.meDateFromTenor(E1145,"1D","Following",$C$16)</f>
        <v>44846</v>
      </c>
      <c r="F1146" s="659">
        <f ca="1"/>
        <v>1.0938645272368612E-2</v>
      </c>
      <c r="G1146" s="656">
        <v>1.0924662758027948E-2</v>
      </c>
    </row>
    <row r="1147" spans="5:7">
      <c r="E1147" s="658">
        <f ca="1">_xll.meDateFromTenor(E1146,"1D","Following",$C$16)</f>
        <v>44847</v>
      </c>
      <c r="F1147" s="659">
        <f ca="1"/>
        <v>1.0945087290813131E-2</v>
      </c>
      <c r="G1147" s="656">
        <v>1.0944260298134967E-2</v>
      </c>
    </row>
    <row r="1148" spans="5:7">
      <c r="E1148" s="658">
        <f ca="1">_xll.meDateFromTenor(E1147,"1D","Following",$C$16)</f>
        <v>44848</v>
      </c>
      <c r="F1148" s="659">
        <f ca="1"/>
        <v>1.0951527947367692E-2</v>
      </c>
      <c r="G1148" s="656">
        <v>1.0950791099775599E-2</v>
      </c>
    </row>
    <row r="1149" spans="5:7">
      <c r="E1149" s="658">
        <f ca="1">_xll.meDateFromTenor(E1148,"1D","Following",$C$16)</f>
        <v>44851</v>
      </c>
      <c r="F1149" s="659">
        <f ca="1"/>
        <v>1.0970841945394815E-2</v>
      </c>
      <c r="G1149" s="656">
        <v>1.0957321082641887E-2</v>
      </c>
    </row>
    <row r="1150" spans="5:7">
      <c r="E1150" s="658">
        <f ca="1">_xll.meDateFromTenor(E1149,"1D","Following",$C$16)</f>
        <v>44852</v>
      </c>
      <c r="F1150" s="659">
        <f ca="1"/>
        <v>1.097727735409273E-2</v>
      </c>
      <c r="G1150" s="656">
        <v>1.0963850268987741E-2</v>
      </c>
    </row>
    <row r="1151" spans="5:7">
      <c r="E1151" s="658">
        <f ca="1">_xll.meDateFromTenor(E1150,"1D","Following",$C$16)</f>
        <v>44853</v>
      </c>
      <c r="F1151" s="659">
        <f ca="1"/>
        <v>1.0983711500752275E-2</v>
      </c>
      <c r="G1151" s="656">
        <v>1.0970378681067072E-2</v>
      </c>
    </row>
    <row r="1152" spans="5:7">
      <c r="E1152" s="658">
        <f ca="1">_xll.meDateFromTenor(E1151,"1D","Following",$C$16)</f>
        <v>44854</v>
      </c>
      <c r="F1152" s="659">
        <f ca="1"/>
        <v>1.0990144405343773E-2</v>
      </c>
      <c r="G1152" s="656">
        <v>1.0989959494244993E-2</v>
      </c>
    </row>
    <row r="1153" spans="5:7">
      <c r="E1153" s="658">
        <f ca="1">_xll.meDateFromTenor(E1152,"1D","Following",$C$16)</f>
        <v>44855</v>
      </c>
      <c r="F1153" s="659">
        <f ca="1"/>
        <v>1.0996576087837535E-2</v>
      </c>
      <c r="G1153" s="656">
        <v>1.0996485031797299E-2</v>
      </c>
    </row>
    <row r="1154" spans="5:7">
      <c r="E1154" s="658">
        <f ca="1">_xll.meDateFromTenor(E1153,"1D","Following",$C$16)</f>
        <v>44858</v>
      </c>
      <c r="F1154" s="659">
        <f ca="1"/>
        <v>1.1015864002435611E-2</v>
      </c>
      <c r="G1154" s="656">
        <v>1.1003009906352621E-2</v>
      </c>
    </row>
    <row r="1155" spans="5:7">
      <c r="E1155" s="658">
        <f ca="1">_xll.meDateFromTenor(E1154,"1D","Following",$C$16)</f>
        <v>44859</v>
      </c>
      <c r="F1155" s="659">
        <f ca="1"/>
        <v>1.1022290996241623E-2</v>
      </c>
      <c r="G1155" s="656">
        <v>1.1009534140164864E-2</v>
      </c>
    </row>
    <row r="1156" spans="5:7">
      <c r="E1156" s="658">
        <f ca="1">_xll.meDateFromTenor(E1155,"1D","Following",$C$16)</f>
        <v>44860</v>
      </c>
      <c r="F1156" s="659">
        <f ca="1"/>
        <v>1.102871686780149E-2</v>
      </c>
      <c r="G1156" s="656">
        <v>1.1016057755487935E-2</v>
      </c>
    </row>
    <row r="1157" spans="5:7">
      <c r="E1157" s="658">
        <f ca="1">_xll.meDateFromTenor(E1156,"1D","Following",$C$16)</f>
        <v>44861</v>
      </c>
      <c r="F1157" s="659">
        <f ca="1"/>
        <v>1.1035141637085532E-2</v>
      </c>
      <c r="G1157" s="656">
        <v>1.1035625113061215E-2</v>
      </c>
    </row>
    <row r="1158" spans="5:7">
      <c r="E1158" s="658">
        <f ca="1">_xll.meDateFromTenor(E1157,"1D","Following",$C$16)</f>
        <v>44862</v>
      </c>
      <c r="F1158" s="659">
        <f ca="1"/>
        <v>1.1041565324064063E-2</v>
      </c>
      <c r="G1158" s="656">
        <v>1.1042146476966688E-2</v>
      </c>
    </row>
    <row r="1159" spans="5:7">
      <c r="E1159" s="658">
        <f ca="1">_xll.meDateFromTenor(E1158,"1D","Following",$C$16)</f>
        <v>44865</v>
      </c>
      <c r="F1159" s="659">
        <f ca="1"/>
        <v>1.106083009086979E-2</v>
      </c>
      <c r="G1159" s="656">
        <v>1.1048667333652529E-2</v>
      </c>
    </row>
    <row r="1160" spans="5:7">
      <c r="E1160" s="658">
        <f ca="1">_xll.meDateFromTenor(E1159,"1D","Following",$C$16)</f>
        <v>44866</v>
      </c>
      <c r="F1160" s="659">
        <f ca="1"/>
        <v>1.1067249648329464E-2</v>
      </c>
      <c r="G1160" s="656">
        <v>1.1055187705372648E-2</v>
      </c>
    </row>
    <row r="1161" spans="5:7">
      <c r="E1161" s="658">
        <f ca="1">_xll.meDateFromTenor(E1160,"1D","Following",$C$16)</f>
        <v>44867</v>
      </c>
      <c r="F1161" s="659">
        <f ca="1"/>
        <v>1.1073668223335222E-2</v>
      </c>
      <c r="G1161" s="656">
        <v>1.1061707614380953E-2</v>
      </c>
    </row>
    <row r="1162" spans="5:7">
      <c r="E1162" s="658">
        <f ca="1">_xll.meDateFromTenor(E1161,"1D","Following",$C$16)</f>
        <v>44868</v>
      </c>
      <c r="F1162" s="659">
        <f ca="1"/>
        <v>1.1080085835857375E-2</v>
      </c>
      <c r="G1162" s="656">
        <v>1.1081264787674057E-2</v>
      </c>
    </row>
    <row r="1163" spans="5:7">
      <c r="E1163" s="658">
        <f ca="1">_xll.meDateFromTenor(E1162,"1D","Following",$C$16)</f>
        <v>44869</v>
      </c>
      <c r="F1163" s="659">
        <f ca="1"/>
        <v>1.1086502505866245E-2</v>
      </c>
      <c r="G1163" s="656">
        <v>1.1087783068374183E-2</v>
      </c>
    </row>
    <row r="1164" spans="5:7">
      <c r="E1164" s="658">
        <f ca="1">_xll.meDateFromTenor(E1163,"1D","Following",$C$16)</f>
        <v>44872</v>
      </c>
      <c r="F1164" s="659">
        <f ca="1"/>
        <v>1.1105747060516317E-2</v>
      </c>
      <c r="G1164" s="656">
        <v>1.1094300997632032E-2</v>
      </c>
    </row>
    <row r="1165" spans="5:7">
      <c r="E1165" s="658">
        <f ca="1">_xll.meDateFromTenor(E1164,"1D","Following",$C$16)</f>
        <v>44873</v>
      </c>
      <c r="F1165" s="659">
        <f ca="1"/>
        <v>1.1112160160175227E-2</v>
      </c>
      <c r="G1165" s="656">
        <v>1.1100818597701517E-2</v>
      </c>
    </row>
    <row r="1166" spans="5:7">
      <c r="E1166" s="658">
        <f ca="1">_xll.meDateFromTenor(E1165,"1D","Following",$C$16)</f>
        <v>44874</v>
      </c>
      <c r="F1166" s="659">
        <f ca="1"/>
        <v>1.1118572410543587E-2</v>
      </c>
      <c r="G1166" s="656">
        <v>1.1107335882186218E-2</v>
      </c>
    </row>
    <row r="1167" spans="5:7">
      <c r="E1167" s="658">
        <f ca="1">_xll.meDateFromTenor(E1166,"1D","Following",$C$16)</f>
        <v>44875</v>
      </c>
      <c r="F1167" s="659">
        <f ca="1"/>
        <v>1.1124983798447469E-2</v>
      </c>
      <c r="G1167" s="656">
        <v>1.1126885597553203E-2</v>
      </c>
    </row>
    <row r="1168" spans="5:7">
      <c r="E1168" s="658">
        <f ca="1">_xll.meDateFromTenor(E1167,"1D","Following",$C$16)</f>
        <v>44876</v>
      </c>
      <c r="F1168" s="659">
        <f ca="1"/>
        <v>1.1131394304084097E-2</v>
      </c>
      <c r="G1168" s="656">
        <v>1.1133401357819702E-2</v>
      </c>
    </row>
    <row r="1169" spans="5:7">
      <c r="E1169" s="658">
        <f ca="1">_xll.meDateFromTenor(E1168,"1D","Following",$C$16)</f>
        <v>44879</v>
      </c>
      <c r="F1169" s="659">
        <f ca="1"/>
        <v>1.1150620329362634E-2</v>
      </c>
      <c r="G1169" s="656">
        <v>1.1139916662911566E-2</v>
      </c>
    </row>
    <row r="1170" spans="5:7">
      <c r="E1170" s="658">
        <f ca="1">_xll.meDateFromTenor(E1169,"1D","Following",$C$16)</f>
        <v>44880</v>
      </c>
      <c r="F1170" s="659">
        <f ca="1"/>
        <v>1.1157027107902432E-2</v>
      </c>
      <c r="G1170" s="656">
        <v>1.1146431483180751E-2</v>
      </c>
    </row>
    <row r="1171" spans="5:7">
      <c r="E1171" s="658">
        <f ca="1">_xll.meDateFromTenor(E1170,"1D","Following",$C$16)</f>
        <v>44881</v>
      </c>
      <c r="F1171" s="659">
        <f ca="1"/>
        <v>1.1163432905161072E-2</v>
      </c>
      <c r="G1171" s="656">
        <v>1.1152945788979225E-2</v>
      </c>
    </row>
    <row r="1172" spans="5:7">
      <c r="E1172" s="658">
        <f ca="1">_xll.meDateFromTenor(E1171,"1D","Following",$C$16)</f>
        <v>44882</v>
      </c>
      <c r="F1172" s="659">
        <f ca="1"/>
        <v>1.1169837701335774E-2</v>
      </c>
      <c r="G1172" s="656">
        <v>1.1172485323070011E-2</v>
      </c>
    </row>
    <row r="1173" spans="5:7">
      <c r="E1173" s="658">
        <f ca="1">_xll.meDateFromTenor(E1172,"1D","Following",$C$16)</f>
        <v>44883</v>
      </c>
      <c r="F1173" s="659">
        <f ca="1"/>
        <v>1.1176241476623758E-2</v>
      </c>
      <c r="G1173" s="656">
        <v>1.1178997274505276E-2</v>
      </c>
    </row>
    <row r="1174" spans="5:7">
      <c r="E1174" s="658">
        <f ca="1">_xll.meDateFromTenor(E1173,"1D","Following",$C$16)</f>
        <v>44886</v>
      </c>
      <c r="F1174" s="659">
        <f ca="1"/>
        <v>1.1195446479139589E-2</v>
      </c>
      <c r="G1174" s="656">
        <v>1.1185508563229647E-2</v>
      </c>
    </row>
    <row r="1175" spans="5:7">
      <c r="E1175" s="658">
        <f ca="1">_xll.meDateFromTenor(E1174,"1D","Following",$C$16)</f>
        <v>44887</v>
      </c>
      <c r="F1175" s="659">
        <f ca="1"/>
        <v>1.1201845972852896E-2</v>
      </c>
      <c r="G1175" s="656">
        <v>1.1192019159595086E-2</v>
      </c>
    </row>
    <row r="1176" spans="5:7">
      <c r="E1176" s="658">
        <f ca="1">_xll.meDateFromTenor(E1175,"1D","Following",$C$16)</f>
        <v>44888</v>
      </c>
      <c r="F1176" s="659">
        <f ca="1"/>
        <v>1.1208244346665581E-2</v>
      </c>
      <c r="G1176" s="656">
        <v>1.1198529033953563E-2</v>
      </c>
    </row>
    <row r="1177" spans="5:7">
      <c r="E1177" s="658">
        <f ca="1">_xll.meDateFromTenor(E1176,"1D","Following",$C$16)</f>
        <v>44889</v>
      </c>
      <c r="F1177" s="659">
        <f ca="1"/>
        <v>1.1214641580774867E-2</v>
      </c>
      <c r="G1177" s="656">
        <v>1.1218054028506836E-2</v>
      </c>
    </row>
    <row r="1178" spans="5:7">
      <c r="E1178" s="658">
        <f ca="1">_xll.meDateFromTenor(E1177,"1D","Following",$C$16)</f>
        <v>44890</v>
      </c>
      <c r="F1178" s="659">
        <f ca="1"/>
        <v>1.1221037655377974E-2</v>
      </c>
      <c r="G1178" s="656">
        <v>1.1224560718357087E-2</v>
      </c>
    </row>
    <row r="1179" spans="5:7">
      <c r="E1179" s="658">
        <f ca="1">_xll.meDateFromTenor(E1178,"1D","Following",$C$16)</f>
        <v>44893</v>
      </c>
      <c r="F1179" s="659">
        <f ca="1"/>
        <v>1.1240218724122409E-2</v>
      </c>
      <c r="G1179" s="656">
        <v>1.1231066537960195E-2</v>
      </c>
    </row>
    <row r="1180" spans="5:7">
      <c r="E1180" s="658">
        <f ca="1">_xll.meDateFromTenor(E1179,"1D","Following",$C$16)</f>
        <v>44894</v>
      </c>
      <c r="F1180" s="659">
        <f ca="1"/>
        <v>1.1246609962672991E-2</v>
      </c>
      <c r="G1180" s="656">
        <v>1.1237571457668117E-2</v>
      </c>
    </row>
    <row r="1181" spans="5:7">
      <c r="E1181" s="658">
        <f ca="1">_xll.meDateFromTenor(E1180,"1D","Following",$C$16)</f>
        <v>44895</v>
      </c>
      <c r="F1181" s="659">
        <f ca="1"/>
        <v>1.1252999942703488E-2</v>
      </c>
      <c r="G1181" s="656">
        <v>1.1244075447832826E-2</v>
      </c>
    </row>
    <row r="1182" spans="5:7">
      <c r="E1182" s="658">
        <f ca="1">_xll.meDateFromTenor(E1181,"1D","Following",$C$16)</f>
        <v>44896</v>
      </c>
      <c r="F1182" s="659">
        <f ca="1"/>
        <v>1.1259388644411127E-2</v>
      </c>
      <c r="G1182" s="656">
        <v>1.1263581544587269E-2</v>
      </c>
    </row>
    <row r="1183" spans="5:7">
      <c r="E1183" s="658">
        <f ca="1">_xll.meDateFromTenor(E1182,"1D","Following",$C$16)</f>
        <v>44897</v>
      </c>
      <c r="F1183" s="659">
        <f ca="1"/>
        <v>1.1265776047993127E-2</v>
      </c>
      <c r="G1183" s="656">
        <v>1.1270081520098738E-2</v>
      </c>
    </row>
    <row r="1184" spans="5:7">
      <c r="E1184" s="658">
        <f ca="1">_xll.meDateFromTenor(E1183,"1D","Following",$C$16)</f>
        <v>44900</v>
      </c>
      <c r="F1184" s="659">
        <f ca="1"/>
        <v>1.1284930271957462E-2</v>
      </c>
      <c r="G1184" s="656">
        <v>1.1276580417826809E-2</v>
      </c>
    </row>
    <row r="1185" spans="5:7">
      <c r="E1185" s="658">
        <f ca="1">_xll.meDateFromTenor(E1184,"1D","Following",$C$16)</f>
        <v>44901</v>
      </c>
      <c r="F1185" s="659">
        <f ca="1"/>
        <v>1.1291312285009087E-2</v>
      </c>
      <c r="G1185" s="656">
        <v>1.1283078208123446E-2</v>
      </c>
    </row>
    <row r="1186" spans="5:7">
      <c r="E1186" s="658">
        <f ca="1">_xll.meDateFromTenor(E1185,"1D","Following",$C$16)</f>
        <v>44902</v>
      </c>
      <c r="F1186" s="659">
        <f ca="1"/>
        <v>1.1297692900921169E-2</v>
      </c>
      <c r="G1186" s="656">
        <v>1.1289574861340608E-2</v>
      </c>
    </row>
    <row r="1187" spans="5:7">
      <c r="E1187" s="658">
        <f ca="1">_xll.meDateFromTenor(E1186,"1D","Following",$C$16)</f>
        <v>44903</v>
      </c>
      <c r="F1187" s="659">
        <f ca="1"/>
        <v>1.1304072099890932E-2</v>
      </c>
      <c r="G1187" s="656">
        <v>1.1309057702034907E-2</v>
      </c>
    </row>
    <row r="1188" spans="5:7">
      <c r="E1188" s="658">
        <f ca="1">_xll.meDateFromTenor(E1187,"1D","Following",$C$16)</f>
        <v>44904</v>
      </c>
      <c r="F1188" s="659">
        <f ca="1"/>
        <v>1.1310449862115586E-2</v>
      </c>
      <c r="G1188" s="656">
        <v>1.1315549510453824E-2</v>
      </c>
    </row>
    <row r="1189" spans="5:7">
      <c r="E1189" s="658">
        <f ca="1">_xll.meDateFromTenor(E1188,"1D","Following",$C$16)</f>
        <v>44907</v>
      </c>
      <c r="F1189" s="659">
        <f ca="1"/>
        <v>1.1329574330291128E-2</v>
      </c>
      <c r="G1189" s="656">
        <v>1.1322040033553086E-2</v>
      </c>
    </row>
    <row r="1190" spans="5:7">
      <c r="E1190" s="658">
        <f ca="1">_xll.meDateFromTenor(E1189,"1D","Following",$C$16)</f>
        <v>44908</v>
      </c>
      <c r="F1190" s="659">
        <f ca="1"/>
        <v>1.1335946147507568E-2</v>
      </c>
      <c r="G1190" s="656">
        <v>1.1328529241684664E-2</v>
      </c>
    </row>
    <row r="1191" spans="5:7">
      <c r="E1191" s="658">
        <f ca="1">_xll.meDateFromTenor(E1190,"1D","Following",$C$16)</f>
        <v>44909</v>
      </c>
      <c r="F1191" s="659">
        <f ca="1"/>
        <v>1.1342316428965002E-2</v>
      </c>
      <c r="G1191" s="656">
        <v>1.1335017105200513E-2</v>
      </c>
    </row>
    <row r="1192" spans="5:7">
      <c r="E1192" s="658">
        <f ca="1">_xll.meDateFromTenor(E1191,"1D","Following",$C$16)</f>
        <v>44910</v>
      </c>
      <c r="F1192" s="659">
        <f ca="1"/>
        <v>1.1348685154860649E-2</v>
      </c>
      <c r="G1192" s="656">
        <v>1.1354472331573351E-2</v>
      </c>
    </row>
    <row r="1193" spans="5:7">
      <c r="E1193" s="658">
        <f ca="1">_xll.meDateFromTenor(E1192,"1D","Following",$C$16)</f>
        <v>44911</v>
      </c>
      <c r="F1193" s="659">
        <f ca="1"/>
        <v>1.1355052305391732E-2</v>
      </c>
      <c r="G1193" s="656">
        <v>1.1360954520145943E-2</v>
      </c>
    </row>
    <row r="1194" spans="5:7">
      <c r="E1194" s="658">
        <f ca="1">_xll.meDateFromTenor(E1193,"1D","Following",$C$16)</f>
        <v>44914</v>
      </c>
      <c r="F1194" s="659">
        <f ca="1"/>
        <v>1.1374144106769785E-2</v>
      </c>
      <c r="G1194" s="656">
        <v>1.1367435215862627E-2</v>
      </c>
    </row>
    <row r="1195" spans="5:7">
      <c r="E1195" s="658">
        <f ca="1">_xll.meDateFromTenor(E1194,"1D","Following",$C$16)</f>
        <v>44915</v>
      </c>
      <c r="F1195" s="659">
        <f ca="1"/>
        <v>1.1380504757814804E-2</v>
      </c>
      <c r="G1195" s="656">
        <v>1.137391438907537E-2</v>
      </c>
    </row>
    <row r="1196" spans="5:7">
      <c r="E1196" s="658">
        <f ca="1">_xll.meDateFromTenor(E1195,"1D","Following",$C$16)</f>
        <v>44916</v>
      </c>
      <c r="F1196" s="659">
        <f ca="1"/>
        <v>1.1386863734481356E-2</v>
      </c>
      <c r="G1196" s="656">
        <v>1.1380392010136135E-2</v>
      </c>
    </row>
    <row r="1197" spans="5:7">
      <c r="E1197" s="658">
        <f ca="1">_xll.meDateFromTenor(E1196,"1D","Following",$C$16)</f>
        <v>44917</v>
      </c>
      <c r="F1197" s="659">
        <f ca="1"/>
        <v>1.1393221016966661E-2</v>
      </c>
      <c r="G1197" s="656">
        <v>1.1399815263926201E-2</v>
      </c>
    </row>
    <row r="1198" spans="5:7">
      <c r="E1198" s="658">
        <f ca="1">_xll.meDateFromTenor(E1197,"1D","Following",$C$16)</f>
        <v>44918</v>
      </c>
      <c r="F1198" s="659">
        <f ca="1"/>
        <v>1.1399576585467941E-2</v>
      </c>
      <c r="G1198" s="656">
        <v>1.1406286379898692E-2</v>
      </c>
    </row>
    <row r="1199" spans="5:7">
      <c r="E1199" s="658">
        <f ca="1">_xll.meDateFromTenor(E1198,"1D","Following",$C$16)</f>
        <v>44922</v>
      </c>
      <c r="F1199" s="659">
        <f ca="1"/>
        <v>1.1424981323577169E-2</v>
      </c>
      <c r="G1199" s="656">
        <v>1.1412755795479025E-2</v>
      </c>
    </row>
    <row r="1200" spans="5:7">
      <c r="E1200" s="658">
        <f ca="1">_xll.meDateFromTenor(E1199,"1D","Following",$C$16)</f>
        <v>44923</v>
      </c>
      <c r="F1200" s="659">
        <f ca="1"/>
        <v>1.1431328025116609E-2</v>
      </c>
      <c r="G1200" s="656">
        <v>1.1419223481019165E-2</v>
      </c>
    </row>
    <row r="1201" spans="5:7">
      <c r="E1201" s="658">
        <f ca="1">_xll.meDateFromTenor(E1200,"1D","Following",$C$16)</f>
        <v>44924</v>
      </c>
      <c r="F1201" s="659">
        <f ca="1"/>
        <v>1.143767289385534E-2</v>
      </c>
      <c r="G1201" s="656">
        <v>1.1425689406871071E-2</v>
      </c>
    </row>
    <row r="1202" spans="5:7">
      <c r="E1202" s="658">
        <f ca="1">_xll.meDateFromTenor(E1201,"1D","Following",$C$16)</f>
        <v>44925</v>
      </c>
      <c r="F1202" s="659">
        <f ca="1"/>
        <v>1.144401590999058E-2</v>
      </c>
      <c r="G1202" s="656">
        <v>1.1451534920435668E-2</v>
      </c>
    </row>
    <row r="1203" spans="5:7">
      <c r="E1203" s="658">
        <f ca="1">_xll.meDateFromTenor(E1202,"1D","Following",$C$16)</f>
        <v>44928</v>
      </c>
      <c r="F1203" s="659">
        <f ca="1"/>
        <v>1.1463033644747565E-2</v>
      </c>
      <c r="G1203" s="656">
        <v>1.145799160312588E-2</v>
      </c>
    </row>
    <row r="1204" spans="5:7">
      <c r="E1204" s="658">
        <f ca="1">_xll.meDateFromTenor(E1203,"1D","Following",$C$16)</f>
        <v>44929</v>
      </c>
      <c r="F1204" s="659">
        <f ca="1"/>
        <v>1.146936905244105E-2</v>
      </c>
      <c r="G1204" s="656">
        <v>1.1464446348239642E-2</v>
      </c>
    </row>
    <row r="1205" spans="5:7">
      <c r="E1205" s="658">
        <f ca="1">_xll.meDateFromTenor(E1204,"1D","Following",$C$16)</f>
        <v>44930</v>
      </c>
      <c r="F1205" s="659">
        <f ca="1"/>
        <v>1.1475702508517141E-2</v>
      </c>
      <c r="G1205" s="656">
        <v>1.1470899126128918E-2</v>
      </c>
    </row>
    <row r="1206" spans="5:7">
      <c r="E1206" s="658">
        <f ca="1">_xll.meDateFromTenor(E1205,"1D","Following",$C$16)</f>
        <v>44931</v>
      </c>
      <c r="F1206" s="659">
        <f ca="1"/>
        <v>1.148203399317306E-2</v>
      </c>
      <c r="G1206" s="656">
        <v>1.1490245359969486E-2</v>
      </c>
    </row>
    <row r="1207" spans="5:7">
      <c r="E1207" s="658">
        <f ca="1">_xll.meDateFromTenor(E1206,"1D","Following",$C$16)</f>
        <v>44932</v>
      </c>
      <c r="F1207" s="659">
        <f ca="1"/>
        <v>1.1488363486606031E-2</v>
      </c>
      <c r="G1207" s="656">
        <v>1.1496689972480467E-2</v>
      </c>
    </row>
    <row r="1208" spans="5:7">
      <c r="E1208" s="658">
        <f ca="1">_xll.meDateFromTenor(E1207,"1D","Following",$C$16)</f>
        <v>44935</v>
      </c>
      <c r="F1208" s="659">
        <f ca="1"/>
        <v>1.1507339821539439E-2</v>
      </c>
      <c r="G1208" s="656">
        <v>1.1503132469526783E-2</v>
      </c>
    </row>
    <row r="1209" spans="5:7">
      <c r="E1209" s="658">
        <f ca="1">_xll.meDateFromTenor(E1208,"1D","Following",$C$16)</f>
        <v>44936</v>
      </c>
      <c r="F1209" s="659">
        <f ca="1"/>
        <v>1.1513661152052804E-2</v>
      </c>
      <c r="G1209" s="656">
        <v>1.1509572821460401E-2</v>
      </c>
    </row>
    <row r="1210" spans="5:7">
      <c r="E1210" s="658">
        <f ca="1">_xll.meDateFromTenor(E1209,"1D","Following",$C$16)</f>
        <v>44937</v>
      </c>
      <c r="F1210" s="659">
        <f ca="1"/>
        <v>1.1519980392329319E-2</v>
      </c>
      <c r="G1210" s="656">
        <v>1.1516010998633279E-2</v>
      </c>
    </row>
    <row r="1211" spans="5:7">
      <c r="E1211" s="658">
        <f ca="1">_xll.meDateFromTenor(E1210,"1D","Following",$C$16)</f>
        <v>44938</v>
      </c>
      <c r="F1211" s="659">
        <f ca="1"/>
        <v>1.15262975225662E-2</v>
      </c>
      <c r="G1211" s="656">
        <v>1.1535312185107126E-2</v>
      </c>
    </row>
    <row r="1212" spans="5:7">
      <c r="E1212" s="658">
        <f ca="1">_xll.meDateFromTenor(E1211,"1D","Following",$C$16)</f>
        <v>44939</v>
      </c>
      <c r="F1212" s="659">
        <f ca="1"/>
        <v>1.1532612522960671E-2</v>
      </c>
      <c r="G1212" s="656">
        <v>1.1541741366756692E-2</v>
      </c>
    </row>
    <row r="1213" spans="5:7">
      <c r="E1213" s="658">
        <f ca="1">_xll.meDateFromTenor(E1212,"1D","Following",$C$16)</f>
        <v>44942</v>
      </c>
      <c r="F1213" s="659">
        <f ca="1"/>
        <v>1.1551544547061801E-2</v>
      </c>
      <c r="G1213" s="656">
        <v>1.154816822540534E-2</v>
      </c>
    </row>
    <row r="1214" spans="5:7">
      <c r="E1214" s="658">
        <f ca="1">_xll.meDateFromTenor(E1213,"1D","Following",$C$16)</f>
        <v>44943</v>
      </c>
      <c r="F1214" s="659">
        <f ca="1"/>
        <v>1.1557850830058818E-2</v>
      </c>
      <c r="G1214" s="656">
        <v>1.1554592731405034E-2</v>
      </c>
    </row>
    <row r="1215" spans="5:7">
      <c r="E1215" s="658">
        <f ca="1">_xll.meDateFromTenor(E1214,"1D","Following",$C$16)</f>
        <v>44944</v>
      </c>
      <c r="F1215" s="659">
        <f ca="1"/>
        <v>1.1564154884199523E-2</v>
      </c>
      <c r="G1215" s="656">
        <v>1.1561014855107739E-2</v>
      </c>
    </row>
    <row r="1216" spans="5:7">
      <c r="E1216" s="658">
        <f ca="1">_xll.meDateFromTenor(E1215,"1D","Following",$C$16)</f>
        <v>44945</v>
      </c>
      <c r="F1216" s="659">
        <f ca="1"/>
        <v>1.1570456689681133E-2</v>
      </c>
      <c r="G1216" s="656">
        <v>1.1580266635953554E-2</v>
      </c>
    </row>
    <row r="1217" spans="5:7">
      <c r="E1217" s="658">
        <f ca="1">_xll.meDateFromTenor(E1216,"1D","Following",$C$16)</f>
        <v>44946</v>
      </c>
      <c r="F1217" s="659">
        <f ca="1"/>
        <v>1.1576756226700869E-2</v>
      </c>
      <c r="G1217" s="656">
        <v>1.1586678933987935E-2</v>
      </c>
    </row>
    <row r="1218" spans="5:7">
      <c r="E1218" s="658">
        <f ca="1">_xll.meDateFromTenor(E1217,"1D","Following",$C$16)</f>
        <v>44949</v>
      </c>
      <c r="F1218" s="659">
        <f ca="1"/>
        <v>1.1595641028961028E-2</v>
      </c>
      <c r="G1218" s="656">
        <v>1.1593088701485146E-2</v>
      </c>
    </row>
    <row r="1219" spans="5:7">
      <c r="E1219" s="658">
        <f ca="1">_xll.meDateFromTenor(E1218,"1D","Following",$C$16)</f>
        <v>44950</v>
      </c>
      <c r="F1219" s="659">
        <f ca="1"/>
        <v>1.1601931294105465E-2</v>
      </c>
      <c r="G1219" s="656">
        <v>1.159949590879715E-2</v>
      </c>
    </row>
    <row r="1220" spans="5:7">
      <c r="E1220" s="658">
        <f ca="1">_xll.meDateFromTenor(E1219,"1D","Following",$C$16)</f>
        <v>44951</v>
      </c>
      <c r="F1220" s="659">
        <f ca="1"/>
        <v>1.1608219191774127E-2</v>
      </c>
      <c r="G1220" s="656">
        <v>1.1605900526275909E-2</v>
      </c>
    </row>
    <row r="1221" spans="5:7">
      <c r="E1221" s="658">
        <f ca="1">_xll.meDateFromTenor(E1220,"1D","Following",$C$16)</f>
        <v>44952</v>
      </c>
      <c r="F1221" s="659">
        <f ca="1"/>
        <v>1.1614504702164234E-2</v>
      </c>
      <c r="G1221" s="656">
        <v>1.1625098543232369E-2</v>
      </c>
    </row>
    <row r="1222" spans="5:7">
      <c r="E1222" s="658">
        <f ca="1">_xll.meDateFromTenor(E1221,"1D","Following",$C$16)</f>
        <v>44953</v>
      </c>
      <c r="F1222" s="659">
        <f ca="1"/>
        <v>1.1620787805473005E-2</v>
      </c>
      <c r="G1222" s="656">
        <v>1.1631492504897794E-2</v>
      </c>
    </row>
    <row r="1223" spans="5:7">
      <c r="E1223" s="658">
        <f ca="1">_xll.meDateFromTenor(E1222,"1D","Following",$C$16)</f>
        <v>44956</v>
      </c>
      <c r="F1223" s="659">
        <f ca="1"/>
        <v>1.1639622474883496E-2</v>
      </c>
      <c r="G1223" s="656">
        <v>1.1637883728489796E-2</v>
      </c>
    </row>
    <row r="1224" spans="5:7">
      <c r="E1224" s="658">
        <f ca="1">_xll.meDateFromTenor(E1223,"1D","Following",$C$16)</f>
        <v>44957</v>
      </c>
      <c r="F1224" s="659">
        <f ca="1"/>
        <v>1.1645895751839122E-2</v>
      </c>
      <c r="G1224" s="656">
        <v>1.1644272184360333E-2</v>
      </c>
    </row>
    <row r="1225" spans="5:7">
      <c r="E1225" s="658">
        <f ca="1">_xll.meDateFromTenor(E1224,"1D","Following",$C$16)</f>
        <v>44958</v>
      </c>
      <c r="F1225" s="659">
        <f ca="1"/>
        <v>1.1652166522699507E-2</v>
      </c>
      <c r="G1225" s="656">
        <v>1.165065784286138E-2</v>
      </c>
    </row>
    <row r="1226" spans="5:7">
      <c r="E1226" s="658">
        <f ca="1">_xll.meDateFromTenor(E1225,"1D","Following",$C$16)</f>
        <v>44959</v>
      </c>
      <c r="F1226" s="659">
        <f ca="1"/>
        <v>1.1658434767661881E-2</v>
      </c>
      <c r="G1226" s="656">
        <v>1.1669797737667168E-2</v>
      </c>
    </row>
    <row r="1227" spans="5:7">
      <c r="E1227" s="658">
        <f ca="1">_xll.meDateFromTenor(E1226,"1D","Following",$C$16)</f>
        <v>44960</v>
      </c>
      <c r="F1227" s="659">
        <f ca="1"/>
        <v>1.1664700466923451E-2</v>
      </c>
      <c r="G1227" s="656">
        <v>1.1676171910209867E-2</v>
      </c>
    </row>
    <row r="1228" spans="5:7">
      <c r="E1228" s="658">
        <f ca="1">_xll.meDateFromTenor(E1227,"1D","Following",$C$16)</f>
        <v>44963</v>
      </c>
      <c r="F1228" s="659">
        <f ca="1"/>
        <v>1.1683482092475581E-2</v>
      </c>
      <c r="G1228" s="656">
        <v>1.1682543137142884E-2</v>
      </c>
    </row>
    <row r="1229" spans="5:7">
      <c r="E1229" s="658">
        <f ca="1">_xll.meDateFromTenor(E1228,"1D","Following",$C$16)</f>
        <v>44964</v>
      </c>
      <c r="F1229" s="659">
        <f ca="1"/>
        <v>1.168973741090616E-2</v>
      </c>
      <c r="G1229" s="656">
        <v>1.1688911388818191E-2</v>
      </c>
    </row>
    <row r="1230" spans="5:7">
      <c r="E1230" s="658">
        <f ca="1">_xll.meDateFromTenor(E1229,"1D","Following",$C$16)</f>
        <v>44965</v>
      </c>
      <c r="F1230" s="659">
        <f ca="1"/>
        <v>1.169599008462204E-2</v>
      </c>
      <c r="G1230" s="656">
        <v>1.1695276635587745E-2</v>
      </c>
    </row>
    <row r="1231" spans="5:7">
      <c r="E1231" s="658">
        <f ca="1">_xll.meDateFromTenor(E1230,"1D","Following",$C$16)</f>
        <v>44966</v>
      </c>
      <c r="F1231" s="659">
        <f ca="1"/>
        <v>1.1702240093820442E-2</v>
      </c>
      <c r="G1231" s="656">
        <v>1.1714354049981555E-2</v>
      </c>
    </row>
    <row r="1232" spans="5:7">
      <c r="E1232" s="658">
        <f ca="1">_xll.meDateFromTenor(E1231,"1D","Following",$C$16)</f>
        <v>44967</v>
      </c>
      <c r="F1232" s="659">
        <f ca="1"/>
        <v>1.1708487418698585E-2</v>
      </c>
      <c r="G1232" s="656">
        <v>1.172070698064775E-2</v>
      </c>
    </row>
    <row r="1233" spans="5:7">
      <c r="E1233" s="658">
        <f ca="1">_xll.meDateFromTenor(E1232,"1D","Following",$C$16)</f>
        <v>44970</v>
      </c>
      <c r="F1233" s="659">
        <f ca="1"/>
        <v>1.1727213089383652E-2</v>
      </c>
      <c r="G1233" s="656">
        <v>1.1727056758168014E-2</v>
      </c>
    </row>
    <row r="1234" spans="5:7">
      <c r="E1234" s="658">
        <f ca="1">_xll.meDateFromTenor(E1233,"1D","Following",$C$16)</f>
        <v>44971</v>
      </c>
      <c r="F1234" s="659">
        <f ca="1"/>
        <v>1.1733449478952957E-2</v>
      </c>
      <c r="G1234" s="656">
        <v>1.1733403352894314E-2</v>
      </c>
    </row>
    <row r="1235" spans="5:7">
      <c r="E1235" s="658">
        <f ca="1">_xll.meDateFromTenor(E1234,"1D","Following",$C$16)</f>
        <v>44972</v>
      </c>
      <c r="F1235" s="659">
        <f ca="1"/>
        <v>1.1739683085188099E-2</v>
      </c>
      <c r="G1235" s="656">
        <v>1.1739746735178613E-2</v>
      </c>
    </row>
    <row r="1236" spans="5:7">
      <c r="E1236" s="658">
        <f ca="1">_xll.meDateFromTenor(E1235,"1D","Following",$C$16)</f>
        <v>44973</v>
      </c>
      <c r="F1236" s="659">
        <f ca="1"/>
        <v>1.1745913888286301E-2</v>
      </c>
      <c r="G1236" s="656">
        <v>1.1758757310899117E-2</v>
      </c>
    </row>
    <row r="1237" spans="5:7">
      <c r="E1237" s="658">
        <f ca="1">_xll.meDateFromTenor(E1236,"1D","Following",$C$16)</f>
        <v>44974</v>
      </c>
      <c r="F1237" s="659">
        <f ca="1"/>
        <v>1.175214186844478E-2</v>
      </c>
      <c r="G1237" s="656">
        <v>1.1765087546935043E-2</v>
      </c>
    </row>
    <row r="1238" spans="5:7">
      <c r="E1238" s="658">
        <f ca="1">_xll.meDateFromTenor(E1237,"1D","Following",$C$16)</f>
        <v>44977</v>
      </c>
      <c r="F1238" s="659">
        <f ca="1"/>
        <v>1.1770808673254094E-2</v>
      </c>
      <c r="G1238" s="656">
        <v>1.1771414422288781E-2</v>
      </c>
    </row>
    <row r="1239" spans="5:7">
      <c r="E1239" s="658">
        <f ca="1">_xll.meDateFromTenor(E1238,"1D","Following",$C$16)</f>
        <v>44978</v>
      </c>
      <c r="F1239" s="659">
        <f ca="1"/>
        <v>1.1777025163625887E-2</v>
      </c>
      <c r="G1239" s="656">
        <v>1.1777737907312303E-2</v>
      </c>
    </row>
    <row r="1240" spans="5:7">
      <c r="E1240" s="658">
        <f ca="1">_xll.meDateFromTenor(E1239,"1D","Following",$C$16)</f>
        <v>44979</v>
      </c>
      <c r="F1240" s="659">
        <f ca="1"/>
        <v>1.178323873204406E-2</v>
      </c>
      <c r="G1240" s="656">
        <v>1.1784057972357567E-2</v>
      </c>
    </row>
    <row r="1241" spans="5:7">
      <c r="E1241" s="658">
        <f ca="1">_xll.meDateFromTenor(E1240,"1D","Following",$C$16)</f>
        <v>44980</v>
      </c>
      <c r="F1241" s="659">
        <f ca="1"/>
        <v>1.1789449358705828E-2</v>
      </c>
      <c r="G1241" s="656">
        <v>1.1802997351143464E-2</v>
      </c>
    </row>
    <row r="1242" spans="5:7">
      <c r="E1242" s="658">
        <f ca="1">_xll.meDateFromTenor(E1241,"1D","Following",$C$16)</f>
        <v>44981</v>
      </c>
      <c r="F1242" s="659">
        <f ca="1"/>
        <v>1.1795657023808415E-2</v>
      </c>
      <c r="G1242" s="656">
        <v>1.1809303439795343E-2</v>
      </c>
    </row>
    <row r="1243" spans="5:7">
      <c r="E1243" s="658">
        <f ca="1">_xll.meDateFromTenor(E1242,"1D","Following",$C$16)</f>
        <v>44984</v>
      </c>
      <c r="F1243" s="659">
        <f ca="1"/>
        <v>1.1814262051733271E-2</v>
      </c>
      <c r="G1243" s="656">
        <v>1.1815605960228783E-2</v>
      </c>
    </row>
    <row r="1244" spans="5:7">
      <c r="E1244" s="658">
        <f ca="1">_xll.meDateFromTenor(E1243,"1D","Following",$C$16)</f>
        <v>44985</v>
      </c>
      <c r="F1244" s="659">
        <f ca="1"/>
        <v>1.1820457672571326E-2</v>
      </c>
      <c r="G1244" s="656">
        <v>1.1821904882795754E-2</v>
      </c>
    </row>
    <row r="1245" spans="5:7">
      <c r="E1245" s="658">
        <f ca="1">_xll.meDateFromTenor(E1244,"1D","Following",$C$16)</f>
        <v>44986</v>
      </c>
      <c r="F1245" s="659">
        <f ca="1"/>
        <v>1.1826650232836295E-2</v>
      </c>
      <c r="G1245" s="656">
        <v>1.1828200177848214E-2</v>
      </c>
    </row>
    <row r="1246" spans="5:7">
      <c r="E1246" s="658">
        <f ca="1">_xll.meDateFromTenor(E1245,"1D","Following",$C$16)</f>
        <v>44987</v>
      </c>
      <c r="F1246" s="659">
        <f ca="1"/>
        <v>1.1832839712725401E-2</v>
      </c>
      <c r="G1246" s="656">
        <v>1.1847064001438182E-2</v>
      </c>
    </row>
    <row r="1247" spans="5:7">
      <c r="E1247" s="658">
        <f ca="1">_xll.meDateFromTenor(E1246,"1D","Following",$C$16)</f>
        <v>44988</v>
      </c>
      <c r="F1247" s="659">
        <f ca="1"/>
        <v>1.183902609243586E-2</v>
      </c>
      <c r="G1247" s="656">
        <v>1.1853344489952244E-2</v>
      </c>
    </row>
    <row r="1248" spans="5:7">
      <c r="E1248" s="658">
        <f ca="1">_xll.meDateFromTenor(E1247,"1D","Following",$C$16)</f>
        <v>44991</v>
      </c>
      <c r="F1248" s="659">
        <f ca="1"/>
        <v>1.1857566432467572E-2</v>
      </c>
      <c r="G1248" s="656">
        <v>1.1859621202711619E-2</v>
      </c>
    </row>
    <row r="1249" spans="5:7">
      <c r="E1249" s="658">
        <f ca="1">_xll.meDateFromTenor(E1248,"1D","Following",$C$16)</f>
        <v>44992</v>
      </c>
      <c r="F1249" s="659">
        <f ca="1"/>
        <v>1.186374021343565E-2</v>
      </c>
      <c r="G1249" s="656">
        <v>1.1865894110068267E-2</v>
      </c>
    </row>
    <row r="1250" spans="5:7">
      <c r="E1250" s="658">
        <f ca="1">_xll.meDateFromTenor(E1249,"1D","Following",$C$16)</f>
        <v>44993</v>
      </c>
      <c r="F1250" s="659">
        <f ca="1"/>
        <v>1.1869910795211184E-2</v>
      </c>
      <c r="G1250" s="656">
        <v>1.1872163182374149E-2</v>
      </c>
    </row>
    <row r="1251" spans="5:7">
      <c r="E1251" s="658">
        <f ca="1">_xll.meDateFromTenor(E1250,"1D","Following",$C$16)</f>
        <v>44994</v>
      </c>
      <c r="F1251" s="659">
        <f ca="1"/>
        <v>1.1876078157991393E-2</v>
      </c>
      <c r="G1251" s="656">
        <v>1.1890947092506871E-2</v>
      </c>
    </row>
    <row r="1252" spans="5:7">
      <c r="E1252" s="658">
        <f ca="1">_xll.meDateFromTenor(E1251,"1D","Following",$C$16)</f>
        <v>44995</v>
      </c>
      <c r="F1252" s="659">
        <f ca="1"/>
        <v>1.1882242281973493E-2</v>
      </c>
      <c r="G1252" s="656">
        <v>1.1897200528129346E-2</v>
      </c>
    </row>
    <row r="1253" spans="5:7">
      <c r="E1253" s="658">
        <f ca="1">_xll.meDateFromTenor(E1252,"1D","Following",$C$16)</f>
        <v>44998</v>
      </c>
      <c r="F1253" s="659">
        <f ca="1"/>
        <v>1.190071502310336E-2</v>
      </c>
      <c r="G1253" s="656">
        <v>1.1903449980460879E-2</v>
      </c>
    </row>
    <row r="1254" spans="5:7">
      <c r="E1254" s="658">
        <f ca="1">_xll.meDateFromTenor(E1253,"1D","Following",$C$16)</f>
        <v>44999</v>
      </c>
      <c r="F1254" s="659">
        <f ca="1"/>
        <v>1.1906865993865234E-2</v>
      </c>
      <c r="G1254" s="656">
        <v>1.1909695419853433E-2</v>
      </c>
    </row>
    <row r="1255" spans="5:7">
      <c r="E1255" s="658">
        <f ca="1">_xll.meDateFromTenor(E1254,"1D","Following",$C$16)</f>
        <v>45000</v>
      </c>
      <c r="F1255" s="659">
        <f ca="1"/>
        <v>1.1913013626815102E-2</v>
      </c>
      <c r="G1255" s="656">
        <v>1.1915936816658972E-2</v>
      </c>
    </row>
    <row r="1256" spans="5:7">
      <c r="E1256" s="658">
        <f ca="1">_xll.meDateFromTenor(E1255,"1D","Following",$C$16)</f>
        <v>45001</v>
      </c>
      <c r="F1256" s="659">
        <f ca="1"/>
        <v>1.1919157902150179E-2</v>
      </c>
      <c r="G1256" s="656">
        <v>1.193463645507313E-2</v>
      </c>
    </row>
    <row r="1257" spans="5:7">
      <c r="E1257" s="658">
        <f ca="1">_xll.meDateFromTenor(E1256,"1D","Following",$C$16)</f>
        <v>45002</v>
      </c>
      <c r="F1257" s="659">
        <f ca="1"/>
        <v>1.1925298800067692E-2</v>
      </c>
      <c r="G1257" s="656">
        <v>1.1940861385050247E-2</v>
      </c>
    </row>
    <row r="1258" spans="5:7">
      <c r="E1258" s="658">
        <f ca="1">_xll.meDateFromTenor(E1257,"1D","Following",$C$16)</f>
        <v>45005</v>
      </c>
      <c r="F1258" s="659">
        <f ca="1"/>
        <v>1.1943701031287014E-2</v>
      </c>
      <c r="G1258" s="656">
        <v>1.1947082124200167E-2</v>
      </c>
    </row>
    <row r="1259" spans="5:7">
      <c r="E1259" s="658">
        <f ca="1">_xll.meDateFromTenor(E1258,"1D","Following",$C$16)</f>
        <v>45006</v>
      </c>
      <c r="F1259" s="659">
        <f ca="1"/>
        <v>1.1949828221506451E-2</v>
      </c>
      <c r="G1259" s="656">
        <v>1.1953298642874855E-2</v>
      </c>
    </row>
    <row r="1260" spans="5:7">
      <c r="E1260" s="658">
        <f ca="1">_xll.meDateFromTenor(E1259,"1D","Following",$C$16)</f>
        <v>45007</v>
      </c>
      <c r="F1260" s="659">
        <f ca="1"/>
        <v>1.1955951935294421E-2</v>
      </c>
      <c r="G1260" s="656">
        <v>1.1959510911426274E-2</v>
      </c>
    </row>
    <row r="1261" spans="5:7">
      <c r="E1261" s="658">
        <f ca="1">_xll.meDateFromTenor(E1260,"1D","Following",$C$16)</f>
        <v>45008</v>
      </c>
      <c r="F1261" s="659">
        <f ca="1"/>
        <v>1.1962072152848139E-2</v>
      </c>
      <c r="G1261" s="656">
        <v>1.1978121919860561E-2</v>
      </c>
    </row>
    <row r="1262" spans="5:7">
      <c r="E1262" s="658">
        <f ca="1">_xll.meDateFromTenor(E1261,"1D","Following",$C$16)</f>
        <v>45009</v>
      </c>
      <c r="F1262" s="659">
        <f ca="1"/>
        <v>1.1968188854364828E-2</v>
      </c>
      <c r="G1262" s="656">
        <v>1.1984316891438543E-2</v>
      </c>
    </row>
    <row r="1263" spans="5:7">
      <c r="E1263" s="658">
        <f ca="1">_xll.meDateFromTenor(E1262,"1D","Following",$C$16)</f>
        <v>45012</v>
      </c>
      <c r="F1263" s="659">
        <f ca="1"/>
        <v>1.1986517664664912E-2</v>
      </c>
      <c r="G1263" s="656">
        <v>1.1990507464653076E-2</v>
      </c>
    </row>
    <row r="1264" spans="5:7">
      <c r="E1264" s="658">
        <f ca="1">_xll.meDateFromTenor(E1263,"1D","Following",$C$16)</f>
        <v>45013</v>
      </c>
      <c r="F1264" s="659">
        <f ca="1"/>
        <v>1.199262010400568E-2</v>
      </c>
      <c r="G1264" s="656">
        <v>1.1996693609856128E-2</v>
      </c>
    </row>
    <row r="1265" spans="5:7">
      <c r="E1265" s="658">
        <f ca="1">_xll.meDateFromTenor(E1264,"1D","Following",$C$16)</f>
        <v>45014</v>
      </c>
      <c r="F1265" s="659">
        <f ca="1"/>
        <v>1.1998718928295517E-2</v>
      </c>
      <c r="G1265" s="656">
        <v>1.2002875297399655E-2</v>
      </c>
    </row>
    <row r="1266" spans="5:7">
      <c r="E1266" s="658">
        <f ca="1">_xll.meDateFromTenor(E1265,"1D","Following",$C$16)</f>
        <v>45015</v>
      </c>
      <c r="F1266" s="659">
        <f ca="1"/>
        <v>1.2004814117731643E-2</v>
      </c>
      <c r="G1266" s="656">
        <v>1.2021393317592751E-2</v>
      </c>
    </row>
    <row r="1267" spans="5:7">
      <c r="E1267" s="658">
        <f ca="1">_xll.meDateFromTenor(E1266,"1D","Following",$C$16)</f>
        <v>45016</v>
      </c>
      <c r="F1267" s="659">
        <f ca="1"/>
        <v>1.2010905652511278E-2</v>
      </c>
      <c r="G1267" s="656">
        <v>1.2027556878017832E-2</v>
      </c>
    </row>
    <row r="1268" spans="5:7">
      <c r="E1268" s="658">
        <f ca="1">_xll.meDateFromTenor(E1267,"1D","Following",$C$16)</f>
        <v>45019</v>
      </c>
      <c r="F1268" s="659">
        <f ca="1"/>
        <v>1.2029158130883427E-2</v>
      </c>
      <c r="G1268" s="656">
        <v>1.2033715832543212E-2</v>
      </c>
    </row>
    <row r="1269" spans="5:7">
      <c r="E1269" s="658">
        <f ca="1">_xll.meDateFromTenor(E1268,"1D","Following",$C$16)</f>
        <v>45020</v>
      </c>
      <c r="F1269" s="659">
        <f ca="1"/>
        <v>1.2035234849009292E-2</v>
      </c>
      <c r="G1269" s="656">
        <v>1.2039870151520851E-2</v>
      </c>
    </row>
    <row r="1270" spans="5:7">
      <c r="E1270" s="658">
        <f ca="1">_xll.meDateFromTenor(E1269,"1D","Following",$C$16)</f>
        <v>45021</v>
      </c>
      <c r="F1270" s="659">
        <f ca="1"/>
        <v>1.2041307813464767E-2</v>
      </c>
      <c r="G1270" s="656">
        <v>1.2046019805302715E-2</v>
      </c>
    </row>
    <row r="1271" spans="5:7">
      <c r="E1271" s="658">
        <f ca="1">_xll.meDateFromTenor(E1270,"1D","Following",$C$16)</f>
        <v>45022</v>
      </c>
      <c r="F1271" s="659">
        <f ca="1"/>
        <v>1.2047377004447067E-2</v>
      </c>
      <c r="G1271" s="656">
        <v>1.2064440478993303E-2</v>
      </c>
    </row>
    <row r="1272" spans="5:7">
      <c r="E1272" s="658">
        <f ca="1">_xll.meDateFromTenor(E1271,"1D","Following",$C$16)</f>
        <v>45027</v>
      </c>
      <c r="F1272" s="659">
        <f ca="1"/>
        <v>1.207766566416367E-2</v>
      </c>
      <c r="G1272" s="656">
        <v>1.207057117551171E-2</v>
      </c>
    </row>
    <row r="1273" spans="5:7">
      <c r="E1273" s="658">
        <f ca="1">_xll.meDateFromTenor(E1272,"1D","Following",$C$16)</f>
        <v>45028</v>
      </c>
      <c r="F1273" s="659">
        <f ca="1"/>
        <v>1.2083711798448546E-2</v>
      </c>
      <c r="G1273" s="656">
        <v>1.2076697058594162E-2</v>
      </c>
    </row>
    <row r="1274" spans="5:7">
      <c r="E1274" s="658">
        <f ca="1">_xll.meDateFromTenor(E1273,"1D","Following",$C$16)</f>
        <v>45029</v>
      </c>
      <c r="F1274" s="659">
        <f ca="1"/>
        <v>1.2089754020640789E-2</v>
      </c>
      <c r="G1274" s="656">
        <v>1.2082818098592621E-2</v>
      </c>
    </row>
    <row r="1275" spans="5:7">
      <c r="E1275" s="658">
        <f ca="1">_xll.meDateFromTenor(E1274,"1D","Following",$C$16)</f>
        <v>45030</v>
      </c>
      <c r="F1275" s="659">
        <f ca="1"/>
        <v>1.2095792310937619E-2</v>
      </c>
      <c r="G1275" s="656">
        <v>1.2113349614643774E-2</v>
      </c>
    </row>
    <row r="1276" spans="5:7">
      <c r="E1276" s="658">
        <f ca="1">_xll.meDateFromTenor(E1275,"1D","Following",$C$16)</f>
        <v>45033</v>
      </c>
      <c r="F1276" s="659">
        <f ca="1"/>
        <v>1.2113883392427813E-2</v>
      </c>
      <c r="G1276" s="656">
        <v>1.2119440973529527E-2</v>
      </c>
    </row>
    <row r="1277" spans="5:7">
      <c r="E1277" s="658">
        <f ca="1">_xll.meDateFromTenor(E1276,"1D","Following",$C$16)</f>
        <v>45034</v>
      </c>
      <c r="F1277" s="659">
        <f ca="1"/>
        <v>1.211990575711518E-2</v>
      </c>
      <c r="G1277" s="656">
        <v>1.2125527281795031E-2</v>
      </c>
    </row>
    <row r="1278" spans="5:7">
      <c r="E1278" s="658">
        <f ca="1">_xll.meDateFromTenor(E1277,"1D","Following",$C$16)</f>
        <v>45035</v>
      </c>
      <c r="F1278" s="659">
        <f ca="1"/>
        <v>1.212592409089323E-2</v>
      </c>
      <c r="G1278" s="656">
        <v>1.2131608509792257E-2</v>
      </c>
    </row>
    <row r="1279" spans="5:7">
      <c r="E1279" s="658">
        <f ca="1">_xll.meDateFromTenor(E1278,"1D","Following",$C$16)</f>
        <v>45036</v>
      </c>
      <c r="F1279" s="659">
        <f ca="1"/>
        <v>1.2131938373959183E-2</v>
      </c>
      <c r="G1279" s="656">
        <v>1.2149821415693884E-2</v>
      </c>
    </row>
    <row r="1280" spans="5:7">
      <c r="E1280" s="658">
        <f ca="1">_xll.meDateFromTenor(E1279,"1D","Following",$C$16)</f>
        <v>45037</v>
      </c>
      <c r="F1280" s="659">
        <f ca="1"/>
        <v>1.213794858651026E-2</v>
      </c>
      <c r="G1280" s="656">
        <v>1.2155882026137623E-2</v>
      </c>
    </row>
    <row r="1281" spans="5:7">
      <c r="E1281" s="658">
        <f ca="1">_xll.meDateFromTenor(E1280,"1D","Following",$C$16)</f>
        <v>45040</v>
      </c>
      <c r="F1281" s="659">
        <f ca="1"/>
        <v>1.2155954603046431E-2</v>
      </c>
      <c r="G1281" s="656">
        <v>1.2161937408072903E-2</v>
      </c>
    </row>
    <row r="1282" spans="5:7">
      <c r="E1282" s="658">
        <f ca="1">_xll.meDateFromTenor(E1281,"1D","Following",$C$16)</f>
        <v>45041</v>
      </c>
      <c r="F1282" s="659">
        <f ca="1"/>
        <v>1.21619483355102E-2</v>
      </c>
      <c r="G1282" s="656">
        <v>1.2167987531851684E-2</v>
      </c>
    </row>
    <row r="1283" spans="5:7">
      <c r="E1283" s="658">
        <f ca="1">_xll.meDateFromTenor(E1282,"1D","Following",$C$16)</f>
        <v>45042</v>
      </c>
      <c r="F1283" s="659">
        <f ca="1"/>
        <v>1.2167937898445192E-2</v>
      </c>
      <c r="G1283" s="656">
        <v>1.2174032367825931E-2</v>
      </c>
    </row>
    <row r="1284" spans="5:7">
      <c r="E1284" s="658">
        <f ca="1">_xll.meDateFromTenor(E1283,"1D","Following",$C$16)</f>
        <v>45043</v>
      </c>
      <c r="F1284" s="659">
        <f ca="1"/>
        <v>1.2173923272048625E-2</v>
      </c>
      <c r="G1284" s="656">
        <v>1.2192134852441106E-2</v>
      </c>
    </row>
    <row r="1285" spans="5:7">
      <c r="E1285" s="658">
        <f ca="1">_xll.meDateFromTenor(E1284,"1D","Following",$C$16)</f>
        <v>45044</v>
      </c>
      <c r="F1285" s="659">
        <f ca="1"/>
        <v>1.217990443651772E-2</v>
      </c>
      <c r="G1285" s="656">
        <v>1.2198158240716857E-2</v>
      </c>
    </row>
    <row r="1286" spans="5:7">
      <c r="E1286" s="658">
        <f ca="1">_xll.meDateFromTenor(E1285,"1D","Following",$C$16)</f>
        <v>45048</v>
      </c>
      <c r="F1286" s="659">
        <f ca="1"/>
        <v>1.2203786606995108E-2</v>
      </c>
      <c r="G1286" s="656">
        <v>1.2204176192947889E-2</v>
      </c>
    </row>
    <row r="1287" spans="5:7">
      <c r="E1287" s="658">
        <f ca="1">_xll.meDateFromTenor(E1286,"1D","Following",$C$16)</f>
        <v>45049</v>
      </c>
      <c r="F1287" s="659">
        <f ca="1"/>
        <v>1.2209746428750806E-2</v>
      </c>
      <c r="G1287" s="656">
        <v>1.2210188679486174E-2</v>
      </c>
    </row>
    <row r="1288" spans="5:7">
      <c r="E1288" s="658">
        <f ca="1">_xll.meDateFromTenor(E1287,"1D","Following",$C$16)</f>
        <v>45050</v>
      </c>
      <c r="F1288" s="659">
        <f ca="1"/>
        <v>1.2215701922555486E-2</v>
      </c>
      <c r="G1288" s="656">
        <v>1.2216195670683671E-2</v>
      </c>
    </row>
    <row r="1289" spans="5:7">
      <c r="E1289" s="658">
        <f ca="1">_xll.meDateFromTenor(E1288,"1D","Following",$C$16)</f>
        <v>45051</v>
      </c>
      <c r="F1289" s="659">
        <f ca="1"/>
        <v>1.2221653068606368E-2</v>
      </c>
      <c r="G1289" s="656">
        <v>1.2240168089105066E-2</v>
      </c>
    </row>
    <row r="1290" spans="5:7">
      <c r="E1290" s="658">
        <f ca="1">_xll.meDateFromTenor(E1289,"1D","Following",$C$16)</f>
        <v>45054</v>
      </c>
      <c r="F1290" s="659">
        <f ca="1"/>
        <v>1.2239480222208401E-2</v>
      </c>
      <c r="G1290" s="656">
        <v>1.2246147158878087E-2</v>
      </c>
    </row>
    <row r="1291" spans="5:7">
      <c r="E1291" s="658">
        <f ca="1">_xll.meDateFromTenor(E1290,"1D","Following",$C$16)</f>
        <v>45055</v>
      </c>
      <c r="F1291" s="659">
        <f ca="1"/>
        <v>1.224541378659752E-2</v>
      </c>
      <c r="G1291" s="656">
        <v>1.2252120564465821E-2</v>
      </c>
    </row>
    <row r="1292" spans="5:7">
      <c r="E1292" s="658">
        <f ca="1">_xll.meDateFromTenor(E1291,"1D","Following",$C$16)</f>
        <v>45056</v>
      </c>
      <c r="F1292" s="659">
        <f ca="1"/>
        <v>1.2251342948506409E-2</v>
      </c>
      <c r="G1292" s="656">
        <v>1.2258088321438824E-2</v>
      </c>
    </row>
    <row r="1293" spans="5:7">
      <c r="E1293" s="658">
        <f ca="1">_xll.meDateFromTenor(E1292,"1D","Following",$C$16)</f>
        <v>45057</v>
      </c>
      <c r="F1293" s="659">
        <f ca="1"/>
        <v>1.2257267732419749E-2</v>
      </c>
      <c r="G1293" s="656">
        <v>1.2275957946812221E-2</v>
      </c>
    </row>
    <row r="1294" spans="5:7">
      <c r="E1294" s="658">
        <f ca="1">_xll.meDateFromTenor(E1293,"1D","Following",$C$16)</f>
        <v>45058</v>
      </c>
      <c r="F1294" s="659">
        <f ca="1"/>
        <v>1.2263188162822227E-2</v>
      </c>
      <c r="G1294" s="656">
        <v>1.2281903355469064E-2</v>
      </c>
    </row>
    <row r="1295" spans="5:7">
      <c r="E1295" s="658">
        <f ca="1">_xll.meDateFromTenor(E1294,"1D","Following",$C$16)</f>
        <v>45061</v>
      </c>
      <c r="F1295" s="659">
        <f ca="1"/>
        <v>1.2280923577811367E-2</v>
      </c>
      <c r="G1295" s="656">
        <v>1.2287843238582558E-2</v>
      </c>
    </row>
    <row r="1296" spans="5:7">
      <c r="E1296" s="658">
        <f ca="1">_xll.meDateFromTenor(E1295,"1D","Following",$C$16)</f>
        <v>45062</v>
      </c>
      <c r="F1296" s="659">
        <f ca="1"/>
        <v>1.2286826839017273E-2</v>
      </c>
      <c r="G1296" s="656">
        <v>1.2293777620766971E-2</v>
      </c>
    </row>
    <row r="1297" spans="5:7">
      <c r="E1297" s="658">
        <f ca="1">_xll.meDateFromTenor(E1296,"1D","Following",$C$16)</f>
        <v>45063</v>
      </c>
      <c r="F1297" s="659">
        <f ca="1"/>
        <v>1.2292725869135752E-2</v>
      </c>
      <c r="G1297" s="656">
        <v>1.2299706526636586E-2</v>
      </c>
    </row>
    <row r="1298" spans="5:7">
      <c r="E1298" s="658">
        <f ca="1">_xll.meDateFromTenor(E1297,"1D","Following",$C$16)</f>
        <v>45064</v>
      </c>
      <c r="F1298" s="659">
        <f ca="1"/>
        <v>1.2298620692651486E-2</v>
      </c>
      <c r="G1298" s="656">
        <v>1.2317460632499364E-2</v>
      </c>
    </row>
    <row r="1299" spans="5:7">
      <c r="E1299" s="658">
        <f ca="1">_xll.meDateFromTenor(E1298,"1D","Following",$C$16)</f>
        <v>45065</v>
      </c>
      <c r="F1299" s="659">
        <f ca="1"/>
        <v>1.2304511334049169E-2</v>
      </c>
      <c r="G1299" s="656">
        <v>1.2323367879252523E-2</v>
      </c>
    </row>
    <row r="1300" spans="5:7">
      <c r="E1300" s="658">
        <f ca="1">_xll.meDateFromTenor(E1299,"1D","Following",$C$16)</f>
        <v>45068</v>
      </c>
      <c r="F1300" s="659">
        <f ca="1"/>
        <v>1.2322158410380774E-2</v>
      </c>
      <c r="G1300" s="656">
        <v>1.2329269772762257E-2</v>
      </c>
    </row>
    <row r="1301" spans="5:7">
      <c r="E1301" s="658">
        <f ca="1">_xll.meDateFromTenor(E1300,"1D","Following",$C$16)</f>
        <v>45069</v>
      </c>
      <c r="F1301" s="659">
        <f ca="1"/>
        <v>1.2328032568153116E-2</v>
      </c>
      <c r="G1301" s="656">
        <v>1.2335166337642842E-2</v>
      </c>
    </row>
    <row r="1302" spans="5:7">
      <c r="E1302" s="658">
        <f ca="1">_xll.meDateFromTenor(E1301,"1D","Following",$C$16)</f>
        <v>45070</v>
      </c>
      <c r="F1302" s="659">
        <f ca="1"/>
        <v>1.2333902666230839E-2</v>
      </c>
      <c r="G1302" s="656">
        <v>1.2341057598508551E-2</v>
      </c>
    </row>
    <row r="1303" spans="5:7">
      <c r="E1303" s="658">
        <f ca="1">_xll.meDateFromTenor(E1302,"1D","Following",$C$16)</f>
        <v>45071</v>
      </c>
      <c r="F1303" s="659">
        <f ca="1"/>
        <v>1.2339768729098626E-2</v>
      </c>
      <c r="G1303" s="656">
        <v>1.2358699803159184E-2</v>
      </c>
    </row>
    <row r="1304" spans="5:7">
      <c r="E1304" s="658">
        <f ca="1">_xll.meDateFromTenor(E1303,"1D","Following",$C$16)</f>
        <v>45072</v>
      </c>
      <c r="F1304" s="659">
        <f ca="1"/>
        <v>1.2345630781241171E-2</v>
      </c>
      <c r="G1304" s="656">
        <v>1.2364570094108145E-2</v>
      </c>
    </row>
    <row r="1305" spans="5:7">
      <c r="E1305" s="658">
        <f ca="1">_xll.meDateFromTenor(E1304,"1D","Following",$C$16)</f>
        <v>45075</v>
      </c>
      <c r="F1305" s="659">
        <f ca="1"/>
        <v>1.2363193118164193E-2</v>
      </c>
      <c r="G1305" s="656">
        <v>1.2370435204113611E-2</v>
      </c>
    </row>
    <row r="1306" spans="5:7">
      <c r="E1306" s="658">
        <f ca="1">_xll.meDateFromTenor(E1305,"1D","Following",$C$16)</f>
        <v>45076</v>
      </c>
      <c r="F1306" s="659">
        <f ca="1"/>
        <v>1.2369039372252628E-2</v>
      </c>
      <c r="G1306" s="656">
        <v>1.2376295157789855E-2</v>
      </c>
    </row>
    <row r="1307" spans="5:7">
      <c r="E1307" s="658">
        <f ca="1">_xll.meDateFromTenor(E1306,"1D","Following",$C$16)</f>
        <v>45077</v>
      </c>
      <c r="F1307" s="659">
        <f ca="1"/>
        <v>1.2374881738039243E-2</v>
      </c>
      <c r="G1307" s="656">
        <v>1.238214997975115E-2</v>
      </c>
    </row>
    <row r="1308" spans="5:7">
      <c r="E1308" s="658">
        <f ca="1">_xll.meDateFromTenor(E1307,"1D","Following",$C$16)</f>
        <v>45078</v>
      </c>
      <c r="F1308" s="659">
        <f ca="1"/>
        <v>1.238072024000874E-2</v>
      </c>
      <c r="G1308" s="656">
        <v>1.2399683901488103E-2</v>
      </c>
    </row>
    <row r="1309" spans="5:7">
      <c r="E1309" s="658">
        <f ca="1">_xll.meDateFromTenor(E1308,"1D","Following",$C$16)</f>
        <v>45079</v>
      </c>
      <c r="F1309" s="659">
        <f ca="1"/>
        <v>1.2386554902645796E-2</v>
      </c>
      <c r="G1309" s="656">
        <v>1.2405518442732362E-2</v>
      </c>
    </row>
    <row r="1310" spans="5:7">
      <c r="E1310" s="658">
        <f ca="1">_xll.meDateFromTenor(E1309,"1D","Following",$C$16)</f>
        <v>45082</v>
      </c>
      <c r="F1310" s="659">
        <f ca="1"/>
        <v>1.2404036099409203E-2</v>
      </c>
      <c r="G1310" s="656">
        <v>1.2411347975333048E-2</v>
      </c>
    </row>
    <row r="1311" spans="5:7">
      <c r="E1311" s="658">
        <f ca="1">_xll.meDateFromTenor(E1310,"1D","Following",$C$16)</f>
        <v>45083</v>
      </c>
      <c r="F1311" s="659">
        <f ca="1"/>
        <v>1.2409855649563378E-2</v>
      </c>
      <c r="G1311" s="656">
        <v>1.2417172523904434E-2</v>
      </c>
    </row>
    <row r="1312" spans="5:7">
      <c r="E1312" s="658">
        <f ca="1">_xll.meDateFromTenor(E1311,"1D","Following",$C$16)</f>
        <v>45084</v>
      </c>
      <c r="F1312" s="659">
        <f ca="1"/>
        <v>1.2415671482808545E-2</v>
      </c>
      <c r="G1312" s="656">
        <v>1.2422992113060806E-2</v>
      </c>
    </row>
    <row r="1313" spans="5:7">
      <c r="E1313" s="658">
        <f ca="1">_xll.meDateFromTenor(E1312,"1D","Following",$C$16)</f>
        <v>45085</v>
      </c>
      <c r="F1313" s="659">
        <f ca="1"/>
        <v>1.2421483623629397E-2</v>
      </c>
      <c r="G1313" s="656">
        <v>1.2440421370182546E-2</v>
      </c>
    </row>
    <row r="1314" spans="5:7">
      <c r="E1314" s="658">
        <f ca="1">_xll.meDateFromTenor(E1313,"1D","Following",$C$16)</f>
        <v>45086</v>
      </c>
      <c r="F1314" s="659">
        <f ca="1"/>
        <v>1.2427292096510618E-2</v>
      </c>
      <c r="G1314" s="656">
        <v>1.2446221367821586E-2</v>
      </c>
    </row>
    <row r="1315" spans="5:7">
      <c r="E1315" s="658">
        <f ca="1">_xll.meDateFromTenor(E1314,"1D","Following",$C$16)</f>
        <v>45089</v>
      </c>
      <c r="F1315" s="659">
        <f ca="1"/>
        <v>1.2444695752363368E-2</v>
      </c>
      <c r="G1315" s="656">
        <v>1.2452016529116984E-2</v>
      </c>
    </row>
    <row r="1316" spans="5:7">
      <c r="E1316" s="658">
        <f ca="1">_xll.meDateFromTenor(E1315,"1D","Following",$C$16)</f>
        <v>45090</v>
      </c>
      <c r="F1316" s="659">
        <f ca="1"/>
        <v>1.2450489798332937E-2</v>
      </c>
      <c r="G1316" s="656">
        <v>1.245780687868301E-2</v>
      </c>
    </row>
    <row r="1317" spans="5:7">
      <c r="E1317" s="658">
        <f ca="1">_xll.meDateFromTenor(E1316,"1D","Following",$C$16)</f>
        <v>45091</v>
      </c>
      <c r="F1317" s="659">
        <f ca="1"/>
        <v>1.2456280298786307E-2</v>
      </c>
      <c r="G1317" s="656">
        <v>1.2463592441133946E-2</v>
      </c>
    </row>
    <row r="1318" spans="5:7">
      <c r="E1318" s="658">
        <f ca="1">_xll.meDateFromTenor(E1317,"1D","Following",$C$16)</f>
        <v>45092</v>
      </c>
      <c r="F1318" s="659">
        <f ca="1"/>
        <v>1.2462067278208172E-2</v>
      </c>
      <c r="G1318" s="656">
        <v>1.248092065193894E-2</v>
      </c>
    </row>
    <row r="1319" spans="5:7">
      <c r="E1319" s="658">
        <f ca="1">_xll.meDateFromTenor(E1318,"1D","Following",$C$16)</f>
        <v>45093</v>
      </c>
      <c r="F1319" s="659">
        <f ca="1"/>
        <v>1.2467850761083209E-2</v>
      </c>
      <c r="G1319" s="656">
        <v>1.2486687312072253E-2</v>
      </c>
    </row>
    <row r="1320" spans="5:7">
      <c r="E1320" s="658">
        <f ca="1">_xll.meDateFromTenor(E1319,"1D","Following",$C$16)</f>
        <v>45096</v>
      </c>
      <c r="F1320" s="659">
        <f ca="1"/>
        <v>1.2485180475274263E-2</v>
      </c>
      <c r="G1320" s="656">
        <v>1.2492449308161849E-2</v>
      </c>
    </row>
    <row r="1321" spans="5:7">
      <c r="E1321" s="658">
        <f ca="1">_xll.meDateFromTenor(E1320,"1D","Following",$C$16)</f>
        <v>45097</v>
      </c>
      <c r="F1321" s="659">
        <f ca="1"/>
        <v>1.2490950216808882E-2</v>
      </c>
      <c r="G1321" s="656">
        <v>1.2498206664822003E-2</v>
      </c>
    </row>
    <row r="1322" spans="5:7">
      <c r="E1322" s="658">
        <f ca="1">_xll.meDateFromTenor(E1321,"1D","Following",$C$16)</f>
        <v>45098</v>
      </c>
      <c r="F1322" s="659">
        <f ca="1"/>
        <v>1.2496716584220108E-2</v>
      </c>
      <c r="G1322" s="656">
        <v>1.250395940666699E-2</v>
      </c>
    </row>
    <row r="1323" spans="5:7">
      <c r="E1323" s="658">
        <f ca="1">_xll.meDateFromTenor(E1322,"1D","Following",$C$16)</f>
        <v>45099</v>
      </c>
      <c r="F1323" s="659">
        <f ca="1"/>
        <v>1.2502479601992637E-2</v>
      </c>
      <c r="G1323" s="656">
        <v>1.2521190189453708E-2</v>
      </c>
    </row>
    <row r="1324" spans="5:7">
      <c r="E1324" s="658">
        <f ca="1">_xll.meDateFromTenor(E1323,"1D","Following",$C$16)</f>
        <v>45100</v>
      </c>
      <c r="F1324" s="659">
        <f ca="1"/>
        <v>1.2508239294611145E-2</v>
      </c>
      <c r="G1324" s="656">
        <v>1.2526924718180784E-2</v>
      </c>
    </row>
    <row r="1325" spans="5:7">
      <c r="E1325" s="658">
        <f ca="1">_xll.meDateFromTenor(E1324,"1D","Following",$C$16)</f>
        <v>45103</v>
      </c>
      <c r="F1325" s="659">
        <f ca="1"/>
        <v>1.252549866638946E-2</v>
      </c>
      <c r="G1325" s="656">
        <v>1.2532654755164069E-2</v>
      </c>
    </row>
    <row r="1326" spans="5:7">
      <c r="E1326" s="658">
        <f ca="1">_xll.meDateFromTenor(E1325,"1D","Following",$C$16)</f>
        <v>45104</v>
      </c>
      <c r="F1326" s="659">
        <f ca="1"/>
        <v>1.2531245303238779E-2</v>
      </c>
      <c r="G1326" s="656">
        <v>1.2538380325017839E-2</v>
      </c>
    </row>
    <row r="1327" spans="5:7">
      <c r="E1327" s="658">
        <f ca="1">_xll.meDateFromTenor(E1326,"1D","Following",$C$16)</f>
        <v>45105</v>
      </c>
      <c r="F1327" s="659">
        <f ca="1"/>
        <v>1.2536988737357519E-2</v>
      </c>
      <c r="G1327" s="656">
        <v>1.254410145235637E-2</v>
      </c>
    </row>
    <row r="1328" spans="5:7">
      <c r="E1328" s="658">
        <f ca="1">_xll.meDateFromTenor(E1327,"1D","Following",$C$16)</f>
        <v>45106</v>
      </c>
      <c r="F1328" s="659">
        <f ca="1"/>
        <v>1.254272899323036E-2</v>
      </c>
      <c r="G1328" s="656">
        <v>1.2561238425423275E-2</v>
      </c>
    </row>
    <row r="1329" spans="5:7">
      <c r="E1329" s="658">
        <f ca="1">_xll.meDateFromTenor(E1328,"1D","Following",$C$16)</f>
        <v>45107</v>
      </c>
      <c r="F1329" s="659">
        <f ca="1"/>
        <v>1.2548466095341998E-2</v>
      </c>
      <c r="G1329" s="656">
        <v>1.2566942028843606E-2</v>
      </c>
    </row>
    <row r="1330" spans="5:7">
      <c r="E1330" s="658">
        <f ca="1">_xll.meDateFromTenor(E1329,"1D","Following",$C$16)</f>
        <v>45110</v>
      </c>
      <c r="F1330" s="659">
        <f ca="1"/>
        <v>1.2565658723956531E-2</v>
      </c>
      <c r="G1330" s="656">
        <v>1.2572641312820066E-2</v>
      </c>
    </row>
    <row r="1331" spans="5:7">
      <c r="E1331" s="658">
        <f ca="1">_xll.meDateFromTenor(E1330,"1D","Following",$C$16)</f>
        <v>45111</v>
      </c>
      <c r="F1331" s="659">
        <f ca="1"/>
        <v>1.2571383455870205E-2</v>
      </c>
      <c r="G1331" s="656">
        <v>1.2578336301966942E-2</v>
      </c>
    </row>
    <row r="1332" spans="5:7">
      <c r="E1332" s="658">
        <f ca="1">_xll.meDateFromTenor(E1331,"1D","Following",$C$16)</f>
        <v>45112</v>
      </c>
      <c r="F1332" s="659">
        <f ca="1"/>
        <v>1.2577105156446108E-2</v>
      </c>
      <c r="G1332" s="656">
        <v>1.2584027020898505E-2</v>
      </c>
    </row>
    <row r="1333" spans="5:7">
      <c r="E1333" s="658">
        <f ca="1">_xll.meDateFromTenor(E1332,"1D","Following",$C$16)</f>
        <v>45113</v>
      </c>
      <c r="F1333" s="659">
        <f ca="1"/>
        <v>1.2582823850168923E-2</v>
      </c>
      <c r="G1333" s="656">
        <v>1.2601073802544072E-2</v>
      </c>
    </row>
    <row r="1334" spans="5:7">
      <c r="E1334" s="658">
        <f ca="1">_xll.meDateFromTenor(E1333,"1D","Following",$C$16)</f>
        <v>45114</v>
      </c>
      <c r="F1334" s="659">
        <f ca="1"/>
        <v>1.2588539561523336E-2</v>
      </c>
      <c r="G1334" s="656">
        <v>1.2606747686757137E-2</v>
      </c>
    </row>
    <row r="1335" spans="5:7">
      <c r="E1335" s="658">
        <f ca="1">_xll.meDateFromTenor(E1334,"1D","Following",$C$16)</f>
        <v>45117</v>
      </c>
      <c r="F1335" s="659">
        <f ca="1"/>
        <v>1.260566904622305E-2</v>
      </c>
      <c r="G1335" s="656">
        <v>1.2612417423826267E-2</v>
      </c>
    </row>
    <row r="1336" spans="5:7">
      <c r="E1336" s="658">
        <f ca="1">_xll.meDateFromTenor(E1335,"1D","Following",$C$16)</f>
        <v>45118</v>
      </c>
      <c r="F1336" s="659">
        <f ca="1"/>
        <v>1.2611373072950731E-2</v>
      </c>
      <c r="G1336" s="656">
        <v>1.2618083038365738E-2</v>
      </c>
    </row>
    <row r="1337" spans="5:7">
      <c r="E1337" s="658">
        <f ca="1">_xll.meDateFromTenor(E1336,"1D","Following",$C$16)</f>
        <v>45119</v>
      </c>
      <c r="F1337" s="659">
        <f ca="1"/>
        <v>1.2617074239733449E-2</v>
      </c>
      <c r="G1337" s="656">
        <v>1.2623744554989821E-2</v>
      </c>
    </row>
    <row r="1338" spans="5:7">
      <c r="E1338" s="658">
        <f ca="1">_xll.meDateFromTenor(E1337,"1D","Following",$C$16)</f>
        <v>45120</v>
      </c>
      <c r="F1338" s="659">
        <f ca="1"/>
        <v>1.2622772571055887E-2</v>
      </c>
      <c r="G1338" s="656">
        <v>1.2640704763512516E-2</v>
      </c>
    </row>
    <row r="1339" spans="5:7">
      <c r="E1339" s="658">
        <f ca="1">_xll.meDateFromTenor(E1338,"1D","Following",$C$16)</f>
        <v>45121</v>
      </c>
      <c r="F1339" s="659">
        <f ca="1"/>
        <v>1.2628468091402733E-2</v>
      </c>
      <c r="G1339" s="656">
        <v>1.2646350134617809E-2</v>
      </c>
    </row>
    <row r="1340" spans="5:7">
      <c r="E1340" s="658">
        <f ca="1">_xll.meDateFromTenor(E1339,"1D","Following",$C$16)</f>
        <v>45124</v>
      </c>
      <c r="F1340" s="659">
        <f ca="1"/>
        <v>1.2645538031436586E-2</v>
      </c>
      <c r="G1340" s="656">
        <v>1.2651991530879095E-2</v>
      </c>
    </row>
    <row r="1341" spans="5:7">
      <c r="E1341" s="658">
        <f ca="1">_xll.meDateFromTenor(E1340,"1D","Following",$C$16)</f>
        <v>45125</v>
      </c>
      <c r="F1341" s="659">
        <f ca="1"/>
        <v>1.2651222552727928E-2</v>
      </c>
      <c r="G1341" s="656">
        <v>1.2657628976910648E-2</v>
      </c>
    </row>
    <row r="1342" spans="5:7">
      <c r="E1342" s="658">
        <f ca="1">_xll.meDateFromTenor(E1341,"1D","Following",$C$16)</f>
        <v>45126</v>
      </c>
      <c r="F1342" s="659">
        <f ca="1"/>
        <v>1.2656904385467118E-2</v>
      </c>
      <c r="G1342" s="656">
        <v>1.2663262497326742E-2</v>
      </c>
    </row>
    <row r="1343" spans="5:7">
      <c r="E1343" s="658">
        <f ca="1">_xll.meDateFromTenor(E1342,"1D","Following",$C$16)</f>
        <v>45127</v>
      </c>
      <c r="F1343" s="659">
        <f ca="1"/>
        <v>1.2662583554138832E-2</v>
      </c>
      <c r="G1343" s="656">
        <v>1.268013975102503E-2</v>
      </c>
    </row>
    <row r="1344" spans="5:7">
      <c r="E1344" s="658">
        <f ca="1">_xll.meDateFromTenor(E1343,"1D","Following",$C$16)</f>
        <v>45128</v>
      </c>
      <c r="F1344" s="659">
        <f ca="1"/>
        <v>1.2668260083227762E-2</v>
      </c>
      <c r="G1344" s="656">
        <v>1.2685757815122047E-2</v>
      </c>
    </row>
    <row r="1345" spans="5:7">
      <c r="E1345" s="658">
        <f ca="1">_xll.meDateFromTenor(E1344,"1D","Following",$C$16)</f>
        <v>45131</v>
      </c>
      <c r="F1345" s="659">
        <f ca="1"/>
        <v>1.2685274077844713E-2</v>
      </c>
      <c r="G1345" s="656">
        <v>1.2691372076674977E-2</v>
      </c>
    </row>
    <row r="1346" spans="5:7">
      <c r="E1346" s="658">
        <f ca="1">_xll.meDateFromTenor(E1345,"1D","Following",$C$16)</f>
        <v>45132</v>
      </c>
      <c r="F1346" s="659">
        <f ca="1"/>
        <v>1.2690940293449372E-2</v>
      </c>
      <c r="G1346" s="656">
        <v>1.2696982560298104E-2</v>
      </c>
    </row>
    <row r="1347" spans="5:7">
      <c r="E1347" s="658">
        <f ca="1">_xll.meDateFromTenor(E1346,"1D","Following",$C$16)</f>
        <v>45133</v>
      </c>
      <c r="F1347" s="659">
        <f ca="1"/>
        <v>1.2696603991894682E-2</v>
      </c>
      <c r="G1347" s="656">
        <v>1.2702589290605698E-2</v>
      </c>
    </row>
    <row r="1348" spans="5:7">
      <c r="E1348" s="658">
        <f ca="1">_xll.meDateFromTenor(E1347,"1D","Following",$C$16)</f>
        <v>45134</v>
      </c>
      <c r="F1348" s="659">
        <f ca="1"/>
        <v>1.2702265197665324E-2</v>
      </c>
      <c r="G1348" s="656">
        <v>1.2719387207778047E-2</v>
      </c>
    </row>
    <row r="1349" spans="5:7">
      <c r="E1349" s="658">
        <f ca="1">_xll.meDateFromTenor(E1348,"1D","Following",$C$16)</f>
        <v>45135</v>
      </c>
      <c r="F1349" s="659">
        <f ca="1"/>
        <v>1.2707923935245996E-2</v>
      </c>
      <c r="G1349" s="656">
        <v>1.2724979170966268E-2</v>
      </c>
    </row>
    <row r="1350" spans="5:7">
      <c r="E1350" s="658">
        <f ca="1">_xll.meDateFromTenor(E1349,"1D","Following",$C$16)</f>
        <v>45138</v>
      </c>
      <c r="F1350" s="659">
        <f ca="1"/>
        <v>1.2724885583695004E-2</v>
      </c>
      <c r="G1350" s="656">
        <v>1.2730567503910337E-2</v>
      </c>
    </row>
    <row r="1351" spans="5:7">
      <c r="E1351" s="658">
        <f ca="1">_xll.meDateFromTenor(E1350,"1D","Following",$C$16)</f>
        <v>45139</v>
      </c>
      <c r="F1351" s="659">
        <f ca="1"/>
        <v>1.2730534693362631E-2</v>
      </c>
      <c r="G1351" s="656">
        <v>1.2736152231224523E-2</v>
      </c>
    </row>
    <row r="1352" spans="5:7">
      <c r="E1352" s="658">
        <f ca="1">_xll.meDateFromTenor(E1351,"1D","Following",$C$16)</f>
        <v>45140</v>
      </c>
      <c r="F1352" s="659">
        <f ca="1"/>
        <v>1.2736181457263717E-2</v>
      </c>
      <c r="G1352" s="656">
        <v>1.2741733377523108E-2</v>
      </c>
    </row>
    <row r="1353" spans="5:7">
      <c r="E1353" s="658">
        <f ca="1">_xll.meDateFromTenor(E1352,"1D","Following",$C$16)</f>
        <v>45141</v>
      </c>
      <c r="F1353" s="659">
        <f ca="1"/>
        <v>1.2741825899882944E-2</v>
      </c>
      <c r="G1353" s="656">
        <v>1.2758455576467986E-2</v>
      </c>
    </row>
    <row r="1354" spans="5:7">
      <c r="E1354" s="658">
        <f ca="1">_xll.meDateFromTenor(E1353,"1D","Following",$C$16)</f>
        <v>45142</v>
      </c>
      <c r="F1354" s="659">
        <f ca="1"/>
        <v>1.2747468045705004E-2</v>
      </c>
      <c r="G1354" s="656">
        <v>1.2764022644846907E-2</v>
      </c>
    </row>
    <row r="1355" spans="5:7">
      <c r="E1355" s="658">
        <f ca="1">_xll.meDateFromTenor(E1354,"1D","Following",$C$16)</f>
        <v>45145</v>
      </c>
      <c r="F1355" s="659">
        <f ca="1"/>
        <v>1.2764380947235029E-2</v>
      </c>
      <c r="G1355" s="656">
        <v>1.2769586255281599E-2</v>
      </c>
    </row>
    <row r="1356" spans="5:7">
      <c r="E1356" s="658">
        <f ca="1">_xll.meDateFromTenor(E1355,"1D","Following",$C$16)</f>
        <v>45146</v>
      </c>
      <c r="F1356" s="659">
        <f ca="1"/>
        <v>1.2770014150715278E-2</v>
      </c>
      <c r="G1356" s="656">
        <v>1.2775146432386336E-2</v>
      </c>
    </row>
    <row r="1357" spans="5:7">
      <c r="E1357" s="658">
        <f ca="1">_xll.meDateFromTenor(E1356,"1D","Following",$C$16)</f>
        <v>45147</v>
      </c>
      <c r="F1357" s="659">
        <f ca="1"/>
        <v>1.2775645179821792E-2</v>
      </c>
      <c r="G1357" s="656">
        <v>1.2780703200775399E-2</v>
      </c>
    </row>
    <row r="1358" spans="5:7">
      <c r="E1358" s="658">
        <f ca="1">_xll.meDateFromTenor(E1357,"1D","Following",$C$16)</f>
        <v>45148</v>
      </c>
      <c r="F1358" s="659">
        <f ca="1"/>
        <v>1.2781274059039255E-2</v>
      </c>
      <c r="G1358" s="656">
        <v>1.2797353299791274E-2</v>
      </c>
    </row>
    <row r="1359" spans="5:7">
      <c r="E1359" s="658">
        <f ca="1">_xll.meDateFromTenor(E1358,"1D","Following",$C$16)</f>
        <v>45149</v>
      </c>
      <c r="F1359" s="659">
        <f ca="1"/>
        <v>1.2786900812852357E-2</v>
      </c>
      <c r="G1359" s="656">
        <v>1.280289667946038E-2</v>
      </c>
    </row>
    <row r="1360" spans="5:7">
      <c r="E1360" s="658">
        <f ca="1">_xll.meDateFromTenor(E1359,"1D","Following",$C$16)</f>
        <v>45152</v>
      </c>
      <c r="F1360" s="659">
        <f ca="1"/>
        <v>1.2803768566712361E-2</v>
      </c>
      <c r="G1360" s="656">
        <v>1.2808436773485187E-2</v>
      </c>
    </row>
    <row r="1361" spans="5:7">
      <c r="E1361" s="658">
        <f ca="1">_xll.meDateFromTenor(E1360,"1D","Following",$C$16)</f>
        <v>45153</v>
      </c>
      <c r="F1361" s="659">
        <f ca="1"/>
        <v>1.2809387063754885E-2</v>
      </c>
      <c r="G1361" s="656">
        <v>1.2813973606479963E-2</v>
      </c>
    </row>
    <row r="1362" spans="5:7">
      <c r="E1362" s="658">
        <f ca="1">_xll.meDateFromTenor(E1361,"1D","Following",$C$16)</f>
        <v>45154</v>
      </c>
      <c r="F1362" s="659">
        <f ca="1"/>
        <v>1.2815003557816481E-2</v>
      </c>
      <c r="G1362" s="656">
        <v>1.2819507203058994E-2</v>
      </c>
    </row>
    <row r="1363" spans="5:7">
      <c r="E1363" s="658">
        <f ca="1">_xll.meDateFromTenor(E1362,"1D","Following",$C$16)</f>
        <v>45155</v>
      </c>
      <c r="F1363" s="659">
        <f ca="1"/>
        <v>1.2820618073381832E-2</v>
      </c>
      <c r="G1363" s="656">
        <v>1.2836088820444336E-2</v>
      </c>
    </row>
    <row r="1364" spans="5:7">
      <c r="E1364" s="658">
        <f ca="1">_xll.meDateFromTenor(E1363,"1D","Following",$C$16)</f>
        <v>45156</v>
      </c>
      <c r="F1364" s="659">
        <f ca="1"/>
        <v>1.2826230634935633E-2</v>
      </c>
      <c r="G1364" s="656">
        <v>1.2841609717503116E-2</v>
      </c>
    </row>
    <row r="1365" spans="5:7">
      <c r="E1365" s="658">
        <f ca="1">_xll.meDateFromTenor(E1364,"1D","Following",$C$16)</f>
        <v>45159</v>
      </c>
      <c r="F1365" s="659">
        <f ca="1"/>
        <v>1.2843056840374576E-2</v>
      </c>
      <c r="G1365" s="656">
        <v>1.2847127501217526E-2</v>
      </c>
    </row>
    <row r="1366" spans="5:7">
      <c r="E1366" s="658">
        <f ca="1">_xll.meDateFromTenor(E1365,"1D","Following",$C$16)</f>
        <v>45160</v>
      </c>
      <c r="F1366" s="659">
        <f ca="1"/>
        <v>1.2848661830729026E-2</v>
      </c>
      <c r="G1366" s="656">
        <v>1.2852642196201835E-2</v>
      </c>
    </row>
    <row r="1367" spans="5:7">
      <c r="E1367" s="658">
        <f ca="1">_xll.meDateFromTenor(E1366,"1D","Following",$C$16)</f>
        <v>45161</v>
      </c>
      <c r="F1367" s="659">
        <f ca="1"/>
        <v>1.2854264989495353E-2</v>
      </c>
      <c r="G1367" s="656">
        <v>1.2858153827070323E-2</v>
      </c>
    </row>
    <row r="1368" spans="5:7">
      <c r="E1368" s="658">
        <f ca="1">_xll.meDateFromTenor(E1367,"1D","Following",$C$16)</f>
        <v>45162</v>
      </c>
      <c r="F1368" s="659">
        <f ca="1"/>
        <v>1.2859866341158252E-2</v>
      </c>
      <c r="G1368" s="656">
        <v>1.2874670581123595E-2</v>
      </c>
    </row>
    <row r="1369" spans="5:7">
      <c r="E1369" s="658">
        <f ca="1">_xll.meDateFromTenor(E1368,"1D","Following",$C$16)</f>
        <v>45163</v>
      </c>
      <c r="F1369" s="659">
        <f ca="1"/>
        <v>1.2865465910202403E-2</v>
      </c>
      <c r="G1369" s="656">
        <v>1.2880170201671542E-2</v>
      </c>
    </row>
    <row r="1370" spans="5:7">
      <c r="E1370" s="658">
        <f ca="1">_xll.meDateFromTenor(E1369,"1D","Following",$C$16)</f>
        <v>45166</v>
      </c>
      <c r="F1370" s="659">
        <f ca="1"/>
        <v>1.2882254166469239E-2</v>
      </c>
      <c r="G1370" s="656">
        <v>1.2885666881175041E-2</v>
      </c>
    </row>
    <row r="1371" spans="5:7">
      <c r="E1371" s="658">
        <f ca="1">_xll.meDateFromTenor(E1370,"1D","Following",$C$16)</f>
        <v>45167</v>
      </c>
      <c r="F1371" s="659">
        <f ca="1"/>
        <v>1.2887846849885273E-2</v>
      </c>
      <c r="G1371" s="656">
        <v>1.2891160644248372E-2</v>
      </c>
    </row>
    <row r="1372" spans="5:7">
      <c r="E1372" s="658">
        <f ca="1">_xll.meDateFromTenor(E1371,"1D","Following",$C$16)</f>
        <v>45168</v>
      </c>
      <c r="F1372" s="659">
        <f ca="1"/>
        <v>1.2893437873105989E-2</v>
      </c>
      <c r="G1372" s="656">
        <v>1.2896651515505802E-2</v>
      </c>
    </row>
    <row r="1373" spans="5:7">
      <c r="E1373" s="658">
        <f ca="1">_xll.meDateFromTenor(E1372,"1D","Following",$C$16)</f>
        <v>45169</v>
      </c>
      <c r="F1373" s="659">
        <f ca="1"/>
        <v>1.2899027260616083E-2</v>
      </c>
      <c r="G1373" s="656">
        <v>1.2913107024525474E-2</v>
      </c>
    </row>
    <row r="1374" spans="5:7">
      <c r="E1374" s="658">
        <f ca="1">_xll.meDateFromTenor(E1373,"1D","Following",$C$16)</f>
        <v>45170</v>
      </c>
      <c r="F1374" s="659">
        <f ca="1"/>
        <v>1.2904615036900234E-2</v>
      </c>
      <c r="G1374" s="656">
        <v>1.2918586574662081E-2</v>
      </c>
    </row>
    <row r="1375" spans="5:7">
      <c r="E1375" s="658">
        <f ca="1">_xll.meDateFromTenor(E1374,"1D","Following",$C$16)</f>
        <v>45173</v>
      </c>
      <c r="F1375" s="659">
        <f ca="1"/>
        <v>1.2921368943243926E-2</v>
      </c>
      <c r="G1375" s="656">
        <v>1.292406335605416E-2</v>
      </c>
    </row>
    <row r="1376" spans="5:7">
      <c r="E1376" s="658">
        <f ca="1">_xll.meDateFromTenor(E1375,"1D","Following",$C$16)</f>
        <v>45174</v>
      </c>
      <c r="F1376" s="659">
        <f ca="1"/>
        <v>1.2926950519471191E-2</v>
      </c>
      <c r="G1376" s="656">
        <v>1.2929537393315997E-2</v>
      </c>
    </row>
    <row r="1377" spans="5:7">
      <c r="E1377" s="658">
        <f ca="1">_xll.meDateFromTenor(E1376,"1D","Following",$C$16)</f>
        <v>45175</v>
      </c>
      <c r="F1377" s="659">
        <f ca="1"/>
        <v>1.2932530606895953E-2</v>
      </c>
      <c r="G1377" s="656">
        <v>1.2935008711061865E-2</v>
      </c>
    </row>
    <row r="1378" spans="5:7">
      <c r="E1378" s="658">
        <f ca="1">_xll.meDateFromTenor(E1377,"1D","Following",$C$16)</f>
        <v>45176</v>
      </c>
      <c r="F1378" s="659">
        <f ca="1"/>
        <v>1.2938109230002895E-2</v>
      </c>
      <c r="G1378" s="656">
        <v>1.2951406593346409E-2</v>
      </c>
    </row>
    <row r="1379" spans="5:7">
      <c r="E1379" s="658">
        <f ca="1">_xll.meDateFromTenor(E1378,"1D","Following",$C$16)</f>
        <v>45177</v>
      </c>
      <c r="F1379" s="659">
        <f ca="1"/>
        <v>1.2943686413276704E-2</v>
      </c>
      <c r="G1379" s="656">
        <v>1.2956867279171154E-2</v>
      </c>
    </row>
    <row r="1380" spans="5:7">
      <c r="E1380" s="658">
        <f ca="1">_xll.meDateFromTenor(E1379,"1D","Following",$C$16)</f>
        <v>45180</v>
      </c>
      <c r="F1380" s="659">
        <f ca="1"/>
        <v>1.2960409568946216E-2</v>
      </c>
      <c r="G1380" s="656">
        <v>1.2962325368551303E-2</v>
      </c>
    </row>
    <row r="1381" spans="5:7">
      <c r="E1381" s="658">
        <f ca="1">_xll.meDateFromTenor(E1380,"1D","Following",$C$16)</f>
        <v>45181</v>
      </c>
      <c r="F1381" s="659">
        <f ca="1"/>
        <v>1.2965981237734365E-2</v>
      </c>
      <c r="G1381" s="656">
        <v>1.296778088610114E-2</v>
      </c>
    </row>
    <row r="1382" spans="5:7">
      <c r="E1382" s="658">
        <f ca="1">_xll.meDateFromTenor(E1381,"1D","Following",$C$16)</f>
        <v>45182</v>
      </c>
      <c r="F1382" s="659">
        <f ca="1"/>
        <v>1.2971551589112819E-2</v>
      </c>
      <c r="G1382" s="656">
        <v>1.2973233856434934E-2</v>
      </c>
    </row>
    <row r="1383" spans="5:7">
      <c r="E1383" s="658">
        <f ca="1">_xll.meDateFromTenor(E1382,"1D","Following",$C$16)</f>
        <v>45183</v>
      </c>
      <c r="F1383" s="659">
        <f ca="1"/>
        <v>1.2977120647566263E-2</v>
      </c>
      <c r="G1383" s="656">
        <v>1.2989577730282812E-2</v>
      </c>
    </row>
    <row r="1384" spans="5:7">
      <c r="E1384" s="658">
        <f ca="1">_xll.meDateFromTenor(E1383,"1D","Following",$C$16)</f>
        <v>45184</v>
      </c>
      <c r="F1384" s="659">
        <f ca="1"/>
        <v>1.2982688437579383E-2</v>
      </c>
      <c r="G1384" s="656">
        <v>1.2995020757895189E-2</v>
      </c>
    </row>
    <row r="1385" spans="5:7">
      <c r="E1385" s="658">
        <f ca="1">_xll.meDateFromTenor(E1384,"1D","Following",$C$16)</f>
        <v>45187</v>
      </c>
      <c r="F1385" s="659">
        <f ca="1"/>
        <v>1.2999384441823665E-2</v>
      </c>
      <c r="G1385" s="656">
        <v>1.3000461361362901E-2</v>
      </c>
    </row>
    <row r="1386" spans="5:7">
      <c r="E1386" s="658">
        <f ca="1">_xll.meDateFromTenor(E1385,"1D","Following",$C$16)</f>
        <v>45188</v>
      </c>
      <c r="F1386" s="659">
        <f ca="1"/>
        <v>1.3004947402922358E-2</v>
      </c>
      <c r="G1386" s="656">
        <v>1.3005899565300225E-2</v>
      </c>
    </row>
    <row r="1387" spans="5:7">
      <c r="E1387" s="658">
        <f ca="1">_xll.meDateFromTenor(E1386,"1D","Following",$C$16)</f>
        <v>45189</v>
      </c>
      <c r="F1387" s="659">
        <f ca="1"/>
        <v>1.3010509218004162E-2</v>
      </c>
      <c r="G1387" s="656">
        <v>1.3011335394321427E-2</v>
      </c>
    </row>
    <row r="1388" spans="5:7">
      <c r="E1388" s="658">
        <f ca="1">_xll.meDateFromTenor(E1387,"1D","Following",$C$16)</f>
        <v>45190</v>
      </c>
      <c r="F1388" s="659">
        <f ca="1"/>
        <v>1.3016069911553759E-2</v>
      </c>
      <c r="G1388" s="656">
        <v>1.3027628878031113E-2</v>
      </c>
    </row>
    <row r="1389" spans="5:7">
      <c r="E1389" s="658">
        <f ca="1">_xll.meDateFromTenor(E1388,"1D","Following",$C$16)</f>
        <v>45191</v>
      </c>
      <c r="F1389" s="659">
        <f ca="1"/>
        <v>1.302162950805584E-2</v>
      </c>
      <c r="G1389" s="656">
        <v>1.3033055453530611E-2</v>
      </c>
    </row>
    <row r="1390" spans="5:7">
      <c r="E1390" s="658">
        <f ca="1">_xll.meDateFromTenor(E1389,"1D","Following",$C$16)</f>
        <v>45194</v>
      </c>
      <c r="F1390" s="659">
        <f ca="1"/>
        <v>1.3038301960123859E-2</v>
      </c>
      <c r="G1390" s="656">
        <v>1.3038479777185372E-2</v>
      </c>
    </row>
    <row r="1391" spans="5:7">
      <c r="E1391" s="658">
        <f ca="1">_xll.meDateFromTenor(E1390,"1D","Following",$C$16)</f>
        <v>45195</v>
      </c>
      <c r="F1391" s="659">
        <f ca="1"/>
        <v>1.3043857413282747E-2</v>
      </c>
      <c r="G1391" s="656">
        <v>1.3043901873609673E-2</v>
      </c>
    </row>
    <row r="1392" spans="5:7">
      <c r="E1392" s="658">
        <f ca="1">_xll.meDateFromTenor(E1391,"1D","Following",$C$16)</f>
        <v>45196</v>
      </c>
      <c r="F1392" s="659">
        <f ca="1"/>
        <v>1.3049411891817551E-2</v>
      </c>
      <c r="G1392" s="656">
        <v>1.304932176741778E-2</v>
      </c>
    </row>
    <row r="1393" spans="5:7">
      <c r="E1393" s="658">
        <f ca="1">_xll.meDateFromTenor(E1392,"1D","Following",$C$16)</f>
        <v>45197</v>
      </c>
      <c r="F1393" s="659">
        <f ca="1"/>
        <v>1.3054965420212955E-2</v>
      </c>
      <c r="G1393" s="656">
        <v>1.3065568479287734E-2</v>
      </c>
    </row>
    <row r="1394" spans="5:7">
      <c r="E1394" s="658">
        <f ca="1">_xll.meDateFromTenor(E1393,"1D","Following",$C$16)</f>
        <v>45198</v>
      </c>
      <c r="F1394" s="659">
        <f ca="1"/>
        <v>1.3060518022953655E-2</v>
      </c>
      <c r="G1394" s="656">
        <v>1.3070979808773845E-2</v>
      </c>
    </row>
    <row r="1395" spans="5:7">
      <c r="E1395" s="658">
        <f ca="1">_xll.meDateFromTenor(E1394,"1D","Following",$C$16)</f>
        <v>45201</v>
      </c>
      <c r="F1395" s="659">
        <f ca="1"/>
        <v>1.3077170522094365E-2</v>
      </c>
      <c r="G1395" s="656">
        <v>1.3076389058715146E-2</v>
      </c>
    </row>
    <row r="1396" spans="5:7">
      <c r="E1396" s="658">
        <f ca="1">_xll.meDateFromTenor(E1395,"1D","Following",$C$16)</f>
        <v>45202</v>
      </c>
      <c r="F1396" s="659">
        <f ca="1"/>
        <v>1.3082719667063099E-2</v>
      </c>
      <c r="G1396" s="656">
        <v>1.3081796253725908E-2</v>
      </c>
    </row>
    <row r="1397" spans="5:7">
      <c r="E1397" s="658">
        <f ca="1">_xll.meDateFromTenor(E1396,"1D","Following",$C$16)</f>
        <v>45203</v>
      </c>
      <c r="F1397" s="659">
        <f ca="1"/>
        <v>1.3088268008800556E-2</v>
      </c>
      <c r="G1397" s="656">
        <v>1.3087201418420411E-2</v>
      </c>
    </row>
    <row r="1398" spans="5:7">
      <c r="E1398" s="658">
        <f ca="1">_xll.meDateFromTenor(E1397,"1D","Following",$C$16)</f>
        <v>45204</v>
      </c>
      <c r="F1398" s="659">
        <f ca="1"/>
        <v>1.3093815571791425E-2</v>
      </c>
      <c r="G1398" s="656">
        <v>1.3103404976749103E-2</v>
      </c>
    </row>
    <row r="1399" spans="5:7">
      <c r="E1399" s="658">
        <f ca="1">_xll.meDateFromTenor(E1398,"1D","Following",$C$16)</f>
        <v>45205</v>
      </c>
      <c r="F1399" s="659">
        <f ca="1"/>
        <v>1.3099362380520393E-2</v>
      </c>
      <c r="G1399" s="656">
        <v>1.3108802266321315E-2</v>
      </c>
    </row>
    <row r="1400" spans="5:7">
      <c r="E1400" s="658">
        <f ca="1">_xll.meDateFromTenor(E1399,"1D","Following",$C$16)</f>
        <v>45208</v>
      </c>
      <c r="F1400" s="659">
        <f ca="1"/>
        <v>1.3115998525982758E-2</v>
      </c>
      <c r="G1400" s="656">
        <v>1.3114197648648641E-2</v>
      </c>
    </row>
    <row r="1401" spans="5:7">
      <c r="E1401" s="658">
        <f ca="1">_xll.meDateFromTenor(E1400,"1D","Following",$C$16)</f>
        <v>45209</v>
      </c>
      <c r="F1401" s="659">
        <f ca="1"/>
        <v>1.3121542562510989E-2</v>
      </c>
      <c r="G1401" s="656">
        <v>1.3119591148345358E-2</v>
      </c>
    </row>
    <row r="1402" spans="5:7">
      <c r="E1402" s="658">
        <f ca="1">_xll.meDateFromTenor(E1401,"1D","Following",$C$16)</f>
        <v>45210</v>
      </c>
      <c r="F1402" s="659">
        <f ca="1"/>
        <v>1.3127085967200754E-2</v>
      </c>
      <c r="G1402" s="656">
        <v>1.3124982790025743E-2</v>
      </c>
    </row>
    <row r="1403" spans="5:7">
      <c r="E1403" s="658">
        <f ca="1">_xll.meDateFromTenor(E1402,"1D","Following",$C$16)</f>
        <v>45211</v>
      </c>
      <c r="F1403" s="659">
        <f ca="1"/>
        <v>1.313262876453674E-2</v>
      </c>
      <c r="G1403" s="656">
        <v>1.3141146813111645E-2</v>
      </c>
    </row>
    <row r="1404" spans="5:7">
      <c r="E1404" s="658">
        <f ca="1">_xll.meDateFromTenor(E1403,"1D","Following",$C$16)</f>
        <v>45212</v>
      </c>
      <c r="F1404" s="659">
        <f ca="1"/>
        <v>1.3138170979003628E-2</v>
      </c>
      <c r="G1404" s="656">
        <v>1.3146531268869447E-2</v>
      </c>
    </row>
    <row r="1405" spans="5:7">
      <c r="E1405" s="658">
        <f ca="1">_xll.meDateFromTenor(E1404,"1D","Following",$C$16)</f>
        <v>45215</v>
      </c>
      <c r="F1405" s="659">
        <f ca="1"/>
        <v>1.3154794370036606E-2</v>
      </c>
      <c r="G1405" s="656">
        <v>1.315191398968229E-2</v>
      </c>
    </row>
    <row r="1406" spans="5:7">
      <c r="E1406" s="658">
        <f ca="1">_xll.meDateFromTenor(E1405,"1D","Following",$C$16)</f>
        <v>45216</v>
      </c>
      <c r="F1406" s="659">
        <f ca="1"/>
        <v>1.3160334497873991E-2</v>
      </c>
      <c r="G1406" s="656">
        <v>1.3157295000164453E-2</v>
      </c>
    </row>
    <row r="1407" spans="5:7">
      <c r="E1407" s="658">
        <f ca="1">_xll.meDateFromTenor(E1406,"1D","Following",$C$16)</f>
        <v>45217</v>
      </c>
      <c r="F1407" s="659">
        <f ca="1"/>
        <v>1.3165874165265714E-2</v>
      </c>
      <c r="G1407" s="656">
        <v>1.3162674324930205E-2</v>
      </c>
    </row>
    <row r="1408" spans="5:7">
      <c r="E1408" s="658">
        <f ca="1">_xll.meDateFromTenor(E1407,"1D","Following",$C$16)</f>
        <v>45218</v>
      </c>
      <c r="F1408" s="659">
        <f ca="1"/>
        <v>1.3171413396696467E-2</v>
      </c>
      <c r="G1408" s="656">
        <v>1.3178802431071784E-2</v>
      </c>
    </row>
    <row r="1409" spans="5:7">
      <c r="E1409" s="658">
        <f ca="1">_xll.meDateFromTenor(E1408,"1D","Following",$C$16)</f>
        <v>45219</v>
      </c>
      <c r="F1409" s="659">
        <f ca="1"/>
        <v>1.3176952216650935E-2</v>
      </c>
      <c r="G1409" s="656">
        <v>1.3184175259114665E-2</v>
      </c>
    </row>
    <row r="1410" spans="5:7">
      <c r="E1410" s="658">
        <f ca="1">_xll.meDateFromTenor(E1409,"1D","Following",$C$16)</f>
        <v>45222</v>
      </c>
      <c r="F1410" s="659">
        <f ca="1"/>
        <v>1.3193566452503486E-2</v>
      </c>
      <c r="G1410" s="656">
        <v>1.3189546524512513E-2</v>
      </c>
    </row>
    <row r="1411" spans="5:7">
      <c r="E1411" s="658">
        <f ca="1">_xll.meDateFromTenor(E1410,"1D","Following",$C$16)</f>
        <v>45223</v>
      </c>
      <c r="F1411" s="659">
        <f ca="1"/>
        <v>1.3199103871399675E-2</v>
      </c>
      <c r="G1411" s="656">
        <v>1.3194916251879608E-2</v>
      </c>
    </row>
    <row r="1412" spans="5:7">
      <c r="E1412" s="658">
        <f ca="1">_xll.meDateFromTenor(E1411,"1D","Following",$C$16)</f>
        <v>45224</v>
      </c>
      <c r="F1412" s="659">
        <f ca="1"/>
        <v>1.3204641001243012E-2</v>
      </c>
      <c r="G1412" s="656">
        <v>1.3200284465830225E-2</v>
      </c>
    </row>
    <row r="1413" spans="5:7">
      <c r="E1413" s="658">
        <f ca="1">_xll.meDateFromTenor(E1412,"1D","Following",$C$16)</f>
        <v>45225</v>
      </c>
      <c r="F1413" s="659">
        <f ca="1"/>
        <v>1.3210177866518185E-2</v>
      </c>
      <c r="G1413" s="656">
        <v>1.3216380273325942E-2</v>
      </c>
    </row>
    <row r="1414" spans="5:7">
      <c r="E1414" s="658">
        <f ca="1">_xll.meDateFromTenor(E1413,"1D","Following",$C$16)</f>
        <v>45226</v>
      </c>
      <c r="F1414" s="659">
        <f ca="1"/>
        <v>1.3215714491709883E-2</v>
      </c>
      <c r="G1414" s="656">
        <v>1.3221742679753392E-2</v>
      </c>
    </row>
    <row r="1415" spans="5:7">
      <c r="E1415" s="658">
        <f ca="1">_xll.meDateFromTenor(E1414,"1D","Following",$C$16)</f>
        <v>45229</v>
      </c>
      <c r="F1415" s="659">
        <f ca="1"/>
        <v>1.3232323171630964E-2</v>
      </c>
      <c r="G1415" s="656">
        <v>1.3227103695835738E-2</v>
      </c>
    </row>
    <row r="1416" spans="5:7">
      <c r="E1416" s="658">
        <f ca="1">_xll.meDateFromTenor(E1415,"1D","Following",$C$16)</f>
        <v>45230</v>
      </c>
      <c r="F1416" s="659">
        <f ca="1"/>
        <v>1.3237859081335613E-2</v>
      </c>
      <c r="G1416" s="656">
        <v>1.3232463346187256E-2</v>
      </c>
    </row>
    <row r="1417" spans="5:7">
      <c r="E1417" s="658">
        <f ca="1">_xll.meDateFromTenor(E1416,"1D","Following",$C$16)</f>
        <v>45231</v>
      </c>
      <c r="F1417" s="659">
        <f ca="1"/>
        <v>1.3243394873380219E-2</v>
      </c>
      <c r="G1417" s="656">
        <v>1.323782165542222E-2</v>
      </c>
    </row>
    <row r="1418" spans="5:7">
      <c r="E1418" s="658">
        <f ca="1">_xll.meDateFromTenor(E1417,"1D","Following",$C$16)</f>
        <v>45232</v>
      </c>
      <c r="F1418" s="659">
        <f ca="1"/>
        <v>1.3248930572249467E-2</v>
      </c>
      <c r="G1418" s="656">
        <v>1.325388878257055E-2</v>
      </c>
    </row>
    <row r="1419" spans="5:7">
      <c r="E1419" s="658">
        <f ca="1">_xll.meDateFromTenor(E1418,"1D","Following",$C$16)</f>
        <v>45233</v>
      </c>
      <c r="F1419" s="659">
        <f ca="1"/>
        <v>1.3254466202428041E-2</v>
      </c>
      <c r="G1419" s="656">
        <v>1.3259241973482053E-2</v>
      </c>
    </row>
    <row r="1420" spans="5:7">
      <c r="E1420" s="658">
        <f ca="1">_xll.meDateFromTenor(E1419,"1D","Following",$C$16)</f>
        <v>45236</v>
      </c>
      <c r="F1420" s="659">
        <f ca="1"/>
        <v>1.3271072925666618E-2</v>
      </c>
      <c r="G1420" s="656">
        <v>1.3264593946348385E-2</v>
      </c>
    </row>
    <row r="1421" spans="5:7">
      <c r="E1421" s="658">
        <f ca="1">_xll.meDateFromTenor(E1420,"1D","Following",$C$16)</f>
        <v>45237</v>
      </c>
      <c r="F1421" s="659">
        <f ca="1"/>
        <v>1.3276608525929379E-2</v>
      </c>
      <c r="G1421" s="656">
        <v>1.3269944725783814E-2</v>
      </c>
    </row>
    <row r="1422" spans="5:7">
      <c r="E1422" s="658">
        <f ca="1">_xll.meDateFromTenor(E1421,"1D","Following",$C$16)</f>
        <v>45238</v>
      </c>
      <c r="F1422" s="659">
        <f ca="1"/>
        <v>1.3282144179924904E-2</v>
      </c>
      <c r="G1422" s="656">
        <v>1.3275294336402618E-2</v>
      </c>
    </row>
    <row r="1423" spans="5:7">
      <c r="E1423" s="658">
        <f ca="1">_xll.meDateFromTenor(E1422,"1D","Following",$C$16)</f>
        <v>45239</v>
      </c>
      <c r="F1423" s="659">
        <f ca="1"/>
        <v>1.328767990536032E-2</v>
      </c>
      <c r="G1423" s="656">
        <v>1.3291336288540144E-2</v>
      </c>
    </row>
    <row r="1424" spans="5:7">
      <c r="E1424" s="658">
        <f ca="1">_xll.meDateFromTenor(E1423,"1D","Following",$C$16)</f>
        <v>45240</v>
      </c>
      <c r="F1424" s="659">
        <f ca="1"/>
        <v>1.3293215692832511E-2</v>
      </c>
      <c r="G1424" s="656">
        <v>1.329668131523558E-2</v>
      </c>
    </row>
    <row r="1425" spans="5:7">
      <c r="E1425" s="658">
        <f ca="1">_xll.meDateFromTenor(E1424,"1D","Following",$C$16)</f>
        <v>45243</v>
      </c>
      <c r="F1425" s="659">
        <f ca="1"/>
        <v>1.3309823265663018E-2</v>
      </c>
      <c r="G1425" s="656">
        <v>1.3302025195775205E-2</v>
      </c>
    </row>
    <row r="1426" spans="5:7">
      <c r="E1426" s="658">
        <f ca="1">_xll.meDateFromTenor(E1425,"1D","Following",$C$16)</f>
        <v>45244</v>
      </c>
      <c r="F1426" s="659">
        <f ca="1"/>
        <v>1.3315359139475588E-2</v>
      </c>
      <c r="G1426" s="656">
        <v>1.3307367929670657E-2</v>
      </c>
    </row>
    <row r="1427" spans="5:7">
      <c r="E1427" s="658">
        <f ca="1">_xll.meDateFromTenor(E1426,"1D","Following",$C$16)</f>
        <v>45245</v>
      </c>
      <c r="F1427" s="659">
        <f ca="1"/>
        <v>1.3320894994421567E-2</v>
      </c>
      <c r="G1427" s="656">
        <v>1.3312709516433562E-2</v>
      </c>
    </row>
    <row r="1428" spans="5:7">
      <c r="E1428" s="658">
        <f ca="1">_xll.meDateFromTenor(E1427,"1D","Following",$C$16)</f>
        <v>45246</v>
      </c>
      <c r="F1428" s="659">
        <f ca="1"/>
        <v>1.3326430814320287E-2</v>
      </c>
      <c r="G1428" s="656">
        <v>1.3328727389043386E-2</v>
      </c>
    </row>
    <row r="1429" spans="5:7">
      <c r="E1429" s="658">
        <f ca="1">_xll.meDateFromTenor(E1428,"1D","Following",$C$16)</f>
        <v>45247</v>
      </c>
      <c r="F1429" s="659">
        <f ca="1"/>
        <v>1.3331966582991071E-2</v>
      </c>
      <c r="G1429" s="656">
        <v>1.3334064382392477E-2</v>
      </c>
    </row>
    <row r="1430" spans="5:7">
      <c r="E1430" s="658">
        <f ca="1">_xll.meDateFromTenor(E1429,"1D","Following",$C$16)</f>
        <v>45250</v>
      </c>
      <c r="F1430" s="659">
        <f ca="1"/>
        <v>1.3348573419829085E-2</v>
      </c>
      <c r="G1430" s="656">
        <v>1.3339400226167199E-2</v>
      </c>
    </row>
    <row r="1431" spans="5:7">
      <c r="E1431" s="658">
        <f ca="1">_xll.meDateFromTenor(E1430,"1D","Following",$C$16)</f>
        <v>45251</v>
      </c>
      <c r="F1431" s="659">
        <f ca="1"/>
        <v>1.3354108821781398E-2</v>
      </c>
      <c r="G1431" s="656">
        <v>1.3344734919879191E-2</v>
      </c>
    </row>
    <row r="1432" spans="5:7">
      <c r="E1432" s="658">
        <f ca="1">_xll.meDateFromTenor(E1431,"1D","Following",$C$16)</f>
        <v>45252</v>
      </c>
      <c r="F1432" s="659">
        <f ca="1"/>
        <v>1.3359644091602414E-2</v>
      </c>
      <c r="G1432" s="656">
        <v>1.335006846304008E-2</v>
      </c>
    </row>
    <row r="1433" spans="5:7">
      <c r="E1433" s="658">
        <f ca="1">_xll.meDateFromTenor(E1432,"1D","Following",$C$16)</f>
        <v>45253</v>
      </c>
      <c r="F1433" s="659">
        <f ca="1"/>
        <v>1.3365179213111455E-2</v>
      </c>
      <c r="G1433" s="656">
        <v>1.3366062184332518E-2</v>
      </c>
    </row>
    <row r="1434" spans="5:7">
      <c r="E1434" s="658">
        <f ca="1">_xll.meDateFromTenor(E1433,"1D","Following",$C$16)</f>
        <v>45254</v>
      </c>
      <c r="F1434" s="659">
        <f ca="1"/>
        <v>1.3370714170127848E-2</v>
      </c>
      <c r="G1434" s="656">
        <v>1.3371391120405366E-2</v>
      </c>
    </row>
    <row r="1435" spans="5:7">
      <c r="E1435" s="658">
        <f ca="1">_xll.meDateFromTenor(E1434,"1D","Following",$C$16)</f>
        <v>45257</v>
      </c>
      <c r="F1435" s="659">
        <f ca="1"/>
        <v>1.3387317892414423E-2</v>
      </c>
      <c r="G1435" s="656">
        <v>1.3376718903485289E-2</v>
      </c>
    </row>
    <row r="1436" spans="5:7">
      <c r="E1436" s="658">
        <f ca="1">_xll.meDateFromTenor(E1435,"1D","Following",$C$16)</f>
        <v>45258</v>
      </c>
      <c r="F1436" s="659">
        <f ca="1"/>
        <v>1.3392852029653504E-2</v>
      </c>
      <c r="G1436" s="656">
        <v>1.3382045533083928E-2</v>
      </c>
    </row>
    <row r="1437" spans="5:7">
      <c r="E1437" s="658">
        <f ca="1">_xll.meDateFromTenor(E1436,"1D","Following",$C$16)</f>
        <v>45259</v>
      </c>
      <c r="F1437" s="659">
        <f ca="1"/>
        <v>1.3398385921496571E-2</v>
      </c>
      <c r="G1437" s="656">
        <v>1.3387371008712909E-2</v>
      </c>
    </row>
    <row r="1438" spans="5:7">
      <c r="E1438" s="658">
        <f ca="1">_xll.meDateFromTenor(E1437,"1D","Following",$C$16)</f>
        <v>45260</v>
      </c>
      <c r="F1438" s="659">
        <f ca="1"/>
        <v>1.3403919551762952E-2</v>
      </c>
      <c r="G1438" s="656">
        <v>1.3403340506898278E-2</v>
      </c>
    </row>
    <row r="1439" spans="5:7">
      <c r="E1439" s="658">
        <f ca="1">_xll.meDateFromTenor(E1438,"1D","Following",$C$16)</f>
        <v>45261</v>
      </c>
      <c r="F1439" s="659">
        <f ca="1"/>
        <v>1.3409452904271974E-2</v>
      </c>
      <c r="G1439" s="656">
        <v>1.3408661361764992E-2</v>
      </c>
    </row>
    <row r="1440" spans="5:7">
      <c r="E1440" s="658">
        <f ca="1">_xll.meDateFromTenor(E1439,"1D","Following",$C$16)</f>
        <v>45264</v>
      </c>
      <c r="F1440" s="659">
        <f ca="1"/>
        <v>1.3426051133448167E-2</v>
      </c>
      <c r="G1440" s="656">
        <v>1.3413981060220227E-2</v>
      </c>
    </row>
    <row r="1441" spans="5:7">
      <c r="E1441" s="658">
        <f ca="1">_xll.meDateFromTenor(E1440,"1D","Following",$C$16)</f>
        <v>45265</v>
      </c>
      <c r="F1441" s="659">
        <f ca="1"/>
        <v>1.3431583213121028E-2</v>
      </c>
      <c r="G1441" s="656">
        <v>1.3419299601775616E-2</v>
      </c>
    </row>
    <row r="1442" spans="5:7">
      <c r="E1442" s="658">
        <f ca="1">_xll.meDateFromTenor(E1441,"1D","Following",$C$16)</f>
        <v>45266</v>
      </c>
      <c r="F1442" s="659">
        <f ca="1"/>
        <v>1.3437114934133167E-2</v>
      </c>
      <c r="G1442" s="656">
        <v>1.3424616985942793E-2</v>
      </c>
    </row>
    <row r="1443" spans="5:7">
      <c r="E1443" s="658">
        <f ca="1">_xll.meDateFromTenor(E1442,"1D","Following",$C$16)</f>
        <v>45267</v>
      </c>
      <c r="F1443" s="659">
        <f ca="1"/>
        <v>1.3442646280303906E-2</v>
      </c>
      <c r="G1443" s="656">
        <v>1.3440562189231415E-2</v>
      </c>
    </row>
    <row r="1444" spans="5:7">
      <c r="E1444" s="658">
        <f ca="1">_xll.meDateFromTenor(E1443,"1D","Following",$C$16)</f>
        <v>45268</v>
      </c>
      <c r="F1444" s="659">
        <f ca="1"/>
        <v>1.3448177235452578E-2</v>
      </c>
      <c r="G1444" s="656">
        <v>1.3445874938962097E-2</v>
      </c>
    </row>
    <row r="1445" spans="5:7">
      <c r="E1445" s="658">
        <f ca="1">_xll.meDateFromTenor(E1444,"1D","Following",$C$16)</f>
        <v>45271</v>
      </c>
      <c r="F1445" s="659">
        <f ca="1"/>
        <v>1.3464767592959443E-2</v>
      </c>
      <c r="G1445" s="656">
        <v>1.3451186528862747E-2</v>
      </c>
    </row>
    <row r="1446" spans="5:7">
      <c r="E1446" s="658">
        <f ca="1">_xll.meDateFromTenor(E1445,"1D","Following",$C$16)</f>
        <v>45272</v>
      </c>
      <c r="F1446" s="659">
        <f ca="1"/>
        <v>1.3470296822213105E-2</v>
      </c>
      <c r="G1446" s="656">
        <v>1.3456496958444994E-2</v>
      </c>
    </row>
    <row r="1447" spans="5:7">
      <c r="E1447" s="658">
        <f ca="1">_xll.meDateFromTenor(E1446,"1D","Following",$C$16)</f>
        <v>45273</v>
      </c>
      <c r="F1447" s="659">
        <f ca="1"/>
        <v>1.347582557954133E-2</v>
      </c>
      <c r="G1447" s="656">
        <v>1.3461806227220475E-2</v>
      </c>
    </row>
    <row r="1448" spans="5:7">
      <c r="E1448" s="658">
        <f ca="1">_xll.meDateFromTenor(E1447,"1D","Following",$C$16)</f>
        <v>45274</v>
      </c>
      <c r="F1448" s="659">
        <f ca="1"/>
        <v>1.3481353848763448E-2</v>
      </c>
      <c r="G1448" s="656">
        <v>1.3477727063822666E-2</v>
      </c>
    </row>
    <row r="1449" spans="5:7">
      <c r="E1449" s="658">
        <f ca="1">_xll.meDateFromTenor(E1448,"1D","Following",$C$16)</f>
        <v>45275</v>
      </c>
      <c r="F1449" s="659">
        <f ca="1"/>
        <v>1.3486881613698787E-2</v>
      </c>
      <c r="G1449" s="656">
        <v>1.3483031684487426E-2</v>
      </c>
    </row>
    <row r="1450" spans="5:7">
      <c r="E1450" s="658">
        <f ca="1">_xll.meDateFromTenor(E1449,"1D","Following",$C$16)</f>
        <v>45278</v>
      </c>
      <c r="F1450" s="659">
        <f ca="1"/>
        <v>1.350346172097738E-2</v>
      </c>
      <c r="G1450" s="656">
        <v>1.3488335141903597E-2</v>
      </c>
    </row>
    <row r="1451" spans="5:7">
      <c r="E1451" s="658">
        <f ca="1">_xll.meDateFromTenor(E1450,"1D","Following",$C$16)</f>
        <v>45279</v>
      </c>
      <c r="F1451" s="659">
        <f ca="1"/>
        <v>1.3508987306958859E-2</v>
      </c>
      <c r="G1451" s="656">
        <v>1.3493637435582805E-2</v>
      </c>
    </row>
    <row r="1452" spans="5:7">
      <c r="E1452" s="658">
        <f ca="1">_xll.meDateFromTenor(E1451,"1D","Following",$C$16)</f>
        <v>45280</v>
      </c>
      <c r="F1452" s="659">
        <f ca="1"/>
        <v>1.3514512307750196E-2</v>
      </c>
      <c r="G1452" s="656">
        <v>1.3498938565036695E-2</v>
      </c>
    </row>
    <row r="1453" spans="5:7">
      <c r="E1453" s="658">
        <f ca="1">_xll.meDateFromTenor(E1452,"1D","Following",$C$16)</f>
        <v>45281</v>
      </c>
      <c r="F1453" s="659">
        <f ca="1"/>
        <v>1.352003670717071E-2</v>
      </c>
      <c r="G1453" s="656">
        <v>1.3514834963162773E-2</v>
      </c>
    </row>
    <row r="1454" spans="5:7">
      <c r="E1454" s="658">
        <f ca="1">_xll.meDateFromTenor(E1453,"1D","Following",$C$16)</f>
        <v>45282</v>
      </c>
      <c r="F1454" s="659">
        <f ca="1"/>
        <v>1.3525560489039731E-2</v>
      </c>
      <c r="G1454" s="656">
        <v>1.3520131430831719E-2</v>
      </c>
    </row>
    <row r="1455" spans="5:7">
      <c r="E1455" s="658">
        <f ca="1">_xll.meDateFromTenor(E1454,"1D","Following",$C$16)</f>
        <v>45287</v>
      </c>
      <c r="F1455" s="659">
        <f ca="1"/>
        <v>1.3553169568788886E-2</v>
      </c>
      <c r="G1455" s="656">
        <v>1.3525426731833516E-2</v>
      </c>
    </row>
    <row r="1456" spans="5:7">
      <c r="E1456" s="658">
        <f ca="1">_xll.meDateFromTenor(E1455,"1D","Following",$C$16)</f>
        <v>45288</v>
      </c>
      <c r="F1456" s="659">
        <f ca="1"/>
        <v>1.3558689305554815E-2</v>
      </c>
      <c r="G1456" s="656">
        <v>1.3530720865679796E-2</v>
      </c>
    </row>
    <row r="1457" spans="5:7">
      <c r="E1457" s="658">
        <f ca="1">_xll.meDateFromTenor(E1456,"1D","Following",$C$16)</f>
        <v>45289</v>
      </c>
      <c r="F1457" s="659">
        <f ca="1"/>
        <v>1.356420831150454E-2</v>
      </c>
      <c r="G1457" s="656">
        <v>1.35360138318822E-2</v>
      </c>
    </row>
    <row r="1458" spans="5:7">
      <c r="E1458" s="658">
        <f ca="1">_xll.meDateFromTenor(E1457,"1D","Following",$C$16)</f>
        <v>45293</v>
      </c>
      <c r="F1458" s="659">
        <f ca="1"/>
        <v>1.3586246564074745E-2</v>
      </c>
      <c r="G1458" s="656">
        <v>1.3562461131143245E-2</v>
      </c>
    </row>
    <row r="1459" spans="5:7">
      <c r="E1459" s="658">
        <f ca="1">_xll.meDateFromTenor(E1458,"1D","Following",$C$16)</f>
        <v>45294</v>
      </c>
      <c r="F1459" s="659">
        <f ca="1"/>
        <v>1.3591746610216881E-2</v>
      </c>
      <c r="G1459" s="656">
        <v>1.3567747081226702E-2</v>
      </c>
    </row>
    <row r="1460" spans="5:7">
      <c r="E1460" s="658">
        <f ca="1">_xll.meDateFromTenor(E1459,"1D","Following",$C$16)</f>
        <v>45295</v>
      </c>
      <c r="F1460" s="659">
        <f ca="1"/>
        <v>1.3597245833108541E-2</v>
      </c>
      <c r="G1460" s="656">
        <v>1.3573031860247728E-2</v>
      </c>
    </row>
    <row r="1461" spans="5:7">
      <c r="E1461" s="658">
        <f ca="1">_xll.meDateFromTenor(E1460,"1D","Following",$C$16)</f>
        <v>45296</v>
      </c>
      <c r="F1461" s="659">
        <f ca="1"/>
        <v>1.360274421670132E-2</v>
      </c>
      <c r="G1461" s="656">
        <v>1.3594130406178287E-2</v>
      </c>
    </row>
    <row r="1462" spans="5:7">
      <c r="E1462" s="658">
        <f ca="1">_xll.meDateFromTenor(E1461,"1D","Following",$C$16)</f>
        <v>45299</v>
      </c>
      <c r="F1462" s="659">
        <f ca="1"/>
        <v>1.361923417120231E-2</v>
      </c>
      <c r="G1462" s="656">
        <v>1.3599394907288448E-2</v>
      </c>
    </row>
    <row r="1463" spans="5:7">
      <c r="E1463" s="658">
        <f ca="1">_xll.meDateFromTenor(E1462,"1D","Following",$C$16)</f>
        <v>45300</v>
      </c>
      <c r="F1463" s="659">
        <f ca="1"/>
        <v>1.36247290371155E-2</v>
      </c>
      <c r="G1463" s="656">
        <v>1.3604658240816463E-2</v>
      </c>
    </row>
    <row r="1464" spans="5:7">
      <c r="E1464" s="658">
        <f ca="1">_xll.meDateFromTenor(E1463,"1D","Following",$C$16)</f>
        <v>45301</v>
      </c>
      <c r="F1464" s="659">
        <f ca="1"/>
        <v>1.3630222983487782E-2</v>
      </c>
      <c r="G1464" s="656">
        <v>1.3609920406277952E-2</v>
      </c>
    </row>
    <row r="1465" spans="5:7">
      <c r="E1465" s="658">
        <f ca="1">_xll.meDateFromTenor(E1464,"1D","Following",$C$16)</f>
        <v>45302</v>
      </c>
      <c r="F1465" s="659">
        <f ca="1"/>
        <v>1.3635715994270737E-2</v>
      </c>
      <c r="G1465" s="656">
        <v>1.362569988941956E-2</v>
      </c>
    </row>
    <row r="1466" spans="5:7">
      <c r="E1466" s="658">
        <f ca="1">_xll.meDateFromTenor(E1465,"1D","Following",$C$16)</f>
        <v>45303</v>
      </c>
      <c r="F1466" s="659">
        <f ca="1"/>
        <v>1.3641208053415966E-2</v>
      </c>
      <c r="G1466" s="656">
        <v>1.3630957377771232E-2</v>
      </c>
    </row>
    <row r="1467" spans="5:7">
      <c r="E1467" s="658">
        <f ca="1">_xll.meDateFromTenor(E1466,"1D","Following",$C$16)</f>
        <v>45306</v>
      </c>
      <c r="F1467" s="659">
        <f ca="1"/>
        <v>1.3657678360541228E-2</v>
      </c>
      <c r="G1467" s="656">
        <v>1.3636213695634515E-2</v>
      </c>
    </row>
    <row r="1468" spans="5:7">
      <c r="E1468" s="658">
        <f ca="1">_xll.meDateFromTenor(E1467,"1D","Following",$C$16)</f>
        <v>45307</v>
      </c>
      <c r="F1468" s="659">
        <f ca="1"/>
        <v>1.3663166452651481E-2</v>
      </c>
      <c r="G1468" s="656">
        <v>1.3641468842525034E-2</v>
      </c>
    </row>
    <row r="1469" spans="5:7">
      <c r="E1469" s="658">
        <f ca="1">_xll.meDateFromTenor(E1468,"1D","Following",$C$16)</f>
        <v>45308</v>
      </c>
      <c r="F1469" s="659">
        <f ca="1"/>
        <v>1.3668653512881974E-2</v>
      </c>
      <c r="G1469" s="656">
        <v>1.3646722817958423E-2</v>
      </c>
    </row>
    <row r="1470" spans="5:7">
      <c r="E1470" s="658">
        <f ca="1">_xll.meDateFromTenor(E1469,"1D","Following",$C$16)</f>
        <v>45309</v>
      </c>
      <c r="F1470" s="659">
        <f ca="1"/>
        <v>1.3674139525184304E-2</v>
      </c>
      <c r="G1470" s="656">
        <v>1.3662477710672048E-2</v>
      </c>
    </row>
    <row r="1471" spans="5:7">
      <c r="E1471" s="658">
        <f ca="1">_xll.meDateFromTenor(E1470,"1D","Following",$C$16)</f>
        <v>45310</v>
      </c>
      <c r="F1471" s="659">
        <f ca="1"/>
        <v>1.3679624473510057E-2</v>
      </c>
      <c r="G1471" s="656">
        <v>1.3667726995433166E-2</v>
      </c>
    </row>
    <row r="1472" spans="5:7">
      <c r="E1472" s="658">
        <f ca="1">_xll.meDateFromTenor(E1471,"1D","Following",$C$16)</f>
        <v>45313</v>
      </c>
      <c r="F1472" s="659">
        <f ca="1"/>
        <v>1.3696072774143806E-2</v>
      </c>
      <c r="G1472" s="656">
        <v>1.3672975106315289E-2</v>
      </c>
    </row>
    <row r="1473" spans="5:7">
      <c r="E1473" s="658">
        <f ca="1">_xll.meDateFromTenor(E1472,"1D","Following",$C$16)</f>
        <v>45314</v>
      </c>
      <c r="F1473" s="659">
        <f ca="1"/>
        <v>1.37015533060792E-2</v>
      </c>
      <c r="G1473" s="656">
        <v>1.3678222042834035E-2</v>
      </c>
    </row>
    <row r="1474" spans="5:7">
      <c r="E1474" s="658">
        <f ca="1">_xll.meDateFromTenor(E1473,"1D","Following",$C$16)</f>
        <v>45315</v>
      </c>
      <c r="F1474" s="659">
        <f ca="1"/>
        <v>1.3707032693795985E-2</v>
      </c>
      <c r="G1474" s="656">
        <v>1.3683467804505033E-2</v>
      </c>
    </row>
    <row r="1475" spans="5:7">
      <c r="E1475" s="658">
        <f ca="1">_xll.meDateFromTenor(E1474,"1D","Following",$C$16)</f>
        <v>45316</v>
      </c>
      <c r="F1475" s="659">
        <f ca="1"/>
        <v>1.3712510921245756E-2</v>
      </c>
      <c r="G1475" s="656">
        <v>1.3699198035587832E-2</v>
      </c>
    </row>
    <row r="1476" spans="5:7">
      <c r="E1476" s="658">
        <f ca="1">_xll.meDateFromTenor(E1475,"1D","Following",$C$16)</f>
        <v>45317</v>
      </c>
      <c r="F1476" s="659">
        <f ca="1"/>
        <v>1.3717987972380108E-2</v>
      </c>
      <c r="G1476" s="656">
        <v>1.3704439093024118E-2</v>
      </c>
    </row>
    <row r="1477" spans="5:7">
      <c r="E1477" s="658">
        <f ca="1">_xll.meDateFromTenor(E1476,"1D","Following",$C$16)</f>
        <v>45320</v>
      </c>
      <c r="F1477" s="659">
        <f ca="1"/>
        <v>1.373441190740657E-2</v>
      </c>
      <c r="G1477" s="656">
        <v>1.3709678973190791E-2</v>
      </c>
    </row>
    <row r="1478" spans="5:7">
      <c r="E1478" s="658">
        <f ca="1">_xll.meDateFromTenor(E1477,"1D","Following",$C$16)</f>
        <v>45321</v>
      </c>
      <c r="F1478" s="659">
        <f ca="1"/>
        <v>1.3739884092795172E-2</v>
      </c>
      <c r="G1478" s="656">
        <v>1.3714917675603483E-2</v>
      </c>
    </row>
    <row r="1479" spans="5:7">
      <c r="E1479" s="658">
        <f ca="1">_xll.meDateFromTenor(E1478,"1D","Following",$C$16)</f>
        <v>45322</v>
      </c>
      <c r="F1479" s="659">
        <f ca="1"/>
        <v>1.3745355021626321E-2</v>
      </c>
      <c r="G1479" s="656">
        <v>1.3720155199777814E-2</v>
      </c>
    </row>
    <row r="1480" spans="5:7">
      <c r="E1480" s="658">
        <f ca="1">_xll.meDateFromTenor(E1479,"1D","Following",$C$16)</f>
        <v>45323</v>
      </c>
      <c r="F1480" s="659">
        <f ca="1"/>
        <v>1.3750824677851608E-2</v>
      </c>
      <c r="G1480" s="656">
        <v>1.3735860698026932E-2</v>
      </c>
    </row>
    <row r="1481" spans="5:7">
      <c r="E1481" s="658">
        <f ca="1">_xll.meDateFromTenor(E1480,"1D","Following",$C$16)</f>
        <v>45324</v>
      </c>
      <c r="F1481" s="659">
        <f ca="1"/>
        <v>1.3756293045422627E-2</v>
      </c>
      <c r="G1481" s="656">
        <v>1.3741093504404103E-2</v>
      </c>
    </row>
    <row r="1482" spans="5:7">
      <c r="E1482" s="658">
        <f ca="1">_xll.meDateFromTenor(E1481,"1D","Following",$C$16)</f>
        <v>45327</v>
      </c>
      <c r="F1482" s="659">
        <f ca="1"/>
        <v>1.3772690255726021E-2</v>
      </c>
      <c r="G1482" s="656">
        <v>1.374632513012105E-2</v>
      </c>
    </row>
    <row r="1483" spans="5:7">
      <c r="E1483" s="658">
        <f ca="1">_xll.meDateFromTenor(E1482,"1D","Following",$C$16)</f>
        <v>45328</v>
      </c>
      <c r="F1483" s="659">
        <f ca="1"/>
        <v>1.3778153308195908E-2</v>
      </c>
      <c r="G1483" s="656">
        <v>1.3751555574693399E-2</v>
      </c>
    </row>
    <row r="1484" spans="5:7">
      <c r="E1484" s="658">
        <f ca="1">_xll.meDateFromTenor(E1483,"1D","Following",$C$16)</f>
        <v>45329</v>
      </c>
      <c r="F1484" s="659">
        <f ca="1"/>
        <v>1.3783614991769491E-2</v>
      </c>
      <c r="G1484" s="656">
        <v>1.3756784837636779E-2</v>
      </c>
    </row>
    <row r="1485" spans="5:7">
      <c r="E1485" s="658">
        <f ca="1">_xll.meDateFromTenor(E1484,"1D","Following",$C$16)</f>
        <v>45330</v>
      </c>
      <c r="F1485" s="659">
        <f ca="1"/>
        <v>1.378907529039837E-2</v>
      </c>
      <c r="G1485" s="656">
        <v>1.3772465531849371E-2</v>
      </c>
    </row>
    <row r="1486" spans="5:7">
      <c r="E1486" s="658">
        <f ca="1">_xll.meDateFromTenor(E1485,"1D","Following",$C$16)</f>
        <v>45331</v>
      </c>
      <c r="F1486" s="659">
        <f ca="1"/>
        <v>1.3794534188034136E-2</v>
      </c>
      <c r="G1486" s="656">
        <v>1.3777690063433143E-2</v>
      </c>
    </row>
    <row r="1487" spans="5:7">
      <c r="E1487" s="658">
        <f ca="1">_xll.meDateFromTenor(E1486,"1D","Following",$C$16)</f>
        <v>45334</v>
      </c>
      <c r="F1487" s="659">
        <f ca="1"/>
        <v>1.3810902314498677E-2</v>
      </c>
      <c r="G1487" s="656">
        <v>1.378291341096608E-2</v>
      </c>
    </row>
    <row r="1488" spans="5:7">
      <c r="E1488" s="658">
        <f ca="1">_xll.meDateFromTenor(E1487,"1D","Following",$C$16)</f>
        <v>45335</v>
      </c>
      <c r="F1488" s="659">
        <f ca="1"/>
        <v>1.381635544767792E-2</v>
      </c>
      <c r="G1488" s="656">
        <v>1.3788135573963805E-2</v>
      </c>
    </row>
    <row r="1489" spans="5:7">
      <c r="E1489" s="658">
        <f ca="1">_xll.meDateFromTenor(E1488,"1D","Following",$C$16)</f>
        <v>45336</v>
      </c>
      <c r="F1489" s="659">
        <f ca="1"/>
        <v>1.3821807099622017E-2</v>
      </c>
      <c r="G1489" s="656">
        <v>1.3793356551941952E-2</v>
      </c>
    </row>
    <row r="1490" spans="5:7">
      <c r="E1490" s="658">
        <f ca="1">_xll.meDateFromTenor(E1489,"1D","Following",$C$16)</f>
        <v>45337</v>
      </c>
      <c r="F1490" s="659">
        <f ca="1"/>
        <v>1.3827257254282556E-2</v>
      </c>
      <c r="G1490" s="656">
        <v>1.3809012370915171E-2</v>
      </c>
    </row>
    <row r="1491" spans="5:7">
      <c r="E1491" s="658">
        <f ca="1">_xll.meDateFromTenor(E1490,"1D","Following",$C$16)</f>
        <v>45338</v>
      </c>
      <c r="F1491" s="659">
        <f ca="1"/>
        <v>1.3832705895611138E-2</v>
      </c>
      <c r="G1491" s="656">
        <v>1.381422860397126E-2</v>
      </c>
    </row>
    <row r="1492" spans="5:7">
      <c r="E1492" s="658">
        <f ca="1">_xll.meDateFromTenor(E1491,"1D","Following",$C$16)</f>
        <v>45341</v>
      </c>
      <c r="F1492" s="659">
        <f ca="1"/>
        <v>1.3849042579121052E-2</v>
      </c>
      <c r="G1492" s="656">
        <v>1.3819443649585901E-2</v>
      </c>
    </row>
    <row r="1493" spans="5:7">
      <c r="E1493" s="658">
        <f ca="1">_xll.meDateFromTenor(E1492,"1D","Following",$C$16)</f>
        <v>45342</v>
      </c>
      <c r="F1493" s="659">
        <f ca="1"/>
        <v>1.3854485006637723E-2</v>
      </c>
      <c r="G1493" s="656">
        <v>1.3824657507274725E-2</v>
      </c>
    </row>
    <row r="1494" spans="5:7">
      <c r="E1494" s="658">
        <f ca="1">_xll.meDateFromTenor(E1493,"1D","Following",$C$16)</f>
        <v>45343</v>
      </c>
      <c r="F1494" s="659">
        <f ca="1"/>
        <v>1.3859925840580404E-2</v>
      </c>
      <c r="G1494" s="656">
        <v>1.3829870176553353E-2</v>
      </c>
    </row>
    <row r="1495" spans="5:7">
      <c r="E1495" s="658">
        <f ca="1">_xll.meDateFromTenor(E1494,"1D","Following",$C$16)</f>
        <v>45344</v>
      </c>
      <c r="F1495" s="659">
        <f ca="1"/>
        <v>1.3865365064900683E-2</v>
      </c>
      <c r="G1495" s="656">
        <v>1.3845501049084347E-2</v>
      </c>
    </row>
    <row r="1496" spans="5:7">
      <c r="E1496" s="658">
        <f ca="1">_xll.meDateFromTenor(E1495,"1D","Following",$C$16)</f>
        <v>45345</v>
      </c>
      <c r="F1496" s="659">
        <f ca="1"/>
        <v>1.3870802663550154E-2</v>
      </c>
      <c r="G1496" s="656">
        <v>1.3850708959878473E-2</v>
      </c>
    </row>
    <row r="1497" spans="5:7">
      <c r="E1497" s="658">
        <f ca="1">_xll.meDateFromTenor(E1496,"1D","Following",$C$16)</f>
        <v>45348</v>
      </c>
      <c r="F1497" s="659">
        <f ca="1"/>
        <v>1.3887105544989658E-2</v>
      </c>
      <c r="G1497" s="656">
        <v>1.385591567984054E-2</v>
      </c>
    </row>
    <row r="1498" spans="5:7">
      <c r="E1498" s="658">
        <f ca="1">_xll.meDateFromTenor(E1497,"1D","Following",$C$16)</f>
        <v>45349</v>
      </c>
      <c r="F1498" s="659">
        <f ca="1"/>
        <v>1.3892536480471835E-2</v>
      </c>
      <c r="G1498" s="656">
        <v>1.3861121208486175E-2</v>
      </c>
    </row>
    <row r="1499" spans="5:7">
      <c r="E1499" s="658">
        <f ca="1">_xll.meDateFromTenor(E1498,"1D","Following",$C$16)</f>
        <v>45350</v>
      </c>
      <c r="F1499" s="659">
        <f ca="1"/>
        <v>1.3897965710041168E-2</v>
      </c>
      <c r="G1499" s="656">
        <v>1.3866325545331005E-2</v>
      </c>
    </row>
    <row r="1500" spans="5:7">
      <c r="E1500" s="658">
        <f ca="1">_xll.meDateFromTenor(E1499,"1D","Following",$C$16)</f>
        <v>45351</v>
      </c>
      <c r="F1500" s="659">
        <f ca="1"/>
        <v>1.3903393217649256E-2</v>
      </c>
      <c r="G1500" s="656">
        <v>1.3881931400216927E-2</v>
      </c>
    </row>
    <row r="1501" spans="5:7">
      <c r="E1501" s="658">
        <f ca="1">_xll.meDateFromTenor(E1500,"1D","Following",$C$16)</f>
        <v>45352</v>
      </c>
      <c r="F1501" s="659">
        <f ca="1"/>
        <v>1.3908818987247695E-2</v>
      </c>
      <c r="G1501" s="656">
        <v>1.3887130965014807E-2</v>
      </c>
    </row>
    <row r="1502" spans="5:7">
      <c r="E1502" s="658">
        <f ca="1">_xll.meDateFromTenor(E1501,"1D","Following",$C$16)</f>
        <v>45355</v>
      </c>
      <c r="F1502" s="659">
        <f ca="1"/>
        <v>1.3925085707501009E-2</v>
      </c>
      <c r="G1502" s="656">
        <v>1.3892329335590013E-2</v>
      </c>
    </row>
    <row r="1503" spans="5:7">
      <c r="E1503" s="658">
        <f ca="1">_xll.meDateFromTenor(E1502,"1D","Following",$C$16)</f>
        <v>45356</v>
      </c>
      <c r="F1503" s="659">
        <f ca="1"/>
        <v>1.3930504364576761E-2</v>
      </c>
      <c r="G1503" s="656">
        <v>1.3897526511458176E-2</v>
      </c>
    </row>
    <row r="1504" spans="5:7">
      <c r="E1504" s="658">
        <f ca="1">_xll.meDateFromTenor(E1503,"1D","Following",$C$16)</f>
        <v>45357</v>
      </c>
      <c r="F1504" s="659">
        <f ca="1"/>
        <v>1.3935921203400828E-2</v>
      </c>
      <c r="G1504" s="656">
        <v>1.3902722492134924E-2</v>
      </c>
    </row>
    <row r="1505" spans="5:7">
      <c r="E1505" s="658">
        <f ca="1">_xll.meDateFromTenor(E1504,"1D","Following",$C$16)</f>
        <v>45358</v>
      </c>
      <c r="F1505" s="659">
        <f ca="1"/>
        <v>1.3941336207924798E-2</v>
      </c>
      <c r="G1505" s="656">
        <v>1.3918303258172931E-2</v>
      </c>
    </row>
    <row r="1506" spans="5:7">
      <c r="E1506" s="658">
        <f ca="1">_xll.meDateFromTenor(E1505,"1D","Following",$C$16)</f>
        <v>45359</v>
      </c>
      <c r="F1506" s="659">
        <f ca="1"/>
        <v>1.394674936210027E-2</v>
      </c>
      <c r="G1506" s="656">
        <v>1.3923494453240277E-2</v>
      </c>
    </row>
    <row r="1507" spans="5:7">
      <c r="E1507" s="658">
        <f ca="1">_xll.meDateFromTenor(E1506,"1D","Following",$C$16)</f>
        <v>45362</v>
      </c>
      <c r="F1507" s="659">
        <f ca="1"/>
        <v>1.3962977562051612E-2</v>
      </c>
      <c r="G1507" s="656">
        <v>1.3928684450694347E-2</v>
      </c>
    </row>
    <row r="1508" spans="5:7">
      <c r="E1508" s="658">
        <f ca="1">_xll.meDateFromTenor(E1507,"1D","Following",$C$16)</f>
        <v>45363</v>
      </c>
      <c r="F1508" s="659">
        <f ca="1"/>
        <v>1.3968383154349021E-2</v>
      </c>
      <c r="G1508" s="656">
        <v>1.3933873250050752E-2</v>
      </c>
    </row>
    <row r="1509" spans="5:7">
      <c r="E1509" s="658">
        <f ca="1">_xll.meDateFromTenor(E1508,"1D","Following",$C$16)</f>
        <v>45364</v>
      </c>
      <c r="F1509" s="659">
        <f ca="1"/>
        <v>1.3973786816055886E-2</v>
      </c>
      <c r="G1509" s="656">
        <v>1.3939060850825137E-2</v>
      </c>
    </row>
    <row r="1510" spans="5:7">
      <c r="E1510" s="658">
        <f ca="1">_xll.meDateFromTenor(E1509,"1D","Following",$C$16)</f>
        <v>45365</v>
      </c>
      <c r="F1510" s="659">
        <f ca="1"/>
        <v>1.3979188531123813E-2</v>
      </c>
      <c r="G1510" s="656">
        <v>1.3954616456812376E-2</v>
      </c>
    </row>
    <row r="1511" spans="5:7">
      <c r="E1511" s="658">
        <f ca="1">_xll.meDateFromTenor(E1510,"1D","Following",$C$16)</f>
        <v>45366</v>
      </c>
      <c r="F1511" s="659">
        <f ca="1"/>
        <v>1.3984588283504396E-2</v>
      </c>
      <c r="G1511" s="656">
        <v>1.3959799258414909E-2</v>
      </c>
    </row>
    <row r="1512" spans="5:7">
      <c r="E1512" s="658">
        <f ca="1">_xll.meDateFromTenor(E1511,"1D","Following",$C$16)</f>
        <v>45369</v>
      </c>
      <c r="F1512" s="659">
        <f ca="1"/>
        <v>1.4000775604037992E-2</v>
      </c>
      <c r="G1512" s="656">
        <v>1.3964980859013553E-2</v>
      </c>
    </row>
    <row r="1513" spans="5:7">
      <c r="E1513" s="658">
        <f ca="1">_xll.meDateFromTenor(E1512,"1D","Following",$C$16)</f>
        <v>45370</v>
      </c>
      <c r="F1513" s="659">
        <f ca="1"/>
        <v>1.4006167345185117E-2</v>
      </c>
      <c r="G1513" s="656">
        <v>1.3970161258123927E-2</v>
      </c>
    </row>
    <row r="1514" spans="5:7">
      <c r="E1514" s="658">
        <f ca="1">_xll.meDateFromTenor(E1513,"1D","Following",$C$16)</f>
        <v>45371</v>
      </c>
      <c r="F1514" s="659">
        <f ca="1"/>
        <v>1.4011557043402866E-2</v>
      </c>
      <c r="G1514" s="656">
        <v>1.3975340455261659E-2</v>
      </c>
    </row>
    <row r="1515" spans="5:7">
      <c r="E1515" s="658">
        <f ca="1">_xll.meDateFromTenor(E1514,"1D","Following",$C$16)</f>
        <v>45372</v>
      </c>
      <c r="F1515" s="659">
        <f ca="1"/>
        <v>1.4016944682642822E-2</v>
      </c>
      <c r="G1515" s="656">
        <v>1.3990870829995285E-2</v>
      </c>
    </row>
    <row r="1516" spans="5:7">
      <c r="E1516" s="658">
        <f ca="1">_xll.meDateFromTenor(E1515,"1D","Following",$C$16)</f>
        <v>45373</v>
      </c>
      <c r="F1516" s="659">
        <f ca="1"/>
        <v>1.4022330246856587E-2</v>
      </c>
      <c r="G1516" s="656">
        <v>1.3996045214398727E-2</v>
      </c>
    </row>
    <row r="1517" spans="5:7">
      <c r="E1517" s="658">
        <f ca="1">_xll.meDateFromTenor(E1516,"1D","Following",$C$16)</f>
        <v>45376</v>
      </c>
      <c r="F1517" s="659">
        <f ca="1"/>
        <v>1.4038474328856654E-2</v>
      </c>
      <c r="G1517" s="656">
        <v>1.4001218394407659E-2</v>
      </c>
    </row>
    <row r="1518" spans="5:7">
      <c r="E1518" s="658">
        <f ca="1">_xll.meDateFromTenor(E1517,"1D","Following",$C$16)</f>
        <v>45377</v>
      </c>
      <c r="F1518" s="659">
        <f ca="1"/>
        <v>1.4043851432481574E-2</v>
      </c>
      <c r="G1518" s="656">
        <v>1.4006390369537715E-2</v>
      </c>
    </row>
    <row r="1519" spans="5:7">
      <c r="E1519" s="658">
        <f ca="1">_xll.meDateFromTenor(E1518,"1D","Following",$C$16)</f>
        <v>45378</v>
      </c>
      <c r="F1519" s="659">
        <f ca="1"/>
        <v>1.404922638083827E-2</v>
      </c>
      <c r="G1519" s="656">
        <v>1.4011561139304518E-2</v>
      </c>
    </row>
    <row r="1520" spans="5:7">
      <c r="E1520" s="658">
        <f ca="1">_xll.meDateFromTenor(E1519,"1D","Following",$C$16)</f>
        <v>45379</v>
      </c>
      <c r="F1520" s="659">
        <f ca="1"/>
        <v>1.4054599157878335E-2</v>
      </c>
      <c r="G1520" s="656">
        <v>1.402706621158168E-2</v>
      </c>
    </row>
    <row r="1521" spans="5:7">
      <c r="E1521" s="658">
        <f ca="1">_xll.meDateFromTenor(E1520,"1D","Following",$C$16)</f>
        <v>45384</v>
      </c>
      <c r="F1521" s="659">
        <f ca="1"/>
        <v>1.4081429911634899E-2</v>
      </c>
      <c r="G1521" s="656">
        <v>1.4032232155051741E-2</v>
      </c>
    </row>
    <row r="1522" spans="5:7">
      <c r="E1522" s="658">
        <f ca="1">_xll.meDateFromTenor(E1521,"1D","Following",$C$16)</f>
        <v>45385</v>
      </c>
      <c r="F1522" s="659">
        <f ca="1"/>
        <v>1.4086789323758623E-2</v>
      </c>
      <c r="G1522" s="656">
        <v>1.4037396890736688E-2</v>
      </c>
    </row>
    <row r="1523" spans="5:7">
      <c r="E1523" s="658">
        <f ca="1">_xll.meDateFromTenor(E1522,"1D","Following",$C$16)</f>
        <v>45386</v>
      </c>
      <c r="F1523" s="659">
        <f ca="1"/>
        <v>1.409214645222686E-2</v>
      </c>
      <c r="G1523" s="656">
        <v>1.4042560418152139E-2</v>
      </c>
    </row>
    <row r="1524" spans="5:7">
      <c r="E1524" s="658">
        <f ca="1">_xll.meDateFromTenor(E1523,"1D","Following",$C$16)</f>
        <v>45387</v>
      </c>
      <c r="F1524" s="659">
        <f ca="1"/>
        <v>1.4097501280991211E-2</v>
      </c>
      <c r="G1524" s="656">
        <v>1.4068359914233981E-2</v>
      </c>
    </row>
    <row r="1525" spans="5:7">
      <c r="E1525" s="658">
        <f ca="1">_xll.meDateFromTenor(E1524,"1D","Following",$C$16)</f>
        <v>45390</v>
      </c>
      <c r="F1525" s="659">
        <f ca="1"/>
        <v>1.4113551808576878E-2</v>
      </c>
      <c r="G1525" s="656">
        <v>1.4073516181860653E-2</v>
      </c>
    </row>
    <row r="1526" spans="5:7">
      <c r="E1526" s="658">
        <f ca="1">_xll.meDateFromTenor(E1525,"1D","Following",$C$16)</f>
        <v>45391</v>
      </c>
      <c r="F1526" s="659">
        <f ca="1"/>
        <v>1.4118897278041611E-2</v>
      </c>
      <c r="G1526" s="656">
        <v>1.4078671237827224E-2</v>
      </c>
    </row>
    <row r="1527" spans="5:7">
      <c r="E1527" s="658">
        <f ca="1">_xll.meDateFromTenor(E1526,"1D","Following",$C$16)</f>
        <v>45392</v>
      </c>
      <c r="F1527" s="659">
        <f ca="1"/>
        <v>1.4124240367560428E-2</v>
      </c>
      <c r="G1527" s="656">
        <v>1.4083825081649315E-2</v>
      </c>
    </row>
    <row r="1528" spans="5:7">
      <c r="E1528" s="658">
        <f ca="1">_xll.meDateFromTenor(E1527,"1D","Following",$C$16)</f>
        <v>45393</v>
      </c>
      <c r="F1528" s="659">
        <f ca="1"/>
        <v>1.4129581061084917E-2</v>
      </c>
      <c r="G1528" s="656">
        <v>1.409927933540501E-2</v>
      </c>
    </row>
    <row r="1529" spans="5:7">
      <c r="E1529" s="658">
        <f ca="1">_xll.meDateFromTenor(E1528,"1D","Following",$C$16)</f>
        <v>45394</v>
      </c>
      <c r="F1529" s="659">
        <f ca="1"/>
        <v>1.413491934256667E-2</v>
      </c>
      <c r="G1529" s="656">
        <v>1.4104428325805468E-2</v>
      </c>
    </row>
    <row r="1530" spans="5:7">
      <c r="E1530" s="658">
        <f ca="1">_xll.meDateFromTenor(E1529,"1D","Following",$C$16)</f>
        <v>45397</v>
      </c>
      <c r="F1530" s="659">
        <f ca="1"/>
        <v>1.4150919554271467E-2</v>
      </c>
      <c r="G1530" s="656">
        <v>1.4109576101639583E-2</v>
      </c>
    </row>
    <row r="1531" spans="5:7">
      <c r="E1531" s="658">
        <f ca="1">_xll.meDateFromTenor(E1530,"1D","Following",$C$16)</f>
        <v>45398</v>
      </c>
      <c r="F1531" s="659">
        <f ca="1"/>
        <v>1.4156248027098219E-2</v>
      </c>
      <c r="G1531" s="656">
        <v>1.4114722662422986E-2</v>
      </c>
    </row>
    <row r="1532" spans="5:7">
      <c r="E1532" s="658">
        <f ca="1">_xll.meDateFromTenor(E1531,"1D","Following",$C$16)</f>
        <v>45399</v>
      </c>
      <c r="F1532" s="659">
        <f ca="1"/>
        <v>1.4161574007640204E-2</v>
      </c>
      <c r="G1532" s="656">
        <v>1.41198680076713E-2</v>
      </c>
    </row>
    <row r="1533" spans="5:7">
      <c r="E1533" s="658">
        <f ca="1">_xll.meDateFromTenor(E1532,"1D","Following",$C$16)</f>
        <v>45400</v>
      </c>
      <c r="F1533" s="659">
        <f ca="1"/>
        <v>1.4166897479849016E-2</v>
      </c>
      <c r="G1533" s="656">
        <v>1.4135296745361986E-2</v>
      </c>
    </row>
    <row r="1534" spans="5:7">
      <c r="E1534" s="658">
        <f ca="1">_xll.meDateFromTenor(E1533,"1D","Following",$C$16)</f>
        <v>45401</v>
      </c>
      <c r="F1534" s="659">
        <f ca="1"/>
        <v>1.4172218427676247E-2</v>
      </c>
      <c r="G1534" s="656">
        <v>1.4140437223626217E-2</v>
      </c>
    </row>
    <row r="1535" spans="5:7">
      <c r="E1535" s="658">
        <f ca="1">_xll.meDateFromTenor(E1534,"1D","Following",$C$16)</f>
        <v>45404</v>
      </c>
      <c r="F1535" s="659">
        <f ca="1"/>
        <v>1.4188165964384391E-2</v>
      </c>
      <c r="G1535" s="656">
        <v>1.4145576483933496E-2</v>
      </c>
    </row>
    <row r="1536" spans="5:7">
      <c r="E1536" s="658">
        <f ca="1">_xll.meDateFromTenor(E1535,"1D","Following",$C$16)</f>
        <v>45405</v>
      </c>
      <c r="F1536" s="659">
        <f ca="1"/>
        <v>1.4193476654201233E-2</v>
      </c>
      <c r="G1536" s="656">
        <v>1.4150714525799449E-2</v>
      </c>
    </row>
    <row r="1537" spans="5:7">
      <c r="E1537" s="658">
        <f ca="1">_xll.meDateFromTenor(E1536,"1D","Following",$C$16)</f>
        <v>45406</v>
      </c>
      <c r="F1537" s="659">
        <f ca="1"/>
        <v>1.4198784739394463E-2</v>
      </c>
      <c r="G1537" s="656">
        <v>1.4155851348739701E-2</v>
      </c>
    </row>
    <row r="1538" spans="5:7">
      <c r="E1538" s="658">
        <f ca="1">_xll.meDateFromTenor(E1537,"1D","Following",$C$16)</f>
        <v>45407</v>
      </c>
      <c r="F1538" s="659">
        <f ca="1"/>
        <v>1.4204090203915673E-2</v>
      </c>
      <c r="G1538" s="656">
        <v>1.417125449916253E-2</v>
      </c>
    </row>
    <row r="1539" spans="5:7">
      <c r="E1539" s="658">
        <f ca="1">_xll.meDateFromTenor(E1538,"1D","Following",$C$16)</f>
        <v>45408</v>
      </c>
      <c r="F1539" s="659">
        <f ca="1"/>
        <v>1.4209393031716453E-2</v>
      </c>
      <c r="G1539" s="656">
        <v>1.4176386441556256E-2</v>
      </c>
    </row>
    <row r="1540" spans="5:7">
      <c r="E1540" s="658">
        <f ca="1">_xll.meDateFromTenor(E1539,"1D","Following",$C$16)</f>
        <v>45411</v>
      </c>
      <c r="F1540" s="659">
        <f ca="1"/>
        <v>1.4225285534312165E-2</v>
      </c>
      <c r="G1540" s="656">
        <v>1.4181517162602412E-2</v>
      </c>
    </row>
    <row r="1541" spans="5:7">
      <c r="E1541" s="658">
        <f ca="1">_xll.meDateFromTenor(E1540,"1D","Following",$C$16)</f>
        <v>45412</v>
      </c>
      <c r="F1541" s="659">
        <f ca="1"/>
        <v>1.4230577654747174E-2</v>
      </c>
      <c r="G1541" s="656">
        <v>1.4186646661816633E-2</v>
      </c>
    </row>
    <row r="1542" spans="5:7">
      <c r="E1542" s="658">
        <f ca="1">_xll.meDateFromTenor(E1541,"1D","Following",$C$16)</f>
        <v>45414</v>
      </c>
      <c r="F1542" s="659">
        <f ca="1"/>
        <v>1.4241153728681396E-2</v>
      </c>
      <c r="G1542" s="656">
        <v>1.4191774938714539E-2</v>
      </c>
    </row>
    <row r="1543" spans="5:7">
      <c r="E1543" s="658">
        <f ca="1">_xll.meDateFromTenor(E1542,"1D","Following",$C$16)</f>
        <v>45415</v>
      </c>
      <c r="F1543" s="659">
        <f ca="1"/>
        <v>1.42464376500838E-2</v>
      </c>
      <c r="G1543" s="656">
        <v>1.4207152430666666E-2</v>
      </c>
    </row>
    <row r="1544" spans="5:7">
      <c r="E1544" s="658">
        <f ca="1">_xll.meDateFromTenor(E1543,"1D","Following",$C$16)</f>
        <v>45418</v>
      </c>
      <c r="F1544" s="659">
        <f ca="1"/>
        <v>1.4262272759451303E-2</v>
      </c>
      <c r="G1544" s="656">
        <v>1.4212275813455598E-2</v>
      </c>
    </row>
    <row r="1545" spans="5:7">
      <c r="E1545" s="658">
        <f ca="1">_xll.meDateFromTenor(E1544,"1D","Following",$C$16)</f>
        <v>45419</v>
      </c>
      <c r="F1545" s="659">
        <f ca="1"/>
        <v>1.4267545524132546E-2</v>
      </c>
      <c r="G1545" s="656">
        <v>1.4222518904334557E-2</v>
      </c>
    </row>
    <row r="1546" spans="5:7">
      <c r="E1546" s="658">
        <f ca="1">_xll.meDateFromTenor(E1545,"1D","Following",$C$16)</f>
        <v>45420</v>
      </c>
      <c r="F1546" s="659">
        <f ca="1"/>
        <v>1.4272815459512481E-2</v>
      </c>
      <c r="G1546" s="656">
        <v>1.422763861145584E-2</v>
      </c>
    </row>
    <row r="1547" spans="5:7">
      <c r="E1547" s="658">
        <f ca="1">_xll.meDateFromTenor(E1546,"1D","Following",$C$16)</f>
        <v>45421</v>
      </c>
      <c r="F1547" s="659">
        <f ca="1"/>
        <v>1.4278082552103761E-2</v>
      </c>
      <c r="G1547" s="656">
        <v>1.4242990364547852E-2</v>
      </c>
    </row>
    <row r="1548" spans="5:7">
      <c r="E1548" s="658">
        <f ca="1">_xll.meDateFromTenor(E1547,"1D","Following",$C$16)</f>
        <v>45422</v>
      </c>
      <c r="F1548" s="659">
        <f ca="1"/>
        <v>1.4283346798663272E-2</v>
      </c>
      <c r="G1548" s="656">
        <v>1.4248105151408719E-2</v>
      </c>
    </row>
    <row r="1549" spans="5:7">
      <c r="E1549" s="658">
        <f ca="1">_xll.meDateFromTenor(E1548,"1D","Following",$C$16)</f>
        <v>45425</v>
      </c>
      <c r="F1549" s="659">
        <f ca="1"/>
        <v>1.4299122455330632E-2</v>
      </c>
      <c r="G1549" s="656">
        <v>1.4253218701974966E-2</v>
      </c>
    </row>
    <row r="1550" spans="5:7">
      <c r="E1550" s="658">
        <f ca="1">_xll.meDateFromTenor(E1549,"1D","Following",$C$16)</f>
        <v>45426</v>
      </c>
      <c r="F1550" s="659">
        <f ca="1"/>
        <v>1.4304375310942509E-2</v>
      </c>
      <c r="G1550" s="656">
        <v>1.4258331013720761E-2</v>
      </c>
    </row>
    <row r="1551" spans="5:7">
      <c r="E1551" s="658">
        <f ca="1">_xll.meDateFromTenor(E1550,"1D","Following",$C$16)</f>
        <v>45427</v>
      </c>
      <c r="F1551" s="659">
        <f ca="1"/>
        <v>1.4309625317112338E-2</v>
      </c>
      <c r="G1551" s="656">
        <v>1.4263442084120271E-2</v>
      </c>
    </row>
    <row r="1552" spans="5:7">
      <c r="E1552" s="658">
        <f ca="1">_xll.meDateFromTenor(E1551,"1D","Following",$C$16)</f>
        <v>45428</v>
      </c>
      <c r="F1552" s="659">
        <f ca="1"/>
        <v>1.4314872473158068E-2</v>
      </c>
      <c r="G1552" s="656">
        <v>1.4278767821982799E-2</v>
      </c>
    </row>
    <row r="1553" spans="5:7">
      <c r="E1553" s="658">
        <f ca="1">_xll.meDateFromTenor(E1552,"1D","Following",$C$16)</f>
        <v>45429</v>
      </c>
      <c r="F1553" s="659">
        <f ca="1"/>
        <v>1.4320116778397634E-2</v>
      </c>
      <c r="G1553" s="656">
        <v>1.4283873901738868E-2</v>
      </c>
    </row>
    <row r="1554" spans="5:7">
      <c r="E1554" s="658">
        <f ca="1">_xll.meDateFromTenor(E1553,"1D","Following",$C$16)</f>
        <v>45432</v>
      </c>
      <c r="F1554" s="659">
        <f ca="1"/>
        <v>1.4335832582458836E-2</v>
      </c>
      <c r="G1554" s="656">
        <v>1.4288978727519499E-2</v>
      </c>
    </row>
    <row r="1555" spans="5:7">
      <c r="E1555" s="658">
        <f ca="1">_xll.meDateFromTenor(E1554,"1D","Following",$C$16)</f>
        <v>45433</v>
      </c>
      <c r="F1555" s="659">
        <f ca="1"/>
        <v>1.4341065477653219E-2</v>
      </c>
      <c r="G1555" s="656">
        <v>1.4294082296798859E-2</v>
      </c>
    </row>
    <row r="1556" spans="5:7">
      <c r="E1556" s="658">
        <f ca="1">_xll.meDateFromTenor(E1555,"1D","Following",$C$16)</f>
        <v>45434</v>
      </c>
      <c r="F1556" s="659">
        <f ca="1"/>
        <v>1.4346295518631161E-2</v>
      </c>
      <c r="G1556" s="656">
        <v>1.4299184607051124E-2</v>
      </c>
    </row>
    <row r="1557" spans="5:7">
      <c r="E1557" s="658">
        <f ca="1">_xll.meDateFromTenor(E1556,"1D","Following",$C$16)</f>
        <v>45435</v>
      </c>
      <c r="F1557" s="659">
        <f ca="1"/>
        <v>1.4351522704710615E-2</v>
      </c>
      <c r="G1557" s="656">
        <v>1.4314483958386994E-2</v>
      </c>
    </row>
    <row r="1558" spans="5:7">
      <c r="E1558" s="658">
        <f ca="1">_xll.meDateFromTenor(E1557,"1D","Following",$C$16)</f>
        <v>45436</v>
      </c>
      <c r="F1558" s="659">
        <f ca="1"/>
        <v>1.4356747035209521E-2</v>
      </c>
      <c r="G1558" s="656">
        <v>1.4319581207272544E-2</v>
      </c>
    </row>
    <row r="1559" spans="5:7">
      <c r="E1559" s="658">
        <f ca="1">_xll.meDateFromTenor(E1558,"1D","Following",$C$16)</f>
        <v>45439</v>
      </c>
      <c r="F1559" s="659">
        <f ca="1"/>
        <v>1.4372402886402394E-2</v>
      </c>
      <c r="G1559" s="656">
        <v>1.4324677184501838E-2</v>
      </c>
    </row>
    <row r="1560" spans="5:7">
      <c r="E1560" s="658">
        <f ca="1">_xll.meDateFromTenor(E1559,"1D","Following",$C$16)</f>
        <v>45440</v>
      </c>
      <c r="F1560" s="659">
        <f ca="1"/>
        <v>1.4377615787758556E-2</v>
      </c>
      <c r="G1560" s="656">
        <v>1.4329771887549045E-2</v>
      </c>
    </row>
    <row r="1561" spans="5:7">
      <c r="E1561" s="658">
        <f ca="1">_xll.meDateFromTenor(E1560,"1D","Following",$C$16)</f>
        <v>45441</v>
      </c>
      <c r="F1561" s="659">
        <f ca="1"/>
        <v>1.4382825830123892E-2</v>
      </c>
      <c r="G1561" s="656">
        <v>1.4334865313888334E-2</v>
      </c>
    </row>
    <row r="1562" spans="5:7">
      <c r="E1562" s="658">
        <f ca="1">_xll.meDateFromTenor(E1561,"1D","Following",$C$16)</f>
        <v>45442</v>
      </c>
      <c r="F1562" s="659">
        <f ca="1"/>
        <v>1.4388033012816347E-2</v>
      </c>
      <c r="G1562" s="656">
        <v>1.4350137907400381E-2</v>
      </c>
    </row>
    <row r="1563" spans="5:7">
      <c r="E1563" s="658">
        <f ca="1">_xll.meDateFromTenor(E1562,"1D","Following",$C$16)</f>
        <v>45443</v>
      </c>
      <c r="F1563" s="659">
        <f ca="1"/>
        <v>1.4393237335153866E-2</v>
      </c>
      <c r="G1563" s="656">
        <v>1.4355226201649689E-2</v>
      </c>
    </row>
    <row r="1564" spans="5:7">
      <c r="E1564" s="658">
        <f ca="1">_xll.meDateFromTenor(E1563,"1D","Following",$C$16)</f>
        <v>45446</v>
      </c>
      <c r="F1564" s="659">
        <f ca="1"/>
        <v>1.4408833133216253E-2</v>
      </c>
      <c r="G1564" s="656">
        <v>1.4360313206561922E-2</v>
      </c>
    </row>
    <row r="1565" spans="5:7">
      <c r="E1565" s="658">
        <f ca="1">_xll.meDateFromTenor(E1564,"1D","Following",$C$16)</f>
        <v>45447</v>
      </c>
      <c r="F1565" s="659">
        <f ca="1"/>
        <v>1.4414026007313474E-2</v>
      </c>
      <c r="G1565" s="656">
        <v>1.4365398919611251E-2</v>
      </c>
    </row>
    <row r="1566" spans="5:7">
      <c r="E1566" s="658">
        <f ca="1">_xll.meDateFromTenor(E1565,"1D","Following",$C$16)</f>
        <v>45448</v>
      </c>
      <c r="F1566" s="659">
        <f ca="1"/>
        <v>1.4419216017645479E-2</v>
      </c>
      <c r="G1566" s="656">
        <v>1.4370483338271844E-2</v>
      </c>
    </row>
    <row r="1567" spans="5:7">
      <c r="E1567" s="658">
        <f ca="1">_xll.meDateFromTenor(E1566,"1D","Following",$C$16)</f>
        <v>45449</v>
      </c>
      <c r="F1567" s="659">
        <f ca="1"/>
        <v>1.4424403163530214E-2</v>
      </c>
      <c r="G1567" s="656">
        <v>1.4385728802662898E-2</v>
      </c>
    </row>
    <row r="1568" spans="5:7">
      <c r="E1568" s="658">
        <f ca="1">_xll.meDateFromTenor(E1567,"1D","Following",$C$16)</f>
        <v>45450</v>
      </c>
      <c r="F1568" s="659">
        <f ca="1"/>
        <v>1.4429587444285625E-2</v>
      </c>
      <c r="G1568" s="656">
        <v>1.439080801851024E-2</v>
      </c>
    </row>
    <row r="1569" spans="5:7">
      <c r="E1569" s="658">
        <f ca="1">_xll.meDateFromTenor(E1568,"1D","Following",$C$16)</f>
        <v>45453</v>
      </c>
      <c r="F1569" s="659">
        <f ca="1"/>
        <v>1.4445123088955351E-2</v>
      </c>
      <c r="G1569" s="656">
        <v>1.439588592733969E-2</v>
      </c>
    </row>
    <row r="1570" spans="5:7">
      <c r="E1570" s="658">
        <f ca="1">_xll.meDateFromTenor(E1569,"1D","Following",$C$16)</f>
        <v>45454</v>
      </c>
      <c r="F1570" s="659">
        <f ca="1"/>
        <v>1.4450295902372906E-2</v>
      </c>
      <c r="G1570" s="656">
        <v>1.4400962526625417E-2</v>
      </c>
    </row>
    <row r="1571" spans="5:7">
      <c r="E1571" s="658">
        <f ca="1">_xll.meDateFromTenor(E1570,"1D","Following",$C$16)</f>
        <v>45455</v>
      </c>
      <c r="F1571" s="659">
        <f ca="1"/>
        <v>1.4455465847250862E-2</v>
      </c>
      <c r="G1571" s="656">
        <v>1.440603781384159E-2</v>
      </c>
    </row>
    <row r="1572" spans="5:7">
      <c r="E1572" s="658">
        <f ca="1">_xll.meDateFromTenor(E1571,"1D","Following",$C$16)</f>
        <v>45456</v>
      </c>
      <c r="F1572" s="659">
        <f ca="1"/>
        <v>1.4460632922907153E-2</v>
      </c>
      <c r="G1572" s="656">
        <v>1.4421255777814486E-2</v>
      </c>
    </row>
    <row r="1573" spans="5:7">
      <c r="E1573" s="658">
        <f ca="1">_xll.meDateFromTenor(E1572,"1D","Following",$C$16)</f>
        <v>45457</v>
      </c>
      <c r="F1573" s="659">
        <f ca="1"/>
        <v>1.4465797128659735E-2</v>
      </c>
      <c r="G1573" s="656">
        <v>1.4426325791494136E-2</v>
      </c>
    </row>
    <row r="1574" spans="5:7">
      <c r="E1574" s="658">
        <f ca="1">_xll.meDateFromTenor(E1573,"1D","Following",$C$16)</f>
        <v>45460</v>
      </c>
      <c r="F1574" s="659">
        <f ca="1"/>
        <v>1.4481272519674635E-2</v>
      </c>
      <c r="G1574" s="656">
        <v>1.443139448047508E-2</v>
      </c>
    </row>
    <row r="1575" spans="5:7">
      <c r="E1575" s="658">
        <f ca="1">_xll.meDateFromTenor(E1574,"1D","Following",$C$16)</f>
        <v>45461</v>
      </c>
      <c r="F1575" s="659">
        <f ca="1"/>
        <v>1.4486425238991804E-2</v>
      </c>
      <c r="G1575" s="656">
        <v>1.4436461842231484E-2</v>
      </c>
    </row>
    <row r="1576" spans="5:7">
      <c r="E1576" s="658">
        <f ca="1">_xll.meDateFromTenor(E1575,"1D","Following",$C$16)</f>
        <v>45462</v>
      </c>
      <c r="F1576" s="659">
        <f ca="1"/>
        <v>1.4491575084994983E-2</v>
      </c>
      <c r="G1576" s="656">
        <v>1.4441527874237517E-2</v>
      </c>
    </row>
    <row r="1577" spans="5:7">
      <c r="E1577" s="658">
        <f ca="1">_xll.meDateFromTenor(E1576,"1D","Following",$C$16)</f>
        <v>45463</v>
      </c>
      <c r="F1577" s="659">
        <f ca="1"/>
        <v>1.4496722057002111E-2</v>
      </c>
      <c r="G1577" s="656">
        <v>1.4456717966495081E-2</v>
      </c>
    </row>
    <row r="1578" spans="5:7">
      <c r="E1578" s="658">
        <f ca="1">_xll.meDateFromTenor(E1577,"1D","Following",$C$16)</f>
        <v>45464</v>
      </c>
      <c r="F1578" s="659">
        <f ca="1"/>
        <v>1.4501866154331137E-2</v>
      </c>
      <c r="G1578" s="656">
        <v>1.4461778654241321E-2</v>
      </c>
    </row>
    <row r="1579" spans="5:7">
      <c r="E1579" s="658">
        <f ca="1">_xll.meDateFromTenor(E1578,"1D","Following",$C$16)</f>
        <v>45467</v>
      </c>
      <c r="F1579" s="659">
        <f ca="1"/>
        <v>1.4517281191429044E-2</v>
      </c>
      <c r="G1579" s="656">
        <v>1.4466837999608033E-2</v>
      </c>
    </row>
    <row r="1580" spans="5:7">
      <c r="E1580" s="658">
        <f ca="1">_xll.meDateFromTenor(E1579,"1D","Following",$C$16)</f>
        <v>45468</v>
      </c>
      <c r="F1580" s="659">
        <f ca="1"/>
        <v>1.4522413783225106E-2</v>
      </c>
      <c r="G1580" s="656">
        <v>1.4471896000069392E-2</v>
      </c>
    </row>
    <row r="1581" spans="5:7">
      <c r="E1581" s="658">
        <f ca="1">_xll.meDateFromTenor(E1580,"1D","Following",$C$16)</f>
        <v>45469</v>
      </c>
      <c r="F1581" s="659">
        <f ca="1"/>
        <v>1.4527543496932784E-2</v>
      </c>
      <c r="G1581" s="656">
        <v>1.4476952653099558E-2</v>
      </c>
    </row>
    <row r="1582" spans="5:7">
      <c r="E1582" s="658">
        <f ca="1">_xll.meDateFromTenor(E1581,"1D","Following",$C$16)</f>
        <v>45470</v>
      </c>
      <c r="F1582" s="659">
        <f ca="1"/>
        <v>1.4532670331870027E-2</v>
      </c>
      <c r="G1582" s="656">
        <v>1.4492114502344625E-2</v>
      </c>
    </row>
    <row r="1583" spans="5:7">
      <c r="E1583" s="658">
        <f ca="1">_xll.meDateFromTenor(E1582,"1D","Following",$C$16)</f>
        <v>45471</v>
      </c>
      <c r="F1583" s="659">
        <f ca="1"/>
        <v>1.453779428735478E-2</v>
      </c>
      <c r="G1583" s="656">
        <v>1.449716574039173E-2</v>
      </c>
    </row>
    <row r="1584" spans="5:7">
      <c r="E1584" s="658">
        <f ca="1">_xll.meDateFromTenor(E1583,"1D","Following",$C$16)</f>
        <v>45474</v>
      </c>
      <c r="F1584" s="659">
        <f ca="1"/>
        <v>1.4553148870273527E-2</v>
      </c>
      <c r="G1584" s="656">
        <v>1.450221561837849E-2</v>
      </c>
    </row>
    <row r="1585" spans="5:7">
      <c r="E1585" s="658">
        <f ca="1">_xll.meDateFromTenor(E1584,"1D","Following",$C$16)</f>
        <v>45475</v>
      </c>
      <c r="F1585" s="659">
        <f ca="1"/>
        <v>1.4558261301127758E-2</v>
      </c>
      <c r="G1585" s="656">
        <v>1.4507264133779079E-2</v>
      </c>
    </row>
    <row r="1586" spans="5:7">
      <c r="E1586" s="658">
        <f ca="1">_xll.meDateFromTenor(E1585,"1D","Following",$C$16)</f>
        <v>45476</v>
      </c>
      <c r="F1586" s="659">
        <f ca="1"/>
        <v>1.4563370849119215E-2</v>
      </c>
      <c r="G1586" s="656">
        <v>1.4512311284067658E-2</v>
      </c>
    </row>
    <row r="1587" spans="5:7">
      <c r="E1587" s="658">
        <f ca="1">_xll.meDateFromTenor(E1586,"1D","Following",$C$16)</f>
        <v>45477</v>
      </c>
      <c r="F1587" s="659">
        <f ca="1"/>
        <v>1.4568477513565851E-2</v>
      </c>
      <c r="G1587" s="656">
        <v>1.4527444519003056E-2</v>
      </c>
    </row>
    <row r="1588" spans="5:7">
      <c r="E1588" s="658">
        <f ca="1">_xll.meDateFromTenor(E1587,"1D","Following",$C$16)</f>
        <v>45478</v>
      </c>
      <c r="F1588" s="659">
        <f ca="1"/>
        <v>1.4573581293785606E-2</v>
      </c>
      <c r="G1588" s="656">
        <v>1.4532486183585302E-2</v>
      </c>
    </row>
    <row r="1589" spans="5:7">
      <c r="E1589" s="658">
        <f ca="1">_xll.meDateFromTenor(E1588,"1D","Following",$C$16)</f>
        <v>45481</v>
      </c>
      <c r="F1589" s="659">
        <f ca="1"/>
        <v>1.4588875322263026E-2</v>
      </c>
      <c r="G1589" s="656">
        <v>1.4537526470426391E-2</v>
      </c>
    </row>
    <row r="1590" spans="5:7">
      <c r="E1590" s="658">
        <f ca="1">_xll.meDateFromTenor(E1589,"1D","Following",$C$16)</f>
        <v>45482</v>
      </c>
      <c r="F1590" s="659">
        <f ca="1"/>
        <v>1.4593967558754703E-2</v>
      </c>
      <c r="G1590" s="656">
        <v>1.4542565377000482E-2</v>
      </c>
    </row>
    <row r="1591" spans="5:7">
      <c r="E1591" s="658">
        <f ca="1">_xll.meDateFromTenor(E1590,"1D","Following",$C$16)</f>
        <v>45483</v>
      </c>
      <c r="F1591" s="659">
        <f ca="1"/>
        <v>1.459905690760922E-2</v>
      </c>
      <c r="G1591" s="656">
        <v>1.4547602900781754E-2</v>
      </c>
    </row>
    <row r="1592" spans="5:7">
      <c r="E1592" s="658">
        <f ca="1">_xll.meDateFromTenor(E1591,"1D","Following",$C$16)</f>
        <v>45484</v>
      </c>
      <c r="F1592" s="659">
        <f ca="1"/>
        <v>1.4604143368144522E-2</v>
      </c>
      <c r="G1592" s="656">
        <v>1.4562707150110314E-2</v>
      </c>
    </row>
    <row r="1593" spans="5:7">
      <c r="E1593" s="658">
        <f ca="1">_xll.meDateFromTenor(E1592,"1D","Following",$C$16)</f>
        <v>45485</v>
      </c>
      <c r="F1593" s="659">
        <f ca="1"/>
        <v>1.4609226939678557E-2</v>
      </c>
      <c r="G1593" s="656">
        <v>1.4567739117461979E-2</v>
      </c>
    </row>
    <row r="1594" spans="5:7">
      <c r="E1594" s="658">
        <f ca="1">_xll.meDateFromTenor(E1593,"1D","Following",$C$16)</f>
        <v>45488</v>
      </c>
      <c r="F1594" s="659">
        <f ca="1"/>
        <v>1.4624460313452485E-2</v>
      </c>
      <c r="G1594" s="656">
        <v>1.457276968939167E-2</v>
      </c>
    </row>
    <row r="1595" spans="5:7">
      <c r="E1595" s="658">
        <f ca="1">_xll.meDateFromTenor(E1594,"1D","Following",$C$16)</f>
        <v>45489</v>
      </c>
      <c r="F1595" s="659">
        <f ca="1"/>
        <v>1.4629532322160885E-2</v>
      </c>
      <c r="G1595" s="656">
        <v>1.4577798863373546E-2</v>
      </c>
    </row>
    <row r="1596" spans="5:7">
      <c r="E1596" s="658">
        <f ca="1">_xll.meDateFromTenor(E1595,"1D","Following",$C$16)</f>
        <v>45490</v>
      </c>
      <c r="F1596" s="659">
        <f ca="1"/>
        <v>1.4634601438457738E-2</v>
      </c>
      <c r="G1596" s="656">
        <v>1.4582826636881785E-2</v>
      </c>
    </row>
    <row r="1597" spans="5:7">
      <c r="E1597" s="658">
        <f ca="1">_xll.meDateFromTenor(E1596,"1D","Following",$C$16)</f>
        <v>45491</v>
      </c>
      <c r="F1597" s="659">
        <f ca="1"/>
        <v>1.4639667661660988E-2</v>
      </c>
      <c r="G1597" s="656">
        <v>1.459790152930634E-2</v>
      </c>
    </row>
    <row r="1598" spans="5:7">
      <c r="E1598" s="658">
        <f ca="1">_xll.meDateFromTenor(E1597,"1D","Following",$C$16)</f>
        <v>45492</v>
      </c>
      <c r="F1598" s="659">
        <f ca="1"/>
        <v>1.4644730991088576E-2</v>
      </c>
      <c r="G1598" s="656">
        <v>1.4602923675661702E-2</v>
      </c>
    </row>
    <row r="1599" spans="5:7">
      <c r="E1599" s="658">
        <f ca="1">_xll.meDateFromTenor(E1598,"1D","Following",$C$16)</f>
        <v>45495</v>
      </c>
      <c r="F1599" s="659">
        <f ca="1"/>
        <v>1.4659903609896847E-2</v>
      </c>
      <c r="G1599" s="656">
        <v>1.460794440891427E-2</v>
      </c>
    </row>
    <row r="1600" spans="5:7">
      <c r="E1600" s="658">
        <f ca="1">_xll.meDateFromTenor(E1599,"1D","Following",$C$16)</f>
        <v>45496</v>
      </c>
      <c r="F1600" s="659">
        <f ca="1"/>
        <v>1.4664955357401246E-2</v>
      </c>
      <c r="G1600" s="656">
        <v>1.4612963726538211E-2</v>
      </c>
    </row>
    <row r="1601" spans="5:7">
      <c r="E1601" s="658">
        <f ca="1">_xll.meDateFromTenor(E1600,"1D","Following",$C$16)</f>
        <v>45497</v>
      </c>
      <c r="F1601" s="659">
        <f ca="1"/>
        <v>1.4670004207719712E-2</v>
      </c>
      <c r="G1601" s="656">
        <v>1.4617981626007691E-2</v>
      </c>
    </row>
    <row r="1602" spans="5:7">
      <c r="E1602" s="658">
        <f ca="1">_xll.meDateFromTenor(E1601,"1D","Following",$C$16)</f>
        <v>45498</v>
      </c>
      <c r="F1602" s="659">
        <f ca="1"/>
        <v>1.4675050160170188E-2</v>
      </c>
      <c r="G1602" s="656">
        <v>1.463302679023107E-2</v>
      </c>
    </row>
    <row r="1603" spans="5:7">
      <c r="E1603" s="658">
        <f ca="1">_xll.meDateFromTenor(E1602,"1D","Following",$C$16)</f>
        <v>45499</v>
      </c>
      <c r="F1603" s="659">
        <f ca="1"/>
        <v>1.4680093214070612E-2</v>
      </c>
      <c r="G1603" s="656">
        <v>1.463803899182441E-2</v>
      </c>
    </row>
    <row r="1604" spans="5:7">
      <c r="E1604" s="658">
        <f ca="1">_xll.meDateFromTenor(E1603,"1D","Following",$C$16)</f>
        <v>45502</v>
      </c>
      <c r="F1604" s="659">
        <f ca="1"/>
        <v>1.4695204977651054E-2</v>
      </c>
      <c r="G1604" s="656">
        <v>1.4643049762634129E-2</v>
      </c>
    </row>
    <row r="1605" spans="5:7">
      <c r="E1605" s="658">
        <f ca="1">_xll.meDateFromTenor(E1604,"1D","Following",$C$16)</f>
        <v>45503</v>
      </c>
      <c r="F1605" s="659">
        <f ca="1"/>
        <v>1.4700236430530733E-2</v>
      </c>
      <c r="G1605" s="656">
        <v>1.4648059100134407E-2</v>
      </c>
    </row>
    <row r="1606" spans="5:7">
      <c r="E1606" s="658">
        <f ca="1">_xll.meDateFromTenor(E1605,"1D","Following",$C$16)</f>
        <v>45504</v>
      </c>
      <c r="F1606" s="659">
        <f ca="1"/>
        <v>1.470526498145009E-2</v>
      </c>
      <c r="G1606" s="656">
        <v>1.465306700179941E-2</v>
      </c>
    </row>
    <row r="1607" spans="5:7">
      <c r="E1607" s="658">
        <f ca="1">_xll.meDateFromTenor(E1606,"1D","Following",$C$16)</f>
        <v>45505</v>
      </c>
      <c r="F1607" s="659">
        <f ca="1"/>
        <v>1.4710290629727068E-2</v>
      </c>
      <c r="G1607" s="656">
        <v>1.4668082066524448E-2</v>
      </c>
    </row>
    <row r="1608" spans="5:7">
      <c r="E1608" s="658">
        <f ca="1">_xll.meDateFromTenor(E1607,"1D","Following",$C$16)</f>
        <v>45506</v>
      </c>
      <c r="F1608" s="659">
        <f ca="1"/>
        <v>1.4715313374679604E-2</v>
      </c>
      <c r="G1608" s="656">
        <v>1.4673084199590035E-2</v>
      </c>
    </row>
    <row r="1609" spans="5:7">
      <c r="E1609" s="658">
        <f ca="1">_xll.meDateFromTenor(E1608,"1D","Following",$C$16)</f>
        <v>45509</v>
      </c>
      <c r="F1609" s="659">
        <f ca="1"/>
        <v>1.473036418277005E-2</v>
      </c>
      <c r="G1609" s="656">
        <v>1.4678084884191192E-2</v>
      </c>
    </row>
    <row r="1610" spans="5:7">
      <c r="E1610" s="658">
        <f ca="1">_xll.meDateFromTenor(E1609,"1D","Following",$C$16)</f>
        <v>45510</v>
      </c>
      <c r="F1610" s="659">
        <f ca="1"/>
        <v>1.4735375307604288E-2</v>
      </c>
      <c r="G1610" s="656">
        <v>1.4683084117802085E-2</v>
      </c>
    </row>
    <row r="1611" spans="5:7">
      <c r="E1611" s="658">
        <f ca="1">_xll.meDateFromTenor(E1610,"1D","Following",$C$16)</f>
        <v>45511</v>
      </c>
      <c r="F1611" s="659">
        <f ca="1"/>
        <v>1.4740383525703813E-2</v>
      </c>
      <c r="G1611" s="656">
        <v>1.4688081897896882E-2</v>
      </c>
    </row>
    <row r="1612" spans="5:7">
      <c r="E1612" s="658">
        <f ca="1">_xll.meDateFromTenor(E1611,"1D","Following",$C$16)</f>
        <v>45512</v>
      </c>
      <c r="F1612" s="659">
        <f ca="1"/>
        <v>1.4745388836386568E-2</v>
      </c>
      <c r="G1612" s="656">
        <v>1.470306649182641E-2</v>
      </c>
    </row>
    <row r="1613" spans="5:7">
      <c r="E1613" s="658">
        <f ca="1">_xll.meDateFromTenor(E1612,"1D","Following",$C$16)</f>
        <v>45513</v>
      </c>
      <c r="F1613" s="659">
        <f ca="1"/>
        <v>1.4750391238970496E-2</v>
      </c>
      <c r="G1613" s="656">
        <v>1.4708058432598524E-2</v>
      </c>
    </row>
    <row r="1614" spans="5:7">
      <c r="E1614" s="658">
        <f ca="1">_xll.meDateFromTenor(E1613,"1D","Following",$C$16)</f>
        <v>45516</v>
      </c>
      <c r="F1614" s="659">
        <f ca="1"/>
        <v>1.476538099130878E-2</v>
      </c>
      <c r="G1614" s="656">
        <v>1.4713048907225391E-2</v>
      </c>
    </row>
    <row r="1615" spans="5:7">
      <c r="E1615" s="658">
        <f ca="1">_xll.meDateFromTenor(E1614,"1D","Following",$C$16)</f>
        <v>45517</v>
      </c>
      <c r="F1615" s="659">
        <f ca="1"/>
        <v>1.4770371754676851E-2</v>
      </c>
      <c r="G1615" s="656">
        <v>1.4718037913181175E-2</v>
      </c>
    </row>
    <row r="1616" spans="5:7">
      <c r="E1616" s="658">
        <f ca="1">_xll.meDateFromTenor(E1615,"1D","Following",$C$16)</f>
        <v>45518</v>
      </c>
      <c r="F1616" s="659">
        <f ca="1"/>
        <v>1.4775359606535823E-2</v>
      </c>
      <c r="G1616" s="656">
        <v>1.4723025447940052E-2</v>
      </c>
    </row>
    <row r="1617" spans="5:7">
      <c r="E1617" s="658">
        <f ca="1">_xll.meDateFromTenor(E1616,"1D","Following",$C$16)</f>
        <v>45519</v>
      </c>
      <c r="F1617" s="659">
        <f ca="1"/>
        <v>1.4780344546203637E-2</v>
      </c>
      <c r="G1617" s="656">
        <v>1.4737979199776896E-2</v>
      </c>
    </row>
    <row r="1618" spans="5:7">
      <c r="E1618" s="658">
        <f ca="1">_xll.meDateFromTenor(E1617,"1D","Following",$C$16)</f>
        <v>45520</v>
      </c>
      <c r="F1618" s="659">
        <f ca="1"/>
        <v>1.4785326572998235E-2</v>
      </c>
      <c r="G1618" s="656">
        <v>1.4742960824489818E-2</v>
      </c>
    </row>
    <row r="1619" spans="5:7">
      <c r="E1619" s="658">
        <f ca="1">_xll.meDateFromTenor(E1618,"1D","Following",$C$16)</f>
        <v>45523</v>
      </c>
      <c r="F1619" s="659">
        <f ca="1"/>
        <v>1.4800255169322188E-2</v>
      </c>
      <c r="G1619" s="656">
        <v>1.4747940965376672E-2</v>
      </c>
    </row>
    <row r="1620" spans="5:7">
      <c r="E1620" s="658">
        <f ca="1">_xll.meDateFromTenor(E1619,"1D","Following",$C$16)</f>
        <v>45524</v>
      </c>
      <c r="F1620" s="659">
        <f ca="1"/>
        <v>1.4805225537803371E-2</v>
      </c>
      <c r="G1620" s="656">
        <v>1.4752919619911625E-2</v>
      </c>
    </row>
    <row r="1621" spans="5:7">
      <c r="E1621" s="658">
        <f ca="1">_xll.meDateFromTenor(E1620,"1D","Following",$C$16)</f>
        <v>45525</v>
      </c>
      <c r="F1621" s="659">
        <f ca="1"/>
        <v>1.4810192990001067E-2</v>
      </c>
      <c r="G1621" s="656">
        <v>1.4757896785568849E-2</v>
      </c>
    </row>
    <row r="1622" spans="5:7">
      <c r="E1622" s="658">
        <f ca="1">_xll.meDateFromTenor(E1621,"1D","Following",$C$16)</f>
        <v>45526</v>
      </c>
      <c r="F1622" s="659">
        <f ca="1"/>
        <v>1.4815157525233215E-2</v>
      </c>
      <c r="G1622" s="656">
        <v>1.4772819324015848E-2</v>
      </c>
    </row>
    <row r="1623" spans="5:7">
      <c r="E1623" s="658">
        <f ca="1">_xll.meDateFromTenor(E1622,"1D","Following",$C$16)</f>
        <v>45527</v>
      </c>
      <c r="F1623" s="659">
        <f ca="1"/>
        <v>1.4820119142817757E-2</v>
      </c>
      <c r="G1623" s="656">
        <v>1.4777790508903847E-2</v>
      </c>
    </row>
    <row r="1624" spans="5:7">
      <c r="E1624" s="658">
        <f ca="1">_xll.meDateFromTenor(E1623,"1D","Following",$C$16)</f>
        <v>45530</v>
      </c>
      <c r="F1624" s="659">
        <f ca="1"/>
        <v>1.4834986482865218E-2</v>
      </c>
      <c r="G1624" s="656">
        <v>1.4782760192284965E-2</v>
      </c>
    </row>
    <row r="1625" spans="5:7">
      <c r="E1625" s="658">
        <f ca="1">_xll.meDateFromTenor(E1624,"1D","Following",$C$16)</f>
        <v>45531</v>
      </c>
      <c r="F1625" s="659">
        <f ca="1"/>
        <v>1.4839936423038793E-2</v>
      </c>
      <c r="G1625" s="656">
        <v>1.4787728371633368E-2</v>
      </c>
    </row>
    <row r="1626" spans="5:7">
      <c r="E1626" s="658">
        <f ca="1">_xll.meDateFromTenor(E1625,"1D","Following",$C$16)</f>
        <v>45532</v>
      </c>
      <c r="F1626" s="659">
        <f ca="1"/>
        <v>1.4844883442154486E-2</v>
      </c>
      <c r="G1626" s="656">
        <v>1.4792695044423224E-2</v>
      </c>
    </row>
    <row r="1627" spans="5:7">
      <c r="E1627" s="658">
        <f ca="1">_xll.meDateFromTenor(E1626,"1D","Following",$C$16)</f>
        <v>45533</v>
      </c>
      <c r="F1627" s="659">
        <f ca="1"/>
        <v>1.4849827539530248E-2</v>
      </c>
      <c r="G1627" s="656">
        <v>1.4807585998183201E-2</v>
      </c>
    </row>
    <row r="1628" spans="5:7">
      <c r="E1628" s="658">
        <f ca="1">_xll.meDateFromTenor(E1627,"1D","Following",$C$16)</f>
        <v>45534</v>
      </c>
      <c r="F1628" s="659">
        <f ca="1"/>
        <v>1.4854768714484013E-2</v>
      </c>
      <c r="G1628" s="656">
        <v>1.4812546619480562E-2</v>
      </c>
    </row>
    <row r="1629" spans="5:7">
      <c r="E1629" s="658">
        <f ca="1">_xll.meDateFromTenor(E1628,"1D","Following",$C$16)</f>
        <v>45537</v>
      </c>
      <c r="F1629" s="659">
        <f ca="1"/>
        <v>1.4869574697992808E-2</v>
      </c>
      <c r="G1629" s="656">
        <v>1.481750572159022E-2</v>
      </c>
    </row>
    <row r="1630" spans="5:7">
      <c r="E1630" s="658">
        <f ca="1">_xll.meDateFromTenor(E1629,"1D","Following",$C$16)</f>
        <v>45538</v>
      </c>
      <c r="F1630" s="659">
        <f ca="1"/>
        <v>1.4874504176438054E-2</v>
      </c>
      <c r="G1630" s="656">
        <v>1.4822463301986347E-2</v>
      </c>
    </row>
    <row r="1631" spans="5:7">
      <c r="E1631" s="658">
        <f ca="1">_xll.meDateFromTenor(E1630,"1D","Following",$C$16)</f>
        <v>45539</v>
      </c>
      <c r="F1631" s="659">
        <f ca="1"/>
        <v>1.4879430729051027E-2</v>
      </c>
      <c r="G1631" s="656">
        <v>1.4827419358143109E-2</v>
      </c>
    </row>
    <row r="1632" spans="5:7">
      <c r="E1632" s="658">
        <f ca="1">_xll.meDateFromTenor(E1631,"1D","Following",$C$16)</f>
        <v>45540</v>
      </c>
      <c r="F1632" s="659">
        <f ca="1"/>
        <v>1.4884354355149674E-2</v>
      </c>
      <c r="G1632" s="656">
        <v>1.4842278355918899E-2</v>
      </c>
    </row>
    <row r="1633" spans="5:7">
      <c r="E1633" s="658">
        <f ca="1">_xll.meDateFromTenor(E1632,"1D","Following",$C$16)</f>
        <v>45541</v>
      </c>
      <c r="F1633" s="659">
        <f ca="1"/>
        <v>1.4889275054051946E-2</v>
      </c>
      <c r="G1633" s="656">
        <v>1.4847228289859894E-2</v>
      </c>
    </row>
    <row r="1634" spans="5:7">
      <c r="E1634" s="658">
        <f ca="1">_xll.meDateFromTenor(E1633,"1D","Following",$C$16)</f>
        <v>45544</v>
      </c>
      <c r="F1634" s="659">
        <f ca="1"/>
        <v>1.4904019580759908E-2</v>
      </c>
      <c r="G1634" s="656">
        <v>1.4852176686932374E-2</v>
      </c>
    </row>
    <row r="1635" spans="5:7">
      <c r="E1635" s="658">
        <f ca="1">_xll.meDateFromTenor(E1634,"1D","Following",$C$16)</f>
        <v>45545</v>
      </c>
      <c r="F1635" s="659">
        <f ca="1"/>
        <v>1.4908928564056101E-2</v>
      </c>
      <c r="G1635" s="656">
        <v>1.4857123544610495E-2</v>
      </c>
    </row>
    <row r="1636" spans="5:7">
      <c r="E1636" s="658">
        <f ca="1">_xll.meDateFromTenor(E1635,"1D","Following",$C$16)</f>
        <v>45546</v>
      </c>
      <c r="F1636" s="659">
        <f ca="1"/>
        <v>1.4913834616745633E-2</v>
      </c>
      <c r="G1636" s="656">
        <v>1.4862068860368441E-2</v>
      </c>
    </row>
    <row r="1637" spans="5:7">
      <c r="E1637" s="658">
        <f ca="1">_xll.meDateFromTenor(E1636,"1D","Following",$C$16)</f>
        <v>45547</v>
      </c>
      <c r="F1637" s="659">
        <f ca="1"/>
        <v>1.4918737738146448E-2</v>
      </c>
      <c r="G1637" s="656">
        <v>1.4876895530862877E-2</v>
      </c>
    </row>
    <row r="1638" spans="5:7">
      <c r="E1638" s="658">
        <f ca="1">_xll.meDateFromTenor(E1637,"1D","Following",$C$16)</f>
        <v>45548</v>
      </c>
      <c r="F1638" s="659">
        <f ca="1"/>
        <v>1.4923637927576495E-2</v>
      </c>
      <c r="G1638" s="656">
        <v>1.4881834653681786E-2</v>
      </c>
    </row>
    <row r="1639" spans="5:7">
      <c r="E1639" s="658">
        <f ca="1">_xll.meDateFromTenor(E1638,"1D","Following",$C$16)</f>
        <v>45551</v>
      </c>
      <c r="F1639" s="659">
        <f ca="1"/>
        <v>1.4938320897221462E-2</v>
      </c>
      <c r="G1639" s="656">
        <v>1.488677222195136E-2</v>
      </c>
    </row>
    <row r="1640" spans="5:7">
      <c r="E1640" s="658">
        <f ca="1">_xll.meDateFromTenor(E1639,"1D","Following",$C$16)</f>
        <v>45552</v>
      </c>
      <c r="F1640" s="659">
        <f ca="1"/>
        <v>1.4943209351947876E-2</v>
      </c>
      <c r="G1640" s="656">
        <v>1.4891708233145761E-2</v>
      </c>
    </row>
    <row r="1641" spans="5:7">
      <c r="E1641" s="658">
        <f ca="1">_xll.meDateFromTenor(E1640,"1D","Following",$C$16)</f>
        <v>45553</v>
      </c>
      <c r="F1641" s="659">
        <f ca="1"/>
        <v>1.4948094871293241E-2</v>
      </c>
      <c r="G1641" s="656">
        <v>1.4896642684739168E-2</v>
      </c>
    </row>
    <row r="1642" spans="5:7">
      <c r="E1642" s="658">
        <f ca="1">_xll.meDateFromTenor(E1641,"1D","Following",$C$16)</f>
        <v>45554</v>
      </c>
      <c r="F1642" s="659">
        <f ca="1"/>
        <v>1.49529774545755E-2</v>
      </c>
      <c r="G1642" s="656">
        <v>1.4911436656655078E-2</v>
      </c>
    </row>
    <row r="1643" spans="5:7">
      <c r="E1643" s="658">
        <f ca="1">_xll.meDateFromTenor(E1642,"1D","Following",$C$16)</f>
        <v>45555</v>
      </c>
      <c r="F1643" s="659">
        <f ca="1"/>
        <v>1.4957857101112604E-2</v>
      </c>
      <c r="G1643" s="656">
        <v>1.4916364844586178E-2</v>
      </c>
    </row>
    <row r="1644" spans="5:7">
      <c r="E1644" s="658">
        <f ca="1">_xll.meDateFromTenor(E1643,"1D","Following",$C$16)</f>
        <v>45558</v>
      </c>
      <c r="F1644" s="659">
        <f ca="1"/>
        <v>1.4972478413432409E-2</v>
      </c>
      <c r="G1644" s="656">
        <v>1.4921291460287122E-2</v>
      </c>
    </row>
    <row r="1645" spans="5:7">
      <c r="E1645" s="658">
        <f ca="1">_xll.meDateFromTenor(E1644,"1D","Following",$C$16)</f>
        <v>45559</v>
      </c>
      <c r="F1645" s="659">
        <f ca="1"/>
        <v>1.4977346306168326E-2</v>
      </c>
      <c r="G1645" s="656">
        <v>1.4926216501232081E-2</v>
      </c>
    </row>
    <row r="1646" spans="5:7">
      <c r="E1646" s="658">
        <f ca="1">_xll.meDateFromTenor(E1645,"1D","Following",$C$16)</f>
        <v>45560</v>
      </c>
      <c r="F1646" s="659">
        <f ca="1"/>
        <v>1.4982211258748802E-2</v>
      </c>
      <c r="G1646" s="656">
        <v>1.4931139964895226E-2</v>
      </c>
    </row>
    <row r="1647" spans="5:7">
      <c r="E1647" s="658">
        <f ca="1">_xll.meDateFromTenor(E1646,"1D","Following",$C$16)</f>
        <v>45561</v>
      </c>
      <c r="F1647" s="659">
        <f ca="1"/>
        <v>1.4987073270491787E-2</v>
      </c>
      <c r="G1647" s="656">
        <v>1.4945900866935443E-2</v>
      </c>
    </row>
    <row r="1648" spans="5:7">
      <c r="E1648" s="658">
        <f ca="1">_xll.meDateFromTenor(E1647,"1D","Following",$C$16)</f>
        <v>45562</v>
      </c>
      <c r="F1648" s="659">
        <f ca="1"/>
        <v>1.4991932340715223E-2</v>
      </c>
      <c r="G1648" s="656">
        <v>1.4950817996213006E-2</v>
      </c>
    </row>
    <row r="1649" spans="5:7">
      <c r="E1649" s="658">
        <f ca="1">_xll.meDateFromTenor(E1648,"1D","Following",$C$16)</f>
        <v>45565</v>
      </c>
      <c r="F1649" s="659">
        <f ca="1"/>
        <v>1.5006491895447699E-2</v>
      </c>
      <c r="G1649" s="656">
        <v>1.4955733535579602E-2</v>
      </c>
    </row>
    <row r="1650" spans="5:7">
      <c r="E1650" s="658">
        <f ca="1">_xll.meDateFromTenor(E1649,"1D","Following",$C$16)</f>
        <v>45566</v>
      </c>
      <c r="F1650" s="659">
        <f ca="1"/>
        <v>1.5011339192772389E-2</v>
      </c>
      <c r="G1650" s="656">
        <v>1.4960647482509392E-2</v>
      </c>
    </row>
    <row r="1651" spans="5:7">
      <c r="E1651" s="658">
        <f ca="1">_xll.meDateFromTenor(E1650,"1D","Following",$C$16)</f>
        <v>45567</v>
      </c>
      <c r="F1651" s="659">
        <f ca="1"/>
        <v>1.5016183545167254E-2</v>
      </c>
      <c r="G1651" s="656">
        <v>1.4965559834476548E-2</v>
      </c>
    </row>
    <row r="1652" spans="5:7">
      <c r="E1652" s="658">
        <f ca="1">_xll.meDateFromTenor(E1651,"1D","Following",$C$16)</f>
        <v>45568</v>
      </c>
      <c r="F1652" s="659">
        <f ca="1"/>
        <v>1.502102495195024E-2</v>
      </c>
      <c r="G1652" s="656">
        <v>1.4980287295343906E-2</v>
      </c>
    </row>
    <row r="1653" spans="5:7">
      <c r="E1653" s="658">
        <f ca="1">_xll.meDateFromTenor(E1652,"1D","Following",$C$16)</f>
        <v>45569</v>
      </c>
      <c r="F1653" s="659">
        <f ca="1"/>
        <v>1.5025863412439291E-2</v>
      </c>
      <c r="G1653" s="656">
        <v>1.4985193242202216E-2</v>
      </c>
    </row>
    <row r="1654" spans="5:7">
      <c r="E1654" s="658">
        <f ca="1">_xll.meDateFromTenor(E1653,"1D","Following",$C$16)</f>
        <v>45572</v>
      </c>
      <c r="F1654" s="659">
        <f ca="1"/>
        <v>1.5040361109322265E-2</v>
      </c>
      <c r="G1654" s="656">
        <v>1.4990097581468735E-2</v>
      </c>
    </row>
    <row r="1655" spans="5:7">
      <c r="E1655" s="658">
        <f ca="1">_xll.meDateFromTenor(E1654,"1D","Following",$C$16)</f>
        <v>45573</v>
      </c>
      <c r="F1655" s="659">
        <f ca="1"/>
        <v>1.5045187777815014E-2</v>
      </c>
      <c r="G1655" s="656">
        <v>1.4995000310617635E-2</v>
      </c>
    </row>
    <row r="1656" spans="5:7">
      <c r="E1656" s="658">
        <f ca="1">_xll.meDateFromTenor(E1655,"1D","Following",$C$16)</f>
        <v>45574</v>
      </c>
      <c r="F1656" s="659">
        <f ca="1"/>
        <v>1.5050011496603547E-2</v>
      </c>
      <c r="G1656" s="656">
        <v>1.4999901427123085E-2</v>
      </c>
    </row>
    <row r="1657" spans="5:7">
      <c r="E1657" s="658">
        <f ca="1">_xll.meDateFromTenor(E1656,"1D","Following",$C$16)</f>
        <v>45575</v>
      </c>
      <c r="F1657" s="659">
        <f ca="1"/>
        <v>1.5054832265005815E-2</v>
      </c>
      <c r="G1657" s="656">
        <v>1.5014595075520408E-2</v>
      </c>
    </row>
    <row r="1658" spans="5:7">
      <c r="E1658" s="658">
        <f ca="1">_xll.meDateFromTenor(E1657,"1D","Following",$C$16)</f>
        <v>45576</v>
      </c>
      <c r="F1658" s="659">
        <f ca="1"/>
        <v>1.505965008233975E-2</v>
      </c>
      <c r="G1658" s="656">
        <v>1.501948971619374E-2</v>
      </c>
    </row>
    <row r="1659" spans="5:7">
      <c r="E1659" s="658">
        <f ca="1">_xll.meDateFromTenor(E1658,"1D","Following",$C$16)</f>
        <v>45579</v>
      </c>
      <c r="F1659" s="659">
        <f ca="1"/>
        <v>1.507408582111106E-2</v>
      </c>
      <c r="G1659" s="656">
        <v>1.5024382731594465E-2</v>
      </c>
    </row>
    <row r="1660" spans="5:7">
      <c r="E1660" s="658">
        <f ca="1">_xll.meDateFromTenor(E1659,"1D","Following",$C$16)</f>
        <v>45580</v>
      </c>
      <c r="F1660" s="659">
        <f ca="1"/>
        <v>1.5078891827351141E-2</v>
      </c>
      <c r="G1660" s="656">
        <v>1.502927411919675E-2</v>
      </c>
    </row>
    <row r="1661" spans="5:7">
      <c r="E1661" s="658">
        <f ca="1">_xll.meDateFromTenor(E1660,"1D","Following",$C$16)</f>
        <v>45581</v>
      </c>
      <c r="F1661" s="659">
        <f ca="1"/>
        <v>1.5083694879112621E-2</v>
      </c>
      <c r="G1661" s="656">
        <v>1.5034163876474767E-2</v>
      </c>
    </row>
    <row r="1662" spans="5:7">
      <c r="E1662" s="658">
        <f ca="1">_xll.meDateFromTenor(E1661,"1D","Following",$C$16)</f>
        <v>45582</v>
      </c>
      <c r="F1662" s="659">
        <f ca="1"/>
        <v>1.5088494975713442E-2</v>
      </c>
      <c r="G1662" s="656">
        <v>1.504882334110489E-2</v>
      </c>
    </row>
    <row r="1663" spans="5:7">
      <c r="E1663" s="658">
        <f ca="1">_xll.meDateFromTenor(E1662,"1D","Following",$C$16)</f>
        <v>45583</v>
      </c>
      <c r="F1663" s="659">
        <f ca="1"/>
        <v>1.5093292116471547E-2</v>
      </c>
      <c r="G1663" s="656">
        <v>1.5053706551827519E-2</v>
      </c>
    </row>
    <row r="1664" spans="5:7">
      <c r="E1664" s="658">
        <f ca="1">_xll.meDateFromTenor(E1663,"1D","Following",$C$16)</f>
        <v>45586</v>
      </c>
      <c r="F1664" s="659">
        <f ca="1"/>
        <v>1.5107665796869025E-2</v>
      </c>
      <c r="G1664" s="656">
        <v>1.5058588119596724E-2</v>
      </c>
    </row>
    <row r="1665" spans="5:7">
      <c r="E1665" s="658">
        <f ca="1">_xll.meDateFromTenor(E1664,"1D","Following",$C$16)</f>
        <v>45587</v>
      </c>
      <c r="F1665" s="659">
        <f ca="1"/>
        <v>1.5112451107435717E-2</v>
      </c>
      <c r="G1665" s="656">
        <v>1.5063468041886678E-2</v>
      </c>
    </row>
    <row r="1666" spans="5:7">
      <c r="E1666" s="658">
        <f ca="1">_xll.meDateFromTenor(E1665,"1D","Following",$C$16)</f>
        <v>45588</v>
      </c>
      <c r="F1666" s="659">
        <f ca="1"/>
        <v>1.5117233458749419E-2</v>
      </c>
      <c r="G1666" s="656">
        <v>1.5068346316171538E-2</v>
      </c>
    </row>
    <row r="1667" spans="5:7">
      <c r="E1667" s="658">
        <f ca="1">_xll.meDateFromTenor(E1666,"1D","Following",$C$16)</f>
        <v>45589</v>
      </c>
      <c r="F1667" s="659">
        <f ca="1"/>
        <v>1.5122012850128074E-2</v>
      </c>
      <c r="G1667" s="656">
        <v>1.5082971225737294E-2</v>
      </c>
    </row>
    <row r="1668" spans="5:7">
      <c r="E1668" s="658">
        <f ca="1">_xll.meDateFromTenor(E1667,"1D","Following",$C$16)</f>
        <v>45590</v>
      </c>
      <c r="F1668" s="659">
        <f ca="1"/>
        <v>1.5126789280889624E-2</v>
      </c>
      <c r="G1668" s="656">
        <v>1.5087842882743499E-2</v>
      </c>
    </row>
    <row r="1669" spans="5:7">
      <c r="E1669" s="658">
        <f ca="1">_xll.meDateFromTenor(E1668,"1D","Following",$C$16)</f>
        <v>45593</v>
      </c>
      <c r="F1669" s="659">
        <f ca="1"/>
        <v>1.5141100802651101E-2</v>
      </c>
      <c r="G1669" s="656">
        <v>1.5092712879115464E-2</v>
      </c>
    </row>
    <row r="1670" spans="5:7">
      <c r="E1670" s="658">
        <f ca="1">_xll.meDateFromTenor(E1669,"1D","Following",$C$16)</f>
        <v>45594</v>
      </c>
      <c r="F1670" s="659">
        <f ca="1"/>
        <v>1.5145865384123684E-2</v>
      </c>
      <c r="G1670" s="656">
        <v>1.5097581212327349E-2</v>
      </c>
    </row>
    <row r="1671" spans="5:7">
      <c r="E1671" s="658">
        <f ca="1">_xll.meDateFromTenor(E1670,"1D","Following",$C$16)</f>
        <v>45595</v>
      </c>
      <c r="F1671" s="659">
        <f ca="1"/>
        <v>1.5150627001568885E-2</v>
      </c>
      <c r="G1671" s="656">
        <v>1.5102447879853336E-2</v>
      </c>
    </row>
    <row r="1672" spans="5:7">
      <c r="E1672" s="658">
        <f ca="1">_xll.meDateFromTenor(E1671,"1D","Following",$C$16)</f>
        <v>45596</v>
      </c>
      <c r="F1672" s="659">
        <f ca="1"/>
        <v>1.5155385654304651E-2</v>
      </c>
      <c r="G1672" s="656">
        <v>1.5117037863057556E-2</v>
      </c>
    </row>
    <row r="1673" spans="5:7">
      <c r="E1673" s="658">
        <f ca="1">_xll.meDateFromTenor(E1672,"1D","Following",$C$16)</f>
        <v>45597</v>
      </c>
      <c r="F1673" s="659">
        <f ca="1"/>
        <v>1.5160141341648926E-2</v>
      </c>
      <c r="G1673" s="656">
        <v>1.5121897842581613E-2</v>
      </c>
    </row>
    <row r="1674" spans="5:7">
      <c r="E1674" s="658">
        <f ca="1">_xll.meDateFromTenor(E1673,"1D","Following",$C$16)</f>
        <v>45600</v>
      </c>
      <c r="F1674" s="659">
        <f ca="1"/>
        <v>1.5174390604512237E-2</v>
      </c>
      <c r="G1674" s="656">
        <v>1.512675614379061E-2</v>
      </c>
    </row>
    <row r="1675" spans="5:7">
      <c r="E1675" s="658">
        <f ca="1">_xll.meDateFromTenor(E1674,"1D","Following",$C$16)</f>
        <v>45601</v>
      </c>
      <c r="F1675" s="659">
        <f ca="1"/>
        <v>1.5179134423469985E-2</v>
      </c>
      <c r="G1675" s="656">
        <v>1.5131612764158718E-2</v>
      </c>
    </row>
    <row r="1676" spans="5:7">
      <c r="E1676" s="658">
        <f ca="1">_xll.meDateFromTenor(E1675,"1D","Following",$C$16)</f>
        <v>45602</v>
      </c>
      <c r="F1676" s="659">
        <f ca="1"/>
        <v>1.5183875273625967E-2</v>
      </c>
      <c r="G1676" s="656">
        <v>1.5136467701160101E-2</v>
      </c>
    </row>
    <row r="1677" spans="5:7">
      <c r="E1677" s="658">
        <f ca="1">_xll.meDateFromTenor(E1676,"1D","Following",$C$16)</f>
        <v>45603</v>
      </c>
      <c r="F1677" s="659">
        <f ca="1"/>
        <v>1.518861315429812E-2</v>
      </c>
      <c r="G1677" s="656">
        <v>1.5151022386705612E-2</v>
      </c>
    </row>
    <row r="1678" spans="5:7">
      <c r="E1678" s="658">
        <f ca="1">_xll.meDateFromTenor(E1677,"1D","Following",$C$16)</f>
        <v>45604</v>
      </c>
      <c r="F1678" s="659">
        <f ca="1"/>
        <v>1.5193348064804393E-2</v>
      </c>
      <c r="G1678" s="656">
        <v>1.5155870563556072E-2</v>
      </c>
    </row>
    <row r="1679" spans="5:7">
      <c r="E1679" s="658">
        <f ca="1">_xll.meDateFromTenor(E1678,"1D","Following",$C$16)</f>
        <v>45607</v>
      </c>
      <c r="F1679" s="659">
        <f ca="1"/>
        <v>1.5207534935453479E-2</v>
      </c>
      <c r="G1679" s="656">
        <v>1.5160717035856284E-2</v>
      </c>
    </row>
    <row r="1680" spans="5:7">
      <c r="E1680" s="658">
        <f ca="1">_xll.meDateFromTenor(E1679,"1D","Following",$C$16)</f>
        <v>45608</v>
      </c>
      <c r="F1680" s="659">
        <f ca="1"/>
        <v>1.5212257913179596E-2</v>
      </c>
      <c r="G1680" s="656">
        <v>1.5165561792526049E-2</v>
      </c>
    </row>
    <row r="1681" spans="5:7">
      <c r="E1681" s="658">
        <f ca="1">_xll.meDateFromTenor(E1680,"1D","Following",$C$16)</f>
        <v>45609</v>
      </c>
      <c r="F1681" s="659">
        <f ca="1"/>
        <v>1.5216977887948317E-2</v>
      </c>
      <c r="G1681" s="656">
        <v>1.5170404822485162E-2</v>
      </c>
    </row>
    <row r="1682" spans="5:7">
      <c r="E1682" s="658">
        <f ca="1">_xll.meDateFromTenor(E1681,"1D","Following",$C$16)</f>
        <v>45610</v>
      </c>
      <c r="F1682" s="659">
        <f ca="1"/>
        <v>1.5221694851732271E-2</v>
      </c>
      <c r="G1682" s="656">
        <v>1.5184923441296603E-2</v>
      </c>
    </row>
    <row r="1683" spans="5:7">
      <c r="E1683" s="658">
        <f ca="1">_xll.meDateFromTenor(E1682,"1D","Following",$C$16)</f>
        <v>45611</v>
      </c>
      <c r="F1683" s="659">
        <f ca="1"/>
        <v>1.5226408796504101E-2</v>
      </c>
      <c r="G1683" s="656">
        <v>1.5189759453611111E-2</v>
      </c>
    </row>
    <row r="1684" spans="5:7">
      <c r="E1684" s="658">
        <f ca="1">_xll.meDateFromTenor(E1683,"1D","Following",$C$16)</f>
        <v>45614</v>
      </c>
      <c r="F1684" s="659">
        <f ca="1"/>
        <v>1.5240532436473164E-2</v>
      </c>
      <c r="G1684" s="656">
        <v>1.5194593683813967E-2</v>
      </c>
    </row>
    <row r="1685" spans="5:7">
      <c r="E1685" s="658">
        <f ca="1">_xll.meDateFromTenor(E1684,"1D","Following",$C$16)</f>
        <v>45615</v>
      </c>
      <c r="F1685" s="659">
        <f ca="1"/>
        <v>1.5245234224922828E-2</v>
      </c>
      <c r="G1685" s="656">
        <v>1.519942612082497E-2</v>
      </c>
    </row>
    <row r="1686" spans="5:7">
      <c r="E1686" s="658">
        <f ca="1">_xll.meDateFromTenor(E1685,"1D","Following",$C$16)</f>
        <v>45616</v>
      </c>
      <c r="F1686" s="659">
        <f ca="1"/>
        <v>1.5249932954223536E-2</v>
      </c>
      <c r="G1686" s="656">
        <v>1.5204256753563914E-2</v>
      </c>
    </row>
    <row r="1687" spans="5:7">
      <c r="E1687" s="658">
        <f ca="1">_xll.meDateFromTenor(E1686,"1D","Following",$C$16)</f>
        <v>45617</v>
      </c>
      <c r="F1687" s="659">
        <f ca="1"/>
        <v>1.5254628616347925E-2</v>
      </c>
      <c r="G1687" s="656">
        <v>1.5218737715346412E-2</v>
      </c>
    </row>
    <row r="1688" spans="5:7">
      <c r="E1688" s="658">
        <f ca="1">_xll.meDateFromTenor(E1687,"1D","Following",$C$16)</f>
        <v>45618</v>
      </c>
      <c r="F1688" s="659">
        <f ca="1"/>
        <v>1.5259321203268629E-2</v>
      </c>
      <c r="G1688" s="656">
        <v>1.5223561020195127E-2</v>
      </c>
    </row>
    <row r="1689" spans="5:7">
      <c r="E1689" s="658">
        <f ca="1">_xll.meDateFromTenor(E1688,"1D","Following",$C$16)</f>
        <v>45621</v>
      </c>
      <c r="F1689" s="659">
        <f ca="1"/>
        <v>1.5273380432534974E-2</v>
      </c>
      <c r="G1689" s="656">
        <v>1.522838246537078E-2</v>
      </c>
    </row>
    <row r="1690" spans="5:7">
      <c r="E1690" s="658">
        <f ca="1">_xll.meDateFromTenor(E1689,"1D","Following",$C$16)</f>
        <v>45622</v>
      </c>
      <c r="F1690" s="659">
        <f ca="1"/>
        <v>1.5278060638367284E-2</v>
      </c>
      <c r="G1690" s="656">
        <v>1.5233202039793173E-2</v>
      </c>
    </row>
    <row r="1691" spans="5:7">
      <c r="E1691" s="658">
        <f ca="1">_xll.meDateFromTenor(E1690,"1D","Following",$C$16)</f>
        <v>45623</v>
      </c>
      <c r="F1691" s="659">
        <f ca="1"/>
        <v>1.5282737728859082E-2</v>
      </c>
      <c r="G1691" s="656">
        <v>1.523801973238211E-2</v>
      </c>
    </row>
    <row r="1692" spans="5:7">
      <c r="E1692" s="658">
        <f ca="1">_xll.meDateFromTenor(E1691,"1D","Following",$C$16)</f>
        <v>45624</v>
      </c>
      <c r="F1692" s="659">
        <f ca="1"/>
        <v>1.5287411695983005E-2</v>
      </c>
      <c r="G1692" s="656">
        <v>1.5252461408346123E-2</v>
      </c>
    </row>
    <row r="1693" spans="5:7">
      <c r="E1693" s="658">
        <f ca="1">_xll.meDateFromTenor(E1692,"1D","Following",$C$16)</f>
        <v>45625</v>
      </c>
      <c r="F1693" s="659">
        <f ca="1"/>
        <v>1.5292082531711684E-2</v>
      </c>
      <c r="G1693" s="656">
        <v>1.5257271462799201E-2</v>
      </c>
    </row>
    <row r="1694" spans="5:7">
      <c r="E1694" s="658">
        <f ca="1">_xll.meDateFromTenor(E1693,"1D","Following",$C$16)</f>
        <v>45628</v>
      </c>
      <c r="F1694" s="659">
        <f ca="1"/>
        <v>1.5306076170252616E-2</v>
      </c>
      <c r="G1694" s="656">
        <v>1.5262079580017811E-2</v>
      </c>
    </row>
    <row r="1695" spans="5:7">
      <c r="E1695" s="658">
        <f ca="1">_xll.meDateFromTenor(E1694,"1D","Following",$C$16)</f>
        <v>45629</v>
      </c>
      <c r="F1695" s="659">
        <f ca="1"/>
        <v>1.5310734400126676E-2</v>
      </c>
      <c r="G1695" s="656">
        <v>1.5266885748921752E-2</v>
      </c>
    </row>
    <row r="1696" spans="5:7">
      <c r="E1696" s="658">
        <f ca="1">_xll.meDateFromTenor(E1695,"1D","Following",$C$16)</f>
        <v>45630</v>
      </c>
      <c r="F1696" s="659">
        <f ca="1"/>
        <v>1.5315389458468665E-2</v>
      </c>
      <c r="G1696" s="656">
        <v>1.5271689958430826E-2</v>
      </c>
    </row>
    <row r="1697" spans="5:7">
      <c r="E1697" s="658">
        <f ca="1">_xll.meDateFromTenor(E1696,"1D","Following",$C$16)</f>
        <v>45631</v>
      </c>
      <c r="F1697" s="659">
        <f ca="1"/>
        <v>1.532004133725122E-2</v>
      </c>
      <c r="G1697" s="656">
        <v>1.5286090719786828E-2</v>
      </c>
    </row>
    <row r="1698" spans="5:7">
      <c r="E1698" s="658">
        <f ca="1">_xll.meDateFromTenor(E1697,"1D","Following",$C$16)</f>
        <v>45632</v>
      </c>
      <c r="F1698" s="659">
        <f ca="1"/>
        <v>1.5324690028446978E-2</v>
      </c>
      <c r="G1698" s="656">
        <v>1.5290886980914419E-2</v>
      </c>
    </row>
    <row r="1699" spans="5:7">
      <c r="E1699" s="658">
        <f ca="1">_xll.meDateFromTenor(E1698,"1D","Following",$C$16)</f>
        <v>45635</v>
      </c>
      <c r="F1699" s="659">
        <f ca="1"/>
        <v>1.53386168962398E-2</v>
      </c>
      <c r="G1699" s="656">
        <v>1.5295681227246139E-2</v>
      </c>
    </row>
    <row r="1700" spans="5:7">
      <c r="E1700" s="658">
        <f ca="1">_xll.meDateFromTenor(E1699,"1D","Following",$C$16)</f>
        <v>45636</v>
      </c>
      <c r="F1700" s="659">
        <f ca="1"/>
        <v>1.5343252756814705E-2</v>
      </c>
      <c r="G1700" s="656">
        <v>1.5300473447701784E-2</v>
      </c>
    </row>
    <row r="1701" spans="5:7">
      <c r="E1701" s="658">
        <f ca="1">_xll.meDateFromTenor(E1700,"1D","Following",$C$16)</f>
        <v>45637</v>
      </c>
      <c r="F1701" s="659">
        <f ca="1"/>
        <v>1.5347885389665989E-2</v>
      </c>
      <c r="G1701" s="656">
        <v>1.5305263631201153E-2</v>
      </c>
    </row>
    <row r="1702" spans="5:7">
      <c r="E1702" s="658">
        <f ca="1">_xll.meDateFromTenor(E1701,"1D","Following",$C$16)</f>
        <v>45638</v>
      </c>
      <c r="F1702" s="659">
        <f ca="1"/>
        <v>1.535251478676628E-2</v>
      </c>
      <c r="G1702" s="656">
        <v>1.5319621849159606E-2</v>
      </c>
    </row>
    <row r="1703" spans="5:7">
      <c r="E1703" s="658">
        <f ca="1">_xll.meDateFromTenor(E1702,"1D","Following",$C$16)</f>
        <v>45639</v>
      </c>
      <c r="F1703" s="659">
        <f ca="1"/>
        <v>1.5357140940088216E-2</v>
      </c>
      <c r="G1703" s="656">
        <v>1.5324403774031868E-2</v>
      </c>
    </row>
    <row r="1704" spans="5:7">
      <c r="E1704" s="658">
        <f ca="1">_xll.meDateFromTenor(E1703,"1D","Following",$C$16)</f>
        <v>45642</v>
      </c>
      <c r="F1704" s="659">
        <f ca="1"/>
        <v>1.5370999857110232E-2</v>
      </c>
      <c r="G1704" s="656">
        <v>1.5329183606546849E-2</v>
      </c>
    </row>
    <row r="1705" spans="5:7">
      <c r="E1705" s="658">
        <f ca="1">_xll.meDateFromTenor(E1704,"1D","Following",$C$16)</f>
        <v>45643</v>
      </c>
      <c r="F1705" s="659">
        <f ca="1"/>
        <v>1.537561295504509E-2</v>
      </c>
      <c r="G1705" s="656">
        <v>1.5333961335624351E-2</v>
      </c>
    </row>
    <row r="1706" spans="5:7">
      <c r="E1706" s="658">
        <f ca="1">_xll.meDateFromTenor(E1705,"1D","Following",$C$16)</f>
        <v>45644</v>
      </c>
      <c r="F1706" s="659">
        <f ca="1"/>
        <v>1.5380222769064767E-2</v>
      </c>
      <c r="G1706" s="656">
        <v>1.5338736950184173E-2</v>
      </c>
    </row>
    <row r="1707" spans="5:7">
      <c r="E1707" s="658">
        <f ca="1">_xll.meDateFromTenor(E1706,"1D","Following",$C$16)</f>
        <v>45645</v>
      </c>
      <c r="F1707" s="659">
        <f ca="1"/>
        <v>1.5384829291141896E-2</v>
      </c>
      <c r="G1707" s="656">
        <v>1.5353050995955539E-2</v>
      </c>
    </row>
    <row r="1708" spans="5:7">
      <c r="E1708" s="658">
        <f ca="1">_xll.meDateFromTenor(E1707,"1D","Following",$C$16)</f>
        <v>45646</v>
      </c>
      <c r="F1708" s="659">
        <f ca="1"/>
        <v>1.538943251324911E-2</v>
      </c>
      <c r="G1708" s="656">
        <v>1.5357818041642626E-2</v>
      </c>
    </row>
    <row r="1709" spans="5:7">
      <c r="E1709" s="658">
        <f ca="1">_xll.meDateFromTenor(E1708,"1D","Following",$C$16)</f>
        <v>45649</v>
      </c>
      <c r="F1709" s="659">
        <f ca="1"/>
        <v>1.5403222299477624E-2</v>
      </c>
      <c r="G1709" s="656">
        <v>1.5362582917411029E-2</v>
      </c>
    </row>
    <row r="1710" spans="5:7">
      <c r="E1710" s="658">
        <f ca="1">_xll.meDateFromTenor(E1709,"1D","Following",$C$16)</f>
        <v>45650</v>
      </c>
      <c r="F1710" s="659">
        <f ca="1"/>
        <v>1.5407812241431531E-2</v>
      </c>
      <c r="G1710" s="656">
        <v>1.536734561218054E-2</v>
      </c>
    </row>
    <row r="1711" spans="5:7">
      <c r="E1711" s="658">
        <f ca="1">_xll.meDateFromTenor(E1710,"1D","Following",$C$16)</f>
        <v>45653</v>
      </c>
      <c r="F1711" s="659">
        <f ca="1"/>
        <v>1.5421561994543365E-2</v>
      </c>
      <c r="G1711" s="656">
        <v>1.5372106114870969E-2</v>
      </c>
    </row>
    <row r="1712" spans="5:7">
      <c r="E1712" s="658">
        <f ca="1">_xll.meDateFromTenor(E1711,"1D","Following",$C$16)</f>
        <v>45656</v>
      </c>
      <c r="F1712" s="659">
        <f ca="1"/>
        <v>1.5435281469955681E-2</v>
      </c>
      <c r="G1712" s="656">
        <v>1.538637435966571E-2</v>
      </c>
    </row>
    <row r="1713" spans="5:7">
      <c r="E1713" s="658">
        <f ca="1">_xll.meDateFromTenor(E1712,"1D","Following",$C$16)</f>
        <v>45657</v>
      </c>
      <c r="F1713" s="659">
        <f ca="1"/>
        <v>1.5439847862587747E-2</v>
      </c>
      <c r="G1713" s="656">
        <v>1.539112598323778E-2</v>
      </c>
    </row>
    <row r="1714" spans="5:7">
      <c r="E1714" s="658">
        <f ca="1">_xll.meDateFromTenor(E1713,"1D","Following",$C$16)</f>
        <v>45659</v>
      </c>
      <c r="F1714" s="659">
        <f ca="1"/>
        <v>1.5448995425602607E-2</v>
      </c>
      <c r="G1714" s="656">
        <v>1.5405367324752622E-2</v>
      </c>
    </row>
    <row r="1715" spans="5:7">
      <c r="E1715" s="658">
        <f ca="1">_xll.meDateFromTenor(E1714,"1D","Following",$C$16)</f>
        <v>45660</v>
      </c>
      <c r="F1715" s="659">
        <f ca="1"/>
        <v>1.5453564064475765E-2</v>
      </c>
      <c r="G1715" s="656">
        <v>1.5419588139781211E-2</v>
      </c>
    </row>
    <row r="1716" spans="5:7">
      <c r="E1716" s="658">
        <f ca="1">_xll.meDateFromTenor(E1715,"1D","Following",$C$16)</f>
        <v>45663</v>
      </c>
      <c r="F1716" s="659">
        <f ca="1"/>
        <v>1.546724931343583E-2</v>
      </c>
      <c r="G1716" s="656">
        <v>1.5424323798308414E-2</v>
      </c>
    </row>
    <row r="1717" spans="5:7">
      <c r="E1717" s="658">
        <f ca="1">_xll.meDateFromTenor(E1716,"1D","Following",$C$16)</f>
        <v>45664</v>
      </c>
      <c r="F1717" s="659">
        <f ca="1"/>
        <v>1.5471804146890972E-2</v>
      </c>
      <c r="G1717" s="656">
        <v>1.5433814045975538E-2</v>
      </c>
    </row>
    <row r="1718" spans="5:7">
      <c r="E1718" s="658">
        <f ca="1">_xll.meDateFromTenor(E1717,"1D","Following",$C$16)</f>
        <v>45665</v>
      </c>
      <c r="F1718" s="659">
        <f ca="1"/>
        <v>1.5476355508757795E-2</v>
      </c>
      <c r="G1718" s="656">
        <v>1.5438555635181945E-2</v>
      </c>
    </row>
    <row r="1719" spans="5:7">
      <c r="E1719" s="658">
        <f ca="1">_xll.meDateFromTenor(E1718,"1D","Following",$C$16)</f>
        <v>45666</v>
      </c>
      <c r="F1719" s="659">
        <f ca="1"/>
        <v>1.5480903390942784E-2</v>
      </c>
      <c r="G1719" s="656">
        <v>1.5452766130234276E-2</v>
      </c>
    </row>
    <row r="1720" spans="5:7">
      <c r="E1720" s="658">
        <f ca="1">_xll.meDateFromTenor(E1719,"1D","Following",$C$16)</f>
        <v>45667</v>
      </c>
      <c r="F1720" s="659">
        <f ca="1"/>
        <v>1.5485447785352408E-2</v>
      </c>
      <c r="G1720" s="656">
        <v>1.5457498167157691E-2</v>
      </c>
    </row>
    <row r="1721" spans="5:7">
      <c r="E1721" s="658">
        <f ca="1">_xll.meDateFromTenor(E1720,"1D","Following",$C$16)</f>
        <v>45670</v>
      </c>
      <c r="F1721" s="659">
        <f ca="1"/>
        <v>1.5499059960993844E-2</v>
      </c>
      <c r="G1721" s="656">
        <v>1.5462227788081555E-2</v>
      </c>
    </row>
    <row r="1722" spans="5:7">
      <c r="E1722" s="658">
        <f ca="1">_xll.meDateFromTenor(E1721,"1D","Following",$C$16)</f>
        <v>45671</v>
      </c>
      <c r="F1722" s="659">
        <f ca="1"/>
        <v>1.5503590323366763E-2</v>
      </c>
      <c r="G1722" s="656">
        <v>1.5466954981834346E-2</v>
      </c>
    </row>
    <row r="1723" spans="5:7">
      <c r="E1723" s="658">
        <f ca="1">_xll.meDateFromTenor(E1722,"1D","Following",$C$16)</f>
        <v>45672</v>
      </c>
      <c r="F1723" s="659">
        <f ca="1"/>
        <v>1.55081171574967E-2</v>
      </c>
      <c r="G1723" s="656">
        <v>1.5471679737244549E-2</v>
      </c>
    </row>
    <row r="1724" spans="5:7">
      <c r="E1724" s="658">
        <f ca="1">_xll.meDateFromTenor(E1723,"1D","Following",$C$16)</f>
        <v>45673</v>
      </c>
      <c r="F1724" s="659">
        <f ca="1"/>
        <v>1.5512640455290123E-2</v>
      </c>
      <c r="G1724" s="656">
        <v>1.5485839261704401E-2</v>
      </c>
    </row>
    <row r="1725" spans="5:7">
      <c r="E1725" s="658">
        <f ca="1">_xll.meDateFromTenor(E1724,"1D","Following",$C$16)</f>
        <v>45674</v>
      </c>
      <c r="F1725" s="659">
        <f ca="1"/>
        <v>1.551716020865351E-2</v>
      </c>
      <c r="G1725" s="656">
        <v>1.549055415202903E-2</v>
      </c>
    </row>
    <row r="1726" spans="5:7">
      <c r="E1726" s="658">
        <f ca="1">_xll.meDateFromTenor(E1725,"1D","Following",$C$16)</f>
        <v>45677</v>
      </c>
      <c r="F1726" s="659">
        <f ca="1"/>
        <v>1.5530698121228212E-2</v>
      </c>
      <c r="G1726" s="656">
        <v>1.5495266548153462E-2</v>
      </c>
    </row>
    <row r="1727" spans="5:7">
      <c r="E1727" s="658">
        <f ca="1">_xll.meDateFromTenor(E1726,"1D","Following",$C$16)</f>
        <v>45678</v>
      </c>
      <c r="F1727" s="659">
        <f ca="1"/>
        <v>1.5535203615936211E-2</v>
      </c>
      <c r="G1727" s="656">
        <v>1.5499976438906183E-2</v>
      </c>
    </row>
    <row r="1728" spans="5:7">
      <c r="E1728" s="658">
        <f ca="1">_xll.meDateFromTenor(E1727,"1D","Following",$C$16)</f>
        <v>45679</v>
      </c>
      <c r="F1728" s="659">
        <f ca="1"/>
        <v>1.553970552574655E-2</v>
      </c>
      <c r="G1728" s="656">
        <v>1.5504683813115663E-2</v>
      </c>
    </row>
    <row r="1729" spans="5:7">
      <c r="E1729" s="658">
        <f ca="1">_xll.meDateFromTenor(E1728,"1D","Following",$C$16)</f>
        <v>45680</v>
      </c>
      <c r="F1729" s="659">
        <f ca="1"/>
        <v>1.5544203842565704E-2</v>
      </c>
      <c r="G1729" s="656">
        <v>1.5518790724769475E-2</v>
      </c>
    </row>
    <row r="1730" spans="5:7">
      <c r="E1730" s="658">
        <f ca="1">_xll.meDateFromTenor(E1729,"1D","Following",$C$16)</f>
        <v>45681</v>
      </c>
      <c r="F1730" s="659">
        <f ca="1"/>
        <v>1.5548698558300154E-2</v>
      </c>
      <c r="G1730" s="656">
        <v>1.5523487921090802E-2</v>
      </c>
    </row>
    <row r="1731" spans="5:7">
      <c r="E1731" s="658">
        <f ca="1">_xll.meDateFromTenor(E1730,"1D","Following",$C$16)</f>
        <v>45684</v>
      </c>
      <c r="F1731" s="659">
        <f ca="1"/>
        <v>1.556216101806001E-2</v>
      </c>
      <c r="G1731" s="656">
        <v>1.5528182545011282E-2</v>
      </c>
    </row>
    <row r="1732" spans="5:7">
      <c r="E1732" s="658">
        <f ca="1">_xll.meDateFromTenor(E1731,"1D","Following",$C$16)</f>
        <v>45685</v>
      </c>
      <c r="F1732" s="659">
        <f ca="1"/>
        <v>1.5566641248520382E-2</v>
      </c>
      <c r="G1732" s="656">
        <v>1.5532874585359405E-2</v>
      </c>
    </row>
    <row r="1733" spans="5:7">
      <c r="E1733" s="658">
        <f ca="1">_xll.meDateFromTenor(E1732,"1D","Following",$C$16)</f>
        <v>45686</v>
      </c>
      <c r="F1733" s="659">
        <f ca="1"/>
        <v>1.5571117837428426E-2</v>
      </c>
      <c r="G1733" s="656">
        <v>1.5537564030963645E-2</v>
      </c>
    </row>
    <row r="1734" spans="5:7">
      <c r="E1734" s="658">
        <f ca="1">_xll.meDateFromTenor(E1733,"1D","Following",$C$16)</f>
        <v>45687</v>
      </c>
      <c r="F1734" s="659">
        <f ca="1"/>
        <v>1.557559077669061E-2</v>
      </c>
      <c r="G1734" s="656">
        <v>1.555161668759786E-2</v>
      </c>
    </row>
    <row r="1735" spans="5:7">
      <c r="E1735" s="658">
        <f ca="1">_xll.meDateFromTenor(E1734,"1D","Following",$C$16)</f>
        <v>45688</v>
      </c>
      <c r="F1735" s="659">
        <f ca="1"/>
        <v>1.5580060058213416E-2</v>
      </c>
      <c r="G1735" s="656">
        <v>1.5556295642511363E-2</v>
      </c>
    </row>
    <row r="1736" spans="5:7">
      <c r="E1736" s="658">
        <f ca="1">_xll.meDateFromTenor(E1735,"1D","Following",$C$16)</f>
        <v>45691</v>
      </c>
      <c r="F1736" s="659">
        <f ca="1"/>
        <v>1.5593445875410316E-2</v>
      </c>
      <c r="G1736" s="656">
        <v>1.5560971946823376E-2</v>
      </c>
    </row>
    <row r="1737" spans="5:7">
      <c r="E1737" s="658">
        <f ca="1">_xll.meDateFromTenor(E1736,"1D","Following",$C$16)</f>
        <v>45692</v>
      </c>
      <c r="F1737" s="659">
        <f ca="1"/>
        <v>1.5597900445040358E-2</v>
      </c>
      <c r="G1737" s="656">
        <v>1.5565645589362385E-2</v>
      </c>
    </row>
    <row r="1738" spans="5:7">
      <c r="E1738" s="658">
        <f ca="1">_xll.meDateFromTenor(E1737,"1D","Following",$C$16)</f>
        <v>45693</v>
      </c>
      <c r="F1738" s="659">
        <f ca="1"/>
        <v>1.5602351316463401E-2</v>
      </c>
      <c r="G1738" s="656">
        <v>1.5570316558956862E-2</v>
      </c>
    </row>
    <row r="1739" spans="5:7">
      <c r="E1739" s="658">
        <f ca="1">_xll.meDateFromTenor(E1738,"1D","Following",$C$16)</f>
        <v>45694</v>
      </c>
      <c r="F1739" s="659">
        <f ca="1"/>
        <v>1.5606798481585913E-2</v>
      </c>
      <c r="G1739" s="656">
        <v>1.5584313318357926E-2</v>
      </c>
    </row>
    <row r="1740" spans="5:7">
      <c r="E1740" s="658">
        <f ca="1">_xll.meDateFromTenor(E1739,"1D","Following",$C$16)</f>
        <v>45695</v>
      </c>
      <c r="F1740" s="659">
        <f ca="1"/>
        <v>1.5611241932314376E-2</v>
      </c>
      <c r="G1740" s="656">
        <v>1.5588973484459085E-2</v>
      </c>
    </row>
    <row r="1741" spans="5:7">
      <c r="E1741" s="658">
        <f ca="1">_xll.meDateFromTenor(E1740,"1D","Following",$C$16)</f>
        <v>45698</v>
      </c>
      <c r="F1741" s="659">
        <f ca="1"/>
        <v>1.5624549917200211E-2</v>
      </c>
      <c r="G1741" s="656">
        <v>1.5593630921758111E-2</v>
      </c>
    </row>
    <row r="1742" spans="5:7">
      <c r="E1742" s="658">
        <f ca="1">_xll.meDateFromTenor(E1741,"1D","Following",$C$16)</f>
        <v>45699</v>
      </c>
      <c r="F1742" s="659">
        <f ca="1"/>
        <v>1.5628978429417219E-2</v>
      </c>
      <c r="G1742" s="656">
        <v>1.5598285619083484E-2</v>
      </c>
    </row>
    <row r="1743" spans="5:7">
      <c r="E1743" s="658">
        <f ca="1">_xll.meDateFromTenor(E1742,"1D","Following",$C$16)</f>
        <v>45700</v>
      </c>
      <c r="F1743" s="659">
        <f ca="1"/>
        <v>1.563340318677256E-2</v>
      </c>
      <c r="G1743" s="656">
        <v>1.5602937565263684E-2</v>
      </c>
    </row>
    <row r="1744" spans="5:7">
      <c r="E1744" s="658">
        <f ca="1">_xll.meDateFromTenor(E1743,"1D","Following",$C$16)</f>
        <v>45701</v>
      </c>
      <c r="F1744" s="659">
        <f ca="1"/>
        <v>1.5637824181172696E-2</v>
      </c>
      <c r="G1744" s="656">
        <v>1.5616876785218031E-2</v>
      </c>
    </row>
    <row r="1745" spans="5:7">
      <c r="E1745" s="658">
        <f ca="1">_xll.meDateFromTenor(E1744,"1D","Following",$C$16)</f>
        <v>45702</v>
      </c>
      <c r="F1745" s="659">
        <f ca="1"/>
        <v>1.564224140452411E-2</v>
      </c>
      <c r="G1745" s="656">
        <v>1.562151761510233E-2</v>
      </c>
    </row>
    <row r="1746" spans="5:7">
      <c r="E1746" s="658">
        <f ca="1">_xll.meDateFromTenor(E1745,"1D","Following",$C$16)</f>
        <v>45705</v>
      </c>
      <c r="F1746" s="659">
        <f ca="1"/>
        <v>1.5655470367350769E-2</v>
      </c>
      <c r="G1746" s="656">
        <v>1.5626155637983849E-2</v>
      </c>
    </row>
    <row r="1747" spans="5:7">
      <c r="E1747" s="658">
        <f ca="1">_xll.meDateFromTenor(E1746,"1D","Following",$C$16)</f>
        <v>45706</v>
      </c>
      <c r="F1747" s="659">
        <f ca="1"/>
        <v>1.5659872425572048E-2</v>
      </c>
      <c r="G1747" s="656">
        <v>1.5630790842691072E-2</v>
      </c>
    </row>
    <row r="1748" spans="5:7">
      <c r="E1748" s="658">
        <f ca="1">_xll.meDateFromTenor(E1747,"1D","Following",$C$16)</f>
        <v>45707</v>
      </c>
      <c r="F1748" s="659">
        <f ca="1"/>
        <v>1.5664270672276975E-2</v>
      </c>
      <c r="G1748" s="656">
        <v>1.5635423218052471E-2</v>
      </c>
    </row>
    <row r="1749" spans="5:7">
      <c r="E1749" s="658">
        <f ca="1">_xll.meDateFromTenor(E1748,"1D","Following",$C$16)</f>
        <v>45708</v>
      </c>
      <c r="F1749" s="659">
        <f ca="1"/>
        <v>1.5668665099372033E-2</v>
      </c>
      <c r="G1749" s="656">
        <v>1.5649303256346551E-2</v>
      </c>
    </row>
    <row r="1750" spans="5:7">
      <c r="E1750" s="658">
        <f ca="1">_xll.meDateFromTenor(E1749,"1D","Following",$C$16)</f>
        <v>45709</v>
      </c>
      <c r="F1750" s="659">
        <f ca="1"/>
        <v>1.5673055698763698E-2</v>
      </c>
      <c r="G1750" s="656">
        <v>1.5653924202609467E-2</v>
      </c>
    </row>
    <row r="1751" spans="5:7">
      <c r="E1751" s="658">
        <f ca="1">_xll.meDateFromTenor(E1750,"1D","Following",$C$16)</f>
        <v>45712</v>
      </c>
      <c r="F1751" s="659">
        <f ca="1"/>
        <v>1.5686204449783074E-2</v>
      </c>
      <c r="G1751" s="656">
        <v>1.5658542263668959E-2</v>
      </c>
    </row>
    <row r="1752" spans="5:7">
      <c r="E1752" s="658">
        <f ca="1">_xll.meDateFromTenor(E1751,"1D","Following",$C$16)</f>
        <v>45713</v>
      </c>
      <c r="F1752" s="659">
        <f ca="1"/>
        <v>1.5690579657425912E-2</v>
      </c>
      <c r="G1752" s="656">
        <v>1.5663157428353509E-2</v>
      </c>
    </row>
    <row r="1753" spans="5:7">
      <c r="E1753" s="658">
        <f ca="1">_xll.meDateFromTenor(E1752,"1D","Following",$C$16)</f>
        <v>45714</v>
      </c>
      <c r="F1753" s="659">
        <f ca="1"/>
        <v>1.569495099689773E-2</v>
      </c>
      <c r="G1753" s="656">
        <v>1.5667769685491589E-2</v>
      </c>
    </row>
    <row r="1754" spans="5:7">
      <c r="E1754" s="658">
        <f ca="1">_xll.meDateFromTenor(E1753,"1D","Following",$C$16)</f>
        <v>45715</v>
      </c>
      <c r="F1754" s="659">
        <f ca="1"/>
        <v>1.5699318460105006E-2</v>
      </c>
      <c r="G1754" s="656">
        <v>1.5681588899911839E-2</v>
      </c>
    </row>
    <row r="1755" spans="5:7">
      <c r="E1755" s="658">
        <f ca="1">_xll.meDateFromTenor(E1754,"1D","Following",$C$16)</f>
        <v>45716</v>
      </c>
      <c r="F1755" s="659">
        <f ca="1"/>
        <v>1.5703682038954218E-2</v>
      </c>
      <c r="G1755" s="656">
        <v>1.5686189415148856E-2</v>
      </c>
    </row>
    <row r="1756" spans="5:7">
      <c r="E1756" s="658">
        <f ca="1">_xll.meDateFromTenor(E1755,"1D","Following",$C$16)</f>
        <v>45719</v>
      </c>
      <c r="F1756" s="659">
        <f ca="1"/>
        <v>1.5716749388418199E-2</v>
      </c>
      <c r="G1756" s="656">
        <v>1.5690786966981805E-2</v>
      </c>
    </row>
    <row r="1757" spans="5:7">
      <c r="E1757" s="658">
        <f ca="1">_xll.meDateFromTenor(E1756,"1D","Following",$C$16)</f>
        <v>45720</v>
      </c>
      <c r="F1757" s="659">
        <f ca="1"/>
        <v>1.5721097348899898E-2</v>
      </c>
      <c r="G1757" s="656">
        <v>1.5695381544239159E-2</v>
      </c>
    </row>
    <row r="1758" spans="5:7">
      <c r="E1758" s="658">
        <f ca="1">_xll.meDateFromTenor(E1757,"1D","Following",$C$16)</f>
        <v>45721</v>
      </c>
      <c r="F1758" s="659">
        <f ca="1"/>
        <v>1.5725441384555904E-2</v>
      </c>
      <c r="G1758" s="656">
        <v>1.5699973135749404E-2</v>
      </c>
    </row>
    <row r="1759" spans="5:7">
      <c r="E1759" s="658">
        <f ca="1">_xll.meDateFromTenor(E1758,"1D","Following",$C$16)</f>
        <v>45722</v>
      </c>
      <c r="F1759" s="659">
        <f ca="1"/>
        <v>1.5729781487292694E-2</v>
      </c>
      <c r="G1759" s="656">
        <v>1.5713729884082272E-2</v>
      </c>
    </row>
    <row r="1760" spans="5:7">
      <c r="E1760" s="658">
        <f ca="1">_xll.meDateFromTenor(E1759,"1D","Following",$C$16)</f>
        <v>45723</v>
      </c>
      <c r="F1760" s="659">
        <f ca="1"/>
        <v>1.5734117649016745E-2</v>
      </c>
      <c r="G1760" s="656">
        <v>1.5718309420888865E-2</v>
      </c>
    </row>
    <row r="1761" spans="5:7">
      <c r="E1761" s="658">
        <f ca="1">_xll.meDateFromTenor(E1760,"1D","Following",$C$16)</f>
        <v>45726</v>
      </c>
      <c r="F1761" s="659">
        <f ca="1"/>
        <v>1.5747102407177221E-2</v>
      </c>
      <c r="G1761" s="656">
        <v>1.5722885916090747E-2</v>
      </c>
    </row>
    <row r="1762" spans="5:7">
      <c r="E1762" s="658">
        <f ca="1">_xll.meDateFromTenor(E1761,"1D","Following",$C$16)</f>
        <v>45727</v>
      </c>
      <c r="F1762" s="659">
        <f ca="1"/>
        <v>1.5751422723915075E-2</v>
      </c>
      <c r="G1762" s="656">
        <v>1.5727459358516393E-2</v>
      </c>
    </row>
    <row r="1763" spans="5:7">
      <c r="E1763" s="658">
        <f ca="1">_xll.meDateFromTenor(E1762,"1D","Following",$C$16)</f>
        <v>45728</v>
      </c>
      <c r="F1763" s="659">
        <f ca="1"/>
        <v>1.5755739059172564E-2</v>
      </c>
      <c r="G1763" s="656">
        <v>1.5732029736994283E-2</v>
      </c>
    </row>
    <row r="1764" spans="5:7">
      <c r="E1764" s="658">
        <f ca="1">_xll.meDateFromTenor(E1763,"1D","Following",$C$16)</f>
        <v>45729</v>
      </c>
      <c r="F1764" s="659">
        <f ca="1"/>
        <v>1.576005140485617E-2</v>
      </c>
      <c r="G1764" s="656">
        <v>1.5745722377026202E-2</v>
      </c>
    </row>
    <row r="1765" spans="5:7">
      <c r="E1765" s="658">
        <f ca="1">_xll.meDateFromTenor(E1764,"1D","Following",$C$16)</f>
        <v>45730</v>
      </c>
      <c r="F1765" s="659">
        <f ca="1"/>
        <v>1.5764359752872364E-2</v>
      </c>
      <c r="G1765" s="656">
        <v>1.5750280387997865E-2</v>
      </c>
    </row>
    <row r="1766" spans="5:7">
      <c r="E1766" s="658">
        <f ca="1">_xll.meDateFromTenor(E1765,"1D","Following",$C$16)</f>
        <v>45733</v>
      </c>
      <c r="F1766" s="659">
        <f ca="1"/>
        <v>1.577726072998123E-2</v>
      </c>
      <c r="G1766" s="656">
        <v>1.5754835279164159E-2</v>
      </c>
    </row>
    <row r="1767" spans="5:7">
      <c r="E1767" s="658">
        <f ca="1">_xll.meDateFromTenor(E1766,"1D","Following",$C$16)</f>
        <v>45734</v>
      </c>
      <c r="F1767" s="659">
        <f ca="1"/>
        <v>1.5781553006392536E-2</v>
      </c>
      <c r="G1767" s="656">
        <v>1.5759387039353572E-2</v>
      </c>
    </row>
    <row r="1768" spans="5:7">
      <c r="E1768" s="658">
        <f ca="1">_xll.meDateFromTenor(E1767,"1D","Following",$C$16)</f>
        <v>45735</v>
      </c>
      <c r="F1768" s="659">
        <f ca="1"/>
        <v>1.5785841244668804E-2</v>
      </c>
      <c r="G1768" s="656">
        <v>1.576393565739459E-2</v>
      </c>
    </row>
    <row r="1769" spans="5:7">
      <c r="E1769" s="658">
        <f ca="1">_xll.meDateFromTenor(E1768,"1D","Following",$C$16)</f>
        <v>45736</v>
      </c>
      <c r="F1769" s="659">
        <f ca="1"/>
        <v>1.5790125436716516E-2</v>
      </c>
      <c r="G1769" s="656">
        <v>1.5777562546912007E-2</v>
      </c>
    </row>
    <row r="1770" spans="5:7">
      <c r="E1770" s="658">
        <f ca="1">_xll.meDateFromTenor(E1769,"1D","Following",$C$16)</f>
        <v>45737</v>
      </c>
      <c r="F1770" s="659">
        <f ca="1"/>
        <v>1.5794405574442144E-2</v>
      </c>
      <c r="G1770" s="656">
        <v>1.5782098484644208E-2</v>
      </c>
    </row>
    <row r="1771" spans="5:7">
      <c r="E1771" s="658">
        <f ca="1">_xll.meDateFromTenor(E1770,"1D","Following",$C$16)</f>
        <v>45740</v>
      </c>
      <c r="F1771" s="659">
        <f ca="1"/>
        <v>1.5807221580751291E-2</v>
      </c>
      <c r="G1771" s="656">
        <v>1.57866312243704E-2</v>
      </c>
    </row>
    <row r="1772" spans="5:7">
      <c r="E1772" s="658">
        <f ca="1">_xll.meDateFromTenor(E1771,"1D","Following",$C$16)</f>
        <v>45741</v>
      </c>
      <c r="F1772" s="659">
        <f ca="1"/>
        <v>1.5811485420253343E-2</v>
      </c>
      <c r="G1772" s="656">
        <v>1.5791160754919067E-2</v>
      </c>
    </row>
    <row r="1773" spans="5:7">
      <c r="E1773" s="658">
        <f ca="1">_xll.meDateFromTenor(E1772,"1D","Following",$C$16)</f>
        <v>45742</v>
      </c>
      <c r="F1773" s="659">
        <f ca="1"/>
        <v>1.5815745164965693E-2</v>
      </c>
      <c r="G1773" s="656">
        <v>1.5795687065118684E-2</v>
      </c>
    </row>
    <row r="1774" spans="5:7">
      <c r="E1774" s="658">
        <f ca="1">_xll.meDateFromTenor(E1773,"1D","Following",$C$16)</f>
        <v>45743</v>
      </c>
      <c r="F1774" s="659">
        <f ca="1"/>
        <v>1.5820000806794809E-2</v>
      </c>
      <c r="G1774" s="656">
        <v>1.5809246561908043E-2</v>
      </c>
    </row>
    <row r="1775" spans="5:7">
      <c r="E1775" s="658">
        <f ca="1">_xll.meDateFromTenor(E1774,"1D","Following",$C$16)</f>
        <v>45744</v>
      </c>
      <c r="F1775" s="659">
        <f ca="1"/>
        <v>1.5824252337647175E-2</v>
      </c>
      <c r="G1775" s="656">
        <v>1.5813759878996268E-2</v>
      </c>
    </row>
    <row r="1776" spans="5:7">
      <c r="E1776" s="658">
        <f ca="1">_xll.meDateFromTenor(E1775,"1D","Following",$C$16)</f>
        <v>45747</v>
      </c>
      <c r="F1776" s="659">
        <f ca="1"/>
        <v>1.5836982183408493E-2</v>
      </c>
      <c r="G1776" s="656">
        <v>1.581826991987784E-2</v>
      </c>
    </row>
    <row r="1777" spans="5:7">
      <c r="E1777" s="658">
        <f ca="1">_xll.meDateFromTenor(E1776,"1D","Following",$C$16)</f>
        <v>45748</v>
      </c>
      <c r="F1777" s="659">
        <f ca="1"/>
        <v>1.5841217189418586E-2</v>
      </c>
      <c r="G1777" s="656">
        <v>1.5822776673381233E-2</v>
      </c>
    </row>
    <row r="1778" spans="5:7">
      <c r="E1778" s="658">
        <f ca="1">_xll.meDateFromTenor(E1777,"1D","Following",$C$16)</f>
        <v>45749</v>
      </c>
      <c r="F1778" s="659">
        <f ca="1"/>
        <v>1.5845448043984314E-2</v>
      </c>
      <c r="G1778" s="656">
        <v>1.5827280128334939E-2</v>
      </c>
    </row>
    <row r="1779" spans="5:7">
      <c r="E1779" s="658">
        <f ca="1">_xll.meDateFromTenor(E1778,"1D","Following",$C$16)</f>
        <v>45750</v>
      </c>
      <c r="F1779" s="659">
        <f ca="1"/>
        <v>1.584967473901213E-2</v>
      </c>
      <c r="G1779" s="656">
        <v>1.5840770590182685E-2</v>
      </c>
    </row>
    <row r="1780" spans="5:7">
      <c r="E1780" s="658">
        <f ca="1">_xll.meDateFromTenor(E1779,"1D","Following",$C$16)</f>
        <v>45751</v>
      </c>
      <c r="F1780" s="659">
        <f ca="1"/>
        <v>1.5853897266408526E-2</v>
      </c>
      <c r="G1780" s="656">
        <v>1.5845260739222405E-2</v>
      </c>
    </row>
    <row r="1781" spans="5:7">
      <c r="E1781" s="658">
        <f ca="1">_xll.meDateFromTenor(E1780,"1D","Following",$C$16)</f>
        <v>45754</v>
      </c>
      <c r="F1781" s="659">
        <f ca="1"/>
        <v>1.58665397618739E-2</v>
      </c>
      <c r="G1781" s="656">
        <v>1.5849747533854836E-2</v>
      </c>
    </row>
    <row r="1782" spans="5:7">
      <c r="E1782" s="658">
        <f ca="1">_xll.meDateFromTenor(E1781,"1D","Following",$C$16)</f>
        <v>45755</v>
      </c>
      <c r="F1782" s="659">
        <f ca="1"/>
        <v>1.5870745537809341E-2</v>
      </c>
      <c r="G1782" s="656">
        <v>1.5854230962908444E-2</v>
      </c>
    </row>
    <row r="1783" spans="5:7">
      <c r="E1783" s="658">
        <f ca="1">_xll.meDateFromTenor(E1782,"1D","Following",$C$16)</f>
        <v>45756</v>
      </c>
      <c r="F1783" s="659">
        <f ca="1"/>
        <v>1.5874947105645736E-2</v>
      </c>
      <c r="G1783" s="656">
        <v>1.5858711015211715E-2</v>
      </c>
    </row>
    <row r="1784" spans="5:7">
      <c r="E1784" s="658">
        <f ca="1">_xll.meDateFromTenor(E1783,"1D","Following",$C$16)</f>
        <v>45757</v>
      </c>
      <c r="F1784" s="659">
        <f ca="1"/>
        <v>1.5879144457289555E-2</v>
      </c>
      <c r="G1784" s="656">
        <v>1.5872130799904287E-2</v>
      </c>
    </row>
    <row r="1785" spans="5:7">
      <c r="E1785" s="658">
        <f ca="1">_xll.meDateFromTenor(E1784,"1D","Following",$C$16)</f>
        <v>45758</v>
      </c>
      <c r="F1785" s="659">
        <f ca="1"/>
        <v>1.5883337584647276E-2</v>
      </c>
      <c r="G1785" s="656">
        <v>1.5876597233490993E-2</v>
      </c>
    </row>
    <row r="1786" spans="5:7">
      <c r="E1786" s="658">
        <f ca="1">_xll.meDateFromTenor(E1785,"1D","Following",$C$16)</f>
        <v>45761</v>
      </c>
      <c r="F1786" s="659">
        <f ca="1"/>
        <v>1.5895891540068603E-2</v>
      </c>
      <c r="G1786" s="656">
        <v>1.5881060234469762E-2</v>
      </c>
    </row>
    <row r="1787" spans="5:7">
      <c r="E1787" s="658">
        <f ca="1">_xll.meDateFromTenor(E1786,"1D","Following",$C$16)</f>
        <v>45762</v>
      </c>
      <c r="F1787" s="659">
        <f ca="1"/>
        <v>1.5900067689346684E-2</v>
      </c>
      <c r="G1787" s="656">
        <v>1.5885519791669061E-2</v>
      </c>
    </row>
    <row r="1788" spans="5:7">
      <c r="E1788" s="658">
        <f ca="1">_xll.meDateFromTenor(E1787,"1D","Following",$C$16)</f>
        <v>45763</v>
      </c>
      <c r="F1788" s="659">
        <f ca="1"/>
        <v>1.5904239573871048E-2</v>
      </c>
      <c r="G1788" s="656">
        <v>1.5889975893917382E-2</v>
      </c>
    </row>
    <row r="1789" spans="5:7">
      <c r="E1789" s="658">
        <f ca="1">_xll.meDateFromTenor(E1788,"1D","Following",$C$16)</f>
        <v>45764</v>
      </c>
      <c r="F1789" s="659">
        <f ca="1"/>
        <v>1.5908407185548163E-2</v>
      </c>
      <c r="G1789" s="656">
        <v>1.5903323359241221E-2</v>
      </c>
    </row>
    <row r="1790" spans="5:7">
      <c r="E1790" s="658">
        <f ca="1">_xll.meDateFromTenor(E1789,"1D","Following",$C$16)</f>
        <v>45769</v>
      </c>
      <c r="F1790" s="659">
        <f ca="1"/>
        <v>1.5929180867951694E-2</v>
      </c>
      <c r="G1790" s="656">
        <v>1.5907765529970391E-2</v>
      </c>
    </row>
    <row r="1791" spans="5:7">
      <c r="E1791" s="658">
        <f ca="1">_xll.meDateFromTenor(E1790,"1D","Following",$C$16)</f>
        <v>45770</v>
      </c>
      <c r="F1791" s="659">
        <f ca="1"/>
        <v>1.5933322672581324E-2</v>
      </c>
      <c r="G1791" s="656">
        <v>1.5912204189890981E-2</v>
      </c>
    </row>
    <row r="1792" spans="5:7">
      <c r="E1792" s="658">
        <f ca="1">_xll.meDateFromTenor(E1791,"1D","Following",$C$16)</f>
        <v>45771</v>
      </c>
      <c r="F1792" s="659">
        <f ca="1"/>
        <v>1.5937460147709033E-2</v>
      </c>
      <c r="G1792" s="656">
        <v>1.5916639327831449E-2</v>
      </c>
    </row>
    <row r="1793" spans="5:7">
      <c r="E1793" s="658">
        <f ca="1">_xll.meDateFromTenor(E1792,"1D","Following",$C$16)</f>
        <v>45772</v>
      </c>
      <c r="F1793" s="659">
        <f ca="1"/>
        <v>1.59415932852413E-2</v>
      </c>
      <c r="G1793" s="656">
        <v>1.5938761796828967E-2</v>
      </c>
    </row>
    <row r="1794" spans="5:7">
      <c r="E1794" s="658">
        <f ca="1">_xll.meDateFromTenor(E1793,"1D","Following",$C$16)</f>
        <v>45775</v>
      </c>
      <c r="F1794" s="659">
        <f ca="1"/>
        <v>1.59539665913302E-2</v>
      </c>
      <c r="G1794" s="656">
        <v>1.5943175568286852E-2</v>
      </c>
    </row>
    <row r="1795" spans="5:7">
      <c r="E1795" s="658">
        <f ca="1">_xll.meDateFromTenor(E1794,"1D","Following",$C$16)</f>
        <v>45776</v>
      </c>
      <c r="F1795" s="659">
        <f ca="1"/>
        <v>1.5958082297545452E-2</v>
      </c>
      <c r="G1795" s="656">
        <v>1.594758573956398E-2</v>
      </c>
    </row>
    <row r="1796" spans="5:7">
      <c r="E1796" s="658">
        <f ca="1">_xll.meDateFromTenor(E1795,"1D","Following",$C$16)</f>
        <v>45777</v>
      </c>
      <c r="F1796" s="659">
        <f ca="1"/>
        <v>1.5962193625697639E-2</v>
      </c>
      <c r="G1796" s="656">
        <v>1.5951992299488835E-2</v>
      </c>
    </row>
    <row r="1797" spans="5:7">
      <c r="E1797" s="658">
        <f ca="1">_xll.meDateFromTenor(E1796,"1D","Following",$C$16)</f>
        <v>45779</v>
      </c>
      <c r="F1797" s="659">
        <f ca="1"/>
        <v>1.5970403115438726E-2</v>
      </c>
      <c r="G1797" s="656">
        <v>1.5965190199434535E-2</v>
      </c>
    </row>
    <row r="1798" spans="5:7">
      <c r="E1798" s="658">
        <f ca="1">_xll.meDateFromTenor(E1797,"1D","Following",$C$16)</f>
        <v>45782</v>
      </c>
      <c r="F1798" s="659">
        <f ca="1"/>
        <v>1.5982684312239249E-2</v>
      </c>
      <c r="G1798" s="656">
        <v>1.5969582202235082E-2</v>
      </c>
    </row>
    <row r="1799" spans="5:7">
      <c r="E1799" s="658">
        <f ca="1">_xll.meDateFromTenor(E1798,"1D","Following",$C$16)</f>
        <v>45783</v>
      </c>
      <c r="F1799" s="659">
        <f ca="1"/>
        <v>1.5986769202049032E-2</v>
      </c>
      <c r="G1799" s="656">
        <v>1.5973970537825743E-2</v>
      </c>
    </row>
    <row r="1800" spans="5:7">
      <c r="E1800" s="658">
        <f ca="1">_xll.meDateFromTenor(E1799,"1D","Following",$C$16)</f>
        <v>45784</v>
      </c>
      <c r="F1800" s="659">
        <f ca="1"/>
        <v>1.5990849657141079E-2</v>
      </c>
      <c r="G1800" s="656">
        <v>1.5982736162691351E-2</v>
      </c>
    </row>
    <row r="1801" spans="5:7">
      <c r="E1801" s="658">
        <f ca="1">_xll.meDateFromTenor(E1800,"1D","Following",$C$16)</f>
        <v>45785</v>
      </c>
      <c r="F1801" s="659">
        <f ca="1"/>
        <v>1.5994925669421865E-2</v>
      </c>
      <c r="G1801" s="656">
        <v>1.599585681662765E-2</v>
      </c>
    </row>
    <row r="1802" spans="5:7">
      <c r="E1802" s="658">
        <f ca="1">_xll.meDateFromTenor(E1801,"1D","Following",$C$16)</f>
        <v>45786</v>
      </c>
      <c r="F1802" s="659">
        <f ca="1"/>
        <v>1.5998997235399021E-2</v>
      </c>
      <c r="G1802" s="656">
        <v>1.6000222918406231E-2</v>
      </c>
    </row>
    <row r="1803" spans="5:7">
      <c r="E1803" s="658">
        <f ca="1">_xll.meDateFromTenor(E1802,"1D","Following",$C$16)</f>
        <v>45789</v>
      </c>
      <c r="F1803" s="659">
        <f ca="1"/>
        <v>1.6011185423035673E-2</v>
      </c>
      <c r="G1803" s="656">
        <v>1.6004585299069105E-2</v>
      </c>
    </row>
    <row r="1804" spans="5:7">
      <c r="E1804" s="658">
        <f ca="1">_xll.meDateFromTenor(E1803,"1D","Following",$C$16)</f>
        <v>45790</v>
      </c>
      <c r="F1804" s="659">
        <f ca="1"/>
        <v>1.6015239380527596E-2</v>
      </c>
      <c r="G1804" s="656">
        <v>1.6008943971739537E-2</v>
      </c>
    </row>
    <row r="1805" spans="5:7">
      <c r="E1805" s="658">
        <f ca="1">_xll.meDateFromTenor(E1804,"1D","Following",$C$16)</f>
        <v>45791</v>
      </c>
      <c r="F1805" s="659">
        <f ca="1"/>
        <v>1.6019288984681686E-2</v>
      </c>
      <c r="G1805" s="656">
        <v>1.601329894954082E-2</v>
      </c>
    </row>
    <row r="1806" spans="5:7">
      <c r="E1806" s="658">
        <f ca="1">_xll.meDateFromTenor(E1805,"1D","Following",$C$16)</f>
        <v>45792</v>
      </c>
      <c r="F1806" s="659">
        <f ca="1"/>
        <v>1.6023334255011342E-2</v>
      </c>
      <c r="G1806" s="656">
        <v>1.6026341844962644E-2</v>
      </c>
    </row>
    <row r="1807" spans="5:7">
      <c r="E1807" s="658">
        <f ca="1">_xll.meDateFromTenor(E1806,"1D","Following",$C$16)</f>
        <v>45793</v>
      </c>
      <c r="F1807" s="659">
        <f ca="1"/>
        <v>1.602737521102995E-2</v>
      </c>
      <c r="G1807" s="656">
        <v>1.6030682174520191E-2</v>
      </c>
    </row>
    <row r="1808" spans="5:7">
      <c r="E1808" s="658">
        <f ca="1">_xll.meDateFromTenor(E1807,"1D","Following",$C$16)</f>
        <v>45796</v>
      </c>
      <c r="F1808" s="659">
        <f ca="1"/>
        <v>1.6039472388353404E-2</v>
      </c>
      <c r="G1808" s="656">
        <v>1.6035018874825016E-2</v>
      </c>
    </row>
    <row r="1809" spans="5:7">
      <c r="E1809" s="658">
        <f ca="1">_xll.meDateFromTenor(E1808,"1D","Following",$C$16)</f>
        <v>45797</v>
      </c>
      <c r="F1809" s="659">
        <f ca="1"/>
        <v>1.6043496282261743E-2</v>
      </c>
      <c r="G1809" s="656">
        <v>1.6039351959000407E-2</v>
      </c>
    </row>
    <row r="1810" spans="5:7">
      <c r="E1810" s="658">
        <f ca="1">_xll.meDateFromTenor(E1809,"1D","Following",$C$16)</f>
        <v>45798</v>
      </c>
      <c r="F1810" s="659">
        <f ca="1"/>
        <v>1.6047515959425981E-2</v>
      </c>
      <c r="G1810" s="656">
        <v>1.6043681440169651E-2</v>
      </c>
    </row>
    <row r="1811" spans="5:7">
      <c r="E1811" s="658">
        <f ca="1">_xll.meDateFromTenor(E1810,"1D","Following",$C$16)</f>
        <v>45799</v>
      </c>
      <c r="F1811" s="659">
        <f ca="1"/>
        <v>1.6051531439359529E-2</v>
      </c>
      <c r="G1811" s="656">
        <v>1.6056648396873329E-2</v>
      </c>
    </row>
    <row r="1812" spans="5:7">
      <c r="E1812" s="658">
        <f ca="1">_xll.meDateFromTenor(E1811,"1D","Following",$C$16)</f>
        <v>45800</v>
      </c>
      <c r="F1812" s="659">
        <f ca="1"/>
        <v>1.6055542741575762E-2</v>
      </c>
      <c r="G1812" s="656">
        <v>1.6060963597250826E-2</v>
      </c>
    </row>
    <row r="1813" spans="5:7">
      <c r="E1813" s="658">
        <f ca="1">_xll.meDateFromTenor(E1812,"1D","Following",$C$16)</f>
        <v>45803</v>
      </c>
      <c r="F1813" s="659">
        <f ca="1"/>
        <v>1.6067551777054538E-2</v>
      </c>
      <c r="G1813" s="656">
        <v>1.6065275260238602E-2</v>
      </c>
    </row>
    <row r="1814" spans="5:7">
      <c r="E1814" s="658">
        <f ca="1">_xll.meDateFromTenor(E1813,"1D","Following",$C$16)</f>
        <v>45804</v>
      </c>
      <c r="F1814" s="659">
        <f ca="1"/>
        <v>1.6071546563535453E-2</v>
      </c>
      <c r="G1814" s="656">
        <v>1.6069583398959936E-2</v>
      </c>
    </row>
    <row r="1815" spans="5:7">
      <c r="E1815" s="658">
        <f ca="1">_xll.meDateFromTenor(E1814,"1D","Following",$C$16)</f>
        <v>45805</v>
      </c>
      <c r="F1815" s="659">
        <f ca="1"/>
        <v>1.6075537269866023E-2</v>
      </c>
      <c r="G1815" s="656">
        <v>1.6073888026538117E-2</v>
      </c>
    </row>
    <row r="1816" spans="5:7">
      <c r="E1816" s="658">
        <f ca="1">_xll.meDateFromTenor(E1815,"1D","Following",$C$16)</f>
        <v>45806</v>
      </c>
      <c r="F1816" s="659">
        <f ca="1"/>
        <v>1.6079523915559626E-2</v>
      </c>
      <c r="G1816" s="656">
        <v>1.608678097364661E-2</v>
      </c>
    </row>
    <row r="1817" spans="5:7">
      <c r="E1817" s="658">
        <f ca="1">_xll.meDateFromTenor(E1816,"1D","Following",$C$16)</f>
        <v>45807</v>
      </c>
      <c r="F1817" s="659">
        <f ca="1"/>
        <v>1.6083506520129669E-2</v>
      </c>
      <c r="G1817" s="656">
        <v>1.6091071687885039E-2</v>
      </c>
    </row>
    <row r="1818" spans="5:7">
      <c r="E1818" s="658">
        <f ca="1">_xll.meDateFromTenor(E1817,"1D","Following",$C$16)</f>
        <v>45810</v>
      </c>
      <c r="F1818" s="659">
        <f ca="1"/>
        <v>1.6095430282232287E-2</v>
      </c>
      <c r="G1818" s="656">
        <v>1.6095358956596747E-2</v>
      </c>
    </row>
    <row r="1819" spans="5:7">
      <c r="E1819" s="658">
        <f ca="1">_xll.meDateFromTenor(E1818,"1D","Following",$C$16)</f>
        <v>45811</v>
      </c>
      <c r="F1819" s="659">
        <f ca="1"/>
        <v>1.6099396917441961E-2</v>
      </c>
      <c r="G1819" s="656">
        <v>1.6099642792905006E-2</v>
      </c>
    </row>
    <row r="1820" spans="5:7">
      <c r="E1820" s="658">
        <f ca="1">_xll.meDateFromTenor(E1819,"1D","Following",$C$16)</f>
        <v>45812</v>
      </c>
      <c r="F1820" s="659">
        <f ca="1"/>
        <v>1.6103359609095026E-2</v>
      </c>
      <c r="G1820" s="656">
        <v>1.6103923209933122E-2</v>
      </c>
    </row>
    <row r="1821" spans="5:7">
      <c r="E1821" s="658">
        <f ca="1">_xll.meDateFromTenor(E1820,"1D","Following",$C$16)</f>
        <v>45813</v>
      </c>
      <c r="F1821" s="659">
        <f ca="1"/>
        <v>1.6107318376704864E-2</v>
      </c>
      <c r="G1821" s="656">
        <v>1.6116744076569382E-2</v>
      </c>
    </row>
    <row r="1822" spans="5:7">
      <c r="E1822" s="658">
        <f ca="1">_xll.meDateFromTenor(E1821,"1D","Following",$C$16)</f>
        <v>45814</v>
      </c>
      <c r="F1822" s="659">
        <f ca="1"/>
        <v>1.6111273239784882E-2</v>
      </c>
      <c r="G1822" s="656">
        <v>1.6121010947709732E-2</v>
      </c>
    </row>
    <row r="1823" spans="5:7">
      <c r="E1823" s="658">
        <f ca="1">_xll.meDateFromTenor(E1822,"1D","Following",$C$16)</f>
        <v>45817</v>
      </c>
      <c r="F1823" s="659">
        <f ca="1"/>
        <v>1.6123114596979855E-2</v>
      </c>
      <c r="G1823" s="656">
        <v>1.6125274465186357E-2</v>
      </c>
    </row>
    <row r="1824" spans="5:7">
      <c r="E1824" s="658">
        <f ca="1">_xll.meDateFromTenor(E1823,"1D","Following",$C$16)</f>
        <v>45818</v>
      </c>
      <c r="F1824" s="659">
        <f ca="1"/>
        <v>1.612705403707446E-2</v>
      </c>
      <c r="G1824" s="656">
        <v>1.612953464212254E-2</v>
      </c>
    </row>
    <row r="1825" spans="5:7">
      <c r="E1825" s="658">
        <f ca="1">_xll.meDateFromTenor(E1824,"1D","Following",$C$16)</f>
        <v>45819</v>
      </c>
      <c r="F1825" s="659">
        <f ca="1"/>
        <v>1.6130989670206194E-2</v>
      </c>
      <c r="G1825" s="656">
        <v>1.6133791491641566E-2</v>
      </c>
    </row>
    <row r="1826" spans="5:7">
      <c r="E1826" s="658">
        <f ca="1">_xll.meDateFromTenor(E1825,"1D","Following",$C$16)</f>
        <v>45820</v>
      </c>
      <c r="F1826" s="659">
        <f ca="1"/>
        <v>1.6134921515888443E-2</v>
      </c>
      <c r="G1826" s="656">
        <v>1.6146542206928561E-2</v>
      </c>
    </row>
    <row r="1827" spans="5:7">
      <c r="E1827" s="658">
        <f ca="1">_xll.meDateFromTenor(E1826,"1D","Following",$C$16)</f>
        <v>45821</v>
      </c>
      <c r="F1827" s="659">
        <f ca="1"/>
        <v>1.6138849593634607E-2</v>
      </c>
      <c r="G1827" s="656">
        <v>1.6150785878011813E-2</v>
      </c>
    </row>
    <row r="1828" spans="5:7">
      <c r="E1828" s="658">
        <f ca="1">_xll.meDateFromTenor(E1827,"1D","Following",$C$16)</f>
        <v>45824</v>
      </c>
      <c r="F1828" s="659">
        <f ca="1"/>
        <v>1.6150611414390458E-2</v>
      </c>
      <c r="G1828" s="656">
        <v>1.6155026287294341E-2</v>
      </c>
    </row>
    <row r="1829" spans="5:7">
      <c r="E1829" s="658">
        <f ca="1">_xll.meDateFromTenor(E1828,"1D","Following",$C$16)</f>
        <v>45825</v>
      </c>
      <c r="F1829" s="659">
        <f ca="1"/>
        <v>1.6154524615526165E-2</v>
      </c>
      <c r="G1829" s="656">
        <v>1.6159263447899423E-2</v>
      </c>
    </row>
    <row r="1830" spans="5:7">
      <c r="E1830" s="658">
        <f ca="1">_xll.meDateFromTenor(E1829,"1D","Following",$C$16)</f>
        <v>45826</v>
      </c>
      <c r="F1830" s="659">
        <f ca="1"/>
        <v>1.6158434146292745E-2</v>
      </c>
      <c r="G1830" s="656">
        <v>1.6163497372950347E-2</v>
      </c>
    </row>
    <row r="1831" spans="5:7">
      <c r="E1831" s="658">
        <f ca="1">_xll.meDateFromTenor(E1830,"1D","Following",$C$16)</f>
        <v>45827</v>
      </c>
      <c r="F1831" s="659">
        <f ca="1"/>
        <v>1.6162340026203578E-2</v>
      </c>
      <c r="G1831" s="656">
        <v>1.6176179866011033E-2</v>
      </c>
    </row>
    <row r="1832" spans="5:7">
      <c r="E1832" s="658">
        <f ca="1">_xll.meDateFromTenor(E1831,"1D","Following",$C$16)</f>
        <v>45828</v>
      </c>
      <c r="F1832" s="659">
        <f ca="1"/>
        <v>1.616624227477206E-2</v>
      </c>
      <c r="G1832" s="656">
        <v>1.6180400980078179E-2</v>
      </c>
    </row>
    <row r="1833" spans="5:7">
      <c r="E1833" s="658">
        <f ca="1">_xll.meDateFromTenor(E1832,"1D","Following",$C$16)</f>
        <v>45831</v>
      </c>
      <c r="F1833" s="659">
        <f ca="1"/>
        <v>1.6177927427557307E-2</v>
      </c>
      <c r="G1833" s="656">
        <v>1.6184618924207594E-2</v>
      </c>
    </row>
    <row r="1834" spans="5:7">
      <c r="E1834" s="658">
        <f ca="1">_xll.meDateFromTenor(E1833,"1D","Following",$C$16)</f>
        <v>45832</v>
      </c>
      <c r="F1834" s="659">
        <f ca="1"/>
        <v>1.6181815345890294E-2</v>
      </c>
      <c r="G1834" s="656">
        <v>1.6188833711522566E-2</v>
      </c>
    </row>
    <row r="1835" spans="5:7">
      <c r="E1835" s="658">
        <f ca="1">_xll.meDateFromTenor(E1834,"1D","Following",$C$16)</f>
        <v>45833</v>
      </c>
      <c r="F1835" s="659">
        <f ca="1"/>
        <v>1.6185699730447891E-2</v>
      </c>
      <c r="G1835" s="656">
        <v>1.6193045355146377E-2</v>
      </c>
    </row>
    <row r="1836" spans="5:7">
      <c r="E1836" s="658">
        <f ca="1">_xll.meDateFromTenor(E1835,"1D","Following",$C$16)</f>
        <v>45834</v>
      </c>
      <c r="F1836" s="659">
        <f ca="1"/>
        <v>1.6189580600743478E-2</v>
      </c>
      <c r="G1836" s="656">
        <v>1.6205661555103706E-2</v>
      </c>
    </row>
    <row r="1837" spans="5:7">
      <c r="E1837" s="658">
        <f ca="1">_xll.meDateFromTenor(E1836,"1D","Following",$C$16)</f>
        <v>45835</v>
      </c>
      <c r="F1837" s="659">
        <f ca="1"/>
        <v>1.6193457976290453E-2</v>
      </c>
      <c r="G1837" s="656">
        <v>1.6209860755195732E-2</v>
      </c>
    </row>
    <row r="1838" spans="5:7">
      <c r="E1838" s="658">
        <f ca="1">_xll.meDateFromTenor(E1837,"1D","Following",$C$16)</f>
        <v>45838</v>
      </c>
      <c r="F1838" s="659">
        <f ca="1"/>
        <v>1.6205069329573614E-2</v>
      </c>
      <c r="G1838" s="656">
        <v>1.6214056877213022E-2</v>
      </c>
    </row>
    <row r="1839" spans="5:7">
      <c r="E1839" s="658">
        <f ca="1">_xll.meDateFromTenor(E1838,"1D","Following",$C$16)</f>
        <v>45839</v>
      </c>
      <c r="F1839" s="659">
        <f ca="1"/>
        <v>1.6208932921260057E-2</v>
      </c>
      <c r="G1839" s="656">
        <v>1.6218249934278867E-2</v>
      </c>
    </row>
    <row r="1840" spans="5:7">
      <c r="E1840" s="658">
        <f ca="1">_xll.meDateFromTenor(E1839,"1D","Following",$C$16)</f>
        <v>45840</v>
      </c>
      <c r="F1840" s="659">
        <f ca="1"/>
        <v>1.6212793115764835E-2</v>
      </c>
      <c r="G1840" s="656">
        <v>1.6222439939516553E-2</v>
      </c>
    </row>
    <row r="1841" spans="5:7">
      <c r="E1841" s="658">
        <f ca="1">_xll.meDateFromTenor(E1840,"1D","Following",$C$16)</f>
        <v>45841</v>
      </c>
      <c r="F1841" s="659">
        <f ca="1"/>
        <v>1.6216649932601353E-2</v>
      </c>
      <c r="G1841" s="656">
        <v>1.6234991775493479E-2</v>
      </c>
    </row>
    <row r="1842" spans="5:7">
      <c r="E1842" s="658">
        <f ca="1">_xll.meDateFromTenor(E1841,"1D","Following",$C$16)</f>
        <v>45842</v>
      </c>
      <c r="F1842" s="659">
        <f ca="1"/>
        <v>1.6220503391283E-2</v>
      </c>
      <c r="G1842" s="656">
        <v>1.623916970465137E-2</v>
      </c>
    </row>
    <row r="1843" spans="5:7">
      <c r="E1843" s="658">
        <f ca="1">_xll.meDateFromTenor(E1842,"1D","Following",$C$16)</f>
        <v>45845</v>
      </c>
      <c r="F1843" s="659">
        <f ca="1"/>
        <v>1.6232043813532597E-2</v>
      </c>
      <c r="G1843" s="656">
        <v>1.6243344647597528E-2</v>
      </c>
    </row>
    <row r="1844" spans="5:7">
      <c r="E1844" s="658">
        <f ca="1">_xll.meDateFromTenor(E1843,"1D","Following",$C$16)</f>
        <v>45846</v>
      </c>
      <c r="F1844" s="659">
        <f ca="1"/>
        <v>1.623588403472866E-2</v>
      </c>
      <c r="G1844" s="656">
        <v>1.6247516617455229E-2</v>
      </c>
    </row>
    <row r="1845" spans="5:7">
      <c r="E1845" s="658">
        <f ca="1">_xll.meDateFromTenor(E1844,"1D","Following",$C$16)</f>
        <v>45847</v>
      </c>
      <c r="F1845" s="659">
        <f ca="1"/>
        <v>1.6239720995336802E-2</v>
      </c>
      <c r="G1845" s="656">
        <v>1.6251685627347769E-2</v>
      </c>
    </row>
    <row r="1846" spans="5:7">
      <c r="E1846" s="658">
        <f ca="1">_xll.meDateFromTenor(E1845,"1D","Following",$C$16)</f>
        <v>45848</v>
      </c>
      <c r="F1846" s="659">
        <f ca="1"/>
        <v>1.6243554714870424E-2</v>
      </c>
      <c r="G1846" s="656">
        <v>1.6264175028467262E-2</v>
      </c>
    </row>
    <row r="1847" spans="5:7">
      <c r="E1847" s="658">
        <f ca="1">_xll.meDateFromTenor(E1846,"1D","Following",$C$16)</f>
        <v>45849</v>
      </c>
      <c r="F1847" s="659">
        <f ca="1"/>
        <v>1.6247385212842903E-2</v>
      </c>
      <c r="G1847" s="656">
        <v>1.6268332329732002E-2</v>
      </c>
    </row>
    <row r="1848" spans="5:7">
      <c r="E1848" s="658">
        <f ca="1">_xll.meDateFromTenor(E1847,"1D","Following",$C$16)</f>
        <v>45852</v>
      </c>
      <c r="F1848" s="659">
        <f ca="1"/>
        <v>1.6258857572527458E-2</v>
      </c>
      <c r="G1848" s="656">
        <v>1.6272486736648002E-2</v>
      </c>
    </row>
    <row r="1849" spans="5:7">
      <c r="E1849" s="658">
        <f ca="1">_xll.meDateFromTenor(E1848,"1D","Following",$C$16)</f>
        <v>45853</v>
      </c>
      <c r="F1849" s="659">
        <f ca="1"/>
        <v>1.6262675379389319E-2</v>
      </c>
      <c r="G1849" s="656">
        <v>1.627663826233855E-2</v>
      </c>
    </row>
    <row r="1850" spans="5:7">
      <c r="E1850" s="658">
        <f ca="1">_xll.meDateFromTenor(E1849,"1D","Following",$C$16)</f>
        <v>45854</v>
      </c>
      <c r="F1850" s="659">
        <f ca="1"/>
        <v>1.6266490062257E-2</v>
      </c>
      <c r="G1850" s="656">
        <v>1.6280786919926939E-2</v>
      </c>
    </row>
    <row r="1851" spans="5:7">
      <c r="E1851" s="658">
        <f ca="1">_xll.meDateFromTenor(E1850,"1D","Following",$C$16)</f>
        <v>45855</v>
      </c>
      <c r="F1851" s="659">
        <f ca="1"/>
        <v>1.6270301640643893E-2</v>
      </c>
      <c r="G1851" s="656">
        <v>1.629321581531195E-2</v>
      </c>
    </row>
    <row r="1852" spans="5:7">
      <c r="E1852" s="658">
        <f ca="1">_xll.meDateFromTenor(E1851,"1D","Following",$C$16)</f>
        <v>45856</v>
      </c>
      <c r="F1852" s="659">
        <f ca="1"/>
        <v>1.6274110134063387E-2</v>
      </c>
      <c r="G1852" s="656">
        <v>1.6297353131724521E-2</v>
      </c>
    </row>
    <row r="1853" spans="5:7">
      <c r="E1853" s="658">
        <f ca="1">_xll.meDateFromTenor(E1852,"1D","Following",$C$16)</f>
        <v>45859</v>
      </c>
      <c r="F1853" s="659">
        <f ca="1"/>
        <v>1.6285517299651418E-2</v>
      </c>
      <c r="G1853" s="656">
        <v>1.6301487645651355E-2</v>
      </c>
    </row>
    <row r="1854" spans="5:7">
      <c r="E1854" s="658">
        <f ca="1">_xll.meDateFromTenor(E1853,"1D","Following",$C$16)</f>
        <v>45860</v>
      </c>
      <c r="F1854" s="659">
        <f ca="1"/>
        <v>1.6289313648335243E-2</v>
      </c>
      <c r="G1854" s="656">
        <v>1.6305619370215737E-2</v>
      </c>
    </row>
    <row r="1855" spans="5:7">
      <c r="E1855" s="658">
        <f ca="1">_xll.meDateFromTenor(E1854,"1D","Following",$C$16)</f>
        <v>45861</v>
      </c>
      <c r="F1855" s="659">
        <f ca="1"/>
        <v>1.6293107009618633E-2</v>
      </c>
      <c r="G1855" s="656">
        <v>1.6309748318540949E-2</v>
      </c>
    </row>
    <row r="1856" spans="5:7">
      <c r="E1856" s="658">
        <f ca="1">_xll.meDateFromTenor(E1855,"1D","Following",$C$16)</f>
        <v>45862</v>
      </c>
      <c r="F1856" s="659">
        <f ca="1"/>
        <v>1.6296897403014973E-2</v>
      </c>
      <c r="G1856" s="656">
        <v>1.6322118637314444E-2</v>
      </c>
    </row>
    <row r="1857" spans="5:7">
      <c r="E1857" s="658">
        <f ca="1">_xll.meDateFromTenor(E1856,"1D","Following",$C$16)</f>
        <v>45863</v>
      </c>
      <c r="F1857" s="659">
        <f ca="1"/>
        <v>1.6300684848037653E-2</v>
      </c>
      <c r="G1857" s="656">
        <v>1.6326236611915838E-2</v>
      </c>
    </row>
    <row r="1858" spans="5:7">
      <c r="E1858" s="658">
        <f ca="1">_xll.meDateFromTenor(E1857,"1D","Following",$C$16)</f>
        <v>45866</v>
      </c>
      <c r="F1858" s="659">
        <f ca="1"/>
        <v>1.6312029687997678E-2</v>
      </c>
      <c r="G1858" s="656">
        <v>1.6330351875894492E-2</v>
      </c>
    </row>
    <row r="1859" spans="5:7">
      <c r="E1859" s="658">
        <f ca="1">_xll.meDateFromTenor(E1858,"1D","Following",$C$16)</f>
        <v>45867</v>
      </c>
      <c r="F1859" s="659">
        <f ca="1"/>
        <v>1.6315805534659649E-2</v>
      </c>
      <c r="G1859" s="656">
        <v>1.633446444237369E-2</v>
      </c>
    </row>
    <row r="1860" spans="5:7">
      <c r="E1860" s="658">
        <f ca="1">_xll.meDateFromTenor(E1859,"1D","Following",$C$16)</f>
        <v>45868</v>
      </c>
      <c r="F1860" s="659">
        <f ca="1"/>
        <v>1.6319578530514918E-2</v>
      </c>
      <c r="G1860" s="656">
        <v>1.6338574324476718E-2</v>
      </c>
    </row>
    <row r="1861" spans="5:7">
      <c r="E1861" s="658">
        <f ca="1">_xll.meDateFromTenor(E1860,"1D","Following",$C$16)</f>
        <v>45869</v>
      </c>
      <c r="F1861" s="659">
        <f ca="1"/>
        <v>1.6323348695076879E-2</v>
      </c>
      <c r="G1861" s="656">
        <v>1.6350887995761645E-2</v>
      </c>
    </row>
    <row r="1862" spans="5:7">
      <c r="E1862" s="658">
        <f ca="1">_xll.meDateFromTenor(E1861,"1D","Following",$C$16)</f>
        <v>45870</v>
      </c>
      <c r="F1862" s="659">
        <f ca="1"/>
        <v>1.6327116047858924E-2</v>
      </c>
      <c r="G1862" s="656">
        <v>1.6354987271592847E-2</v>
      </c>
    </row>
    <row r="1863" spans="5:7">
      <c r="E1863" s="658">
        <f ca="1">_xll.meDateFromTenor(E1862,"1D","Following",$C$16)</f>
        <v>45873</v>
      </c>
      <c r="F1863" s="659">
        <f ca="1"/>
        <v>1.6338401430659455E-2</v>
      </c>
      <c r="G1863" s="656">
        <v>1.6359083928664309E-2</v>
      </c>
    </row>
    <row r="1864" spans="5:7">
      <c r="E1864" s="658">
        <f ca="1">_xll.meDateFromTenor(E1863,"1D","Following",$C$16)</f>
        <v>45874</v>
      </c>
      <c r="F1864" s="659">
        <f ca="1"/>
        <v>1.6342157731455743E-2</v>
      </c>
      <c r="G1864" s="656">
        <v>1.636317798009931E-2</v>
      </c>
    </row>
    <row r="1865" spans="5:7">
      <c r="E1865" s="658">
        <f ca="1">_xll.meDateFromTenor(E1864,"1D","Following",$C$16)</f>
        <v>45875</v>
      </c>
      <c r="F1865" s="659">
        <f ca="1"/>
        <v>1.6345911318039068E-2</v>
      </c>
      <c r="G1865" s="656">
        <v>1.6367269439021139E-2</v>
      </c>
    </row>
    <row r="1866" spans="5:7">
      <c r="E1866" s="658">
        <f ca="1">_xll.meDateFromTenor(E1865,"1D","Following",$C$16)</f>
        <v>45876</v>
      </c>
      <c r="F1866" s="659">
        <f ca="1"/>
        <v>1.634966220992282E-2</v>
      </c>
      <c r="G1866" s="656">
        <v>1.6379528391940457E-2</v>
      </c>
    </row>
    <row r="1867" spans="5:7">
      <c r="E1867" s="658">
        <f ca="1">_xll.meDateFromTenor(E1866,"1D","Following",$C$16)</f>
        <v>45877</v>
      </c>
      <c r="F1867" s="659">
        <f ca="1"/>
        <v>1.6353410426620398E-2</v>
      </c>
      <c r="G1867" s="656">
        <v>1.6383609612042455E-2</v>
      </c>
    </row>
    <row r="1868" spans="5:7">
      <c r="E1868" s="658">
        <f ca="1">_xll.meDateFromTenor(E1867,"1D","Following",$C$16)</f>
        <v>45880</v>
      </c>
      <c r="F1868" s="659">
        <f ca="1"/>
        <v>1.6364639220729962E-2</v>
      </c>
      <c r="G1868" s="656">
        <v>1.6387688305247707E-2</v>
      </c>
    </row>
    <row r="1869" spans="5:7">
      <c r="E1869" s="658">
        <f ca="1">_xll.meDateFromTenor(E1868,"1D","Following",$C$16)</f>
        <v>45881</v>
      </c>
      <c r="F1869" s="659">
        <f ca="1"/>
        <v>1.6368376931816742E-2</v>
      </c>
      <c r="G1869" s="656">
        <v>1.6391764484679498E-2</v>
      </c>
    </row>
    <row r="1870" spans="5:7">
      <c r="E1870" s="658">
        <f ca="1">_xll.meDateFromTenor(E1869,"1D","Following",$C$16)</f>
        <v>45882</v>
      </c>
      <c r="F1870" s="659">
        <f ca="1"/>
        <v>1.6372112065284293E-2</v>
      </c>
      <c r="G1870" s="656">
        <v>1.6395838163461119E-2</v>
      </c>
    </row>
    <row r="1871" spans="5:7">
      <c r="E1871" s="658">
        <f ca="1">_xll.meDateFromTenor(E1870,"1D","Following",$C$16)</f>
        <v>45883</v>
      </c>
      <c r="F1871" s="659">
        <f ca="1"/>
        <v>1.6375844640646012E-2</v>
      </c>
      <c r="G1871" s="656">
        <v>1.6408044327137786E-2</v>
      </c>
    </row>
    <row r="1872" spans="5:7">
      <c r="E1872" s="658">
        <f ca="1">_xll.meDateFromTenor(E1871,"1D","Following",$C$16)</f>
        <v>45884</v>
      </c>
      <c r="F1872" s="659">
        <f ca="1"/>
        <v>1.6379574677415295E-2</v>
      </c>
      <c r="G1872" s="656">
        <v>1.6412108134551563E-2</v>
      </c>
    </row>
    <row r="1873" spans="5:7">
      <c r="E1873" s="658">
        <f ca="1">_xll.meDateFromTenor(E1872,"1D","Following",$C$16)</f>
        <v>45887</v>
      </c>
      <c r="F1873" s="659">
        <f ca="1"/>
        <v>1.6390749751302416E-2</v>
      </c>
      <c r="G1873" s="656">
        <v>1.6416169506931592E-2</v>
      </c>
    </row>
    <row r="1874" spans="5:7">
      <c r="E1874" s="658">
        <f ca="1">_xll.meDateFromTenor(E1873,"1D","Following",$C$16)</f>
        <v>45888</v>
      </c>
      <c r="F1874" s="659">
        <f ca="1"/>
        <v>1.6394469828835849E-2</v>
      </c>
      <c r="G1874" s="656">
        <v>1.6420228457401157E-2</v>
      </c>
    </row>
    <row r="1875" spans="5:7">
      <c r="E1875" s="658">
        <f ca="1">_xll.meDateFromTenor(E1874,"1D","Following",$C$16)</f>
        <v>45889</v>
      </c>
      <c r="F1875" s="659">
        <f ca="1"/>
        <v>1.6398187465343803E-2</v>
      </c>
      <c r="G1875" s="656">
        <v>1.6424284999083549E-2</v>
      </c>
    </row>
    <row r="1876" spans="5:7">
      <c r="E1876" s="658">
        <f ca="1">_xll.meDateFromTenor(E1875,"1D","Following",$C$16)</f>
        <v>45890</v>
      </c>
      <c r="F1876" s="659">
        <f ca="1"/>
        <v>1.6401902680339666E-2</v>
      </c>
      <c r="G1876" s="656">
        <v>1.6436440302640527E-2</v>
      </c>
    </row>
    <row r="1877" spans="5:7">
      <c r="E1877" s="658">
        <f ca="1">_xll.meDateFromTenor(E1876,"1D","Following",$C$16)</f>
        <v>45891</v>
      </c>
      <c r="F1877" s="659">
        <f ca="1"/>
        <v>1.6405615493336828E-2</v>
      </c>
      <c r="G1877" s="656">
        <v>1.6440487340407064E-2</v>
      </c>
    </row>
    <row r="1878" spans="5:7">
      <c r="E1878" s="658">
        <f ca="1">_xll.meDateFromTenor(E1877,"1D","Following",$C$16)</f>
        <v>45894</v>
      </c>
      <c r="F1878" s="659">
        <f ca="1"/>
        <v>1.6416739715470016E-2</v>
      </c>
      <c r="G1878" s="656">
        <v>1.644453203500286E-2</v>
      </c>
    </row>
    <row r="1879" spans="5:7">
      <c r="E1879" s="658">
        <f ca="1">_xll.meDateFromTenor(E1878,"1D","Following",$C$16)</f>
        <v>45895</v>
      </c>
      <c r="F1879" s="659">
        <f ca="1"/>
        <v>1.6420443115606288E-2</v>
      </c>
      <c r="G1879" s="656">
        <v>1.6448574399551188E-2</v>
      </c>
    </row>
    <row r="1880" spans="5:7">
      <c r="E1880" s="658">
        <f ca="1">_xll.meDateFromTenor(E1879,"1D","Following",$C$16)</f>
        <v>45896</v>
      </c>
      <c r="F1880" s="659">
        <f ca="1"/>
        <v>1.6424144211310814E-2</v>
      </c>
      <c r="G1880" s="656">
        <v>1.6452614447175339E-2</v>
      </c>
    </row>
    <row r="1881" spans="5:7">
      <c r="E1881" s="658">
        <f ca="1">_xll.meDateFromTenor(E1880,"1D","Following",$C$16)</f>
        <v>45897</v>
      </c>
      <c r="F1881" s="659">
        <f ca="1"/>
        <v>1.6427843022096992E-2</v>
      </c>
      <c r="G1881" s="656">
        <v>1.646472081973558E-2</v>
      </c>
    </row>
    <row r="1882" spans="5:7">
      <c r="E1882" s="658">
        <f ca="1">_xll.meDateFromTenor(E1881,"1D","Following",$C$16)</f>
        <v>45898</v>
      </c>
      <c r="F1882" s="659">
        <f ca="1"/>
        <v>1.6431539567478202E-2</v>
      </c>
      <c r="G1882" s="656">
        <v>1.6468751730895872E-2</v>
      </c>
    </row>
    <row r="1883" spans="5:7">
      <c r="E1883" s="658">
        <f ca="1">_xll.meDateFromTenor(E1882,"1D","Following",$C$16)</f>
        <v>45901</v>
      </c>
      <c r="F1883" s="659">
        <f ca="1"/>
        <v>1.6442615806325982E-2</v>
      </c>
      <c r="G1883" s="656">
        <v>1.6472780390748419E-2</v>
      </c>
    </row>
    <row r="1884" spans="5:7">
      <c r="E1884" s="658">
        <f ca="1">_xll.meDateFromTenor(E1883,"1D","Following",$C$16)</f>
        <v>45902</v>
      </c>
      <c r="F1884" s="659">
        <f ca="1"/>
        <v>1.6446303485221265E-2</v>
      </c>
      <c r="G1884" s="656">
        <v>1.6476806812416495E-2</v>
      </c>
    </row>
    <row r="1885" spans="5:7">
      <c r="E1885" s="658">
        <f ca="1">_xll.meDateFromTenor(E1884,"1D","Following",$C$16)</f>
        <v>45903</v>
      </c>
      <c r="F1885" s="659">
        <f ca="1"/>
        <v>1.6449988996278534E-2</v>
      </c>
      <c r="G1885" s="656">
        <v>1.6480831009023394E-2</v>
      </c>
    </row>
    <row r="1886" spans="5:7">
      <c r="E1886" s="658">
        <f ca="1">_xll.meDateFromTenor(E1885,"1D","Following",$C$16)</f>
        <v>45904</v>
      </c>
      <c r="F1886" s="659">
        <f ca="1"/>
        <v>1.6453672359011198E-2</v>
      </c>
      <c r="G1886" s="656">
        <v>1.649289037970986E-2</v>
      </c>
    </row>
    <row r="1887" spans="5:7">
      <c r="E1887" s="658">
        <f ca="1">_xll.meDateFromTenor(E1886,"1D","Following",$C$16)</f>
        <v>45905</v>
      </c>
      <c r="F1887" s="659">
        <f ca="1"/>
        <v>1.6457353592932631E-2</v>
      </c>
      <c r="G1887" s="656">
        <v>1.6496905807304889E-2</v>
      </c>
    </row>
    <row r="1888" spans="5:7">
      <c r="E1888" s="658">
        <f ca="1">_xll.meDateFromTenor(E1887,"1D","Following",$C$16)</f>
        <v>45908</v>
      </c>
      <c r="F1888" s="659">
        <f ca="1"/>
        <v>1.6468384716963522E-2</v>
      </c>
      <c r="G1888" s="656">
        <v>1.6500919075455166E-2</v>
      </c>
    </row>
    <row r="1889" spans="5:7">
      <c r="E1889" s="658">
        <f ca="1">_xll.meDateFromTenor(E1888,"1D","Following",$C$16)</f>
        <v>45909</v>
      </c>
      <c r="F1889" s="659">
        <f ca="1"/>
        <v>1.6472057630773983E-2</v>
      </c>
      <c r="G1889" s="656">
        <v>1.6504930197283975E-2</v>
      </c>
    </row>
    <row r="1890" spans="5:7">
      <c r="E1890" s="658">
        <f ca="1">_xll.meDateFromTenor(E1889,"1D","Following",$C$16)</f>
        <v>45910</v>
      </c>
      <c r="F1890" s="659">
        <f ca="1"/>
        <v>1.6475728513340178E-2</v>
      </c>
      <c r="G1890" s="656">
        <v>1.6508939185914607E-2</v>
      </c>
    </row>
    <row r="1891" spans="5:7">
      <c r="E1891" s="658">
        <f ca="1">_xll.meDateFromTenor(E1890,"1D","Following",$C$16)</f>
        <v>45911</v>
      </c>
      <c r="F1891" s="659">
        <f ca="1"/>
        <v>1.6479397384175497E-2</v>
      </c>
      <c r="G1891" s="656">
        <v>1.6520953483850249E-2</v>
      </c>
    </row>
    <row r="1892" spans="5:7">
      <c r="E1892" s="658">
        <f ca="1">_xll.meDateFromTenor(E1891,"1D","Following",$C$16)</f>
        <v>45912</v>
      </c>
      <c r="F1892" s="659">
        <f ca="1"/>
        <v>1.6483064262793331E-2</v>
      </c>
      <c r="G1892" s="656">
        <v>1.6524954070921003E-2</v>
      </c>
    </row>
    <row r="1893" spans="5:7">
      <c r="E1893" s="658">
        <f ca="1">_xll.meDateFromTenor(E1892,"1D","Following",$C$16)</f>
        <v>45915</v>
      </c>
      <c r="F1893" s="659">
        <f ca="1"/>
        <v>1.6494053140475851E-2</v>
      </c>
      <c r="G1893" s="656">
        <v>1.6528952590410005E-2</v>
      </c>
    </row>
    <row r="1894" spans="5:7">
      <c r="E1894" s="658">
        <f ca="1">_xll.meDateFromTenor(E1893,"1D","Following",$C$16)</f>
        <v>45916</v>
      </c>
      <c r="F1894" s="659">
        <f ca="1"/>
        <v>1.6497712245357666E-2</v>
      </c>
      <c r="G1894" s="656">
        <v>1.6532949055440532E-2</v>
      </c>
    </row>
    <row r="1895" spans="5:7">
      <c r="E1895" s="658">
        <f ca="1">_xll.meDateFromTenor(E1894,"1D","Following",$C$16)</f>
        <v>45917</v>
      </c>
      <c r="F1895" s="659">
        <f ca="1"/>
        <v>1.6501369455588957E-2</v>
      </c>
      <c r="G1895" s="656">
        <v>1.6536943479135879E-2</v>
      </c>
    </row>
    <row r="1896" spans="5:7">
      <c r="E1896" s="658">
        <f ca="1">_xll.meDateFromTenor(E1895,"1D","Following",$C$16)</f>
        <v>45918</v>
      </c>
      <c r="F1896" s="659">
        <f ca="1"/>
        <v>1.6505024790683106E-2</v>
      </c>
      <c r="G1896" s="656">
        <v>1.6548914633443667E-2</v>
      </c>
    </row>
    <row r="1897" spans="5:7">
      <c r="E1897" s="658">
        <f ca="1">_xll.meDateFromTenor(E1896,"1D","Following",$C$16)</f>
        <v>45919</v>
      </c>
      <c r="F1897" s="659">
        <f ca="1"/>
        <v>1.650867827015351E-2</v>
      </c>
      <c r="G1897" s="656">
        <v>1.6552901023031131E-2</v>
      </c>
    </row>
    <row r="1898" spans="5:7">
      <c r="E1898" s="658">
        <f ca="1">_xll.meDateFromTenor(E1897,"1D","Following",$C$16)</f>
        <v>45922</v>
      </c>
      <c r="F1898" s="659">
        <f ca="1"/>
        <v>1.6519627769956181E-2</v>
      </c>
      <c r="G1898" s="656">
        <v>1.6556885436899836E-2</v>
      </c>
    </row>
    <row r="1899" spans="5:7">
      <c r="E1899" s="658">
        <f ca="1">_xll.meDateFromTenor(E1898,"1D","Following",$C$16)</f>
        <v>45923</v>
      </c>
      <c r="F1899" s="659">
        <f ca="1"/>
        <v>1.6523274022065527E-2</v>
      </c>
      <c r="G1899" s="656">
        <v>1.656086788817307E-2</v>
      </c>
    </row>
    <row r="1900" spans="5:7">
      <c r="E1900" s="658">
        <f ca="1">_xll.meDateFromTenor(E1899,"1D","Following",$C$16)</f>
        <v>45924</v>
      </c>
      <c r="F1900" s="659">
        <f ca="1"/>
        <v>1.6526918516118077E-2</v>
      </c>
      <c r="G1900" s="656">
        <v>1.6564848389974119E-2</v>
      </c>
    </row>
    <row r="1901" spans="5:7">
      <c r="E1901" s="658">
        <f ca="1">_xll.meDateFromTenor(E1900,"1D","Following",$C$16)</f>
        <v>45925</v>
      </c>
      <c r="F1901" s="659">
        <f ca="1"/>
        <v>1.6530561271627237E-2</v>
      </c>
      <c r="G1901" s="656">
        <v>1.6576778329777008E-2</v>
      </c>
    </row>
    <row r="1902" spans="5:7">
      <c r="E1902" s="658">
        <f ca="1">_xll.meDateFromTenor(E1901,"1D","Following",$C$16)</f>
        <v>45926</v>
      </c>
      <c r="F1902" s="659">
        <f ca="1"/>
        <v>1.6534202308106385E-2</v>
      </c>
      <c r="G1902" s="656">
        <v>1.6580751164922164E-2</v>
      </c>
    </row>
    <row r="1903" spans="5:7">
      <c r="E1903" s="658">
        <f ca="1">_xll.meDateFromTenor(E1902,"1D","Following",$C$16)</f>
        <v>45929</v>
      </c>
      <c r="F1903" s="659">
        <f ca="1"/>
        <v>1.6545115298497722E-2</v>
      </c>
      <c r="G1903" s="656">
        <v>1.6584722116211564E-2</v>
      </c>
    </row>
    <row r="1904" spans="5:7">
      <c r="E1904" s="658">
        <f ca="1">_xll.meDateFromTenor(E1903,"1D","Following",$C$16)</f>
        <v>45930</v>
      </c>
      <c r="F1904" s="659">
        <f ca="1"/>
        <v>1.6548749653990766E-2</v>
      </c>
      <c r="G1904" s="656">
        <v>1.658869119676849E-2</v>
      </c>
    </row>
    <row r="1905" spans="5:7">
      <c r="E1905" s="658">
        <f ca="1">_xll.meDateFromTenor(E1904,"1D","Following",$C$16)</f>
        <v>45931</v>
      </c>
      <c r="F1905" s="659">
        <f ca="1"/>
        <v>1.6552382388020755E-2</v>
      </c>
      <c r="G1905" s="656">
        <v>1.6592658419716227E-2</v>
      </c>
    </row>
    <row r="1906" spans="5:7">
      <c r="E1906" s="658">
        <f ca="1">_xll.meDateFromTenor(E1905,"1D","Following",$C$16)</f>
        <v>45932</v>
      </c>
      <c r="F1906" s="659">
        <f ca="1"/>
        <v>1.6556013520101092E-2</v>
      </c>
      <c r="G1906" s="656">
        <v>1.6604549074137165E-2</v>
      </c>
    </row>
    <row r="1907" spans="5:7">
      <c r="E1907" s="658">
        <f ca="1">_xll.meDateFromTenor(E1906,"1D","Following",$C$16)</f>
        <v>45933</v>
      </c>
      <c r="F1907" s="659">
        <f ca="1"/>
        <v>1.655964306974516E-2</v>
      </c>
      <c r="G1907" s="656">
        <v>1.6608508997881005E-2</v>
      </c>
    </row>
    <row r="1908" spans="5:7">
      <c r="E1908" s="658">
        <f ca="1">_xll.meDateFromTenor(E1907,"1D","Following",$C$16)</f>
        <v>45936</v>
      </c>
      <c r="F1908" s="659">
        <f ca="1"/>
        <v>1.6570522419193684E-2</v>
      </c>
      <c r="G1908" s="656">
        <v>1.6612467129632085E-2</v>
      </c>
    </row>
    <row r="1909" spans="5:7">
      <c r="E1909" s="658">
        <f ca="1">_xll.meDateFromTenor(E1908,"1D","Following",$C$16)</f>
        <v>45937</v>
      </c>
      <c r="F1909" s="659">
        <f ca="1"/>
        <v>1.6574145834226599E-2</v>
      </c>
      <c r="G1909" s="656">
        <v>1.6616423482513687E-2</v>
      </c>
    </row>
    <row r="1910" spans="5:7">
      <c r="E1910" s="658">
        <f ca="1">_xll.meDateFromTenor(E1909,"1D","Following",$C$16)</f>
        <v>45938</v>
      </c>
      <c r="F1910" s="659">
        <f ca="1"/>
        <v>1.6577767764390208E-2</v>
      </c>
      <c r="G1910" s="656">
        <v>1.6620378069649101E-2</v>
      </c>
    </row>
    <row r="1911" spans="5:7">
      <c r="E1911" s="658">
        <f ca="1">_xll.meDateFromTenor(E1910,"1D","Following",$C$16)</f>
        <v>45939</v>
      </c>
      <c r="F1911" s="659">
        <f ca="1"/>
        <v>1.6581388229197892E-2</v>
      </c>
      <c r="G1911" s="656">
        <v>1.6632231367811053E-2</v>
      </c>
    </row>
    <row r="1912" spans="5:7">
      <c r="E1912" s="658">
        <f ca="1">_xll.meDateFromTenor(E1911,"1D","Following",$C$16)</f>
        <v>45940</v>
      </c>
      <c r="F1912" s="659">
        <f ca="1"/>
        <v>1.6585007248163055E-2</v>
      </c>
      <c r="G1912" s="656">
        <v>1.6636179023194562E-2</v>
      </c>
    </row>
    <row r="1913" spans="5:7">
      <c r="E1913" s="658">
        <f ca="1">_xll.meDateFromTenor(E1912,"1D","Following",$C$16)</f>
        <v>45943</v>
      </c>
      <c r="F1913" s="659">
        <f ca="1"/>
        <v>1.6595855825137281E-2</v>
      </c>
      <c r="G1913" s="656">
        <v>1.6640124978448308E-2</v>
      </c>
    </row>
    <row r="1914" spans="5:7">
      <c r="E1914" s="658">
        <f ca="1">_xll.meDateFromTenor(E1913,"1D","Following",$C$16)</f>
        <v>45944</v>
      </c>
      <c r="F1914" s="659">
        <f ca="1"/>
        <v>1.6599469255866244E-2</v>
      </c>
      <c r="G1914" s="656">
        <v>1.6644069246695575E-2</v>
      </c>
    </row>
    <row r="1915" spans="5:7">
      <c r="E1915" s="658">
        <f ca="1">_xll.meDateFromTenor(E1914,"1D","Following",$C$16)</f>
        <v>45945</v>
      </c>
      <c r="F1915" s="659">
        <f ca="1"/>
        <v>1.6603081338319635E-2</v>
      </c>
      <c r="G1915" s="656">
        <v>1.6648011841059646E-2</v>
      </c>
    </row>
    <row r="1916" spans="5:7">
      <c r="E1916" s="658">
        <f ca="1">_xll.meDateFromTenor(E1915,"1D","Following",$C$16)</f>
        <v>45946</v>
      </c>
      <c r="F1916" s="659">
        <f ca="1"/>
        <v>1.660669209201085E-2</v>
      </c>
      <c r="G1916" s="656">
        <v>1.6659829712085572E-2</v>
      </c>
    </row>
    <row r="1917" spans="5:7">
      <c r="E1917" s="658">
        <f ca="1">_xll.meDateFromTenor(E1916,"1D","Following",$C$16)</f>
        <v>45947</v>
      </c>
      <c r="F1917" s="659">
        <f ca="1"/>
        <v>1.6610301536453272E-2</v>
      </c>
      <c r="G1917" s="656">
        <v>1.6663765742149731E-2</v>
      </c>
    </row>
    <row r="1918" spans="5:7">
      <c r="E1918" s="658">
        <f ca="1">_xll.meDateFromTenor(E1917,"1D","Following",$C$16)</f>
        <v>45950</v>
      </c>
      <c r="F1918" s="659">
        <f ca="1"/>
        <v>1.6621122209421725E-2</v>
      </c>
      <c r="G1918" s="656">
        <v>1.6667700163947127E-2</v>
      </c>
    </row>
    <row r="1919" spans="5:7">
      <c r="E1919" s="658">
        <f ca="1">_xll.meDateFromTenor(E1918,"1D","Following",$C$16)</f>
        <v>45951</v>
      </c>
      <c r="F1919" s="659">
        <f ca="1"/>
        <v>1.6624726612002906E-2</v>
      </c>
      <c r="G1919" s="656">
        <v>1.6671632990601044E-2</v>
      </c>
    </row>
    <row r="1920" spans="5:7">
      <c r="E1920" s="658">
        <f ca="1">_xll.meDateFromTenor(E1919,"1D","Following",$C$16)</f>
        <v>45952</v>
      </c>
      <c r="F1920" s="659">
        <f ca="1"/>
        <v>1.6628329802902256E-2</v>
      </c>
      <c r="G1920" s="656">
        <v>1.6675564235234766E-2</v>
      </c>
    </row>
    <row r="1921" spans="5:7">
      <c r="E1921" s="658">
        <f ca="1">_xll.meDateFromTenor(E1920,"1D","Following",$C$16)</f>
        <v>45953</v>
      </c>
      <c r="F1921" s="659">
        <f ca="1"/>
        <v>1.6631931801633169E-2</v>
      </c>
      <c r="G1921" s="656">
        <v>1.6687348608247617E-2</v>
      </c>
    </row>
    <row r="1922" spans="5:7">
      <c r="E1922" s="658">
        <f ca="1">_xll.meDateFromTenor(E1921,"1D","Following",$C$16)</f>
        <v>45954</v>
      </c>
      <c r="F1922" s="659">
        <f ca="1"/>
        <v>1.6635532627709029E-2</v>
      </c>
      <c r="G1922" s="656">
        <v>1.6691273656033415E-2</v>
      </c>
    </row>
    <row r="1923" spans="5:7">
      <c r="E1923" s="658">
        <f ca="1">_xll.meDateFromTenor(E1922,"1D","Following",$C$16)</f>
        <v>45957</v>
      </c>
      <c r="F1923" s="659">
        <f ca="1"/>
        <v>1.6646328265140228E-2</v>
      </c>
      <c r="G1923" s="656">
        <v>1.669519718741545E-2</v>
      </c>
    </row>
    <row r="1924" spans="5:7">
      <c r="E1924" s="658">
        <f ca="1">_xll.meDateFromTenor(E1923,"1D","Following",$C$16)</f>
        <v>45958</v>
      </c>
      <c r="F1924" s="659">
        <f ca="1"/>
        <v>1.6649924595729799E-2</v>
      </c>
      <c r="G1924" s="656">
        <v>1.6699119215517002E-2</v>
      </c>
    </row>
    <row r="1925" spans="5:7">
      <c r="E1925" s="658">
        <f ca="1">_xll.meDateFromTenor(E1924,"1D","Following",$C$16)</f>
        <v>45959</v>
      </c>
      <c r="F1925" s="659">
        <f ca="1"/>
        <v>1.6653519851231285E-2</v>
      </c>
      <c r="G1925" s="656">
        <v>1.6703039753461355E-2</v>
      </c>
    </row>
    <row r="1926" spans="5:7">
      <c r="E1926" s="658">
        <f ca="1">_xll.meDateFromTenor(E1925,"1D","Following",$C$16)</f>
        <v>45960</v>
      </c>
      <c r="F1926" s="659">
        <f ca="1"/>
        <v>1.6657114051158065E-2</v>
      </c>
      <c r="G1926" s="656">
        <v>1.6714792557584096E-2</v>
      </c>
    </row>
    <row r="1927" spans="5:7">
      <c r="E1927" s="658">
        <f ca="1">_xll.meDateFromTenor(E1926,"1D","Following",$C$16)</f>
        <v>45961</v>
      </c>
      <c r="F1927" s="659">
        <f ca="1"/>
        <v>1.6660707215023534E-2</v>
      </c>
      <c r="G1927" s="656">
        <v>1.6718707266132518E-2</v>
      </c>
    </row>
    <row r="1928" spans="5:7">
      <c r="E1928" s="658">
        <f ca="1">_xll.meDateFromTenor(E1927,"1D","Following",$C$16)</f>
        <v>45964</v>
      </c>
      <c r="F1928" s="659">
        <f ca="1"/>
        <v>1.6671480685385997E-2</v>
      </c>
      <c r="G1928" s="656">
        <v>1.6722620550140174E-2</v>
      </c>
    </row>
    <row r="1929" spans="5:7">
      <c r="E1929" s="658">
        <f ca="1">_xll.meDateFromTenor(E1928,"1D","Following",$C$16)</f>
        <v>45965</v>
      </c>
      <c r="F1929" s="659">
        <f ca="1"/>
        <v>1.6675069900140137E-2</v>
      </c>
      <c r="G1929" s="656">
        <v>1.6726532422730346E-2</v>
      </c>
    </row>
    <row r="1930" spans="5:7">
      <c r="E1930" s="658">
        <f ca="1">_xll.meDateFromTenor(E1929,"1D","Following",$C$16)</f>
        <v>45966</v>
      </c>
      <c r="F1930" s="659">
        <f ca="1"/>
        <v>1.6678658176399925E-2</v>
      </c>
      <c r="G1930" s="656">
        <v>1.6730442897026319E-2</v>
      </c>
    </row>
    <row r="1931" spans="5:7">
      <c r="E1931" s="658">
        <f ca="1">_xll.meDateFromTenor(E1930,"1D","Following",$C$16)</f>
        <v>45967</v>
      </c>
      <c r="F1931" s="659">
        <f ca="1"/>
        <v>1.6682245533678749E-2</v>
      </c>
      <c r="G1931" s="656">
        <v>1.6742166061381906E-2</v>
      </c>
    </row>
    <row r="1932" spans="5:7">
      <c r="E1932" s="658">
        <f ca="1">_xll.meDateFromTenor(E1931,"1D","Following",$C$16)</f>
        <v>45968</v>
      </c>
      <c r="F1932" s="659">
        <f ca="1"/>
        <v>1.6685831991490003E-2</v>
      </c>
      <c r="G1932" s="656">
        <v>1.6746071069400164E-2</v>
      </c>
    </row>
    <row r="1933" spans="5:7">
      <c r="E1933" s="658">
        <f ca="1">_xll.meDateFromTenor(E1932,"1D","Following",$C$16)</f>
        <v>45971</v>
      </c>
      <c r="F1933" s="659">
        <f ca="1"/>
        <v>1.6696586163252248E-2</v>
      </c>
      <c r="G1933" s="656">
        <v>1.6749974718738004E-2</v>
      </c>
    </row>
    <row r="1934" spans="5:7">
      <c r="E1934" s="658">
        <f ca="1">_xll.meDateFromTenor(E1933,"1D","Following",$C$16)</f>
        <v>45972</v>
      </c>
      <c r="F1934" s="659">
        <f ca="1"/>
        <v>1.6700169214748119E-2</v>
      </c>
      <c r="G1934" s="656">
        <v>1.6753876996516058E-2</v>
      </c>
    </row>
    <row r="1935" spans="5:7">
      <c r="E1935" s="658">
        <f ca="1">_xll.meDateFromTenor(E1934,"1D","Following",$C$16)</f>
        <v>45973</v>
      </c>
      <c r="F1935" s="659">
        <f ca="1"/>
        <v>1.6703751442869303E-2</v>
      </c>
      <c r="G1935" s="656">
        <v>1.6757777889854955E-2</v>
      </c>
    </row>
    <row r="1936" spans="5:7">
      <c r="E1936" s="658">
        <f ca="1">_xll.meDateFromTenor(E1935,"1D","Following",$C$16)</f>
        <v>45974</v>
      </c>
      <c r="F1936" s="659">
        <f ca="1"/>
        <v>1.6707332845655138E-2</v>
      </c>
      <c r="G1936" s="656">
        <v>1.6769472134443068E-2</v>
      </c>
    </row>
    <row r="1937" spans="5:7">
      <c r="E1937" s="658">
        <f ca="1">_xll.meDateFromTenor(E1936,"1D","Following",$C$16)</f>
        <v>45975</v>
      </c>
      <c r="F1937" s="659">
        <f ca="1"/>
        <v>1.6710913421144929E-2</v>
      </c>
      <c r="G1937" s="656">
        <v>1.6773367361231698E-2</v>
      </c>
    </row>
    <row r="1938" spans="5:7">
      <c r="E1938" s="658">
        <f ca="1">_xll.meDateFromTenor(E1937,"1D","Following",$C$16)</f>
        <v>45978</v>
      </c>
      <c r="F1938" s="659">
        <f ca="1"/>
        <v>1.6721650164231352E-2</v>
      </c>
      <c r="G1938" s="656">
        <v>1.6777261139184346E-2</v>
      </c>
    </row>
    <row r="1939" spans="5:7">
      <c r="E1939" s="658">
        <f ca="1">_xll.meDateFromTenor(E1938,"1D","Following",$C$16)</f>
        <v>45979</v>
      </c>
      <c r="F1939" s="659">
        <f ca="1"/>
        <v>1.6725227410930247E-2</v>
      </c>
      <c r="G1939" s="656">
        <v>1.6781153455421648E-2</v>
      </c>
    </row>
    <row r="1940" spans="5:7">
      <c r="E1940" s="658">
        <f ca="1">_xll.meDateFromTenor(E1939,"1D","Following",$C$16)</f>
        <v>45980</v>
      </c>
      <c r="F1940" s="659">
        <f ca="1"/>
        <v>1.6728803820529731E-2</v>
      </c>
      <c r="G1940" s="656">
        <v>1.6785044297064237E-2</v>
      </c>
    </row>
    <row r="1941" spans="5:7">
      <c r="E1941" s="658">
        <f ca="1">_xll.meDateFromTenor(E1940,"1D","Following",$C$16)</f>
        <v>45981</v>
      </c>
      <c r="F1941" s="659">
        <f ca="1"/>
        <v>1.6732379391069124E-2</v>
      </c>
      <c r="G1941" s="656">
        <v>1.679670784563007E-2</v>
      </c>
    </row>
    <row r="1942" spans="5:7">
      <c r="E1942" s="658">
        <f ca="1">_xll.meDateFromTenor(E1941,"1D","Following",$C$16)</f>
        <v>45982</v>
      </c>
      <c r="F1942" s="659">
        <f ca="1"/>
        <v>1.6735954120587752E-2</v>
      </c>
      <c r="G1942" s="656">
        <v>1.6800592660100158E-2</v>
      </c>
    </row>
    <row r="1943" spans="5:7">
      <c r="E1943" s="658">
        <f ca="1">_xll.meDateFromTenor(E1942,"1D","Following",$C$16)</f>
        <v>45985</v>
      </c>
      <c r="F1943" s="659">
        <f ca="1"/>
        <v>1.674667324341228E-2</v>
      </c>
      <c r="G1943" s="656">
        <v>1.6804475935578704E-2</v>
      </c>
    </row>
    <row r="1944" spans="5:7">
      <c r="E1944" s="658">
        <f ca="1">_xll.meDateFromTenor(E1943,"1D","Following",$C$16)</f>
        <v>45986</v>
      </c>
      <c r="F1944" s="659">
        <f ca="1"/>
        <v>1.6750244589241084E-2</v>
      </c>
      <c r="G1944" s="656">
        <v>1.680835765918634E-2</v>
      </c>
    </row>
    <row r="1945" spans="5:7">
      <c r="E1945" s="658">
        <f ca="1">_xll.meDateFromTenor(E1944,"1D","Following",$C$16)</f>
        <v>45987</v>
      </c>
      <c r="F1945" s="659">
        <f ca="1"/>
        <v>1.6753815084245744E-2</v>
      </c>
      <c r="G1945" s="656">
        <v>1.681223781804371E-2</v>
      </c>
    </row>
    <row r="1946" spans="5:7">
      <c r="E1946" s="658">
        <f ca="1">_xll.meDateFromTenor(E1945,"1D","Following",$C$16)</f>
        <v>45988</v>
      </c>
      <c r="F1946" s="659">
        <f ca="1"/>
        <v>1.6757384726465579E-2</v>
      </c>
      <c r="G1946" s="656">
        <v>1.682386877732053E-2</v>
      </c>
    </row>
    <row r="1947" spans="5:7">
      <c r="E1947" s="658">
        <f ca="1">_xll.meDateFromTenor(E1946,"1D","Following",$C$16)</f>
        <v>45989</v>
      </c>
      <c r="F1947" s="659">
        <f ca="1"/>
        <v>1.6760953513939917E-2</v>
      </c>
      <c r="G1947" s="656">
        <v>1.6827742548383158E-2</v>
      </c>
    </row>
    <row r="1948" spans="5:7">
      <c r="E1948" s="658">
        <f ca="1">_xll.meDateFromTenor(E1947,"1D","Following",$C$16)</f>
        <v>45992</v>
      </c>
      <c r="F1948" s="659">
        <f ca="1"/>
        <v>1.6771654728283184E-2</v>
      </c>
      <c r="G1948" s="656">
        <v>1.6831614690298684E-2</v>
      </c>
    </row>
    <row r="1949" spans="5:7">
      <c r="E1949" s="658">
        <f ca="1">_xll.meDateFromTenor(E1948,"1D","Following",$C$16)</f>
        <v>45993</v>
      </c>
      <c r="F1949" s="659">
        <f ca="1"/>
        <v>1.6775220077168772E-2</v>
      </c>
      <c r="G1949" s="656">
        <v>1.6835485190187748E-2</v>
      </c>
    </row>
    <row r="1950" spans="5:7">
      <c r="E1950" s="658">
        <f ca="1">_xll.meDateFromTenor(E1949,"1D","Following",$C$16)</f>
        <v>45994</v>
      </c>
      <c r="F1950" s="659">
        <f ca="1"/>
        <v>1.6778784561505482E-2</v>
      </c>
      <c r="G1950" s="656">
        <v>1.6839354035170982E-2</v>
      </c>
    </row>
    <row r="1951" spans="5:7">
      <c r="E1951" s="658">
        <f ca="1">_xll.meDateFromTenor(E1950,"1D","Following",$C$16)</f>
        <v>45995</v>
      </c>
      <c r="F1951" s="659">
        <f ca="1"/>
        <v>1.6782348179332638E-2</v>
      </c>
      <c r="G1951" s="656">
        <v>1.6850950511892043E-2</v>
      </c>
    </row>
    <row r="1952" spans="5:7">
      <c r="E1952" s="658">
        <f ca="1">_xll.meDateFromTenor(E1951,"1D","Following",$C$16)</f>
        <v>45996</v>
      </c>
      <c r="F1952" s="659">
        <f ca="1"/>
        <v>1.6785910928689567E-2</v>
      </c>
      <c r="G1952" s="656">
        <v>1.6854812608458298E-2</v>
      </c>
    </row>
    <row r="1953" spans="5:7">
      <c r="E1953" s="658">
        <f ca="1">_xll.meDateFromTenor(E1952,"1D","Following",$C$16)</f>
        <v>45999</v>
      </c>
      <c r="F1953" s="659">
        <f ca="1"/>
        <v>1.6796593946332206E-2</v>
      </c>
      <c r="G1953" s="656">
        <v>1.6858672985721898E-2</v>
      </c>
    </row>
    <row r="1954" spans="5:7">
      <c r="E1954" s="658">
        <f ca="1">_xll.meDateFromTenor(E1953,"1D","Following",$C$16)</f>
        <v>46000</v>
      </c>
      <c r="F1954" s="659">
        <f ca="1"/>
        <v>1.6800153202201448E-2</v>
      </c>
      <c r="G1954" s="656">
        <v>1.6862531630803475E-2</v>
      </c>
    </row>
    <row r="1955" spans="5:7">
      <c r="E1955" s="658">
        <f ca="1">_xll.meDateFromTenor(E1954,"1D","Following",$C$16)</f>
        <v>46001</v>
      </c>
      <c r="F1955" s="659">
        <f ca="1"/>
        <v>1.6803711579797084E-2</v>
      </c>
      <c r="G1955" s="656">
        <v>1.6866388530823655E-2</v>
      </c>
    </row>
    <row r="1956" spans="5:7">
      <c r="E1956" s="658">
        <f ca="1">_xll.meDateFromTenor(E1955,"1D","Following",$C$16)</f>
        <v>46002</v>
      </c>
      <c r="F1956" s="659">
        <f ca="1"/>
        <v>1.6807269077158439E-2</v>
      </c>
      <c r="G1956" s="656">
        <v>1.687794863172222E-2</v>
      </c>
    </row>
    <row r="1957" spans="5:7">
      <c r="E1957" s="658">
        <f ca="1">_xll.meDateFromTenor(E1956,"1D","Following",$C$16)</f>
        <v>46003</v>
      </c>
      <c r="F1957" s="659">
        <f ca="1"/>
        <v>1.6810825692324831E-2</v>
      </c>
      <c r="G1957" s="656">
        <v>1.6881798422703195E-2</v>
      </c>
    </row>
    <row r="1958" spans="5:7">
      <c r="E1958" s="658">
        <f ca="1">_xll.meDateFromTenor(E1957,"1D","Following",$C$16)</f>
        <v>46006</v>
      </c>
      <c r="F1958" s="659">
        <f ca="1"/>
        <v>1.6821490225047472E-2</v>
      </c>
      <c r="G1958" s="656">
        <v>1.6885646404225952E-2</v>
      </c>
    </row>
    <row r="1959" spans="5:7">
      <c r="E1959" s="658">
        <f ca="1">_xll.meDateFromTenor(E1958,"1D","Following",$C$16)</f>
        <v>46007</v>
      </c>
      <c r="F1959" s="659">
        <f ca="1"/>
        <v>1.6825043291827255E-2</v>
      </c>
      <c r="G1959" s="656">
        <v>1.6889492563411126E-2</v>
      </c>
    </row>
    <row r="1960" spans="5:7">
      <c r="E1960" s="658">
        <f ca="1">_xll.meDateFromTenor(E1959,"1D","Following",$C$16)</f>
        <v>46008</v>
      </c>
      <c r="F1960" s="659">
        <f ca="1"/>
        <v>1.6828595466608698E-2</v>
      </c>
      <c r="G1960" s="656">
        <v>1.6893336887379349E-2</v>
      </c>
    </row>
    <row r="1961" spans="5:7">
      <c r="E1961" s="658">
        <f ca="1">_xll.meDateFromTenor(E1960,"1D","Following",$C$16)</f>
        <v>46009</v>
      </c>
      <c r="F1961" s="659">
        <f ca="1"/>
        <v>1.683214674743112E-2</v>
      </c>
      <c r="G1961" s="656">
        <v>1.6904858719188672E-2</v>
      </c>
    </row>
    <row r="1962" spans="5:7">
      <c r="E1962" s="658">
        <f ca="1">_xll.meDateFromTenor(E1961,"1D","Following",$C$16)</f>
        <v>46010</v>
      </c>
      <c r="F1962" s="659">
        <f ca="1"/>
        <v>1.6835697132333852E-2</v>
      </c>
      <c r="G1962" s="656">
        <v>1.6908695573495447E-2</v>
      </c>
    </row>
    <row r="1963" spans="5:7">
      <c r="E1963" s="658">
        <f ca="1">_xll.meDateFromTenor(E1962,"1D","Following",$C$16)</f>
        <v>46013</v>
      </c>
      <c r="F1963" s="659">
        <f ca="1"/>
        <v>1.6846342891917131E-2</v>
      </c>
      <c r="G1963" s="656">
        <v>1.691253052818845E-2</v>
      </c>
    </row>
    <row r="1964" spans="5:7">
      <c r="E1964" s="658">
        <f ca="1">_xll.meDateFromTenor(E1963,"1D","Following",$C$16)</f>
        <v>46014</v>
      </c>
      <c r="F1964" s="659">
        <f ca="1"/>
        <v>1.6849889673534329E-2</v>
      </c>
      <c r="G1964" s="656">
        <v>1.691636357038831E-2</v>
      </c>
    </row>
    <row r="1965" spans="5:7">
      <c r="E1965" s="658">
        <f ca="1">_xll.meDateFromTenor(E1964,"1D","Following",$C$16)</f>
        <v>46015</v>
      </c>
      <c r="F1965" s="659">
        <f ca="1"/>
        <v>1.6853435549428454E-2</v>
      </c>
      <c r="G1965" s="656">
        <v>1.6920194687215659E-2</v>
      </c>
    </row>
    <row r="1966" spans="5:7">
      <c r="E1966" s="658">
        <f ca="1">_xll.meDateFromTenor(E1965,"1D","Following",$C$16)</f>
        <v>46020</v>
      </c>
      <c r="F1966" s="659">
        <f ca="1"/>
        <v>1.687115127442932E-2</v>
      </c>
      <c r="G1966" s="656">
        <v>1.6931676356669013E-2</v>
      </c>
    </row>
    <row r="1967" spans="5:7">
      <c r="E1967" s="658">
        <f ca="1">_xll.meDateFromTenor(E1966,"1D","Following",$C$16)</f>
        <v>46021</v>
      </c>
      <c r="F1967" s="659">
        <f ca="1"/>
        <v>1.6874691674810809E-2</v>
      </c>
      <c r="G1967" s="656">
        <v>1.6935499643212681E-2</v>
      </c>
    </row>
    <row r="1968" spans="5:7">
      <c r="E1968" s="658">
        <f ca="1">_xll.meDateFromTenor(E1967,"1D","Following",$C$16)</f>
        <v>46022</v>
      </c>
      <c r="F1968" s="659">
        <f ca="1"/>
        <v>1.6878231155744494E-2</v>
      </c>
      <c r="G1968" s="656">
        <v>1.6939320939987002E-2</v>
      </c>
    </row>
    <row r="1969" spans="5:7">
      <c r="E1969" s="658">
        <f ca="1">_xll.meDateFromTenor(E1968,"1D","Following",$C$16)</f>
        <v>46024</v>
      </c>
      <c r="F1969" s="659">
        <f ca="1"/>
        <v>1.6885307351425745E-2</v>
      </c>
      <c r="G1969" s="656">
        <v>1.6958397126540837E-2</v>
      </c>
    </row>
    <row r="1970" spans="5:7">
      <c r="E1970" s="658">
        <f ca="1">_xll.meDateFromTenor(E1969,"1D","Following",$C$16)</f>
        <v>46027</v>
      </c>
      <c r="F1970" s="659">
        <f ca="1"/>
        <v>1.6895914700072179E-2</v>
      </c>
      <c r="G1970" s="656">
        <v>1.6962206214232479E-2</v>
      </c>
    </row>
    <row r="1971" spans="5:7">
      <c r="E1971" s="658">
        <f ca="1">_xll.meDateFromTenor(E1970,"1D","Following",$C$16)</f>
        <v>46028</v>
      </c>
      <c r="F1971" s="659">
        <f ca="1"/>
        <v>1.6899448623144839E-2</v>
      </c>
      <c r="G1971" s="656">
        <v>1.6966013221999227E-2</v>
      </c>
    </row>
    <row r="1972" spans="5:7">
      <c r="E1972" s="658">
        <f ca="1">_xll.meDateFromTenor(E1971,"1D","Following",$C$16)</f>
        <v>46029</v>
      </c>
      <c r="F1972" s="659">
        <f ca="1"/>
        <v>1.6902981613044956E-2</v>
      </c>
      <c r="G1972" s="656">
        <v>1.6973620946240574E-2</v>
      </c>
    </row>
    <row r="1973" spans="5:7">
      <c r="E1973" s="658">
        <f ca="1">_xll.meDateFromTenor(E1972,"1D","Following",$C$16)</f>
        <v>46030</v>
      </c>
      <c r="F1973" s="659">
        <f ca="1"/>
        <v>1.6906513667811866E-2</v>
      </c>
      <c r="G1973" s="656">
        <v>1.6985016611181757E-2</v>
      </c>
    </row>
    <row r="1974" spans="5:7">
      <c r="E1974" s="658">
        <f ca="1">_xll.meDateFromTenor(E1973,"1D","Following",$C$16)</f>
        <v>46031</v>
      </c>
      <c r="F1974" s="659">
        <f ca="1"/>
        <v>1.6910044785484885E-2</v>
      </c>
      <c r="G1974" s="656">
        <v>1.6988810868932464E-2</v>
      </c>
    </row>
    <row r="1975" spans="5:7">
      <c r="E1975" s="658">
        <f ca="1">_xll.meDateFromTenor(E1974,"1D","Following",$C$16)</f>
        <v>46034</v>
      </c>
      <c r="F1975" s="659">
        <f ca="1"/>
        <v>1.692063249633385E-2</v>
      </c>
      <c r="G1975" s="656">
        <v>1.6992602956602716E-2</v>
      </c>
    </row>
    <row r="1976" spans="5:7">
      <c r="E1976" s="658">
        <f ca="1">_xll.meDateFromTenor(E1975,"1D","Following",$C$16)</f>
        <v>46035</v>
      </c>
      <c r="F1976" s="659">
        <f ca="1"/>
        <v>1.6924159846024554E-2</v>
      </c>
      <c r="G1976" s="656">
        <v>1.6996392861313148E-2</v>
      </c>
    </row>
    <row r="1977" spans="5:7">
      <c r="E1977" s="658">
        <f ca="1">_xll.meDateFromTenor(E1976,"1D","Following",$C$16)</f>
        <v>46036</v>
      </c>
      <c r="F1977" s="659">
        <f ca="1"/>
        <v>1.6927686248817984E-2</v>
      </c>
      <c r="G1977" s="656">
        <v>1.70001805701844E-2</v>
      </c>
    </row>
    <row r="1978" spans="5:7">
      <c r="E1978" s="658">
        <f ca="1">_xll.meDateFromTenor(E1977,"1D","Following",$C$16)</f>
        <v>46037</v>
      </c>
      <c r="F1978" s="659">
        <f ca="1"/>
        <v>1.6931211702753475E-2</v>
      </c>
      <c r="G1978" s="656">
        <v>1.7011530392969383E-2</v>
      </c>
    </row>
    <row r="1979" spans="5:7">
      <c r="E1979" s="658">
        <f ca="1">_xll.meDateFromTenor(E1978,"1D","Following",$C$16)</f>
        <v>46038</v>
      </c>
      <c r="F1979" s="659">
        <f ca="1"/>
        <v>1.6934736205870347E-2</v>
      </c>
      <c r="G1979" s="656">
        <v>1.7015309189690239E-2</v>
      </c>
    </row>
    <row r="1980" spans="5:7">
      <c r="E1980" s="658">
        <f ca="1">_xll.meDateFromTenor(E1979,"1D","Following",$C$16)</f>
        <v>46041</v>
      </c>
      <c r="F1980" s="659">
        <f ca="1"/>
        <v>1.6945303990702466E-2</v>
      </c>
      <c r="G1980" s="656">
        <v>1.7019085726175082E-2</v>
      </c>
    </row>
    <row r="1981" spans="5:7">
      <c r="E1981" s="658">
        <f ca="1">_xll.meDateFromTenor(E1980,"1D","Following",$C$16)</f>
        <v>46042</v>
      </c>
      <c r="F1981" s="659">
        <f ca="1"/>
        <v>1.6948824670938091E-2</v>
      </c>
      <c r="G1981" s="656">
        <v>1.7022859989544548E-2</v>
      </c>
    </row>
    <row r="1982" spans="5:7">
      <c r="E1982" s="658">
        <f ca="1">_xll.meDateFromTenor(E1981,"1D","Following",$C$16)</f>
        <v>46043</v>
      </c>
      <c r="F1982" s="659">
        <f ca="1"/>
        <v>1.6952344390551721E-2</v>
      </c>
      <c r="G1982" s="656">
        <v>1.7026631966919271E-2</v>
      </c>
    </row>
    <row r="1983" spans="5:7">
      <c r="E1983" s="658">
        <f ca="1">_xll.meDateFromTenor(E1982,"1D","Following",$C$16)</f>
        <v>46044</v>
      </c>
      <c r="F1983" s="659">
        <f ca="1"/>
        <v>1.6955863147582666E-2</v>
      </c>
      <c r="G1983" s="656">
        <v>1.7037934054281324E-2</v>
      </c>
    </row>
    <row r="1984" spans="5:7">
      <c r="E1984" s="658">
        <f ca="1">_xll.meDateFromTenor(E1983,"1D","Following",$C$16)</f>
        <v>46045</v>
      </c>
      <c r="F1984" s="659">
        <f ca="1"/>
        <v>1.6959380940070264E-2</v>
      </c>
      <c r="G1984" s="656">
        <v>1.7041696758883416E-2</v>
      </c>
    </row>
    <row r="1985" spans="5:7">
      <c r="E1985" s="658">
        <f ca="1">_xll.meDateFromTenor(E1984,"1D","Following",$C$16)</f>
        <v>46048</v>
      </c>
      <c r="F1985" s="659">
        <f ca="1"/>
        <v>1.6969928510666175E-2</v>
      </c>
      <c r="G1985" s="656">
        <v>1.7045457113093937E-2</v>
      </c>
    </row>
    <row r="1986" spans="5:7">
      <c r="E1986" s="658">
        <f ca="1">_xll.meDateFromTenor(E1985,"1D","Following",$C$16)</f>
        <v>46049</v>
      </c>
      <c r="F1986" s="659">
        <f ca="1"/>
        <v>1.6973442425373596E-2</v>
      </c>
      <c r="G1986" s="656">
        <v>1.7049215104033521E-2</v>
      </c>
    </row>
    <row r="1987" spans="5:7">
      <c r="E1987" s="658">
        <f ca="1">_xll.meDateFromTenor(E1986,"1D","Following",$C$16)</f>
        <v>46050</v>
      </c>
      <c r="F1987" s="659">
        <f ca="1"/>
        <v>1.6976955365734292E-2</v>
      </c>
      <c r="G1987" s="656">
        <v>1.7052970718822804E-2</v>
      </c>
    </row>
    <row r="1988" spans="5:7">
      <c r="E1988" s="658">
        <f ca="1">_xll.meDateFromTenor(E1987,"1D","Following",$C$16)</f>
        <v>46051</v>
      </c>
      <c r="F1988" s="659">
        <f ca="1"/>
        <v>1.6980467329787578E-2</v>
      </c>
      <c r="G1988" s="656">
        <v>1.7064223177495182E-2</v>
      </c>
    </row>
    <row r="1989" spans="5:7">
      <c r="E1989" s="658">
        <f ca="1">_xll.meDateFromTenor(E1988,"1D","Following",$C$16)</f>
        <v>46052</v>
      </c>
      <c r="F1989" s="659">
        <f ca="1"/>
        <v>1.6983978315572777E-2</v>
      </c>
      <c r="G1989" s="656">
        <v>1.7067969158889602E-2</v>
      </c>
    </row>
    <row r="1990" spans="5:7">
      <c r="E1990" s="658">
        <f ca="1">_xll.meDateFromTenor(E1989,"1D","Following",$C$16)</f>
        <v>46055</v>
      </c>
      <c r="F1990" s="659">
        <f ca="1"/>
        <v>1.699450538371311E-2</v>
      </c>
      <c r="G1990" s="656">
        <v>1.7071712699736886E-2</v>
      </c>
    </row>
    <row r="1991" spans="5:7">
      <c r="E1991" s="658">
        <f ca="1">_xll.meDateFromTenor(E1990,"1D","Following",$C$16)</f>
        <v>46056</v>
      </c>
      <c r="F1991" s="659">
        <f ca="1"/>
        <v>1.6998012436819213E-2</v>
      </c>
      <c r="G1991" s="656">
        <v>1.7075453787157677E-2</v>
      </c>
    </row>
    <row r="1992" spans="5:7">
      <c r="E1992" s="658">
        <f ca="1">_xll.meDateFromTenor(E1991,"1D","Following",$C$16)</f>
        <v>46057</v>
      </c>
      <c r="F1992" s="659">
        <f ca="1"/>
        <v>1.7001518501853847E-2</v>
      </c>
      <c r="G1992" s="656">
        <v>1.7079192408272607E-2</v>
      </c>
    </row>
    <row r="1993" spans="5:7">
      <c r="E1993" s="658">
        <f ca="1">_xll.meDateFromTenor(E1992,"1D","Following",$C$16)</f>
        <v>46058</v>
      </c>
      <c r="F1993" s="659">
        <f ca="1"/>
        <v>1.7005023576856345E-2</v>
      </c>
      <c r="G1993" s="656">
        <v>1.7090393344988575E-2</v>
      </c>
    </row>
    <row r="1994" spans="5:7">
      <c r="E1994" s="658">
        <f ca="1">_xll.meDateFromTenor(E1993,"1D","Following",$C$16)</f>
        <v>46059</v>
      </c>
      <c r="F1994" s="659">
        <f ca="1"/>
        <v>1.7008527659866029E-2</v>
      </c>
      <c r="G1994" s="656">
        <v>1.7094121972086401E-2</v>
      </c>
    </row>
    <row r="1995" spans="5:7">
      <c r="E1995" s="658">
        <f ca="1">_xll.meDateFromTenor(E1994,"1D","Following",$C$16)</f>
        <v>46062</v>
      </c>
      <c r="F1995" s="659">
        <f ca="1"/>
        <v>1.7019033937331413E-2</v>
      </c>
      <c r="G1995" s="656">
        <v>1.7097848068481539E-2</v>
      </c>
    </row>
    <row r="1996" spans="5:7">
      <c r="E1996" s="658">
        <f ca="1">_xll.meDateFromTenor(E1995,"1D","Following",$C$16)</f>
        <v>46063</v>
      </c>
      <c r="F1996" s="659">
        <f ca="1"/>
        <v>1.7022534032763069E-2</v>
      </c>
      <c r="G1996" s="656">
        <v>1.7101571621294619E-2</v>
      </c>
    </row>
    <row r="1997" spans="5:7">
      <c r="E1997" s="658">
        <f ca="1">_xll.meDateFromTenor(E1996,"1D","Following",$C$16)</f>
        <v>46064</v>
      </c>
      <c r="F1997" s="659">
        <f ca="1"/>
        <v>1.7026033126398527E-2</v>
      </c>
      <c r="G1997" s="656">
        <v>1.7105292617646282E-2</v>
      </c>
    </row>
    <row r="1998" spans="5:7">
      <c r="E1998" s="658">
        <f ca="1">_xll.meDateFromTenor(E1997,"1D","Following",$C$16)</f>
        <v>46065</v>
      </c>
      <c r="F1998" s="659">
        <f ca="1"/>
        <v>1.7029531216277118E-2</v>
      </c>
      <c r="G1998" s="656">
        <v>1.7116440139139096E-2</v>
      </c>
    </row>
    <row r="1999" spans="5:7">
      <c r="E1999" s="658">
        <f ca="1">_xll.meDateFromTenor(E1998,"1D","Following",$C$16)</f>
        <v>46066</v>
      </c>
      <c r="F1999" s="659">
        <f ca="1"/>
        <v>1.7033028300438156E-2</v>
      </c>
      <c r="G1999" s="656">
        <v>1.7120150780851422E-2</v>
      </c>
    </row>
    <row r="2000" spans="5:7">
      <c r="E2000" s="658">
        <f ca="1">_xll.meDateFromTenor(E1999,"1D","Following",$C$16)</f>
        <v>46069</v>
      </c>
      <c r="F2000" s="659">
        <f ca="1"/>
        <v>1.7043513499009223E-2</v>
      </c>
      <c r="G2000" s="656">
        <v>1.7123858801705499E-2</v>
      </c>
    </row>
    <row r="2001" spans="5:7">
      <c r="E2001" s="658">
        <f ca="1">_xll.meDateFromTenor(E2000,"1D","Following",$C$16)</f>
        <v>46070</v>
      </c>
      <c r="F2001" s="659">
        <f ca="1"/>
        <v>1.704700654069331E-2</v>
      </c>
      <c r="G2001" s="656">
        <v>1.7127564188821966E-2</v>
      </c>
    </row>
    <row r="2002" spans="5:7">
      <c r="E2002" s="658">
        <f ca="1">_xll.meDateFromTenor(E2001,"1D","Following",$C$16)</f>
        <v>46071</v>
      </c>
      <c r="F2002" s="659">
        <f ca="1"/>
        <v>1.7050498566856469E-2</v>
      </c>
      <c r="G2002" s="656">
        <v>1.7131266929321449E-2</v>
      </c>
    </row>
    <row r="2003" spans="5:7">
      <c r="E2003" s="658">
        <f ca="1">_xll.meDateFromTenor(E2002,"1D","Following",$C$16)</f>
        <v>46072</v>
      </c>
      <c r="F2003" s="659">
        <f ca="1"/>
        <v>1.7053989575538022E-2</v>
      </c>
      <c r="G2003" s="656">
        <v>1.714235914232437E-2</v>
      </c>
    </row>
    <row r="2004" spans="5:7">
      <c r="E2004" s="658">
        <f ca="1">_xll.meDateFromTenor(E2003,"1D","Following",$C$16)</f>
        <v>46073</v>
      </c>
      <c r="F2004" s="659">
        <f ca="1"/>
        <v>1.7057479564777298E-2</v>
      </c>
      <c r="G2004" s="656">
        <v>1.7146051167562279E-2</v>
      </c>
    </row>
    <row r="2005" spans="5:7">
      <c r="E2005" s="658">
        <f ca="1">_xll.meDateFromTenor(E2004,"1D","Following",$C$16)</f>
        <v>46076</v>
      </c>
      <c r="F2005" s="659">
        <f ca="1"/>
        <v>1.7067943396234679E-2</v>
      </c>
      <c r="G2005" s="656">
        <v>1.7149740481786378E-2</v>
      </c>
    </row>
    <row r="2006" spans="5:7">
      <c r="E2006" s="658">
        <f ca="1">_xll.meDateFromTenor(E2005,"1D","Following",$C$16)</f>
        <v>46077</v>
      </c>
      <c r="F2006" s="659">
        <f ca="1"/>
        <v>1.7071429288098076E-2</v>
      </c>
      <c r="G2006" s="656">
        <v>1.7153427072117311E-2</v>
      </c>
    </row>
    <row r="2007" spans="5:7">
      <c r="E2007" s="658">
        <f ca="1">_xll.meDateFromTenor(E2006,"1D","Following",$C$16)</f>
        <v>46078</v>
      </c>
      <c r="F2007" s="659">
        <f ca="1"/>
        <v>1.7074914150715811E-2</v>
      </c>
      <c r="G2007" s="656">
        <v>1.7157110925675702E-2</v>
      </c>
    </row>
    <row r="2008" spans="5:7">
      <c r="E2008" s="658">
        <f ca="1">_xll.meDateFromTenor(E2007,"1D","Following",$C$16)</f>
        <v>46079</v>
      </c>
      <c r="F2008" s="659">
        <f ca="1"/>
        <v>1.7078397982127208E-2</v>
      </c>
      <c r="G2008" s="656">
        <v>1.7168145936921987E-2</v>
      </c>
    </row>
    <row r="2009" spans="5:7">
      <c r="E2009" s="658">
        <f ca="1">_xll.meDateFromTenor(E2008,"1D","Following",$C$16)</f>
        <v>46080</v>
      </c>
      <c r="F2009" s="659">
        <f ca="1"/>
        <v>1.7081880780371594E-2</v>
      </c>
      <c r="G2009" s="656">
        <v>1.7171818714596568E-2</v>
      </c>
    </row>
    <row r="2010" spans="5:7">
      <c r="E2010" s="658">
        <f ca="1">_xll.meDateFromTenor(E2009,"1D","Following",$C$16)</f>
        <v>46083</v>
      </c>
      <c r="F2010" s="659">
        <f ca="1"/>
        <v>1.7092322956495924E-2</v>
      </c>
      <c r="G2010" s="656">
        <v>1.7175488691101786E-2</v>
      </c>
    </row>
    <row r="2011" spans="5:7">
      <c r="E2011" s="658">
        <f ca="1">_xll.meDateFromTenor(E2010,"1D","Following",$C$16)</f>
        <v>46084</v>
      </c>
      <c r="F2011" s="659">
        <f ca="1"/>
        <v>1.7095801602465505E-2</v>
      </c>
      <c r="G2011" s="656">
        <v>1.7179155853558271E-2</v>
      </c>
    </row>
    <row r="2012" spans="5:7">
      <c r="E2012" s="658">
        <f ca="1">_xll.meDateFromTenor(E2011,"1D","Following",$C$16)</f>
        <v>46085</v>
      </c>
      <c r="F2012" s="659">
        <f ca="1"/>
        <v>1.7099279205464692E-2</v>
      </c>
      <c r="G2012" s="656">
        <v>1.7182820189086654E-2</v>
      </c>
    </row>
    <row r="2013" spans="5:7">
      <c r="E2013" s="658">
        <f ca="1">_xll.meDateFromTenor(E2012,"1D","Following",$C$16)</f>
        <v>46086</v>
      </c>
      <c r="F2013" s="659">
        <f ca="1"/>
        <v>1.7102755763532811E-2</v>
      </c>
      <c r="G2013" s="656">
        <v>1.7193796105309571E-2</v>
      </c>
    </row>
    <row r="2014" spans="5:7">
      <c r="E2014" s="658">
        <f ca="1">_xll.meDateFromTenor(E2013,"1D","Following",$C$16)</f>
        <v>46087</v>
      </c>
      <c r="F2014" s="659">
        <f ca="1"/>
        <v>1.7106231274709189E-2</v>
      </c>
      <c r="G2014" s="656">
        <v>1.719744900433191E-2</v>
      </c>
    </row>
    <row r="2015" spans="5:7">
      <c r="E2015" s="658">
        <f ca="1">_xll.meDateFromTenor(E2014,"1D","Following",$C$16)</f>
        <v>46090</v>
      </c>
      <c r="F2015" s="659">
        <f ca="1"/>
        <v>1.7116651507281099E-2</v>
      </c>
      <c r="G2015" s="656">
        <v>1.7201099012029326E-2</v>
      </c>
    </row>
    <row r="2016" spans="5:7">
      <c r="E2016" s="658">
        <f ca="1">_xll.meDateFromTenor(E2015,"1D","Following",$C$16)</f>
        <v>46091</v>
      </c>
      <c r="F2016" s="659">
        <f ca="1"/>
        <v>1.7120122811283736E-2</v>
      </c>
      <c r="G2016" s="656">
        <v>1.7204746115522449E-2</v>
      </c>
    </row>
    <row r="2017" spans="5:7">
      <c r="E2017" s="658">
        <f ca="1">_xll.meDateFromTenor(E2016,"1D","Following",$C$16)</f>
        <v>46092</v>
      </c>
      <c r="F2017" s="659">
        <f ca="1"/>
        <v>1.7123593058591253E-2</v>
      </c>
      <c r="G2017" s="656">
        <v>1.7208390301931914E-2</v>
      </c>
    </row>
    <row r="2018" spans="5:7">
      <c r="E2018" s="658">
        <f ca="1">_xll.meDateFromTenor(E2017,"1D","Following",$C$16)</f>
        <v>46093</v>
      </c>
      <c r="F2018" s="659">
        <f ca="1"/>
        <v>1.7127062247242975E-2</v>
      </c>
      <c r="G2018" s="656">
        <v>1.7219305229864718E-2</v>
      </c>
    </row>
    <row r="2019" spans="5:7">
      <c r="E2019" s="658">
        <f ca="1">_xll.meDateFromTenor(E2018,"1D","Following",$C$16)</f>
        <v>46094</v>
      </c>
      <c r="F2019" s="659">
        <f ca="1"/>
        <v>1.7130530375278216E-2</v>
      </c>
      <c r="G2019" s="656">
        <v>1.7222937619145905E-2</v>
      </c>
    </row>
    <row r="2020" spans="5:7">
      <c r="E2020" s="658">
        <f ca="1">_xll.meDateFromTenor(E2019,"1D","Following",$C$16)</f>
        <v>46097</v>
      </c>
      <c r="F2020" s="659">
        <f ca="1"/>
        <v>1.7140928376078331E-2</v>
      </c>
      <c r="G2020" s="656">
        <v>1.7226567026946603E-2</v>
      </c>
    </row>
    <row r="2021" spans="5:7">
      <c r="E2021" s="658">
        <f ca="1">_xll.meDateFromTenor(E2020,"1D","Following",$C$16)</f>
        <v>46098</v>
      </c>
      <c r="F2021" s="659">
        <f ca="1"/>
        <v>1.7144392242040913E-2</v>
      </c>
      <c r="G2021" s="656">
        <v>1.7230193440387453E-2</v>
      </c>
    </row>
    <row r="2022" spans="5:7">
      <c r="E2022" s="658">
        <f ca="1">_xll.meDateFromTenor(E2021,"1D","Following",$C$16)</f>
        <v>46099</v>
      </c>
      <c r="F2022" s="659">
        <f ca="1"/>
        <v>1.7147855037583638E-2</v>
      </c>
      <c r="G2022" s="656">
        <v>1.723381684658909E-2</v>
      </c>
    </row>
    <row r="2023" spans="5:7">
      <c r="E2023" s="658">
        <f ca="1">_xll.meDateFromTenor(E2022,"1D","Following",$C$16)</f>
        <v>46100</v>
      </c>
      <c r="F2023" s="659">
        <f ca="1"/>
        <v>1.7151316760745831E-2</v>
      </c>
      <c r="G2023" s="656">
        <v>1.7244668892965047E-2</v>
      </c>
    </row>
    <row r="2024" spans="5:7">
      <c r="E2024" s="658">
        <f ca="1">_xll.meDateFromTenor(E2023,"1D","Following",$C$16)</f>
        <v>46101</v>
      </c>
      <c r="F2024" s="659">
        <f ca="1"/>
        <v>1.7154777409566821E-2</v>
      </c>
      <c r="G2024" s="656">
        <v>1.7248280141416158E-2</v>
      </c>
    </row>
    <row r="2025" spans="5:7">
      <c r="E2025" s="658">
        <f ca="1">_xll.meDateFromTenor(E2024,"1D","Following",$C$16)</f>
        <v>46104</v>
      </c>
      <c r="F2025" s="659">
        <f ca="1"/>
        <v>1.7165152890375773E-2</v>
      </c>
      <c r="G2025" s="656">
        <v>1.7251888318231233E-2</v>
      </c>
    </row>
    <row r="2026" spans="5:7">
      <c r="E2026" s="658">
        <f ca="1">_xll.meDateFromTenor(E2025,"1D","Following",$C$16)</f>
        <v>46105</v>
      </c>
      <c r="F2026" s="659">
        <f ca="1"/>
        <v>1.716860922222517E-2</v>
      </c>
      <c r="G2026" s="656">
        <v>1.7255493410530901E-2</v>
      </c>
    </row>
    <row r="2027" spans="5:7">
      <c r="E2027" s="658">
        <f ca="1">_xll.meDateFromTenor(E2026,"1D","Following",$C$16)</f>
        <v>46106</v>
      </c>
      <c r="F2027" s="659">
        <f ca="1"/>
        <v>1.7172064469929981E-2</v>
      </c>
      <c r="G2027" s="656">
        <v>1.7259095405435788E-2</v>
      </c>
    </row>
    <row r="2028" spans="5:7">
      <c r="E2028" s="658">
        <f ca="1">_xll.meDateFromTenor(E2027,"1D","Following",$C$16)</f>
        <v>46107</v>
      </c>
      <c r="F2028" s="659">
        <f ca="1"/>
        <v>1.7175518631529527E-2</v>
      </c>
      <c r="G2028" s="656">
        <v>1.726988267698815E-2</v>
      </c>
    </row>
    <row r="2029" spans="5:7">
      <c r="E2029" s="658">
        <f ca="1">_xll.meDateFromTenor(E2028,"1D","Following",$C$16)</f>
        <v>46108</v>
      </c>
      <c r="F2029" s="659">
        <f ca="1"/>
        <v>1.7178971705063134E-2</v>
      </c>
      <c r="G2029" s="656">
        <v>1.7273472153520288E-2</v>
      </c>
    </row>
    <row r="2030" spans="5:7">
      <c r="E2030" s="658">
        <f ca="1">_xll.meDateFromTenor(E2029,"1D","Following",$C$16)</f>
        <v>46111</v>
      </c>
      <c r="F2030" s="659">
        <f ca="1"/>
        <v>1.7189324377661557E-2</v>
      </c>
      <c r="G2030" s="656">
        <v>1.727705846826082E-2</v>
      </c>
    </row>
    <row r="2031" spans="5:7">
      <c r="E2031" s="658">
        <f ca="1">_xll.meDateFromTenor(E2030,"1D","Following",$C$16)</f>
        <v>46112</v>
      </c>
      <c r="F2031" s="659">
        <f ca="1"/>
        <v>1.7192773079324649E-2</v>
      </c>
      <c r="G2031" s="656">
        <v>1.7280641608330385E-2</v>
      </c>
    </row>
    <row r="2032" spans="5:7">
      <c r="E2032" s="658">
        <f ca="1">_xll.meDateFromTenor(E2031,"1D","Following",$C$16)</f>
        <v>46113</v>
      </c>
      <c r="F2032" s="659">
        <f ca="1"/>
        <v>1.7196220683118421E-2</v>
      </c>
      <c r="G2032" s="656">
        <v>1.7284221560849616E-2</v>
      </c>
    </row>
    <row r="2033" spans="5:7">
      <c r="E2033" s="658">
        <f ca="1">_xll.meDateFromTenor(E2032,"1D","Following",$C$16)</f>
        <v>46114</v>
      </c>
      <c r="F2033" s="659">
        <f ca="1"/>
        <v>1.7199667187082199E-2</v>
      </c>
      <c r="G2033" s="656">
        <v>1.7294942164311652E-2</v>
      </c>
    </row>
    <row r="2034" spans="5:7">
      <c r="E2034" s="658">
        <f ca="1">_xll.meDateFromTenor(E2033,"1D","Following",$C$16)</f>
        <v>46119</v>
      </c>
      <c r="F2034" s="659">
        <f ca="1"/>
        <v>1.7216883140827494E-2</v>
      </c>
      <c r="G2034" s="656">
        <v>1.7298509237835893E-2</v>
      </c>
    </row>
    <row r="2035" spans="5:7">
      <c r="E2035" s="658">
        <f ca="1">_xll.meDateFromTenor(E2034,"1D","Following",$C$16)</f>
        <v>46120</v>
      </c>
      <c r="F2035" s="659">
        <f ca="1"/>
        <v>1.7220323004637099E-2</v>
      </c>
      <c r="G2035" s="656">
        <v>1.7302073059412972E-2</v>
      </c>
    </row>
    <row r="2036" spans="5:7">
      <c r="E2036" s="658">
        <f ca="1">_xll.meDateFromTenor(E2035,"1D","Following",$C$16)</f>
        <v>46121</v>
      </c>
      <c r="F2036" s="659">
        <f ca="1"/>
        <v>1.7223761754891983E-2</v>
      </c>
      <c r="G2036" s="656">
        <v>1.7305633616163527E-2</v>
      </c>
    </row>
    <row r="2037" spans="5:7">
      <c r="E2037" s="658">
        <f ca="1">_xll.meDateFromTenor(E2036,"1D","Following",$C$16)</f>
        <v>46122</v>
      </c>
      <c r="F2037" s="659">
        <f ca="1"/>
        <v>1.7227199389631465E-2</v>
      </c>
      <c r="G2037" s="656">
        <v>1.7323386976740584E-2</v>
      </c>
    </row>
    <row r="2038" spans="5:7">
      <c r="E2038" s="658">
        <f ca="1">_xll.meDateFromTenor(E2037,"1D","Following",$C$16)</f>
        <v>46125</v>
      </c>
      <c r="F2038" s="659">
        <f ca="1"/>
        <v>1.7237505581150725E-2</v>
      </c>
      <c r="G2038" s="656">
        <v>1.7326927674065296E-2</v>
      </c>
    </row>
    <row r="2039" spans="5:7">
      <c r="E2039" s="658">
        <f ca="1">_xll.meDateFromTenor(E2038,"1D","Following",$C$16)</f>
        <v>46126</v>
      </c>
      <c r="F2039" s="659">
        <f ca="1"/>
        <v>1.724093873422183E-2</v>
      </c>
      <c r="G2039" s="656">
        <v>1.733046501640792E-2</v>
      </c>
    </row>
    <row r="2040" spans="5:7">
      <c r="E2040" s="658">
        <f ca="1">_xll.meDateFromTenor(E2039,"1D","Following",$C$16)</f>
        <v>46127</v>
      </c>
      <c r="F2040" s="659">
        <f ca="1"/>
        <v>1.7244370761974159E-2</v>
      </c>
      <c r="G2040" s="656">
        <v>1.7333998990889096E-2</v>
      </c>
    </row>
    <row r="2041" spans="5:7">
      <c r="E2041" s="658">
        <f ca="1">_xll.meDateFromTenor(E2040,"1D","Following",$C$16)</f>
        <v>46128</v>
      </c>
      <c r="F2041" s="659">
        <f ca="1"/>
        <v>1.7247801662447024E-2</v>
      </c>
      <c r="G2041" s="656">
        <v>1.7344580578370256E-2</v>
      </c>
    </row>
    <row r="2042" spans="5:7">
      <c r="E2042" s="658">
        <f ca="1">_xll.meDateFromTenor(E2041,"1D","Following",$C$16)</f>
        <v>46129</v>
      </c>
      <c r="F2042" s="659">
        <f ca="1"/>
        <v>1.7251231433679758E-2</v>
      </c>
      <c r="G2042" s="656">
        <v>1.734810095261197E-2</v>
      </c>
    </row>
    <row r="2043" spans="5:7">
      <c r="E2043" s="658">
        <f ca="1">_xll.meDateFromTenor(E2042,"1D","Following",$C$16)</f>
        <v>46132</v>
      </c>
      <c r="F2043" s="659">
        <f ca="1"/>
        <v>1.7261513952330384E-2</v>
      </c>
      <c r="G2043" s="656">
        <v>1.7351617894595401E-2</v>
      </c>
    </row>
    <row r="2044" spans="5:7">
      <c r="E2044" s="658">
        <f ca="1">_xll.meDateFromTenor(E2043,"1D","Following",$C$16)</f>
        <v>46133</v>
      </c>
      <c r="F2044" s="659">
        <f ca="1"/>
        <v>1.7264939186995815E-2</v>
      </c>
      <c r="G2044" s="656">
        <v>1.7355131391441188E-2</v>
      </c>
    </row>
    <row r="2045" spans="5:7">
      <c r="E2045" s="658">
        <f ca="1">_xll.meDateFromTenor(E2044,"1D","Following",$C$16)</f>
        <v>46134</v>
      </c>
      <c r="F2045" s="659">
        <f ca="1"/>
        <v>1.7268363282617737E-2</v>
      </c>
      <c r="G2045" s="656">
        <v>1.7358641430269963E-2</v>
      </c>
    </row>
    <row r="2046" spans="5:7">
      <c r="E2046" s="658">
        <f ca="1">_xll.meDateFromTenor(E2045,"1D","Following",$C$16)</f>
        <v>46135</v>
      </c>
      <c r="F2046" s="659">
        <f ca="1"/>
        <v>1.7271786237235461E-2</v>
      </c>
      <c r="G2046" s="656">
        <v>1.7369150669860577E-2</v>
      </c>
    </row>
    <row r="2047" spans="5:7">
      <c r="E2047" s="658">
        <f ca="1">_xll.meDateFromTenor(E2046,"1D","Following",$C$16)</f>
        <v>46136</v>
      </c>
      <c r="F2047" s="659">
        <f ca="1"/>
        <v>1.7275208048888321E-2</v>
      </c>
      <c r="G2047" s="656">
        <v>1.7372646747827656E-2</v>
      </c>
    </row>
    <row r="2048" spans="5:7">
      <c r="E2048" s="658">
        <f ca="1">_xll.meDateFromTenor(E2047,"1D","Following",$C$16)</f>
        <v>46139</v>
      </c>
      <c r="F2048" s="659">
        <f ca="1"/>
        <v>1.7285466606450944E-2</v>
      </c>
      <c r="G2048" s="656">
        <v>1.7376139303380896E-2</v>
      </c>
    </row>
    <row r="2049" spans="5:7">
      <c r="E2049" s="658">
        <f ca="1">_xll.meDateFromTenor(E2048,"1D","Following",$C$16)</f>
        <v>46140</v>
      </c>
      <c r="F2049" s="659">
        <f ca="1"/>
        <v>1.7288883826637576E-2</v>
      </c>
      <c r="G2049" s="656">
        <v>1.7379628323640928E-2</v>
      </c>
    </row>
    <row r="2050" spans="5:7">
      <c r="E2050" s="658">
        <f ca="1">_xll.meDateFromTenor(E2049,"1D","Following",$C$16)</f>
        <v>46141</v>
      </c>
      <c r="F2050" s="659">
        <f ca="1"/>
        <v>1.7292299894055965E-2</v>
      </c>
      <c r="G2050" s="656">
        <v>1.7383113795728395E-2</v>
      </c>
    </row>
    <row r="2051" spans="5:7">
      <c r="E2051" s="658">
        <f ca="1">_xll.meDateFromTenor(E2050,"1D","Following",$C$16)</f>
        <v>46142</v>
      </c>
      <c r="F2051" s="659">
        <f ca="1"/>
        <v>1.7295714806745431E-2</v>
      </c>
      <c r="G2051" s="656">
        <v>1.7393548794161717E-2</v>
      </c>
    </row>
    <row r="2052" spans="5:7">
      <c r="E2052" s="658">
        <f ca="1">_xll.meDateFromTenor(E2051,"1D","Following",$C$16)</f>
        <v>46146</v>
      </c>
      <c r="F2052" s="659">
        <f ca="1"/>
        <v>1.7309362871000548E-2</v>
      </c>
      <c r="G2052" s="656">
        <v>1.7397019944765248E-2</v>
      </c>
    </row>
    <row r="2053" spans="5:7">
      <c r="E2053" s="658">
        <f ca="1">_xll.meDateFromTenor(E2052,"1D","Following",$C$16)</f>
        <v>46147</v>
      </c>
      <c r="F2053" s="659">
        <f ca="1"/>
        <v>1.7312771980635258E-2</v>
      </c>
      <c r="G2053" s="656">
        <v>1.7400487482799383E-2</v>
      </c>
    </row>
    <row r="2054" spans="5:7">
      <c r="E2054" s="658">
        <f ca="1">_xll.meDateFromTenor(E2053,"1D","Following",$C$16)</f>
        <v>46148</v>
      </c>
      <c r="F2054" s="659">
        <f ca="1"/>
        <v>1.7316179923776997E-2</v>
      </c>
      <c r="G2054" s="656">
        <v>1.740395139538475E-2</v>
      </c>
    </row>
    <row r="2055" spans="5:7">
      <c r="E2055" s="658">
        <f ca="1">_xll.meDateFromTenor(E2054,"1D","Following",$C$16)</f>
        <v>46149</v>
      </c>
      <c r="F2055" s="659">
        <f ca="1"/>
        <v>1.7319586698465072E-2</v>
      </c>
      <c r="G2055" s="656">
        <v>1.7417770533651289E-2</v>
      </c>
    </row>
    <row r="2056" spans="5:7">
      <c r="E2056" s="658">
        <f ca="1">_xll.meDateFromTenor(E2055,"1D","Following",$C$16)</f>
        <v>46150</v>
      </c>
      <c r="F2056" s="659">
        <f ca="1"/>
        <v>1.7322992302738826E-2</v>
      </c>
      <c r="G2056" s="656">
        <v>1.7421216130306609E-2</v>
      </c>
    </row>
    <row r="2057" spans="5:7">
      <c r="E2057" s="658">
        <f ca="1">_xll.meDateFromTenor(E2056,"1D","Following",$C$16)</f>
        <v>46153</v>
      </c>
      <c r="F2057" s="659">
        <f ca="1"/>
        <v>1.7333202151181483E-2</v>
      </c>
      <c r="G2057" s="656">
        <v>1.7424658051262469E-2</v>
      </c>
    </row>
    <row r="2058" spans="5:7">
      <c r="E2058" s="658">
        <f ca="1">_xll.meDateFromTenor(E2057,"1D","Following",$C$16)</f>
        <v>46154</v>
      </c>
      <c r="F2058" s="659">
        <f ca="1"/>
        <v>1.7336603160688323E-2</v>
      </c>
      <c r="G2058" s="656">
        <v>1.7428096310664991E-2</v>
      </c>
    </row>
    <row r="2059" spans="5:7">
      <c r="E2059" s="658">
        <f ca="1">_xll.meDateFromTenor(E2058,"1D","Following",$C$16)</f>
        <v>46155</v>
      </c>
      <c r="F2059" s="659">
        <f ca="1"/>
        <v>1.734000305905669E-2</v>
      </c>
      <c r="G2059" s="656">
        <v>1.7431530922660313E-2</v>
      </c>
    </row>
    <row r="2060" spans="5:7">
      <c r="E2060" s="658">
        <f ca="1">_xll.meDateFromTenor(E2059,"1D","Following",$C$16)</f>
        <v>46156</v>
      </c>
      <c r="F2060" s="659">
        <f ca="1"/>
        <v>1.734340186159573E-2</v>
      </c>
      <c r="G2060" s="656">
        <v>1.7441813015664331E-2</v>
      </c>
    </row>
    <row r="2061" spans="5:7">
      <c r="E2061" s="658">
        <f ca="1">_xll.meDateFromTenor(E2060,"1D","Following",$C$16)</f>
        <v>46157</v>
      </c>
      <c r="F2061" s="659">
        <f ca="1"/>
        <v>1.734679958361458E-2</v>
      </c>
      <c r="G2061" s="656">
        <v>1.7445233179492117E-2</v>
      </c>
    </row>
    <row r="2062" spans="5:7">
      <c r="E2062" s="658">
        <f ca="1">_xll.meDateFromTenor(E2061,"1D","Following",$C$16)</f>
        <v>46160</v>
      </c>
      <c r="F2062" s="659">
        <f ca="1"/>
        <v>1.7356986419641295E-2</v>
      </c>
      <c r="G2062" s="656">
        <v>1.744864976664335E-2</v>
      </c>
    </row>
    <row r="2063" spans="5:7">
      <c r="E2063" s="658">
        <f ca="1">_xll.meDateFromTenor(E2062,"1D","Following",$C$16)</f>
        <v>46161</v>
      </c>
      <c r="F2063" s="659">
        <f ca="1"/>
        <v>1.7360379972670714E-2</v>
      </c>
      <c r="G2063" s="656">
        <v>1.7452062791264142E-2</v>
      </c>
    </row>
    <row r="2064" spans="5:7">
      <c r="E2064" s="658">
        <f ca="1">_xll.meDateFromTenor(E2063,"1D","Following",$C$16)</f>
        <v>46162</v>
      </c>
      <c r="F2064" s="659">
        <f ca="1"/>
        <v>1.7363772521725607E-2</v>
      </c>
      <c r="G2064" s="656">
        <v>1.7455472267500632E-2</v>
      </c>
    </row>
    <row r="2065" spans="5:7">
      <c r="E2065" s="658">
        <f ca="1">_xll.meDateFromTenor(E2064,"1D","Following",$C$16)</f>
        <v>46163</v>
      </c>
      <c r="F2065" s="659">
        <f ca="1"/>
        <v>1.7367164082115121E-2</v>
      </c>
      <c r="G2065" s="656">
        <v>1.7465679547365581E-2</v>
      </c>
    </row>
    <row r="2066" spans="5:7">
      <c r="E2066" s="658">
        <f ca="1">_xll.meDateFromTenor(E2065,"1D","Following",$C$16)</f>
        <v>46164</v>
      </c>
      <c r="F2066" s="659">
        <f ca="1"/>
        <v>1.7370554669148386E-2</v>
      </c>
      <c r="G2066" s="656">
        <v>1.7469074971526149E-2</v>
      </c>
    </row>
    <row r="2067" spans="5:7">
      <c r="E2067" s="658">
        <f ca="1">_xll.meDateFromTenor(E2066,"1D","Following",$C$16)</f>
        <v>46167</v>
      </c>
      <c r="F2067" s="659">
        <f ca="1"/>
        <v>1.7380720743202027E-2</v>
      </c>
      <c r="G2067" s="656">
        <v>1.7472466918033058E-2</v>
      </c>
    </row>
    <row r="2068" spans="5:7">
      <c r="E2068" s="658">
        <f ca="1">_xll.meDateFromTenor(E2067,"1D","Following",$C$16)</f>
        <v>46168</v>
      </c>
      <c r="F2068" s="659">
        <f ca="1"/>
        <v>1.7384107589901648E-2</v>
      </c>
      <c r="G2068" s="656">
        <v>1.7475855401032435E-2</v>
      </c>
    </row>
    <row r="2069" spans="5:7">
      <c r="E2069" s="658">
        <f ca="1">_xll.meDateFromTenor(E2068,"1D","Following",$C$16)</f>
        <v>46169</v>
      </c>
      <c r="F2069" s="659">
        <f ca="1"/>
        <v>1.7387493539790692E-2</v>
      </c>
      <c r="G2069" s="656">
        <v>1.7479240434670418E-2</v>
      </c>
    </row>
    <row r="2070" spans="5:7">
      <c r="E2070" s="658">
        <f ca="1">_xll.meDateFromTenor(E2069,"1D","Following",$C$16)</f>
        <v>46170</v>
      </c>
      <c r="F2070" s="659">
        <f ca="1"/>
        <v>1.7390878608178298E-2</v>
      </c>
      <c r="G2070" s="656">
        <v>1.7489374980877222E-2</v>
      </c>
    </row>
    <row r="2071" spans="5:7">
      <c r="E2071" s="658">
        <f ca="1">_xll.meDateFromTenor(E2070,"1D","Following",$C$16)</f>
        <v>46171</v>
      </c>
      <c r="F2071" s="659">
        <f ca="1"/>
        <v>1.7394262810373595E-2</v>
      </c>
      <c r="G2071" s="656">
        <v>1.7492746358530882E-2</v>
      </c>
    </row>
    <row r="2072" spans="5:7">
      <c r="E2072" s="658">
        <f ca="1">_xll.meDateFromTenor(E2071,"1D","Following",$C$16)</f>
        <v>46174</v>
      </c>
      <c r="F2072" s="659">
        <f ca="1"/>
        <v>1.7404410372897035E-2</v>
      </c>
      <c r="G2072" s="656">
        <v>1.7496114357553782E-2</v>
      </c>
    </row>
    <row r="2073" spans="5:7">
      <c r="E2073" s="658">
        <f ca="1">_xll.meDateFromTenor(E2072,"1D","Following",$C$16)</f>
        <v>46175</v>
      </c>
      <c r="F2073" s="659">
        <f ca="1"/>
        <v>1.7407791263414477E-2</v>
      </c>
      <c r="G2073" s="656">
        <v>1.7499478992092053E-2</v>
      </c>
    </row>
    <row r="2074" spans="5:7">
      <c r="E2074" s="658">
        <f ca="1">_xll.meDateFromTenor(E2073,"1D","Following",$C$16)</f>
        <v>46176</v>
      </c>
      <c r="F2074" s="659">
        <f ca="1"/>
        <v>1.7411171364285292E-2</v>
      </c>
      <c r="G2074" s="656">
        <v>1.7502840276291825E-2</v>
      </c>
    </row>
    <row r="2075" spans="5:7">
      <c r="E2075" s="658">
        <f ca="1">_xll.meDateFromTenor(E2074,"1D","Following",$C$16)</f>
        <v>46177</v>
      </c>
      <c r="F2075" s="659">
        <f ca="1"/>
        <v>1.7414550690818612E-2</v>
      </c>
      <c r="G2075" s="656">
        <v>1.7512904168321429E-2</v>
      </c>
    </row>
    <row r="2076" spans="5:7">
      <c r="E2076" s="658">
        <f ca="1">_xll.meDateFromTenor(E2075,"1D","Following",$C$16)</f>
        <v>46178</v>
      </c>
      <c r="F2076" s="659">
        <f ca="1"/>
        <v>1.7417929258323576E-2</v>
      </c>
      <c r="G2076" s="656">
        <v>1.7516252192628489E-2</v>
      </c>
    </row>
    <row r="2077" spans="5:7">
      <c r="E2077" s="658">
        <f ca="1">_xll.meDateFromTenor(E2076,"1D","Following",$C$16)</f>
        <v>46181</v>
      </c>
      <c r="F2077" s="659">
        <f ca="1"/>
        <v>1.7428060559759678E-2</v>
      </c>
      <c r="G2077" s="656">
        <v>1.7519596937327693E-2</v>
      </c>
    </row>
    <row r="2078" spans="5:7">
      <c r="E2078" s="658">
        <f ca="1">_xll.meDateFromTenor(E2077,"1D","Following",$C$16)</f>
        <v>46182</v>
      </c>
      <c r="F2078" s="659">
        <f ca="1"/>
        <v>1.7431436244242569E-2</v>
      </c>
      <c r="G2078" s="656">
        <v>1.752293841656517E-2</v>
      </c>
    </row>
    <row r="2079" spans="5:7">
      <c r="E2079" s="658">
        <f ca="1">_xll.meDateFromTenor(E2078,"1D","Following",$C$16)</f>
        <v>46183</v>
      </c>
      <c r="F2079" s="659">
        <f ca="1"/>
        <v>1.7434811246242774E-2</v>
      </c>
      <c r="G2079" s="656">
        <v>1.7526276644487047E-2</v>
      </c>
    </row>
    <row r="2080" spans="5:7">
      <c r="E2080" s="658">
        <f ca="1">_xll.meDateFromTenor(E2079,"1D","Following",$C$16)</f>
        <v>46184</v>
      </c>
      <c r="F2080" s="659">
        <f ca="1"/>
        <v>1.7438185581069434E-2</v>
      </c>
      <c r="G2080" s="656">
        <v>1.7536271961820376E-2</v>
      </c>
    </row>
    <row r="2081" spans="5:7">
      <c r="E2081" s="658">
        <f ca="1">_xll.meDateFromTenor(E2080,"1D","Following",$C$16)</f>
        <v>46185</v>
      </c>
      <c r="F2081" s="659">
        <f ca="1"/>
        <v>1.7441559264031684E-2</v>
      </c>
      <c r="G2081" s="656">
        <v>1.753959732594115E-2</v>
      </c>
    </row>
    <row r="2082" spans="5:7">
      <c r="E2082" s="658">
        <f ca="1">_xll.meDateFromTenor(E2081,"1D","Following",$C$16)</f>
        <v>46188</v>
      </c>
      <c r="F2082" s="659">
        <f ca="1"/>
        <v>1.7451676554823319E-2</v>
      </c>
      <c r="G2082" s="656">
        <v>1.7542919509476965E-2</v>
      </c>
    </row>
    <row r="2083" spans="5:7">
      <c r="E2083" s="658">
        <f ca="1">_xll.meDateFromTenor(E2082,"1D","Following",$C$16)</f>
        <v>46189</v>
      </c>
      <c r="F2083" s="659">
        <f ca="1"/>
        <v>1.7455047783419275E-2</v>
      </c>
      <c r="G2083" s="656">
        <v>1.754623852657396E-2</v>
      </c>
    </row>
    <row r="2084" spans="5:7">
      <c r="E2084" s="658">
        <f ca="1">_xll.meDateFromTenor(E2083,"1D","Following",$C$16)</f>
        <v>46190</v>
      </c>
      <c r="F2084" s="659">
        <f ca="1"/>
        <v>1.7458418436696502E-2</v>
      </c>
      <c r="G2084" s="656">
        <v>1.7549554391378251E-2</v>
      </c>
    </row>
    <row r="2085" spans="5:7">
      <c r="E2085" s="658">
        <f ca="1">_xll.meDateFromTenor(E2084,"1D","Following",$C$16)</f>
        <v>46191</v>
      </c>
      <c r="F2085" s="659">
        <f ca="1"/>
        <v>1.746178852996412E-2</v>
      </c>
      <c r="G2085" s="656">
        <v>1.7559483213496239E-2</v>
      </c>
    </row>
    <row r="2086" spans="5:7">
      <c r="E2086" s="658">
        <f ca="1">_xll.meDateFromTenor(E2085,"1D","Following",$C$16)</f>
        <v>46192</v>
      </c>
      <c r="F2086" s="659">
        <f ca="1"/>
        <v>1.7465158078531277E-2</v>
      </c>
      <c r="G2086" s="656">
        <v>1.7562786610591033E-2</v>
      </c>
    </row>
    <row r="2087" spans="5:7">
      <c r="E2087" s="658">
        <f ca="1">_xll.meDateFromTenor(E2086,"1D","Following",$C$16)</f>
        <v>46195</v>
      </c>
      <c r="F2087" s="659">
        <f ca="1"/>
        <v>1.747526360912131E-2</v>
      </c>
      <c r="G2087" s="656">
        <v>1.7566086926123776E-2</v>
      </c>
    </row>
    <row r="2088" spans="5:7">
      <c r="E2088" s="658">
        <f ca="1">_xll.meDateFromTenor(E2087,"1D","Following",$C$16)</f>
        <v>46196</v>
      </c>
      <c r="F2088" s="659">
        <f ca="1"/>
        <v>1.7478631131977961E-2</v>
      </c>
      <c r="G2088" s="656">
        <v>1.7569384174240591E-2</v>
      </c>
    </row>
    <row r="2089" spans="5:7">
      <c r="E2089" s="658">
        <f ca="1">_xll.meDateFromTenor(E2088,"1D","Following",$C$16)</f>
        <v>46197</v>
      </c>
      <c r="F2089" s="659">
        <f ca="1"/>
        <v>1.7481998186679823E-2</v>
      </c>
      <c r="G2089" s="656">
        <v>1.7572678369087612E-2</v>
      </c>
    </row>
    <row r="2090" spans="5:7">
      <c r="E2090" s="658">
        <f ca="1">_xll.meDateFromTenor(E2089,"1D","Following",$C$16)</f>
        <v>46198</v>
      </c>
      <c r="F2090" s="659">
        <f ca="1"/>
        <v>1.7485364788536028E-2</v>
      </c>
      <c r="G2090" s="656">
        <v>1.7582542775471194E-2</v>
      </c>
    </row>
    <row r="2091" spans="5:7">
      <c r="E2091" s="658">
        <f ca="1">_xll.meDateFromTenor(E2090,"1D","Following",$C$16)</f>
        <v>46199</v>
      </c>
      <c r="F2091" s="659">
        <f ca="1"/>
        <v>1.7488730952855715E-2</v>
      </c>
      <c r="G2091" s="656">
        <v>1.7585824898700322E-2</v>
      </c>
    </row>
    <row r="2092" spans="5:7">
      <c r="E2092" s="658">
        <f ca="1">_xll.meDateFromTenor(E2091,"1D","Following",$C$16)</f>
        <v>46202</v>
      </c>
      <c r="F2092" s="659">
        <f ca="1"/>
        <v>1.7498826973687018E-2</v>
      </c>
      <c r="G2092" s="656">
        <v>1.7589104039390298E-2</v>
      </c>
    </row>
    <row r="2093" spans="5:7">
      <c r="E2093" s="658">
        <f ca="1">_xll.meDateFromTenor(E2092,"1D","Following",$C$16)</f>
        <v>46203</v>
      </c>
      <c r="F2093" s="659">
        <f ca="1"/>
        <v>1.7502191540951981E-2</v>
      </c>
      <c r="G2093" s="656">
        <v>1.7592380211687252E-2</v>
      </c>
    </row>
    <row r="2094" spans="5:7">
      <c r="E2094" s="658">
        <f ca="1">_xll.meDateFromTenor(E2093,"1D","Following",$C$16)</f>
        <v>46204</v>
      </c>
      <c r="F2094" s="659">
        <f ca="1"/>
        <v>1.7505555747226103E-2</v>
      </c>
      <c r="G2094" s="656">
        <v>1.7595653429737311E-2</v>
      </c>
    </row>
    <row r="2095" spans="5:7">
      <c r="E2095" s="658">
        <f ca="1">_xll.meDateFromTenor(E2094,"1D","Following",$C$16)</f>
        <v>46205</v>
      </c>
      <c r="F2095" s="659">
        <f ca="1"/>
        <v>1.7508919607818516E-2</v>
      </c>
      <c r="G2095" s="656">
        <v>1.7605455499867414E-2</v>
      </c>
    </row>
    <row r="2096" spans="5:7">
      <c r="E2096" s="658">
        <f ca="1">_xll.meDateFromTenor(E2095,"1D","Following",$C$16)</f>
        <v>46206</v>
      </c>
      <c r="F2096" s="659">
        <f ca="1"/>
        <v>1.7512283138038359E-2</v>
      </c>
      <c r="G2096" s="656">
        <v>1.7608717042391187E-2</v>
      </c>
    </row>
    <row r="2097" spans="5:7">
      <c r="E2097" s="658">
        <f ca="1">_xll.meDateFromTenor(E2096,"1D","Following",$C$16)</f>
        <v>46209</v>
      </c>
      <c r="F2097" s="659">
        <f ca="1"/>
        <v>1.7522371899553794E-2</v>
      </c>
      <c r="G2097" s="656">
        <v>1.7611975701398708E-2</v>
      </c>
    </row>
    <row r="2098" spans="5:7">
      <c r="E2098" s="658">
        <f ca="1">_xll.meDateFromTenor(E2097,"1D","Following",$C$16)</f>
        <v>46210</v>
      </c>
      <c r="F2098" s="659">
        <f ca="1"/>
        <v>1.7525734261374697E-2</v>
      </c>
      <c r="G2098" s="656">
        <v>1.761523149103611E-2</v>
      </c>
    </row>
    <row r="2099" spans="5:7">
      <c r="E2099" s="658">
        <f ca="1">_xll.meDateFromTenor(E2098,"1D","Following",$C$16)</f>
        <v>46211</v>
      </c>
      <c r="F2099" s="659">
        <f ca="1"/>
        <v>1.7529096369368703E-2</v>
      </c>
      <c r="G2099" s="656">
        <v>1.761848442544952E-2</v>
      </c>
    </row>
    <row r="2100" spans="5:7">
      <c r="E2100" s="658">
        <f ca="1">_xll.meDateFromTenor(E2099,"1D","Following",$C$16)</f>
        <v>46212</v>
      </c>
      <c r="F2100" s="659">
        <f ca="1"/>
        <v>1.7532458238844945E-2</v>
      </c>
      <c r="G2100" s="656">
        <v>1.7628226238807079E-2</v>
      </c>
    </row>
    <row r="2101" spans="5:7">
      <c r="E2101" s="658">
        <f ca="1">_xll.meDateFromTenor(E2100,"1D","Following",$C$16)</f>
        <v>46213</v>
      </c>
      <c r="F2101" s="659">
        <f ca="1"/>
        <v>1.7535819885112561E-2</v>
      </c>
      <c r="G2101" s="656">
        <v>1.7631467893785807E-2</v>
      </c>
    </row>
    <row r="2102" spans="5:7">
      <c r="E2102" s="658">
        <f ca="1">_xll.meDateFromTenor(E2101,"1D","Following",$C$16)</f>
        <v>46216</v>
      </c>
      <c r="F2102" s="659">
        <f ca="1"/>
        <v>1.7545903637755003E-2</v>
      </c>
      <c r="G2102" s="656">
        <v>1.7634706764271185E-2</v>
      </c>
    </row>
    <row r="2103" spans="5:7">
      <c r="E2103" s="658">
        <f ca="1">_xll.meDateFromTenor(E2102,"1D","Following",$C$16)</f>
        <v>46217</v>
      </c>
      <c r="F2103" s="659">
        <f ca="1"/>
        <v>1.7549264544279467E-2</v>
      </c>
      <c r="G2103" s="656">
        <v>1.7637942864409343E-2</v>
      </c>
    </row>
    <row r="2104" spans="5:7">
      <c r="E2104" s="658">
        <f ca="1">_xll.meDateFromTenor(E2103,"1D","Following",$C$16)</f>
        <v>46218</v>
      </c>
      <c r="F2104" s="659">
        <f ca="1"/>
        <v>1.7552625304140979E-2</v>
      </c>
      <c r="G2104" s="656">
        <v>1.7641176208346411E-2</v>
      </c>
    </row>
    <row r="2105" spans="5:7">
      <c r="E2105" s="658">
        <f ca="1">_xll.meDateFromTenor(E2104,"1D","Following",$C$16)</f>
        <v>46219</v>
      </c>
      <c r="F2105" s="659">
        <f ca="1"/>
        <v>1.7555985932648673E-2</v>
      </c>
      <c r="G2105" s="656">
        <v>1.7650859844412361E-2</v>
      </c>
    </row>
    <row r="2106" spans="5:7">
      <c r="E2106" s="658">
        <f ca="1">_xll.meDateFromTenor(E2105,"1D","Following",$C$16)</f>
        <v>46220</v>
      </c>
      <c r="F2106" s="659">
        <f ca="1"/>
        <v>1.7559346445111691E-2</v>
      </c>
      <c r="G2106" s="656">
        <v>1.7654082305006355E-2</v>
      </c>
    </row>
    <row r="2107" spans="5:7">
      <c r="E2107" s="658">
        <f ca="1">_xll.meDateFromTenor(E2106,"1D","Following",$C$16)</f>
        <v>46223</v>
      </c>
      <c r="F2107" s="659">
        <f ca="1"/>
        <v>1.7569427439324003E-2</v>
      </c>
      <c r="G2107" s="656">
        <v>1.7657302080129899E-2</v>
      </c>
    </row>
    <row r="2108" spans="5:7">
      <c r="E2108" s="658">
        <f ca="1">_xll.meDateFromTenor(E2107,"1D","Following",$C$16)</f>
        <v>46224</v>
      </c>
      <c r="F2108" s="659">
        <f ca="1"/>
        <v>1.7572787640699649E-2</v>
      </c>
      <c r="G2108" s="656">
        <v>1.7660519183929128E-2</v>
      </c>
    </row>
    <row r="2109" spans="5:7">
      <c r="E2109" s="658">
        <f ca="1">_xll.meDateFromTenor(E2108,"1D","Following",$C$16)</f>
        <v>46225</v>
      </c>
      <c r="F2109" s="659">
        <f ca="1"/>
        <v>1.7576147802576287E-2</v>
      </c>
      <c r="G2109" s="656">
        <v>1.7663733630550169E-2</v>
      </c>
    </row>
    <row r="2110" spans="5:7">
      <c r="E2110" s="658">
        <f ca="1">_xll.meDateFromTenor(E2109,"1D","Following",$C$16)</f>
        <v>46226</v>
      </c>
      <c r="F2110" s="659">
        <f ca="1"/>
        <v>1.7579507940263063E-2</v>
      </c>
      <c r="G2110" s="656">
        <v>1.7673361168805437E-2</v>
      </c>
    </row>
    <row r="2111" spans="5:7">
      <c r="E2111" s="658">
        <f ca="1">_xll.meDateFromTenor(E2110,"1D","Following",$C$16)</f>
        <v>46227</v>
      </c>
      <c r="F2111" s="659">
        <f ca="1"/>
        <v>1.7582868069069096E-2</v>
      </c>
      <c r="G2111" s="656">
        <v>1.7676565128175007E-2</v>
      </c>
    </row>
    <row r="2112" spans="5:7">
      <c r="E2112" s="658">
        <f ca="1">_xll.meDateFromTenor(E2111,"1D","Following",$C$16)</f>
        <v>46230</v>
      </c>
      <c r="F2112" s="659">
        <f ca="1"/>
        <v>1.7592948555294152E-2</v>
      </c>
      <c r="G2112" s="656">
        <v>1.7679766501097031E-2</v>
      </c>
    </row>
    <row r="2113" spans="5:7">
      <c r="E2113" s="658">
        <f ca="1">_xll.meDateFromTenor(E2112,"1D","Following",$C$16)</f>
        <v>46231</v>
      </c>
      <c r="F2113" s="659">
        <f ca="1"/>
        <v>1.7596308801668605E-2</v>
      </c>
      <c r="G2113" s="656">
        <v>1.7682965301717635E-2</v>
      </c>
    </row>
    <row r="2114" spans="5:7">
      <c r="E2114" s="658">
        <f ca="1">_xll.meDateFromTenor(E2113,"1D","Following",$C$16)</f>
        <v>46232</v>
      </c>
      <c r="F2114" s="659">
        <f ca="1"/>
        <v>1.7599669115707994E-2</v>
      </c>
      <c r="G2114" s="656">
        <v>1.7686161544182958E-2</v>
      </c>
    </row>
    <row r="2115" spans="5:7">
      <c r="E2115" s="658">
        <f ca="1">_xll.meDateFromTenor(E2114,"1D","Following",$C$16)</f>
        <v>46233</v>
      </c>
      <c r="F2115" s="659">
        <f ca="1"/>
        <v>1.7603029512721465E-2</v>
      </c>
      <c r="G2115" s="656">
        <v>1.769573506410848E-2</v>
      </c>
    </row>
    <row r="2116" spans="5:7">
      <c r="E2116" s="658">
        <f ca="1">_xll.meDateFromTenor(E2115,"1D","Following",$C$16)</f>
        <v>46234</v>
      </c>
      <c r="F2116" s="659">
        <f ca="1"/>
        <v>1.7606390008018148E-2</v>
      </c>
      <c r="G2116" s="656">
        <v>1.769892121541394E-2</v>
      </c>
    </row>
    <row r="2117" spans="5:7">
      <c r="E2117" s="658">
        <f ca="1">_xll.meDateFromTenor(E2116,"1D","Following",$C$16)</f>
        <v>46237</v>
      </c>
      <c r="F2117" s="659">
        <f ca="1"/>
        <v>1.7616472236698804E-2</v>
      </c>
      <c r="G2117" s="656">
        <v>1.7702104879294751E-2</v>
      </c>
    </row>
    <row r="2118" spans="5:7">
      <c r="E2118" s="658">
        <f ca="1">_xll.meDateFromTenor(E2117,"1D","Following",$C$16)</f>
        <v>46238</v>
      </c>
      <c r="F2118" s="659">
        <f ca="1"/>
        <v>1.7619833278219688E-2</v>
      </c>
      <c r="G2118" s="656">
        <v>1.7705286069897051E-2</v>
      </c>
    </row>
    <row r="2119" spans="5:7">
      <c r="E2119" s="658">
        <f ca="1">_xll.meDateFromTenor(E2118,"1D","Following",$C$16)</f>
        <v>46239</v>
      </c>
      <c r="F2119" s="659">
        <f ca="1"/>
        <v>1.7623194494569453E-2</v>
      </c>
      <c r="G2119" s="656">
        <v>1.7708464801366963E-2</v>
      </c>
    </row>
    <row r="2120" spans="5:7">
      <c r="E2120" s="658">
        <f ca="1">_xll.meDateFromTenor(E2119,"1D","Following",$C$16)</f>
        <v>46240</v>
      </c>
      <c r="F2120" s="659">
        <f ca="1"/>
        <v>1.7626555901057248E-2</v>
      </c>
      <c r="G2120" s="656">
        <v>1.7717986382443672E-2</v>
      </c>
    </row>
    <row r="2121" spans="5:7">
      <c r="E2121" s="658">
        <f ca="1">_xll.meDateFromTenor(E2120,"1D","Following",$C$16)</f>
        <v>46241</v>
      </c>
      <c r="F2121" s="659">
        <f ca="1"/>
        <v>1.7629917512992189E-2</v>
      </c>
      <c r="G2121" s="656">
        <v>1.7721155418845325E-2</v>
      </c>
    </row>
    <row r="2122" spans="5:7">
      <c r="E2122" s="658">
        <f ca="1">_xll.meDateFromTenor(E2121,"1D","Following",$C$16)</f>
        <v>46244</v>
      </c>
      <c r="F2122" s="659">
        <f ca="1"/>
        <v>1.7640003734571332E-2</v>
      </c>
      <c r="G2122" s="656">
        <v>1.7724322066845238E-2</v>
      </c>
    </row>
    <row r="2123" spans="5:7">
      <c r="E2123" s="658">
        <f ca="1">_xll.meDateFromTenor(E2122,"1D","Following",$C$16)</f>
        <v>46245</v>
      </c>
      <c r="F2123" s="659">
        <f ca="1"/>
        <v>1.7643366321386258E-2</v>
      </c>
      <c r="G2123" s="656">
        <v>1.772748634058954E-2</v>
      </c>
    </row>
    <row r="2124" spans="5:7">
      <c r="E2124" s="658">
        <f ca="1">_xll.meDateFromTenor(E2123,"1D","Following",$C$16)</f>
        <v>46246</v>
      </c>
      <c r="F2124" s="659">
        <f ca="1"/>
        <v>1.7646729190194024E-2</v>
      </c>
      <c r="G2124" s="656">
        <v>1.7730648254224355E-2</v>
      </c>
    </row>
    <row r="2125" spans="5:7">
      <c r="E2125" s="658">
        <f ca="1">_xll.meDateFromTenor(E2124,"1D","Following",$C$16)</f>
        <v>46247</v>
      </c>
      <c r="F2125" s="659">
        <f ca="1"/>
        <v>1.7650092356303757E-2</v>
      </c>
      <c r="G2125" s="656">
        <v>1.7740119975933177E-2</v>
      </c>
    </row>
    <row r="2126" spans="5:7">
      <c r="E2126" s="658">
        <f ca="1">_xll.meDateFromTenor(E2125,"1D","Following",$C$16)</f>
        <v>46248</v>
      </c>
      <c r="F2126" s="659">
        <f ca="1"/>
        <v>1.7653455835024597E-2</v>
      </c>
      <c r="G2126" s="656">
        <v>1.7743272590591344E-2</v>
      </c>
    </row>
    <row r="2127" spans="5:7">
      <c r="E2127" s="658">
        <f ca="1">_xll.meDateFromTenor(E2126,"1D","Following",$C$16)</f>
        <v>46251</v>
      </c>
      <c r="F2127" s="659">
        <f ca="1"/>
        <v>1.7663548299945087E-2</v>
      </c>
      <c r="G2127" s="656">
        <v>1.7746422915870669E-2</v>
      </c>
    </row>
    <row r="2128" spans="5:7">
      <c r="E2128" s="658">
        <f ca="1">_xll.meDateFromTenor(E2127,"1D","Following",$C$16)</f>
        <v>46252</v>
      </c>
      <c r="F2128" s="659">
        <f ca="1"/>
        <v>1.7666913182201687E-2</v>
      </c>
      <c r="G2128" s="656">
        <v>1.7749570965917279E-2</v>
      </c>
    </row>
    <row r="2129" spans="5:7">
      <c r="E2129" s="658">
        <f ca="1">_xll.meDateFromTenor(E2128,"1D","Following",$C$16)</f>
        <v>46253</v>
      </c>
      <c r="F2129" s="659">
        <f ca="1"/>
        <v>1.7670278453615074E-2</v>
      </c>
      <c r="G2129" s="656">
        <v>1.7752716754877308E-2</v>
      </c>
    </row>
    <row r="2130" spans="5:7">
      <c r="E2130" s="658">
        <f ca="1">_xll.meDateFromTenor(E2129,"1D","Following",$C$16)</f>
        <v>46254</v>
      </c>
      <c r="F2130" s="659">
        <f ca="1"/>
        <v>1.7673644129494372E-2</v>
      </c>
      <c r="G2130" s="656">
        <v>1.7762140696699187E-2</v>
      </c>
    </row>
    <row r="2131" spans="5:7">
      <c r="E2131" s="658">
        <f ca="1">_xll.meDateFromTenor(E2130,"1D","Following",$C$16)</f>
        <v>46255</v>
      </c>
      <c r="F2131" s="659">
        <f ca="1"/>
        <v>1.7677010225148719E-2</v>
      </c>
      <c r="G2131" s="656">
        <v>1.7765277582774165E-2</v>
      </c>
    </row>
    <row r="2132" spans="5:7">
      <c r="E2132" s="658">
        <f ca="1">_xll.meDateFromTenor(E2131,"1D","Following",$C$16)</f>
        <v>46258</v>
      </c>
      <c r="F2132" s="659">
        <f ca="1"/>
        <v>1.7687111183853417E-2</v>
      </c>
      <c r="G2132" s="656">
        <v>1.7768412278493212E-2</v>
      </c>
    </row>
    <row r="2133" spans="5:7">
      <c r="E2133" s="658">
        <f ca="1">_xll.meDateFromTenor(E2132,"1D","Following",$C$16)</f>
        <v>46259</v>
      </c>
      <c r="F2133" s="659">
        <f ca="1"/>
        <v>1.7690479111699318E-2</v>
      </c>
      <c r="G2133" s="656">
        <v>1.7771544798002446E-2</v>
      </c>
    </row>
    <row r="2134" spans="5:7">
      <c r="E2134" s="658">
        <f ca="1">_xll.meDateFromTenor(E2133,"1D","Following",$C$16)</f>
        <v>46260</v>
      </c>
      <c r="F2134" s="659">
        <f ca="1"/>
        <v>1.7693847535865947E-2</v>
      </c>
      <c r="G2134" s="656">
        <v>1.7774675155447998E-2</v>
      </c>
    </row>
    <row r="2135" spans="5:7">
      <c r="E2135" s="658">
        <f ca="1">_xll.meDateFromTenor(E2134,"1D","Following",$C$16)</f>
        <v>46261</v>
      </c>
      <c r="F2135" s="659">
        <f ca="1"/>
        <v>1.7697216471662433E-2</v>
      </c>
      <c r="G2135" s="656">
        <v>1.7784053396863862E-2</v>
      </c>
    </row>
    <row r="2136" spans="5:7">
      <c r="E2136" s="658">
        <f ca="1">_xll.meDateFromTenor(E2135,"1D","Following",$C$16)</f>
        <v>46262</v>
      </c>
      <c r="F2136" s="659">
        <f ca="1"/>
        <v>1.7700585934397921E-2</v>
      </c>
      <c r="G2136" s="656">
        <v>1.7787175247515979E-2</v>
      </c>
    </row>
    <row r="2137" spans="5:7">
      <c r="E2137" s="658">
        <f ca="1">_xll.meDateFromTenor(E2136,"1D","Following",$C$16)</f>
        <v>46265</v>
      </c>
      <c r="F2137" s="659">
        <f ca="1"/>
        <v>1.7710697637329697E-2</v>
      </c>
      <c r="G2137" s="656">
        <v>1.7790295006835051E-2</v>
      </c>
    </row>
    <row r="2138" spans="5:7">
      <c r="E2138" s="658">
        <f ca="1">_xll.meDateFromTenor(E2137,"1D","Following",$C$16)</f>
        <v>46266</v>
      </c>
      <c r="F2138" s="659">
        <f ca="1"/>
        <v>1.7714069360912518E-2</v>
      </c>
      <c r="G2138" s="656">
        <v>1.7793412688967225E-2</v>
      </c>
    </row>
    <row r="2139" spans="5:7">
      <c r="E2139" s="658">
        <f ca="1">_xll.meDateFromTenor(E2138,"1D","Following",$C$16)</f>
        <v>46267</v>
      </c>
      <c r="F2139" s="659">
        <f ca="1"/>
        <v>1.7717441687980014E-2</v>
      </c>
      <c r="G2139" s="656">
        <v>1.7796528308058609E-2</v>
      </c>
    </row>
    <row r="2140" spans="5:7">
      <c r="E2140" s="658">
        <f ca="1">_xll.meDateFromTenor(E2139,"1D","Following",$C$16)</f>
        <v>46268</v>
      </c>
      <c r="F2140" s="659">
        <f ca="1"/>
        <v>1.7720814633841311E-2</v>
      </c>
      <c r="G2140" s="656">
        <v>1.7805862928549385E-2</v>
      </c>
    </row>
    <row r="2141" spans="5:7">
      <c r="E2141" s="658">
        <f ca="1">_xll.meDateFromTenor(E2140,"1D","Following",$C$16)</f>
        <v>46269</v>
      </c>
      <c r="F2141" s="659">
        <f ca="1"/>
        <v>1.7724188213805551E-2</v>
      </c>
      <c r="G2141" s="656">
        <v>1.780897043693894E-2</v>
      </c>
    </row>
    <row r="2142" spans="5:7">
      <c r="E2142" s="658">
        <f ca="1">_xll.meDateFromTenor(E2141,"1D","Following",$C$16)</f>
        <v>46272</v>
      </c>
      <c r="F2142" s="659">
        <f ca="1"/>
        <v>1.7734312911407285E-2</v>
      </c>
      <c r="G2142" s="656">
        <v>1.7812075953018359E-2</v>
      </c>
    </row>
    <row r="2143" spans="5:7">
      <c r="E2143" s="658">
        <f ca="1">_xll.meDateFromTenor(E2142,"1D","Following",$C$16)</f>
        <v>46273</v>
      </c>
      <c r="F2143" s="659">
        <f ca="1"/>
        <v>1.7737689180874646E-2</v>
      </c>
      <c r="G2143" s="656">
        <v>1.7815179490933777E-2</v>
      </c>
    </row>
    <row r="2144" spans="5:7">
      <c r="E2144" s="658">
        <f ca="1">_xll.meDateFromTenor(E2143,"1D","Following",$C$16)</f>
        <v>46274</v>
      </c>
      <c r="F2144" s="659">
        <f ca="1"/>
        <v>1.7741066160990627E-2</v>
      </c>
      <c r="G2144" s="656">
        <v>1.7818281064831312E-2</v>
      </c>
    </row>
    <row r="2145" spans="5:7">
      <c r="E2145" s="658">
        <f ca="1">_xll.meDateFromTenor(E2144,"1D","Following",$C$16)</f>
        <v>46275</v>
      </c>
      <c r="F2145" s="659">
        <f ca="1"/>
        <v>1.774444386706436E-2</v>
      </c>
      <c r="G2145" s="656">
        <v>1.7827574143877933E-2</v>
      </c>
    </row>
    <row r="2146" spans="5:7">
      <c r="E2146" s="658">
        <f ca="1">_xll.meDateFromTenor(E2145,"1D","Following",$C$16)</f>
        <v>46276</v>
      </c>
      <c r="F2146" s="659">
        <f ca="1"/>
        <v>1.7747822314404981E-2</v>
      </c>
      <c r="G2146" s="656">
        <v>1.7830668003165236E-2</v>
      </c>
    </row>
    <row r="2147" spans="5:7">
      <c r="E2147" s="658">
        <f ca="1">_xll.meDateFromTenor(E2146,"1D","Following",$C$16)</f>
        <v>46279</v>
      </c>
      <c r="F2147" s="659">
        <f ca="1"/>
        <v>1.7757962257119533E-2</v>
      </c>
      <c r="G2147" s="656">
        <v>1.7833759969165315E-2</v>
      </c>
    </row>
    <row r="2148" spans="5:7">
      <c r="E2148" s="658">
        <f ca="1">_xll.meDateFromTenor(E2147,"1D","Following",$C$16)</f>
        <v>46280</v>
      </c>
      <c r="F2148" s="659">
        <f ca="1"/>
        <v>1.7761343822619062E-2</v>
      </c>
      <c r="G2148" s="656">
        <v>1.783685005602428E-2</v>
      </c>
    </row>
    <row r="2149" spans="5:7">
      <c r="E2149" s="658">
        <f ca="1">_xll.meDateFromTenor(E2148,"1D","Following",$C$16)</f>
        <v>46281</v>
      </c>
      <c r="F2149" s="659">
        <f ca="1"/>
        <v>1.7764726205931149E-2</v>
      </c>
      <c r="G2149" s="656">
        <v>1.7839938277888275E-2</v>
      </c>
    </row>
    <row r="2150" spans="5:7">
      <c r="E2150" s="658">
        <f ca="1">_xll.meDateFromTenor(E2149,"1D","Following",$C$16)</f>
        <v>46282</v>
      </c>
      <c r="F2150" s="659">
        <f ca="1"/>
        <v>1.7768109422364942E-2</v>
      </c>
      <c r="G2150" s="656">
        <v>1.7849191894971677E-2</v>
      </c>
    </row>
    <row r="2151" spans="5:7">
      <c r="E2151" s="658">
        <f ca="1">_xll.meDateFromTenor(E2150,"1D","Following",$C$16)</f>
        <v>46283</v>
      </c>
      <c r="F2151" s="659">
        <f ca="1"/>
        <v>1.7771493487229565E-2</v>
      </c>
      <c r="G2151" s="656">
        <v>1.7852272798317043E-2</v>
      </c>
    </row>
    <row r="2152" spans="5:7">
      <c r="E2152" s="658">
        <f ca="1">_xll.meDateFromTenor(E2151,"1D","Following",$C$16)</f>
        <v>46286</v>
      </c>
      <c r="F2152" s="659">
        <f ca="1"/>
        <v>1.7781650925499801E-2</v>
      </c>
      <c r="G2152" s="656">
        <v>1.7855351907398086E-2</v>
      </c>
    </row>
    <row r="2153" spans="5:7">
      <c r="E2153" s="658">
        <f ca="1">_xll.meDateFromTenor(E2152,"1D","Following",$C$16)</f>
        <v>46287</v>
      </c>
      <c r="F2153" s="659">
        <f ca="1"/>
        <v>1.7785038537179117E-2</v>
      </c>
      <c r="G2153" s="656">
        <v>1.7858429236360919E-2</v>
      </c>
    </row>
    <row r="2154" spans="5:7">
      <c r="E2154" s="658">
        <f ca="1">_xll.meDateFromTenor(E2153,"1D","Following",$C$16)</f>
        <v>46288</v>
      </c>
      <c r="F2154" s="659">
        <f ca="1"/>
        <v>1.7788427073834941E-2</v>
      </c>
      <c r="G2154" s="656">
        <v>1.7861504799351679E-2</v>
      </c>
    </row>
    <row r="2155" spans="5:7">
      <c r="E2155" s="658">
        <f ca="1">_xll.meDateFromTenor(E2154,"1D","Following",$C$16)</f>
        <v>46289</v>
      </c>
      <c r="F2155" s="659">
        <f ca="1"/>
        <v>1.7791816550776413E-2</v>
      </c>
      <c r="G2155" s="656">
        <v>1.7870721033952791E-2</v>
      </c>
    </row>
    <row r="2156" spans="5:7">
      <c r="E2156" s="658">
        <f ca="1">_xll.meDateFromTenor(E2155,"1D","Following",$C$16)</f>
        <v>46290</v>
      </c>
      <c r="F2156" s="659">
        <f ca="1"/>
        <v>1.7795206983312661E-2</v>
      </c>
      <c r="G2156" s="656">
        <v>1.7873789674516537E-2</v>
      </c>
    </row>
    <row r="2157" spans="5:7">
      <c r="E2157" s="658">
        <f ca="1">_xll.meDateFromTenor(E2156,"1D","Following",$C$16)</f>
        <v>46293</v>
      </c>
      <c r="F2157" s="659">
        <f ca="1"/>
        <v>1.7805384167581449E-2</v>
      </c>
      <c r="G2157" s="656">
        <v>1.787685661983885E-2</v>
      </c>
    </row>
    <row r="2158" spans="5:7">
      <c r="E2158" s="658">
        <f ca="1">_xll.meDateFromTenor(E2157,"1D","Following",$C$16)</f>
        <v>46294</v>
      </c>
      <c r="F2158" s="659">
        <f ca="1"/>
        <v>1.7808778575588175E-2</v>
      </c>
      <c r="G2158" s="656">
        <v>1.7879921884065866E-2</v>
      </c>
    </row>
    <row r="2159" spans="5:7">
      <c r="E2159" s="658">
        <f ca="1">_xll.meDateFromTenor(E2158,"1D","Following",$C$16)</f>
        <v>46295</v>
      </c>
      <c r="F2159" s="659">
        <f ca="1"/>
        <v>1.7812174015735358E-2</v>
      </c>
      <c r="G2159" s="656">
        <v>1.7882985481343698E-2</v>
      </c>
    </row>
    <row r="2160" spans="5:7">
      <c r="E2160" s="658">
        <f ca="1">_xll.meDateFromTenor(E2159,"1D","Following",$C$16)</f>
        <v>46296</v>
      </c>
      <c r="F2160" s="659">
        <f ca="1"/>
        <v>1.7815570503332129E-2</v>
      </c>
      <c r="G2160" s="656">
        <v>1.7892166412943458E-2</v>
      </c>
    </row>
    <row r="2161" spans="5:7">
      <c r="E2161" s="658">
        <f ca="1">_xll.meDateFromTenor(E2160,"1D","Following",$C$16)</f>
        <v>46297</v>
      </c>
      <c r="F2161" s="659">
        <f ca="1"/>
        <v>1.7818968053687625E-2</v>
      </c>
      <c r="G2161" s="656">
        <v>1.7895223483885891E-2</v>
      </c>
    </row>
    <row r="2162" spans="5:7">
      <c r="E2162" s="658">
        <f ca="1">_xll.meDateFromTenor(E2161,"1D","Following",$C$16)</f>
        <v>46300</v>
      </c>
      <c r="F2162" s="659">
        <f ca="1"/>
        <v>1.7829167234397841E-2</v>
      </c>
      <c r="G2162" s="656">
        <v>1.7898278958609789E-2</v>
      </c>
    </row>
    <row r="2163" spans="5:7">
      <c r="E2163" s="658">
        <f ca="1">_xll.meDateFromTenor(E2162,"1D","Following",$C$16)</f>
        <v>46301</v>
      </c>
      <c r="F2163" s="659">
        <f ca="1"/>
        <v>1.7832569188879599E-2</v>
      </c>
      <c r="G2163" s="656">
        <v>1.7901332851261286E-2</v>
      </c>
    </row>
    <row r="2164" spans="5:7">
      <c r="E2164" s="658">
        <f ca="1">_xll.meDateFromTenor(E2163,"1D","Following",$C$16)</f>
        <v>46302</v>
      </c>
      <c r="F2164" s="659">
        <f ca="1"/>
        <v>1.7835972282665757E-2</v>
      </c>
      <c r="G2164" s="656">
        <v>1.7904385175986515E-2</v>
      </c>
    </row>
    <row r="2165" spans="5:7">
      <c r="E2165" s="658">
        <f ca="1">_xll.meDateFromTenor(E2164,"1D","Following",$C$16)</f>
        <v>46303</v>
      </c>
      <c r="F2165" s="659">
        <f ca="1"/>
        <v>1.7839376531065456E-2</v>
      </c>
      <c r="G2165" s="656">
        <v>1.7913532884065848E-2</v>
      </c>
    </row>
    <row r="2166" spans="5:7">
      <c r="E2166" s="658">
        <f ca="1">_xll.meDateFromTenor(E2165,"1D","Following",$C$16)</f>
        <v>46304</v>
      </c>
      <c r="F2166" s="659">
        <f ca="1"/>
        <v>1.7842781949387824E-2</v>
      </c>
      <c r="G2166" s="656">
        <v>1.7916579078547275E-2</v>
      </c>
    </row>
    <row r="2167" spans="5:7">
      <c r="E2167" s="658">
        <f ca="1">_xll.meDateFromTenor(E2166,"1D","Following",$C$16)</f>
        <v>46307</v>
      </c>
      <c r="F2167" s="659">
        <f ca="1"/>
        <v>1.7853005376982329E-2</v>
      </c>
      <c r="G2167" s="656">
        <v>1.7919623775833074E-2</v>
      </c>
    </row>
    <row r="2168" spans="5:7">
      <c r="E2168" s="658">
        <f ca="1">_xll.meDateFromTenor(E2167,"1D","Following",$C$16)</f>
        <v>46308</v>
      </c>
      <c r="F2168" s="659">
        <f ca="1"/>
        <v>1.7856415628086743E-2</v>
      </c>
      <c r="G2168" s="656">
        <v>1.7922666990069371E-2</v>
      </c>
    </row>
    <row r="2169" spans="5:7">
      <c r="E2169" s="658">
        <f ca="1">_xll.meDateFromTenor(E2168,"1D","Following",$C$16)</f>
        <v>46309</v>
      </c>
      <c r="F2169" s="659">
        <f ca="1"/>
        <v>1.7859827125659505E-2</v>
      </c>
      <c r="G2169" s="656">
        <v>1.79257087354023E-2</v>
      </c>
    </row>
    <row r="2170" spans="5:7">
      <c r="E2170" s="658">
        <f ca="1">_xll.meDateFromTenor(E2169,"1D","Following",$C$16)</f>
        <v>46310</v>
      </c>
      <c r="F2170" s="659">
        <f ca="1"/>
        <v>1.7863239885009752E-2</v>
      </c>
      <c r="G2170" s="656">
        <v>1.7934825299442143E-2</v>
      </c>
    </row>
    <row r="2171" spans="5:7">
      <c r="E2171" s="658">
        <f ca="1">_xll.meDateFromTenor(E2170,"1D","Following",$C$16)</f>
        <v>46311</v>
      </c>
      <c r="F2171" s="659">
        <f ca="1"/>
        <v>1.7866653921446617E-2</v>
      </c>
      <c r="G2171" s="656">
        <v>1.7937861310622874E-2</v>
      </c>
    </row>
    <row r="2172" spans="5:7">
      <c r="E2172" s="658">
        <f ca="1">_xll.meDateFromTenor(E2171,"1D","Following",$C$16)</f>
        <v>46314</v>
      </c>
      <c r="F2172" s="659">
        <f ca="1"/>
        <v>1.7876903846368277E-2</v>
      </c>
      <c r="G2172" s="656">
        <v>1.7940895923630878E-2</v>
      </c>
    </row>
    <row r="2173" spans="5:7">
      <c r="E2173" s="658">
        <f ca="1">_xll.meDateFromTenor(E2172,"1D","Following",$C$16)</f>
        <v>46315</v>
      </c>
      <c r="F2173" s="659">
        <f ca="1"/>
        <v>1.7880323144242968E-2</v>
      </c>
      <c r="G2173" s="656">
        <v>1.7943929152612288E-2</v>
      </c>
    </row>
    <row r="2174" spans="5:7">
      <c r="E2174" s="658">
        <f ca="1">_xll.meDateFromTenor(E2173,"1D","Following",$C$16)</f>
        <v>46316</v>
      </c>
      <c r="F2174" s="659">
        <f ca="1"/>
        <v>1.7883743795749956E-2</v>
      </c>
      <c r="G2174" s="656">
        <v>1.7946961011713222E-2</v>
      </c>
    </row>
    <row r="2175" spans="5:7">
      <c r="E2175" s="658">
        <f ca="1">_xll.meDateFromTenor(E2174,"1D","Following",$C$16)</f>
        <v>46317</v>
      </c>
      <c r="F2175" s="659">
        <f ca="1"/>
        <v>1.7887165816198369E-2</v>
      </c>
      <c r="G2175" s="656">
        <v>1.7956048511194506E-2</v>
      </c>
    </row>
    <row r="2176" spans="5:7">
      <c r="E2176" s="658">
        <f ca="1">_xll.meDateFromTenor(E2175,"1D","Following",$C$16)</f>
        <v>46318</v>
      </c>
      <c r="F2176" s="659">
        <f ca="1"/>
        <v>1.7890589220897351E-2</v>
      </c>
      <c r="G2176" s="656">
        <v>1.7959075032234855E-2</v>
      </c>
    </row>
    <row r="2177" spans="5:7">
      <c r="E2177" s="658">
        <f ca="1">_xll.meDateFromTenor(E2176,"1D","Following",$C$16)</f>
        <v>46321</v>
      </c>
      <c r="F2177" s="659">
        <f ca="1"/>
        <v>1.7900867893589037E-2</v>
      </c>
      <c r="G2177" s="656">
        <v>1.7962100254125379E-2</v>
      </c>
    </row>
    <row r="2178" spans="5:7">
      <c r="E2178" s="658">
        <f ca="1">_xll.meDateFromTenor(E2177,"1D","Following",$C$16)</f>
        <v>46322</v>
      </c>
      <c r="F2178" s="659">
        <f ca="1"/>
        <v>1.790429698838163E-2</v>
      </c>
      <c r="G2178" s="656">
        <v>1.7965124191012205E-2</v>
      </c>
    </row>
    <row r="2179" spans="5:7">
      <c r="E2179" s="658">
        <f ca="1">_xll.meDateFromTenor(E2178,"1D","Following",$C$16)</f>
        <v>46323</v>
      </c>
      <c r="F2179" s="659">
        <f ca="1"/>
        <v>1.7907727543970464E-2</v>
      </c>
      <c r="G2179" s="656">
        <v>1.7968146857041466E-2</v>
      </c>
    </row>
    <row r="2180" spans="5:7">
      <c r="E2180" s="658">
        <f ca="1">_xll.meDateFromTenor(E2179,"1D","Following",$C$16)</f>
        <v>46324</v>
      </c>
      <c r="F2180" s="659">
        <f ca="1"/>
        <v>1.7911159575664679E-2</v>
      </c>
      <c r="G2180" s="656">
        <v>1.7977207371445127E-2</v>
      </c>
    </row>
    <row r="2181" spans="5:7">
      <c r="E2181" s="658">
        <f ca="1">_xll.meDateFromTenor(E2180,"1D","Following",$C$16)</f>
        <v>46325</v>
      </c>
      <c r="F2181" s="659">
        <f ca="1"/>
        <v>1.7914593098773399E-2</v>
      </c>
      <c r="G2181" s="656">
        <v>1.7980225095505405E-2</v>
      </c>
    </row>
    <row r="2182" spans="5:7">
      <c r="E2182" s="658">
        <f ca="1">_xll.meDateFromTenor(E2181,"1D","Following",$C$16)</f>
        <v>46328</v>
      </c>
      <c r="F2182" s="659">
        <f ca="1"/>
        <v>1.7924902769677977E-2</v>
      </c>
      <c r="G2182" s="656">
        <v>1.7983241619438751E-2</v>
      </c>
    </row>
    <row r="2183" spans="5:7">
      <c r="E2183" s="658">
        <f ca="1">_xll.meDateFromTenor(E2182,"1D","Following",$C$16)</f>
        <v>46329</v>
      </c>
      <c r="F2183" s="659">
        <f ca="1"/>
        <v>1.7928342411536093E-2</v>
      </c>
      <c r="G2183" s="656">
        <v>1.7986256957391311E-2</v>
      </c>
    </row>
    <row r="2184" spans="5:7">
      <c r="E2184" s="658">
        <f ca="1">_xll.meDateFromTenor(E2183,"1D","Following",$C$16)</f>
        <v>46330</v>
      </c>
      <c r="F2184" s="659">
        <f ca="1"/>
        <v>1.7931783621354398E-2</v>
      </c>
      <c r="G2184" s="656">
        <v>1.7989271123509204E-2</v>
      </c>
    </row>
    <row r="2185" spans="5:7">
      <c r="E2185" s="658">
        <f ca="1">_xll.meDateFromTenor(E2184,"1D","Following",$C$16)</f>
        <v>46331</v>
      </c>
      <c r="F2185" s="659">
        <f ca="1"/>
        <v>1.7935226414442024E-2</v>
      </c>
      <c r="G2185" s="656">
        <v>1.7998306732316168E-2</v>
      </c>
    </row>
    <row r="2186" spans="5:7">
      <c r="E2186" s="658">
        <f ca="1">_xll.meDateFromTenor(E2185,"1D","Following",$C$16)</f>
        <v>46332</v>
      </c>
      <c r="F2186" s="659">
        <f ca="1"/>
        <v>1.7938670806108104E-2</v>
      </c>
      <c r="G2186" s="656">
        <v>1.8001316352556685E-2</v>
      </c>
    </row>
    <row r="2187" spans="5:7">
      <c r="E2187" s="658">
        <f ca="1">_xll.meDateFromTenor(E2186,"1D","Following",$C$16)</f>
        <v>46335</v>
      </c>
      <c r="F2187" s="659">
        <f ca="1"/>
        <v>1.7949013725668452E-2</v>
      </c>
      <c r="G2187" s="656">
        <v>1.8004324867985207E-2</v>
      </c>
    </row>
    <row r="2188" spans="5:7">
      <c r="E2188" s="658">
        <f ca="1">_xll.meDateFromTenor(E2187,"1D","Following",$C$16)</f>
        <v>46336</v>
      </c>
      <c r="F2188" s="659">
        <f ca="1"/>
        <v>1.7952464655437601E-2</v>
      </c>
      <c r="G2188" s="656">
        <v>1.8007332274208001E-2</v>
      </c>
    </row>
    <row r="2189" spans="5:7">
      <c r="E2189" s="658">
        <f ca="1">_xll.meDateFromTenor(E2188,"1D","Following",$C$16)</f>
        <v>46337</v>
      </c>
      <c r="F2189" s="659">
        <f ca="1"/>
        <v>1.7955917204518196E-2</v>
      </c>
      <c r="G2189" s="656">
        <v>1.8010338563123375E-2</v>
      </c>
    </row>
    <row r="2190" spans="5:7">
      <c r="E2190" s="658">
        <f ca="1">_xll.meDateFromTenor(E2189,"1D","Following",$C$16)</f>
        <v>46338</v>
      </c>
      <c r="F2190" s="659">
        <f ca="1"/>
        <v>1.795937133240668E-2</v>
      </c>
      <c r="G2190" s="656">
        <v>1.8019350645007905E-2</v>
      </c>
    </row>
    <row r="2191" spans="5:7">
      <c r="E2191" s="658">
        <f ca="1">_xll.meDateFromTenor(E2190,"1D","Following",$C$16)</f>
        <v>46339</v>
      </c>
      <c r="F2191" s="659">
        <f ca="1"/>
        <v>1.7962826998599513E-2</v>
      </c>
      <c r="G2191" s="656">
        <v>1.8022352383676551E-2</v>
      </c>
    </row>
    <row r="2192" spans="5:7">
      <c r="E2192" s="658">
        <f ca="1">_xll.meDateFromTenor(E2191,"1D","Following",$C$16)</f>
        <v>46342</v>
      </c>
      <c r="F2192" s="659">
        <f ca="1"/>
        <v>1.7973202821968515E-2</v>
      </c>
      <c r="G2192" s="656">
        <v>1.8025352964529257E-2</v>
      </c>
    </row>
    <row r="2193" spans="5:7">
      <c r="E2193" s="658">
        <f ca="1">_xll.meDateFromTenor(E2192,"1D","Following",$C$16)</f>
        <v>46343</v>
      </c>
      <c r="F2193" s="659">
        <f ca="1"/>
        <v>1.7976664236343181E-2</v>
      </c>
      <c r="G2193" s="656">
        <v>1.8028352379464326E-2</v>
      </c>
    </row>
    <row r="2194" spans="5:7">
      <c r="E2194" s="658">
        <f ca="1">_xll.meDateFromTenor(E2193,"1D","Following",$C$16)</f>
        <v>46344</v>
      </c>
      <c r="F2194" s="659">
        <f ca="1"/>
        <v>1.7980126986504429E-2</v>
      </c>
      <c r="G2194" s="656">
        <v>1.8031350620380051E-2</v>
      </c>
    </row>
    <row r="2195" spans="5:7">
      <c r="E2195" s="658">
        <f ca="1">_xll.meDateFromTenor(E2194,"1D","Following",$C$16)</f>
        <v>46345</v>
      </c>
      <c r="F2195" s="659">
        <f ca="1"/>
        <v>1.7983591031948701E-2</v>
      </c>
      <c r="G2195" s="656">
        <v>1.8040338217994167E-2</v>
      </c>
    </row>
    <row r="2196" spans="5:7">
      <c r="E2196" s="658">
        <f ca="1">_xll.meDateFromTenor(E2195,"1D","Following",$C$16)</f>
        <v>46346</v>
      </c>
      <c r="F2196" s="659">
        <f ca="1"/>
        <v>1.7987056332172451E-2</v>
      </c>
      <c r="G2196" s="656">
        <v>1.8043331681815506E-2</v>
      </c>
    </row>
    <row r="2197" spans="5:7">
      <c r="E2197" s="658">
        <f ca="1">_xll.meDateFromTenor(E2196,"1D","Following",$C$16)</f>
        <v>46349</v>
      </c>
      <c r="F2197" s="659">
        <f ca="1"/>
        <v>1.7997459356485005E-2</v>
      </c>
      <c r="G2197" s="656">
        <v>1.8046323931108998E-2</v>
      </c>
    </row>
    <row r="2198" spans="5:7">
      <c r="E2198" s="658">
        <f ca="1">_xll.meDateFromTenor(E2197,"1D","Following",$C$16)</f>
        <v>46350</v>
      </c>
      <c r="F2198" s="659">
        <f ca="1"/>
        <v>1.8000929270791121E-2</v>
      </c>
      <c r="G2198" s="656">
        <v>1.8049314957772938E-2</v>
      </c>
    </row>
    <row r="2199" spans="5:7">
      <c r="E2199" s="658">
        <f ca="1">_xll.meDateFromTenor(E2198,"1D","Following",$C$16)</f>
        <v>46351</v>
      </c>
      <c r="F2199" s="659">
        <f ca="1"/>
        <v>1.8004400237358956E-2</v>
      </c>
      <c r="G2199" s="656">
        <v>1.8052304753705613E-2</v>
      </c>
    </row>
    <row r="2200" spans="5:7">
      <c r="E2200" s="658">
        <f ca="1">_xll.meDateFromTenor(E2199,"1D","Following",$C$16)</f>
        <v>46352</v>
      </c>
      <c r="F2200" s="659">
        <f ca="1"/>
        <v>1.8007872215684943E-2</v>
      </c>
      <c r="G2200" s="656">
        <v>1.80612666760991E-2</v>
      </c>
    </row>
    <row r="2201" spans="5:7">
      <c r="E2201" s="658">
        <f ca="1">_xll.meDateFromTenor(E2200,"1D","Following",$C$16)</f>
        <v>46353</v>
      </c>
      <c r="F2201" s="659">
        <f ca="1"/>
        <v>1.8011345165265542E-2</v>
      </c>
      <c r="G2201" s="656">
        <v>1.8064251468089737E-2</v>
      </c>
    </row>
    <row r="2202" spans="5:7">
      <c r="E2202" s="658">
        <f ca="1">_xll.meDateFromTenor(E2201,"1D","Following",$C$16)</f>
        <v>46356</v>
      </c>
      <c r="F2202" s="659">
        <f ca="1"/>
        <v>1.8021769436499451E-2</v>
      </c>
      <c r="G2202" s="656">
        <v>1.8067234988840612E-2</v>
      </c>
    </row>
    <row r="2203" spans="5:7">
      <c r="E2203" s="658">
        <f ca="1">_xll.meDateFromTenor(E2202,"1D","Following",$C$16)</f>
        <v>46357</v>
      </c>
      <c r="F2203" s="659">
        <f ca="1"/>
        <v>1.8025245866062956E-2</v>
      </c>
      <c r="G2203" s="656">
        <v>1.807021723025001E-2</v>
      </c>
    </row>
    <row r="2204" spans="5:7">
      <c r="E2204" s="658">
        <f ca="1">_xll.meDateFromTenor(E2203,"1D","Following",$C$16)</f>
        <v>46358</v>
      </c>
      <c r="F2204" s="659">
        <f ca="1"/>
        <v>1.8028723064363306E-2</v>
      </c>
      <c r="G2204" s="656">
        <v>1.8073198184216249E-2</v>
      </c>
    </row>
    <row r="2205" spans="5:7">
      <c r="E2205" s="658">
        <f ca="1">_xll.meDateFromTenor(E2204,"1D","Following",$C$16)</f>
        <v>46359</v>
      </c>
      <c r="F2205" s="659">
        <f ca="1"/>
        <v>1.8032200990896943E-2</v>
      </c>
      <c r="G2205" s="656">
        <v>1.8082133240438898E-2</v>
      </c>
    </row>
    <row r="2206" spans="5:7">
      <c r="E2206" s="658">
        <f ca="1">_xll.meDateFromTenor(E2205,"1D","Following",$C$16)</f>
        <v>46360</v>
      </c>
      <c r="F2206" s="659">
        <f ca="1"/>
        <v>1.8035679605160327E-2</v>
      </c>
      <c r="G2206" s="656">
        <v>1.808510896361543E-2</v>
      </c>
    </row>
    <row r="2207" spans="5:7">
      <c r="E2207" s="658">
        <f ca="1">_xll.meDateFromTenor(E2206,"1D","Following",$C$16)</f>
        <v>46363</v>
      </c>
      <c r="F2207" s="659">
        <f ca="1"/>
        <v>1.8046119169293391E-2</v>
      </c>
      <c r="G2207" s="656">
        <v>1.8088083358840278E-2</v>
      </c>
    </row>
    <row r="2208" spans="5:7">
      <c r="E2208" s="658">
        <f ca="1">_xll.meDateFromTenor(E2207,"1D","Following",$C$16)</f>
        <v>46364</v>
      </c>
      <c r="F2208" s="659">
        <f ca="1"/>
        <v>1.8049600129440214E-2</v>
      </c>
      <c r="G2208" s="656">
        <v>1.8091056418011741E-2</v>
      </c>
    </row>
    <row r="2209" spans="5:7">
      <c r="E2209" s="658">
        <f ca="1">_xll.meDateFromTenor(E2208,"1D","Following",$C$16)</f>
        <v>46365</v>
      </c>
      <c r="F2209" s="659">
        <f ca="1"/>
        <v>1.8053081574799009E-2</v>
      </c>
      <c r="G2209" s="656">
        <v>1.8094028133028125E-2</v>
      </c>
    </row>
    <row r="2210" spans="5:7">
      <c r="E2210" s="658">
        <f ca="1">_xll.meDateFromTenor(E2209,"1D","Following",$C$16)</f>
        <v>46366</v>
      </c>
      <c r="F2210" s="659">
        <f ca="1"/>
        <v>1.8056563464866237E-2</v>
      </c>
      <c r="G2210" s="656">
        <v>1.8102935132129735E-2</v>
      </c>
    </row>
    <row r="2211" spans="5:7">
      <c r="E2211" s="658">
        <f ca="1">_xll.meDateFromTenor(E2210,"1D","Following",$C$16)</f>
        <v>46367</v>
      </c>
      <c r="F2211" s="659">
        <f ca="1"/>
        <v>1.8060045759138332E-2</v>
      </c>
      <c r="G2211" s="656">
        <v>1.8105901389508756E-2</v>
      </c>
    </row>
    <row r="2212" spans="5:7">
      <c r="E2212" s="658">
        <f ca="1">_xll.meDateFromTenor(E2211,"1D","Following",$C$16)</f>
        <v>46370</v>
      </c>
      <c r="F2212" s="659">
        <f ca="1"/>
        <v>1.8070494662148349E-2</v>
      </c>
      <c r="G2212" s="656">
        <v>1.8108866262224178E-2</v>
      </c>
    </row>
    <row r="2213" spans="5:7">
      <c r="E2213" s="658">
        <f ca="1">_xll.meDateFromTenor(E2212,"1D","Following",$C$16)</f>
        <v>46371</v>
      </c>
      <c r="F2213" s="659">
        <f ca="1"/>
        <v>1.807397816820442E-2</v>
      </c>
      <c r="G2213" s="656">
        <v>1.8111829742174304E-2</v>
      </c>
    </row>
    <row r="2214" spans="5:7">
      <c r="E2214" s="658">
        <f ca="1">_xll.meDateFromTenor(E2213,"1D","Following",$C$16)</f>
        <v>46372</v>
      </c>
      <c r="F2214" s="659">
        <f ca="1"/>
        <v>1.8077461875947606E-2</v>
      </c>
      <c r="G2214" s="656">
        <v>1.8114791821257432E-2</v>
      </c>
    </row>
    <row r="2215" spans="5:7">
      <c r="E2215" s="658">
        <f ca="1">_xll.meDateFromTenor(E2214,"1D","Following",$C$16)</f>
        <v>46373</v>
      </c>
      <c r="F2215" s="659">
        <f ca="1"/>
        <v>1.8080945744874347E-2</v>
      </c>
      <c r="G2215" s="656">
        <v>1.8123669572287792E-2</v>
      </c>
    </row>
    <row r="2216" spans="5:7">
      <c r="E2216" s="658">
        <f ca="1">_xll.meDateFromTenor(E2215,"1D","Following",$C$16)</f>
        <v>46374</v>
      </c>
      <c r="F2216" s="659">
        <f ca="1"/>
        <v>1.8084429734481093E-2</v>
      </c>
      <c r="G2216" s="656">
        <v>1.8126625966885898E-2</v>
      </c>
    </row>
    <row r="2217" spans="5:7">
      <c r="E2217" s="658">
        <f ca="1">_xll.meDateFromTenor(E2216,"1D","Following",$C$16)</f>
        <v>46377</v>
      </c>
      <c r="F2217" s="659">
        <f ca="1"/>
        <v>1.8094882022345861E-2</v>
      </c>
      <c r="G2217" s="656">
        <v>1.8129580920108492E-2</v>
      </c>
    </row>
    <row r="2218" spans="5:7">
      <c r="E2218" s="658">
        <f ca="1">_xll.meDateFromTenor(E2217,"1D","Following",$C$16)</f>
        <v>46378</v>
      </c>
      <c r="F2218" s="659">
        <f ca="1"/>
        <v>1.8098366089637118E-2</v>
      </c>
      <c r="G2218" s="656">
        <v>1.8132534423853878E-2</v>
      </c>
    </row>
    <row r="2219" spans="5:7">
      <c r="E2219" s="658">
        <f ca="1">_xll.meDateFromTenor(E2218,"1D","Following",$C$16)</f>
        <v>46379</v>
      </c>
      <c r="F2219" s="659">
        <f ca="1"/>
        <v>1.8101850075090617E-2</v>
      </c>
      <c r="G2219" s="656">
        <v>1.8135486470020345E-2</v>
      </c>
    </row>
    <row r="2220" spans="5:7">
      <c r="E2220" s="658">
        <f ca="1">_xll.meDateFromTenor(E2219,"1D","Following",$C$16)</f>
        <v>46380</v>
      </c>
      <c r="F2220" s="659">
        <f ca="1"/>
        <v>1.8105333938202808E-2</v>
      </c>
      <c r="G2220" s="656">
        <v>1.8144333782029246E-2</v>
      </c>
    </row>
    <row r="2221" spans="5:7">
      <c r="E2221" s="658">
        <f ca="1">_xll.meDateFromTenor(E2220,"1D","Following",$C$16)</f>
        <v>46384</v>
      </c>
      <c r="F2221" s="659">
        <f ca="1"/>
        <v>1.811926735716746E-2</v>
      </c>
      <c r="G2221" s="656">
        <v>1.8147279916863039E-2</v>
      </c>
    </row>
    <row r="2222" spans="5:7">
      <c r="E2222" s="658">
        <f ca="1">_xll.meDateFromTenor(E2221,"1D","Following",$C$16)</f>
        <v>46385</v>
      </c>
      <c r="F2222" s="659">
        <f ca="1"/>
        <v>1.8122750001019827E-2</v>
      </c>
      <c r="G2222" s="656">
        <v>1.8150224553609401E-2</v>
      </c>
    </row>
    <row r="2223" spans="5:7">
      <c r="E2223" s="658">
        <f ca="1">_xll.meDateFromTenor(E2222,"1D","Following",$C$16)</f>
        <v>46386</v>
      </c>
      <c r="F2223" s="659">
        <f ca="1"/>
        <v>1.8126232279509578E-2</v>
      </c>
      <c r="G2223" s="656">
        <v>1.8153167684166641E-2</v>
      </c>
    </row>
    <row r="2224" spans="5:7">
      <c r="E2224" s="658">
        <f ca="1">_xll.meDateFromTenor(E2223,"1D","Following",$C$16)</f>
        <v>46387</v>
      </c>
      <c r="F2224" s="659">
        <f ca="1"/>
        <v>1.8129714152133155E-2</v>
      </c>
      <c r="G2224" s="656">
        <v>1.8164924982470288E-2</v>
      </c>
    </row>
    <row r="2225" spans="5:7">
      <c r="E2225" s="658">
        <f ca="1">_xll.meDateFromTenor(E2224,"1D","Following",$C$16)</f>
        <v>46391</v>
      </c>
      <c r="F2225" s="659">
        <f ca="1"/>
        <v>1.8143636773894675E-2</v>
      </c>
      <c r="G2225" s="656">
        <v>1.8167860460556358E-2</v>
      </c>
    </row>
    <row r="2226" spans="5:7">
      <c r="E2226" s="658">
        <f ca="1">_xll.meDateFromTenor(E2225,"1D","Following",$C$16)</f>
        <v>46392</v>
      </c>
      <c r="F2226" s="659">
        <f ca="1"/>
        <v>1.814711600963409E-2</v>
      </c>
      <c r="G2226" s="656">
        <v>1.817079438384309E-2</v>
      </c>
    </row>
    <row r="2227" spans="5:7">
      <c r="E2227" s="658">
        <f ca="1">_xll.meDateFromTenor(E2226,"1D","Following",$C$16)</f>
        <v>46393</v>
      </c>
      <c r="F2227" s="659">
        <f ca="1"/>
        <v>1.8150594596486026E-2</v>
      </c>
      <c r="G2227" s="656">
        <v>1.817372674422878E-2</v>
      </c>
    </row>
    <row r="2228" spans="5:7">
      <c r="E2228" s="658">
        <f ca="1">_xll.meDateFromTenor(E2227,"1D","Following",$C$16)</f>
        <v>46394</v>
      </c>
      <c r="F2228" s="659">
        <f ca="1"/>
        <v>1.8154072493946918E-2</v>
      </c>
      <c r="G2228" s="656">
        <v>1.8185440394727085E-2</v>
      </c>
    </row>
    <row r="2229" spans="5:7">
      <c r="E2229" s="658">
        <f ca="1">_xll.meDateFromTenor(E2228,"1D","Following",$C$16)</f>
        <v>46395</v>
      </c>
      <c r="F2229" s="659">
        <f ca="1"/>
        <v>1.8157549661513214E-2</v>
      </c>
      <c r="G2229" s="656">
        <v>1.8188364819082037E-2</v>
      </c>
    </row>
    <row r="2230" spans="5:7">
      <c r="E2230" s="658">
        <f ca="1">_xll.meDateFromTenor(E2229,"1D","Following",$C$16)</f>
        <v>46398</v>
      </c>
      <c r="F2230" s="659">
        <f ca="1"/>
        <v>1.816797637980903E-2</v>
      </c>
      <c r="G2230" s="656">
        <v>1.8191287631925731E-2</v>
      </c>
    </row>
    <row r="2231" spans="5:7">
      <c r="E2231" s="658">
        <f ca="1">_xll.meDateFromTenor(E2230,"1D","Following",$C$16)</f>
        <v>46399</v>
      </c>
      <c r="F2231" s="659">
        <f ca="1"/>
        <v>1.8171450222761433E-2</v>
      </c>
      <c r="G2231" s="656">
        <v>1.8194208825156478E-2</v>
      </c>
    </row>
    <row r="2232" spans="5:7">
      <c r="E2232" s="658">
        <f ca="1">_xll.meDateFromTenor(E2231,"1D","Following",$C$16)</f>
        <v>46400</v>
      </c>
      <c r="F2232" s="659">
        <f ca="1"/>
        <v>1.8174923133301484E-2</v>
      </c>
      <c r="G2232" s="656">
        <v>1.8197128390672553E-2</v>
      </c>
    </row>
    <row r="2233" spans="5:7">
      <c r="E2233" s="658">
        <f ca="1">_xll.meDateFromTenor(E2232,"1D","Following",$C$16)</f>
        <v>46401</v>
      </c>
      <c r="F2233" s="659">
        <f ca="1"/>
        <v>1.8178395070925626E-2</v>
      </c>
      <c r="G2233" s="656">
        <v>1.8205877239915833E-2</v>
      </c>
    </row>
    <row r="2234" spans="5:7">
      <c r="E2234" s="658">
        <f ca="1">_xll.meDateFromTenor(E2233,"1D","Following",$C$16)</f>
        <v>46402</v>
      </c>
      <c r="F2234" s="659">
        <f ca="1"/>
        <v>1.818186599513031E-2</v>
      </c>
      <c r="G2234" s="656">
        <v>1.8208790213556255E-2</v>
      </c>
    </row>
    <row r="2235" spans="5:7">
      <c r="E2235" s="658">
        <f ca="1">_xll.meDateFromTenor(E2234,"1D","Following",$C$16)</f>
        <v>46405</v>
      </c>
      <c r="F2235" s="659">
        <f ca="1"/>
        <v>1.8192272282192074E-2</v>
      </c>
      <c r="G2235" s="656">
        <v>1.8211701518973514E-2</v>
      </c>
    </row>
    <row r="2236" spans="5:7">
      <c r="E2236" s="658">
        <f ca="1">_xll.meDateFromTenor(E2235,"1D","Following",$C$16)</f>
        <v>46406</v>
      </c>
      <c r="F2236" s="659">
        <f ca="1"/>
        <v>1.8195738747683394E-2</v>
      </c>
      <c r="G2236" s="656">
        <v>1.8214611148065905E-2</v>
      </c>
    </row>
    <row r="2237" spans="5:7">
      <c r="E2237" s="658">
        <f ca="1">_xll.meDateFromTenor(E2236,"1D","Following",$C$16)</f>
        <v>46407</v>
      </c>
      <c r="F2237" s="659">
        <f ca="1"/>
        <v>1.8199203997237491E-2</v>
      </c>
      <c r="G2237" s="656">
        <v>1.8217519092731716E-2</v>
      </c>
    </row>
    <row r="2238" spans="5:7">
      <c r="E2238" s="658">
        <f ca="1">_xll.meDateFromTenor(E2237,"1D","Following",$C$16)</f>
        <v>46408</v>
      </c>
      <c r="F2238" s="659">
        <f ca="1"/>
        <v>1.8202667990350817E-2</v>
      </c>
      <c r="G2238" s="656">
        <v>1.8226232739152699E-2</v>
      </c>
    </row>
    <row r="2239" spans="5:7">
      <c r="E2239" s="658">
        <f ca="1">_xll.meDateFromTenor(E2238,"1D","Following",$C$16)</f>
        <v>46409</v>
      </c>
      <c r="F2239" s="659">
        <f ca="1"/>
        <v>1.8206130686519814E-2</v>
      </c>
      <c r="G2239" s="656">
        <v>1.8229133865095198E-2</v>
      </c>
    </row>
    <row r="2240" spans="5:7">
      <c r="E2240" s="658">
        <f ca="1">_xll.meDateFromTenor(E2239,"1D","Following",$C$16)</f>
        <v>46412</v>
      </c>
      <c r="F2240" s="659">
        <f ca="1"/>
        <v>1.8216510588325328E-2</v>
      </c>
      <c r="G2240" s="656">
        <v>1.8232033266102617E-2</v>
      </c>
    </row>
    <row r="2241" spans="5:7">
      <c r="E2241" s="658">
        <f ca="1">_xll.meDateFromTenor(E2240,"1D","Following",$C$16)</f>
        <v>46413</v>
      </c>
      <c r="F2241" s="659">
        <f ca="1"/>
        <v>1.8219967691681493E-2</v>
      </c>
      <c r="G2241" s="656">
        <v>1.8234930934073246E-2</v>
      </c>
    </row>
    <row r="2242" spans="5:7">
      <c r="E2242" s="658">
        <f ca="1">_xll.meDateFromTenor(E2241,"1D","Following",$C$16)</f>
        <v>46414</v>
      </c>
      <c r="F2242" s="659">
        <f ca="1"/>
        <v>1.8223423295575577E-2</v>
      </c>
      <c r="G2242" s="656">
        <v>1.8237826860905387E-2</v>
      </c>
    </row>
    <row r="2243" spans="5:7">
      <c r="E2243" s="658">
        <f ca="1">_xll.meDateFromTenor(E2242,"1D","Following",$C$16)</f>
        <v>46415</v>
      </c>
      <c r="F2243" s="659">
        <f ca="1"/>
        <v>1.8226877359504012E-2</v>
      </c>
      <c r="G2243" s="656">
        <v>1.8246504113553871E-2</v>
      </c>
    </row>
    <row r="2244" spans="5:7">
      <c r="E2244" s="658">
        <f ca="1">_xll.meDateFromTenor(E2243,"1D","Following",$C$16)</f>
        <v>46416</v>
      </c>
      <c r="F2244" s="659">
        <f ca="1"/>
        <v>1.8230329842963262E-2</v>
      </c>
      <c r="G2244" s="656">
        <v>1.8249392994815043E-2</v>
      </c>
    </row>
    <row r="2245" spans="5:7">
      <c r="E2245" s="658">
        <f ca="1">_xll.meDateFromTenor(E2244,"1D","Following",$C$16)</f>
        <v>46419</v>
      </c>
      <c r="F2245" s="659">
        <f ca="1"/>
        <v>1.8240677405490322E-2</v>
      </c>
      <c r="G2245" s="656">
        <v>1.8252280094429217E-2</v>
      </c>
    </row>
    <row r="2246" spans="5:7">
      <c r="E2246" s="658">
        <f ca="1">_xll.meDateFromTenor(E2245,"1D","Following",$C$16)</f>
        <v>46420</v>
      </c>
      <c r="F2246" s="659">
        <f ca="1"/>
        <v>1.8244123162037277E-2</v>
      </c>
      <c r="G2246" s="656">
        <v>1.8255165404294688E-2</v>
      </c>
    </row>
    <row r="2247" spans="5:7">
      <c r="E2247" s="658">
        <f ca="1">_xll.meDateFromTenor(E2246,"1D","Following",$C$16)</f>
        <v>46421</v>
      </c>
      <c r="F2247" s="659">
        <f ca="1"/>
        <v>1.8247567135597272E-2</v>
      </c>
      <c r="G2247" s="656">
        <v>1.825804891630976E-2</v>
      </c>
    </row>
    <row r="2248" spans="5:7">
      <c r="E2248" s="658">
        <f ca="1">_xll.meDateFromTenor(E2247,"1D","Following",$C$16)</f>
        <v>46422</v>
      </c>
      <c r="F2248" s="659">
        <f ca="1"/>
        <v>1.825100928566676E-2</v>
      </c>
      <c r="G2248" s="656">
        <v>1.8266688584235531E-2</v>
      </c>
    </row>
    <row r="2249" spans="5:7">
      <c r="E2249" s="658">
        <f ca="1">_xll.meDateFromTenor(E2248,"1D","Following",$C$16)</f>
        <v>46423</v>
      </c>
      <c r="F2249" s="659">
        <f ca="1"/>
        <v>1.8254449571742191E-2</v>
      </c>
      <c r="G2249" s="656">
        <v>1.826956482383197E-2</v>
      </c>
    </row>
    <row r="2250" spans="5:7">
      <c r="E2250" s="658">
        <f ca="1">_xll.meDateFromTenor(E2249,"1D","Following",$C$16)</f>
        <v>46426</v>
      </c>
      <c r="F2250" s="659">
        <f ca="1"/>
        <v>1.8264758840968592E-2</v>
      </c>
      <c r="G2250" s="656">
        <v>1.8272439225069496E-2</v>
      </c>
    </row>
    <row r="2251" spans="5:7">
      <c r="E2251" s="658">
        <f ca="1">_xll.meDateFromTenor(E2250,"1D","Following",$C$16)</f>
        <v>46427</v>
      </c>
      <c r="F2251" s="659">
        <f ca="1"/>
        <v>1.8268191266032262E-2</v>
      </c>
      <c r="G2251" s="656">
        <v>1.8275311779846405E-2</v>
      </c>
    </row>
    <row r="2252" spans="5:7">
      <c r="E2252" s="658">
        <f ca="1">_xll.meDateFromTenor(E2251,"1D","Following",$C$16)</f>
        <v>46428</v>
      </c>
      <c r="F2252" s="659">
        <f ca="1"/>
        <v>1.8271621624584105E-2</v>
      </c>
      <c r="G2252" s="656">
        <v>1.8278182480061002E-2</v>
      </c>
    </row>
    <row r="2253" spans="5:7">
      <c r="E2253" s="658">
        <f ca="1">_xll.meDateFromTenor(E2252,"1D","Following",$C$16)</f>
        <v>46429</v>
      </c>
      <c r="F2253" s="659">
        <f ca="1"/>
        <v>1.8275049876120577E-2</v>
      </c>
      <c r="G2253" s="656">
        <v>1.8286783372313861E-2</v>
      </c>
    </row>
    <row r="2254" spans="5:7">
      <c r="E2254" s="658">
        <f ca="1">_xll.meDateFromTenor(E2253,"1D","Following",$C$16)</f>
        <v>46430</v>
      </c>
      <c r="F2254" s="659">
        <f ca="1"/>
        <v>1.8278475980138122E-2</v>
      </c>
      <c r="G2254" s="656">
        <v>1.8289646573262163E-2</v>
      </c>
    </row>
    <row r="2255" spans="5:7">
      <c r="E2255" s="658">
        <f ca="1">_xll.meDateFromTenor(E2254,"1D","Following",$C$16)</f>
        <v>46433</v>
      </c>
      <c r="F2255" s="659">
        <f ca="1"/>
        <v>1.828874100204167E-2</v>
      </c>
      <c r="G2255" s="656">
        <v>1.8292507879139639E-2</v>
      </c>
    </row>
    <row r="2256" spans="5:7">
      <c r="E2256" s="658">
        <f ca="1">_xll.meDateFromTenor(E2255,"1D","Following",$C$16)</f>
        <v>46434</v>
      </c>
      <c r="F2256" s="659">
        <f ca="1"/>
        <v>1.8292158110947986E-2</v>
      </c>
      <c r="G2256" s="656">
        <v>1.8295367281844589E-2</v>
      </c>
    </row>
    <row r="2257" spans="5:7">
      <c r="E2257" s="658">
        <f ca="1">_xll.meDateFromTenor(E2256,"1D","Following",$C$16)</f>
        <v>46435</v>
      </c>
      <c r="F2257" s="659">
        <f ca="1"/>
        <v>1.829557286981761E-2</v>
      </c>
      <c r="G2257" s="656">
        <v>1.82982247732753E-2</v>
      </c>
    </row>
    <row r="2258" spans="5:7">
      <c r="E2258" s="658">
        <f ca="1">_xll.meDateFromTenor(E2257,"1D","Following",$C$16)</f>
        <v>46436</v>
      </c>
      <c r="F2258" s="659">
        <f ca="1"/>
        <v>1.8298985238146999E-2</v>
      </c>
      <c r="G2258" s="656">
        <v>1.8306785698905034E-2</v>
      </c>
    </row>
    <row r="2259" spans="5:7">
      <c r="E2259" s="658">
        <f ca="1">_xll.meDateFromTenor(E2258,"1D","Following",$C$16)</f>
        <v>46437</v>
      </c>
      <c r="F2259" s="659">
        <f ca="1"/>
        <v>1.8302395175432595E-2</v>
      </c>
      <c r="G2259" s="656">
        <v>1.8309635464221801E-2</v>
      </c>
    </row>
    <row r="2260" spans="5:7">
      <c r="E2260" s="658">
        <f ca="1">_xll.meDateFromTenor(E2259,"1D","Following",$C$16)</f>
        <v>46440</v>
      </c>
      <c r="F2260" s="659">
        <f ca="1"/>
        <v>1.8312609995991089E-2</v>
      </c>
      <c r="G2260" s="656">
        <v>1.8312483277755826E-2</v>
      </c>
    </row>
    <row r="2261" spans="5:7">
      <c r="E2261" s="658">
        <f ca="1">_xll.meDateFromTenor(E2260,"1D","Following",$C$16)</f>
        <v>46441</v>
      </c>
      <c r="F2261" s="659">
        <f ca="1"/>
        <v>1.8316009804065985E-2</v>
      </c>
      <c r="G2261" s="656">
        <v>1.8315329131405406E-2</v>
      </c>
    </row>
    <row r="2262" spans="5:7">
      <c r="E2262" s="658">
        <f ca="1">_xll.meDateFromTenor(E2261,"1D","Following",$C$16)</f>
        <v>46442</v>
      </c>
      <c r="F2262" s="659">
        <f ca="1"/>
        <v>1.8319406978579325E-2</v>
      </c>
      <c r="G2262" s="656">
        <v>1.8318173017068839E-2</v>
      </c>
    </row>
    <row r="2263" spans="5:7">
      <c r="E2263" s="658">
        <f ca="1">_xll.meDateFromTenor(E2262,"1D","Following",$C$16)</f>
        <v>46443</v>
      </c>
      <c r="F2263" s="659">
        <f ca="1"/>
        <v>1.832280147902756E-2</v>
      </c>
      <c r="G2263" s="656">
        <v>1.8326692785125234E-2</v>
      </c>
    </row>
    <row r="2264" spans="5:7">
      <c r="E2264" s="658">
        <f ca="1">_xll.meDateFromTenor(E2263,"1D","Following",$C$16)</f>
        <v>46444</v>
      </c>
      <c r="F2264" s="659">
        <f ca="1"/>
        <v>1.8326193264907135E-2</v>
      </c>
      <c r="G2264" s="656">
        <v>1.8329528717827063E-2</v>
      </c>
    </row>
    <row r="2265" spans="5:7">
      <c r="E2265" s="658">
        <f ca="1">_xll.meDateFromTenor(E2264,"1D","Following",$C$16)</f>
        <v>46447</v>
      </c>
      <c r="F2265" s="659">
        <f ca="1"/>
        <v>1.8336351930098378E-2</v>
      </c>
      <c r="G2265" s="656">
        <v>1.8332362642034233E-2</v>
      </c>
    </row>
    <row r="2266" spans="5:7">
      <c r="E2266" s="658">
        <f ca="1">_xll.meDateFromTenor(E2265,"1D","Following",$C$16)</f>
        <v>46448</v>
      </c>
      <c r="F2266" s="659">
        <f ca="1"/>
        <v>1.833973245266779E-2</v>
      </c>
      <c r="G2266" s="656">
        <v>1.833519454964504E-2</v>
      </c>
    </row>
    <row r="2267" spans="5:7">
      <c r="E2267" s="658">
        <f ca="1">_xll.meDateFromTenor(E2266,"1D","Following",$C$16)</f>
        <v>46449</v>
      </c>
      <c r="F2267" s="659">
        <f ca="1"/>
        <v>1.8343110058150775E-2</v>
      </c>
      <c r="G2267" s="656">
        <v>1.833802443255779E-2</v>
      </c>
    </row>
    <row r="2268" spans="5:7">
      <c r="E2268" s="658">
        <f ca="1">_xll.meDateFromTenor(E2267,"1D","Following",$C$16)</f>
        <v>46450</v>
      </c>
      <c r="F2268" s="659">
        <f ca="1"/>
        <v>1.8346484706043793E-2</v>
      </c>
      <c r="G2268" s="656">
        <v>1.8346501852090649E-2</v>
      </c>
    </row>
    <row r="2269" spans="5:7">
      <c r="E2269" s="658">
        <f ca="1">_xll.meDateFromTenor(E2268,"1D","Following",$C$16)</f>
        <v>46451</v>
      </c>
      <c r="F2269" s="659">
        <f ca="1"/>
        <v>1.834985635584328E-2</v>
      </c>
      <c r="G2269" s="656">
        <v>1.8349323555194134E-2</v>
      </c>
    </row>
    <row r="2270" spans="5:7">
      <c r="E2270" s="658">
        <f ca="1">_xll.meDateFromTenor(E2269,"1D","Following",$C$16)</f>
        <v>46454</v>
      </c>
      <c r="F2270" s="659">
        <f ca="1"/>
        <v>1.8359952911645064E-2</v>
      </c>
      <c r="G2270" s="656">
        <v>1.8352143193091044E-2</v>
      </c>
    </row>
    <row r="2271" spans="5:7">
      <c r="E2271" s="658">
        <f ca="1">_xll.meDateFromTenor(E2270,"1D","Following",$C$16)</f>
        <v>46455</v>
      </c>
      <c r="F2271" s="659">
        <f ca="1"/>
        <v>1.8363312164034924E-2</v>
      </c>
      <c r="G2271" s="656">
        <v>1.8354960757679686E-2</v>
      </c>
    </row>
    <row r="2272" spans="5:7">
      <c r="E2272" s="658">
        <f ca="1">_xll.meDateFromTenor(E2271,"1D","Following",$C$16)</f>
        <v>46456</v>
      </c>
      <c r="F2272" s="659">
        <f ca="1"/>
        <v>1.8366668215813495E-2</v>
      </c>
      <c r="G2272" s="656">
        <v>1.8357776240858346E-2</v>
      </c>
    </row>
    <row r="2273" spans="5:7">
      <c r="E2273" s="658">
        <f ca="1">_xll.meDateFromTenor(E2272,"1D","Following",$C$16)</f>
        <v>46457</v>
      </c>
      <c r="F2273" s="659">
        <f ca="1"/>
        <v>1.8370021026477223E-2</v>
      </c>
      <c r="G2273" s="656">
        <v>1.8366210120917454E-2</v>
      </c>
    </row>
    <row r="2274" spans="5:7">
      <c r="E2274" s="658">
        <f ca="1">_xll.meDateFromTenor(E2273,"1D","Following",$C$16)</f>
        <v>46458</v>
      </c>
      <c r="F2274" s="659">
        <f ca="1"/>
        <v>1.8373370555522562E-2</v>
      </c>
      <c r="G2274" s="656">
        <v>1.8369017197439191E-2</v>
      </c>
    </row>
    <row r="2275" spans="5:7">
      <c r="E2275" s="658">
        <f ca="1">_xll.meDateFromTenor(E2274,"1D","Following",$C$16)</f>
        <v>46461</v>
      </c>
      <c r="F2275" s="659">
        <f ca="1"/>
        <v>1.8383399047912689E-2</v>
      </c>
      <c r="G2275" s="656">
        <v>1.8371822152042441E-2</v>
      </c>
    </row>
    <row r="2276" spans="5:7">
      <c r="E2276" s="658">
        <f ca="1">_xll.meDateFromTenor(E2275,"1D","Following",$C$16)</f>
        <v>46462</v>
      </c>
      <c r="F2276" s="659">
        <f ca="1"/>
        <v>1.8386735045448927E-2</v>
      </c>
      <c r="G2276" s="656">
        <v>1.8374624976625505E-2</v>
      </c>
    </row>
    <row r="2277" spans="5:7">
      <c r="E2277" s="658">
        <f ca="1">_xll.meDateFromTenor(E2276,"1D","Following",$C$16)</f>
        <v>46463</v>
      </c>
      <c r="F2277" s="659">
        <f ca="1"/>
        <v>1.8390067558849015E-2</v>
      </c>
      <c r="G2277" s="656">
        <v>1.8377425663086675E-2</v>
      </c>
    </row>
    <row r="2278" spans="5:7">
      <c r="E2278" s="658">
        <f ca="1">_xll.meDateFromTenor(E2277,"1D","Following",$C$16)</f>
        <v>46464</v>
      </c>
      <c r="F2278" s="659">
        <f ca="1"/>
        <v>1.8393396547609388E-2</v>
      </c>
      <c r="G2278" s="656">
        <v>1.8385814812721828E-2</v>
      </c>
    </row>
    <row r="2279" spans="5:7">
      <c r="E2279" s="658">
        <f ca="1">_xll.meDateFromTenor(E2278,"1D","Following",$C$16)</f>
        <v>46465</v>
      </c>
      <c r="F2279" s="659">
        <f ca="1"/>
        <v>1.8396721971226507E-2</v>
      </c>
      <c r="G2279" s="656">
        <v>1.8388606865678416E-2</v>
      </c>
    </row>
    <row r="2280" spans="5:7">
      <c r="E2280" s="658">
        <f ca="1">_xll.meDateFromTenor(E2279,"1D","Following",$C$16)</f>
        <v>46468</v>
      </c>
      <c r="F2280" s="659">
        <f ca="1"/>
        <v>1.8406676446182779E-2</v>
      </c>
      <c r="G2280" s="656">
        <v>1.8391396740004604E-2</v>
      </c>
    </row>
    <row r="2281" spans="5:7">
      <c r="E2281" s="658">
        <f ca="1">_xll.meDateFromTenor(E2280,"1D","Following",$C$16)</f>
        <v>46469</v>
      </c>
      <c r="F2281" s="659">
        <f ca="1"/>
        <v>1.840998720419133E-2</v>
      </c>
      <c r="G2281" s="656">
        <v>1.8394184427598687E-2</v>
      </c>
    </row>
    <row r="2282" spans="5:7">
      <c r="E2282" s="658">
        <f ca="1">_xll.meDateFromTenor(E2281,"1D","Following",$C$16)</f>
        <v>46470</v>
      </c>
      <c r="F2282" s="659">
        <f ca="1"/>
        <v>1.8413294194538864E-2</v>
      </c>
      <c r="G2282" s="656">
        <v>1.8396969920358969E-2</v>
      </c>
    </row>
    <row r="2283" spans="5:7">
      <c r="E2283" s="658">
        <f ca="1">_xll.meDateFromTenor(E2282,"1D","Following",$C$16)</f>
        <v>46471</v>
      </c>
      <c r="F2283" s="659">
        <f ca="1"/>
        <v>1.841659737672182E-2</v>
      </c>
      <c r="G2283" s="656">
        <v>1.8405313148619953E-2</v>
      </c>
    </row>
    <row r="2284" spans="5:7">
      <c r="E2284" s="658">
        <f ca="1">_xll.meDateFromTenor(E2283,"1D","Following",$C$16)</f>
        <v>46476</v>
      </c>
      <c r="F2284" s="659">
        <f ca="1"/>
        <v>1.8433054747543667E-2</v>
      </c>
      <c r="G2284" s="656">
        <v>1.8408089781027991E-2</v>
      </c>
    </row>
    <row r="2285" spans="5:7">
      <c r="E2285" s="658">
        <f ca="1">_xll.meDateFromTenor(E2284,"1D","Following",$C$16)</f>
        <v>46477</v>
      </c>
      <c r="F2285" s="659">
        <f ca="1"/>
        <v>1.8436334230164577E-2</v>
      </c>
      <c r="G2285" s="656">
        <v>1.8410864178093716E-2</v>
      </c>
    </row>
    <row r="2286" spans="5:7">
      <c r="E2286" s="658">
        <f ca="1">_xll.meDateFromTenor(E2285,"1D","Following",$C$16)</f>
        <v>46478</v>
      </c>
      <c r="F2286" s="659">
        <f ca="1"/>
        <v>1.8439609621096049E-2</v>
      </c>
      <c r="G2286" s="656">
        <v>1.8413636331715416E-2</v>
      </c>
    </row>
    <row r="2287" spans="5:7">
      <c r="E2287" s="658">
        <f ca="1">_xll.meDateFromTenor(E2286,"1D","Following",$C$16)</f>
        <v>46479</v>
      </c>
      <c r="F2287" s="659">
        <f ca="1"/>
        <v>1.8442880879834526E-2</v>
      </c>
      <c r="G2287" s="656">
        <v>1.8427463164604096E-2</v>
      </c>
    </row>
    <row r="2288" spans="5:7">
      <c r="E2288" s="658">
        <f ca="1">_xll.meDateFromTenor(E2287,"1D","Following",$C$16)</f>
        <v>46482</v>
      </c>
      <c r="F2288" s="659">
        <f ca="1"/>
        <v>1.8452669457856476E-2</v>
      </c>
      <c r="G2288" s="656">
        <v>1.843022168742595E-2</v>
      </c>
    </row>
    <row r="2289" spans="5:7">
      <c r="E2289" s="658">
        <f ca="1">_xll.meDateFromTenor(E2288,"1D","Following",$C$16)</f>
        <v>46483</v>
      </c>
      <c r="F2289" s="659">
        <f ca="1"/>
        <v>1.8455923782787462E-2</v>
      </c>
      <c r="G2289" s="656">
        <v>1.8432977910091873E-2</v>
      </c>
    </row>
    <row r="2290" spans="5:7">
      <c r="E2290" s="658">
        <f ca="1">_xll.meDateFromTenor(E2289,"1D","Following",$C$16)</f>
        <v>46484</v>
      </c>
      <c r="F2290" s="659">
        <f ca="1"/>
        <v>1.8459173773007684E-2</v>
      </c>
      <c r="G2290" s="656">
        <v>1.8435731824500159E-2</v>
      </c>
    </row>
    <row r="2291" spans="5:7">
      <c r="E2291" s="658">
        <f ca="1">_xll.meDateFromTenor(E2290,"1D","Following",$C$16)</f>
        <v>46485</v>
      </c>
      <c r="F2291" s="659">
        <f ca="1"/>
        <v>1.8462419388013605E-2</v>
      </c>
      <c r="G2291" s="656">
        <v>1.8443979637162183E-2</v>
      </c>
    </row>
    <row r="2292" spans="5:7">
      <c r="E2292" s="658">
        <f ca="1">_xll.meDateFromTenor(E2291,"1D","Following",$C$16)</f>
        <v>46486</v>
      </c>
      <c r="F2292" s="659">
        <f ca="1"/>
        <v>1.8465660587301664E-2</v>
      </c>
      <c r="G2292" s="656">
        <v>1.8446724237522912E-2</v>
      </c>
    </row>
    <row r="2293" spans="5:7">
      <c r="E2293" s="658">
        <f ca="1">_xll.meDateFromTenor(E2292,"1D","Following",$C$16)</f>
        <v>46489</v>
      </c>
      <c r="F2293" s="659">
        <f ca="1"/>
        <v>1.8475357285823155E-2</v>
      </c>
      <c r="G2293" s="656">
        <v>1.8449466489117494E-2</v>
      </c>
    </row>
    <row r="2294" spans="5:7">
      <c r="E2294" s="658">
        <f ca="1">_xll.meDateFromTenor(E2293,"1D","Following",$C$16)</f>
        <v>46490</v>
      </c>
      <c r="F2294" s="659">
        <f ca="1"/>
        <v>1.8478580417204248E-2</v>
      </c>
      <c r="G2294" s="656">
        <v>1.8452206383844229E-2</v>
      </c>
    </row>
    <row r="2295" spans="5:7">
      <c r="E2295" s="658">
        <f ca="1">_xll.meDateFromTenor(E2294,"1D","Following",$C$16)</f>
        <v>46491</v>
      </c>
      <c r="F2295" s="659">
        <f ca="1"/>
        <v>1.8481798930349725E-2</v>
      </c>
      <c r="G2295" s="656">
        <v>1.8454943913601415E-2</v>
      </c>
    </row>
    <row r="2296" spans="5:7">
      <c r="E2296" s="658">
        <f ca="1">_xll.meDateFromTenor(E2295,"1D","Following",$C$16)</f>
        <v>46492</v>
      </c>
      <c r="F2296" s="659">
        <f ca="1"/>
        <v>1.8485012784756023E-2</v>
      </c>
      <c r="G2296" s="656">
        <v>1.8463142232038651E-2</v>
      </c>
    </row>
    <row r="2297" spans="5:7">
      <c r="E2297" s="658">
        <f ca="1">_xll.meDateFromTenor(E2296,"1D","Following",$C$16)</f>
        <v>46493</v>
      </c>
      <c r="F2297" s="659">
        <f ca="1"/>
        <v>1.8488221939919593E-2</v>
      </c>
      <c r="G2297" s="656">
        <v>1.8465870220900616E-2</v>
      </c>
    </row>
    <row r="2298" spans="5:7">
      <c r="E2298" s="658">
        <f ca="1">_xll.meDateFromTenor(E2297,"1D","Following",$C$16)</f>
        <v>46496</v>
      </c>
      <c r="F2298" s="659">
        <f ca="1"/>
        <v>1.8497820804918425E-2</v>
      </c>
      <c r="G2298" s="656">
        <v>1.8468595804284525E-2</v>
      </c>
    </row>
    <row r="2299" spans="5:7">
      <c r="E2299" s="658">
        <f ca="1">_xll.meDateFromTenor(E2298,"1D","Following",$C$16)</f>
        <v>46497</v>
      </c>
      <c r="F2299" s="659">
        <f ca="1"/>
        <v>1.8501010758075562E-2</v>
      </c>
      <c r="G2299" s="656">
        <v>1.8471318974088671E-2</v>
      </c>
    </row>
    <row r="2300" spans="5:7">
      <c r="E2300" s="658">
        <f ca="1">_xll.meDateFromTenor(E2299,"1D","Following",$C$16)</f>
        <v>46498</v>
      </c>
      <c r="F2300" s="659">
        <f ca="1"/>
        <v>1.8504195809472219E-2</v>
      </c>
      <c r="G2300" s="656">
        <v>1.8474039722211354E-2</v>
      </c>
    </row>
    <row r="2301" spans="5:7">
      <c r="E2301" s="658">
        <f ca="1">_xll.meDateFromTenor(E2300,"1D","Following",$C$16)</f>
        <v>46499</v>
      </c>
      <c r="F2301" s="659">
        <f ca="1"/>
        <v>1.8507375918604831E-2</v>
      </c>
      <c r="G2301" s="656">
        <v>1.8482187355473596E-2</v>
      </c>
    </row>
    <row r="2302" spans="5:7">
      <c r="E2302" s="658">
        <f ca="1">_xll.meDateFromTenor(E2301,"1D","Following",$C$16)</f>
        <v>46500</v>
      </c>
      <c r="F2302" s="659">
        <f ca="1"/>
        <v>1.8510551044969851E-2</v>
      </c>
      <c r="G2302" s="656">
        <v>1.84848983358534E-2</v>
      </c>
    </row>
    <row r="2303" spans="5:7">
      <c r="E2303" s="658">
        <f ca="1">_xll.meDateFromTenor(E2302,"1D","Following",$C$16)</f>
        <v>46503</v>
      </c>
      <c r="F2303" s="659">
        <f ca="1"/>
        <v>1.8520046122423816E-2</v>
      </c>
      <c r="G2303" s="656">
        <v>1.8487606854043229E-2</v>
      </c>
    </row>
    <row r="2304" spans="5:7">
      <c r="E2304" s="658">
        <f ca="1">_xll.meDateFromTenor(E2303,"1D","Following",$C$16)</f>
        <v>46504</v>
      </c>
      <c r="F2304" s="659">
        <f ca="1"/>
        <v>1.8523200912682936E-2</v>
      </c>
      <c r="G2304" s="656">
        <v>1.8490312901941381E-2</v>
      </c>
    </row>
    <row r="2305" spans="5:7">
      <c r="E2305" s="658">
        <f ca="1">_xll.meDateFromTenor(E2304,"1D","Following",$C$16)</f>
        <v>46505</v>
      </c>
      <c r="F2305" s="659">
        <f ca="1"/>
        <v>1.8526350517656703E-2</v>
      </c>
      <c r="G2305" s="656">
        <v>1.8493016471446157E-2</v>
      </c>
    </row>
    <row r="2306" spans="5:7">
      <c r="E2306" s="658">
        <f ca="1">_xll.meDateFromTenor(E2305,"1D","Following",$C$16)</f>
        <v>46506</v>
      </c>
      <c r="F2306" s="659">
        <f ca="1"/>
        <v>1.852949489684156E-2</v>
      </c>
      <c r="G2306" s="656">
        <v>1.8501112228583191E-2</v>
      </c>
    </row>
    <row r="2307" spans="5:7">
      <c r="E2307" s="658">
        <f ca="1">_xll.meDateFromTenor(E2306,"1D","Following",$C$16)</f>
        <v>46507</v>
      </c>
      <c r="F2307" s="659">
        <f ca="1"/>
        <v>1.8532634009733959E-2</v>
      </c>
      <c r="G2307" s="656">
        <v>1.8503805803497433E-2</v>
      </c>
    </row>
    <row r="2308" spans="5:7">
      <c r="E2308" s="658">
        <f ca="1">_xll.meDateFromTenor(E2307,"1D","Following",$C$16)</f>
        <v>46510</v>
      </c>
      <c r="F2308" s="659">
        <f ca="1"/>
        <v>1.8542019345620869E-2</v>
      </c>
      <c r="G2308" s="656">
        <v>1.8506496859509784E-2</v>
      </c>
    </row>
    <row r="2309" spans="5:7">
      <c r="E2309" s="658">
        <f ca="1">_xll.meDateFromTenor(E2308,"1D","Following",$C$16)</f>
        <v>46511</v>
      </c>
      <c r="F2309" s="659">
        <f ca="1"/>
        <v>1.8545136988307898E-2</v>
      </c>
      <c r="G2309" s="656">
        <v>1.8509185388518545E-2</v>
      </c>
    </row>
    <row r="2310" spans="5:7">
      <c r="E2310" s="658">
        <f ca="1">_xll.meDateFromTenor(E2309,"1D","Following",$C$16)</f>
        <v>46512</v>
      </c>
      <c r="F2310" s="659">
        <f ca="1"/>
        <v>1.8548249162184709E-2</v>
      </c>
      <c r="G2310" s="656">
        <v>1.851187138242201E-2</v>
      </c>
    </row>
    <row r="2311" spans="5:7">
      <c r="E2311" s="658">
        <f ca="1">_xll.meDateFromTenor(E2310,"1D","Following",$C$16)</f>
        <v>46513</v>
      </c>
      <c r="F2311" s="659">
        <f ca="1"/>
        <v>1.8551355826747745E-2</v>
      </c>
      <c r="G2311" s="656">
        <v>1.8519914072483629E-2</v>
      </c>
    </row>
    <row r="2312" spans="5:7">
      <c r="E2312" s="658">
        <f ca="1">_xll.meDateFromTenor(E2311,"1D","Following",$C$16)</f>
        <v>46514</v>
      </c>
      <c r="F2312" s="659">
        <f ca="1"/>
        <v>1.855445694149346E-2</v>
      </c>
      <c r="G2312" s="656">
        <v>1.8522589849967165E-2</v>
      </c>
    </row>
    <row r="2313" spans="5:7">
      <c r="E2313" s="658">
        <f ca="1">_xll.meDateFromTenor(E2312,"1D","Following",$C$16)</f>
        <v>46517</v>
      </c>
      <c r="F2313" s="659">
        <f ca="1"/>
        <v>1.8563726581791104E-2</v>
      </c>
      <c r="G2313" s="656">
        <v>1.8525263081946488E-2</v>
      </c>
    </row>
    <row r="2314" spans="5:7">
      <c r="E2314" s="658">
        <f ca="1">_xll.meDateFromTenor(E2313,"1D","Following",$C$16)</f>
        <v>46518</v>
      </c>
      <c r="F2314" s="659">
        <f ca="1"/>
        <v>1.8566805102925698E-2</v>
      </c>
      <c r="G2314" s="656">
        <v>1.8527933790429479E-2</v>
      </c>
    </row>
    <row r="2315" spans="5:7">
      <c r="E2315" s="658">
        <f ca="1">_xll.meDateFromTenor(E2314,"1D","Following",$C$16)</f>
        <v>46519</v>
      </c>
      <c r="F2315" s="659">
        <f ca="1"/>
        <v>1.8569877935887484E-2</v>
      </c>
      <c r="G2315" s="656">
        <v>1.8530601997424023E-2</v>
      </c>
    </row>
    <row r="2316" spans="5:7">
      <c r="E2316" s="658">
        <f ca="1">_xll.meDateFromTenor(E2315,"1D","Following",$C$16)</f>
        <v>46520</v>
      </c>
      <c r="F2316" s="659">
        <f ca="1"/>
        <v>1.8572945104335194E-2</v>
      </c>
      <c r="G2316" s="656">
        <v>1.8538591829555844E-2</v>
      </c>
    </row>
    <row r="2317" spans="5:7">
      <c r="E2317" s="658">
        <f ca="1">_xll.meDateFromTenor(E2316,"1D","Following",$C$16)</f>
        <v>46521</v>
      </c>
      <c r="F2317" s="659">
        <f ca="1"/>
        <v>1.8576006631927558E-2</v>
      </c>
      <c r="G2317" s="656">
        <v>1.8541250250675465E-2</v>
      </c>
    </row>
    <row r="2318" spans="5:7">
      <c r="E2318" s="658">
        <f ca="1">_xll.meDateFromTenor(E2317,"1D","Following",$C$16)</f>
        <v>46524</v>
      </c>
      <c r="F2318" s="659">
        <f ca="1"/>
        <v>1.8585157606159884E-2</v>
      </c>
      <c r="G2318" s="656">
        <v>1.8543906280346065E-2</v>
      </c>
    </row>
    <row r="2319" spans="5:7">
      <c r="E2319" s="658">
        <f ca="1">_xll.meDateFromTenor(E2318,"1D","Following",$C$16)</f>
        <v>46525</v>
      </c>
      <c r="F2319" s="659">
        <f ca="1"/>
        <v>1.8588196806918169E-2</v>
      </c>
      <c r="G2319" s="656">
        <v>1.8546559940575542E-2</v>
      </c>
    </row>
    <row r="2320" spans="5:7">
      <c r="E2320" s="658">
        <f ca="1">_xll.meDateFromTenor(E2319,"1D","Following",$C$16)</f>
        <v>46526</v>
      </c>
      <c r="F2320" s="659">
        <f ca="1"/>
        <v>1.8591230485114765E-2</v>
      </c>
      <c r="G2320" s="656">
        <v>1.8549211253371767E-2</v>
      </c>
    </row>
    <row r="2321" spans="5:7">
      <c r="E2321" s="658">
        <f ca="1">_xll.meDateFromTenor(E2320,"1D","Following",$C$16)</f>
        <v>46527</v>
      </c>
      <c r="F2321" s="659">
        <f ca="1"/>
        <v>1.8594258664408388E-2</v>
      </c>
      <c r="G2321" s="656">
        <v>1.855715132723983E-2</v>
      </c>
    </row>
    <row r="2322" spans="5:7">
      <c r="E2322" s="658">
        <f ca="1">_xll.meDateFromTenor(E2321,"1D","Following",$C$16)</f>
        <v>46528</v>
      </c>
      <c r="F2322" s="659">
        <f ca="1"/>
        <v>1.8597281368457782E-2</v>
      </c>
      <c r="G2322" s="656">
        <v>1.8559793470381929E-2</v>
      </c>
    </row>
    <row r="2323" spans="5:7">
      <c r="E2323" s="658">
        <f ca="1">_xll.meDateFromTenor(E2322,"1D","Following",$C$16)</f>
        <v>46531</v>
      </c>
      <c r="F2323" s="659">
        <f ca="1"/>
        <v>1.8606316865727866E-2</v>
      </c>
      <c r="G2323" s="656">
        <v>1.856243337613021E-2</v>
      </c>
    </row>
    <row r="2324" spans="5:7">
      <c r="E2324" s="658">
        <f ca="1">_xll.meDateFromTenor(E2323,"1D","Following",$C$16)</f>
        <v>46532</v>
      </c>
      <c r="F2324" s="659">
        <f ca="1"/>
        <v>1.8609317905387626E-2</v>
      </c>
      <c r="G2324" s="656">
        <v>1.856507106649256E-2</v>
      </c>
    </row>
    <row r="2325" spans="5:7">
      <c r="E2325" s="658">
        <f ca="1">_xll.meDateFromTenor(E2324,"1D","Following",$C$16)</f>
        <v>46533</v>
      </c>
      <c r="F2325" s="659">
        <f ca="1"/>
        <v>1.8612313588096802E-2</v>
      </c>
      <c r="G2325" s="656">
        <v>1.8567706563476862E-2</v>
      </c>
    </row>
    <row r="2326" spans="5:7">
      <c r="E2326" s="658">
        <f ca="1">_xll.meDateFromTenor(E2325,"1D","Following",$C$16)</f>
        <v>46534</v>
      </c>
      <c r="F2326" s="659">
        <f ca="1"/>
        <v>1.8615303937514132E-2</v>
      </c>
      <c r="G2326" s="656">
        <v>1.8575600114240344E-2</v>
      </c>
    </row>
    <row r="2327" spans="5:7">
      <c r="E2327" s="658">
        <f ca="1">_xll.meDateFromTenor(E2326,"1D","Following",$C$16)</f>
        <v>46535</v>
      </c>
      <c r="F2327" s="659">
        <f ca="1"/>
        <v>1.8618288977298336E-2</v>
      </c>
      <c r="G2327" s="656">
        <v>1.8578227057791313E-2</v>
      </c>
    </row>
    <row r="2328" spans="5:7">
      <c r="E2328" s="658">
        <f ca="1">_xll.meDateFromTenor(E2327,"1D","Following",$C$16)</f>
        <v>46538</v>
      </c>
      <c r="F2328" s="659">
        <f ca="1"/>
        <v>1.8627212475439525E-2</v>
      </c>
      <c r="G2328" s="656">
        <v>1.8580851918003662E-2</v>
      </c>
    </row>
    <row r="2329" spans="5:7">
      <c r="E2329" s="658">
        <f ca="1">_xll.meDateFromTenor(E2328,"1D","Following",$C$16)</f>
        <v>46539</v>
      </c>
      <c r="F2329" s="659">
        <f ca="1"/>
        <v>1.8630176513278543E-2</v>
      </c>
      <c r="G2329" s="656">
        <v>1.8583474716885283E-2</v>
      </c>
    </row>
    <row r="2330" spans="5:7">
      <c r="E2330" s="658">
        <f ca="1">_xll.meDateFromTenor(E2329,"1D","Following",$C$16)</f>
        <v>46540</v>
      </c>
      <c r="F2330" s="659">
        <f ca="1"/>
        <v>1.8633135359778091E-2</v>
      </c>
      <c r="G2330" s="656">
        <v>1.8586095476444051E-2</v>
      </c>
    </row>
    <row r="2331" spans="5:7">
      <c r="E2331" s="658">
        <f ca="1">_xll.meDateFromTenor(E2330,"1D","Following",$C$16)</f>
        <v>46541</v>
      </c>
      <c r="F2331" s="659">
        <f ca="1"/>
        <v>1.8636089038596901E-2</v>
      </c>
      <c r="G2331" s="656">
        <v>1.8593945739262131E-2</v>
      </c>
    </row>
    <row r="2332" spans="5:7">
      <c r="E2332" s="658">
        <f ca="1">_xll.meDateFromTenor(E2331,"1D","Following",$C$16)</f>
        <v>46542</v>
      </c>
      <c r="F2332" s="659">
        <f ca="1"/>
        <v>1.8639037573393701E-2</v>
      </c>
      <c r="G2332" s="656">
        <v>1.8596558561608363E-2</v>
      </c>
    </row>
    <row r="2333" spans="5:7">
      <c r="E2333" s="658">
        <f ca="1">_xll.meDateFromTenor(E2332,"1D","Following",$C$16)</f>
        <v>46545</v>
      </c>
      <c r="F2333" s="659">
        <f ca="1"/>
        <v>1.8647852550239336E-2</v>
      </c>
      <c r="G2333" s="656">
        <v>1.8599169454671178E-2</v>
      </c>
    </row>
    <row r="2334" spans="5:7">
      <c r="E2334" s="658">
        <f ca="1">_xll.meDateFromTenor(E2333,"1D","Following",$C$16)</f>
        <v>46546</v>
      </c>
      <c r="F2334" s="659">
        <f ca="1"/>
        <v>1.86507807455354E-2</v>
      </c>
      <c r="G2334" s="656">
        <v>1.8601778440458457E-2</v>
      </c>
    </row>
    <row r="2335" spans="5:7">
      <c r="E2335" s="658">
        <f ca="1">_xll.meDateFromTenor(E2334,"1D","Following",$C$16)</f>
        <v>46547</v>
      </c>
      <c r="F2335" s="659">
        <f ca="1"/>
        <v>1.8653703915103102E-2</v>
      </c>
      <c r="G2335" s="656">
        <v>1.8604385540978086E-2</v>
      </c>
    </row>
    <row r="2336" spans="5:7">
      <c r="E2336" s="658">
        <f ca="1">_xll.meDateFromTenor(E2335,"1D","Following",$C$16)</f>
        <v>46548</v>
      </c>
      <c r="F2336" s="659">
        <f ca="1"/>
        <v>1.8656622082601174E-2</v>
      </c>
      <c r="G2336" s="656">
        <v>1.8612195751009943E-2</v>
      </c>
    </row>
    <row r="2337" spans="5:7">
      <c r="E2337" s="658">
        <f ca="1">_xll.meDateFromTenor(E2336,"1D","Following",$C$16)</f>
        <v>46549</v>
      </c>
      <c r="F2337" s="659">
        <f ca="1"/>
        <v>1.865953527168835E-2</v>
      </c>
      <c r="G2337" s="656">
        <v>1.8614795530537832E-2</v>
      </c>
    </row>
    <row r="2338" spans="5:7">
      <c r="E2338" s="658">
        <f ca="1">_xll.meDateFromTenor(E2337,"1D","Following",$C$16)</f>
        <v>46552</v>
      </c>
      <c r="F2338" s="659">
        <f ca="1"/>
        <v>1.8668245205071789E-2</v>
      </c>
      <c r="G2338" s="656">
        <v>1.8617393534837504E-2</v>
      </c>
    </row>
    <row r="2339" spans="5:7">
      <c r="E2339" s="658">
        <f ca="1">_xll.meDateFromTenor(E2338,"1D","Following",$C$16)</f>
        <v>46553</v>
      </c>
      <c r="F2339" s="659">
        <f ca="1"/>
        <v>1.8671138717102673E-2</v>
      </c>
      <c r="G2339" s="656">
        <v>1.8619989785916842E-2</v>
      </c>
    </row>
    <row r="2340" spans="5:7">
      <c r="E2340" s="658">
        <f ca="1">_xll.meDateFromTenor(E2339,"1D","Following",$C$16)</f>
        <v>46554</v>
      </c>
      <c r="F2340" s="659">
        <f ca="1"/>
        <v>1.867402736901631E-2</v>
      </c>
      <c r="G2340" s="656">
        <v>1.8622584305783726E-2</v>
      </c>
    </row>
    <row r="2341" spans="5:7">
      <c r="E2341" s="658">
        <f ca="1">_xll.meDateFromTenor(E2340,"1D","Following",$C$16)</f>
        <v>46555</v>
      </c>
      <c r="F2341" s="659">
        <f ca="1"/>
        <v>1.8676911184471436E-2</v>
      </c>
      <c r="G2341" s="656">
        <v>1.8630357698188538E-2</v>
      </c>
    </row>
    <row r="2342" spans="5:7">
      <c r="E2342" s="658">
        <f ca="1">_xll.meDateFromTenor(E2341,"1D","Following",$C$16)</f>
        <v>46556</v>
      </c>
      <c r="F2342" s="659">
        <f ca="1"/>
        <v>1.8679790187126771E-2</v>
      </c>
      <c r="G2342" s="656">
        <v>1.8632945513284482E-2</v>
      </c>
    </row>
    <row r="2343" spans="5:7">
      <c r="E2343" s="658">
        <f ca="1">_xll.meDateFromTenor(E2342,"1D","Following",$C$16)</f>
        <v>46559</v>
      </c>
      <c r="F2343" s="659">
        <f ca="1"/>
        <v>1.8688398554881358E-2</v>
      </c>
      <c r="G2343" s="656">
        <v>1.8635531707207401E-2</v>
      </c>
    </row>
    <row r="2344" spans="5:7">
      <c r="E2344" s="658">
        <f ca="1">_xll.meDateFromTenor(E2343,"1D","Following",$C$16)</f>
        <v>46560</v>
      </c>
      <c r="F2344" s="659">
        <f ca="1"/>
        <v>1.8691258542924853E-2</v>
      </c>
      <c r="G2344" s="656">
        <v>1.8638116301965189E-2</v>
      </c>
    </row>
    <row r="2345" spans="5:7">
      <c r="E2345" s="658">
        <f ca="1">_xll.meDateFromTenor(E2344,"1D","Following",$C$16)</f>
        <v>46561</v>
      </c>
      <c r="F2345" s="659">
        <f ca="1"/>
        <v>1.8694113836462207E-2</v>
      </c>
      <c r="G2345" s="656">
        <v>1.8640699319565718E-2</v>
      </c>
    </row>
    <row r="2346" spans="5:7">
      <c r="E2346" s="658">
        <f ca="1">_xll.meDateFromTenor(E2345,"1D","Following",$C$16)</f>
        <v>46562</v>
      </c>
      <c r="F2346" s="659">
        <f ca="1"/>
        <v>1.8696964459152157E-2</v>
      </c>
      <c r="G2346" s="656">
        <v>1.8648439129502668E-2</v>
      </c>
    </row>
    <row r="2347" spans="5:7">
      <c r="E2347" s="658">
        <f ca="1">_xll.meDateFromTenor(E2346,"1D","Following",$C$16)</f>
        <v>46563</v>
      </c>
      <c r="F2347" s="659">
        <f ca="1"/>
        <v>1.8699810434653439E-2</v>
      </c>
      <c r="G2347" s="656">
        <v>1.8651016058553058E-2</v>
      </c>
    </row>
    <row r="2348" spans="5:7">
      <c r="E2348" s="658">
        <f ca="1">_xll.meDateFromTenor(E2347,"1D","Following",$C$16)</f>
        <v>46566</v>
      </c>
      <c r="F2348" s="659">
        <f ca="1"/>
        <v>1.8708320714612522E-2</v>
      </c>
      <c r="G2348" s="656">
        <v>1.865359152048562E-2</v>
      </c>
    </row>
    <row r="2349" spans="5:7">
      <c r="E2349" s="658">
        <f ca="1">_xll.meDateFromTenor(E2348,"1D","Following",$C$16)</f>
        <v>46567</v>
      </c>
      <c r="F2349" s="659">
        <f ca="1"/>
        <v>1.8711148337946404E-2</v>
      </c>
      <c r="G2349" s="656">
        <v>1.8656165537308245E-2</v>
      </c>
    </row>
    <row r="2350" spans="5:7">
      <c r="E2350" s="658">
        <f ca="1">_xll.meDateFromTenor(E2349,"1D","Following",$C$16)</f>
        <v>46568</v>
      </c>
      <c r="F2350" s="659">
        <f ca="1"/>
        <v>1.8713971432385259E-2</v>
      </c>
      <c r="G2350" s="656">
        <v>1.8658738131028821E-2</v>
      </c>
    </row>
    <row r="2351" spans="5:7">
      <c r="E2351" s="658">
        <f ca="1">_xll.meDateFromTenor(E2350,"1D","Following",$C$16)</f>
        <v>46569</v>
      </c>
      <c r="F2351" s="659">
        <f ca="1"/>
        <v>1.8716790021587826E-2</v>
      </c>
      <c r="G2351" s="656">
        <v>1.8666447593657091E-2</v>
      </c>
    </row>
    <row r="2352" spans="5:7">
      <c r="E2352" s="658">
        <f ca="1">_xll.meDateFromTenor(E2351,"1D","Following",$C$16)</f>
        <v>46570</v>
      </c>
      <c r="F2352" s="659">
        <f ca="1"/>
        <v>1.8719604129212829E-2</v>
      </c>
      <c r="G2352" s="656">
        <v>1.8669014715048313E-2</v>
      </c>
    </row>
    <row r="2353" spans="5:7">
      <c r="E2353" s="658">
        <f ca="1">_xll.meDateFromTenor(E2352,"1D","Following",$C$16)</f>
        <v>46573</v>
      </c>
      <c r="F2353" s="659">
        <f ca="1"/>
        <v>1.8728019799209763E-2</v>
      </c>
      <c r="G2353" s="656">
        <v>1.8671580523376915E-2</v>
      </c>
    </row>
    <row r="2354" spans="5:7">
      <c r="E2354" s="658">
        <f ca="1">_xll.meDateFromTenor(E2353,"1D","Following",$C$16)</f>
        <v>46574</v>
      </c>
      <c r="F2354" s="659">
        <f ca="1"/>
        <v>1.8730816217111815E-2</v>
      </c>
      <c r="G2354" s="656">
        <v>1.8674145040650774E-2</v>
      </c>
    </row>
    <row r="2355" spans="5:7">
      <c r="E2355" s="658">
        <f ca="1">_xll.meDateFromTenor(E2354,"1D","Following",$C$16)</f>
        <v>46575</v>
      </c>
      <c r="F2355" s="659">
        <f ca="1"/>
        <v>1.8733608271729957E-2</v>
      </c>
      <c r="G2355" s="656">
        <v>1.8676708288877783E-2</v>
      </c>
    </row>
    <row r="2356" spans="5:7">
      <c r="E2356" s="658">
        <f ca="1">_xll.meDateFromTenor(E2355,"1D","Following",$C$16)</f>
        <v>46576</v>
      </c>
      <c r="F2356" s="659">
        <f ca="1"/>
        <v>1.8736395986722915E-2</v>
      </c>
      <c r="G2356" s="656">
        <v>1.8684390639356549E-2</v>
      </c>
    </row>
    <row r="2357" spans="5:7">
      <c r="E2357" s="658">
        <f ca="1">_xll.meDateFromTenor(E2356,"1D","Following",$C$16)</f>
        <v>46577</v>
      </c>
      <c r="F2357" s="659">
        <f ca="1"/>
        <v>1.8739179385749424E-2</v>
      </c>
      <c r="G2357" s="656">
        <v>1.8686949031475008E-2</v>
      </c>
    </row>
    <row r="2358" spans="5:7">
      <c r="E2358" s="658">
        <f ca="1">_xll.meDateFromTenor(E2357,"1D","Following",$C$16)</f>
        <v>46580</v>
      </c>
      <c r="F2358" s="659">
        <f ca="1"/>
        <v>1.8747503923617553E-2</v>
      </c>
      <c r="G2358" s="656">
        <v>1.8689506264586032E-2</v>
      </c>
    </row>
    <row r="2359" spans="5:7">
      <c r="E2359" s="658">
        <f ca="1">_xll.meDateFromTenor(E2358,"1D","Following",$C$16)</f>
        <v>46581</v>
      </c>
      <c r="F2359" s="659">
        <f ca="1"/>
        <v>1.8750270295365561E-2</v>
      </c>
      <c r="G2359" s="656">
        <v>1.8692062360697523E-2</v>
      </c>
    </row>
    <row r="2360" spans="5:7">
      <c r="E2360" s="658">
        <f ca="1">_xll.meDateFromTenor(E2359,"1D","Following",$C$16)</f>
        <v>46582</v>
      </c>
      <c r="F2360" s="659">
        <f ca="1"/>
        <v>1.8753032469440767E-2</v>
      </c>
      <c r="G2360" s="656">
        <v>1.8694617341817356E-2</v>
      </c>
    </row>
    <row r="2361" spans="5:7">
      <c r="E2361" s="658">
        <f ca="1">_xll.meDateFromTenor(E2360,"1D","Following",$C$16)</f>
        <v>46583</v>
      </c>
      <c r="F2361" s="659">
        <f ca="1"/>
        <v>1.8755790469501904E-2</v>
      </c>
      <c r="G2361" s="656">
        <v>1.8702275815305799E-2</v>
      </c>
    </row>
    <row r="2362" spans="5:7">
      <c r="E2362" s="658">
        <f ca="1">_xll.meDateFromTenor(E2361,"1D","Following",$C$16)</f>
        <v>46584</v>
      </c>
      <c r="F2362" s="659">
        <f ca="1"/>
        <v>1.8758544319207707E-2</v>
      </c>
      <c r="G2362" s="656">
        <v>1.8704826556537883E-2</v>
      </c>
    </row>
    <row r="2363" spans="5:7">
      <c r="E2363" s="658">
        <f ca="1">_xll.meDateFromTenor(E2362,"1D","Following",$C$16)</f>
        <v>46587</v>
      </c>
      <c r="F2363" s="659">
        <f ca="1"/>
        <v>1.8766781202780379E-2</v>
      </c>
      <c r="G2363" s="656">
        <v>1.870737629281773E-2</v>
      </c>
    </row>
    <row r="2364" spans="5:7">
      <c r="E2364" s="658">
        <f ca="1">_xll.meDateFromTenor(E2363,"1D","Following",$C$16)</f>
        <v>46588</v>
      </c>
      <c r="F2364" s="659">
        <f ca="1"/>
        <v>1.8769518687652125E-2</v>
      </c>
      <c r="G2364" s="656">
        <v>1.8709925046153243E-2</v>
      </c>
    </row>
    <row r="2365" spans="5:7">
      <c r="E2365" s="658">
        <f ca="1">_xll.meDateFromTenor(E2364,"1D","Following",$C$16)</f>
        <v>46589</v>
      </c>
      <c r="F2365" s="659">
        <f ca="1"/>
        <v>1.8772252140462183E-2</v>
      </c>
      <c r="G2365" s="656">
        <v>1.8712472838552301E-2</v>
      </c>
    </row>
    <row r="2366" spans="5:7">
      <c r="E2366" s="658">
        <f ca="1">_xll.meDateFromTenor(E2365,"1D","Following",$C$16)</f>
        <v>46590</v>
      </c>
      <c r="F2366" s="659">
        <f ca="1"/>
        <v>1.8774981584869281E-2</v>
      </c>
      <c r="G2366" s="656">
        <v>1.8720110670209601E-2</v>
      </c>
    </row>
    <row r="2367" spans="5:7">
      <c r="E2367" s="658">
        <f ca="1">_xll.meDateFromTenor(E2366,"1D","Following",$C$16)</f>
        <v>46591</v>
      </c>
      <c r="F2367" s="659">
        <f ca="1"/>
        <v>1.8777707044532153E-2</v>
      </c>
      <c r="G2367" s="656">
        <v>1.8722654838941692E-2</v>
      </c>
    </row>
    <row r="2368" spans="5:7">
      <c r="E2368" s="658">
        <f ca="1">_xll.meDateFromTenor(E2367,"1D","Following",$C$16)</f>
        <v>46594</v>
      </c>
      <c r="F2368" s="659">
        <f ca="1"/>
        <v>1.8785859751642715E-2</v>
      </c>
      <c r="G2368" s="656">
        <v>1.8725198156776764E-2</v>
      </c>
    </row>
    <row r="2369" spans="5:7">
      <c r="E2369" s="658">
        <f ca="1">_xll.meDateFromTenor(E2368,"1D","Following",$C$16)</f>
        <v>46595</v>
      </c>
      <c r="F2369" s="659">
        <f ca="1"/>
        <v>1.878856950891598E-2</v>
      </c>
      <c r="G2369" s="656">
        <v>1.8727740645722687E-2</v>
      </c>
    </row>
    <row r="2370" spans="5:7">
      <c r="E2370" s="658">
        <f ca="1">_xll.meDateFromTenor(E2369,"1D","Following",$C$16)</f>
        <v>46596</v>
      </c>
      <c r="F2370" s="659">
        <f ca="1"/>
        <v>1.8791275399738669E-2</v>
      </c>
      <c r="G2370" s="656">
        <v>1.8730282327787361E-2</v>
      </c>
    </row>
    <row r="2371" spans="5:7">
      <c r="E2371" s="658">
        <f ca="1">_xll.meDateFromTenor(E2370,"1D","Following",$C$16)</f>
        <v>46597</v>
      </c>
      <c r="F2371" s="659">
        <f ca="1"/>
        <v>1.8793977447769512E-2</v>
      </c>
      <c r="G2371" s="656">
        <v>1.8737902752772699E-2</v>
      </c>
    </row>
    <row r="2372" spans="5:7">
      <c r="E2372" s="658">
        <f ca="1">_xll.meDateFromTenor(E2371,"1D","Following",$C$16)</f>
        <v>46598</v>
      </c>
      <c r="F2372" s="659">
        <f ca="1"/>
        <v>1.8796675676667245E-2</v>
      </c>
      <c r="G2372" s="656">
        <v>1.8740441427391202E-2</v>
      </c>
    </row>
    <row r="2373" spans="5:7">
      <c r="E2373" s="658">
        <f ca="1">_xll.meDateFromTenor(E2372,"1D","Following",$C$16)</f>
        <v>46601</v>
      </c>
      <c r="F2373" s="659">
        <f ca="1"/>
        <v>1.8804747685149045E-2</v>
      </c>
      <c r="G2373" s="656">
        <v>1.8742979405167882E-2</v>
      </c>
    </row>
    <row r="2374" spans="5:7">
      <c r="E2374" s="658">
        <f ca="1">_xll.meDateFromTenor(E2373,"1D","Following",$C$16)</f>
        <v>46602</v>
      </c>
      <c r="F2374" s="659">
        <f ca="1"/>
        <v>1.8807430874101611E-2</v>
      </c>
      <c r="G2374" s="656">
        <v>1.8745516708110616E-2</v>
      </c>
    </row>
    <row r="2375" spans="5:7">
      <c r="E2375" s="658">
        <f ca="1">_xll.meDateFromTenor(E2374,"1D","Following",$C$16)</f>
        <v>46603</v>
      </c>
      <c r="F2375" s="659">
        <f ca="1"/>
        <v>1.8810110362214721E-2</v>
      </c>
      <c r="G2375" s="656">
        <v>1.8748053358227292E-2</v>
      </c>
    </row>
    <row r="2376" spans="5:7">
      <c r="E2376" s="658">
        <f ca="1">_xll.meDateFromTenor(E2375,"1D","Following",$C$16)</f>
        <v>46604</v>
      </c>
      <c r="F2376" s="659">
        <f ca="1"/>
        <v>1.8812786173147088E-2</v>
      </c>
      <c r="G2376" s="656">
        <v>1.8755659611699848E-2</v>
      </c>
    </row>
    <row r="2377" spans="5:7">
      <c r="E2377" s="658">
        <f ca="1">_xll.meDateFromTenor(E2376,"1D","Following",$C$16)</f>
        <v>46605</v>
      </c>
      <c r="F2377" s="659">
        <f ca="1"/>
        <v>1.8815458330557457E-2</v>
      </c>
      <c r="G2377" s="656">
        <v>1.8758193870591154E-2</v>
      </c>
    </row>
    <row r="2378" spans="5:7">
      <c r="E2378" s="658">
        <f ca="1">_xll.meDateFromTenor(E2377,"1D","Following",$C$16)</f>
        <v>46608</v>
      </c>
      <c r="F2378" s="659">
        <f ca="1"/>
        <v>1.8823453118243839E-2</v>
      </c>
      <c r="G2378" s="656">
        <v>1.8760727586695832E-2</v>
      </c>
    </row>
    <row r="2379" spans="5:7">
      <c r="E2379" s="658">
        <f ca="1">_xll.meDateFromTenor(E2378,"1D","Following",$C$16)</f>
        <v>46609</v>
      </c>
      <c r="F2379" s="659">
        <f ca="1"/>
        <v>1.8826110898153496E-2</v>
      </c>
      <c r="G2379" s="656">
        <v>1.8763260782021771E-2</v>
      </c>
    </row>
    <row r="2380" spans="5:7">
      <c r="E2380" s="658">
        <f ca="1">_xll.meDateFromTenor(E2379,"1D","Following",$C$16)</f>
        <v>46610</v>
      </c>
      <c r="F2380" s="659">
        <f ca="1"/>
        <v>1.88287651428348E-2</v>
      </c>
      <c r="G2380" s="656">
        <v>1.8765793478576851E-2</v>
      </c>
    </row>
    <row r="2381" spans="5:7">
      <c r="E2381" s="658">
        <f ca="1">_xll.meDateFromTenor(E2380,"1D","Following",$C$16)</f>
        <v>46611</v>
      </c>
      <c r="F2381" s="659">
        <f ca="1"/>
        <v>1.8831415875946479E-2</v>
      </c>
      <c r="G2381" s="656">
        <v>1.8773388795695796E-2</v>
      </c>
    </row>
    <row r="2382" spans="5:7">
      <c r="E2382" s="658">
        <f ca="1">_xll.meDateFromTenor(E2381,"1D","Following",$C$16)</f>
        <v>46612</v>
      </c>
      <c r="F2382" s="659">
        <f ca="1"/>
        <v>1.8834063121147274E-2</v>
      </c>
      <c r="G2382" s="656">
        <v>1.8775919717246299E-2</v>
      </c>
    </row>
    <row r="2383" spans="5:7">
      <c r="E2383" s="658">
        <f ca="1">_xll.meDateFromTenor(E2382,"1D","Following",$C$16)</f>
        <v>46615</v>
      </c>
      <c r="F2383" s="659">
        <f ca="1"/>
        <v>1.884198416587159E-2</v>
      </c>
      <c r="G2383" s="656">
        <v>1.8778450250065377E-2</v>
      </c>
    </row>
    <row r="2384" spans="5:7">
      <c r="E2384" s="658">
        <f ca="1">_xll.meDateFromTenor(E2383,"1D","Following",$C$16)</f>
        <v>46616</v>
      </c>
      <c r="F2384" s="659">
        <f ca="1"/>
        <v>1.8844617696016114E-2</v>
      </c>
      <c r="G2384" s="656">
        <v>1.878098041616091E-2</v>
      </c>
    </row>
    <row r="2385" spans="5:7">
      <c r="E2385" s="658">
        <f ca="1">_xll.meDateFromTenor(E2384,"1D","Following",$C$16)</f>
        <v>46617</v>
      </c>
      <c r="F2385" s="659">
        <f ca="1"/>
        <v>1.8847247856543396E-2</v>
      </c>
      <c r="G2385" s="656">
        <v>1.8783510237540782E-2</v>
      </c>
    </row>
    <row r="2386" spans="5:7">
      <c r="E2386" s="658">
        <f ca="1">_xll.meDateFromTenor(E2385,"1D","Following",$C$16)</f>
        <v>46618</v>
      </c>
      <c r="F2386" s="659">
        <f ca="1"/>
        <v>1.8849874671112175E-2</v>
      </c>
      <c r="G2386" s="656">
        <v>1.8791097853465309E-2</v>
      </c>
    </row>
    <row r="2387" spans="5:7">
      <c r="E2387" s="658">
        <f ca="1">_xll.meDateFromTenor(E2386,"1D","Following",$C$16)</f>
        <v>46619</v>
      </c>
      <c r="F2387" s="659">
        <f ca="1"/>
        <v>1.8852498163381165E-2</v>
      </c>
      <c r="G2387" s="656">
        <v>1.8793626516061399E-2</v>
      </c>
    </row>
    <row r="2388" spans="5:7">
      <c r="E2388" s="658">
        <f ca="1">_xll.meDateFromTenor(E2387,"1D","Following",$C$16)</f>
        <v>46622</v>
      </c>
      <c r="F2388" s="659">
        <f ca="1"/>
        <v>1.8860348942976769E-2</v>
      </c>
      <c r="G2388" s="656">
        <v>1.8796154943981267E-2</v>
      </c>
    </row>
    <row r="2389" spans="5:7">
      <c r="E2389" s="658">
        <f ca="1">_xll.meDateFromTenor(E2388,"1D","Following",$C$16)</f>
        <v>46623</v>
      </c>
      <c r="F2389" s="659">
        <f ca="1"/>
        <v>1.8862959382633947E-2</v>
      </c>
      <c r="G2389" s="656">
        <v>1.8798683159232783E-2</v>
      </c>
    </row>
    <row r="2390" spans="5:7">
      <c r="E2390" s="658">
        <f ca="1">_xll.meDateFromTenor(E2389,"1D","Following",$C$16)</f>
        <v>46624</v>
      </c>
      <c r="F2390" s="659">
        <f ca="1"/>
        <v>1.8865566618284993E-2</v>
      </c>
      <c r="G2390" s="656">
        <v>1.8801211183823843E-2</v>
      </c>
    </row>
    <row r="2391" spans="5:7">
      <c r="E2391" s="658">
        <f ca="1">_xll.meDateFromTenor(E2390,"1D","Following",$C$16)</f>
        <v>46625</v>
      </c>
      <c r="F2391" s="659">
        <f ca="1"/>
        <v>1.886817067358864E-2</v>
      </c>
      <c r="G2391" s="656">
        <v>1.8808794333713123E-2</v>
      </c>
    </row>
    <row r="2392" spans="5:7">
      <c r="E2392" s="658">
        <f ca="1">_xll.meDateFromTenor(E2391,"1D","Following",$C$16)</f>
        <v>46626</v>
      </c>
      <c r="F2392" s="659">
        <f ca="1"/>
        <v>1.8870771572203619E-2</v>
      </c>
      <c r="G2392" s="656">
        <v>1.8811321815741206E-2</v>
      </c>
    </row>
    <row r="2393" spans="5:7">
      <c r="E2393" s="658">
        <f ca="1">_xll.meDateFromTenor(E2392,"1D","Following",$C$16)</f>
        <v>46629</v>
      </c>
      <c r="F2393" s="659">
        <f ca="1"/>
        <v>1.8878555564503855E-2</v>
      </c>
      <c r="G2393" s="656">
        <v>1.8813849217148251E-2</v>
      </c>
    </row>
    <row r="2394" spans="5:7">
      <c r="E2394" s="658">
        <f ca="1">_xll.meDateFromTenor(E2393,"1D","Following",$C$16)</f>
        <v>46630</v>
      </c>
      <c r="F2394" s="659">
        <f ca="1"/>
        <v>1.8881144072951463E-2</v>
      </c>
      <c r="G2394" s="656">
        <v>1.8816376559942151E-2</v>
      </c>
    </row>
    <row r="2395" spans="5:7">
      <c r="E2395" s="658">
        <f ca="1">_xll.meDateFromTenor(E2394,"1D","Following",$C$16)</f>
        <v>46631</v>
      </c>
      <c r="F2395" s="659">
        <f ca="1"/>
        <v>1.8883729543004057E-2</v>
      </c>
      <c r="G2395" s="656">
        <v>1.8818903866130793E-2</v>
      </c>
    </row>
    <row r="2396" spans="5:7">
      <c r="E2396" s="658">
        <f ca="1">_xll.meDateFromTenor(E2395,"1D","Following",$C$16)</f>
        <v>46632</v>
      </c>
      <c r="F2396" s="659">
        <f ca="1"/>
        <v>1.8886311998320367E-2</v>
      </c>
      <c r="G2396" s="656">
        <v>1.8826485785144006E-2</v>
      </c>
    </row>
    <row r="2397" spans="5:7">
      <c r="E2397" s="658">
        <f ca="1">_xll.meDateFromTenor(E2396,"1D","Following",$C$16)</f>
        <v>46633</v>
      </c>
      <c r="F2397" s="659">
        <f ca="1"/>
        <v>1.8888891462559114E-2</v>
      </c>
      <c r="G2397" s="656">
        <v>1.8829013164990461E-2</v>
      </c>
    </row>
    <row r="2398" spans="5:7">
      <c r="E2398" s="658">
        <f ca="1">_xll.meDateFromTenor(E2397,"1D","Following",$C$16)</f>
        <v>46636</v>
      </c>
      <c r="F2398" s="659">
        <f ca="1"/>
        <v>1.889661214539733E-2</v>
      </c>
      <c r="G2398" s="656">
        <v>1.8831540618271084E-2</v>
      </c>
    </row>
    <row r="2399" spans="5:7">
      <c r="E2399" s="658">
        <f ca="1">_xll.meDateFromTenor(E2398,"1D","Following",$C$16)</f>
        <v>46637</v>
      </c>
      <c r="F2399" s="659">
        <f ca="1"/>
        <v>1.8899179881913159E-2</v>
      </c>
      <c r="G2399" s="656">
        <v>1.8834068166993762E-2</v>
      </c>
    </row>
    <row r="2400" spans="5:7">
      <c r="E2400" s="658">
        <f ca="1">_xll.meDateFromTenor(E2399,"1D","Following",$C$16)</f>
        <v>46638</v>
      </c>
      <c r="F2400" s="659">
        <f ca="1"/>
        <v>1.8901744745645082E-2</v>
      </c>
      <c r="G2400" s="656">
        <v>1.8836595833166377E-2</v>
      </c>
    </row>
    <row r="2401" spans="5:7">
      <c r="E2401" s="658">
        <f ca="1">_xll.meDateFromTenor(E2400,"1D","Following",$C$16)</f>
        <v>46639</v>
      </c>
      <c r="F2401" s="659">
        <f ca="1"/>
        <v>1.8904306760251826E-2</v>
      </c>
      <c r="G2401" s="656">
        <v>1.8844179756462704E-2</v>
      </c>
    </row>
    <row r="2402" spans="5:7">
      <c r="E2402" s="658">
        <f ca="1">_xll.meDateFromTenor(E2401,"1D","Following",$C$16)</f>
        <v>46640</v>
      </c>
      <c r="F2402" s="659">
        <f ca="1"/>
        <v>1.8906865949392129E-2</v>
      </c>
      <c r="G2402" s="656">
        <v>1.8846708112513929E-2</v>
      </c>
    </row>
    <row r="2403" spans="5:7">
      <c r="E2403" s="658">
        <f ca="1">_xll.meDateFromTenor(E2402,"1D","Following",$C$16)</f>
        <v>46643</v>
      </c>
      <c r="F2403" s="659">
        <f ca="1"/>
        <v>1.8914526800601673E-2</v>
      </c>
      <c r="G2403" s="656">
        <v>1.8849236696054518E-2</v>
      </c>
    </row>
    <row r="2404" spans="5:7">
      <c r="E2404" s="658">
        <f ca="1">_xll.meDateFromTenor(E2403,"1D","Following",$C$16)</f>
        <v>46644</v>
      </c>
      <c r="F2404" s="659">
        <f ca="1"/>
        <v>1.8917074924463498E-2</v>
      </c>
      <c r="G2404" s="656">
        <v>1.8851765529092363E-2</v>
      </c>
    </row>
    <row r="2405" spans="5:7">
      <c r="E2405" s="658">
        <f ca="1">_xll.meDateFromTenor(E2404,"1D","Following",$C$16)</f>
        <v>46645</v>
      </c>
      <c r="F2405" s="659">
        <f ca="1"/>
        <v>1.8919620341152535E-2</v>
      </c>
      <c r="G2405" s="656">
        <v>1.8854294633635346E-2</v>
      </c>
    </row>
    <row r="2406" spans="5:7">
      <c r="E2406" s="658">
        <f ca="1">_xll.meDateFromTenor(E2405,"1D","Following",$C$16)</f>
        <v>46646</v>
      </c>
      <c r="F2406" s="659">
        <f ca="1"/>
        <v>1.8922163074327501E-2</v>
      </c>
      <c r="G2406" s="656">
        <v>1.886188379637397E-2</v>
      </c>
    </row>
    <row r="2407" spans="5:7">
      <c r="E2407" s="658">
        <f ca="1">_xll.meDateFromTenor(E2406,"1D","Following",$C$16)</f>
        <v>46647</v>
      </c>
      <c r="F2407" s="659">
        <f ca="1"/>
        <v>1.8924703147647139E-2</v>
      </c>
      <c r="G2407" s="656">
        <v>1.8864414207016358E-2</v>
      </c>
    </row>
    <row r="2408" spans="5:7">
      <c r="E2408" s="658">
        <f ca="1">_xll.meDateFromTenor(E2407,"1D","Following",$C$16)</f>
        <v>46650</v>
      </c>
      <c r="F2408" s="659">
        <f ca="1"/>
        <v>1.8932307645061361E-2</v>
      </c>
      <c r="G2408" s="656">
        <v>1.8866944999203307E-2</v>
      </c>
    </row>
    <row r="2409" spans="5:7">
      <c r="E2409" s="658">
        <f ca="1">_xll.meDateFromTenor(E2408,"1D","Following",$C$16)</f>
        <v>46651</v>
      </c>
      <c r="F2409" s="659">
        <f ca="1"/>
        <v>1.893483731554697E-2</v>
      </c>
      <c r="G2409" s="656">
        <v>1.8869476194942714E-2</v>
      </c>
    </row>
    <row r="2410" spans="5:7">
      <c r="E2410" s="658">
        <f ca="1">_xll.meDateFromTenor(E2409,"1D","Following",$C$16)</f>
        <v>46652</v>
      </c>
      <c r="F2410" s="659">
        <f ca="1"/>
        <v>1.8937364444470899E-2</v>
      </c>
      <c r="G2410" s="656">
        <v>1.8872007816242455E-2</v>
      </c>
    </row>
    <row r="2411" spans="5:7">
      <c r="E2411" s="658">
        <f ca="1">_xll.meDateFromTenor(E2410,"1D","Following",$C$16)</f>
        <v>46653</v>
      </c>
      <c r="F2411" s="659">
        <f ca="1"/>
        <v>1.8939889055491876E-2</v>
      </c>
      <c r="G2411" s="656">
        <v>1.8879605453582558E-2</v>
      </c>
    </row>
    <row r="2412" spans="5:7">
      <c r="E2412" s="658">
        <f ca="1">_xll.meDateFromTenor(E2411,"1D","Following",$C$16)</f>
        <v>46654</v>
      </c>
      <c r="F2412" s="659">
        <f ca="1"/>
        <v>1.8942411172268629E-2</v>
      </c>
      <c r="G2412" s="656">
        <v>1.8882138997202501E-2</v>
      </c>
    </row>
    <row r="2413" spans="5:7">
      <c r="E2413" s="658">
        <f ca="1">_xll.meDateFromTenor(E2412,"1D","Following",$C$16)</f>
        <v>46657</v>
      </c>
      <c r="F2413" s="659">
        <f ca="1"/>
        <v>1.8949962793720878E-2</v>
      </c>
      <c r="G2413" s="656">
        <v>1.8884673076422206E-2</v>
      </c>
    </row>
    <row r="2414" spans="5:7">
      <c r="E2414" s="658">
        <f ca="1">_xll.meDateFromTenor(E2413,"1D","Following",$C$16)</f>
        <v>46658</v>
      </c>
      <c r="F2414" s="659">
        <f ca="1"/>
        <v>1.8952475170108049E-2</v>
      </c>
      <c r="G2414" s="656">
        <v>1.8887207713249567E-2</v>
      </c>
    </row>
    <row r="2415" spans="5:7">
      <c r="E2415" s="658">
        <f ca="1">_xll.meDateFromTenor(E2414,"1D","Following",$C$16)</f>
        <v>46659</v>
      </c>
      <c r="F2415" s="659">
        <f ca="1"/>
        <v>1.8954985170544655E-2</v>
      </c>
      <c r="G2415" s="656">
        <v>1.8889742929692459E-2</v>
      </c>
    </row>
    <row r="2416" spans="5:7">
      <c r="E2416" s="658">
        <f ca="1">_xll.meDateFromTenor(E2415,"1D","Following",$C$16)</f>
        <v>46660</v>
      </c>
      <c r="F2416" s="659">
        <f ca="1"/>
        <v>1.8957492818689421E-2</v>
      </c>
      <c r="G2416" s="656">
        <v>1.8897352276793219E-2</v>
      </c>
    </row>
    <row r="2417" spans="5:7">
      <c r="E2417" s="658">
        <f ca="1">_xll.meDateFromTenor(E2416,"1D","Following",$C$16)</f>
        <v>46661</v>
      </c>
      <c r="F2417" s="659">
        <f ca="1"/>
        <v>1.8959998138201078E-2</v>
      </c>
      <c r="G2417" s="656">
        <v>1.8899890031777108E-2</v>
      </c>
    </row>
    <row r="2418" spans="5:7">
      <c r="E2418" s="658">
        <f ca="1">_xll.meDateFromTenor(E2417,"1D","Following",$C$16)</f>
        <v>46664</v>
      </c>
      <c r="F2418" s="659">
        <f ca="1"/>
        <v>1.8967500361524694E-2</v>
      </c>
      <c r="G2418" s="656">
        <v>1.8902428476415968E-2</v>
      </c>
    </row>
    <row r="2419" spans="5:7">
      <c r="E2419" s="658">
        <f ca="1">_xll.meDateFromTenor(E2418,"1D","Following",$C$16)</f>
        <v>46665</v>
      </c>
      <c r="F2419" s="659">
        <f ca="1"/>
        <v>1.8969996603091215E-2</v>
      </c>
      <c r="G2419" s="656">
        <v>1.8904967632717672E-2</v>
      </c>
    </row>
    <row r="2420" spans="5:7">
      <c r="E2420" s="658">
        <f ca="1">_xll.meDateFromTenor(E2419,"1D","Following",$C$16)</f>
        <v>46666</v>
      </c>
      <c r="F2420" s="659">
        <f ca="1"/>
        <v>1.897249063431828E-2</v>
      </c>
      <c r="G2420" s="656">
        <v>1.890750752269011E-2</v>
      </c>
    </row>
    <row r="2421" spans="5:7">
      <c r="E2421" s="658">
        <f ca="1">_xll.meDateFromTenor(E2420,"1D","Following",$C$16)</f>
        <v>46667</v>
      </c>
      <c r="F2421" s="659">
        <f ca="1"/>
        <v>1.8974982478864616E-2</v>
      </c>
      <c r="G2421" s="656">
        <v>1.8915131814710703E-2</v>
      </c>
    </row>
    <row r="2422" spans="5:7">
      <c r="E2422" s="658">
        <f ca="1">_xll.meDateFromTenor(E2421,"1D","Following",$C$16)</f>
        <v>46668</v>
      </c>
      <c r="F2422" s="659">
        <f ca="1"/>
        <v>1.8977472160388958E-2</v>
      </c>
      <c r="G2422" s="656">
        <v>1.8917674859444938E-2</v>
      </c>
    </row>
    <row r="2423" spans="5:7">
      <c r="E2423" s="658">
        <f ca="1">_xll.meDateFromTenor(E2422,"1D","Following",$C$16)</f>
        <v>46671</v>
      </c>
      <c r="F2423" s="659">
        <f ca="1"/>
        <v>1.8984928463417296E-2</v>
      </c>
      <c r="G2423" s="656">
        <v>1.8920218747889336E-2</v>
      </c>
    </row>
    <row r="2424" spans="5:7">
      <c r="E2424" s="658">
        <f ca="1">_xll.meDateFromTenor(E2423,"1D","Following",$C$16)</f>
        <v>46672</v>
      </c>
      <c r="F2424" s="659">
        <f ca="1"/>
        <v>1.8987409729440952E-2</v>
      </c>
      <c r="G2424" s="656">
        <v>1.8922763502051784E-2</v>
      </c>
    </row>
    <row r="2425" spans="5:7">
      <c r="E2425" s="658">
        <f ca="1">_xll.meDateFromTenor(E2424,"1D","Following",$C$16)</f>
        <v>46673</v>
      </c>
      <c r="F2425" s="659">
        <f ca="1"/>
        <v>1.8989888950736257E-2</v>
      </c>
      <c r="G2425" s="656">
        <v>1.8925309143940167E-2</v>
      </c>
    </row>
    <row r="2426" spans="5:7">
      <c r="E2426" s="658">
        <f ca="1">_xll.meDateFromTenor(E2425,"1D","Following",$C$16)</f>
        <v>46674</v>
      </c>
      <c r="F2426" s="659">
        <f ca="1"/>
        <v>1.8992366150961951E-2</v>
      </c>
      <c r="G2426" s="656">
        <v>1.8932951616039768E-2</v>
      </c>
    </row>
    <row r="2427" spans="5:7">
      <c r="E2427" s="658">
        <f ca="1">_xll.meDateFromTenor(E2426,"1D","Following",$C$16)</f>
        <v>46675</v>
      </c>
      <c r="F2427" s="659">
        <f ca="1"/>
        <v>1.899484135377676E-2</v>
      </c>
      <c r="G2427" s="656">
        <v>1.8935501028910739E-2</v>
      </c>
    </row>
    <row r="2428" spans="5:7">
      <c r="E2428" s="658">
        <f ca="1">_xll.meDateFromTenor(E2427,"1D","Following",$C$16)</f>
        <v>46678</v>
      </c>
      <c r="F2428" s="659">
        <f ca="1"/>
        <v>1.9002255214343164E-2</v>
      </c>
      <c r="G2428" s="656">
        <v>1.893805143954707E-2</v>
      </c>
    </row>
    <row r="2429" spans="5:7">
      <c r="E2429" s="658">
        <f ca="1">_xll.meDateFromTenor(E2428,"1D","Following",$C$16)</f>
        <v>46679</v>
      </c>
      <c r="F2429" s="659">
        <f ca="1"/>
        <v>1.9004722664101734E-2</v>
      </c>
      <c r="G2429" s="656">
        <v>1.8940602869956656E-2</v>
      </c>
    </row>
    <row r="2430" spans="5:7">
      <c r="E2430" s="658">
        <f ca="1">_xll.meDateFromTenor(E2429,"1D","Following",$C$16)</f>
        <v>46680</v>
      </c>
      <c r="F2430" s="659">
        <f ca="1"/>
        <v>1.900718823474306E-2</v>
      </c>
      <c r="G2430" s="656">
        <v>1.8943155342147369E-2</v>
      </c>
    </row>
    <row r="2431" spans="5:7">
      <c r="E2431" s="658">
        <f ca="1">_xll.meDateFromTenor(E2430,"1D","Following",$C$16)</f>
        <v>46681</v>
      </c>
      <c r="F2431" s="659">
        <f ca="1"/>
        <v>1.9009651949925894E-2</v>
      </c>
      <c r="G2431" s="656">
        <v>1.8950819229485164E-2</v>
      </c>
    </row>
    <row r="2432" spans="5:7">
      <c r="E2432" s="658">
        <f ca="1">_xll.meDateFromTenor(E2431,"1D","Following",$C$16)</f>
        <v>46682</v>
      </c>
      <c r="F2432" s="659">
        <f ca="1"/>
        <v>1.9012113833308943E-2</v>
      </c>
      <c r="G2432" s="656">
        <v>1.8953376088879266E-2</v>
      </c>
    </row>
    <row r="2433" spans="5:7">
      <c r="E2433" s="658">
        <f ca="1">_xll.meDateFromTenor(E2432,"1D","Following",$C$16)</f>
        <v>46685</v>
      </c>
      <c r="F2433" s="659">
        <f ca="1"/>
        <v>1.9019488729246772E-2</v>
      </c>
      <c r="G2433" s="656">
        <v>1.8955934100093927E-2</v>
      </c>
    </row>
    <row r="2434" spans="5:7">
      <c r="E2434" s="658">
        <f ca="1">_xll.meDateFromTenor(E2433,"1D","Following",$C$16)</f>
        <v>46686</v>
      </c>
      <c r="F2434" s="659">
        <f ca="1"/>
        <v>1.9021943522018039E-2</v>
      </c>
      <c r="G2434" s="656">
        <v>1.8958493285137032E-2</v>
      </c>
    </row>
    <row r="2435" spans="5:7">
      <c r="E2435" s="658">
        <f ca="1">_xll.meDateFromTenor(E2434,"1D","Following",$C$16)</f>
        <v>46687</v>
      </c>
      <c r="F2435" s="659">
        <f ca="1"/>
        <v>1.9024396601283178E-2</v>
      </c>
      <c r="G2435" s="656">
        <v>1.8961053666016477E-2</v>
      </c>
    </row>
    <row r="2436" spans="5:7">
      <c r="E2436" s="658">
        <f ca="1">_xll.meDateFromTenor(E2435,"1D","Following",$C$16)</f>
        <v>46688</v>
      </c>
      <c r="F2436" s="659">
        <f ca="1"/>
        <v>1.9026847990700924E-2</v>
      </c>
      <c r="G2436" s="656">
        <v>1.8968742203751644E-2</v>
      </c>
    </row>
    <row r="2437" spans="5:7">
      <c r="E2437" s="658">
        <f ca="1">_xll.meDateFromTenor(E2436,"1D","Following",$C$16)</f>
        <v>46689</v>
      </c>
      <c r="F2437" s="659">
        <f ca="1"/>
        <v>1.9029297713930009E-2</v>
      </c>
      <c r="G2437" s="656">
        <v>1.8971307588055271E-2</v>
      </c>
    </row>
    <row r="2438" spans="5:7">
      <c r="E2438" s="658">
        <f ca="1">_xll.meDateFromTenor(E2437,"1D","Following",$C$16)</f>
        <v>46692</v>
      </c>
      <c r="F2438" s="659">
        <f ca="1"/>
        <v>1.9036637123072603E-2</v>
      </c>
      <c r="G2438" s="656">
        <v>1.8973874278234652E-2</v>
      </c>
    </row>
    <row r="2439" spans="5:7">
      <c r="E2439" s="658">
        <f ca="1">_xll.meDateFromTenor(E2438,"1D","Following",$C$16)</f>
        <v>46693</v>
      </c>
      <c r="F2439" s="659">
        <f ca="1"/>
        <v>1.903908041813435E-2</v>
      </c>
      <c r="G2439" s="656">
        <v>1.897644229629768E-2</v>
      </c>
    </row>
    <row r="2440" spans="5:7">
      <c r="E2440" s="658">
        <f ca="1">_xll.meDateFromTenor(E2439,"1D","Following",$C$16)</f>
        <v>46694</v>
      </c>
      <c r="F2440" s="659">
        <f ca="1"/>
        <v>1.9041522165301077E-2</v>
      </c>
      <c r="G2440" s="656">
        <v>1.8979011664252244E-2</v>
      </c>
    </row>
    <row r="2441" spans="5:7">
      <c r="E2441" s="658">
        <f ca="1">_xll.meDateFromTenor(E2440,"1D","Following",$C$16)</f>
        <v>46695</v>
      </c>
      <c r="F2441" s="659">
        <f ca="1"/>
        <v>1.9043962388231528E-2</v>
      </c>
      <c r="G2441" s="656">
        <v>1.8986728087543963E-2</v>
      </c>
    </row>
    <row r="2442" spans="5:7">
      <c r="E2442" s="658">
        <f ca="1">_xll.meDateFromTenor(E2441,"1D","Following",$C$16)</f>
        <v>46696</v>
      </c>
      <c r="F2442" s="659">
        <f ca="1"/>
        <v>1.9046401110584428E-2</v>
      </c>
      <c r="G2442" s="656">
        <v>1.8989303075143505E-2</v>
      </c>
    </row>
    <row r="2443" spans="5:7">
      <c r="E2443" s="658">
        <f ca="1">_xll.meDateFromTenor(E2442,"1D","Following",$C$16)</f>
        <v>46699</v>
      </c>
      <c r="F2443" s="659">
        <f ca="1"/>
        <v>1.9053708510765138E-2</v>
      </c>
      <c r="G2443" s="656">
        <v>1.8991879522674004E-2</v>
      </c>
    </row>
    <row r="2444" spans="5:7">
      <c r="E2444" s="658">
        <f ca="1">_xll.meDateFromTenor(E2443,"1D","Following",$C$16)</f>
        <v>46700</v>
      </c>
      <c r="F2444" s="659">
        <f ca="1"/>
        <v>1.9056141463664713E-2</v>
      </c>
      <c r="G2444" s="656">
        <v>1.8994457444622515E-2</v>
      </c>
    </row>
    <row r="2445" spans="5:7">
      <c r="E2445" s="658">
        <f ca="1">_xll.meDateFromTenor(E2444,"1D","Following",$C$16)</f>
        <v>46701</v>
      </c>
      <c r="F2445" s="659">
        <f ca="1"/>
        <v>1.9058573011897825E-2</v>
      </c>
      <c r="G2445" s="656">
        <v>1.8997036825392763E-2</v>
      </c>
    </row>
    <row r="2446" spans="5:7">
      <c r="E2446" s="658">
        <f ca="1">_xll.meDateFromTenor(E2445,"1D","Following",$C$16)</f>
        <v>46702</v>
      </c>
      <c r="F2446" s="659">
        <f ca="1"/>
        <v>1.9061003156740641E-2</v>
      </c>
      <c r="G2446" s="656">
        <v>1.9004783489462763E-2</v>
      </c>
    </row>
    <row r="2447" spans="5:7">
      <c r="E2447" s="658">
        <f ca="1">_xll.meDateFromTenor(E2446,"1D","Following",$C$16)</f>
        <v>46703</v>
      </c>
      <c r="F2447" s="659">
        <f ca="1"/>
        <v>1.9063431899469324E-2</v>
      </c>
      <c r="G2447" s="656">
        <v>1.9007368474348824E-2</v>
      </c>
    </row>
    <row r="2448" spans="5:7">
      <c r="E2448" s="658">
        <f ca="1">_xll.meDateFromTenor(E2447,"1D","Following",$C$16)</f>
        <v>46706</v>
      </c>
      <c r="F2448" s="659">
        <f ca="1"/>
        <v>1.9070709727732251E-2</v>
      </c>
      <c r="G2448" s="656">
        <v>1.9009954802471047E-2</v>
      </c>
    </row>
    <row r="2449" spans="5:7">
      <c r="E2449" s="658">
        <f ca="1">_xll.meDateFromTenor(E2448,"1D","Following",$C$16)</f>
        <v>46707</v>
      </c>
      <c r="F2449" s="659">
        <f ca="1"/>
        <v>1.9073132874766075E-2</v>
      </c>
      <c r="G2449" s="656">
        <v>1.9012542450712336E-2</v>
      </c>
    </row>
    <row r="2450" spans="5:7">
      <c r="E2450" s="658">
        <f ca="1">_xll.meDateFromTenor(E2449,"1D","Following",$C$16)</f>
        <v>46708</v>
      </c>
      <c r="F2450" s="659">
        <f ca="1"/>
        <v>1.9075554626066592E-2</v>
      </c>
      <c r="G2450" s="656">
        <v>1.9015131395955578E-2</v>
      </c>
    </row>
    <row r="2451" spans="5:7">
      <c r="E2451" s="658">
        <f ca="1">_xll.meDateFromTenor(E2450,"1D","Following",$C$16)</f>
        <v>46709</v>
      </c>
      <c r="F2451" s="659">
        <f ca="1"/>
        <v>1.9077974982909977E-2</v>
      </c>
      <c r="G2451" s="656">
        <v>1.9022905782525877E-2</v>
      </c>
    </row>
    <row r="2452" spans="5:7">
      <c r="E2452" s="658">
        <f ca="1">_xll.meDateFromTenor(E2451,"1D","Following",$C$16)</f>
        <v>46710</v>
      </c>
      <c r="F2452" s="659">
        <f ca="1"/>
        <v>1.9080393946572394E-2</v>
      </c>
      <c r="G2452" s="656">
        <v>1.90254996846058E-2</v>
      </c>
    </row>
    <row r="2453" spans="5:7">
      <c r="E2453" s="658">
        <f ca="1">_xll.meDateFromTenor(E2452,"1D","Following",$C$16)</f>
        <v>46713</v>
      </c>
      <c r="F2453" s="659">
        <f ca="1"/>
        <v>1.9087642491235471E-2</v>
      </c>
      <c r="G2453" s="656">
        <v>1.9028094768102112E-2</v>
      </c>
    </row>
    <row r="2454" spans="5:7">
      <c r="E2454" s="658">
        <f ca="1">_xll.meDateFromTenor(E2453,"1D","Following",$C$16)</f>
        <v>46714</v>
      </c>
      <c r="F2454" s="659">
        <f ca="1"/>
        <v>1.9090055894935665E-2</v>
      </c>
      <c r="G2454" s="656">
        <v>1.9030691009897707E-2</v>
      </c>
    </row>
    <row r="2455" spans="5:7">
      <c r="E2455" s="658">
        <f ca="1">_xll.meDateFromTenor(E2454,"1D","Following",$C$16)</f>
        <v>46715</v>
      </c>
      <c r="F2455" s="659">
        <f ca="1"/>
        <v>1.9092467911835723E-2</v>
      </c>
      <c r="G2455" s="656">
        <v>1.9033288386875461E-2</v>
      </c>
    </row>
    <row r="2456" spans="5:7">
      <c r="E2456" s="658">
        <f ca="1">_xll.meDateFromTenor(E2455,"1D","Following",$C$16)</f>
        <v>46716</v>
      </c>
      <c r="F2456" s="659">
        <f ca="1"/>
        <v>1.9094878543211798E-2</v>
      </c>
      <c r="G2456" s="656">
        <v>1.9041087097730624E-2</v>
      </c>
    </row>
    <row r="2457" spans="5:7">
      <c r="E2457" s="658">
        <f ca="1">_xll.meDateFromTenor(E2456,"1D","Following",$C$16)</f>
        <v>46717</v>
      </c>
      <c r="F2457" s="659">
        <f ca="1"/>
        <v>1.9097287790340072E-2</v>
      </c>
      <c r="G2457" s="656">
        <v>1.9043688784265933E-2</v>
      </c>
    </row>
    <row r="2458" spans="5:7">
      <c r="E2458" s="658">
        <f ca="1">_xll.meDateFromTenor(E2457,"1D","Following",$C$16)</f>
        <v>46720</v>
      </c>
      <c r="F2458" s="659">
        <f ca="1"/>
        <v>1.9104507238999698E-2</v>
      </c>
      <c r="G2458" s="656">
        <v>1.9046291490397851E-2</v>
      </c>
    </row>
    <row r="2459" spans="5:7">
      <c r="E2459" s="658">
        <f ca="1">_xll.meDateFromTenor(E2458,"1D","Following",$C$16)</f>
        <v>46721</v>
      </c>
      <c r="F2459" s="659">
        <f ca="1"/>
        <v>1.9106910961898396E-2</v>
      </c>
      <c r="G2459" s="656">
        <v>1.9048895193009265E-2</v>
      </c>
    </row>
    <row r="2460" spans="5:7">
      <c r="E2460" s="658">
        <f ca="1">_xll.meDateFromTenor(E2459,"1D","Following",$C$16)</f>
        <v>46722</v>
      </c>
      <c r="F2460" s="659">
        <f ca="1"/>
        <v>1.910931330693012E-2</v>
      </c>
      <c r="G2460" s="656">
        <v>1.9051499868983062E-2</v>
      </c>
    </row>
    <row r="2461" spans="5:7">
      <c r="E2461" s="658">
        <f ca="1">_xll.meDateFromTenor(E2460,"1D","Following",$C$16)</f>
        <v>46723</v>
      </c>
      <c r="F2461" s="659">
        <f ca="1"/>
        <v>1.911171427537103E-2</v>
      </c>
      <c r="G2461" s="656">
        <v>1.9059319505907644E-2</v>
      </c>
    </row>
    <row r="2462" spans="5:7">
      <c r="E2462" s="658">
        <f ca="1">_xll.meDateFromTenor(E2461,"1D","Following",$C$16)</f>
        <v>46724</v>
      </c>
      <c r="F2462" s="659">
        <f ca="1"/>
        <v>1.9114113868497293E-2</v>
      </c>
      <c r="G2462" s="656">
        <v>1.9061927844159863E-2</v>
      </c>
    </row>
    <row r="2463" spans="5:7">
      <c r="E2463" s="658">
        <f ca="1">_xll.meDateFromTenor(E2462,"1D","Following",$C$16)</f>
        <v>46727</v>
      </c>
      <c r="F2463" s="659">
        <f ca="1"/>
        <v>1.9121304408749859E-2</v>
      </c>
      <c r="G2463" s="656">
        <v>1.9064537040188904E-2</v>
      </c>
    </row>
    <row r="2464" spans="5:7">
      <c r="E2464" s="658">
        <f ca="1">_xll.meDateFromTenor(E2463,"1D","Following",$C$16)</f>
        <v>46728</v>
      </c>
      <c r="F2464" s="659">
        <f ca="1"/>
        <v>1.9123698513379191E-2</v>
      </c>
      <c r="G2464" s="656">
        <v>1.9067147070877664E-2</v>
      </c>
    </row>
    <row r="2465" spans="5:7">
      <c r="E2465" s="658">
        <f ca="1">_xll.meDateFromTenor(E2464,"1D","Following",$C$16)</f>
        <v>46729</v>
      </c>
      <c r="F2465" s="659">
        <f ca="1"/>
        <v>1.9126091249074714E-2</v>
      </c>
      <c r="G2465" s="656">
        <v>1.9069757913109019E-2</v>
      </c>
    </row>
    <row r="2466" spans="5:7">
      <c r="E2466" s="658">
        <f ca="1">_xll.meDateFromTenor(E2465,"1D","Following",$C$16)</f>
        <v>46730</v>
      </c>
      <c r="F2466" s="659">
        <f ca="1"/>
        <v>1.9128482617112579E-2</v>
      </c>
      <c r="G2466" s="656">
        <v>1.9077595077887588E-2</v>
      </c>
    </row>
    <row r="2467" spans="5:7">
      <c r="E2467" s="658">
        <f ca="1">_xll.meDateFromTenor(E2466,"1D","Following",$C$16)</f>
        <v>46731</v>
      </c>
      <c r="F2467" s="659">
        <f ca="1"/>
        <v>1.9130872618768963E-2</v>
      </c>
      <c r="G2467" s="656">
        <v>1.9080208935118234E-2</v>
      </c>
    </row>
    <row r="2468" spans="5:7">
      <c r="E2468" s="658">
        <f ca="1">_xll.meDateFromTenor(E2467,"1D","Following",$C$16)</f>
        <v>46734</v>
      </c>
      <c r="F2468" s="659">
        <f ca="1"/>
        <v>1.9138034438210862E-2</v>
      </c>
      <c r="G2468" s="656">
        <v>1.9082823488305922E-2</v>
      </c>
    </row>
    <row r="2469" spans="5:7">
      <c r="E2469" s="658">
        <f ca="1">_xll.meDateFromTenor(E2468,"1D","Following",$C$16)</f>
        <v>46735</v>
      </c>
      <c r="F2469" s="659">
        <f ca="1"/>
        <v>1.9140418987102965E-2</v>
      </c>
      <c r="G2469" s="656">
        <v>1.9085438714333543E-2</v>
      </c>
    </row>
    <row r="2470" spans="5:7">
      <c r="E2470" s="658">
        <f ca="1">_xll.meDateFromTenor(E2469,"1D","Following",$C$16)</f>
        <v>46736</v>
      </c>
      <c r="F2470" s="659">
        <f ca="1"/>
        <v>1.914280217599441E-2</v>
      </c>
      <c r="G2470" s="656">
        <v>1.9088054590083985E-2</v>
      </c>
    </row>
    <row r="2471" spans="5:7">
      <c r="E2471" s="658">
        <f ca="1">_xll.meDateFromTenor(E2470,"1D","Following",$C$16)</f>
        <v>46737</v>
      </c>
      <c r="F2471" s="659">
        <f ca="1"/>
        <v>1.9145184006161369E-2</v>
      </c>
      <c r="G2471" s="656">
        <v>1.9095905884501104E-2</v>
      </c>
    </row>
    <row r="2472" spans="5:7">
      <c r="E2472" s="658">
        <f ca="1">_xll.meDateFromTenor(E2471,"1D","Following",$C$16)</f>
        <v>46738</v>
      </c>
      <c r="F2472" s="659">
        <f ca="1"/>
        <v>1.9147564478880004E-2</v>
      </c>
      <c r="G2472" s="656">
        <v>1.9098524127971698E-2</v>
      </c>
    </row>
    <row r="2473" spans="5:7">
      <c r="E2473" s="658">
        <f ca="1">_xll.meDateFromTenor(E2472,"1D","Following",$C$16)</f>
        <v>46741</v>
      </c>
      <c r="F2473" s="659">
        <f ca="1"/>
        <v>1.9154697765107625E-2</v>
      </c>
      <c r="G2473" s="656">
        <v>1.9101142905579554E-2</v>
      </c>
    </row>
    <row r="2474" spans="5:7">
      <c r="E2474" s="658">
        <f ca="1">_xll.meDateFromTenor(E2473,"1D","Following",$C$16)</f>
        <v>46742</v>
      </c>
      <c r="F2474" s="659">
        <f ca="1"/>
        <v>1.9157072820794624E-2</v>
      </c>
      <c r="G2474" s="656">
        <v>1.910376219420756E-2</v>
      </c>
    </row>
    <row r="2475" spans="5:7">
      <c r="E2475" s="658">
        <f ca="1">_xll.meDateFromTenor(E2474,"1D","Following",$C$16)</f>
        <v>46743</v>
      </c>
      <c r="F2475" s="659">
        <f ca="1"/>
        <v>1.9159446525414136E-2</v>
      </c>
      <c r="G2475" s="656">
        <v>1.9106381970738603E-2</v>
      </c>
    </row>
    <row r="2476" spans="5:7">
      <c r="E2476" s="658">
        <f ca="1">_xll.meDateFromTenor(E2475,"1D","Following",$C$16)</f>
        <v>46744</v>
      </c>
      <c r="F2476" s="659">
        <f ca="1"/>
        <v>1.9161818880242314E-2</v>
      </c>
      <c r="G2476" s="656">
        <v>1.9114243996578826E-2</v>
      </c>
    </row>
    <row r="2477" spans="5:7">
      <c r="E2477" s="658">
        <f ca="1">_xll.meDateFromTenor(E2476,"1D","Following",$C$16)</f>
        <v>46745</v>
      </c>
      <c r="F2477" s="659">
        <f ca="1"/>
        <v>1.9164189886555331E-2</v>
      </c>
      <c r="G2477" s="656">
        <v>1.9116865493550895E-2</v>
      </c>
    </row>
    <row r="2478" spans="5:7">
      <c r="E2478" s="658">
        <f ca="1">_xll.meDateFromTenor(E2477,"1D","Following",$C$16)</f>
        <v>46748</v>
      </c>
      <c r="F2478" s="659">
        <f ca="1"/>
        <v>1.9171294827165071E-2</v>
      </c>
      <c r="G2478" s="656">
        <v>1.9119487362840443E-2</v>
      </c>
    </row>
    <row r="2479" spans="5:7">
      <c r="E2479" s="658">
        <f ca="1">_xll.meDateFromTenor(E2478,"1D","Following",$C$16)</f>
        <v>46749</v>
      </c>
      <c r="F2479" s="659">
        <f ca="1"/>
        <v>1.9173660452179098E-2</v>
      </c>
      <c r="G2479" s="656">
        <v>1.9122109581330354E-2</v>
      </c>
    </row>
    <row r="2480" spans="5:7">
      <c r="E2480" s="658">
        <f ca="1">_xll.meDateFromTenor(E2479,"1D","Following",$C$16)</f>
        <v>46750</v>
      </c>
      <c r="F2480" s="659">
        <f ca="1"/>
        <v>1.9176024735058798E-2</v>
      </c>
      <c r="G2480" s="656">
        <v>1.9124732125903515E-2</v>
      </c>
    </row>
    <row r="2481" spans="5:7">
      <c r="E2481" s="658">
        <f ca="1">_xll.meDateFromTenor(E2480,"1D","Following",$C$16)</f>
        <v>46751</v>
      </c>
      <c r="F2481" s="659">
        <f ca="1"/>
        <v>1.9178387677080327E-2</v>
      </c>
      <c r="G2481" s="656">
        <v>1.9132601484951418E-2</v>
      </c>
    </row>
    <row r="2482" spans="5:7">
      <c r="E2482" s="658">
        <f ca="1">_xll.meDateFromTenor(E2481,"1D","Following",$C$16)</f>
        <v>46752</v>
      </c>
      <c r="F2482" s="659">
        <f ca="1"/>
        <v>1.9180749279519859E-2</v>
      </c>
      <c r="G2482" s="656">
        <v>1.9135225102686476E-2</v>
      </c>
    </row>
    <row r="2483" spans="5:7">
      <c r="E2483" s="658">
        <f ca="1">_xll.meDateFromTenor(E2482,"1D","Following",$C$16)</f>
        <v>46755</v>
      </c>
      <c r="F2483" s="659">
        <f ca="1"/>
        <v>1.9187806743014926E-2</v>
      </c>
      <c r="G2483" s="656">
        <v>1.9137848930919233E-2</v>
      </c>
    </row>
    <row r="2484" spans="5:7">
      <c r="E2484" s="658">
        <f ca="1">_xll.meDateFromTenor(E2483,"1D","Following",$C$16)</f>
        <v>46756</v>
      </c>
      <c r="F2484" s="659">
        <f ca="1"/>
        <v>1.9190156574748016E-2</v>
      </c>
      <c r="G2484" s="656">
        <v>1.914047294653257E-2</v>
      </c>
    </row>
    <row r="2485" spans="5:7">
      <c r="E2485" s="658">
        <f ca="1">_xll.meDateFromTenor(E2484,"1D","Following",$C$16)</f>
        <v>46757</v>
      </c>
      <c r="F2485" s="659">
        <f ca="1"/>
        <v>1.9192505080541364E-2</v>
      </c>
      <c r="G2485" s="656">
        <v>1.9143097126409381E-2</v>
      </c>
    </row>
    <row r="2486" spans="5:7">
      <c r="E2486" s="658">
        <f ca="1">_xll.meDateFromTenor(E2485,"1D","Following",$C$16)</f>
        <v>46758</v>
      </c>
      <c r="F2486" s="659">
        <f ca="1"/>
        <v>1.9194852261660709E-2</v>
      </c>
      <c r="G2486" s="656">
        <v>1.9150948907552628E-2</v>
      </c>
    </row>
    <row r="2487" spans="5:7">
      <c r="E2487" s="658">
        <f ca="1">_xll.meDateFromTenor(E2486,"1D","Following",$C$16)</f>
        <v>46759</v>
      </c>
      <c r="F2487" s="659">
        <f ca="1"/>
        <v>1.9197198119371775E-2</v>
      </c>
      <c r="G2487" s="656">
        <v>1.9153566341687942E-2</v>
      </c>
    </row>
    <row r="2488" spans="5:7">
      <c r="E2488" s="658">
        <f ca="1">_xll.meDateFromTenor(E2487,"1D","Following",$C$16)</f>
        <v>46762</v>
      </c>
      <c r="F2488" s="659">
        <f ca="1"/>
        <v>1.9204227764712679E-2</v>
      </c>
      <c r="G2488" s="656">
        <v>1.9156183824486802E-2</v>
      </c>
    </row>
    <row r="2489" spans="5:7">
      <c r="E2489" s="658">
        <f ca="1">_xll.meDateFromTenor(E2488,"1D","Following",$C$16)</f>
        <v>46763</v>
      </c>
      <c r="F2489" s="659">
        <f ca="1"/>
        <v>1.9206568341447992E-2</v>
      </c>
      <c r="G2489" s="656">
        <v>1.9158801333021062E-2</v>
      </c>
    </row>
    <row r="2490" spans="5:7">
      <c r="E2490" s="658">
        <f ca="1">_xll.meDateFromTenor(E2489,"1D","Following",$C$16)</f>
        <v>46764</v>
      </c>
      <c r="F2490" s="659">
        <f ca="1"/>
        <v>1.9208907601103706E-2</v>
      </c>
      <c r="G2490" s="656">
        <v>1.9161418844362572E-2</v>
      </c>
    </row>
    <row r="2491" spans="5:7">
      <c r="E2491" s="658">
        <f ca="1">_xll.meDateFromTenor(E2490,"1D","Following",$C$16)</f>
        <v>46765</v>
      </c>
      <c r="F2491" s="659">
        <f ca="1"/>
        <v>1.9211245544945549E-2</v>
      </c>
      <c r="G2491" s="656">
        <v>1.9169271165949187E-2</v>
      </c>
    </row>
    <row r="2492" spans="5:7">
      <c r="E2492" s="658">
        <f ca="1">_xll.meDateFromTenor(E2491,"1D","Following",$C$16)</f>
        <v>46766</v>
      </c>
      <c r="F2492" s="659">
        <f ca="1"/>
        <v>1.9213582174239255E-2</v>
      </c>
      <c r="G2492" s="656">
        <v>1.9171888459238267E-2</v>
      </c>
    </row>
    <row r="2493" spans="5:7">
      <c r="E2493" s="658">
        <f ca="1">_xll.meDateFromTenor(E2492,"1D","Following",$C$16)</f>
        <v>46769</v>
      </c>
      <c r="F2493" s="659">
        <f ca="1"/>
        <v>1.9220584187488909E-2</v>
      </c>
      <c r="G2493" s="656">
        <v>1.9174505640693881E-2</v>
      </c>
    </row>
    <row r="2494" spans="5:7">
      <c r="E2494" s="658">
        <f ca="1">_xll.meDateFromTenor(E2493,"1D","Following",$C$16)</f>
        <v>46770</v>
      </c>
      <c r="F2494" s="659">
        <f ca="1"/>
        <v>1.9222915571247418E-2</v>
      </c>
      <c r="G2494" s="656">
        <v>1.9177122687387881E-2</v>
      </c>
    </row>
    <row r="2495" spans="5:7">
      <c r="E2495" s="658">
        <f ca="1">_xll.meDateFromTenor(E2494,"1D","Following",$C$16)</f>
        <v>46771</v>
      </c>
      <c r="F2495" s="659">
        <f ca="1"/>
        <v>1.9225245646786463E-2</v>
      </c>
      <c r="G2495" s="656">
        <v>1.9179739576392123E-2</v>
      </c>
    </row>
    <row r="2496" spans="5:7">
      <c r="E2496" s="658">
        <f ca="1">_xll.meDateFromTenor(E2495,"1D","Following",$C$16)</f>
        <v>46772</v>
      </c>
      <c r="F2496" s="659">
        <f ca="1"/>
        <v>1.9227574415371779E-2</v>
      </c>
      <c r="G2496" s="656">
        <v>1.9187589067984855E-2</v>
      </c>
    </row>
    <row r="2497" spans="5:7">
      <c r="E2497" s="658">
        <f ca="1">_xll.meDateFromTenor(E2496,"1D","Following",$C$16)</f>
        <v>46773</v>
      </c>
      <c r="F2497" s="659">
        <f ca="1"/>
        <v>1.92299018782691E-2</v>
      </c>
      <c r="G2497" s="656">
        <v>1.9190205096948621E-2</v>
      </c>
    </row>
    <row r="2498" spans="5:7">
      <c r="E2498" s="658">
        <f ca="1">_xll.meDateFromTenor(E2497,"1D","Following",$C$16)</f>
        <v>46776</v>
      </c>
      <c r="F2498" s="659">
        <f ca="1"/>
        <v>1.9236876445490419E-2</v>
      </c>
      <c r="G2498" s="656">
        <v>1.9192820853581909E-2</v>
      </c>
    </row>
    <row r="2499" spans="5:7">
      <c r="E2499" s="658">
        <f ca="1">_xll.meDateFromTenor(E2498,"1D","Following",$C$16)</f>
        <v>46777</v>
      </c>
      <c r="F2499" s="659">
        <f ca="1"/>
        <v>1.9239198698293096E-2</v>
      </c>
      <c r="G2499" s="656">
        <v>1.9195436314956564E-2</v>
      </c>
    </row>
    <row r="2500" spans="5:7">
      <c r="E2500" s="658">
        <f ca="1">_xll.meDateFromTenor(E2499,"1D","Following",$C$16)</f>
        <v>46778</v>
      </c>
      <c r="F2500" s="659">
        <f ca="1"/>
        <v>1.9241519651736445E-2</v>
      </c>
      <c r="G2500" s="656">
        <v>1.9198051458144454E-2</v>
      </c>
    </row>
    <row r="2501" spans="5:7">
      <c r="E2501" s="658">
        <f ca="1">_xll.meDateFromTenor(E2500,"1D","Following",$C$16)</f>
        <v>46779</v>
      </c>
      <c r="F2501" s="659">
        <f ca="1"/>
        <v>1.9243839307086202E-2</v>
      </c>
      <c r="G2501" s="656">
        <v>1.9205894749306059E-2</v>
      </c>
    </row>
    <row r="2502" spans="5:7">
      <c r="E2502" s="658">
        <f ca="1">_xll.meDateFromTenor(E2501,"1D","Following",$C$16)</f>
        <v>46780</v>
      </c>
      <c r="F2502" s="659">
        <f ca="1"/>
        <v>1.9246157665608103E-2</v>
      </c>
      <c r="G2502" s="656">
        <v>1.9208508390465423E-2</v>
      </c>
    </row>
    <row r="2503" spans="5:7">
      <c r="E2503" s="658">
        <f ca="1">_xll.meDateFromTenor(E2502,"1D","Following",$C$16)</f>
        <v>46783</v>
      </c>
      <c r="F2503" s="659">
        <f ca="1"/>
        <v>1.9253104972864008E-2</v>
      </c>
      <c r="G2503" s="656">
        <v>1.9211121598797301E-2</v>
      </c>
    </row>
    <row r="2504" spans="5:7">
      <c r="E2504" s="658">
        <f ca="1">_xll.meDateFromTenor(E2503,"1D","Following",$C$16)</f>
        <v>46784</v>
      </c>
      <c r="F2504" s="660">
        <f ca="1"/>
        <v>1.9255418156731822E-2</v>
      </c>
      <c r="G2504" s="656">
        <v>1.9213734351373538E-2</v>
      </c>
    </row>
    <row r="2505" spans="5:7">
      <c r="E2505" s="658">
        <f ca="1">_xll.meDateFromTenor(E2504,"1D","Following",$C$16)</f>
        <v>46785</v>
      </c>
      <c r="F2505" s="659">
        <f ca="1"/>
        <v>1.9257730050100445E-2</v>
      </c>
      <c r="G2505" s="656">
        <v>1.9216346625265994E-2</v>
      </c>
    </row>
    <row r="2506" spans="5:7">
      <c r="E2506" s="658">
        <f ca="1">_xll.meDateFromTenor(E2505,"1D","Following",$C$16)</f>
        <v>46786</v>
      </c>
      <c r="F2506" s="659">
        <f ca="1"/>
        <v>1.9260040654235623E-2</v>
      </c>
      <c r="G2506" s="656">
        <v>1.9224180345559221E-2</v>
      </c>
    </row>
    <row r="2507" spans="5:7">
      <c r="E2507" s="658">
        <f ca="1">_xll.meDateFromTenor(E2506,"1D","Following",$C$16)</f>
        <v>46787</v>
      </c>
      <c r="F2507" s="659">
        <f ca="1"/>
        <v>1.9262349970403079E-2</v>
      </c>
      <c r="G2507" s="656">
        <v>1.9226790475435105E-2</v>
      </c>
    </row>
    <row r="2508" spans="5:7">
      <c r="E2508" s="658">
        <f ca="1">_xll.meDateFromTenor(E2507,"1D","Following",$C$16)</f>
        <v>46790</v>
      </c>
      <c r="F2508" s="659">
        <f ca="1"/>
        <v>1.9269270203756479E-2</v>
      </c>
      <c r="G2508" s="656">
        <v>1.9229400011986482E-2</v>
      </c>
    </row>
    <row r="2509" spans="5:7">
      <c r="E2509" s="658">
        <f ca="1">_xll.meDateFromTenor(E2508,"1D","Following",$C$16)</f>
        <v>46791</v>
      </c>
      <c r="F2509" s="659">
        <f ca="1"/>
        <v>1.92715743807104E-2</v>
      </c>
      <c r="G2509" s="656">
        <v>1.923200893228522E-2</v>
      </c>
    </row>
    <row r="2510" spans="5:7">
      <c r="E2510" s="658">
        <f ca="1">_xll.meDateFromTenor(E2509,"1D","Following",$C$16)</f>
        <v>46792</v>
      </c>
      <c r="F2510" s="659">
        <f ca="1"/>
        <v>1.9273877276025277E-2</v>
      </c>
      <c r="G2510" s="656">
        <v>1.9234617213403152E-2</v>
      </c>
    </row>
    <row r="2511" spans="5:7">
      <c r="E2511" s="658">
        <f ca="1">_xll.meDateFromTenor(E2510,"1D","Following",$C$16)</f>
        <v>46793</v>
      </c>
      <c r="F2511" s="659">
        <f ca="1"/>
        <v>1.927617889096684E-2</v>
      </c>
      <c r="G2511" s="656">
        <v>1.9242437992390768E-2</v>
      </c>
    </row>
    <row r="2512" spans="5:7">
      <c r="E2512" s="658">
        <f ca="1">_xll.meDateFromTenor(E2511,"1D","Following",$C$16)</f>
        <v>46794</v>
      </c>
      <c r="F2512" s="659">
        <f ca="1"/>
        <v>1.9278479226800822E-2</v>
      </c>
      <c r="G2512" s="656">
        <v>1.9245043487504086E-2</v>
      </c>
    </row>
    <row r="2513" spans="5:7">
      <c r="E2513" s="658">
        <f ca="1">_xll.meDateFromTenor(E2512,"1D","Following",$C$16)</f>
        <v>46797</v>
      </c>
      <c r="F2513" s="659">
        <f ca="1"/>
        <v>1.9285372572314632E-2</v>
      </c>
      <c r="G2513" s="656">
        <v>1.9247648228795888E-2</v>
      </c>
    </row>
    <row r="2514" spans="5:7">
      <c r="E2514" s="658">
        <f ca="1">_xll.meDateFromTenor(E2513,"1D","Following",$C$16)</f>
        <v>46798</v>
      </c>
      <c r="F2514" s="659">
        <f ca="1"/>
        <v>1.9287667804375637E-2</v>
      </c>
      <c r="G2514" s="656">
        <v>1.9250252193338032E-2</v>
      </c>
    </row>
    <row r="2515" spans="5:7">
      <c r="E2515" s="658">
        <f ca="1">_xll.meDateFromTenor(E2514,"1D","Following",$C$16)</f>
        <v>46799</v>
      </c>
      <c r="F2515" s="659">
        <f ca="1"/>
        <v>1.9289961763657732E-2</v>
      </c>
      <c r="G2515" s="656">
        <v>1.925285535820237E-2</v>
      </c>
    </row>
    <row r="2516" spans="5:7">
      <c r="E2516" s="658">
        <f ca="1">_xll.meDateFromTenor(E2515,"1D","Following",$C$16)</f>
        <v>46800</v>
      </c>
      <c r="F2516" s="659">
        <f ca="1"/>
        <v>1.9292254451426651E-2</v>
      </c>
      <c r="G2516" s="656">
        <v>1.9260659825447109E-2</v>
      </c>
    </row>
    <row r="2517" spans="5:7">
      <c r="E2517" s="658">
        <f ca="1">_xll.meDateFromTenor(E2516,"1D","Following",$C$16)</f>
        <v>46801</v>
      </c>
      <c r="F2517" s="659">
        <f ca="1"/>
        <v>1.9294545868948128E-2</v>
      </c>
      <c r="G2517" s="656">
        <v>1.926325956231878E-2</v>
      </c>
    </row>
    <row r="2518" spans="5:7">
      <c r="E2518" s="658">
        <f ca="1">_xll.meDateFromTenor(E2517,"1D","Following",$C$16)</f>
        <v>46804</v>
      </c>
      <c r="F2518" s="659">
        <f ca="1"/>
        <v>1.930141251268527E-2</v>
      </c>
      <c r="G2518" s="656">
        <v>1.926585838487193E-2</v>
      </c>
    </row>
    <row r="2519" spans="5:7">
      <c r="E2519" s="658">
        <f ca="1">_xll.meDateFromTenor(E2518,"1D","Following",$C$16)</f>
        <v>46805</v>
      </c>
      <c r="F2519" s="659">
        <f ca="1"/>
        <v>1.9303698861874326E-2</v>
      </c>
      <c r="G2519" s="656">
        <v>1.9268456270178404E-2</v>
      </c>
    </row>
    <row r="2520" spans="5:7">
      <c r="E2520" s="658">
        <f ca="1">_xll.meDateFromTenor(E2519,"1D","Following",$C$16)</f>
        <v>46806</v>
      </c>
      <c r="F2520" s="659">
        <f ca="1"/>
        <v>1.9305983947144615E-2</v>
      </c>
      <c r="G2520" s="656">
        <v>1.9271053195310056E-2</v>
      </c>
    </row>
    <row r="2521" spans="5:7">
      <c r="E2521" s="658">
        <f ca="1">_xll.meDateFromTenor(E2520,"1D","Following",$C$16)</f>
        <v>46807</v>
      </c>
      <c r="F2521" s="659">
        <f ca="1"/>
        <v>1.9308267769761862E-2</v>
      </c>
      <c r="G2521" s="656">
        <v>1.9278837980374681E-2</v>
      </c>
    </row>
    <row r="2522" spans="5:7">
      <c r="E2522" s="658">
        <f ca="1">_xll.meDateFromTenor(E2521,"1D","Following",$C$16)</f>
        <v>46808</v>
      </c>
      <c r="F2522" s="659">
        <f ca="1"/>
        <v>1.931055033099181E-2</v>
      </c>
      <c r="G2522" s="656">
        <v>1.9281430835525627E-2</v>
      </c>
    </row>
    <row r="2523" spans="5:7">
      <c r="E2523" s="658">
        <f ca="1">_xll.meDateFromTenor(E2522,"1D","Following",$C$16)</f>
        <v>46811</v>
      </c>
      <c r="F2523" s="659">
        <f ca="1"/>
        <v>1.9317390459015187E-2</v>
      </c>
      <c r="G2523" s="656">
        <v>1.9284022615861034E-2</v>
      </c>
    </row>
    <row r="2524" spans="5:7">
      <c r="E2524" s="658">
        <f ca="1">_xll.meDateFromTenor(E2523,"1D","Following",$C$16)</f>
        <v>46812</v>
      </c>
      <c r="F2524" s="659">
        <f ca="1"/>
        <v>1.9319667987353267E-2</v>
      </c>
      <c r="G2524" s="656">
        <v>1.9286613298452753E-2</v>
      </c>
    </row>
    <row r="2525" spans="5:7">
      <c r="E2525" s="658">
        <f ca="1">_xll.meDateFromTenor(E2524,"1D","Following",$C$16)</f>
        <v>46813</v>
      </c>
      <c r="F2525" s="659">
        <f ca="1"/>
        <v>1.9321944260632721E-2</v>
      </c>
      <c r="G2525" s="656">
        <v>1.928920286037264E-2</v>
      </c>
    </row>
    <row r="2526" spans="5:7">
      <c r="E2526" s="658">
        <f ca="1">_xll.meDateFromTenor(E2525,"1D","Following",$C$16)</f>
        <v>46814</v>
      </c>
      <c r="F2526" s="659">
        <f ca="1"/>
        <v>1.9324219280119272E-2</v>
      </c>
      <c r="G2526" s="656">
        <v>1.9296964592819904E-2</v>
      </c>
    </row>
    <row r="2527" spans="5:7">
      <c r="E2527" s="658">
        <f ca="1">_xll.meDateFromTenor(E2526,"1D","Following",$C$16)</f>
        <v>46815</v>
      </c>
      <c r="F2527" s="659">
        <f ca="1"/>
        <v>1.9326493047078664E-2</v>
      </c>
      <c r="G2527" s="656">
        <v>1.9299549442771031E-2</v>
      </c>
    </row>
    <row r="2528" spans="5:7">
      <c r="E2528" s="658">
        <f ca="1">_xll.meDateFromTenor(E2527,"1D","Following",$C$16)</f>
        <v>46818</v>
      </c>
      <c r="F2528" s="659">
        <f ca="1"/>
        <v>1.933330684545119E-2</v>
      </c>
      <c r="G2528" s="656">
        <v>1.9302133057409614E-2</v>
      </c>
    </row>
    <row r="2529" spans="5:7">
      <c r="E2529" s="658">
        <f ca="1">_xll.meDateFromTenor(E2528,"1D","Following",$C$16)</f>
        <v>46819</v>
      </c>
      <c r="F2529" s="659">
        <f ca="1"/>
        <v>1.9335575614959272E-2</v>
      </c>
      <c r="G2529" s="656">
        <v>1.9304715413807499E-2</v>
      </c>
    </row>
    <row r="2530" spans="5:7">
      <c r="E2530" s="658">
        <f ca="1">_xll.meDateFromTenor(E2529,"1D","Following",$C$16)</f>
        <v>46820</v>
      </c>
      <c r="F2530" s="659">
        <f ca="1"/>
        <v>1.9337843138268859E-2</v>
      </c>
      <c r="G2530" s="656">
        <v>1.9307296489036549E-2</v>
      </c>
    </row>
    <row r="2531" spans="5:7">
      <c r="E2531" s="658">
        <f ca="1">_xll.meDateFromTenor(E2530,"1D","Following",$C$16)</f>
        <v>46821</v>
      </c>
      <c r="F2531" s="659">
        <f ca="1"/>
        <v>1.9340109416645688E-2</v>
      </c>
      <c r="G2531" s="656">
        <v>1.9315031798429194E-2</v>
      </c>
    </row>
    <row r="2532" spans="5:7">
      <c r="E2532" s="658">
        <f ca="1">_xll.meDateFromTenor(E2531,"1D","Following",$C$16)</f>
        <v>46822</v>
      </c>
      <c r="F2532" s="659">
        <f ca="1"/>
        <v>1.9342374451355483E-2</v>
      </c>
      <c r="G2532" s="656">
        <v>1.9317607519701432E-2</v>
      </c>
    </row>
    <row r="2533" spans="5:7">
      <c r="E2533" s="658">
        <f ca="1">_xll.meDateFromTenor(E2532,"1D","Following",$C$16)</f>
        <v>46825</v>
      </c>
      <c r="F2533" s="659">
        <f ca="1"/>
        <v>1.9349162106140086E-2</v>
      </c>
      <c r="G2533" s="656">
        <v>1.9320181845164108E-2</v>
      </c>
    </row>
    <row r="2534" spans="5:7">
      <c r="E2534" s="658">
        <f ca="1">_xll.meDateFromTenor(E2533,"1D","Following",$C$16)</f>
        <v>46826</v>
      </c>
      <c r="F2534" s="659">
        <f ca="1"/>
        <v>1.9351422178839131E-2</v>
      </c>
      <c r="G2534" s="656">
        <v>1.9322754751889076E-2</v>
      </c>
    </row>
    <row r="2535" spans="5:7">
      <c r="E2535" s="658">
        <f ca="1">_xll.meDateFromTenor(E2534,"1D","Following",$C$16)</f>
        <v>46827</v>
      </c>
      <c r="F2535" s="659">
        <f ca="1"/>
        <v>1.9353681014199826E-2</v>
      </c>
      <c r="G2535" s="656">
        <v>1.9325326216948192E-2</v>
      </c>
    </row>
    <row r="2536" spans="5:7">
      <c r="E2536" s="658">
        <f ca="1">_xll.meDateFromTenor(E2535,"1D","Following",$C$16)</f>
        <v>46828</v>
      </c>
      <c r="F2536" s="659">
        <f ca="1"/>
        <v>1.9355938613487896E-2</v>
      </c>
      <c r="G2536" s="656">
        <v>1.933303173284898E-2</v>
      </c>
    </row>
    <row r="2537" spans="5:7">
      <c r="E2537" s="658">
        <f ca="1">_xll.meDateFromTenor(E2536,"1D","Following",$C$16)</f>
        <v>46829</v>
      </c>
      <c r="F2537" s="659">
        <f ca="1"/>
        <v>1.9358194977969083E-2</v>
      </c>
      <c r="G2537" s="656">
        <v>1.9335597201963244E-2</v>
      </c>
    </row>
    <row r="2538" spans="5:7">
      <c r="E2538" s="658">
        <f ca="1">_xll.meDateFromTenor(E2537,"1D","Following",$C$16)</f>
        <v>46832</v>
      </c>
      <c r="F2538" s="659">
        <f ca="1"/>
        <v>1.9364956675228667E-2</v>
      </c>
      <c r="G2538" s="656">
        <v>1.9338161114770932E-2</v>
      </c>
    </row>
    <row r="2539" spans="5:7">
      <c r="E2539" s="658">
        <f ca="1">_xll.meDateFromTenor(E2538,"1D","Following",$C$16)</f>
        <v>46833</v>
      </c>
      <c r="F2539" s="659">
        <f ca="1"/>
        <v>1.9367208113139654E-2</v>
      </c>
      <c r="G2539" s="656">
        <v>1.9340723448343897E-2</v>
      </c>
    </row>
    <row r="2540" spans="5:7">
      <c r="E2540" s="658">
        <f ca="1">_xll.meDateFromTenor(E2539,"1D","Following",$C$16)</f>
        <v>46834</v>
      </c>
      <c r="F2540" s="659">
        <f ca="1"/>
        <v>1.9369458322572423E-2</v>
      </c>
      <c r="G2540" s="656">
        <v>1.9343284179754002E-2</v>
      </c>
    </row>
    <row r="2541" spans="5:7">
      <c r="E2541" s="658">
        <f ca="1">_xll.meDateFromTenor(E2540,"1D","Following",$C$16)</f>
        <v>46835</v>
      </c>
      <c r="F2541" s="659">
        <f ca="1"/>
        <v>1.937170730479271E-2</v>
      </c>
      <c r="G2541" s="656">
        <v>1.935095653172569E-2</v>
      </c>
    </row>
    <row r="2542" spans="5:7">
      <c r="E2542" s="658">
        <f ca="1">_xll.meDateFromTenor(E2541,"1D","Following",$C$16)</f>
        <v>46836</v>
      </c>
      <c r="F2542" s="659">
        <f ca="1"/>
        <v>1.9373955061066254E-2</v>
      </c>
      <c r="G2542" s="656">
        <v>1.9353510625202887E-2</v>
      </c>
    </row>
    <row r="2543" spans="5:7">
      <c r="E2543" s="658">
        <f ca="1">_xll.meDateFromTenor(E2542,"1D","Following",$C$16)</f>
        <v>46839</v>
      </c>
      <c r="F2543" s="659">
        <f ca="1"/>
        <v>1.9380690986863739E-2</v>
      </c>
      <c r="G2543" s="656">
        <v>1.9356063001876509E-2</v>
      </c>
    </row>
    <row r="2544" spans="5:7">
      <c r="E2544" s="658">
        <f ca="1">_xll.meDateFromTenor(E2543,"1D","Following",$C$16)</f>
        <v>46840</v>
      </c>
      <c r="F2544" s="659">
        <f ca="1"/>
        <v>1.9382933852007636E-2</v>
      </c>
      <c r="G2544" s="656">
        <v>1.9358613638818391E-2</v>
      </c>
    </row>
    <row r="2545" spans="5:7">
      <c r="E2545" s="658">
        <f ca="1">_xll.meDateFromTenor(E2544,"1D","Following",$C$16)</f>
        <v>46841</v>
      </c>
      <c r="F2545" s="659">
        <f ca="1"/>
        <v>1.9385175497533453E-2</v>
      </c>
      <c r="G2545" s="656">
        <v>1.93611625131004E-2</v>
      </c>
    </row>
    <row r="2546" spans="5:7">
      <c r="E2546" s="658">
        <f ca="1">_xll.meDateFromTenor(E2545,"1D","Following",$C$16)</f>
        <v>46842</v>
      </c>
      <c r="F2546" s="659">
        <f ca="1"/>
        <v>1.9387415924706931E-2</v>
      </c>
      <c r="G2546" s="656">
        <v>1.936879833070573E-2</v>
      </c>
    </row>
    <row r="2547" spans="5:7">
      <c r="E2547" s="658">
        <f ca="1">_xll.meDateFromTenor(E2546,"1D","Following",$C$16)</f>
        <v>46843</v>
      </c>
      <c r="F2547" s="659">
        <f ca="1"/>
        <v>1.93896551347938E-2</v>
      </c>
      <c r="G2547" s="656">
        <v>1.9371339925066792E-2</v>
      </c>
    </row>
    <row r="2548" spans="5:7">
      <c r="E2548" s="658">
        <f ca="1">_xll.meDateFromTenor(E2547,"1D","Following",$C$16)</f>
        <v>46846</v>
      </c>
      <c r="F2548" s="659">
        <f ca="1"/>
        <v>1.9396365475192103E-2</v>
      </c>
      <c r="G2548" s="656">
        <v>1.9373879642127254E-2</v>
      </c>
    </row>
    <row r="2549" spans="5:7">
      <c r="E2549" s="658">
        <f ca="1">_xll.meDateFromTenor(E2548,"1D","Following",$C$16)</f>
        <v>46847</v>
      </c>
      <c r="F2549" s="659">
        <f ca="1"/>
        <v>1.9398599829589878E-2</v>
      </c>
      <c r="G2549" s="656">
        <v>1.9376417458958978E-2</v>
      </c>
    </row>
    <row r="2550" spans="5:7">
      <c r="E2550" s="658">
        <f ca="1">_xll.meDateFromTenor(E2549,"1D","Following",$C$16)</f>
        <v>46848</v>
      </c>
      <c r="F2550" s="659">
        <f ca="1"/>
        <v>1.9400832973229719E-2</v>
      </c>
      <c r="G2550" s="656">
        <v>1.9378953352633808E-2</v>
      </c>
    </row>
    <row r="2551" spans="5:7">
      <c r="E2551" s="658">
        <f ca="1">_xll.meDateFromTenor(E2550,"1D","Following",$C$16)</f>
        <v>46849</v>
      </c>
      <c r="F2551" s="659">
        <f ca="1"/>
        <v>1.9403064907377358E-2</v>
      </c>
      <c r="G2551" s="656">
        <v>1.9386549265435538E-2</v>
      </c>
    </row>
    <row r="2552" spans="5:7">
      <c r="E2552" s="658">
        <f ca="1">_xll.meDateFromTenor(E2551,"1D","Following",$C$16)</f>
        <v>46850</v>
      </c>
      <c r="F2552" s="659">
        <f ca="1"/>
        <v>1.9405295633298524E-2</v>
      </c>
      <c r="G2552" s="656">
        <v>1.9389077237201374E-2</v>
      </c>
    </row>
    <row r="2553" spans="5:7">
      <c r="E2553" s="658">
        <f ca="1">_xll.meDateFromTenor(E2552,"1D","Following",$C$16)</f>
        <v>46853</v>
      </c>
      <c r="F2553" s="659">
        <f ca="1"/>
        <v>1.9411980574360551E-2</v>
      </c>
      <c r="G2553" s="656">
        <v>1.9391603171169607E-2</v>
      </c>
    </row>
    <row r="2554" spans="5:7">
      <c r="E2554" s="658">
        <f ca="1">_xll.meDateFromTenor(E2553,"1D","Following",$C$16)</f>
        <v>46854</v>
      </c>
      <c r="F2554" s="659">
        <f ca="1"/>
        <v>1.9414206480033183E-2</v>
      </c>
      <c r="G2554" s="656">
        <v>1.9394127044412075E-2</v>
      </c>
    </row>
    <row r="2555" spans="5:7">
      <c r="E2555" s="658">
        <f ca="1">_xll.meDateFromTenor(E2554,"1D","Following",$C$16)</f>
        <v>46855</v>
      </c>
      <c r="F2555" s="659">
        <f ca="1"/>
        <v>1.9416431183808019E-2</v>
      </c>
      <c r="G2555" s="656">
        <v>1.9396648834000656E-2</v>
      </c>
    </row>
    <row r="2556" spans="5:7">
      <c r="E2556" s="658">
        <f ca="1">_xll.meDateFromTenor(E2555,"1D","Following",$C$16)</f>
        <v>46856</v>
      </c>
      <c r="F2556" s="659">
        <f ca="1"/>
        <v>1.9418654686950785E-2</v>
      </c>
      <c r="G2556" s="656">
        <v>1.9404201471561536E-2</v>
      </c>
    </row>
    <row r="2557" spans="5:7">
      <c r="E2557" s="658">
        <f ca="1">_xll.meDateFromTenor(E2556,"1D","Following",$C$16)</f>
        <v>46861</v>
      </c>
      <c r="F2557" s="659">
        <f ca="1"/>
        <v>1.9429754237484352E-2</v>
      </c>
      <c r="G2557" s="656">
        <v>1.9406714697253066E-2</v>
      </c>
    </row>
    <row r="2558" spans="5:7">
      <c r="E2558" s="658">
        <f ca="1">_xll.meDateFromTenor(E2557,"1D","Following",$C$16)</f>
        <v>46862</v>
      </c>
      <c r="F2558" s="659">
        <f ca="1"/>
        <v>1.9431970563415151E-2</v>
      </c>
      <c r="G2558" s="656">
        <v>1.9409225724649974E-2</v>
      </c>
    </row>
    <row r="2559" spans="5:7">
      <c r="E2559" s="658">
        <f ca="1">_xll.meDateFromTenor(E2558,"1D","Following",$C$16)</f>
        <v>46863</v>
      </c>
      <c r="F2559" s="659">
        <f ca="1"/>
        <v>1.9434185697574029E-2</v>
      </c>
      <c r="G2559" s="656">
        <v>1.9411734530824121E-2</v>
      </c>
    </row>
    <row r="2560" spans="5:7">
      <c r="E2560" s="658">
        <f ca="1">_xll.meDateFromTenor(E2559,"1D","Following",$C$16)</f>
        <v>46864</v>
      </c>
      <c r="F2560" s="659">
        <f ca="1"/>
        <v>1.9436399641226704E-2</v>
      </c>
      <c r="G2560" s="656">
        <v>1.9424244440868283E-2</v>
      </c>
    </row>
    <row r="2561" spans="5:7">
      <c r="E2561" s="658">
        <f ca="1">_xll.meDateFromTenor(E2560,"1D","Following",$C$16)</f>
        <v>46867</v>
      </c>
      <c r="F2561" s="659">
        <f ca="1"/>
        <v>1.944303434180494E-2</v>
      </c>
      <c r="G2561" s="656">
        <v>1.9426739438214789E-2</v>
      </c>
    </row>
    <row r="2562" spans="5:7">
      <c r="E2562" s="658">
        <f ca="1">_xll.meDateFromTenor(E2561,"1D","Following",$C$16)</f>
        <v>46868</v>
      </c>
      <c r="F2562" s="659">
        <f ca="1"/>
        <v>1.9445243536090191E-2</v>
      </c>
      <c r="G2562" s="656">
        <v>1.9429232053841523E-2</v>
      </c>
    </row>
    <row r="2563" spans="5:7">
      <c r="E2563" s="658">
        <f ca="1">_xll.meDateFromTenor(E2562,"1D","Following",$C$16)</f>
        <v>46869</v>
      </c>
      <c r="F2563" s="659">
        <f ca="1"/>
        <v>1.9447451546197928E-2</v>
      </c>
      <c r="G2563" s="656">
        <v>1.9431722264820327E-2</v>
      </c>
    </row>
    <row r="2564" spans="5:7">
      <c r="E2564" s="658">
        <f ca="1">_xll.meDateFromTenor(E2563,"1D","Following",$C$16)</f>
        <v>46870</v>
      </c>
      <c r="F2564" s="659">
        <f ca="1"/>
        <v>1.9449658373393873E-2</v>
      </c>
      <c r="G2564" s="656">
        <v>1.9439178240587777E-2</v>
      </c>
    </row>
    <row r="2565" spans="5:7">
      <c r="E2565" s="658">
        <f ca="1">_xll.meDateFromTenor(E2564,"1D","Following",$C$16)</f>
        <v>46871</v>
      </c>
      <c r="F2565" s="659">
        <f ca="1"/>
        <v>1.9451864018943766E-2</v>
      </c>
      <c r="G2565" s="656">
        <v>1.944165860369345E-2</v>
      </c>
    </row>
    <row r="2566" spans="5:7">
      <c r="E2566" s="658">
        <f ca="1">_xll.meDateFromTenor(E2565,"1D","Following",$C$16)</f>
        <v>46875</v>
      </c>
      <c r="F2566" s="659">
        <f ca="1"/>
        <v>1.9460674809997497E-2</v>
      </c>
      <c r="G2566" s="656">
        <v>1.9444136447510474E-2</v>
      </c>
    </row>
    <row r="2567" spans="5:7">
      <c r="E2567" s="658">
        <f ca="1">_xll.meDateFromTenor(E2566,"1D","Following",$C$16)</f>
        <v>46876</v>
      </c>
      <c r="F2567" s="659">
        <f ca="1"/>
        <v>1.9462874566303138E-2</v>
      </c>
      <c r="G2567" s="656">
        <v>1.944661174911071E-2</v>
      </c>
    </row>
    <row r="2568" spans="5:7">
      <c r="E2568" s="658">
        <f ca="1">_xll.meDateFromTenor(E2567,"1D","Following",$C$16)</f>
        <v>46877</v>
      </c>
      <c r="F2568" s="659">
        <f ca="1"/>
        <v>1.9465073148557131E-2</v>
      </c>
      <c r="G2568" s="656">
        <v>1.9449084485566013E-2</v>
      </c>
    </row>
    <row r="2569" spans="5:7">
      <c r="E2569" s="658">
        <f ca="1">_xll.meDateFromTenor(E2568,"1D","Following",$C$16)</f>
        <v>46878</v>
      </c>
      <c r="F2569" s="659">
        <f ca="1"/>
        <v>1.9467270558025208E-2</v>
      </c>
      <c r="G2569" s="656">
        <v>1.9458949321374989E-2</v>
      </c>
    </row>
    <row r="2570" spans="5:7">
      <c r="E2570" s="658">
        <f ca="1">_xll.meDateFromTenor(E2569,"1D","Following",$C$16)</f>
        <v>46881</v>
      </c>
      <c r="F2570" s="659">
        <f ca="1"/>
        <v>1.9473855762371303E-2</v>
      </c>
      <c r="G2570" s="656">
        <v>1.9461408888183446E-2</v>
      </c>
    </row>
    <row r="2571" spans="5:7">
      <c r="E2571" s="658">
        <f ca="1">_xll.meDateFromTenor(E2570,"1D","Following",$C$16)</f>
        <v>46882</v>
      </c>
      <c r="F2571" s="659">
        <f ca="1"/>
        <v>1.9476048490605982E-2</v>
      </c>
      <c r="G2571" s="656">
        <v>1.9463865753930141E-2</v>
      </c>
    </row>
    <row r="2572" spans="5:7">
      <c r="E2572" s="658">
        <f ca="1">_xll.meDateFromTenor(E2571,"1D","Following",$C$16)</f>
        <v>46883</v>
      </c>
      <c r="F2572" s="659">
        <f ca="1"/>
        <v>1.9478240035900894E-2</v>
      </c>
      <c r="G2572" s="656">
        <v>1.9466319903947125E-2</v>
      </c>
    </row>
    <row r="2573" spans="5:7">
      <c r="E2573" s="658">
        <f ca="1">_xll.meDateFromTenor(E2572,"1D","Following",$C$16)</f>
        <v>46884</v>
      </c>
      <c r="F2573" s="659">
        <f ca="1"/>
        <v>1.948043038303927E-2</v>
      </c>
      <c r="G2573" s="656">
        <v>1.94736659294606E-2</v>
      </c>
    </row>
    <row r="2574" spans="5:7">
      <c r="E2574" s="658">
        <f ca="1">_xll.meDateFromTenor(E2573,"1D","Following",$C$16)</f>
        <v>46885</v>
      </c>
      <c r="F2574" s="659">
        <f ca="1"/>
        <v>1.9482619516804311E-2</v>
      </c>
      <c r="G2574" s="656">
        <v>1.9476109086399546E-2</v>
      </c>
    </row>
    <row r="2575" spans="5:7">
      <c r="E2575" s="658">
        <f ca="1">_xll.meDateFromTenor(E2574,"1D","Following",$C$16)</f>
        <v>46888</v>
      </c>
      <c r="F2575" s="659">
        <f ca="1"/>
        <v>1.9489179485691625E-2</v>
      </c>
      <c r="G2575" s="656">
        <v>1.9478549462529197E-2</v>
      </c>
    </row>
    <row r="2576" spans="5:7">
      <c r="E2576" s="658">
        <f ca="1">_xll.meDateFromTenor(E2575,"1D","Following",$C$16)</f>
        <v>46889</v>
      </c>
      <c r="F2576" s="659">
        <f ca="1"/>
        <v>1.9491363613795512E-2</v>
      </c>
      <c r="G2576" s="656">
        <v>1.9480987044833635E-2</v>
      </c>
    </row>
    <row r="2577" spans="5:7">
      <c r="E2577" s="658">
        <f ca="1">_xll.meDateFromTenor(E2576,"1D","Following",$C$16)</f>
        <v>46890</v>
      </c>
      <c r="F2577" s="659">
        <f ca="1"/>
        <v>1.9493546452442154E-2</v>
      </c>
      <c r="G2577" s="656">
        <v>1.9483421820296942E-2</v>
      </c>
    </row>
    <row r="2578" spans="5:7">
      <c r="E2578" s="658">
        <f ca="1">_xll.meDateFromTenor(E2577,"1D","Following",$C$16)</f>
        <v>46891</v>
      </c>
      <c r="F2578" s="659">
        <f ca="1"/>
        <v>1.9495727986414763E-2</v>
      </c>
      <c r="G2578" s="656">
        <v>1.949070917548092E-2</v>
      </c>
    </row>
    <row r="2579" spans="5:7">
      <c r="E2579" s="658">
        <f ca="1">_xll.meDateFromTenor(E2578,"1D","Following",$C$16)</f>
        <v>46892</v>
      </c>
      <c r="F2579" s="659">
        <f ca="1"/>
        <v>1.9497908200496558E-2</v>
      </c>
      <c r="G2579" s="656">
        <v>1.9493132593420549E-2</v>
      </c>
    </row>
    <row r="2580" spans="5:7">
      <c r="E2580" s="658">
        <f ca="1">_xll.meDateFromTenor(E2579,"1D","Following",$C$16)</f>
        <v>46895</v>
      </c>
      <c r="F2580" s="659">
        <f ca="1"/>
        <v>1.950444077122921E-2</v>
      </c>
      <c r="G2580" s="656">
        <v>1.9495553139439462E-2</v>
      </c>
    </row>
    <row r="2581" spans="5:7">
      <c r="E2581" s="658">
        <f ca="1">_xll.meDateFromTenor(E2580,"1D","Following",$C$16)</f>
        <v>46896</v>
      </c>
      <c r="F2581" s="659">
        <f ca="1"/>
        <v>1.9506615553579902E-2</v>
      </c>
      <c r="G2581" s="656">
        <v>1.9497970800521756E-2</v>
      </c>
    </row>
    <row r="2582" spans="5:7">
      <c r="E2582" s="658">
        <f ca="1">_xll.meDateFromTenor(E2581,"1D","Following",$C$16)</f>
        <v>46897</v>
      </c>
      <c r="F2582" s="659">
        <f ca="1"/>
        <v>1.9508788939955862E-2</v>
      </c>
      <c r="G2582" s="656">
        <v>1.9500385563651499E-2</v>
      </c>
    </row>
    <row r="2583" spans="5:7">
      <c r="E2583" s="658">
        <f ca="1">_xll.meDateFromTenor(E2582,"1D","Following",$C$16)</f>
        <v>46898</v>
      </c>
      <c r="F2583" s="659">
        <f ca="1"/>
        <v>1.9510960915140308E-2</v>
      </c>
      <c r="G2583" s="656">
        <v>1.9507612335166333E-2</v>
      </c>
    </row>
    <row r="2584" spans="5:7">
      <c r="E2584" s="658">
        <f ca="1">_xll.meDateFromTenor(E2583,"1D","Following",$C$16)</f>
        <v>46899</v>
      </c>
      <c r="F2584" s="659">
        <f ca="1"/>
        <v>1.9513131463916443E-2</v>
      </c>
      <c r="G2584" s="656">
        <v>1.9510015376326753E-2</v>
      </c>
    </row>
    <row r="2585" spans="5:7">
      <c r="E2585" s="658">
        <f ca="1">_xll.meDateFromTenor(E2584,"1D","Following",$C$16)</f>
        <v>46902</v>
      </c>
      <c r="F2585" s="659">
        <f ca="1"/>
        <v>1.9519634399627214E-2</v>
      </c>
      <c r="G2585" s="656">
        <v>1.9512415454455052E-2</v>
      </c>
    </row>
    <row r="2586" spans="5:7">
      <c r="E2586" s="658">
        <f ca="1">_xll.meDateFromTenor(E2585,"1D","Following",$C$16)</f>
        <v>46903</v>
      </c>
      <c r="F2586" s="659">
        <f ca="1"/>
        <v>1.952179909060231E-2</v>
      </c>
      <c r="G2586" s="656">
        <v>1.951481255653531E-2</v>
      </c>
    </row>
    <row r="2587" spans="5:7">
      <c r="E2587" s="658">
        <f ca="1">_xll.meDateFromTenor(E2586,"1D","Following",$C$16)</f>
        <v>46904</v>
      </c>
      <c r="F2587" s="659">
        <f ca="1"/>
        <v>1.9523962279085181E-2</v>
      </c>
      <c r="G2587" s="656">
        <v>1.9517206669551614E-2</v>
      </c>
    </row>
    <row r="2588" spans="5:7">
      <c r="E2588" s="658">
        <f ca="1">_xll.meDateFromTenor(E2587,"1D","Following",$C$16)</f>
        <v>46905</v>
      </c>
      <c r="F2588" s="659">
        <f ca="1"/>
        <v>1.9526123949859055E-2</v>
      </c>
      <c r="G2588" s="656">
        <v>1.9524370944057644E-2</v>
      </c>
    </row>
    <row r="2589" spans="5:7">
      <c r="E2589" s="658">
        <f ca="1">_xll.meDateFromTenor(E2588,"1D","Following",$C$16)</f>
        <v>46906</v>
      </c>
      <c r="F2589" s="659">
        <f ca="1"/>
        <v>1.9528284087707137E-2</v>
      </c>
      <c r="G2589" s="656">
        <v>1.9526752970658968E-2</v>
      </c>
    </row>
    <row r="2590" spans="5:7">
      <c r="E2590" s="658">
        <f ca="1">_xll.meDateFromTenor(E2589,"1D","Following",$C$16)</f>
        <v>46909</v>
      </c>
      <c r="F2590" s="659">
        <f ca="1"/>
        <v>1.9534755151528815E-2</v>
      </c>
      <c r="G2590" s="656">
        <v>1.952913194311676E-2</v>
      </c>
    </row>
    <row r="2591" spans="5:7">
      <c r="E2591" s="658">
        <f ca="1">_xll.meDateFromTenor(E2590,"1D","Following",$C$16)</f>
        <v>46910</v>
      </c>
      <c r="F2591" s="659">
        <f ca="1"/>
        <v>1.9536909005505903E-2</v>
      </c>
      <c r="G2591" s="656">
        <v>1.9531507848415102E-2</v>
      </c>
    </row>
    <row r="2592" spans="5:7">
      <c r="E2592" s="658">
        <f ca="1">_xll.meDateFromTenor(E2591,"1D","Following",$C$16)</f>
        <v>46911</v>
      </c>
      <c r="F2592" s="659">
        <f ca="1"/>
        <v>1.9539061250473288E-2</v>
      </c>
      <c r="G2592" s="656">
        <v>1.9533880673538076E-2</v>
      </c>
    </row>
    <row r="2593" spans="5:7">
      <c r="E2593" s="658">
        <f ca="1">_xll.meDateFromTenor(E2592,"1D","Following",$C$16)</f>
        <v>46912</v>
      </c>
      <c r="F2593" s="659">
        <f ca="1"/>
        <v>1.954121187121418E-2</v>
      </c>
      <c r="G2593" s="656">
        <v>1.9540980537695644E-2</v>
      </c>
    </row>
    <row r="2594" spans="5:7">
      <c r="E2594" s="658">
        <f ca="1">_xll.meDateFromTenor(E2593,"1D","Following",$C$16)</f>
        <v>46913</v>
      </c>
      <c r="F2594" s="659">
        <f ca="1"/>
        <v>1.9543360852511793E-2</v>
      </c>
      <c r="G2594" s="656">
        <v>1.9543340911957995E-2</v>
      </c>
    </row>
    <row r="2595" spans="5:7">
      <c r="E2595" s="658">
        <f ca="1">_xll.meDateFromTenor(E2594,"1D","Following",$C$16)</f>
        <v>46916</v>
      </c>
      <c r="F2595" s="659">
        <f ca="1"/>
        <v>1.9549797807577162E-2</v>
      </c>
      <c r="G2595" s="656">
        <v>1.9545698140965396E-2</v>
      </c>
    </row>
    <row r="2596" spans="5:7">
      <c r="E2596" s="658">
        <f ca="1">_xll.meDateFromTenor(E2595,"1D","Following",$C$16)</f>
        <v>46917</v>
      </c>
      <c r="F2596" s="659">
        <f ca="1"/>
        <v>1.9551940078933842E-2</v>
      </c>
      <c r="G2596" s="656">
        <v>1.954805221170194E-2</v>
      </c>
    </row>
    <row r="2597" spans="5:7">
      <c r="E2597" s="658">
        <f ca="1">_xll.meDateFromTenor(E2596,"1D","Following",$C$16)</f>
        <v>46918</v>
      </c>
      <c r="F2597" s="659">
        <f ca="1"/>
        <v>1.955408063476333E-2</v>
      </c>
      <c r="G2597" s="656">
        <v>1.95504031111517E-2</v>
      </c>
    </row>
    <row r="2598" spans="5:7">
      <c r="E2598" s="658">
        <f ca="1">_xll.meDateFromTenor(E2597,"1D","Following",$C$16)</f>
        <v>46919</v>
      </c>
      <c r="F2598" s="659">
        <f ca="1"/>
        <v>1.9556219459848839E-2</v>
      </c>
      <c r="G2598" s="656">
        <v>1.955743665162115E-2</v>
      </c>
    </row>
    <row r="2599" spans="5:7">
      <c r="E2599" s="658">
        <f ca="1">_xll.meDateFromTenor(E2598,"1D","Following",$C$16)</f>
        <v>46920</v>
      </c>
      <c r="F2599" s="659">
        <f ca="1"/>
        <v>1.9558356538973583E-2</v>
      </c>
      <c r="G2599" s="656">
        <v>1.9559774735764639E-2</v>
      </c>
    </row>
    <row r="2600" spans="5:7">
      <c r="E2600" s="658">
        <f ca="1">_xll.meDateFromTenor(E2599,"1D","Following",$C$16)</f>
        <v>46923</v>
      </c>
      <c r="F2600" s="659">
        <f ca="1"/>
        <v>1.9564757148415424E-2</v>
      </c>
      <c r="G2600" s="656">
        <v>1.9562109583541768E-2</v>
      </c>
    </row>
    <row r="2601" spans="5:7">
      <c r="E2601" s="658">
        <f ca="1">_xll.meDateFromTenor(E2600,"1D","Following",$C$16)</f>
        <v>46924</v>
      </c>
      <c r="F2601" s="659">
        <f ca="1"/>
        <v>1.9566887091529293E-2</v>
      </c>
      <c r="G2601" s="656">
        <v>1.956444118193662E-2</v>
      </c>
    </row>
    <row r="2602" spans="5:7">
      <c r="E2602" s="658">
        <f ca="1">_xll.meDateFromTenor(E2601,"1D","Following",$C$16)</f>
        <v>46925</v>
      </c>
      <c r="F2602" s="659">
        <f ca="1"/>
        <v>1.9569015212598476E-2</v>
      </c>
      <c r="G2602" s="656">
        <v>1.9566769517933284E-2</v>
      </c>
    </row>
    <row r="2603" spans="5:7">
      <c r="E2603" s="658">
        <f ca="1">_xll.meDateFromTenor(E2602,"1D","Following",$C$16)</f>
        <v>46926</v>
      </c>
      <c r="F2603" s="659">
        <f ca="1"/>
        <v>1.9571141496406198E-2</v>
      </c>
      <c r="G2603" s="656">
        <v>1.957373482137496E-2</v>
      </c>
    </row>
    <row r="2604" spans="5:7">
      <c r="E2604" s="658">
        <f ca="1">_xll.meDateFromTenor(E2603,"1D","Following",$C$16)</f>
        <v>46927</v>
      </c>
      <c r="F2604" s="659">
        <f ca="1"/>
        <v>1.9573265927735669E-2</v>
      </c>
      <c r="G2604" s="656">
        <v>1.9576049977619706E-2</v>
      </c>
    </row>
    <row r="2605" spans="5:7">
      <c r="E2605" s="658">
        <f ca="1">_xll.meDateFromTenor(E2604,"1D","Following",$C$16)</f>
        <v>46930</v>
      </c>
      <c r="F2605" s="659">
        <f ca="1"/>
        <v>1.9579627954686766E-2</v>
      </c>
      <c r="G2605" s="656">
        <v>1.9578361806386672E-2</v>
      </c>
    </row>
    <row r="2606" spans="5:7">
      <c r="E2606" s="658">
        <f ca="1">_xll.meDateFromTenor(E2605,"1D","Following",$C$16)</f>
        <v>46931</v>
      </c>
      <c r="F2606" s="659">
        <f ca="1"/>
        <v>1.9581744823935415E-2</v>
      </c>
      <c r="G2606" s="656">
        <v>1.9580670294659951E-2</v>
      </c>
    </row>
    <row r="2607" spans="5:7">
      <c r="E2607" s="658">
        <f ca="1">_xll.meDateFromTenor(E2606,"1D","Following",$C$16)</f>
        <v>46932</v>
      </c>
      <c r="F2607" s="659">
        <f ca="1"/>
        <v>1.9583859764621892E-2</v>
      </c>
      <c r="G2607" s="656">
        <v>1.9582975429423631E-2</v>
      </c>
    </row>
    <row r="2608" spans="5:7">
      <c r="E2608" s="658">
        <f ca="1">_xll.meDateFromTenor(E2607,"1D","Following",$C$16)</f>
        <v>46933</v>
      </c>
      <c r="F2608" s="659">
        <f ca="1"/>
        <v>1.9585972761529423E-2</v>
      </c>
      <c r="G2608" s="656">
        <v>1.9589870582497889E-2</v>
      </c>
    </row>
    <row r="2609" spans="5:7">
      <c r="E2609" s="658">
        <f ca="1">_xll.meDateFromTenor(E2608,"1D","Following",$C$16)</f>
        <v>46934</v>
      </c>
      <c r="F2609" s="659">
        <f ca="1"/>
        <v>1.9588083799441217E-2</v>
      </c>
      <c r="G2609" s="656">
        <v>1.959216217306399E-2</v>
      </c>
    </row>
    <row r="2610" spans="5:7">
      <c r="E2610" s="658">
        <f ca="1">_xll.meDateFromTenor(E2609,"1D","Following",$C$16)</f>
        <v>46937</v>
      </c>
      <c r="F2610" s="659">
        <f ca="1"/>
        <v>1.9594405007034355E-2</v>
      </c>
      <c r="G2610" s="656">
        <v>1.9594450345040912E-2</v>
      </c>
    </row>
    <row r="2611" spans="5:7">
      <c r="E2611" s="658">
        <f ca="1">_xll.meDateFromTenor(E2610,"1D","Following",$C$16)</f>
        <v>46938</v>
      </c>
      <c r="F2611" s="659">
        <f ca="1"/>
        <v>1.9596508056795376E-2</v>
      </c>
      <c r="G2611" s="656">
        <v>1.9596735085412733E-2</v>
      </c>
    </row>
    <row r="2612" spans="5:7">
      <c r="E2612" s="658">
        <f ca="1">_xll.meDateFromTenor(E2611,"1D","Following",$C$16)</f>
        <v>46939</v>
      </c>
      <c r="F2612" s="659">
        <f ca="1"/>
        <v>1.9598609071476741E-2</v>
      </c>
      <c r="G2612" s="656">
        <v>1.9599016381163546E-2</v>
      </c>
    </row>
    <row r="2613" spans="5:7">
      <c r="E2613" s="658">
        <f ca="1">_xll.meDateFromTenor(E2612,"1D","Following",$C$16)</f>
        <v>46940</v>
      </c>
      <c r="F2613" s="659">
        <f ca="1"/>
        <v>1.9600708035861669E-2</v>
      </c>
      <c r="G2613" s="656">
        <v>1.9605839470530718E-2</v>
      </c>
    </row>
    <row r="2614" spans="5:7">
      <c r="E2614" s="658">
        <f ca="1">_xll.meDateFromTenor(E2613,"1D","Following",$C$16)</f>
        <v>46941</v>
      </c>
      <c r="F2614" s="659">
        <f ca="1"/>
        <v>1.9602804934733379E-2</v>
      </c>
      <c r="G2614" s="656">
        <v>1.9608106857638304E-2</v>
      </c>
    </row>
    <row r="2615" spans="5:7">
      <c r="E2615" s="658">
        <f ca="1">_xll.meDateFromTenor(E2614,"1D","Following",$C$16)</f>
        <v>46944</v>
      </c>
      <c r="F2615" s="659">
        <f ca="1"/>
        <v>1.9609083086101344E-2</v>
      </c>
      <c r="G2615" s="656">
        <v>1.9610370735045297E-2</v>
      </c>
    </row>
    <row r="2616" spans="5:7">
      <c r="E2616" s="658">
        <f ca="1">_xll.meDateFromTenor(E2615,"1D","Following",$C$16)</f>
        <v>46945</v>
      </c>
      <c r="F2616" s="659">
        <f ca="1"/>
        <v>1.9611171570752334E-2</v>
      </c>
      <c r="G2616" s="656">
        <v>1.961263108973578E-2</v>
      </c>
    </row>
    <row r="2617" spans="5:7">
      <c r="E2617" s="658">
        <f ca="1">_xll.meDateFromTenor(E2616,"1D","Following",$C$16)</f>
        <v>46946</v>
      </c>
      <c r="F2617" s="659">
        <f ca="1"/>
        <v>1.9613257913806182E-2</v>
      </c>
      <c r="G2617" s="656">
        <v>1.961488790869383E-2</v>
      </c>
    </row>
    <row r="2618" spans="5:7">
      <c r="E2618" s="658">
        <f ca="1">_xll.meDateFromTenor(E2617,"1D","Following",$C$16)</f>
        <v>46947</v>
      </c>
      <c r="F2618" s="659">
        <f ca="1"/>
        <v>1.9615342100046111E-2</v>
      </c>
      <c r="G2618" s="656">
        <v>1.9621637021014268E-2</v>
      </c>
    </row>
    <row r="2619" spans="5:7">
      <c r="E2619" s="658">
        <f ca="1">_xll.meDateFromTenor(E2618,"1D","Following",$C$16)</f>
        <v>46948</v>
      </c>
      <c r="F2619" s="659">
        <f ca="1"/>
        <v>1.9617424114255329E-2</v>
      </c>
      <c r="G2619" s="656">
        <v>1.962387956688345E-2</v>
      </c>
    </row>
    <row r="2620" spans="5:7">
      <c r="E2620" s="658">
        <f ca="1">_xll.meDateFromTenor(E2619,"1D","Following",$C$16)</f>
        <v>46951</v>
      </c>
      <c r="F2620" s="659">
        <f ca="1"/>
        <v>1.962365697253091E-2</v>
      </c>
      <c r="G2620" s="656">
        <v>1.9626118511940627E-2</v>
      </c>
    </row>
    <row r="2621" spans="5:7">
      <c r="E2621" s="658">
        <f ca="1">_xll.meDateFromTenor(E2620,"1D","Following",$C$16)</f>
        <v>46952</v>
      </c>
      <c r="F2621" s="659">
        <f ca="1"/>
        <v>1.9625730146449461E-2</v>
      </c>
      <c r="G2621" s="656">
        <v>1.9628353843169879E-2</v>
      </c>
    </row>
    <row r="2622" spans="5:7">
      <c r="E2622" s="658">
        <f ca="1">_xll.meDateFromTenor(E2621,"1D","Following",$C$16)</f>
        <v>46953</v>
      </c>
      <c r="F2622" s="659">
        <f ca="1"/>
        <v>1.9627801072253388E-2</v>
      </c>
      <c r="G2622" s="656">
        <v>1.9630585547555292E-2</v>
      </c>
    </row>
    <row r="2623" spans="5:7">
      <c r="E2623" s="658">
        <f ca="1">_xll.meDateFromTenor(E2622,"1D","Following",$C$16)</f>
        <v>46954</v>
      </c>
      <c r="F2623" s="659">
        <f ca="1"/>
        <v>1.9629869734725906E-2</v>
      </c>
      <c r="G2623" s="656">
        <v>1.9637258769489335E-2</v>
      </c>
    </row>
    <row r="2624" spans="5:7">
      <c r="E2624" s="658">
        <f ca="1">_xll.meDateFromTenor(E2623,"1D","Following",$C$16)</f>
        <v>46955</v>
      </c>
      <c r="F2624" s="659">
        <f ca="1"/>
        <v>1.9631936118650231E-2</v>
      </c>
      <c r="G2624" s="656">
        <v>1.963947583634023E-2</v>
      </c>
    </row>
    <row r="2625" spans="5:7">
      <c r="E2625" s="658">
        <f ca="1">_xll.meDateFromTenor(E2624,"1D","Following",$C$16)</f>
        <v>46958</v>
      </c>
      <c r="F2625" s="659">
        <f ca="1"/>
        <v>1.9638121446966205E-2</v>
      </c>
      <c r="G2625" s="656">
        <v>1.9641689211267705E-2</v>
      </c>
    </row>
    <row r="2626" spans="5:7">
      <c r="E2626" s="658">
        <f ca="1">_xll.meDateFromTenor(E2625,"1D","Following",$C$16)</f>
        <v>46959</v>
      </c>
      <c r="F2626" s="659">
        <f ca="1"/>
        <v>1.9640178564529917E-2</v>
      </c>
      <c r="G2626" s="656">
        <v>1.9643898881255843E-2</v>
      </c>
    </row>
    <row r="2627" spans="5:7">
      <c r="E2627" s="658">
        <f ca="1">_xll.meDateFromTenor(E2626,"1D","Following",$C$16)</f>
        <v>46960</v>
      </c>
      <c r="F2627" s="659">
        <f ca="1"/>
        <v>1.9642233327461515E-2</v>
      </c>
      <c r="G2627" s="656">
        <v>1.9646104833288731E-2</v>
      </c>
    </row>
    <row r="2628" spans="5:7">
      <c r="E2628" s="658">
        <f ca="1">_xll.meDateFromTenor(E2627,"1D","Following",$C$16)</f>
        <v>46961</v>
      </c>
      <c r="F2628" s="659">
        <f ca="1"/>
        <v>1.9644285720544219E-2</v>
      </c>
      <c r="G2628" s="656">
        <v>1.9652700251496725E-2</v>
      </c>
    </row>
    <row r="2629" spans="5:7">
      <c r="E2629" s="658">
        <f ca="1">_xll.meDateFromTenor(E2628,"1D","Following",$C$16)</f>
        <v>46962</v>
      </c>
      <c r="F2629" s="659">
        <f ca="1"/>
        <v>1.9646335728561243E-2</v>
      </c>
      <c r="G2629" s="656">
        <v>1.9654891201549445E-2</v>
      </c>
    </row>
    <row r="2630" spans="5:7">
      <c r="E2630" s="658">
        <f ca="1">_xll.meDateFromTenor(E2629,"1D","Following",$C$16)</f>
        <v>46965</v>
      </c>
      <c r="F2630" s="659">
        <f ca="1"/>
        <v>1.9652471290050395E-2</v>
      </c>
      <c r="G2630" s="656">
        <v>1.9657078368567334E-2</v>
      </c>
    </row>
    <row r="2631" spans="5:7">
      <c r="E2631" s="658">
        <f ca="1">_xll.meDateFromTenor(E2630,"1D","Following",$C$16)</f>
        <v>46966</v>
      </c>
      <c r="F2631" s="659">
        <f ca="1"/>
        <v>1.9654511605636863E-2</v>
      </c>
      <c r="G2631" s="656">
        <v>1.9659261739534476E-2</v>
      </c>
    </row>
    <row r="2632" spans="5:7">
      <c r="E2632" s="658">
        <f ca="1">_xll.meDateFromTenor(E2631,"1D","Following",$C$16)</f>
        <v>46967</v>
      </c>
      <c r="F2632" s="659">
        <f ca="1"/>
        <v>1.9656549460073728E-2</v>
      </c>
      <c r="G2632" s="656">
        <v>1.9661441301434955E-2</v>
      </c>
    </row>
    <row r="2633" spans="5:7">
      <c r="E2633" s="658">
        <f ca="1">_xll.meDateFromTenor(E2632,"1D","Following",$C$16)</f>
        <v>46968</v>
      </c>
      <c r="F2633" s="659">
        <f ca="1"/>
        <v>1.9658584838144214E-2</v>
      </c>
      <c r="G2633" s="656">
        <v>1.9667957002577244E-2</v>
      </c>
    </row>
    <row r="2634" spans="5:7">
      <c r="E2634" s="658">
        <f ca="1">_xll.meDateFromTenor(E2633,"1D","Following",$C$16)</f>
        <v>46969</v>
      </c>
      <c r="F2634" s="659">
        <f ca="1"/>
        <v>1.9660617724631534E-2</v>
      </c>
      <c r="G2634" s="656">
        <v>1.9670121198051903E-2</v>
      </c>
    </row>
    <row r="2635" spans="5:7">
      <c r="E2635" s="658">
        <f ca="1">_xll.meDateFromTenor(E2634,"1D","Following",$C$16)</f>
        <v>46972</v>
      </c>
      <c r="F2635" s="659">
        <f ca="1"/>
        <v>1.9666701282426653E-2</v>
      </c>
      <c r="G2635" s="656">
        <v>1.967228151938032E-2</v>
      </c>
    </row>
    <row r="2636" spans="5:7">
      <c r="E2636" s="658">
        <f ca="1">_xll.meDateFromTenor(E2635,"1D","Following",$C$16)</f>
        <v>46973</v>
      </c>
      <c r="F2636" s="659">
        <f ca="1"/>
        <v>1.9668724050413467E-2</v>
      </c>
      <c r="G2636" s="656">
        <v>1.9674437953546581E-2</v>
      </c>
    </row>
    <row r="2637" spans="5:7">
      <c r="E2637" s="658">
        <f ca="1">_xll.meDateFromTenor(E2636,"1D","Following",$C$16)</f>
        <v>46974</v>
      </c>
      <c r="F2637" s="659">
        <f ca="1"/>
        <v>1.9670744250733195E-2</v>
      </c>
      <c r="G2637" s="656">
        <v>1.9676590487534763E-2</v>
      </c>
    </row>
    <row r="2638" spans="5:7">
      <c r="E2638" s="658">
        <f ca="1">_xll.meDateFromTenor(E2637,"1D","Following",$C$16)</f>
        <v>46975</v>
      </c>
      <c r="F2638" s="659">
        <f ca="1"/>
        <v>1.9672761868169058E-2</v>
      </c>
      <c r="G2638" s="656">
        <v>1.9683024558271693E-2</v>
      </c>
    </row>
    <row r="2639" spans="5:7">
      <c r="E2639" s="658">
        <f ca="1">_xll.meDateFromTenor(E2638,"1D","Following",$C$16)</f>
        <v>46976</v>
      </c>
      <c r="F2639" s="659">
        <f ca="1"/>
        <v>1.9674776887504266E-2</v>
      </c>
      <c r="G2639" s="656">
        <v>1.9685161361388408E-2</v>
      </c>
    </row>
    <row r="2640" spans="5:7">
      <c r="E2640" s="658">
        <f ca="1">_xll.meDateFromTenor(E2639,"1D","Following",$C$16)</f>
        <v>46979</v>
      </c>
      <c r="F2640" s="659">
        <f ca="1"/>
        <v>1.9680806204738135E-2</v>
      </c>
      <c r="G2640" s="656">
        <v>1.9687294199247467E-2</v>
      </c>
    </row>
    <row r="2641" spans="5:7">
      <c r="E2641" s="658">
        <f ca="1">_xll.meDateFromTenor(E2640,"1D","Following",$C$16)</f>
        <v>46980</v>
      </c>
      <c r="F2641" s="659">
        <f ca="1"/>
        <v>1.968281067950289E-2</v>
      </c>
      <c r="G2641" s="656">
        <v>1.968942305883296E-2</v>
      </c>
    </row>
    <row r="2642" spans="5:7">
      <c r="E2642" s="658">
        <f ca="1">_xll.meDateFromTenor(E2641,"1D","Following",$C$16)</f>
        <v>46981</v>
      </c>
      <c r="F2642" s="659">
        <f ca="1"/>
        <v>1.9684812480083077E-2</v>
      </c>
      <c r="G2642" s="656">
        <v>1.9691547927128957E-2</v>
      </c>
    </row>
    <row r="2643" spans="5:7">
      <c r="E2643" s="658">
        <f ca="1">_xll.meDateFromTenor(E2642,"1D","Following",$C$16)</f>
        <v>46982</v>
      </c>
      <c r="F2643" s="659">
        <f ca="1"/>
        <v>1.9686811591261909E-2</v>
      </c>
      <c r="G2643" s="656">
        <v>1.9697898454120871E-2</v>
      </c>
    </row>
    <row r="2644" spans="5:7">
      <c r="E2644" s="658">
        <f ca="1">_xll.meDateFromTenor(E2643,"1D","Following",$C$16)</f>
        <v>46983</v>
      </c>
      <c r="F2644" s="659">
        <f ca="1"/>
        <v>1.9688807997822601E-2</v>
      </c>
      <c r="G2644" s="656">
        <v>1.9700007227099758E-2</v>
      </c>
    </row>
    <row r="2645" spans="5:7">
      <c r="E2645" s="658">
        <f ca="1">_xll.meDateFromTenor(E2644,"1D","Following",$C$16)</f>
        <v>46986</v>
      </c>
      <c r="F2645" s="659">
        <f ca="1"/>
        <v>1.9694780837627997E-2</v>
      </c>
      <c r="G2645" s="656">
        <v>1.9702111943709577E-2</v>
      </c>
    </row>
    <row r="2646" spans="5:7">
      <c r="E2646" s="658">
        <f ca="1">_xll.meDateFromTenor(E2645,"1D","Following",$C$16)</f>
        <v>46987</v>
      </c>
      <c r="F2646" s="659">
        <f ca="1"/>
        <v>1.9696766273548296E-2</v>
      </c>
      <c r="G2646" s="656">
        <v>1.9704212590934415E-2</v>
      </c>
    </row>
    <row r="2647" spans="5:7">
      <c r="E2647" s="658">
        <f ca="1">_xll.meDateFromTenor(E2646,"1D","Following",$C$16)</f>
        <v>46988</v>
      </c>
      <c r="F2647" s="659">
        <f ca="1"/>
        <v>1.9698748928766534E-2</v>
      </c>
      <c r="G2647" s="656">
        <v>1.9706309155758349E-2</v>
      </c>
    </row>
    <row r="2648" spans="5:7">
      <c r="E2648" s="658">
        <f ca="1">_xll.meDateFromTenor(E2647,"1D","Following",$C$16)</f>
        <v>46989</v>
      </c>
      <c r="F2648" s="659">
        <f ca="1"/>
        <v>1.9700728788065926E-2</v>
      </c>
      <c r="G2648" s="656">
        <v>1.9712574225665594E-2</v>
      </c>
    </row>
    <row r="2649" spans="5:7">
      <c r="E2649" s="658">
        <f ca="1">_xll.meDateFromTenor(E2648,"1D","Following",$C$16)</f>
        <v>46990</v>
      </c>
      <c r="F2649" s="659">
        <f ca="1"/>
        <v>1.9702705836229698E-2</v>
      </c>
      <c r="G2649" s="656">
        <v>1.9714654330726764E-2</v>
      </c>
    </row>
    <row r="2650" spans="5:7">
      <c r="E2650" s="658">
        <f ca="1">_xll.meDateFromTenor(E2649,"1D","Following",$C$16)</f>
        <v>46993</v>
      </c>
      <c r="F2650" s="659">
        <f ca="1"/>
        <v>1.9708619961739417E-2</v>
      </c>
      <c r="G2650" s="656">
        <v>1.971673028830746E-2</v>
      </c>
    </row>
    <row r="2651" spans="5:7">
      <c r="E2651" s="658">
        <f ca="1">_xll.meDateFromTenor(E2650,"1D","Following",$C$16)</f>
        <v>46994</v>
      </c>
      <c r="F2651" s="659">
        <f ca="1"/>
        <v>1.9710585613192846E-2</v>
      </c>
      <c r="G2651" s="656">
        <v>1.9718802085391757E-2</v>
      </c>
    </row>
    <row r="2652" spans="5:7">
      <c r="E2652" s="658">
        <f ca="1">_xll.meDateFromTenor(E2651,"1D","Following",$C$16)</f>
        <v>46995</v>
      </c>
      <c r="F2652" s="659">
        <f ca="1"/>
        <v>1.9712548377426732E-2</v>
      </c>
      <c r="G2652" s="656">
        <v>1.9720869708963737E-2</v>
      </c>
    </row>
    <row r="2653" spans="5:7">
      <c r="E2653" s="658">
        <f ca="1">_xll.meDateFromTenor(E2652,"1D","Following",$C$16)</f>
        <v>46996</v>
      </c>
      <c r="F2653" s="659">
        <f ca="1"/>
        <v>1.9714508239224288E-2</v>
      </c>
      <c r="G2653" s="656">
        <v>1.9727047408446653E-2</v>
      </c>
    </row>
    <row r="2654" spans="5:7">
      <c r="E2654" s="658">
        <f ca="1">_xll.meDateFromTenor(E2653,"1D","Following",$C$16)</f>
        <v>46997</v>
      </c>
      <c r="F2654" s="659">
        <f ca="1"/>
        <v>1.9716465183368732E-2</v>
      </c>
      <c r="G2654" s="656">
        <v>1.9729098207810228E-2</v>
      </c>
    </row>
    <row r="2655" spans="5:7">
      <c r="E2655" s="658">
        <f ca="1">_xll.meDateFromTenor(E2654,"1D","Following",$C$16)</f>
        <v>47000</v>
      </c>
      <c r="F2655" s="659">
        <f ca="1"/>
        <v>1.9722318357715551E-2</v>
      </c>
      <c r="G2655" s="656">
        <v>1.9731144768581909E-2</v>
      </c>
    </row>
    <row r="2656" spans="5:7">
      <c r="E2656" s="658">
        <f ca="1">_xll.meDateFromTenor(E2655,"1D","Following",$C$16)</f>
        <v>47001</v>
      </c>
      <c r="F2656" s="659">
        <f ca="1"/>
        <v>1.9724263479079705E-2</v>
      </c>
      <c r="G2656" s="656">
        <v>1.9733187077745774E-2</v>
      </c>
    </row>
    <row r="2657" spans="5:7">
      <c r="E2657" s="658">
        <f ca="1">_xll.meDateFromTenor(E2656,"1D","Following",$C$16)</f>
        <v>47002</v>
      </c>
      <c r="F2657" s="659">
        <f ca="1"/>
        <v>1.9726205606706834E-2</v>
      </c>
      <c r="G2657" s="656">
        <v>1.9735225122285923E-2</v>
      </c>
    </row>
    <row r="2658" spans="5:7">
      <c r="E2658" s="658">
        <f ca="1">_xll.meDateFromTenor(E2657,"1D","Following",$C$16)</f>
        <v>47003</v>
      </c>
      <c r="F2658" s="659">
        <f ca="1"/>
        <v>1.9728144725380148E-2</v>
      </c>
      <c r="G2658" s="656">
        <v>1.9741313538004856E-2</v>
      </c>
    </row>
    <row r="2659" spans="5:7">
      <c r="E2659" s="658">
        <f ca="1">_xll.meDateFromTenor(E2658,"1D","Following",$C$16)</f>
        <v>47004</v>
      </c>
      <c r="F2659" s="659">
        <f ca="1"/>
        <v>1.9730080819882857E-2</v>
      </c>
      <c r="G2659" s="656">
        <v>1.9743334393890945E-2</v>
      </c>
    </row>
    <row r="2660" spans="5:7">
      <c r="E2660" s="658">
        <f ca="1">_xll.meDateFromTenor(E2659,"1D","Following",$C$16)</f>
        <v>47007</v>
      </c>
      <c r="F2660" s="659">
        <f ca="1"/>
        <v>1.9735870806199565E-2</v>
      </c>
      <c r="G2660" s="656">
        <v>1.9745350920073727E-2</v>
      </c>
    </row>
    <row r="2661" spans="5:7">
      <c r="E2661" s="658">
        <f ca="1">_xll.meDateFromTenor(E2660,"1D","Following",$C$16)</f>
        <v>47008</v>
      </c>
      <c r="F2661" s="659">
        <f ca="1"/>
        <v>1.9737794651852044E-2</v>
      </c>
      <c r="G2661" s="656">
        <v>1.9747363103537283E-2</v>
      </c>
    </row>
    <row r="2662" spans="5:7">
      <c r="E2662" s="658">
        <f ca="1">_xll.meDateFromTenor(E2661,"1D","Following",$C$16)</f>
        <v>47009</v>
      </c>
      <c r="F2662" s="659">
        <f ca="1"/>
        <v>1.9739715397250009E-2</v>
      </c>
      <c r="G2662" s="656">
        <v>1.9749370931265716E-2</v>
      </c>
    </row>
    <row r="2663" spans="5:7">
      <c r="E2663" s="658">
        <f ca="1">_xll.meDateFromTenor(E2662,"1D","Following",$C$16)</f>
        <v>47010</v>
      </c>
      <c r="F2663" s="659">
        <f ca="1"/>
        <v>1.9741633027176669E-2</v>
      </c>
      <c r="G2663" s="656">
        <v>1.9755368149881009E-2</v>
      </c>
    </row>
    <row r="2664" spans="5:7">
      <c r="E2664" s="658">
        <f ca="1">_xll.meDateFromTenor(E2663,"1D","Following",$C$16)</f>
        <v>47011</v>
      </c>
      <c r="F2664" s="659">
        <f ca="1"/>
        <v>1.9743547526415245E-2</v>
      </c>
      <c r="G2664" s="656">
        <v>1.9757358424509725E-2</v>
      </c>
    </row>
    <row r="2665" spans="5:7">
      <c r="E2665" s="658">
        <f ca="1">_xll.meDateFromTenor(E2664,"1D","Following",$C$16)</f>
        <v>47014</v>
      </c>
      <c r="F2665" s="659">
        <f ca="1"/>
        <v>1.9749272087834623E-2</v>
      </c>
      <c r="G2665" s="656">
        <v>1.9759344278323727E-2</v>
      </c>
    </row>
    <row r="2666" spans="5:7">
      <c r="E2666" s="658">
        <f ca="1">_xll.meDateFromTenor(E2665,"1D","Following",$C$16)</f>
        <v>47015</v>
      </c>
      <c r="F2666" s="659">
        <f ca="1"/>
        <v>1.9751173912153017E-2</v>
      </c>
      <c r="G2666" s="656">
        <v>1.9761325698307096E-2</v>
      </c>
    </row>
    <row r="2667" spans="5:7">
      <c r="E2667" s="658">
        <f ca="1">_xll.meDateFromTenor(E2666,"1D","Following",$C$16)</f>
        <v>47016</v>
      </c>
      <c r="F2667" s="659">
        <f ca="1"/>
        <v>1.9753072529699409E-2</v>
      </c>
      <c r="G2667" s="656">
        <v>1.9763302671443911E-2</v>
      </c>
    </row>
    <row r="2668" spans="5:7">
      <c r="E2668" s="658">
        <f ca="1">_xll.meDateFromTenor(E2667,"1D","Following",$C$16)</f>
        <v>47017</v>
      </c>
      <c r="F2668" s="659">
        <f ca="1"/>
        <v>1.9754967925257015E-2</v>
      </c>
      <c r="G2668" s="656">
        <v>1.9769206779615911E-2</v>
      </c>
    </row>
    <row r="2669" spans="5:7">
      <c r="E2669" s="658">
        <f ca="1">_xll.meDateFromTenor(E2668,"1D","Following",$C$16)</f>
        <v>47018</v>
      </c>
      <c r="F2669" s="659">
        <f ca="1"/>
        <v>1.9756860083609051E-2</v>
      </c>
      <c r="G2669" s="656">
        <v>1.9771165835207376E-2</v>
      </c>
    </row>
    <row r="2670" spans="5:7">
      <c r="E2670" s="658">
        <f ca="1">_xll.meDateFromTenor(E2669,"1D","Following",$C$16)</f>
        <v>47021</v>
      </c>
      <c r="F2670" s="659">
        <f ca="1"/>
        <v>1.9762516983263884E-2</v>
      </c>
      <c r="G2670" s="656">
        <v>1.9773120378872709E-2</v>
      </c>
    </row>
    <row r="2671" spans="5:7">
      <c r="E2671" s="658">
        <f ca="1">_xll.meDateFromTenor(E2670,"1D","Following",$C$16)</f>
        <v>47022</v>
      </c>
      <c r="F2671" s="659">
        <f ca="1"/>
        <v>1.9764396040625794E-2</v>
      </c>
      <c r="G2671" s="656">
        <v>1.9775070397595997E-2</v>
      </c>
    </row>
    <row r="2672" spans="5:7">
      <c r="E2672" s="658">
        <f ca="1">_xll.meDateFromTenor(E2671,"1D","Following",$C$16)</f>
        <v>47023</v>
      </c>
      <c r="F2672" s="659">
        <f ca="1"/>
        <v>1.9766271784698215E-2</v>
      </c>
      <c r="G2672" s="656">
        <v>1.9777015878361323E-2</v>
      </c>
    </row>
    <row r="2673" spans="5:7">
      <c r="E2673" s="658">
        <f ca="1">_xll.meDateFromTenor(E2672,"1D","Following",$C$16)</f>
        <v>47024</v>
      </c>
      <c r="F2673" s="659">
        <f ca="1"/>
        <v>1.9768144200264359E-2</v>
      </c>
      <c r="G2673" s="656">
        <v>1.9782824962750373E-2</v>
      </c>
    </row>
    <row r="2674" spans="5:7">
      <c r="E2674" s="658">
        <f ca="1">_xll.meDateFromTenor(E2673,"1D","Following",$C$16)</f>
        <v>47025</v>
      </c>
      <c r="F2674" s="659">
        <f ca="1"/>
        <v>1.9770013272107444E-2</v>
      </c>
      <c r="G2674" s="656">
        <v>1.9784752161524696E-2</v>
      </c>
    </row>
    <row r="2675" spans="5:7">
      <c r="E2675" s="658">
        <f ca="1">_xll.meDateFromTenor(E2674,"1D","Following",$C$16)</f>
        <v>47028</v>
      </c>
      <c r="F2675" s="659">
        <f ca="1"/>
        <v>1.9775600273130519E-2</v>
      </c>
      <c r="G2675" s="656">
        <v>1.9786674757261473E-2</v>
      </c>
    </row>
    <row r="2676" spans="5:7">
      <c r="E2676" s="658">
        <f ca="1">_xll.meDateFromTenor(E2675,"1D","Following",$C$16)</f>
        <v>47029</v>
      </c>
      <c r="F2676" s="659">
        <f ca="1"/>
        <v>1.9777455817913531E-2</v>
      </c>
      <c r="G2676" s="656">
        <v>1.9788592736944794E-2</v>
      </c>
    </row>
    <row r="2677" spans="5:7">
      <c r="E2677" s="658">
        <f ca="1">_xll.meDateFromTenor(E2676,"1D","Following",$C$16)</f>
        <v>47030</v>
      </c>
      <c r="F2677" s="659">
        <f ca="1"/>
        <v>1.9779307942889571E-2</v>
      </c>
      <c r="G2677" s="656">
        <v>1.9790506087558744E-2</v>
      </c>
    </row>
    <row r="2678" spans="5:7">
      <c r="E2678" s="658">
        <f ca="1">_xll.meDateFromTenor(E2677,"1D","Following",$C$16)</f>
        <v>47031</v>
      </c>
      <c r="F2678" s="659">
        <f ca="1"/>
        <v>1.9781156632841846E-2</v>
      </c>
      <c r="G2678" s="656">
        <v>1.9796218234825195E-2</v>
      </c>
    </row>
    <row r="2679" spans="5:7">
      <c r="E2679" s="658">
        <f ca="1">_xll.meDateFromTenor(E2678,"1D","Following",$C$16)</f>
        <v>47032</v>
      </c>
      <c r="F2679" s="659">
        <f ca="1"/>
        <v>1.9783001872553586E-2</v>
      </c>
      <c r="G2679" s="656">
        <v>1.9798112939002483E-2</v>
      </c>
    </row>
    <row r="2680" spans="5:7">
      <c r="E2680" s="658">
        <f ca="1">_xll.meDateFromTenor(E2679,"1D","Following",$C$16)</f>
        <v>47035</v>
      </c>
      <c r="F2680" s="659">
        <f ca="1"/>
        <v>1.9788516738077681E-2</v>
      </c>
      <c r="G2680" s="656">
        <v>1.9800002949030823E-2</v>
      </c>
    </row>
    <row r="2681" spans="5:7">
      <c r="E2681" s="658">
        <f ca="1">_xll.meDateFromTenor(E2680,"1D","Following",$C$16)</f>
        <v>47036</v>
      </c>
      <c r="F2681" s="659">
        <f ca="1"/>
        <v>1.9790348024659402E-2</v>
      </c>
      <c r="G2681" s="656">
        <v>1.9801888251894301E-2</v>
      </c>
    </row>
    <row r="2682" spans="5:7">
      <c r="E2682" s="658">
        <f ca="1">_xll.meDateFromTenor(E2681,"1D","Following",$C$16)</f>
        <v>47037</v>
      </c>
      <c r="F2682" s="659">
        <f ca="1"/>
        <v>1.9792175784916658E-2</v>
      </c>
      <c r="G2682" s="656">
        <v>1.9803768834576987E-2</v>
      </c>
    </row>
    <row r="2683" spans="5:7">
      <c r="E2683" s="658">
        <f ca="1">_xll.meDateFromTenor(E2682,"1D","Following",$C$16)</f>
        <v>47038</v>
      </c>
      <c r="F2683" s="659">
        <f ca="1"/>
        <v>1.9794000003632659E-2</v>
      </c>
      <c r="G2683" s="656">
        <v>1.980938213138117E-2</v>
      </c>
    </row>
    <row r="2684" spans="5:7">
      <c r="E2684" s="658">
        <f ca="1">_xll.meDateFromTenor(E2683,"1D","Following",$C$16)</f>
        <v>47039</v>
      </c>
      <c r="F2684" s="659">
        <f ca="1"/>
        <v>1.9795820665590637E-2</v>
      </c>
      <c r="G2684" s="656">
        <v>1.9811243703181557E-2</v>
      </c>
    </row>
    <row r="2685" spans="5:7">
      <c r="E2685" s="658">
        <f ca="1">_xll.meDateFromTenor(E2684,"1D","Following",$C$16)</f>
        <v>47042</v>
      </c>
      <c r="F2685" s="659">
        <f ca="1"/>
        <v>1.9801261158748546E-2</v>
      </c>
      <c r="G2685" s="656">
        <v>1.9813100489721572E-2</v>
      </c>
    </row>
    <row r="2686" spans="5:7">
      <c r="E2686" s="658">
        <f ca="1">_xll.meDateFromTenor(E2685,"1D","Following",$C$16)</f>
        <v>47043</v>
      </c>
      <c r="F2686" s="659">
        <f ca="1"/>
        <v>1.9803067441506561E-2</v>
      </c>
      <c r="G2686" s="656">
        <v>1.9814952477985315E-2</v>
      </c>
    </row>
    <row r="2687" spans="5:7">
      <c r="E2687" s="658">
        <f ca="1">_xll.meDateFromTenor(E2686,"1D","Following",$C$16)</f>
        <v>47044</v>
      </c>
      <c r="F2687" s="659">
        <f ca="1"/>
        <v>1.9804870091422625E-2</v>
      </c>
      <c r="G2687" s="656">
        <v>1.9816799654956845E-2</v>
      </c>
    </row>
    <row r="2688" spans="5:7">
      <c r="E2688" s="658">
        <f ca="1">_xll.meDateFromTenor(E2687,"1D","Following",$C$16)</f>
        <v>47045</v>
      </c>
      <c r="F2688" s="659">
        <f ca="1"/>
        <v>1.9806669093279956E-2</v>
      </c>
      <c r="G2688" s="656">
        <v>1.9822312187959119E-2</v>
      </c>
    </row>
    <row r="2689" spans="5:7">
      <c r="E2689" s="658">
        <f ca="1">_xll.meDateFromTenor(E2688,"1D","Following",$C$16)</f>
        <v>47046</v>
      </c>
      <c r="F2689" s="659">
        <f ca="1"/>
        <v>1.980846443186177E-2</v>
      </c>
      <c r="G2689" s="656">
        <v>1.9824139989602706E-2</v>
      </c>
    </row>
    <row r="2690" spans="5:7">
      <c r="E2690" s="658">
        <f ca="1">_xll.meDateFromTenor(E2689,"1D","Following",$C$16)</f>
        <v>47049</v>
      </c>
      <c r="F2690" s="659">
        <f ca="1"/>
        <v>1.9813828315786267E-2</v>
      </c>
      <c r="G2690" s="656">
        <v>1.9825962914874515E-2</v>
      </c>
    </row>
    <row r="2691" spans="5:7">
      <c r="E2691" s="658">
        <f ca="1">_xll.meDateFromTenor(E2690,"1D","Following",$C$16)</f>
        <v>47050</v>
      </c>
      <c r="F2691" s="659">
        <f ca="1"/>
        <v>1.9815608849098172E-2</v>
      </c>
      <c r="G2691" s="656">
        <v>1.9827780950758635E-2</v>
      </c>
    </row>
    <row r="2692" spans="5:7">
      <c r="E2692" s="658">
        <f ca="1">_xll.meDateFromTenor(E2691,"1D","Following",$C$16)</f>
        <v>47051</v>
      </c>
      <c r="F2692" s="659">
        <f ca="1"/>
        <v>1.9817385643050644E-2</v>
      </c>
      <c r="G2692" s="656">
        <v>1.9829594084239139E-2</v>
      </c>
    </row>
    <row r="2693" spans="5:7">
      <c r="E2693" s="658">
        <f ca="1">_xll.meDateFromTenor(E2692,"1D","Following",$C$16)</f>
        <v>47052</v>
      </c>
      <c r="F2693" s="659">
        <f ca="1"/>
        <v>1.9819158682426893E-2</v>
      </c>
      <c r="G2693" s="656">
        <v>1.9835003940099835E-2</v>
      </c>
    </row>
    <row r="2694" spans="5:7">
      <c r="E2694" s="658">
        <f ca="1">_xll.meDateFromTenor(E2693,"1D","Following",$C$16)</f>
        <v>47053</v>
      </c>
      <c r="F2694" s="659">
        <f ca="1"/>
        <v>1.9820927952010143E-2</v>
      </c>
      <c r="G2694" s="656">
        <v>1.9836797333806742E-2</v>
      </c>
    </row>
    <row r="2695" spans="5:7">
      <c r="E2695" s="658">
        <f ca="1">_xll.meDateFromTenor(E2694,"1D","Following",$C$16)</f>
        <v>47056</v>
      </c>
      <c r="F2695" s="659">
        <f ca="1"/>
        <v>1.9826212989834016E-2</v>
      </c>
      <c r="G2695" s="656">
        <v>1.9838585760030458E-2</v>
      </c>
    </row>
    <row r="2696" spans="5:7">
      <c r="E2696" s="658">
        <f ca="1">_xll.meDateFromTenor(E2695,"1D","Following",$C$16)</f>
        <v>47057</v>
      </c>
      <c r="F2696" s="659">
        <f ca="1"/>
        <v>1.982796702807741E-2</v>
      </c>
      <c r="G2696" s="656">
        <v>1.9840369205755069E-2</v>
      </c>
    </row>
    <row r="2697" spans="5:7">
      <c r="E2697" s="658">
        <f ca="1">_xll.meDateFromTenor(E2696,"1D","Following",$C$16)</f>
        <v>47058</v>
      </c>
      <c r="F2697" s="659">
        <f ca="1"/>
        <v>1.9829717220443879E-2</v>
      </c>
      <c r="G2697" s="656">
        <v>1.9842147657964652E-2</v>
      </c>
    </row>
    <row r="2698" spans="5:7">
      <c r="E2698" s="658">
        <f ca="1">_xll.meDateFromTenor(E2697,"1D","Following",$C$16)</f>
        <v>47059</v>
      </c>
      <c r="F2698" s="659">
        <f ca="1"/>
        <v>1.9831463551716638E-2</v>
      </c>
      <c r="G2698" s="656">
        <v>1.9847452923344125E-2</v>
      </c>
    </row>
    <row r="2699" spans="5:7">
      <c r="E2699" s="658">
        <f ca="1">_xll.meDateFromTenor(E2698,"1D","Following",$C$16)</f>
        <v>47060</v>
      </c>
      <c r="F2699" s="659">
        <f ca="1"/>
        <v>1.9833206006678917E-2</v>
      </c>
      <c r="G2699" s="656">
        <v>1.9849211271334464E-2</v>
      </c>
    </row>
    <row r="2700" spans="5:7">
      <c r="E2700" s="658">
        <f ca="1">_xll.meDateFromTenor(E2699,"1D","Following",$C$16)</f>
        <v>47063</v>
      </c>
      <c r="F2700" s="659">
        <f ca="1"/>
        <v>1.9838409961534954E-2</v>
      </c>
      <c r="G2700" s="656">
        <v>1.9850964560730204E-2</v>
      </c>
    </row>
    <row r="2701" spans="5:7">
      <c r="E2701" s="658">
        <f ca="1">_xll.meDateFromTenor(E2700,"1D","Following",$C$16)</f>
        <v>47064</v>
      </c>
      <c r="F2701" s="659">
        <f ca="1"/>
        <v>1.9840136759087426E-2</v>
      </c>
      <c r="G2701" s="656">
        <v>1.9852712778515424E-2</v>
      </c>
    </row>
    <row r="2702" spans="5:7">
      <c r="E2702" s="658">
        <f ca="1">_xll.meDateFromTenor(E2701,"1D","Following",$C$16)</f>
        <v>47065</v>
      </c>
      <c r="F2702" s="659">
        <f ca="1"/>
        <v>1.984185960424549E-2</v>
      </c>
      <c r="G2702" s="656">
        <v>1.9854455911674205E-2</v>
      </c>
    </row>
    <row r="2703" spans="5:7">
      <c r="E2703" s="658">
        <f ca="1">_xll.meDateFromTenor(E2702,"1D","Following",$C$16)</f>
        <v>47066</v>
      </c>
      <c r="F2703" s="659">
        <f ca="1"/>
        <v>1.9843578486561899E-2</v>
      </c>
      <c r="G2703" s="656">
        <v>1.9859654823167684E-2</v>
      </c>
    </row>
    <row r="2704" spans="5:7">
      <c r="E2704" s="658">
        <f ca="1">_xll.meDateFromTenor(E2703,"1D","Following",$C$16)</f>
        <v>47067</v>
      </c>
      <c r="F2704" s="659">
        <f ca="1"/>
        <v>1.9845293414667547E-2</v>
      </c>
      <c r="G2704" s="656">
        <v>1.9861377693127909E-2</v>
      </c>
    </row>
    <row r="2705" spans="5:7">
      <c r="E2705" s="658">
        <f ca="1">_xll.meDateFromTenor(E2704,"1D","Following",$C$16)</f>
        <v>47070</v>
      </c>
      <c r="F2705" s="659">
        <f ca="1"/>
        <v>1.985041460772426E-2</v>
      </c>
      <c r="G2705" s="656">
        <v>1.9863095546657571E-2</v>
      </c>
    </row>
    <row r="2706" spans="5:7">
      <c r="E2706" s="658">
        <f ca="1">_xll.meDateFromTenor(E2705,"1D","Following",$C$16)</f>
        <v>47071</v>
      </c>
      <c r="F2706" s="659">
        <f ca="1"/>
        <v>1.98521138529912E-2</v>
      </c>
      <c r="G2706" s="656">
        <v>1.9864808404059631E-2</v>
      </c>
    </row>
    <row r="2707" spans="5:7">
      <c r="E2707" s="658">
        <f ca="1">_xll.meDateFromTenor(E2706,"1D","Following",$C$16)</f>
        <v>47072</v>
      </c>
      <c r="F2707" s="659">
        <f ca="1"/>
        <v>1.9853809211049546E-2</v>
      </c>
      <c r="G2707" s="656">
        <v>1.9866516285637032E-2</v>
      </c>
    </row>
    <row r="2708" spans="5:7">
      <c r="E2708" s="658">
        <f ca="1">_xll.meDateFromTenor(E2707,"1D","Following",$C$16)</f>
        <v>47073</v>
      </c>
      <c r="F2708" s="659">
        <f ca="1"/>
        <v>1.9855500695299729E-2</v>
      </c>
      <c r="G2708" s="656">
        <v>1.9871610278450788E-2</v>
      </c>
    </row>
    <row r="2709" spans="5:7">
      <c r="E2709" s="658">
        <f ca="1">_xll.meDateFromTenor(E2708,"1D","Following",$C$16)</f>
        <v>47074</v>
      </c>
      <c r="F2709" s="659">
        <f ca="1"/>
        <v>1.9857188319142186E-2</v>
      </c>
      <c r="G2709" s="656">
        <v>1.9873298459759051E-2</v>
      </c>
    </row>
    <row r="2710" spans="5:7">
      <c r="E2710" s="658">
        <f ca="1">_xll.meDateFromTenor(E2709,"1D","Following",$C$16)</f>
        <v>47077</v>
      </c>
      <c r="F2710" s="659">
        <f ca="1"/>
        <v>1.9862228162227519E-2</v>
      </c>
      <c r="G2710" s="656">
        <v>1.9874981766757397E-2</v>
      </c>
    </row>
    <row r="2711" spans="5:7">
      <c r="E2711" s="658">
        <f ca="1">_xll.meDateFromTenor(E2710,"1D","Following",$C$16)</f>
        <v>47078</v>
      </c>
      <c r="F2711" s="659">
        <f ca="1"/>
        <v>1.9863900478443396E-2</v>
      </c>
      <c r="G2711" s="656">
        <v>1.9876660219748783E-2</v>
      </c>
    </row>
    <row r="2712" spans="5:7">
      <c r="E2712" s="658">
        <f ca="1">_xll.meDateFromTenor(E2711,"1D","Following",$C$16)</f>
        <v>47079</v>
      </c>
      <c r="F2712" s="659">
        <f ca="1"/>
        <v>1.9865569001253712E-2</v>
      </c>
      <c r="G2712" s="656">
        <v>1.9878333839036155E-2</v>
      </c>
    </row>
    <row r="2713" spans="5:7">
      <c r="E2713" s="658">
        <f ca="1">_xll.meDateFromTenor(E2712,"1D","Following",$C$16)</f>
        <v>47080</v>
      </c>
      <c r="F2713" s="659">
        <f ca="1"/>
        <v>1.9867233744058899E-2</v>
      </c>
      <c r="G2713" s="656">
        <v>1.9883325897703662E-2</v>
      </c>
    </row>
    <row r="2714" spans="5:7">
      <c r="E2714" s="658">
        <f ca="1">_xll.meDateFromTenor(E2713,"1D","Following",$C$16)</f>
        <v>47081</v>
      </c>
      <c r="F2714" s="659">
        <f ca="1"/>
        <v>1.9868894720259388E-2</v>
      </c>
      <c r="G2714" s="656">
        <v>1.9884980385204459E-2</v>
      </c>
    </row>
    <row r="2715" spans="5:7">
      <c r="E2715" s="658">
        <f ca="1">_xll.meDateFromTenor(E2714,"1D","Following",$C$16)</f>
        <v>47084</v>
      </c>
      <c r="F2715" s="659">
        <f ca="1"/>
        <v>1.9873855183237015E-2</v>
      </c>
      <c r="G2715" s="656">
        <v>1.9886630140515987E-2</v>
      </c>
    </row>
    <row r="2716" spans="5:7">
      <c r="E2716" s="658">
        <f ca="1">_xll.meDateFromTenor(E2715,"1D","Following",$C$16)</f>
        <v>47085</v>
      </c>
      <c r="F2716" s="659">
        <f ca="1"/>
        <v>1.9875501227023053E-2</v>
      </c>
      <c r="G2716" s="656">
        <v>1.9888275183941196E-2</v>
      </c>
    </row>
    <row r="2717" spans="5:7">
      <c r="E2717" s="658">
        <f ca="1">_xll.meDateFromTenor(E2716,"1D","Following",$C$16)</f>
        <v>47086</v>
      </c>
      <c r="F2717" s="659">
        <f ca="1"/>
        <v>1.9877143571206561E-2</v>
      </c>
      <c r="G2717" s="656">
        <v>1.9889915535783027E-2</v>
      </c>
    </row>
    <row r="2718" spans="5:7">
      <c r="E2718" s="658">
        <f ca="1">_xll.meDateFromTenor(E2717,"1D","Following",$C$16)</f>
        <v>47087</v>
      </c>
      <c r="F2718" s="659">
        <f ca="1"/>
        <v>1.9878782229187975E-2</v>
      </c>
      <c r="G2718" s="656">
        <v>1.9894808644837773E-2</v>
      </c>
    </row>
    <row r="2719" spans="5:7">
      <c r="E2719" s="658">
        <f ca="1">_xll.meDateFromTenor(E2718,"1D","Following",$C$16)</f>
        <v>47088</v>
      </c>
      <c r="F2719" s="659">
        <f ca="1"/>
        <v>1.9880417214367722E-2</v>
      </c>
      <c r="G2719" s="656">
        <v>1.9896430433375602E-2</v>
      </c>
    </row>
    <row r="2720" spans="5:7">
      <c r="E2720" s="658">
        <f ca="1">_xll.meDateFromTenor(E2719,"1D","Following",$C$16)</f>
        <v>47091</v>
      </c>
      <c r="F2720" s="659">
        <f ca="1"/>
        <v>1.9885300267101311E-2</v>
      </c>
      <c r="G2720" s="656">
        <v>1.9898047631844801E-2</v>
      </c>
    </row>
    <row r="2721" spans="5:7">
      <c r="E2721" s="658">
        <f ca="1">_xll.meDateFromTenor(E2720,"1D","Following",$C$16)</f>
        <v>47092</v>
      </c>
      <c r="F2721" s="659">
        <f ca="1"/>
        <v>1.988692069507874E-2</v>
      </c>
      <c r="G2721" s="656">
        <v>1.9899660260548315E-2</v>
      </c>
    </row>
    <row r="2722" spans="5:7">
      <c r="E2722" s="658">
        <f ca="1">_xll.meDateFromTenor(E2721,"1D","Following",$C$16)</f>
        <v>47093</v>
      </c>
      <c r="F2722" s="659">
        <f ca="1"/>
        <v>1.9888537517256666E-2</v>
      </c>
      <c r="G2722" s="656">
        <v>1.9901268339789099E-2</v>
      </c>
    </row>
    <row r="2723" spans="5:7">
      <c r="E2723" s="658">
        <f ca="1">_xll.meDateFromTenor(E2722,"1D","Following",$C$16)</f>
        <v>47094</v>
      </c>
      <c r="F2723" s="659">
        <f ca="1"/>
        <v>1.9890150747035529E-2</v>
      </c>
      <c r="G2723" s="656">
        <v>1.9906065483764571E-2</v>
      </c>
    </row>
    <row r="2724" spans="5:7">
      <c r="E2724" s="658">
        <f ca="1">_xll.meDateFromTenor(E2723,"1D","Following",$C$16)</f>
        <v>47095</v>
      </c>
      <c r="F2724" s="659">
        <f ca="1"/>
        <v>1.9891760397815761E-2</v>
      </c>
      <c r="G2724" s="656">
        <v>1.990765556818392E-2</v>
      </c>
    </row>
    <row r="2725" spans="5:7">
      <c r="E2725" s="658">
        <f ca="1">_xll.meDateFromTenor(E2724,"1D","Following",$C$16)</f>
        <v>47098</v>
      </c>
      <c r="F2725" s="659">
        <f ca="1"/>
        <v>1.9896568010168991E-2</v>
      </c>
      <c r="G2725" s="656">
        <v>1.9909241204655283E-2</v>
      </c>
    </row>
    <row r="2726" spans="5:7">
      <c r="E2726" s="658">
        <f ca="1">_xll.meDateFromTenor(E2725,"1D","Following",$C$16)</f>
        <v>47099</v>
      </c>
      <c r="F2726" s="659">
        <f ca="1"/>
        <v>1.9898163478959025E-2</v>
      </c>
      <c r="G2726" s="656">
        <v>1.9910822413481608E-2</v>
      </c>
    </row>
    <row r="2727" spans="5:7">
      <c r="E2727" s="658">
        <f ca="1">_xll.meDateFromTenor(E2726,"1D","Following",$C$16)</f>
        <v>47100</v>
      </c>
      <c r="F2727" s="659">
        <f ca="1"/>
        <v>1.9899755435752595E-2</v>
      </c>
      <c r="G2727" s="656">
        <v>1.9912399214965848E-2</v>
      </c>
    </row>
    <row r="2728" spans="5:7">
      <c r="E2728" s="658">
        <f ca="1">_xll.meDateFromTenor(E2727,"1D","Following",$C$16)</f>
        <v>47101</v>
      </c>
      <c r="F2728" s="659">
        <f ca="1"/>
        <v>1.9901343893950135E-2</v>
      </c>
      <c r="G2728" s="656">
        <v>1.9917103378395511E-2</v>
      </c>
    </row>
    <row r="2729" spans="5:7">
      <c r="E2729" s="658">
        <f ca="1">_xll.meDateFromTenor(E2728,"1D","Following",$C$16)</f>
        <v>47102</v>
      </c>
      <c r="F2729" s="659">
        <f ca="1"/>
        <v>1.9902928866952069E-2</v>
      </c>
      <c r="G2729" s="656">
        <v>1.9918662753540883E-2</v>
      </c>
    </row>
    <row r="2730" spans="5:7">
      <c r="E2730" s="658">
        <f ca="1">_xll.meDateFromTenor(E2729,"1D","Following",$C$16)</f>
        <v>47105</v>
      </c>
      <c r="F2730" s="659">
        <f ca="1"/>
        <v>1.9907663008788615E-2</v>
      </c>
      <c r="G2730" s="656">
        <v>1.9920217822858903E-2</v>
      </c>
    </row>
    <row r="2731" spans="5:7">
      <c r="E2731" s="658">
        <f ca="1">_xll.meDateFromTenor(E2730,"1D","Following",$C$16)</f>
        <v>47106</v>
      </c>
      <c r="F2731" s="659">
        <f ca="1"/>
        <v>1.9909234175012485E-2</v>
      </c>
      <c r="G2731" s="656">
        <v>1.992176860665253E-2</v>
      </c>
    </row>
    <row r="2732" spans="5:7">
      <c r="E2732" s="658">
        <f ca="1">_xll.meDateFromTenor(E2731,"1D","Following",$C$16)</f>
        <v>47107</v>
      </c>
      <c r="F2732" s="659">
        <f ca="1"/>
        <v>1.9910801923042922E-2</v>
      </c>
      <c r="G2732" s="656">
        <v>1.9923315125224713E-2</v>
      </c>
    </row>
    <row r="2733" spans="5:7">
      <c r="E2733" s="658">
        <f ca="1">_xll.meDateFromTenor(E2732,"1D","Following",$C$16)</f>
        <v>47108</v>
      </c>
      <c r="F2733" s="659">
        <f ca="1"/>
        <v>1.991236626628036E-2</v>
      </c>
      <c r="G2733" s="656">
        <v>1.992792929264206E-2</v>
      </c>
    </row>
    <row r="2734" spans="5:7">
      <c r="E2734" s="658">
        <f ca="1">_xll.meDateFromTenor(E2733,"1D","Following",$C$16)</f>
        <v>47109</v>
      </c>
      <c r="F2734" s="659">
        <f ca="1"/>
        <v>1.9913927218125224E-2</v>
      </c>
      <c r="G2734" s="656">
        <v>1.9929458953357938E-2</v>
      </c>
    </row>
    <row r="2735" spans="5:7">
      <c r="E2735" s="658">
        <f ca="1">_xll.meDateFromTenor(E2734,"1D","Following",$C$16)</f>
        <v>47114</v>
      </c>
      <c r="F2735" s="659">
        <f ca="1"/>
        <v>1.9921681575476219E-2</v>
      </c>
      <c r="G2735" s="656">
        <v>1.9930984450367114E-2</v>
      </c>
    </row>
    <row r="2736" spans="5:7">
      <c r="E2736" s="658">
        <f ca="1">_xll.meDateFromTenor(E2735,"1D","Following",$C$16)</f>
        <v>47115</v>
      </c>
      <c r="F2736" s="659">
        <f ca="1"/>
        <v>1.9923222460374774E-2</v>
      </c>
      <c r="G2736" s="656">
        <v>1.9932505803972538E-2</v>
      </c>
    </row>
    <row r="2737" spans="5:7">
      <c r="E2737" s="658">
        <f ca="1">_xll.meDateFromTenor(E2736,"1D","Following",$C$16)</f>
        <v>47116</v>
      </c>
      <c r="F2737" s="659">
        <f ca="1"/>
        <v>1.9924760047683801E-2</v>
      </c>
      <c r="G2737" s="656">
        <v>1.9934023034477156E-2</v>
      </c>
    </row>
    <row r="2738" spans="5:7">
      <c r="E2738" s="658">
        <f ca="1">_xll.meDateFromTenor(E2737,"1D","Following",$C$16)</f>
        <v>47120</v>
      </c>
      <c r="F2738" s="659">
        <f ca="1"/>
        <v>1.993088603371582E-2</v>
      </c>
      <c r="G2738" s="656">
        <v>1.9941548051091374E-2</v>
      </c>
    </row>
    <row r="2739" spans="5:7">
      <c r="E2739" s="658">
        <f ca="1">_xll.meDateFromTenor(E2738,"1D","Following",$C$16)</f>
        <v>47121</v>
      </c>
      <c r="F2739" s="659">
        <f ca="1"/>
        <v>1.9932411479891349E-2</v>
      </c>
      <c r="G2739" s="656">
        <v>1.9943040969353086E-2</v>
      </c>
    </row>
    <row r="2740" spans="5:7">
      <c r="E2740" s="658">
        <f ca="1">_xll.meDateFromTenor(E2739,"1D","Following",$C$16)</f>
        <v>47122</v>
      </c>
      <c r="F2740" s="659">
        <f ca="1"/>
        <v>1.9933933691338116E-2</v>
      </c>
      <c r="G2740" s="656">
        <v>1.9944529906634634E-2</v>
      </c>
    </row>
    <row r="2741" spans="5:7">
      <c r="E2741" s="658">
        <f ca="1">_xll.meDateFromTenor(E2740,"1D","Following",$C$16)</f>
        <v>47123</v>
      </c>
      <c r="F2741" s="659">
        <f ca="1"/>
        <v>1.9935452681566997E-2</v>
      </c>
      <c r="G2741" s="656">
        <v>1.9950454313731297E-2</v>
      </c>
    </row>
    <row r="2742" spans="5:7">
      <c r="E2742" s="658">
        <f ca="1">_xll.meDateFromTenor(E2741,"1D","Following",$C$16)</f>
        <v>47126</v>
      </c>
      <c r="F2742" s="659">
        <f ca="1"/>
        <v>1.9939990460055079E-2</v>
      </c>
      <c r="G2742" s="656">
        <v>1.9951927649667255E-2</v>
      </c>
    </row>
    <row r="2743" spans="5:7">
      <c r="E2743" s="658">
        <f ca="1">_xll.meDateFromTenor(E2742,"1D","Following",$C$16)</f>
        <v>47127</v>
      </c>
      <c r="F2743" s="659">
        <f ca="1"/>
        <v>1.9941496700521175E-2</v>
      </c>
      <c r="G2743" s="656">
        <v>1.9953397105433458E-2</v>
      </c>
    </row>
    <row r="2744" spans="5:7">
      <c r="E2744" s="658">
        <f ca="1">_xll.meDateFromTenor(E2743,"1D","Following",$C$16)</f>
        <v>47128</v>
      </c>
      <c r="F2744" s="659">
        <f ca="1"/>
        <v>1.9942999787323761E-2</v>
      </c>
      <c r="G2744" s="656">
        <v>1.9954862701500209E-2</v>
      </c>
    </row>
    <row r="2745" spans="5:7">
      <c r="E2745" s="658">
        <f ca="1">_xll.meDateFromTenor(E2744,"1D","Following",$C$16)</f>
        <v>47129</v>
      </c>
      <c r="F2745" s="659">
        <f ca="1"/>
        <v>1.9944499733973716E-2</v>
      </c>
      <c r="G2745" s="656">
        <v>1.9959236536206466E-2</v>
      </c>
    </row>
    <row r="2746" spans="5:7">
      <c r="E2746" s="658">
        <f ca="1">_xll.meDateFromTenor(E2745,"1D","Following",$C$16)</f>
        <v>47130</v>
      </c>
      <c r="F2746" s="659">
        <f ca="1"/>
        <v>1.994599655398192E-2</v>
      </c>
      <c r="G2746" s="656">
        <v>1.9960686898178155E-2</v>
      </c>
    </row>
    <row r="2747" spans="5:7">
      <c r="E2747" s="658">
        <f ca="1">_xll.meDateFromTenor(E2746,"1D","Following",$C$16)</f>
        <v>47133</v>
      </c>
      <c r="F2747" s="659">
        <f ca="1"/>
        <v>1.9950468389264737E-2</v>
      </c>
      <c r="G2747" s="656">
        <v>1.9962133502801783E-2</v>
      </c>
    </row>
    <row r="2748" spans="5:7">
      <c r="E2748" s="658">
        <f ca="1">_xll.meDateFromTenor(E2747,"1D","Following",$C$16)</f>
        <v>47134</v>
      </c>
      <c r="F2748" s="659">
        <f ca="1"/>
        <v>1.995195283781467E-2</v>
      </c>
      <c r="G2748" s="656">
        <v>1.9963576370547624E-2</v>
      </c>
    </row>
    <row r="2749" spans="5:7">
      <c r="E2749" s="658">
        <f ca="1">_xll.meDateFromTenor(E2748,"1D","Following",$C$16)</f>
        <v>47135</v>
      </c>
      <c r="F2749" s="659">
        <f ca="1"/>
        <v>1.9953434227277227E-2</v>
      </c>
      <c r="G2749" s="656">
        <v>1.9965015521885964E-2</v>
      </c>
    </row>
    <row r="2750" spans="5:7">
      <c r="E2750" s="658">
        <f ca="1">_xll.meDateFromTenor(E2749,"1D","Following",$C$16)</f>
        <v>47136</v>
      </c>
      <c r="F2750" s="659">
        <f ca="1"/>
        <v>1.9954912571163278E-2</v>
      </c>
      <c r="G2750" s="656">
        <v>1.996931088215876E-2</v>
      </c>
    </row>
    <row r="2751" spans="5:7">
      <c r="E2751" s="658">
        <f ca="1">_xll.meDateFromTenor(E2750,"1D","Following",$C$16)</f>
        <v>47137</v>
      </c>
      <c r="F2751" s="659">
        <f ca="1"/>
        <v>1.9956387882983709E-2</v>
      </c>
      <c r="G2751" s="656">
        <v>1.9970735372569885E-2</v>
      </c>
    </row>
    <row r="2752" spans="5:7">
      <c r="E2752" s="658">
        <f ca="1">_xll.meDateFromTenor(E2751,"1D","Following",$C$16)</f>
        <v>47140</v>
      </c>
      <c r="F2752" s="659">
        <f ca="1"/>
        <v>1.9960795761159996E-2</v>
      </c>
      <c r="G2752" s="656">
        <v>1.9972156248924899E-2</v>
      </c>
    </row>
    <row r="2753" spans="5:7">
      <c r="E2753" s="658">
        <f ca="1">_xll.meDateFromTenor(E2752,"1D","Following",$C$16)</f>
        <v>47141</v>
      </c>
      <c r="F2753" s="659">
        <f ca="1"/>
        <v>1.9962259079826676E-2</v>
      </c>
      <c r="G2753" s="656">
        <v>1.99735735316941E-2</v>
      </c>
    </row>
    <row r="2754" spans="5:7">
      <c r="E2754" s="658">
        <f ca="1">_xll.meDateFromTenor(E2753,"1D","Following",$C$16)</f>
        <v>47142</v>
      </c>
      <c r="F2754" s="659">
        <f ca="1"/>
        <v>1.9963719433982115E-2</v>
      </c>
      <c r="G2754" s="656">
        <v>1.997498724134775E-2</v>
      </c>
    </row>
    <row r="2755" spans="5:7">
      <c r="E2755" s="658">
        <f ca="1">_xll.meDateFromTenor(E2754,"1D","Following",$C$16)</f>
        <v>47143</v>
      </c>
      <c r="F2755" s="659">
        <f ca="1"/>
        <v>1.9965176837137173E-2</v>
      </c>
      <c r="G2755" s="656">
        <v>1.9979207136318247E-2</v>
      </c>
    </row>
    <row r="2756" spans="5:7">
      <c r="E2756" s="658">
        <f ca="1">_xll.meDateFromTenor(E2755,"1D","Following",$C$16)</f>
        <v>47144</v>
      </c>
      <c r="F2756" s="659">
        <f ca="1"/>
        <v>1.9966631302802747E-2</v>
      </c>
      <c r="G2756" s="656">
        <v>1.9980606758212522E-2</v>
      </c>
    </row>
    <row r="2757" spans="5:7">
      <c r="E2757" s="658">
        <f ca="1">_xll.meDateFromTenor(E2756,"1D","Following",$C$16)</f>
        <v>47147</v>
      </c>
      <c r="F2757" s="659">
        <f ca="1"/>
        <v>1.9970977209971236E-2</v>
      </c>
      <c r="G2757" s="656">
        <v>1.9982002909342655E-2</v>
      </c>
    </row>
    <row r="2758" spans="5:7">
      <c r="E2758" s="658">
        <f ca="1">_xll.meDateFromTenor(E2757,"1D","Following",$C$16)</f>
        <v>47148</v>
      </c>
      <c r="F2758" s="659">
        <f ca="1"/>
        <v>1.9972420060787574E-2</v>
      </c>
      <c r="G2758" s="656">
        <v>1.9983395610178929E-2</v>
      </c>
    </row>
    <row r="2759" spans="5:7">
      <c r="E2759" s="658">
        <f ca="1">_xll.meDateFromTenor(E2758,"1D","Following",$C$16)</f>
        <v>47149</v>
      </c>
      <c r="F2759" s="659">
        <f ca="1"/>
        <v>1.99738600416688E-2</v>
      </c>
      <c r="G2759" s="656">
        <v>1.9984784881191611E-2</v>
      </c>
    </row>
    <row r="2760" spans="5:7">
      <c r="E2760" s="658">
        <f ca="1">_xll.meDateFromTenor(E2759,"1D","Following",$C$16)</f>
        <v>47150</v>
      </c>
      <c r="F2760" s="659">
        <f ca="1"/>
        <v>1.9975297166125786E-2</v>
      </c>
      <c r="G2760" s="656">
        <v>1.9988932319990969E-2</v>
      </c>
    </row>
    <row r="2761" spans="5:7">
      <c r="E2761" s="658">
        <f ca="1">_xll.meDateFromTenor(E2760,"1D","Following",$C$16)</f>
        <v>47151</v>
      </c>
      <c r="F2761" s="659">
        <f ca="1"/>
        <v>1.9976731447669403E-2</v>
      </c>
      <c r="G2761" s="656">
        <v>1.9990308076412121E-2</v>
      </c>
    </row>
    <row r="2762" spans="5:7">
      <c r="E2762" s="658">
        <f ca="1">_xll.meDateFromTenor(E2761,"1D","Following",$C$16)</f>
        <v>47154</v>
      </c>
      <c r="F2762" s="659">
        <f ca="1"/>
        <v>1.998101736992882E-2</v>
      </c>
      <c r="G2762" s="656">
        <v>1.9991680505361088E-2</v>
      </c>
    </row>
    <row r="2763" spans="5:7">
      <c r="E2763" s="658">
        <f ca="1">_xll.meDateFromTenor(E2762,"1D","Following",$C$16)</f>
        <v>47155</v>
      </c>
      <c r="F2763" s="659">
        <f ca="1"/>
        <v>1.9982440414927732E-2</v>
      </c>
      <c r="G2763" s="656">
        <v>1.9993049627308156E-2</v>
      </c>
    </row>
    <row r="2764" spans="5:7">
      <c r="E2764" s="658">
        <f ca="1">_xll.meDateFromTenor(E2763,"1D","Following",$C$16)</f>
        <v>47156</v>
      </c>
      <c r="F2764" s="659">
        <f ca="1"/>
        <v>1.9983860684567659E-2</v>
      </c>
      <c r="G2764" s="656">
        <v>1.9994415462723594E-2</v>
      </c>
    </row>
    <row r="2765" spans="5:7">
      <c r="E2765" s="658">
        <f ca="1">_xll.meDateFromTenor(E2764,"1D","Following",$C$16)</f>
        <v>47157</v>
      </c>
      <c r="F2765" s="659">
        <f ca="1"/>
        <v>1.9985278192359474E-2</v>
      </c>
      <c r="G2765" s="656">
        <v>1.9998493454482975E-2</v>
      </c>
    </row>
    <row r="2766" spans="5:7">
      <c r="E2766" s="658">
        <f ca="1">_xll.meDateFromTenor(E2765,"1D","Following",$C$16)</f>
        <v>47158</v>
      </c>
      <c r="F2766" s="659">
        <f ca="1"/>
        <v>1.9986692951814055E-2</v>
      </c>
      <c r="G2766" s="656">
        <v>1.9999846348474723E-2</v>
      </c>
    </row>
    <row r="2767" spans="5:7">
      <c r="E2767" s="658">
        <f ca="1">_xll.meDateFromTenor(E2766,"1D","Following",$C$16)</f>
        <v>47161</v>
      </c>
      <c r="F2767" s="659">
        <f ca="1"/>
        <v>1.9990920875263139E-2</v>
      </c>
      <c r="G2767" s="656">
        <v>2.0001196058286246E-2</v>
      </c>
    </row>
    <row r="2768" spans="5:7">
      <c r="E2768" s="658">
        <f ca="1">_xll.meDateFromTenor(E2767,"1D","Following",$C$16)</f>
        <v>47162</v>
      </c>
      <c r="F2768" s="659">
        <f ca="1"/>
        <v>1.999232477647753E-2</v>
      </c>
      <c r="G2768" s="656">
        <v>2.0002542604387823E-2</v>
      </c>
    </row>
    <row r="2769" spans="5:7">
      <c r="E2769" s="658">
        <f ca="1">_xll.meDateFromTenor(E2768,"1D","Following",$C$16)</f>
        <v>47163</v>
      </c>
      <c r="F2769" s="659">
        <f ca="1"/>
        <v>1.9993725996909073E-2</v>
      </c>
      <c r="G2769" s="656">
        <v>2.0003886007249738E-2</v>
      </c>
    </row>
    <row r="2770" spans="5:7">
      <c r="E2770" s="658">
        <f ca="1">_xll.meDateFromTenor(E2769,"1D","Following",$C$16)</f>
        <v>47164</v>
      </c>
      <c r="F2770" s="659">
        <f ca="1"/>
        <v>1.9995124550068633E-2</v>
      </c>
      <c r="G2770" s="656">
        <v>2.0007897561100305E-2</v>
      </c>
    </row>
    <row r="2771" spans="5:7">
      <c r="E2771" s="658">
        <f ca="1">_xll.meDateFromTenor(E2770,"1D","Following",$C$16)</f>
        <v>47165</v>
      </c>
      <c r="F2771" s="659">
        <f ca="1"/>
        <v>1.9996520449467078E-2</v>
      </c>
      <c r="G2771" s="656">
        <v>2.0009228595706374E-2</v>
      </c>
    </row>
    <row r="2772" spans="5:7">
      <c r="E2772" s="658">
        <f ca="1">_xll.meDateFromTenor(E2771,"1D","Following",$C$16)</f>
        <v>47168</v>
      </c>
      <c r="F2772" s="659">
        <f ca="1"/>
        <v>2.0000692360204561E-2</v>
      </c>
      <c r="G2772" s="656">
        <v>2.0010556589424168E-2</v>
      </c>
    </row>
    <row r="2773" spans="5:7">
      <c r="E2773" s="658">
        <f ca="1">_xll.meDateFromTenor(E2772,"1D","Following",$C$16)</f>
        <v>47169</v>
      </c>
      <c r="F2773" s="659">
        <f ca="1"/>
        <v>2.0002077779667348E-2</v>
      </c>
      <c r="G2773" s="656">
        <v>2.0011881562723981E-2</v>
      </c>
    </row>
    <row r="2774" spans="5:7">
      <c r="E2774" s="658">
        <f ca="1">_xll.meDateFromTenor(E2773,"1D","Following",$C$16)</f>
        <v>47170</v>
      </c>
      <c r="F2774" s="659">
        <f ca="1"/>
        <v>2.0003460612923407E-2</v>
      </c>
      <c r="G2774" s="656">
        <v>2.0013203536076097E-2</v>
      </c>
    </row>
    <row r="2775" spans="5:7">
      <c r="E2775" s="658">
        <f ca="1">_xll.meDateFromTenor(E2774,"1D","Following",$C$16)</f>
        <v>47171</v>
      </c>
      <c r="F2775" s="659">
        <f ca="1"/>
        <v>2.0004840873483611E-2</v>
      </c>
      <c r="G2775" s="656">
        <v>2.0017151661149004E-2</v>
      </c>
    </row>
    <row r="2776" spans="5:7">
      <c r="E2776" s="658">
        <f ca="1">_xll.meDateFromTenor(E2775,"1D","Following",$C$16)</f>
        <v>47172</v>
      </c>
      <c r="F2776" s="659">
        <f ca="1"/>
        <v>2.0006218574858847E-2</v>
      </c>
      <c r="G2776" s="656">
        <v>2.001846183941311E-2</v>
      </c>
    </row>
    <row r="2777" spans="5:7">
      <c r="E2777" s="658">
        <f ca="1">_xll.meDateFromTenor(E2776,"1D","Following",$C$16)</f>
        <v>47175</v>
      </c>
      <c r="F2777" s="659">
        <f ca="1"/>
        <v>2.0010336458983459E-2</v>
      </c>
      <c r="G2777" s="656">
        <v>2.00197691200809E-2</v>
      </c>
    </row>
    <row r="2778" spans="5:7">
      <c r="E2778" s="658">
        <f ca="1">_xll.meDateFromTenor(E2777,"1D","Following",$C$16)</f>
        <v>47176</v>
      </c>
      <c r="F2778" s="659">
        <f ca="1"/>
        <v>2.0011704058727549E-2</v>
      </c>
      <c r="G2778" s="656">
        <v>2.002107352362267E-2</v>
      </c>
    </row>
    <row r="2779" spans="5:7">
      <c r="E2779" s="658">
        <f ca="1">_xll.meDateFromTenor(E2778,"1D","Following",$C$16)</f>
        <v>47177</v>
      </c>
      <c r="F2779" s="659">
        <f ca="1"/>
        <v>2.0013069166841039E-2</v>
      </c>
      <c r="G2779" s="656">
        <v>2.0022375070508702E-2</v>
      </c>
    </row>
    <row r="2780" spans="5:7">
      <c r="E2780" s="658">
        <f ca="1">_xll.meDateFromTenor(E2779,"1D","Following",$C$16)</f>
        <v>47178</v>
      </c>
      <c r="F2780" s="659">
        <f ca="1"/>
        <v>2.0014431796834813E-2</v>
      </c>
      <c r="G2780" s="656">
        <v>2.0026262775935125E-2</v>
      </c>
    </row>
    <row r="2781" spans="5:7">
      <c r="E2781" s="658">
        <f ca="1">_xll.meDateFromTenor(E2780,"1D","Following",$C$16)</f>
        <v>47179</v>
      </c>
      <c r="F2781" s="659">
        <f ca="1"/>
        <v>2.0015791962219743E-2</v>
      </c>
      <c r="G2781" s="656">
        <v>2.0027553100900979E-2</v>
      </c>
    </row>
    <row r="2782" spans="5:7">
      <c r="E2782" s="658">
        <f ca="1">_xll.meDateFromTenor(E2781,"1D","Following",$C$16)</f>
        <v>47182</v>
      </c>
      <c r="F2782" s="659">
        <f ca="1"/>
        <v>2.0019857805830207E-2</v>
      </c>
      <c r="G2782" s="656">
        <v>2.0028840671562489E-2</v>
      </c>
    </row>
    <row r="2783" spans="5:7">
      <c r="E2783" s="658">
        <f ca="1">_xll.meDateFromTenor(E2782,"1D","Following",$C$16)</f>
        <v>47183</v>
      </c>
      <c r="F2783" s="659">
        <f ca="1"/>
        <v>2.002120824788851E-2</v>
      </c>
      <c r="G2783" s="656">
        <v>2.0030125508389937E-2</v>
      </c>
    </row>
    <row r="2784" spans="5:7">
      <c r="E2784" s="658">
        <f ca="1">_xll.meDateFromTenor(E2783,"1D","Following",$C$16)</f>
        <v>47184</v>
      </c>
      <c r="F2784" s="659">
        <f ca="1"/>
        <v>2.002255629289235E-2</v>
      </c>
      <c r="G2784" s="656">
        <v>2.0031407631853602E-2</v>
      </c>
    </row>
    <row r="2785" spans="5:7">
      <c r="E2785" s="658">
        <f ca="1">_xll.meDateFromTenor(E2784,"1D","Following",$C$16)</f>
        <v>47185</v>
      </c>
      <c r="F2785" s="659">
        <f ca="1"/>
        <v>2.0023901954352597E-2</v>
      </c>
      <c r="G2785" s="656">
        <v>2.0035237926764697E-2</v>
      </c>
    </row>
    <row r="2786" spans="5:7">
      <c r="E2786" s="658">
        <f ca="1">_xll.meDateFromTenor(E2785,"1D","Following",$C$16)</f>
        <v>47186</v>
      </c>
      <c r="F2786" s="659">
        <f ca="1"/>
        <v>2.0025245245780126E-2</v>
      </c>
      <c r="G2786" s="656">
        <v>2.0036509401476027E-2</v>
      </c>
    </row>
    <row r="2787" spans="5:7">
      <c r="E2787" s="658">
        <f ca="1">_xll.meDateFromTenor(E2786,"1D","Following",$C$16)</f>
        <v>47189</v>
      </c>
      <c r="F2787" s="659">
        <f ca="1"/>
        <v>2.0029261034975186E-2</v>
      </c>
      <c r="G2787" s="656">
        <v>2.0037778265174975E-2</v>
      </c>
    </row>
    <row r="2788" spans="5:7">
      <c r="E2788" s="658">
        <f ca="1">_xll.meDateFromTenor(E2787,"1D","Following",$C$16)</f>
        <v>47190</v>
      </c>
      <c r="F2788" s="659">
        <f ca="1"/>
        <v>2.0030594981380614E-2</v>
      </c>
      <c r="G2788" s="656">
        <v>2.0039044538331819E-2</v>
      </c>
    </row>
    <row r="2789" spans="5:7">
      <c r="E2789" s="658">
        <f ca="1">_xll.meDateFromTenor(E2788,"1D","Following",$C$16)</f>
        <v>47191</v>
      </c>
      <c r="F2789" s="659">
        <f ca="1"/>
        <v>2.0031926625307703E-2</v>
      </c>
      <c r="G2789" s="656">
        <v>2.0040308241416845E-2</v>
      </c>
    </row>
    <row r="2790" spans="5:7">
      <c r="E2790" s="658">
        <f ca="1">_xll.meDateFromTenor(E2789,"1D","Following",$C$16)</f>
        <v>47192</v>
      </c>
      <c r="F2790" s="659">
        <f ca="1"/>
        <v>2.0033255980267336E-2</v>
      </c>
      <c r="G2790" s="656">
        <v>2.0044084134943772E-2</v>
      </c>
    </row>
    <row r="2791" spans="5:7">
      <c r="E2791" s="658">
        <f ca="1">_xll.meDateFromTenor(E2790,"1D","Following",$C$16)</f>
        <v>47193</v>
      </c>
      <c r="F2791" s="659">
        <f ca="1"/>
        <v>2.0034583059770381E-2</v>
      </c>
      <c r="G2791" s="656">
        <v>2.0045337762444299E-2</v>
      </c>
    </row>
    <row r="2792" spans="5:7">
      <c r="E2792" s="658">
        <f ca="1">_xll.meDateFromTenor(E2791,"1D","Following",$C$16)</f>
        <v>47196</v>
      </c>
      <c r="F2792" s="659">
        <f ca="1"/>
        <v>2.0038550780648767E-2</v>
      </c>
      <c r="G2792" s="656">
        <v>2.0046588922224402E-2</v>
      </c>
    </row>
    <row r="2793" spans="5:7">
      <c r="E2793" s="658">
        <f ca="1">_xll.meDateFromTenor(E2792,"1D","Following",$C$16)</f>
        <v>47197</v>
      </c>
      <c r="F2793" s="659">
        <f ca="1"/>
        <v>2.0039868893434232E-2</v>
      </c>
      <c r="G2793" s="656">
        <v>2.0047837634754373E-2</v>
      </c>
    </row>
    <row r="2794" spans="5:7">
      <c r="E2794" s="658">
        <f ca="1">_xll.meDateFromTenor(E2793,"1D","Following",$C$16)</f>
        <v>47198</v>
      </c>
      <c r="F2794" s="659">
        <f ca="1"/>
        <v>2.0041184798317489E-2</v>
      </c>
      <c r="G2794" s="656">
        <v>2.004908392050447E-2</v>
      </c>
    </row>
    <row r="2795" spans="5:7">
      <c r="E2795" s="658">
        <f ca="1">_xll.meDateFromTenor(E2794,"1D","Following",$C$16)</f>
        <v>47199</v>
      </c>
      <c r="F2795" s="659">
        <f ca="1"/>
        <v>2.0042498508809417E-2</v>
      </c>
      <c r="G2795" s="656">
        <v>2.0052808421778392E-2</v>
      </c>
    </row>
    <row r="2796" spans="5:7">
      <c r="E2796" s="658">
        <f ca="1">_xll.meDateFromTenor(E2795,"1D","Following",$C$16)</f>
        <v>47200</v>
      </c>
      <c r="F2796" s="659">
        <f ca="1"/>
        <v>2.0043810038420883E-2</v>
      </c>
      <c r="G2796" s="656">
        <v>2.005404520511184E-2</v>
      </c>
    </row>
    <row r="2797" spans="5:7">
      <c r="E2797" s="658">
        <f ca="1">_xll.meDateFromTenor(E2796,"1D","Following",$C$16)</f>
        <v>47203</v>
      </c>
      <c r="F2797" s="659">
        <f ca="1"/>
        <v>2.0047731677081328E-2</v>
      </c>
      <c r="G2797" s="656">
        <v>2.0055279664016823E-2</v>
      </c>
    </row>
    <row r="2798" spans="5:7">
      <c r="E2798" s="658">
        <f ca="1">_xll.meDateFromTenor(E2797,"1D","Following",$C$16)</f>
        <v>47204</v>
      </c>
      <c r="F2798" s="659">
        <f ca="1"/>
        <v>2.0049034618279737E-2</v>
      </c>
      <c r="G2798" s="656">
        <v>2.0056511818963625E-2</v>
      </c>
    </row>
    <row r="2799" spans="5:7">
      <c r="E2799" s="658">
        <f ca="1">_xll.meDateFromTenor(E2798,"1D","Following",$C$16)</f>
        <v>47205</v>
      </c>
      <c r="F2799" s="659">
        <f ca="1"/>
        <v>2.0050335446152066E-2</v>
      </c>
      <c r="G2799" s="656">
        <v>2.0057741690422522E-2</v>
      </c>
    </row>
    <row r="2800" spans="5:7">
      <c r="E2800" s="658">
        <f ca="1">_xll.meDateFromTenor(E2799,"1D","Following",$C$16)</f>
        <v>47206</v>
      </c>
      <c r="F2800" s="659">
        <f ca="1"/>
        <v>2.0051634174209198E-2</v>
      </c>
      <c r="G2800" s="656">
        <v>2.0061417808574601E-2</v>
      </c>
    </row>
    <row r="2801" spans="5:7">
      <c r="E2801" s="658">
        <f ca="1">_xll.meDateFromTenor(E2800,"1D","Following",$C$16)</f>
        <v>47211</v>
      </c>
      <c r="F2801" s="659">
        <f ca="1"/>
        <v>2.0058096790147507E-2</v>
      </c>
      <c r="G2801" s="656">
        <v>2.0062638750784685E-2</v>
      </c>
    </row>
    <row r="2802" spans="5:7">
      <c r="E2802" s="658">
        <f ca="1">_xll.meDateFromTenor(E2801,"1D","Following",$C$16)</f>
        <v>47212</v>
      </c>
      <c r="F2802" s="659">
        <f ca="1"/>
        <v>2.005938320304182E-2</v>
      </c>
      <c r="G2802" s="656">
        <v>2.0063857511858275E-2</v>
      </c>
    </row>
    <row r="2803" spans="5:7">
      <c r="E2803" s="658">
        <f ca="1">_xll.meDateFromTenor(E2802,"1D","Following",$C$16)</f>
        <v>47213</v>
      </c>
      <c r="F2803" s="659">
        <f ca="1"/>
        <v>2.0060667610697074E-2</v>
      </c>
      <c r="G2803" s="656">
        <v>2.0065074112265633E-2</v>
      </c>
    </row>
    <row r="2804" spans="5:7">
      <c r="E2804" s="658">
        <f ca="1">_xll.meDateFromTenor(E2803,"1D","Following",$C$16)</f>
        <v>47214</v>
      </c>
      <c r="F2804" s="659">
        <f ca="1"/>
        <v>2.0061950026624129E-2</v>
      </c>
      <c r="G2804" s="656">
        <v>2.0071125420768894E-2</v>
      </c>
    </row>
    <row r="2805" spans="5:7">
      <c r="E2805" s="658">
        <f ca="1">_xll.meDateFromTenor(E2804,"1D","Following",$C$16)</f>
        <v>47217</v>
      </c>
      <c r="F2805" s="659">
        <f ca="1"/>
        <v>2.0065785459144881E-2</v>
      </c>
      <c r="G2805" s="656">
        <v>2.0072329487054799E-2</v>
      </c>
    </row>
    <row r="2806" spans="5:7">
      <c r="E2806" s="658">
        <f ca="1">_xll.meDateFromTenor(E2805,"1D","Following",$C$16)</f>
        <v>47218</v>
      </c>
      <c r="F2806" s="659">
        <f ca="1"/>
        <v>2.0067060043267908E-2</v>
      </c>
      <c r="G2806" s="656">
        <v>2.007353153596644E-2</v>
      </c>
    </row>
    <row r="2807" spans="5:7">
      <c r="E2807" s="658">
        <f ca="1">_xll.meDateFromTenor(E2806,"1D","Following",$C$16)</f>
        <v>47219</v>
      </c>
      <c r="F2807" s="659">
        <f ca="1"/>
        <v>2.0068332703217125E-2</v>
      </c>
      <c r="G2807" s="656">
        <v>2.0074731587974095E-2</v>
      </c>
    </row>
    <row r="2808" spans="5:7">
      <c r="E2808" s="658">
        <f ca="1">_xll.meDateFromTenor(E2807,"1D","Following",$C$16)</f>
        <v>47220</v>
      </c>
      <c r="F2808" s="659">
        <f ca="1"/>
        <v>2.0069603452503405E-2</v>
      </c>
      <c r="G2808" s="656">
        <v>2.0078319967275972E-2</v>
      </c>
    </row>
    <row r="2809" spans="5:7">
      <c r="E2809" s="658">
        <f ca="1">_xll.meDateFromTenor(E2808,"1D","Following",$C$16)</f>
        <v>47221</v>
      </c>
      <c r="F2809" s="659">
        <f ca="1"/>
        <v>2.0070872304637614E-2</v>
      </c>
      <c r="G2809" s="656">
        <v>2.00795122363705E-2</v>
      </c>
    </row>
    <row r="2810" spans="5:7">
      <c r="E2810" s="658">
        <f ca="1">_xll.meDateFromTenor(E2809,"1D","Following",$C$16)</f>
        <v>47224</v>
      </c>
      <c r="F2810" s="659">
        <f ca="1"/>
        <v>2.0074667613236619E-2</v>
      </c>
      <c r="G2810" s="656">
        <v>2.0080702610912445E-2</v>
      </c>
    </row>
    <row r="2811" spans="5:7">
      <c r="E2811" s="658">
        <f ca="1">_xll.meDateFromTenor(E2810,"1D","Following",$C$16)</f>
        <v>47225</v>
      </c>
      <c r="F2811" s="659">
        <f ca="1"/>
        <v>2.0075929011871333E-2</v>
      </c>
      <c r="G2811" s="656">
        <v>2.0081891111372083E-2</v>
      </c>
    </row>
    <row r="2812" spans="5:7">
      <c r="E2812" s="658">
        <f ca="1">_xll.meDateFromTenor(E2811,"1D","Following",$C$16)</f>
        <v>47226</v>
      </c>
      <c r="F2812" s="659">
        <f ca="1"/>
        <v>2.0077188580908352E-2</v>
      </c>
      <c r="G2812" s="656">
        <v>2.00830777582197E-2</v>
      </c>
    </row>
    <row r="2813" spans="5:7">
      <c r="E2813" s="658">
        <f ca="1">_xll.meDateFromTenor(E2812,"1D","Following",$C$16)</f>
        <v>47227</v>
      </c>
      <c r="F2813" s="659">
        <f ca="1"/>
        <v>2.0078446333858569E-2</v>
      </c>
      <c r="G2813" s="656">
        <v>2.008662678179322E-2</v>
      </c>
    </row>
    <row r="2814" spans="5:7">
      <c r="E2814" s="658">
        <f ca="1">_xll.meDateFromTenor(E2813,"1D","Following",$C$16)</f>
        <v>47228</v>
      </c>
      <c r="F2814" s="659">
        <f ca="1"/>
        <v>2.007970228423285E-2</v>
      </c>
      <c r="G2814" s="656">
        <v>2.0087806218895547E-2</v>
      </c>
    </row>
    <row r="2815" spans="5:7">
      <c r="E2815" s="658">
        <f ca="1">_xll.meDateFromTenor(E2814,"1D","Following",$C$16)</f>
        <v>47231</v>
      </c>
      <c r="F2815" s="659">
        <f ca="1"/>
        <v>2.0083459455008838E-2</v>
      </c>
      <c r="G2815" s="656">
        <v>2.0088983904737255E-2</v>
      </c>
    </row>
    <row r="2816" spans="5:7">
      <c r="E2816" s="658">
        <f ca="1">_xll.meDateFromTenor(E2815,"1D","Following",$C$16)</f>
        <v>47232</v>
      </c>
      <c r="F2816" s="659">
        <f ca="1"/>
        <v>2.008470833018814E-2</v>
      </c>
      <c r="G2816" s="656">
        <v>2.0090159859788612E-2</v>
      </c>
    </row>
    <row r="2817" spans="5:7">
      <c r="E2817" s="658">
        <f ca="1">_xll.meDateFromTenor(E2816,"1D","Following",$C$16)</f>
        <v>47233</v>
      </c>
      <c r="F2817" s="659">
        <f ca="1"/>
        <v>2.0085955470345883E-2</v>
      </c>
      <c r="G2817" s="656">
        <v>2.0091334104519912E-2</v>
      </c>
    </row>
    <row r="2818" spans="5:7">
      <c r="E2818" s="658">
        <f ca="1">_xll.meDateFromTenor(E2817,"1D","Following",$C$16)</f>
        <v>47234</v>
      </c>
      <c r="F2818" s="659">
        <f ca="1"/>
        <v>2.0087200888992941E-2</v>
      </c>
      <c r="G2818" s="656">
        <v>2.0094846781496232E-2</v>
      </c>
    </row>
    <row r="2819" spans="5:7">
      <c r="E2819" s="658">
        <f ca="1">_xll.meDateFromTenor(E2818,"1D","Following",$C$16)</f>
        <v>47235</v>
      </c>
      <c r="F2819" s="659">
        <f ca="1"/>
        <v>2.0088444599640203E-2</v>
      </c>
      <c r="G2819" s="656">
        <v>2.0096014389650078E-2</v>
      </c>
    </row>
    <row r="2820" spans="5:7">
      <c r="E2820" s="658">
        <f ca="1">_xll.meDateFromTenor(E2819,"1D","Following",$C$16)</f>
        <v>47238</v>
      </c>
      <c r="F2820" s="659">
        <f ca="1"/>
        <v>2.0092165618691912E-2</v>
      </c>
      <c r="G2820" s="656">
        <v>2.0097180389835271E-2</v>
      </c>
    </row>
    <row r="2821" spans="5:7">
      <c r="E2821" s="658">
        <f ca="1">_xll.meDateFromTenor(E2820,"1D","Following",$C$16)</f>
        <v>47240</v>
      </c>
      <c r="F2821" s="659">
        <f ca="1"/>
        <v>2.0094638005760081E-2</v>
      </c>
      <c r="G2821" s="656">
        <v>2.0098344802522067E-2</v>
      </c>
    </row>
    <row r="2822" spans="5:7">
      <c r="E2822" s="658">
        <f ca="1">_xll.meDateFromTenor(E2821,"1D","Following",$C$16)</f>
        <v>47241</v>
      </c>
      <c r="F2822" s="659">
        <f ca="1"/>
        <v>2.0095871752136906E-2</v>
      </c>
      <c r="G2822" s="656">
        <v>2.0099507648180772E-2</v>
      </c>
    </row>
    <row r="2823" spans="5:7">
      <c r="E2823" s="658">
        <f ca="1">_xll.meDateFromTenor(E2822,"1D","Following",$C$16)</f>
        <v>47242</v>
      </c>
      <c r="F2823" s="659">
        <f ca="1"/>
        <v>2.0097103885090055E-2</v>
      </c>
      <c r="G2823" s="656">
        <v>2.0102986987691061E-2</v>
      </c>
    </row>
    <row r="2824" spans="5:7">
      <c r="E2824" s="658">
        <f ca="1">_xll.meDateFromTenor(E2823,"1D","Following",$C$16)</f>
        <v>47245</v>
      </c>
      <c r="F2824" s="659">
        <f ca="1"/>
        <v>2.010079073851621E-2</v>
      </c>
      <c r="G2824" s="656">
        <v>2.0105299087512535E-2</v>
      </c>
    </row>
    <row r="2825" spans="5:7">
      <c r="E2825" s="658">
        <f ca="1">_xll.meDateFromTenor(E2824,"1D","Following",$C$16)</f>
        <v>47246</v>
      </c>
      <c r="F2825" s="659">
        <f ca="1"/>
        <v>2.010201655288342E-2</v>
      </c>
      <c r="G2825" s="656">
        <v>2.0106452960878502E-2</v>
      </c>
    </row>
    <row r="2826" spans="5:7">
      <c r="E2826" s="658">
        <f ca="1">_xll.meDateFromTenor(E2825,"1D","Following",$C$16)</f>
        <v>47247</v>
      </c>
      <c r="F2826" s="659">
        <f ca="1"/>
        <v>2.0103240820716028E-2</v>
      </c>
      <c r="G2826" s="656">
        <v>2.0107605409054478E-2</v>
      </c>
    </row>
    <row r="2827" spans="5:7">
      <c r="E2827" s="658">
        <f ca="1">_xll.meDateFromTenor(E2826,"1D","Following",$C$16)</f>
        <v>47248</v>
      </c>
      <c r="F2827" s="659">
        <f ca="1"/>
        <v>2.0104463552198398E-2</v>
      </c>
      <c r="G2827" s="656">
        <v>2.0111054328637534E-2</v>
      </c>
    </row>
    <row r="2828" spans="5:7">
      <c r="E2828" s="658">
        <f ca="1">_xll.meDateFromTenor(E2827,"1D","Following",$C$16)</f>
        <v>47249</v>
      </c>
      <c r="F2828" s="659">
        <f ca="1"/>
        <v>2.0105684756849575E-2</v>
      </c>
      <c r="G2828" s="656">
        <v>2.0112201199340922E-2</v>
      </c>
    </row>
    <row r="2829" spans="5:7">
      <c r="E2829" s="658">
        <f ca="1">_xll.meDateFromTenor(E2828,"1D","Following",$C$16)</f>
        <v>47252</v>
      </c>
      <c r="F2829" s="659">
        <f ca="1"/>
        <v>2.010933930500652E-2</v>
      </c>
      <c r="G2829" s="656">
        <v>2.0113346705044159E-2</v>
      </c>
    </row>
    <row r="2830" spans="5:7">
      <c r="E2830" s="658">
        <f ca="1">_xll.meDateFromTenor(E2829,"1D","Following",$C$16)</f>
        <v>47253</v>
      </c>
      <c r="F2830" s="659">
        <f ca="1"/>
        <v>2.0110554497523487E-2</v>
      </c>
      <c r="G2830" s="656">
        <v>2.0114490857494442E-2</v>
      </c>
    </row>
    <row r="2831" spans="5:7">
      <c r="E2831" s="658">
        <f ca="1">_xll.meDateFromTenor(E2830,"1D","Following",$C$16)</f>
        <v>47254</v>
      </c>
      <c r="F2831" s="659">
        <f ca="1"/>
        <v>2.0111768210804532E-2</v>
      </c>
      <c r="G2831" s="656">
        <v>2.0115633668438972E-2</v>
      </c>
    </row>
    <row r="2832" spans="5:7">
      <c r="E2832" s="658">
        <f ca="1">_xll.meDateFromTenor(E2831,"1D","Following",$C$16)</f>
        <v>47255</v>
      </c>
      <c r="F2832" s="659">
        <f ca="1"/>
        <v>2.0112980454368712E-2</v>
      </c>
      <c r="G2832" s="656">
        <v>2.0119054169710014E-2</v>
      </c>
    </row>
    <row r="2833" spans="5:7">
      <c r="E2833" s="658">
        <f ca="1">_xll.meDateFromTenor(E2832,"1D","Following",$C$16)</f>
        <v>47256</v>
      </c>
      <c r="F2833" s="659">
        <f ca="1"/>
        <v>2.0114191237735082E-2</v>
      </c>
      <c r="G2833" s="656">
        <v>2.0120191732103505E-2</v>
      </c>
    </row>
    <row r="2834" spans="5:7">
      <c r="E2834" s="658">
        <f ca="1">_xll.meDateFromTenor(E2833,"1D","Following",$C$16)</f>
        <v>47259</v>
      </c>
      <c r="F2834" s="659">
        <f ca="1"/>
        <v>2.0117814921837857E-2</v>
      </c>
      <c r="G2834" s="656">
        <v>2.0121328011727231E-2</v>
      </c>
    </row>
    <row r="2835" spans="5:7">
      <c r="E2835" s="658">
        <f ca="1">_xll.meDateFromTenor(E2834,"1D","Following",$C$16)</f>
        <v>47260</v>
      </c>
      <c r="F2835" s="659">
        <f ca="1"/>
        <v>2.0119019959603517E-2</v>
      </c>
      <c r="G2835" s="656">
        <v>2.0122463020328395E-2</v>
      </c>
    </row>
    <row r="2836" spans="5:7">
      <c r="E2836" s="658">
        <f ca="1">_xll.meDateFromTenor(E2835,"1D","Following",$C$16)</f>
        <v>47261</v>
      </c>
      <c r="F2836" s="659">
        <f ca="1"/>
        <v>2.0120223584766631E-2</v>
      </c>
      <c r="G2836" s="656">
        <v>2.0123596769654188E-2</v>
      </c>
    </row>
    <row r="2837" spans="5:7">
      <c r="E2837" s="658">
        <f ca="1">_xll.meDateFromTenor(E2836,"1D","Following",$C$16)</f>
        <v>47262</v>
      </c>
      <c r="F2837" s="659">
        <f ca="1"/>
        <v>2.0121425806846262E-2</v>
      </c>
      <c r="G2837" s="656">
        <v>2.0126990579451356E-2</v>
      </c>
    </row>
    <row r="2838" spans="5:7">
      <c r="E2838" s="658">
        <f ca="1">_xll.meDateFromTenor(E2837,"1D","Following",$C$16)</f>
        <v>47263</v>
      </c>
      <c r="F2838" s="659">
        <f ca="1"/>
        <v>2.0122626635361452E-2</v>
      </c>
      <c r="G2838" s="656">
        <v>2.0128119409147667E-2</v>
      </c>
    </row>
    <row r="2839" spans="5:7">
      <c r="E2839" s="658">
        <f ca="1">_xll.meDateFromTenor(E2838,"1D","Following",$C$16)</f>
        <v>47266</v>
      </c>
      <c r="F2839" s="659">
        <f ca="1"/>
        <v>2.0126220854710958E-2</v>
      </c>
      <c r="G2839" s="656">
        <v>2.0129247038304598E-2</v>
      </c>
    </row>
    <row r="2840" spans="5:7">
      <c r="E2840" s="658">
        <f ca="1">_xll.meDateFromTenor(E2839,"1D","Following",$C$16)</f>
        <v>47267</v>
      </c>
      <c r="F2840" s="659">
        <f ca="1"/>
        <v>2.0127416204158952E-2</v>
      </c>
      <c r="G2840" s="656">
        <v>2.0130373478669354E-2</v>
      </c>
    </row>
    <row r="2841" spans="5:7">
      <c r="E2841" s="658">
        <f ca="1">_xll.meDateFromTenor(E2840,"1D","Following",$C$16)</f>
        <v>47268</v>
      </c>
      <c r="F2841" s="659">
        <f ca="1"/>
        <v>2.0128610207637777E-2</v>
      </c>
      <c r="G2841" s="656">
        <v>2.0131498741989134E-2</v>
      </c>
    </row>
    <row r="2842" spans="5:7">
      <c r="E2842" s="658">
        <f ca="1">_xll.meDateFromTenor(E2841,"1D","Following",$C$16)</f>
        <v>47269</v>
      </c>
      <c r="F2842" s="659">
        <f ca="1"/>
        <v>2.0129802874666487E-2</v>
      </c>
      <c r="G2842" s="656">
        <v>2.0134867587150565E-2</v>
      </c>
    </row>
    <row r="2843" spans="5:7">
      <c r="E2843" s="658">
        <f ca="1">_xll.meDateFromTenor(E2842,"1D","Following",$C$16)</f>
        <v>47270</v>
      </c>
      <c r="F2843" s="659">
        <f ca="1"/>
        <v>2.0130994214764136E-2</v>
      </c>
      <c r="G2843" s="656">
        <v>2.0135988259762407E-2</v>
      </c>
    </row>
    <row r="2844" spans="5:7">
      <c r="E2844" s="658">
        <f ca="1">_xll.meDateFromTenor(E2843,"1D","Following",$C$16)</f>
        <v>47273</v>
      </c>
      <c r="F2844" s="659">
        <f ca="1"/>
        <v>2.0134560368661281E-2</v>
      </c>
      <c r="G2844" s="656">
        <v>2.0137107814065257E-2</v>
      </c>
    </row>
    <row r="2845" spans="5:7">
      <c r="E2845" s="658">
        <f ca="1">_xll.meDateFromTenor(E2844,"1D","Following",$C$16)</f>
        <v>47274</v>
      </c>
      <c r="F2845" s="659">
        <f ca="1"/>
        <v>2.0135746496225237E-2</v>
      </c>
      <c r="G2845" s="656">
        <v>2.0138226261806318E-2</v>
      </c>
    </row>
    <row r="2846" spans="5:7">
      <c r="E2846" s="658">
        <f ca="1">_xll.meDateFromTenor(E2845,"1D","Following",$C$16)</f>
        <v>47275</v>
      </c>
      <c r="F2846" s="659">
        <f ca="1"/>
        <v>2.0136931344453404E-2</v>
      </c>
      <c r="G2846" s="656">
        <v>2.013934361473279E-2</v>
      </c>
    </row>
    <row r="2847" spans="5:7">
      <c r="E2847" s="658">
        <f ca="1">_xll.meDateFromTenor(E2846,"1D","Following",$C$16)</f>
        <v>47276</v>
      </c>
      <c r="F2847" s="659">
        <f ca="1"/>
        <v>2.0138114922864835E-2</v>
      </c>
      <c r="G2847" s="656">
        <v>2.0142689222096631E-2</v>
      </c>
    </row>
    <row r="2848" spans="5:7">
      <c r="E2848" s="658">
        <f ca="1">_xll.meDateFromTenor(E2847,"1D","Following",$C$16)</f>
        <v>47277</v>
      </c>
      <c r="F2848" s="659">
        <f ca="1"/>
        <v>2.0139297240978581E-2</v>
      </c>
      <c r="G2848" s="656">
        <v>2.0143802313236713E-2</v>
      </c>
    </row>
    <row r="2849" spans="5:7">
      <c r="E2849" s="658">
        <f ca="1">_xll.meDateFromTenor(E2848,"1D","Following",$C$16)</f>
        <v>47280</v>
      </c>
      <c r="F2849" s="659">
        <f ca="1"/>
        <v>2.0142836728724269E-2</v>
      </c>
      <c r="G2849" s="656">
        <v>2.0144914368298201E-2</v>
      </c>
    </row>
    <row r="2850" spans="5:7">
      <c r="E2850" s="658">
        <f ca="1">_xll.meDateFromTenor(E2849,"1D","Following",$C$16)</f>
        <v>47281</v>
      </c>
      <c r="F2850" s="659">
        <f ca="1"/>
        <v>2.0144014100837829E-2</v>
      </c>
      <c r="G2850" s="656">
        <v>2.0146025399028288E-2</v>
      </c>
    </row>
    <row r="2851" spans="5:7">
      <c r="E2851" s="658">
        <f ca="1">_xll.meDateFromTenor(E2850,"1D","Following",$C$16)</f>
        <v>47282</v>
      </c>
      <c r="F2851" s="659">
        <f ca="1"/>
        <v>2.0145190260248969E-2</v>
      </c>
      <c r="G2851" s="656">
        <v>2.0147135417174156E-2</v>
      </c>
    </row>
    <row r="2852" spans="5:7">
      <c r="E2852" s="658">
        <f ca="1">_xll.meDateFromTenor(E2851,"1D","Following",$C$16)</f>
        <v>47283</v>
      </c>
      <c r="F2852" s="659">
        <f ca="1"/>
        <v>2.0146365216476756E-2</v>
      </c>
      <c r="G2852" s="656">
        <v>2.0150459513578554E-2</v>
      </c>
    </row>
    <row r="2853" spans="5:7">
      <c r="E2853" s="658">
        <f ca="1">_xll.meDateFromTenor(E2852,"1D","Following",$C$16)</f>
        <v>47284</v>
      </c>
      <c r="F2853" s="659">
        <f ca="1"/>
        <v>2.014753897904023E-2</v>
      </c>
      <c r="G2853" s="656">
        <v>2.0151565598859594E-2</v>
      </c>
    </row>
    <row r="2854" spans="5:7">
      <c r="E2854" s="658">
        <f ca="1">_xll.meDateFromTenor(E2853,"1D","Following",$C$16)</f>
        <v>47287</v>
      </c>
      <c r="F2854" s="659">
        <f ca="1"/>
        <v>2.0151053199935369E-2</v>
      </c>
      <c r="G2854" s="656">
        <v>2.0152670730292425E-2</v>
      </c>
    </row>
    <row r="2855" spans="5:7">
      <c r="E2855" s="658">
        <f ca="1">_xll.meDateFromTenor(E2854,"1D","Following",$C$16)</f>
        <v>47288</v>
      </c>
      <c r="F2855" s="659">
        <f ca="1"/>
        <v>2.0152222283032161E-2</v>
      </c>
      <c r="G2855" s="656">
        <v>2.0153774919624244E-2</v>
      </c>
    </row>
    <row r="2856" spans="5:7">
      <c r="E2856" s="658">
        <f ca="1">_xll.meDateFromTenor(E2855,"1D","Following",$C$16)</f>
        <v>47289</v>
      </c>
      <c r="F2856" s="659">
        <f ca="1"/>
        <v>2.0153390220059918E-2</v>
      </c>
      <c r="G2856" s="656">
        <v>2.0154878178602242E-2</v>
      </c>
    </row>
    <row r="2857" spans="5:7">
      <c r="E2857" s="658">
        <f ca="1">_xll.meDateFromTenor(E2856,"1D","Following",$C$16)</f>
        <v>47290</v>
      </c>
      <c r="F2857" s="659">
        <f ca="1"/>
        <v>2.0154557020537693E-2</v>
      </c>
      <c r="G2857" s="656">
        <v>2.0158182490885322E-2</v>
      </c>
    </row>
    <row r="2858" spans="5:7">
      <c r="E2858" s="658">
        <f ca="1">_xll.meDateFromTenor(E2857,"1D","Following",$C$16)</f>
        <v>47291</v>
      </c>
      <c r="F2858" s="659">
        <f ca="1"/>
        <v>2.0155722693984537E-2</v>
      </c>
      <c r="G2858" s="656">
        <v>2.0159282145920034E-2</v>
      </c>
    </row>
    <row r="2859" spans="5:7">
      <c r="E2859" s="658">
        <f ca="1">_xll.meDateFromTenor(E2858,"1D","Following",$C$16)</f>
        <v>47294</v>
      </c>
      <c r="F2859" s="659">
        <f ca="1"/>
        <v>2.0159213047330028E-2</v>
      </c>
      <c r="G2859" s="656">
        <v>2.0160380929336925E-2</v>
      </c>
    </row>
    <row r="2860" spans="5:7">
      <c r="E2860" s="658">
        <f ca="1">_xll.meDateFromTenor(E2859,"1D","Following",$C$16)</f>
        <v>47295</v>
      </c>
      <c r="F2860" s="659">
        <f ca="1"/>
        <v>2.016037430784369E-2</v>
      </c>
      <c r="G2860" s="656">
        <v>2.0161478852883188E-2</v>
      </c>
    </row>
    <row r="2861" spans="5:7">
      <c r="E2861" s="658">
        <f ca="1">_xll.meDateFromTenor(E2860,"1D","Following",$C$16)</f>
        <v>47296</v>
      </c>
      <c r="F2861" s="659">
        <f ca="1"/>
        <v>2.0161534488921693E-2</v>
      </c>
      <c r="G2861" s="656">
        <v>2.0162575928306024E-2</v>
      </c>
    </row>
    <row r="2862" spans="5:7">
      <c r="E2862" s="658">
        <f ca="1">_xll.meDateFromTenor(E2861,"1D","Following",$C$16)</f>
        <v>47297</v>
      </c>
      <c r="F2862" s="659">
        <f ca="1"/>
        <v>2.0162693600083093E-2</v>
      </c>
      <c r="G2862" s="656">
        <v>2.0165862183305936E-2</v>
      </c>
    </row>
    <row r="2863" spans="5:7">
      <c r="E2863" s="658">
        <f ca="1">_xll.meDateFromTenor(E2862,"1D","Following",$C$16)</f>
        <v>47298</v>
      </c>
      <c r="F2863" s="659">
        <f ca="1"/>
        <v>2.0163851650846935E-2</v>
      </c>
      <c r="G2863" s="656">
        <v>2.0166955983707036E-2</v>
      </c>
    </row>
    <row r="2864" spans="5:7">
      <c r="E2864" s="658">
        <f ca="1">_xll.meDateFromTenor(E2863,"1D","Following",$C$16)</f>
        <v>47301</v>
      </c>
      <c r="F2864" s="659">
        <f ca="1"/>
        <v>2.0167319535943692E-2</v>
      </c>
      <c r="G2864" s="656">
        <v>2.0168048994720699E-2</v>
      </c>
    </row>
    <row r="2865" spans="5:7">
      <c r="E2865" s="658">
        <f ca="1">_xll.meDateFromTenor(E2864,"1D","Following",$C$16)</f>
        <v>47302</v>
      </c>
      <c r="F2865" s="659">
        <f ca="1"/>
        <v>2.0168473440307862E-2</v>
      </c>
      <c r="G2865" s="656">
        <v>2.0169141228094122E-2</v>
      </c>
    </row>
    <row r="2866" spans="5:7">
      <c r="E2866" s="658">
        <f ca="1">_xll.meDateFromTenor(E2865,"1D","Following",$C$16)</f>
        <v>47303</v>
      </c>
      <c r="F2866" s="659">
        <f ca="1"/>
        <v>2.016962633186975E-2</v>
      </c>
      <c r="G2866" s="656">
        <v>2.0170232695574504E-2</v>
      </c>
    </row>
    <row r="2867" spans="5:7">
      <c r="E2867" s="658">
        <f ca="1">_xll.meDateFromTenor(E2866,"1D","Following",$C$16)</f>
        <v>47304</v>
      </c>
      <c r="F2867" s="659">
        <f ca="1"/>
        <v>2.0170778220148403E-2</v>
      </c>
      <c r="G2867" s="656">
        <v>2.0173502620129392E-2</v>
      </c>
    </row>
    <row r="2868" spans="5:7">
      <c r="E2868" s="658">
        <f ca="1">_xll.meDateFromTenor(E2867,"1D","Following",$C$16)</f>
        <v>47305</v>
      </c>
      <c r="F2868" s="659">
        <f ca="1"/>
        <v>2.0171929114662888E-2</v>
      </c>
      <c r="G2868" s="656">
        <v>2.0174591141509587E-2</v>
      </c>
    </row>
    <row r="2869" spans="5:7">
      <c r="E2869" s="658">
        <f ca="1">_xll.meDateFromTenor(E2868,"1D","Following",$C$16)</f>
        <v>47308</v>
      </c>
      <c r="F2869" s="659">
        <f ca="1"/>
        <v>2.0175375930811805E-2</v>
      </c>
      <c r="G2869" s="656">
        <v>2.0175678955732738E-2</v>
      </c>
    </row>
    <row r="2870" spans="5:7">
      <c r="E2870" s="658">
        <f ca="1">_xll.meDateFromTenor(E2869,"1D","Following",$C$16)</f>
        <v>47309</v>
      </c>
      <c r="F2870" s="659">
        <f ca="1"/>
        <v>2.0176522945460119E-2</v>
      </c>
      <c r="G2870" s="656">
        <v>2.0176766074546038E-2</v>
      </c>
    </row>
    <row r="2871" spans="5:7">
      <c r="E2871" s="658">
        <f ca="1">_xll.meDateFromTenor(E2870,"1D","Following",$C$16)</f>
        <v>47310</v>
      </c>
      <c r="F2871" s="659">
        <f ca="1"/>
        <v>2.0177669013939525E-2</v>
      </c>
      <c r="G2871" s="656">
        <v>2.0177852509696684E-2</v>
      </c>
    </row>
    <row r="2872" spans="5:7">
      <c r="E2872" s="658">
        <f ca="1">_xll.meDateFromTenor(E2871,"1D","Following",$C$16)</f>
        <v>47311</v>
      </c>
      <c r="F2872" s="659">
        <f ca="1"/>
        <v>2.0178814145769077E-2</v>
      </c>
      <c r="G2872" s="656">
        <v>2.0181107830644678E-2</v>
      </c>
    </row>
    <row r="2873" spans="5:7">
      <c r="E2873" s="658">
        <f ca="1">_xll.meDateFromTenor(E2872,"1D","Following",$C$16)</f>
        <v>47312</v>
      </c>
      <c r="F2873" s="659">
        <f ca="1"/>
        <v>2.0179958350467826E-2</v>
      </c>
      <c r="G2873" s="656">
        <v>2.0182191648616694E-2</v>
      </c>
    </row>
    <row r="2874" spans="5:7">
      <c r="E2874" s="658">
        <f ca="1">_xll.meDateFromTenor(E2873,"1D","Following",$C$16)</f>
        <v>47315</v>
      </c>
      <c r="F2874" s="659">
        <f ca="1"/>
        <v>2.0183385496969818E-2</v>
      </c>
      <c r="G2874" s="656">
        <v>2.0183274841662047E-2</v>
      </c>
    </row>
    <row r="2875" spans="5:7">
      <c r="E2875" s="658">
        <f ca="1">_xll.meDateFromTenor(E2874,"1D","Following",$C$16)</f>
        <v>47316</v>
      </c>
      <c r="F2875" s="659">
        <f ca="1"/>
        <v>2.0184526088335913E-2</v>
      </c>
      <c r="G2875" s="656">
        <v>2.0184357421527934E-2</v>
      </c>
    </row>
    <row r="2876" spans="5:7">
      <c r="E2876" s="658">
        <f ca="1">_xll.meDateFromTenor(E2875,"1D","Following",$C$16)</f>
        <v>47317</v>
      </c>
      <c r="F2876" s="659">
        <f ca="1"/>
        <v>2.0185665800166466E-2</v>
      </c>
      <c r="G2876" s="656">
        <v>2.0185439399961549E-2</v>
      </c>
    </row>
    <row r="2877" spans="5:7">
      <c r="E2877" s="658">
        <f ca="1">_xll.meDateFromTenor(E2876,"1D","Following",$C$16)</f>
        <v>47318</v>
      </c>
      <c r="F2877" s="659">
        <f ca="1"/>
        <v>2.0186804641980548E-2</v>
      </c>
      <c r="G2877" s="656">
        <v>2.0188681844140799E-2</v>
      </c>
    </row>
    <row r="2878" spans="5:7">
      <c r="E2878" s="658">
        <f ca="1">_xll.meDateFromTenor(E2877,"1D","Following",$C$16)</f>
        <v>47319</v>
      </c>
      <c r="F2878" s="659">
        <f ca="1"/>
        <v>2.0187942623297206E-2</v>
      </c>
      <c r="G2878" s="656">
        <v>2.0189761534317337E-2</v>
      </c>
    </row>
    <row r="2879" spans="5:7">
      <c r="E2879" s="658">
        <f ca="1">_xll.meDateFromTenor(E2878,"1D","Following",$C$16)</f>
        <v>47322</v>
      </c>
      <c r="F2879" s="659">
        <f ca="1"/>
        <v>2.019135149945318E-2</v>
      </c>
      <c r="G2879" s="656">
        <v>2.0190840681797606E-2</v>
      </c>
    </row>
    <row r="2880" spans="5:7">
      <c r="E2880" s="658">
        <f ca="1">_xll.meDateFromTenor(E2879,"1D","Following",$C$16)</f>
        <v>47323</v>
      </c>
      <c r="F2880" s="659">
        <f ca="1"/>
        <v>2.0192486133970681E-2</v>
      </c>
      <c r="G2880" s="656">
        <v>2.0191919298328795E-2</v>
      </c>
    </row>
    <row r="2881" spans="5:7">
      <c r="E2881" s="658">
        <f ca="1">_xll.meDateFromTenor(E2880,"1D","Following",$C$16)</f>
        <v>47324</v>
      </c>
      <c r="F2881" s="659">
        <f ca="1"/>
        <v>2.019361995558603E-2</v>
      </c>
      <c r="G2881" s="656">
        <v>2.0192997395658108E-2</v>
      </c>
    </row>
    <row r="2882" spans="5:7">
      <c r="E2882" s="658">
        <f ca="1">_xll.meDateFromTenor(E2881,"1D","Following",$C$16)</f>
        <v>47325</v>
      </c>
      <c r="F2882" s="659">
        <f ca="1"/>
        <v>2.0194752973818276E-2</v>
      </c>
      <c r="G2882" s="656">
        <v>2.019622868990675E-2</v>
      </c>
    </row>
    <row r="2883" spans="5:7">
      <c r="E2883" s="658">
        <f ca="1">_xll.meDateFromTenor(E2882,"1D","Following",$C$16)</f>
        <v>47326</v>
      </c>
      <c r="F2883" s="659">
        <f ca="1"/>
        <v>2.0195885198186474E-2</v>
      </c>
      <c r="G2883" s="656">
        <v>2.0197304827900529E-2</v>
      </c>
    </row>
    <row r="2884" spans="5:7">
      <c r="E2884" s="658">
        <f ca="1">_xll.meDateFromTenor(E2883,"1D","Following",$C$16)</f>
        <v>47329</v>
      </c>
      <c r="F2884" s="659">
        <f ca="1"/>
        <v>2.0199277203297335E-2</v>
      </c>
      <c r="G2884" s="656">
        <v>2.0198380505428423E-2</v>
      </c>
    </row>
    <row r="2885" spans="5:7">
      <c r="E2885" s="658">
        <f ca="1">_xll.meDateFromTenor(E2884,"1D","Following",$C$16)</f>
        <v>47330</v>
      </c>
      <c r="F2885" s="659">
        <f ca="1"/>
        <v>2.020040634739988E-2</v>
      </c>
      <c r="G2885" s="656">
        <v>2.0199455734237627E-2</v>
      </c>
    </row>
    <row r="2886" spans="5:7">
      <c r="E2886" s="658">
        <f ca="1">_xll.meDateFromTenor(E2885,"1D","Following",$C$16)</f>
        <v>47331</v>
      </c>
      <c r="F2886" s="659">
        <f ca="1"/>
        <v>2.0201534745233656E-2</v>
      </c>
      <c r="G2886" s="656">
        <v>2.0200530526075341E-2</v>
      </c>
    </row>
    <row r="2887" spans="5:7">
      <c r="E2887" s="658">
        <f ca="1">_xll.meDateFromTenor(E2886,"1D","Following",$C$16)</f>
        <v>47332</v>
      </c>
      <c r="F2887" s="659">
        <f ca="1"/>
        <v>2.0202662406317701E-2</v>
      </c>
      <c r="G2887" s="656">
        <v>2.0203752397231524E-2</v>
      </c>
    </row>
    <row r="2888" spans="5:7">
      <c r="E2888" s="658">
        <f ca="1">_xll.meDateFromTenor(E2887,"1D","Following",$C$16)</f>
        <v>47333</v>
      </c>
      <c r="F2888" s="659">
        <f ca="1"/>
        <v>2.0203789340171075E-2</v>
      </c>
      <c r="G2888" s="656">
        <v>2.0204825558655253E-2</v>
      </c>
    </row>
    <row r="2889" spans="5:7">
      <c r="E2889" s="658">
        <f ca="1">_xll.meDateFromTenor(E2888,"1D","Following",$C$16)</f>
        <v>47336</v>
      </c>
      <c r="F2889" s="659">
        <f ca="1"/>
        <v>2.0207165873537724E-2</v>
      </c>
      <c r="G2889" s="656">
        <v>2.0205898341843491E-2</v>
      </c>
    </row>
    <row r="2890" spans="5:7">
      <c r="E2890" s="658">
        <f ca="1">_xll.meDateFromTenor(E2889,"1D","Following",$C$16)</f>
        <v>47337</v>
      </c>
      <c r="F2890" s="659">
        <f ca="1"/>
        <v>2.0208289993658955E-2</v>
      </c>
      <c r="G2890" s="656">
        <v>2.0206970758543424E-2</v>
      </c>
    </row>
    <row r="2891" spans="5:7">
      <c r="E2891" s="658">
        <f ca="1">_xll.meDateFromTenor(E2890,"1D","Following",$C$16)</f>
        <v>47338</v>
      </c>
      <c r="F2891" s="659">
        <f ca="1"/>
        <v>2.0209413434144789E-2</v>
      </c>
      <c r="G2891" s="656">
        <v>2.0208042820502252E-2</v>
      </c>
    </row>
    <row r="2892" spans="5:7">
      <c r="E2892" s="658">
        <f ca="1">_xll.meDateFromTenor(E2891,"1D","Following",$C$16)</f>
        <v>47339</v>
      </c>
      <c r="F2892" s="659">
        <f ca="1"/>
        <v>2.0210536204514268E-2</v>
      </c>
      <c r="G2892" s="656">
        <v>2.0211256995404107E-2</v>
      </c>
    </row>
    <row r="2893" spans="5:7">
      <c r="E2893" s="658">
        <f ca="1">_xll.meDateFromTenor(E2892,"1D","Following",$C$16)</f>
        <v>47340</v>
      </c>
      <c r="F2893" s="659">
        <f ca="1"/>
        <v>2.0211658314286462E-2</v>
      </c>
      <c r="G2893" s="656">
        <v>2.0212327755870514E-2</v>
      </c>
    </row>
    <row r="2894" spans="5:7">
      <c r="E2894" s="658">
        <f ca="1">_xll.meDateFromTenor(E2893,"1D","Following",$C$16)</f>
        <v>47343</v>
      </c>
      <c r="F2894" s="659">
        <f ca="1"/>
        <v>2.0215020775209799E-2</v>
      </c>
      <c r="G2894" s="656">
        <v>2.0213398220331798E-2</v>
      </c>
    </row>
    <row r="2895" spans="5:7">
      <c r="E2895" s="658">
        <f ca="1">_xll.meDateFromTenor(E2894,"1D","Following",$C$16)</f>
        <v>47344</v>
      </c>
      <c r="F2895" s="659">
        <f ca="1"/>
        <v>2.0216140337783347E-2</v>
      </c>
      <c r="G2895" s="656">
        <v>2.0214468400535177E-2</v>
      </c>
    </row>
    <row r="2896" spans="5:7">
      <c r="E2896" s="658">
        <f ca="1">_xll.meDateFromTenor(E2895,"1D","Following",$C$16)</f>
        <v>47345</v>
      </c>
      <c r="F2896" s="659">
        <f ca="1"/>
        <v>2.0217259287354877E-2</v>
      </c>
      <c r="G2896" s="656">
        <v>2.0215538308227837E-2</v>
      </c>
    </row>
    <row r="2897" spans="5:7">
      <c r="E2897" s="658">
        <f ca="1">_xll.meDateFromTenor(E2896,"1D","Following",$C$16)</f>
        <v>47346</v>
      </c>
      <c r="F2897" s="659">
        <f ca="1"/>
        <v>2.0218377633443429E-2</v>
      </c>
      <c r="G2897" s="656">
        <v>2.0218746513713512E-2</v>
      </c>
    </row>
    <row r="2898" spans="5:7">
      <c r="E2898" s="658">
        <f ca="1">_xll.meDateFromTenor(E2897,"1D","Following",$C$16)</f>
        <v>47347</v>
      </c>
      <c r="F2898" s="659">
        <f ca="1"/>
        <v>2.0219495385568068E-2</v>
      </c>
      <c r="G2898" s="656">
        <v>2.0219815448835294E-2</v>
      </c>
    </row>
    <row r="2899" spans="5:7">
      <c r="E2899" s="658">
        <f ca="1">_xll.meDateFromTenor(E2898,"1D","Following",$C$16)</f>
        <v>47350</v>
      </c>
      <c r="F2899" s="659">
        <f ca="1"/>
        <v>2.0222845173349008E-2</v>
      </c>
      <c r="G2899" s="656">
        <v>2.0220884170182356E-2</v>
      </c>
    </row>
    <row r="2900" spans="5:7">
      <c r="E2900" s="658">
        <f ca="1">_xll.meDateFromTenor(E2899,"1D","Following",$C$16)</f>
        <v>47351</v>
      </c>
      <c r="F2900" s="659">
        <f ca="1"/>
        <v>2.0223960644808515E-2</v>
      </c>
      <c r="G2900" s="656">
        <v>2.0221952689501884E-2</v>
      </c>
    </row>
    <row r="2901" spans="5:7">
      <c r="E2901" s="658">
        <f ca="1">_xll.meDateFromTenor(E2900,"1D","Following",$C$16)</f>
        <v>47352</v>
      </c>
      <c r="F2901" s="659">
        <f ca="1"/>
        <v>2.0225075569899369E-2</v>
      </c>
      <c r="G2901" s="656">
        <v>2.022302101854109E-2</v>
      </c>
    </row>
    <row r="2902" spans="5:7">
      <c r="E2902" s="658">
        <f ca="1">_xll.meDateFromTenor(E2901,"1D","Following",$C$16)</f>
        <v>47353</v>
      </c>
      <c r="F2902" s="659">
        <f ca="1"/>
        <v>2.0226189958140628E-2</v>
      </c>
      <c r="G2902" s="656">
        <v>2.0226224981448722E-2</v>
      </c>
    </row>
    <row r="2903" spans="5:7">
      <c r="E2903" s="658">
        <f ca="1">_xll.meDateFromTenor(E2902,"1D","Following",$C$16)</f>
        <v>47354</v>
      </c>
      <c r="F2903" s="659">
        <f ca="1"/>
        <v>2.022730381905135E-2</v>
      </c>
      <c r="G2903" s="656">
        <v>2.0227292666838599E-2</v>
      </c>
    </row>
    <row r="2904" spans="5:7">
      <c r="E2904" s="658">
        <f ca="1">_xll.meDateFromTenor(E2903,"1D","Following",$C$16)</f>
        <v>47357</v>
      </c>
      <c r="F2904" s="659">
        <f ca="1"/>
        <v>2.0230642332990798E-2</v>
      </c>
      <c r="G2904" s="656">
        <v>2.0228360220684142E-2</v>
      </c>
    </row>
    <row r="2905" spans="5:7">
      <c r="E2905" s="658">
        <f ca="1">_xll.meDateFromTenor(E2904,"1D","Following",$C$16)</f>
        <v>47358</v>
      </c>
      <c r="F2905" s="659">
        <f ca="1"/>
        <v>2.0231754179769891E-2</v>
      </c>
      <c r="G2905" s="656">
        <v>2.0229427654732547E-2</v>
      </c>
    </row>
    <row r="2906" spans="5:7">
      <c r="E2906" s="658">
        <f ca="1">_xll.meDateFromTenor(E2905,"1D","Following",$C$16)</f>
        <v>47359</v>
      </c>
      <c r="F2906" s="659">
        <f ca="1"/>
        <v>2.0232865546813708E-2</v>
      </c>
      <c r="G2906" s="656">
        <v>2.0230494980731008E-2</v>
      </c>
    </row>
    <row r="2907" spans="5:7">
      <c r="E2907" s="658">
        <f ca="1">_xll.meDateFromTenor(E2906,"1D","Following",$C$16)</f>
        <v>47360</v>
      </c>
      <c r="F2907" s="659">
        <f ca="1"/>
        <v>2.0233976443641315E-2</v>
      </c>
      <c r="G2907" s="656">
        <v>2.023369642789874E-2</v>
      </c>
    </row>
    <row r="2908" spans="5:7">
      <c r="E2908" s="658">
        <f ca="1">_xll.meDateFromTenor(E2907,"1D","Following",$C$16)</f>
        <v>47361</v>
      </c>
      <c r="F2908" s="659">
        <f ca="1"/>
        <v>2.0235086879771748E-2</v>
      </c>
      <c r="G2908" s="656">
        <v>2.0234763439169426E-2</v>
      </c>
    </row>
    <row r="2909" spans="5:7">
      <c r="E2909" s="658">
        <f ca="1">_xll.meDateFromTenor(E2908,"1D","Following",$C$16)</f>
        <v>47364</v>
      </c>
      <c r="F2909" s="659">
        <f ca="1"/>
        <v>2.0238415519170612E-2</v>
      </c>
      <c r="G2909" s="656">
        <v>2.023583040112616E-2</v>
      </c>
    </row>
    <row r="2910" spans="5:7">
      <c r="E2910" s="658">
        <f ca="1">_xll.meDateFromTenor(E2909,"1D","Following",$C$16)</f>
        <v>47365</v>
      </c>
      <c r="F2910" s="659">
        <f ca="1"/>
        <v>2.023952420770293E-2</v>
      </c>
      <c r="G2910" s="656">
        <v>2.0236897325516152E-2</v>
      </c>
    </row>
    <row r="2911" spans="5:7">
      <c r="E2911" s="658">
        <f ca="1">_xll.meDateFromTenor(E2910,"1D","Following",$C$16)</f>
        <v>47366</v>
      </c>
      <c r="F2911" s="659">
        <f ca="1"/>
        <v>2.0240632483133351E-2</v>
      </c>
      <c r="G2911" s="656">
        <v>2.0237964224086583E-2</v>
      </c>
    </row>
    <row r="2912" spans="5:7">
      <c r="E2912" s="658">
        <f ca="1">_xll.meDateFromTenor(E2911,"1D","Following",$C$16)</f>
        <v>47367</v>
      </c>
      <c r="F2912" s="659">
        <f ca="1"/>
        <v>2.0241740354980931E-2</v>
      </c>
      <c r="G2912" s="656">
        <v>2.0241164882352555E-2</v>
      </c>
    </row>
    <row r="2913" spans="5:7">
      <c r="E2913" s="658">
        <f ca="1">_xll.meDateFromTenor(E2912,"1D","Following",$C$16)</f>
        <v>47368</v>
      </c>
      <c r="F2913" s="659">
        <f ca="1"/>
        <v>2.024284783276472E-2</v>
      </c>
      <c r="G2913" s="656">
        <v>2.0242231795116764E-2</v>
      </c>
    </row>
    <row r="2914" spans="5:7">
      <c r="E2914" s="658">
        <f ca="1">_xll.meDateFromTenor(E2913,"1D","Following",$C$16)</f>
        <v>47371</v>
      </c>
      <c r="F2914" s="659">
        <f ca="1"/>
        <v>2.02461679969239E-2</v>
      </c>
      <c r="G2914" s="656">
        <v>2.0243298740797413E-2</v>
      </c>
    </row>
    <row r="2915" spans="5:7">
      <c r="E2915" s="658">
        <f ca="1">_xll.meDateFromTenor(E2914,"1D","Following",$C$16)</f>
        <v>47372</v>
      </c>
      <c r="F2915" s="659">
        <f ca="1"/>
        <v>2.0247273993643074E-2</v>
      </c>
      <c r="G2915" s="656">
        <v>2.0244365731141696E-2</v>
      </c>
    </row>
    <row r="2916" spans="5:7">
      <c r="E2916" s="658">
        <f ca="1">_xll.meDateFromTenor(E2915,"1D","Following",$C$16)</f>
        <v>47373</v>
      </c>
      <c r="F2916" s="659">
        <f ca="1"/>
        <v>2.0248379643893734E-2</v>
      </c>
      <c r="G2916" s="656">
        <v>2.0245432777896817E-2</v>
      </c>
    </row>
    <row r="2917" spans="5:7">
      <c r="E2917" s="658">
        <f ca="1">_xll.meDateFromTenor(E2916,"1D","Following",$C$16)</f>
        <v>47374</v>
      </c>
      <c r="F2917" s="659">
        <f ca="1"/>
        <v>2.0249484957194922E-2</v>
      </c>
      <c r="G2917" s="656">
        <v>2.024863437409917E-2</v>
      </c>
    </row>
    <row r="2918" spans="5:7">
      <c r="E2918" s="658">
        <f ca="1">_xll.meDateFromTenor(E2917,"1D","Following",$C$16)</f>
        <v>47375</v>
      </c>
      <c r="F2918" s="659">
        <f ca="1"/>
        <v>2.0250589943065698E-2</v>
      </c>
      <c r="G2918" s="656">
        <v>2.0249701763969612E-2</v>
      </c>
    </row>
    <row r="2919" spans="5:7">
      <c r="E2919" s="658">
        <f ca="1">_xll.meDateFromTenor(E2918,"1D","Following",$C$16)</f>
        <v>47378</v>
      </c>
      <c r="F2919" s="659">
        <f ca="1"/>
        <v>2.0253903031286109E-2</v>
      </c>
      <c r="G2919" s="656">
        <v>2.0250769268986883E-2</v>
      </c>
    </row>
    <row r="2920" spans="5:7">
      <c r="E2920" s="658">
        <f ca="1">_xll.meDateFromTenor(E2919,"1D","Following",$C$16)</f>
        <v>47379</v>
      </c>
      <c r="F2920" s="659">
        <f ca="1"/>
        <v>2.0255006802625777E-2</v>
      </c>
      <c r="G2920" s="656">
        <v>2.0251836900898178E-2</v>
      </c>
    </row>
    <row r="2921" spans="5:7">
      <c r="E2921" s="658">
        <f ca="1">_xll.meDateFromTenor(E2920,"1D","Following",$C$16)</f>
        <v>47380</v>
      </c>
      <c r="F2921" s="659">
        <f ca="1"/>
        <v>2.0256110294130308E-2</v>
      </c>
      <c r="G2921" s="656">
        <v>2.0252904671450696E-2</v>
      </c>
    </row>
    <row r="2922" spans="5:7">
      <c r="E2922" s="658">
        <f ca="1">_xll.meDateFromTenor(E2921,"1D","Following",$C$16)</f>
        <v>47381</v>
      </c>
      <c r="F2922" s="659">
        <f ca="1"/>
        <v>2.0257213515318742E-2</v>
      </c>
      <c r="G2922" s="656">
        <v>2.0256108932427571E-2</v>
      </c>
    </row>
    <row r="2923" spans="5:7">
      <c r="E2923" s="658">
        <f ca="1">_xll.meDateFromTenor(E2922,"1D","Following",$C$16)</f>
        <v>47382</v>
      </c>
      <c r="F2923" s="659">
        <f ca="1"/>
        <v>2.025831647571015E-2</v>
      </c>
      <c r="G2923" s="656">
        <v>2.0257177375016963E-2</v>
      </c>
    </row>
    <row r="2924" spans="5:7">
      <c r="E2924" s="658">
        <f ca="1">_xll.meDateFromTenor(E2923,"1D","Following",$C$16)</f>
        <v>47385</v>
      </c>
      <c r="F2924" s="659">
        <f ca="1"/>
        <v>2.0261623887292683E-2</v>
      </c>
      <c r="G2924" s="656">
        <v>2.0258246014983574E-2</v>
      </c>
    </row>
    <row r="2925" spans="5:7">
      <c r="E2925" s="658">
        <f ca="1">_xll.meDateFromTenor(E2924,"1D","Following",$C$16)</f>
        <v>47386</v>
      </c>
      <c r="F2925" s="659">
        <f ca="1"/>
        <v>2.0262725899686484E-2</v>
      </c>
      <c r="G2925" s="656">
        <v>2.0259314864074594E-2</v>
      </c>
    </row>
    <row r="2926" spans="5:7">
      <c r="E2926" s="658">
        <f ca="1">_xll.meDateFromTenor(E2925,"1D","Following",$C$16)</f>
        <v>47387</v>
      </c>
      <c r="F2926" s="659">
        <f ca="1"/>
        <v>2.0263827698878516E-2</v>
      </c>
      <c r="G2926" s="656">
        <v>2.0260383934037222E-2</v>
      </c>
    </row>
    <row r="2927" spans="5:7">
      <c r="E2927" s="658">
        <f ca="1">_xll.meDateFromTenor(E2926,"1D","Following",$C$16)</f>
        <v>47388</v>
      </c>
      <c r="F2927" s="659">
        <f ca="1"/>
        <v>2.0264929294387838E-2</v>
      </c>
      <c r="G2927" s="656">
        <v>2.0263592586626758E-2</v>
      </c>
    </row>
    <row r="2928" spans="5:7">
      <c r="E2928" s="658">
        <f ca="1">_xll.meDateFromTenor(E2927,"1D","Following",$C$16)</f>
        <v>47389</v>
      </c>
      <c r="F2928" s="659">
        <f ca="1"/>
        <v>2.0266030695733499E-2</v>
      </c>
      <c r="G2928" s="656">
        <v>2.0264662657547821E-2</v>
      </c>
    </row>
    <row r="2929" spans="5:7">
      <c r="E2929" s="658">
        <f ca="1">_xll.meDateFromTenor(E2928,"1D","Following",$C$16)</f>
        <v>47392</v>
      </c>
      <c r="F2929" s="659">
        <f ca="1"/>
        <v>2.0269333829979072E-2</v>
      </c>
      <c r="G2929" s="656">
        <v>2.0265733008076475E-2</v>
      </c>
    </row>
    <row r="2930" spans="5:7">
      <c r="E2930" s="658">
        <f ca="1">_xll.meDateFromTenor(E2929,"1D","Following",$C$16)</f>
        <v>47393</v>
      </c>
      <c r="F2930" s="659">
        <f ca="1"/>
        <v>2.0270434549860633E-2</v>
      </c>
      <c r="G2930" s="656">
        <v>2.0266803649959936E-2</v>
      </c>
    </row>
    <row r="2931" spans="5:7">
      <c r="E2931" s="658">
        <f ca="1">_xll.meDateFromTenor(E2930,"1D","Following",$C$16)</f>
        <v>47394</v>
      </c>
      <c r="F2931" s="659">
        <f ca="1"/>
        <v>2.0271535123173808E-2</v>
      </c>
      <c r="G2931" s="656">
        <v>2.026787459494539E-2</v>
      </c>
    </row>
    <row r="2932" spans="5:7">
      <c r="E2932" s="658">
        <f ca="1">_xll.meDateFromTenor(E2931,"1D","Following",$C$16)</f>
        <v>47395</v>
      </c>
      <c r="F2932" s="659">
        <f ca="1"/>
        <v>2.0272635559437646E-2</v>
      </c>
      <c r="G2932" s="656">
        <v>2.0271089365985734E-2</v>
      </c>
    </row>
    <row r="2933" spans="5:7">
      <c r="E2933" s="658">
        <f ca="1">_xll.meDateFromTenor(E2932,"1D","Following",$C$16)</f>
        <v>47396</v>
      </c>
      <c r="F2933" s="659">
        <f ca="1"/>
        <v>2.0273735868171203E-2</v>
      </c>
      <c r="G2933" s="656">
        <v>2.0272161640851171E-2</v>
      </c>
    </row>
    <row r="2934" spans="5:7">
      <c r="E2934" s="658">
        <f ca="1">_xll.meDateFromTenor(E2933,"1D","Following",$C$16)</f>
        <v>47399</v>
      </c>
      <c r="F2934" s="659">
        <f ca="1"/>
        <v>2.0277036124380719E-2</v>
      </c>
      <c r="G2934" s="656">
        <v>2.0273234277554592E-2</v>
      </c>
    </row>
    <row r="2935" spans="5:7">
      <c r="E2935" s="658">
        <f ca="1">_xll.meDateFromTenor(E2934,"1D","Following",$C$16)</f>
        <v>47400</v>
      </c>
      <c r="F2935" s="659">
        <f ca="1"/>
        <v>2.0278136018183682E-2</v>
      </c>
      <c r="G2935" s="656">
        <v>2.0274307287843199E-2</v>
      </c>
    </row>
    <row r="2936" spans="5:7">
      <c r="E2936" s="658">
        <f ca="1">_xll.meDateFromTenor(E2935,"1D","Following",$C$16)</f>
        <v>47401</v>
      </c>
      <c r="F2936" s="659">
        <f ca="1"/>
        <v>2.0279235832051636E-2</v>
      </c>
      <c r="G2936" s="656">
        <v>2.0275380683464194E-2</v>
      </c>
    </row>
    <row r="2937" spans="5:7">
      <c r="E2937" s="658">
        <f ca="1">_xll.meDateFromTenor(E2936,"1D","Following",$C$16)</f>
        <v>47402</v>
      </c>
      <c r="F2937" s="659">
        <f ca="1"/>
        <v>2.0280335575503627E-2</v>
      </c>
      <c r="G2937" s="656">
        <v>2.0278603299793481E-2</v>
      </c>
    </row>
    <row r="2938" spans="5:7">
      <c r="E2938" s="658">
        <f ca="1">_xll.meDateFromTenor(E2937,"1D","Following",$C$16)</f>
        <v>47403</v>
      </c>
      <c r="F2938" s="659">
        <f ca="1"/>
        <v>2.0281435258058714E-2</v>
      </c>
      <c r="G2938" s="656">
        <v>2.027967835421601E-2</v>
      </c>
    </row>
    <row r="2939" spans="5:7">
      <c r="E2939" s="658">
        <f ca="1">_xll.meDateFromTenor(E2938,"1D","Following",$C$16)</f>
        <v>47406</v>
      </c>
      <c r="F2939" s="659">
        <f ca="1"/>
        <v>2.0284734035533072E-2</v>
      </c>
      <c r="G2939" s="656">
        <v>2.0280753852706907E-2</v>
      </c>
    </row>
    <row r="2940" spans="5:7">
      <c r="E2940" s="658">
        <f ca="1">_xll.meDateFromTenor(E2939,"1D","Following",$C$16)</f>
        <v>47407</v>
      </c>
      <c r="F2940" s="659">
        <f ca="1"/>
        <v>2.0285833569691072E-2</v>
      </c>
      <c r="G2940" s="656">
        <v>2.0281829807013384E-2</v>
      </c>
    </row>
    <row r="2941" spans="5:7">
      <c r="E2941" s="658">
        <f ca="1">_xll.meDateFromTenor(E2940,"1D","Following",$C$16)</f>
        <v>47408</v>
      </c>
      <c r="F2941" s="659">
        <f ca="1"/>
        <v>2.0286933090547434E-2</v>
      </c>
      <c r="G2941" s="656">
        <v>2.0282906228882631E-2</v>
      </c>
    </row>
    <row r="2942" spans="5:7">
      <c r="E2942" s="658">
        <f ca="1">_xll.meDateFromTenor(E2941,"1D","Following",$C$16)</f>
        <v>47409</v>
      </c>
      <c r="F2942" s="659">
        <f ca="1"/>
        <v>2.0288032607621215E-2</v>
      </c>
      <c r="G2942" s="656">
        <v>2.0286138417339009E-2</v>
      </c>
    </row>
    <row r="2943" spans="5:7">
      <c r="E2943" s="658">
        <f ca="1">_xll.meDateFromTenor(E2942,"1D","Following",$C$16)</f>
        <v>47410</v>
      </c>
      <c r="F2943" s="659">
        <f ca="1"/>
        <v>2.0289132130431466E-2</v>
      </c>
      <c r="G2943" s="656">
        <v>2.0287216826931336E-2</v>
      </c>
    </row>
    <row r="2944" spans="5:7">
      <c r="E2944" s="658">
        <f ca="1">_xll.meDateFromTenor(E2943,"1D","Following",$C$16)</f>
        <v>47413</v>
      </c>
      <c r="F2944" s="659">
        <f ca="1"/>
        <v>2.0292430828471576E-2</v>
      </c>
      <c r="G2944" s="656">
        <v>2.0288295762822428E-2</v>
      </c>
    </row>
    <row r="2945" spans="5:7">
      <c r="E2945" s="658">
        <f ca="1">_xll.meDateFromTenor(E2944,"1D","Following",$C$16)</f>
        <v>47414</v>
      </c>
      <c r="F2945" s="659">
        <f ca="1"/>
        <v>2.0293530469418248E-2</v>
      </c>
      <c r="G2945" s="656">
        <v>2.0289375236759485E-2</v>
      </c>
    </row>
    <row r="2946" spans="5:7">
      <c r="E2946" s="658">
        <f ca="1">_xll.meDateFromTenor(E2945,"1D","Following",$C$16)</f>
        <v>47415</v>
      </c>
      <c r="F2946" s="659">
        <f ca="1"/>
        <v>2.0294630163696658E-2</v>
      </c>
      <c r="G2946" s="656">
        <v>2.0290455260489698E-2</v>
      </c>
    </row>
    <row r="2947" spans="5:7">
      <c r="E2947" s="658">
        <f ca="1">_xll.meDateFromTenor(E2946,"1D","Following",$C$16)</f>
        <v>47416</v>
      </c>
      <c r="F2947" s="659">
        <f ca="1"/>
        <v>2.0295729920825862E-2</v>
      </c>
      <c r="G2947" s="656">
        <v>2.0293698747911301E-2</v>
      </c>
    </row>
    <row r="2948" spans="5:7">
      <c r="E2948" s="658">
        <f ca="1">_xll.meDateFromTenor(E2947,"1D","Following",$C$16)</f>
        <v>47417</v>
      </c>
      <c r="F2948" s="659">
        <f ca="1"/>
        <v>2.0296829750324916E-2</v>
      </c>
      <c r="G2948" s="656">
        <v>2.0294781088286144E-2</v>
      </c>
    </row>
    <row r="2949" spans="5:7">
      <c r="E2949" s="658">
        <f ca="1">_xll.meDateFromTenor(E2948,"1D","Following",$C$16)</f>
        <v>47420</v>
      </c>
      <c r="F2949" s="659">
        <f ca="1"/>
        <v>2.0300129768231687E-2</v>
      </c>
      <c r="G2949" s="656">
        <v>2.029586403719014E-2</v>
      </c>
    </row>
    <row r="2950" spans="5:7">
      <c r="E2950" s="658">
        <f ca="1">_xll.meDateFromTenor(E2949,"1D","Following",$C$16)</f>
        <v>47421</v>
      </c>
      <c r="F2950" s="659">
        <f ca="1"/>
        <v>2.0301229982400665E-2</v>
      </c>
      <c r="G2950" s="656">
        <v>2.0296947606370488E-2</v>
      </c>
    </row>
    <row r="2951" spans="5:7">
      <c r="E2951" s="658">
        <f ca="1">_xll.meDateFromTenor(E2950,"1D","Following",$C$16)</f>
        <v>47422</v>
      </c>
      <c r="F2951" s="659">
        <f ca="1"/>
        <v>2.0302330316534757E-2</v>
      </c>
      <c r="G2951" s="656">
        <v>2.0298031807574387E-2</v>
      </c>
    </row>
    <row r="2952" spans="5:7">
      <c r="E2952" s="658">
        <f ca="1">_xll.meDateFromTenor(E2951,"1D","Following",$C$16)</f>
        <v>47423</v>
      </c>
      <c r="F2952" s="659">
        <f ca="1"/>
        <v>2.0303430780153019E-2</v>
      </c>
      <c r="G2952" s="656">
        <v>2.0301288320799356E-2</v>
      </c>
    </row>
    <row r="2953" spans="5:7">
      <c r="E2953" s="658">
        <f ca="1">_xll.meDateFromTenor(E2952,"1D","Following",$C$16)</f>
        <v>47424</v>
      </c>
      <c r="F2953" s="659">
        <f ca="1"/>
        <v>2.0304531382774504E-2</v>
      </c>
      <c r="G2953" s="656">
        <v>2.0302375167569432E-2</v>
      </c>
    </row>
    <row r="2954" spans="5:7">
      <c r="E2954" s="658">
        <f ca="1">_xll.meDateFromTenor(E2953,"1D","Following",$C$16)</f>
        <v>47427</v>
      </c>
      <c r="F2954" s="659">
        <f ca="1"/>
        <v>2.0307834119848839E-2</v>
      </c>
      <c r="G2954" s="656">
        <v>2.030346270509905E-2</v>
      </c>
    </row>
    <row r="2955" spans="5:7">
      <c r="E2955" s="658">
        <f ca="1">_xll.meDateFromTenor(E2954,"1D","Following",$C$16)</f>
        <v>47428</v>
      </c>
      <c r="F2955" s="659">
        <f ca="1"/>
        <v>2.0308935373673759E-2</v>
      </c>
      <c r="G2955" s="656">
        <v>2.0304550945135402E-2</v>
      </c>
    </row>
    <row r="2956" spans="5:7">
      <c r="E2956" s="658">
        <f ca="1">_xll.meDateFromTenor(E2955,"1D","Following",$C$16)</f>
        <v>47429</v>
      </c>
      <c r="F2956" s="659">
        <f ca="1"/>
        <v>2.0310036814097172E-2</v>
      </c>
      <c r="G2956" s="656">
        <v>2.0305639899425691E-2</v>
      </c>
    </row>
    <row r="2957" spans="5:7">
      <c r="E2957" s="658">
        <f ca="1">_xll.meDateFromTenor(E2956,"1D","Following",$C$16)</f>
        <v>47430</v>
      </c>
      <c r="F2957" s="659">
        <f ca="1"/>
        <v>2.0311138450638127E-2</v>
      </c>
      <c r="G2957" s="656">
        <v>2.0308911165292171E-2</v>
      </c>
    </row>
    <row r="2958" spans="5:7">
      <c r="E2958" s="658">
        <f ca="1">_xll.meDateFromTenor(E2957,"1D","Following",$C$16)</f>
        <v>47431</v>
      </c>
      <c r="F2958" s="659">
        <f ca="1"/>
        <v>2.0312240288901367E-2</v>
      </c>
      <c r="G2958" s="656">
        <v>2.0310003089202767E-2</v>
      </c>
    </row>
    <row r="2959" spans="5:7">
      <c r="E2959" s="658">
        <f ca="1">_xll.meDateFromTenor(E2958,"1D","Following",$C$16)</f>
        <v>47434</v>
      </c>
      <c r="F2959" s="659">
        <f ca="1"/>
        <v>2.0315546897842283E-2</v>
      </c>
      <c r="G2959" s="656">
        <v>2.0311095756898719E-2</v>
      </c>
    </row>
    <row r="2960" spans="5:7">
      <c r="E2960" s="658">
        <f ca="1">_xll.meDateFromTenor(E2959,"1D","Following",$C$16)</f>
        <v>47435</v>
      </c>
      <c r="F2960" s="659">
        <f ca="1"/>
        <v>2.0316649418983514E-2</v>
      </c>
      <c r="G2960" s="656">
        <v>2.0312189150922651E-2</v>
      </c>
    </row>
    <row r="2961" spans="5:7">
      <c r="E2961" s="658">
        <f ca="1">_xll.meDateFromTenor(E2960,"1D","Following",$C$16)</f>
        <v>47436</v>
      </c>
      <c r="F2961" s="659">
        <f ca="1"/>
        <v>2.0317752075927144E-2</v>
      </c>
      <c r="G2961" s="656">
        <v>2.0313283253817194E-2</v>
      </c>
    </row>
    <row r="2962" spans="5:7">
      <c r="E2962" s="658">
        <f ca="1">_xll.meDateFromTenor(E2961,"1D","Following",$C$16)</f>
        <v>47437</v>
      </c>
      <c r="F2962" s="659">
        <f ca="1"/>
        <v>2.0318854854706327E-2</v>
      </c>
      <c r="G2962" s="656">
        <v>2.0316569641150788E-2</v>
      </c>
    </row>
    <row r="2963" spans="5:7">
      <c r="E2963" s="658">
        <f ca="1">_xll.meDateFromTenor(E2962,"1D","Following",$C$16)</f>
        <v>47438</v>
      </c>
      <c r="F2963" s="659">
        <f ca="1"/>
        <v>2.0319957741354224E-2</v>
      </c>
      <c r="G2963" s="656">
        <v>2.0317666404954065E-2</v>
      </c>
    </row>
    <row r="2964" spans="5:7">
      <c r="E2964" s="658">
        <f ca="1">_xll.meDateFromTenor(E2963,"1D","Following",$C$16)</f>
        <v>47441</v>
      </c>
      <c r="F2964" s="659">
        <f ca="1"/>
        <v>2.0323266908841803E-2</v>
      </c>
      <c r="G2964" s="656">
        <v>2.0318763790341091E-2</v>
      </c>
    </row>
    <row r="2965" spans="5:7">
      <c r="E2965" s="658">
        <f ca="1">_xll.meDateFromTenor(E2964,"1D","Following",$C$16)</f>
        <v>47442</v>
      </c>
      <c r="F2965" s="659">
        <f ca="1"/>
        <v>2.0324370087296151E-2</v>
      </c>
      <c r="G2965" s="656">
        <v>2.0319861779854492E-2</v>
      </c>
    </row>
    <row r="2966" spans="5:7">
      <c r="E2966" s="658">
        <f ca="1">_xll.meDateFromTenor(E2965,"1D","Following",$C$16)</f>
        <v>47443</v>
      </c>
      <c r="F2966" s="659">
        <f ca="1"/>
        <v>2.0325473303785015E-2</v>
      </c>
      <c r="G2966" s="656">
        <v>2.0320960356036904E-2</v>
      </c>
    </row>
    <row r="2967" spans="5:7">
      <c r="E2967" s="658">
        <f ca="1">_xll.meDateFromTenor(E2966,"1D","Following",$C$16)</f>
        <v>47444</v>
      </c>
      <c r="F2967" s="659">
        <f ca="1"/>
        <v>2.0326576544341543E-2</v>
      </c>
      <c r="G2967" s="656">
        <v>2.032425943002444E-2</v>
      </c>
    </row>
    <row r="2968" spans="5:7">
      <c r="E2968" s="658">
        <f ca="1">_xll.meDateFromTenor(E2967,"1D","Following",$C$16)</f>
        <v>47445</v>
      </c>
      <c r="F2968" s="659">
        <f ca="1"/>
        <v>2.0327679794998901E-2</v>
      </c>
      <c r="G2968" s="656">
        <v>2.0325360178309149E-2</v>
      </c>
    </row>
    <row r="2969" spans="5:7">
      <c r="E2969" s="658">
        <f ca="1">_xll.meDateFromTenor(E2968,"1D","Following",$C$16)</f>
        <v>47448</v>
      </c>
      <c r="F2969" s="659">
        <f ca="1"/>
        <v>2.033098946790755E-2</v>
      </c>
      <c r="G2969" s="656">
        <v>2.0326461425976002E-2</v>
      </c>
    </row>
    <row r="2970" spans="5:7">
      <c r="E2970" s="658">
        <f ca="1">_xll.meDateFromTenor(E2969,"1D","Following",$C$16)</f>
        <v>47449</v>
      </c>
      <c r="F2970" s="659">
        <f ca="1"/>
        <v>2.0332092619299816E-2</v>
      </c>
      <c r="G2970" s="656">
        <v>2.0327563155567625E-2</v>
      </c>
    </row>
    <row r="2971" spans="5:7">
      <c r="E2971" s="658">
        <f ca="1">_xll.meDateFromTenor(E2970,"1D","Following",$C$16)</f>
        <v>47450</v>
      </c>
      <c r="F2971" s="659">
        <f ca="1"/>
        <v>2.033319571095871E-2</v>
      </c>
      <c r="G2971" s="656">
        <v>2.032866534962665E-2</v>
      </c>
    </row>
    <row r="2972" spans="5:7">
      <c r="E2972" s="658">
        <f ca="1">_xll.meDateFromTenor(E2971,"1D","Following",$C$16)</f>
        <v>47451</v>
      </c>
      <c r="F2972" s="659">
        <f ca="1"/>
        <v>2.0334298728917382E-2</v>
      </c>
      <c r="G2972" s="656">
        <v>2.0331974544034393E-2</v>
      </c>
    </row>
    <row r="2973" spans="5:7">
      <c r="E2973" s="658">
        <f ca="1">_xll.meDateFromTenor(E2972,"1D","Following",$C$16)</f>
        <v>47452</v>
      </c>
      <c r="F2973" s="659">
        <f ca="1"/>
        <v>2.033540165920901E-2</v>
      </c>
      <c r="G2973" s="656">
        <v>2.0333078421389292E-2</v>
      </c>
    </row>
    <row r="2974" spans="5:7">
      <c r="E2974" s="658">
        <f ca="1">_xll.meDateFromTenor(E2973,"1D","Following",$C$16)</f>
        <v>47455</v>
      </c>
      <c r="F2974" s="659">
        <f ca="1"/>
        <v>2.0338709784413128E-2</v>
      </c>
      <c r="G2974" s="656">
        <v>2.0334182675924729E-2</v>
      </c>
    </row>
    <row r="2975" spans="5:7">
      <c r="E2975" s="658">
        <f ca="1">_xll.meDateFromTenor(E2974,"1D","Following",$C$16)</f>
        <v>47456</v>
      </c>
      <c r="F2975" s="659">
        <f ca="1"/>
        <v>2.0339812224368117E-2</v>
      </c>
      <c r="G2975" s="656">
        <v>2.0335287290183329E-2</v>
      </c>
    </row>
    <row r="2976" spans="5:7">
      <c r="E2976" s="658">
        <f ca="1">_xll.meDateFromTenor(E2975,"1D","Following",$C$16)</f>
        <v>47457</v>
      </c>
      <c r="F2976" s="659">
        <f ca="1"/>
        <v>2.0340914506821843E-2</v>
      </c>
      <c r="G2976" s="656">
        <v>2.0336392246707725E-2</v>
      </c>
    </row>
    <row r="2977" spans="5:7">
      <c r="E2977" s="658">
        <f ca="1">_xll.meDateFromTenor(E2976,"1D","Following",$C$16)</f>
        <v>47458</v>
      </c>
      <c r="F2977" s="659">
        <f ca="1"/>
        <v>2.0342016617807469E-2</v>
      </c>
      <c r="G2977" s="656">
        <v>2.0339708995301936E-2</v>
      </c>
    </row>
    <row r="2978" spans="5:7">
      <c r="E2978" s="658">
        <f ca="1">_xll.meDateFromTenor(E2977,"1D","Following",$C$16)</f>
        <v>47459</v>
      </c>
      <c r="F2978" s="659">
        <f ca="1"/>
        <v>2.0343118543358157E-2</v>
      </c>
      <c r="G2978" s="656">
        <v>2.0340815146315774E-2</v>
      </c>
    </row>
    <row r="2979" spans="5:7">
      <c r="E2979" s="658">
        <f ca="1">_xll.meDateFromTenor(E2978,"1D","Following",$C$16)</f>
        <v>47462</v>
      </c>
      <c r="F2979" s="659">
        <f ca="1"/>
        <v>2.0346423067732156E-2</v>
      </c>
      <c r="G2979" s="656">
        <v>2.0341921552308545E-2</v>
      </c>
    </row>
    <row r="2980" spans="5:7">
      <c r="E2980" s="658">
        <f ca="1">_xll.meDateFromTenor(E2979,"1D","Following",$C$16)</f>
        <v>47463</v>
      </c>
      <c r="F2980" s="659">
        <f ca="1"/>
        <v>2.0347524111874668E-2</v>
      </c>
      <c r="G2980" s="656">
        <v>2.0343028195822878E-2</v>
      </c>
    </row>
    <row r="2981" spans="5:7">
      <c r="E2981" s="658">
        <f ca="1">_xll.meDateFromTenor(E2980,"1D","Following",$C$16)</f>
        <v>47464</v>
      </c>
      <c r="F2981" s="659">
        <f ca="1"/>
        <v>2.0348624900748031E-2</v>
      </c>
      <c r="G2981" s="656">
        <v>2.0344135059401389E-2</v>
      </c>
    </row>
    <row r="2982" spans="5:7">
      <c r="E2982" s="658">
        <f ca="1">_xll.meDateFromTenor(E2981,"1D","Following",$C$16)</f>
        <v>47465</v>
      </c>
      <c r="F2982" s="659">
        <f ca="1"/>
        <v>2.034972542038541E-2</v>
      </c>
      <c r="G2982" s="656">
        <v>2.0347456795948331E-2</v>
      </c>
    </row>
    <row r="2983" spans="5:7">
      <c r="E2983" s="658">
        <f ca="1">_xll.meDateFromTenor(E2982,"1D","Following",$C$16)</f>
        <v>47466</v>
      </c>
      <c r="F2983" s="659">
        <f ca="1"/>
        <v>2.0350825656819962E-2</v>
      </c>
      <c r="G2983" s="656">
        <v>2.0348564365209869E-2</v>
      </c>
    </row>
    <row r="2984" spans="5:7">
      <c r="E2984" s="658">
        <f ca="1">_xll.meDateFromTenor(E2983,"1D","Following",$C$16)</f>
        <v>47469</v>
      </c>
      <c r="F2984" s="659">
        <f ca="1"/>
        <v>2.0354124527238247E-2</v>
      </c>
      <c r="G2984" s="656">
        <v>2.034967206724873E-2</v>
      </c>
    </row>
    <row r="2985" spans="5:7">
      <c r="E2985" s="658">
        <f ca="1">_xll.meDateFromTenor(E2984,"1D","Following",$C$16)</f>
        <v>47470</v>
      </c>
      <c r="F2985" s="659">
        <f ca="1"/>
        <v>2.0355223491193081E-2</v>
      </c>
      <c r="G2985" s="656">
        <v>2.0350779884607543E-2</v>
      </c>
    </row>
    <row r="2986" spans="5:7">
      <c r="E2986" s="658">
        <f ca="1">_xll.meDateFromTenor(E2985,"1D","Following",$C$16)</f>
        <v>47471</v>
      </c>
      <c r="F2986" s="659">
        <f ca="1"/>
        <v>2.0356322102110889E-2</v>
      </c>
      <c r="G2986" s="656">
        <v>2.0351887799828931E-2</v>
      </c>
    </row>
    <row r="2987" spans="5:7">
      <c r="E2987" s="658">
        <f ca="1">_xll.meDateFromTenor(E2986,"1D","Following",$C$16)</f>
        <v>47472</v>
      </c>
      <c r="F2987" s="659">
        <f ca="1"/>
        <v>2.0357420346024818E-2</v>
      </c>
      <c r="G2987" s="656">
        <v>2.0355211958094858E-2</v>
      </c>
    </row>
    <row r="2988" spans="5:7">
      <c r="E2988" s="658">
        <f ca="1">_xll.meDateFromTenor(E2987,"1D","Following",$C$16)</f>
        <v>47473</v>
      </c>
      <c r="F2988" s="659">
        <f ca="1"/>
        <v>2.035851820896804E-2</v>
      </c>
      <c r="G2988" s="656">
        <v>2.0356320090192847E-2</v>
      </c>
    </row>
    <row r="2989" spans="5:7">
      <c r="E2989" s="658">
        <f ca="1">_xll.meDateFromTenor(E2988,"1D","Following",$C$16)</f>
        <v>47476</v>
      </c>
      <c r="F2989" s="659">
        <f ca="1"/>
        <v>2.0361809372305015E-2</v>
      </c>
      <c r="G2989" s="656">
        <v>2.0357428232866553E-2</v>
      </c>
    </row>
    <row r="2990" spans="5:7">
      <c r="E2990" s="658">
        <f ca="1">_xll.meDateFromTenor(E2989,"1D","Following",$C$16)</f>
        <v>47479</v>
      </c>
      <c r="F2990" s="659">
        <f ca="1"/>
        <v>2.0365096604099308E-2</v>
      </c>
      <c r="G2990" s="656">
        <v>2.03585363686586E-2</v>
      </c>
    </row>
    <row r="2991" spans="5:7">
      <c r="E2991" s="658">
        <f ca="1">_xll.meDateFromTenor(E2990,"1D","Following",$C$16)</f>
        <v>47480</v>
      </c>
      <c r="F2991" s="659">
        <f ca="1"/>
        <v>2.0366191409176001E-2</v>
      </c>
      <c r="G2991" s="656">
        <v>2.035964448011162E-2</v>
      </c>
    </row>
    <row r="2992" spans="5:7">
      <c r="E2992" s="658">
        <f ca="1">_xll.meDateFromTenor(E2991,"1D","Following",$C$16)</f>
        <v>47483</v>
      </c>
      <c r="F2992" s="659">
        <f ca="1"/>
        <v>2.0369472812306076E-2</v>
      </c>
      <c r="G2992" s="656">
        <v>2.03629684938628E-2</v>
      </c>
    </row>
    <row r="2993" spans="5:7">
      <c r="E2993" s="658">
        <f ca="1">_xll.meDateFromTenor(E2992,"1D","Following",$C$16)</f>
        <v>47485</v>
      </c>
      <c r="F2993" s="659">
        <f ca="1"/>
        <v>2.0371657764641053E-2</v>
      </c>
      <c r="G2993" s="656">
        <v>2.0366291660097326E-2</v>
      </c>
    </row>
    <row r="2994" spans="5:7">
      <c r="E2994" s="658">
        <f ca="1">_xll.meDateFromTenor(E2993,"1D","Following",$C$16)</f>
        <v>47486</v>
      </c>
      <c r="F2994" s="659">
        <f ca="1"/>
        <v>2.0372749403982499E-2</v>
      </c>
      <c r="G2994" s="656">
        <v>2.0367399112370729E-2</v>
      </c>
    </row>
    <row r="2995" spans="5:7">
      <c r="E2995" s="658">
        <f ca="1">_xll.meDateFromTenor(E2994,"1D","Following",$C$16)</f>
        <v>47487</v>
      </c>
      <c r="F2995" s="659">
        <f ca="1"/>
        <v>2.037384046681746E-2</v>
      </c>
      <c r="G2995" s="656">
        <v>2.0370720415373422E-2</v>
      </c>
    </row>
    <row r="2996" spans="5:7">
      <c r="E2996" s="658">
        <f ca="1">_xll.meDateFromTenor(E2995,"1D","Following",$C$16)</f>
        <v>47490</v>
      </c>
      <c r="F2996" s="659">
        <f ca="1"/>
        <v>2.0377110056615039E-2</v>
      </c>
      <c r="G2996" s="656">
        <v>2.0372933564620218E-2</v>
      </c>
    </row>
    <row r="2997" spans="5:7">
      <c r="E2997" s="658">
        <f ca="1">_xll.meDateFromTenor(E2996,"1D","Following",$C$16)</f>
        <v>47491</v>
      </c>
      <c r="F2997" s="659">
        <f ca="1"/>
        <v>2.0378198673755659E-2</v>
      </c>
      <c r="G2997" s="656">
        <v>2.0374039771045002E-2</v>
      </c>
    </row>
    <row r="2998" spans="5:7">
      <c r="E2998" s="658">
        <f ca="1">_xll.meDateFromTenor(E2997,"1D","Following",$C$16)</f>
        <v>47492</v>
      </c>
      <c r="F2998" s="659">
        <f ca="1"/>
        <v>2.0379286644555593E-2</v>
      </c>
      <c r="G2998" s="656">
        <v>2.0375145708727543E-2</v>
      </c>
    </row>
    <row r="2999" spans="5:7">
      <c r="E2999" s="658">
        <f ca="1">_xll.meDateFromTenor(E2998,"1D","Following",$C$16)</f>
        <v>47493</v>
      </c>
      <c r="F2999" s="659">
        <f ca="1"/>
        <v>2.0380373955047996E-2</v>
      </c>
      <c r="G2999" s="656">
        <v>2.0378461734748006E-2</v>
      </c>
    </row>
    <row r="3000" spans="5:7">
      <c r="E3000" s="658">
        <f ca="1">_xll.meDateFromTenor(E2999,"1D","Following",$C$16)</f>
        <v>47494</v>
      </c>
      <c r="F3000" s="659">
        <f ca="1"/>
        <v>2.0381460591266033E-2</v>
      </c>
      <c r="G3000" s="656">
        <v>2.0379566422887865E-2</v>
      </c>
    </row>
    <row r="3001" spans="5:7">
      <c r="E3001" s="661">
        <f ca="1">_xll.meDateFromTenor(E3000,"1D","Following",$C$16)</f>
        <v>47497</v>
      </c>
      <c r="F3001" s="659">
        <f ca="1"/>
        <v>2.0384716314605519E-2</v>
      </c>
      <c r="G3001" s="656">
        <v>2.0380670754998616E-2</v>
      </c>
    </row>
    <row r="3002" spans="5:7">
      <c r="E3002" s="661">
        <f ca="1">_xll.meDateFromTenor(E3001,"1D","Following",$C$16)</f>
        <v>47498</v>
      </c>
      <c r="F3002" s="659">
        <f ca="1"/>
        <v>2.0385800114057676E-2</v>
      </c>
      <c r="G3002" s="656">
        <v>2.0381774713622895E-2</v>
      </c>
    </row>
    <row r="3003" spans="5:7">
      <c r="E3003" s="661">
        <f ca="1">_xll.meDateFromTenor(E3002,"1D","Following",$C$16)</f>
        <v>47499</v>
      </c>
      <c r="F3003" s="659">
        <f ca="1"/>
        <v>2.0386883169401255E-2</v>
      </c>
      <c r="G3003" s="656">
        <v>2.0382878281303331E-2</v>
      </c>
    </row>
    <row r="3004" spans="5:7">
      <c r="E3004" s="661">
        <f ca="1">_xll.meDateFromTenor(E3003,"1D","Following",$C$16)</f>
        <v>47500</v>
      </c>
      <c r="F3004" s="659">
        <f ca="1"/>
        <v>2.0387965466669419E-2</v>
      </c>
      <c r="G3004" s="656">
        <v>2.0386186464107822E-2</v>
      </c>
    </row>
    <row r="3005" spans="5:7">
      <c r="E3005" s="661">
        <f ca="1">_xll.meDateFromTenor(E3004,"1D","Following",$C$16)</f>
        <v>47501</v>
      </c>
      <c r="F3005" s="659">
        <f ca="1"/>
        <v>2.0389046991895331E-2</v>
      </c>
      <c r="G3005" s="656">
        <v>2.0387288293439144E-2</v>
      </c>
    </row>
    <row r="3006" spans="5:7">
      <c r="E3006" s="661">
        <f ca="1">_xll.meDateFromTenor(E3005,"1D","Following",$C$16)</f>
        <v>47504</v>
      </c>
      <c r="F3006" s="659">
        <f ca="1"/>
        <v>2.0392286795651134E-2</v>
      </c>
      <c r="G3006" s="656">
        <v>2.0388389644539755E-2</v>
      </c>
    </row>
    <row r="3007" spans="5:7">
      <c r="E3007" s="661">
        <f ca="1">_xll.meDateFromTenor(E3006,"1D","Following",$C$16)</f>
        <v>47505</v>
      </c>
      <c r="F3007" s="659">
        <f ca="1"/>
        <v>2.0393365093039625E-2</v>
      </c>
      <c r="G3007" s="656">
        <v>2.0389490499952284E-2</v>
      </c>
    </row>
    <row r="3008" spans="5:7">
      <c r="E3008" s="661">
        <f ca="1">_xll.meDateFromTenor(E3007,"1D","Following",$C$16)</f>
        <v>47506</v>
      </c>
      <c r="F3008" s="659">
        <f ca="1"/>
        <v>2.0394442548551651E-2</v>
      </c>
      <c r="G3008" s="656">
        <v>2.0390590842219364E-2</v>
      </c>
    </row>
    <row r="3009" spans="5:7">
      <c r="E3009" s="661">
        <f ca="1">_xll.meDateFromTenor(E3008,"1D","Following",$C$16)</f>
        <v>47507</v>
      </c>
      <c r="F3009" s="659">
        <f ca="1"/>
        <v>2.0395519148220385E-2</v>
      </c>
      <c r="G3009" s="656">
        <v>2.039388861557415E-2</v>
      </c>
    </row>
    <row r="3010" spans="5:7">
      <c r="E3010" s="661">
        <f ca="1">_xll.meDateFromTenor(E3009,"1D","Following",$C$16)</f>
        <v>47508</v>
      </c>
      <c r="F3010" s="659">
        <f ca="1"/>
        <v>2.0396594878078971E-2</v>
      </c>
      <c r="G3010" s="656">
        <v>2.0394986730685689E-2</v>
      </c>
    </row>
    <row r="3011" spans="5:7">
      <c r="E3011" s="661">
        <f ca="1">_xll.meDateFromTenor(E3010,"1D","Following",$C$16)</f>
        <v>47511</v>
      </c>
      <c r="F3011" s="659">
        <f ca="1"/>
        <v>2.0399816709125499E-2</v>
      </c>
      <c r="G3011" s="656">
        <v>2.0396084245364918E-2</v>
      </c>
    </row>
    <row r="3012" spans="5:7">
      <c r="E3012" s="661">
        <f ca="1">_xll.meDateFromTenor(E3011,"1D","Following",$C$16)</f>
        <v>47512</v>
      </c>
      <c r="F3012" s="659">
        <f ca="1"/>
        <v>2.0400888820075121E-2</v>
      </c>
      <c r="G3012" s="656">
        <v>2.0397181142154455E-2</v>
      </c>
    </row>
    <row r="3013" spans="5:7">
      <c r="E3013" s="661">
        <f ca="1">_xll.meDateFromTenor(E3012,"1D","Following",$C$16)</f>
        <v>47513</v>
      </c>
      <c r="F3013" s="659">
        <f ca="1"/>
        <v>2.0401959991380402E-2</v>
      </c>
      <c r="G3013" s="656">
        <v>2.039827740359693E-2</v>
      </c>
    </row>
    <row r="3014" spans="5:7">
      <c r="E3014" s="661">
        <f ca="1">_xll.meDateFromTenor(E3013,"1D","Following",$C$16)</f>
        <v>47514</v>
      </c>
      <c r="F3014" s="659">
        <f ca="1"/>
        <v>2.0403030209074496E-2</v>
      </c>
      <c r="G3014" s="656">
        <v>2.0401562201268271E-2</v>
      </c>
    </row>
    <row r="3015" spans="5:7">
      <c r="E3015" s="661">
        <f ca="1">_xll.meDateFromTenor(E3014,"1D","Following",$C$16)</f>
        <v>47515</v>
      </c>
      <c r="F3015" s="659">
        <f ca="1"/>
        <v>2.0404099459190569E-2</v>
      </c>
      <c r="G3015" s="656">
        <v>2.040265574674878E-2</v>
      </c>
    </row>
    <row r="3016" spans="5:7">
      <c r="E3016" s="661">
        <f ca="1">_xll.meDateFromTenor(E3015,"1D","Following",$C$16)</f>
        <v>47518</v>
      </c>
      <c r="F3016" s="659">
        <f ca="1"/>
        <v>2.0407301264402225E-2</v>
      </c>
      <c r="G3016" s="656">
        <v>2.0403748569595367E-2</v>
      </c>
    </row>
    <row r="3017" spans="5:7">
      <c r="E3017" s="661">
        <f ca="1">_xll.meDateFromTenor(E3016,"1D","Following",$C$16)</f>
        <v>47519</v>
      </c>
      <c r="F3017" s="659">
        <f ca="1"/>
        <v>2.0408366504537784E-2</v>
      </c>
      <c r="G3017" s="656">
        <v>2.0404840652350664E-2</v>
      </c>
    </row>
    <row r="3018" spans="5:7">
      <c r="E3018" s="661">
        <f ca="1">_xll.meDateFromTenor(E3017,"1D","Following",$C$16)</f>
        <v>47520</v>
      </c>
      <c r="F3018" s="659">
        <f ca="1"/>
        <v>2.0409430707261117E-2</v>
      </c>
      <c r="G3018" s="656">
        <v>2.0405931977557291E-2</v>
      </c>
    </row>
    <row r="3019" spans="5:7">
      <c r="E3019" s="661">
        <f ca="1">_xll.meDateFromTenor(E3018,"1D","Following",$C$16)</f>
        <v>47521</v>
      </c>
      <c r="F3019" s="659">
        <f ca="1"/>
        <v>2.0410493858605376E-2</v>
      </c>
      <c r="G3019" s="656">
        <v>2.0409201233311448E-2</v>
      </c>
    </row>
    <row r="3020" spans="5:7">
      <c r="E3020" s="661">
        <f ca="1">_xll.meDateFromTenor(E3019,"1D","Following",$C$16)</f>
        <v>47522</v>
      </c>
      <c r="F3020" s="659">
        <f ca="1"/>
        <v>2.041155594460373E-2</v>
      </c>
      <c r="G3020" s="656">
        <v>2.0410289353749687E-2</v>
      </c>
    </row>
    <row r="3021" spans="5:7">
      <c r="E3021" s="661">
        <f ca="1">_xll.meDateFromTenor(E3020,"1D","Following",$C$16)</f>
        <v>47525</v>
      </c>
      <c r="F3021" s="659">
        <f ca="1"/>
        <v>2.0414735670854917E-2</v>
      </c>
      <c r="G3021" s="656">
        <v>2.0411376629352392E-2</v>
      </c>
    </row>
    <row r="3022" spans="5:7">
      <c r="E3022" s="661">
        <f ca="1">_xll.meDateFromTenor(E3021,"1D","Following",$C$16)</f>
        <v>47526</v>
      </c>
      <c r="F3022" s="659">
        <f ca="1"/>
        <v>2.0415793355801216E-2</v>
      </c>
      <c r="G3022" s="656">
        <v>2.0412463042662199E-2</v>
      </c>
    </row>
    <row r="3023" spans="5:7">
      <c r="E3023" s="661">
        <f ca="1">_xll.meDateFromTenor(E3022,"1D","Following",$C$16)</f>
        <v>47527</v>
      </c>
      <c r="F3023" s="659">
        <f ca="1"/>
        <v>2.041684990556741E-2</v>
      </c>
      <c r="G3023" s="656">
        <v>2.041354857622173E-2</v>
      </c>
    </row>
    <row r="3024" spans="5:7">
      <c r="E3024" s="661">
        <f ca="1">_xll.meDateFromTenor(E3023,"1D","Following",$C$16)</f>
        <v>47528</v>
      </c>
      <c r="F3024" s="659">
        <f ca="1"/>
        <v>2.0417905306186642E-2</v>
      </c>
      <c r="G3024" s="656">
        <v>2.0416799723824965E-2</v>
      </c>
    </row>
    <row r="3025" spans="5:7">
      <c r="E3025" s="661">
        <f ca="1">_xll.meDateFromTenor(E3024,"1D","Following",$C$16)</f>
        <v>47529</v>
      </c>
      <c r="F3025" s="659">
        <f ca="1"/>
        <v>2.0418959543692074E-2</v>
      </c>
      <c r="G3025" s="656">
        <v>2.0417881563809682E-2</v>
      </c>
    </row>
    <row r="3026" spans="5:7">
      <c r="E3026" s="661">
        <f ca="1">_xll.meDateFromTenor(E3025,"1D","Following",$C$16)</f>
        <v>47532</v>
      </c>
      <c r="F3026" s="659">
        <f ca="1"/>
        <v>2.0422115137857202E-2</v>
      </c>
      <c r="G3026" s="656">
        <v>2.0418962436757258E-2</v>
      </c>
    </row>
    <row r="3027" spans="5:7">
      <c r="E3027" s="661">
        <f ca="1">_xll.meDateFromTenor(E3026,"1D","Following",$C$16)</f>
        <v>47533</v>
      </c>
      <c r="F3027" s="659">
        <f ca="1"/>
        <v>2.0423164583239044E-2</v>
      </c>
      <c r="G3027" s="656">
        <v>2.0420042325210334E-2</v>
      </c>
    </row>
    <row r="3028" spans="5:7">
      <c r="E3028" s="661">
        <f ca="1">_xll.meDateFromTenor(E3027,"1D","Following",$C$16)</f>
        <v>47534</v>
      </c>
      <c r="F3028" s="659">
        <f ca="1"/>
        <v>2.0424212795672893E-2</v>
      </c>
      <c r="G3028" s="656">
        <v>2.0421121211711524E-2</v>
      </c>
    </row>
    <row r="3029" spans="5:7">
      <c r="E3029" s="661">
        <f ca="1">_xll.meDateFromTenor(E3028,"1D","Following",$C$16)</f>
        <v>47535</v>
      </c>
      <c r="F3029" s="659">
        <f ca="1"/>
        <v>2.0425259761191899E-2</v>
      </c>
      <c r="G3029" s="656">
        <v>2.0424351684930092E-2</v>
      </c>
    </row>
    <row r="3030" spans="5:7">
      <c r="E3030" s="661">
        <f ca="1">_xll.meDateFromTenor(E3029,"1D","Following",$C$16)</f>
        <v>47536</v>
      </c>
      <c r="F3030" s="659">
        <f ca="1"/>
        <v>2.0426305465829218E-2</v>
      </c>
      <c r="G3030" s="656">
        <v>2.0425426389050042E-2</v>
      </c>
    </row>
    <row r="3031" spans="5:7">
      <c r="E3031" s="661">
        <f ca="1">_xll.meDateFromTenor(E3030,"1D","Following",$C$16)</f>
        <v>47539</v>
      </c>
      <c r="F3031" s="659">
        <f ca="1"/>
        <v>2.0429434874782691E-2</v>
      </c>
      <c r="G3031" s="656">
        <v>2.0426500003931248E-2</v>
      </c>
    </row>
    <row r="3032" spans="5:7">
      <c r="E3032" s="661">
        <f ca="1">_xll.meDateFromTenor(E3031,"1D","Following",$C$16)</f>
        <v>47540</v>
      </c>
      <c r="F3032" s="659">
        <f ca="1"/>
        <v>2.0430475396224879E-2</v>
      </c>
      <c r="G3032" s="656">
        <v>2.0427572512116344E-2</v>
      </c>
    </row>
    <row r="3033" spans="5:7">
      <c r="E3033" s="661">
        <f ca="1">_xll.meDateFromTenor(E3032,"1D","Following",$C$16)</f>
        <v>47541</v>
      </c>
      <c r="F3033" s="659">
        <f ca="1"/>
        <v>2.043151458695118E-2</v>
      </c>
      <c r="G3033" s="656">
        <v>2.0428643896147947E-2</v>
      </c>
    </row>
    <row r="3034" spans="5:7">
      <c r="E3034" s="661">
        <f ca="1">_xll.meDateFromTenor(E3033,"1D","Following",$C$16)</f>
        <v>47542</v>
      </c>
      <c r="F3034" s="659">
        <f ca="1"/>
        <v>2.0432552432994761E-2</v>
      </c>
      <c r="G3034" s="656">
        <v>2.0431851128748117E-2</v>
      </c>
    </row>
    <row r="3035" spans="5:7">
      <c r="E3035" s="661">
        <f ca="1">_xll.meDateFromTenor(E3034,"1D","Following",$C$16)</f>
        <v>47543</v>
      </c>
      <c r="F3035" s="659">
        <f ca="1"/>
        <v>2.0433588920388771E-2</v>
      </c>
      <c r="G3035" s="656">
        <v>2.0432917841592048E-2</v>
      </c>
    </row>
    <row r="3036" spans="5:7">
      <c r="E3036" s="661">
        <f ca="1">_xll.meDateFromTenor(E3035,"1D","Following",$C$16)</f>
        <v>47546</v>
      </c>
      <c r="F3036" s="659">
        <f ca="1"/>
        <v>2.0436690091004996E-2</v>
      </c>
      <c r="G3036" s="656">
        <v>2.0433983342995631E-2</v>
      </c>
    </row>
    <row r="3037" spans="5:7">
      <c r="E3037" s="661">
        <f ca="1">_xll.meDateFromTenor(E3036,"1D","Following",$C$16)</f>
        <v>47547</v>
      </c>
      <c r="F3037" s="659">
        <f ca="1"/>
        <v>2.0437721004132329E-2</v>
      </c>
      <c r="G3037" s="656">
        <v>2.0435047615501498E-2</v>
      </c>
    </row>
    <row r="3038" spans="5:7">
      <c r="E3038" s="661">
        <f ca="1">_xll.meDateFromTenor(E3037,"1D","Following",$C$16)</f>
        <v>47548</v>
      </c>
      <c r="F3038" s="659">
        <f ca="1"/>
        <v>2.0438750488775893E-2</v>
      </c>
      <c r="G3038" s="656">
        <v>2.043611064165227E-2</v>
      </c>
    </row>
    <row r="3039" spans="5:7">
      <c r="E3039" s="661">
        <f ca="1">_xll.meDateFromTenor(E3038,"1D","Following",$C$16)</f>
        <v>47549</v>
      </c>
      <c r="F3039" s="659">
        <f ca="1"/>
        <v>2.0439778530968844E-2</v>
      </c>
      <c r="G3039" s="656">
        <v>2.0439292067400298E-2</v>
      </c>
    </row>
    <row r="3040" spans="5:7">
      <c r="E3040" s="661">
        <f ca="1">_xll.meDateFromTenor(E3039,"1D","Following",$C$16)</f>
        <v>47550</v>
      </c>
      <c r="F3040" s="659">
        <f ca="1"/>
        <v>2.0440805116744343E-2</v>
      </c>
      <c r="G3040" s="656">
        <v>2.0440349933556971E-2</v>
      </c>
    </row>
    <row r="3041" spans="5:7">
      <c r="E3041" s="661">
        <f ca="1">_xll.meDateFromTenor(E3040,"1D","Following",$C$16)</f>
        <v>47553</v>
      </c>
      <c r="F3041" s="659">
        <f ca="1"/>
        <v>2.0443875995897726E-2</v>
      </c>
      <c r="G3041" s="656">
        <v>2.044140646607169E-2</v>
      </c>
    </row>
    <row r="3042" spans="5:7">
      <c r="E3042" s="661">
        <f ca="1">_xll.meDateFromTenor(E3041,"1D","Following",$C$16)</f>
        <v>47554</v>
      </c>
      <c r="F3042" s="659">
        <f ca="1"/>
        <v>2.0444896616335011E-2</v>
      </c>
      <c r="G3042" s="656">
        <v>2.0442461647487083E-2</v>
      </c>
    </row>
    <row r="3043" spans="5:7">
      <c r="E3043" s="661">
        <f ca="1">_xll.meDateFromTenor(E3042,"1D","Following",$C$16)</f>
        <v>47555</v>
      </c>
      <c r="F3043" s="659">
        <f ca="1"/>
        <v>2.0445915710520637E-2</v>
      </c>
      <c r="G3043" s="656">
        <v>2.0443515460345774E-2</v>
      </c>
    </row>
    <row r="3044" spans="5:7">
      <c r="E3044" s="661">
        <f ca="1">_xll.meDateFromTenor(E3043,"1D","Following",$C$16)</f>
        <v>47556</v>
      </c>
      <c r="F3044" s="659">
        <f ca="1"/>
        <v>2.0446933264487769E-2</v>
      </c>
      <c r="G3044" s="656">
        <v>2.0446668513007922E-2</v>
      </c>
    </row>
    <row r="3045" spans="5:7">
      <c r="E3045" s="661">
        <f ca="1">_xll.meDateFromTenor(E3044,"1D","Following",$C$16)</f>
        <v>47557</v>
      </c>
      <c r="F3045" s="659">
        <f ca="1"/>
        <v>2.0447949264269561E-2</v>
      </c>
      <c r="G3045" s="656">
        <v>2.0447716677066092E-2</v>
      </c>
    </row>
    <row r="3046" spans="5:7">
      <c r="E3046" s="661">
        <f ca="1">_xll.meDateFromTenor(E3045,"1D","Following",$C$16)</f>
        <v>47560</v>
      </c>
      <c r="F3046" s="659">
        <f ca="1"/>
        <v>2.0450987798834506E-2</v>
      </c>
      <c r="G3046" s="656">
        <v>2.0448763385280698E-2</v>
      </c>
    </row>
    <row r="3047" spans="5:7">
      <c r="E3047" s="661">
        <f ca="1">_xll.meDateFromTenor(E3046,"1D","Following",$C$16)</f>
        <v>47561</v>
      </c>
      <c r="F3047" s="659">
        <f ca="1"/>
        <v>2.0451997442206538E-2</v>
      </c>
      <c r="G3047" s="656">
        <v>2.0449808620194368E-2</v>
      </c>
    </row>
    <row r="3048" spans="5:7">
      <c r="E3048" s="661">
        <f ca="1">_xll.meDateFromTenor(E3047,"1D","Following",$C$16)</f>
        <v>47562</v>
      </c>
      <c r="F3048" s="659">
        <f ca="1"/>
        <v>2.0453005461559027E-2</v>
      </c>
      <c r="G3048" s="656">
        <v>2.0450852364349729E-2</v>
      </c>
    </row>
    <row r="3049" spans="5:7">
      <c r="E3049" s="661">
        <f ca="1">_xll.meDateFromTenor(E3048,"1D","Following",$C$16)</f>
        <v>47563</v>
      </c>
      <c r="F3049" s="659">
        <f ca="1"/>
        <v>2.0454011842925141E-2</v>
      </c>
      <c r="G3049" s="656">
        <v>2.0453974477692264E-2</v>
      </c>
    </row>
    <row r="3050" spans="5:7">
      <c r="E3050" s="661">
        <f ca="1">_xll.meDateFromTenor(E3049,"1D","Following",$C$16)</f>
        <v>47564</v>
      </c>
      <c r="F3050" s="659">
        <f ca="1"/>
        <v>2.0455016572338027E-2</v>
      </c>
      <c r="G3050" s="656">
        <v>2.0455012084240675E-2</v>
      </c>
    </row>
    <row r="3051" spans="5:7">
      <c r="E3051" s="661">
        <f ca="1">_xll.meDateFromTenor(E3050,"1D","Following",$C$16)</f>
        <v>47567</v>
      </c>
      <c r="F3051" s="659">
        <f ca="1"/>
        <v>2.0458020709188937E-2</v>
      </c>
      <c r="G3051" s="656">
        <v>2.0456048112743923E-2</v>
      </c>
    </row>
    <row r="3052" spans="5:7">
      <c r="E3052" s="661">
        <f ca="1">_xll.meDateFromTenor(E3051,"1D","Following",$C$16)</f>
        <v>47568</v>
      </c>
      <c r="F3052" s="659">
        <f ca="1"/>
        <v>2.0459018691120528E-2</v>
      </c>
      <c r="G3052" s="656">
        <v>2.0457082545744628E-2</v>
      </c>
    </row>
    <row r="3053" spans="5:7">
      <c r="E3053" s="661">
        <f ca="1">_xll.meDateFromTenor(E3052,"1D","Following",$C$16)</f>
        <v>47569</v>
      </c>
      <c r="F3053" s="659">
        <f ca="1"/>
        <v>2.0460014951264684E-2</v>
      </c>
      <c r="G3053" s="656">
        <v>2.0458115365785422E-2</v>
      </c>
    </row>
    <row r="3054" spans="5:7">
      <c r="E3054" s="661">
        <f ca="1">_xll.meDateFromTenor(E3053,"1D","Following",$C$16)</f>
        <v>47570</v>
      </c>
      <c r="F3054" s="659">
        <f ca="1"/>
        <v>2.0461009475654574E-2</v>
      </c>
      <c r="G3054" s="656">
        <v>2.0461203973574593E-2</v>
      </c>
    </row>
    <row r="3055" spans="5:7">
      <c r="E3055" s="661">
        <f ca="1">_xll.meDateFromTenor(E3054,"1D","Following",$C$16)</f>
        <v>47571</v>
      </c>
      <c r="F3055" s="659">
        <f ca="1"/>
        <v>2.0462002250323356E-2</v>
      </c>
      <c r="G3055" s="656">
        <v>2.0462230167202007E-2</v>
      </c>
    </row>
    <row r="3056" spans="5:7">
      <c r="E3056" s="661">
        <f ca="1">_xll.meDateFromTenor(E3055,"1D","Following",$C$16)</f>
        <v>47574</v>
      </c>
      <c r="F3056" s="659">
        <f ca="1"/>
        <v>2.0464969936334645E-2</v>
      </c>
      <c r="G3056" s="656">
        <v>2.0463254660582648E-2</v>
      </c>
    </row>
    <row r="3057" spans="5:7">
      <c r="E3057" s="661">
        <f ca="1">_xll.meDateFromTenor(E3056,"1D","Following",$C$16)</f>
        <v>47575</v>
      </c>
      <c r="F3057" s="659">
        <f ca="1"/>
        <v>2.0465955572450584E-2</v>
      </c>
      <c r="G3057" s="656">
        <v>2.0464277436259143E-2</v>
      </c>
    </row>
    <row r="3058" spans="5:7">
      <c r="E3058" s="661">
        <f ca="1">_xll.meDateFromTenor(E3057,"1D","Following",$C$16)</f>
        <v>47576</v>
      </c>
      <c r="F3058" s="659">
        <f ca="1"/>
        <v>2.0466939389011212E-2</v>
      </c>
      <c r="G3058" s="656">
        <v>2.046529847677412E-2</v>
      </c>
    </row>
    <row r="3059" spans="5:7">
      <c r="E3059" s="661">
        <f ca="1">_xll.meDateFromTenor(E3058,"1D","Following",$C$16)</f>
        <v>47577</v>
      </c>
      <c r="F3059" s="659">
        <f ca="1"/>
        <v>2.0467921372049686E-2</v>
      </c>
      <c r="G3059" s="656">
        <v>2.0468351012776193E-2</v>
      </c>
    </row>
    <row r="3060" spans="5:7">
      <c r="E3060" s="661">
        <f ca="1">_xll.meDateFromTenor(E3059,"1D","Following",$C$16)</f>
        <v>47578</v>
      </c>
      <c r="F3060" s="659">
        <f ca="1"/>
        <v>2.0468901507599165E-2</v>
      </c>
      <c r="G3060" s="656">
        <v>2.046936493807136E-2</v>
      </c>
    </row>
    <row r="3061" spans="5:7">
      <c r="E3061" s="661">
        <f ca="1">_xll.meDateFromTenor(E3060,"1D","Following",$C$16)</f>
        <v>47581</v>
      </c>
      <c r="F3061" s="659">
        <f ca="1"/>
        <v>2.0471830689645233E-2</v>
      </c>
      <c r="G3061" s="656">
        <v>2.0470377040918152E-2</v>
      </c>
    </row>
    <row r="3062" spans="5:7">
      <c r="E3062" s="661">
        <f ca="1">_xll.meDateFromTenor(E3061,"1D","Following",$C$16)</f>
        <v>47582</v>
      </c>
      <c r="F3062" s="659">
        <f ca="1"/>
        <v>2.0472803295570333E-2</v>
      </c>
      <c r="G3062" s="656">
        <v>2.0471387303859185E-2</v>
      </c>
    </row>
    <row r="3063" spans="5:7">
      <c r="E3063" s="661">
        <f ca="1">_xll.meDateFromTenor(E3062,"1D","Following",$C$16)</f>
        <v>47583</v>
      </c>
      <c r="F3063" s="659">
        <f ca="1"/>
        <v>2.047377398417223E-2</v>
      </c>
      <c r="G3063" s="656">
        <v>2.0472395709437093E-2</v>
      </c>
    </row>
    <row r="3064" spans="5:7">
      <c r="E3064" s="661">
        <f ca="1">_xll.meDateFromTenor(E3063,"1D","Following",$C$16)</f>
        <v>47584</v>
      </c>
      <c r="F3064" s="659">
        <f ca="1"/>
        <v>2.047474274148409E-2</v>
      </c>
      <c r="G3064" s="656">
        <v>2.0475409607418334E-2</v>
      </c>
    </row>
    <row r="3065" spans="5:7">
      <c r="E3065" s="661">
        <f ca="1">_xll.meDateFromTenor(E3064,"1D","Following",$C$16)</f>
        <v>47585</v>
      </c>
      <c r="F3065" s="659">
        <f ca="1"/>
        <v>2.047570955353907E-2</v>
      </c>
      <c r="G3065" s="656">
        <v>2.0476410408970011E-2</v>
      </c>
    </row>
    <row r="3066" spans="5:7">
      <c r="E3066" s="661">
        <f ca="1">_xll.meDateFromTenor(E3065,"1D","Following",$C$16)</f>
        <v>47588</v>
      </c>
      <c r="F3066" s="659">
        <f ca="1"/>
        <v>2.0478598178494324E-2</v>
      </c>
      <c r="G3066" s="656">
        <v>2.0477409265871702E-2</v>
      </c>
    </row>
    <row r="3067" spans="5:7">
      <c r="E3067" s="661">
        <f ca="1">_xll.meDateFromTenor(E3066,"1D","Following",$C$16)</f>
        <v>47589</v>
      </c>
      <c r="F3067" s="659">
        <f ca="1"/>
        <v>2.0479557069853379E-2</v>
      </c>
      <c r="G3067" s="656">
        <v>2.047840616066603E-2</v>
      </c>
    </row>
    <row r="3068" spans="5:7">
      <c r="E3068" s="661">
        <f ca="1">_xll.meDateFromTenor(E3067,"1D","Following",$C$16)</f>
        <v>47590</v>
      </c>
      <c r="F3068" s="659">
        <f ca="1"/>
        <v>2.048051394612135E-2</v>
      </c>
      <c r="G3068" s="656">
        <v>2.0479401075895628E-2</v>
      </c>
    </row>
    <row r="3069" spans="5:7">
      <c r="E3069" s="661">
        <f ca="1">_xll.meDateFromTenor(E3068,"1D","Following",$C$16)</f>
        <v>47591</v>
      </c>
      <c r="F3069" s="659">
        <f ca="1"/>
        <v>2.04814687933314E-2</v>
      </c>
      <c r="G3069" s="656">
        <v>2.0482373769622298E-2</v>
      </c>
    </row>
    <row r="3070" spans="5:7">
      <c r="E3070" s="661">
        <f ca="1">_xll.meDateFromTenor(E3069,"1D","Following",$C$16)</f>
        <v>47596</v>
      </c>
      <c r="F3070" s="659">
        <f ca="1"/>
        <v>2.0486212104673343E-2</v>
      </c>
      <c r="G3070" s="656">
        <v>2.0483360592019231E-2</v>
      </c>
    </row>
    <row r="3071" spans="5:7">
      <c r="E3071" s="661">
        <f ca="1">_xll.meDateFromTenor(E3070,"1D","Following",$C$16)</f>
        <v>47597</v>
      </c>
      <c r="F3071" s="659">
        <f ca="1"/>
        <v>2.0487154484232196E-2</v>
      </c>
      <c r="G3071" s="656">
        <v>2.0484345347564579E-2</v>
      </c>
    </row>
    <row r="3072" spans="5:7">
      <c r="E3072" s="661">
        <f ca="1">_xll.meDateFromTenor(E3071,"1D","Following",$C$16)</f>
        <v>47598</v>
      </c>
      <c r="F3072" s="659">
        <f ca="1"/>
        <v>2.048809473696523E-2</v>
      </c>
      <c r="G3072" s="656">
        <v>2.0485328018800958E-2</v>
      </c>
    </row>
    <row r="3073" spans="5:7">
      <c r="E3073" s="661">
        <f ca="1">_xll.meDateFromTenor(E3072,"1D","Following",$C$16)</f>
        <v>47599</v>
      </c>
      <c r="F3073" s="659">
        <f ca="1"/>
        <v>2.0489032848905617E-2</v>
      </c>
      <c r="G3073" s="656">
        <v>2.0490209499340301E-2</v>
      </c>
    </row>
    <row r="3074" spans="5:7">
      <c r="E3074" s="661">
        <f ca="1">_xll.meDateFromTenor(E3073,"1D","Following",$C$16)</f>
        <v>47602</v>
      </c>
      <c r="F3074" s="659">
        <f ca="1"/>
        <v>2.0491834200302466E-2</v>
      </c>
      <c r="G3074" s="656">
        <v>2.0491179298118056E-2</v>
      </c>
    </row>
    <row r="3075" spans="5:7">
      <c r="E3075" s="661">
        <f ca="1">_xll.meDateFromTenor(E3074,"1D","Following",$C$16)</f>
        <v>47603</v>
      </c>
      <c r="F3075" s="659">
        <f ca="1"/>
        <v>2.0492763609403841E-2</v>
      </c>
      <c r="G3075" s="656">
        <v>2.0492146890385234E-2</v>
      </c>
    </row>
    <row r="3076" spans="5:7">
      <c r="E3076" s="661">
        <f ca="1">_xll.meDateFromTenor(E3075,"1D","Following",$C$16)</f>
        <v>47605</v>
      </c>
      <c r="F3076" s="659">
        <f ca="1"/>
        <v>2.0494615781759189E-2</v>
      </c>
      <c r="G3076" s="656">
        <v>2.0493112258684471E-2</v>
      </c>
    </row>
    <row r="3077" spans="5:7">
      <c r="E3077" s="661">
        <f ca="1">_xll.meDateFromTenor(E3076,"1D","Following",$C$16)</f>
        <v>47606</v>
      </c>
      <c r="F3077" s="659">
        <f ca="1"/>
        <v>2.0495538517079484E-2</v>
      </c>
      <c r="G3077" s="656">
        <v>2.0495994845200767E-2</v>
      </c>
    </row>
    <row r="3078" spans="5:7">
      <c r="E3078" s="661">
        <f ca="1">_xll.meDateFromTenor(E3077,"1D","Following",$C$16)</f>
        <v>47609</v>
      </c>
      <c r="F3078" s="659">
        <f ca="1"/>
        <v>2.0498293152008736E-2</v>
      </c>
      <c r="G3078" s="656">
        <v>2.0496951143054491E-2</v>
      </c>
    </row>
    <row r="3079" spans="5:7">
      <c r="E3079" s="661">
        <f ca="1">_xll.meDateFromTenor(E3078,"1D","Following",$C$16)</f>
        <v>47610</v>
      </c>
      <c r="F3079" s="659">
        <f ca="1"/>
        <v>2.0499206793418479E-2</v>
      </c>
      <c r="G3079" s="656">
        <v>2.0498856787540147E-2</v>
      </c>
    </row>
    <row r="3080" spans="5:7">
      <c r="E3080" s="661">
        <f ca="1">_xll.meDateFromTenor(E3079,"1D","Following",$C$16)</f>
        <v>47611</v>
      </c>
      <c r="F3080" s="659">
        <f ca="1"/>
        <v>2.0500118126433479E-2</v>
      </c>
      <c r="G3080" s="656">
        <v>2.0499806099257327E-2</v>
      </c>
    </row>
    <row r="3081" spans="5:7">
      <c r="E3081" s="661">
        <f ca="1">_xll.meDateFromTenor(E3080,"1D","Following",$C$16)</f>
        <v>47612</v>
      </c>
      <c r="F3081" s="659">
        <f ca="1"/>
        <v>2.0501027141156623E-2</v>
      </c>
      <c r="G3081" s="656">
        <v>2.0502639903499167E-2</v>
      </c>
    </row>
    <row r="3082" spans="5:7">
      <c r="E3082" s="661">
        <f ca="1">_xll.meDateFromTenor(E3081,"1D","Following",$C$16)</f>
        <v>47613</v>
      </c>
      <c r="F3082" s="659">
        <f ca="1"/>
        <v>2.05019338439697E-2</v>
      </c>
      <c r="G3082" s="656">
        <v>2.0503579821342544E-2</v>
      </c>
    </row>
    <row r="3083" spans="5:7">
      <c r="E3083" s="661">
        <f ca="1">_xll.meDateFromTenor(E3082,"1D","Following",$C$16)</f>
        <v>47616</v>
      </c>
      <c r="F3083" s="659">
        <f ca="1"/>
        <v>2.0504640185463635E-2</v>
      </c>
      <c r="G3083" s="656">
        <v>2.0504517413001803E-2</v>
      </c>
    </row>
    <row r="3084" spans="5:7">
      <c r="E3084" s="661">
        <f ca="1">_xll.meDateFromTenor(E3083,"1D","Following",$C$16)</f>
        <v>47617</v>
      </c>
      <c r="F3084" s="659">
        <f ca="1"/>
        <v>2.0505537745151549E-2</v>
      </c>
      <c r="G3084" s="656">
        <v>2.0505452687837645E-2</v>
      </c>
    </row>
    <row r="3085" spans="5:7">
      <c r="E3085" s="661">
        <f ca="1">_xll.meDateFromTenor(E3084,"1D","Following",$C$16)</f>
        <v>47618</v>
      </c>
      <c r="F3085" s="659">
        <f ca="1"/>
        <v>2.0506433045186949E-2</v>
      </c>
      <c r="G3085" s="656">
        <v>2.0506385655210773E-2</v>
      </c>
    </row>
    <row r="3086" spans="5:7">
      <c r="E3086" s="661">
        <f ca="1">_xll.meDateFromTenor(E3085,"1D","Following",$C$16)</f>
        <v>47619</v>
      </c>
      <c r="F3086" s="659">
        <f ca="1"/>
        <v>2.0507326096021357E-2</v>
      </c>
      <c r="G3086" s="656">
        <v>2.0509170806160919E-2</v>
      </c>
    </row>
    <row r="3087" spans="5:7">
      <c r="E3087" s="661">
        <f ca="1">_xll.meDateFromTenor(E3086,"1D","Following",$C$16)</f>
        <v>47620</v>
      </c>
      <c r="F3087" s="659">
        <f ca="1"/>
        <v>2.0508216908106267E-2</v>
      </c>
      <c r="G3087" s="656">
        <v>2.0510094637290224E-2</v>
      </c>
    </row>
    <row r="3088" spans="5:7">
      <c r="E3088" s="661">
        <f ca="1">_xll.meDateFromTenor(E3087,"1D","Following",$C$16)</f>
        <v>47623</v>
      </c>
      <c r="F3088" s="659">
        <f ca="1"/>
        <v>2.0510876016379184E-2</v>
      </c>
      <c r="G3088" s="656">
        <v>2.0511016207760326E-2</v>
      </c>
    </row>
    <row r="3089" spans="5:7">
      <c r="E3089" s="661">
        <f ca="1">_xll.meDateFromTenor(E3088,"1D","Following",$C$16)</f>
        <v>47624</v>
      </c>
      <c r="F3089" s="659">
        <f ca="1"/>
        <v>2.0511757977981254E-2</v>
      </c>
      <c r="G3089" s="656">
        <v>2.0511935526931931E-2</v>
      </c>
    </row>
    <row r="3090" spans="5:7">
      <c r="E3090" s="661">
        <f ca="1">_xll.meDateFromTenor(E3089,"1D","Following",$C$16)</f>
        <v>47625</v>
      </c>
      <c r="F3090" s="659">
        <f ca="1"/>
        <v>2.0512637753091392E-2</v>
      </c>
      <c r="G3090" s="656">
        <v>2.051285260416574E-2</v>
      </c>
    </row>
    <row r="3091" spans="5:7">
      <c r="E3091" s="661">
        <f ca="1">_xll.meDateFromTenor(E3090,"1D","Following",$C$16)</f>
        <v>47626</v>
      </c>
      <c r="F3091" s="659">
        <f ca="1"/>
        <v>2.0513515352161105E-2</v>
      </c>
      <c r="G3091" s="656">
        <v>2.0515590477847404E-2</v>
      </c>
    </row>
    <row r="3092" spans="5:7">
      <c r="E3092" s="661">
        <f ca="1">_xll.meDateFromTenor(E3091,"1D","Following",$C$16)</f>
        <v>47627</v>
      </c>
      <c r="F3092" s="659">
        <f ca="1"/>
        <v>2.0514390785641913E-2</v>
      </c>
      <c r="G3092" s="656">
        <v>2.0516498680937047E-2</v>
      </c>
    </row>
    <row r="3093" spans="5:7">
      <c r="E3093" s="661">
        <f ca="1">_xll.meDateFromTenor(E3092,"1D","Following",$C$16)</f>
        <v>47630</v>
      </c>
      <c r="F3093" s="659">
        <f ca="1"/>
        <v>2.051700419706599E-2</v>
      </c>
      <c r="G3093" s="656">
        <v>2.0517404688892404E-2</v>
      </c>
    </row>
    <row r="3094" spans="5:7">
      <c r="E3094" s="661">
        <f ca="1">_xll.meDateFromTenor(E3093,"1D","Following",$C$16)</f>
        <v>47631</v>
      </c>
      <c r="F3094" s="659">
        <f ca="1"/>
        <v>2.0517871072706272E-2</v>
      </c>
      <c r="G3094" s="656">
        <v>2.0518308511074182E-2</v>
      </c>
    </row>
    <row r="3095" spans="5:7">
      <c r="E3095" s="661">
        <f ca="1">_xll.meDateFromTenor(E3094,"1D","Following",$C$16)</f>
        <v>47632</v>
      </c>
      <c r="F3095" s="659">
        <f ca="1"/>
        <v>2.0518735835015199E-2</v>
      </c>
      <c r="G3095" s="656">
        <v>2.0519210156843076E-2</v>
      </c>
    </row>
    <row r="3096" spans="5:7">
      <c r="E3096" s="661">
        <f ca="1">_xll.meDateFromTenor(E3095,"1D","Following",$C$16)</f>
        <v>47633</v>
      </c>
      <c r="F3096" s="659">
        <f ca="1"/>
        <v>2.0519598494444288E-2</v>
      </c>
      <c r="G3096" s="656">
        <v>2.0521902129279491E-2</v>
      </c>
    </row>
    <row r="3097" spans="5:7">
      <c r="E3097" s="661">
        <f ca="1">_xll.meDateFromTenor(E3096,"1D","Following",$C$16)</f>
        <v>47634</v>
      </c>
      <c r="F3097" s="659">
        <f ca="1"/>
        <v>2.0520459061445045E-2</v>
      </c>
      <c r="G3097" s="656">
        <v>2.0522795163003878E-2</v>
      </c>
    </row>
    <row r="3098" spans="5:7">
      <c r="E3098" s="661">
        <f ca="1">_xll.meDateFromTenor(E3097,"1D","Following",$C$16)</f>
        <v>47637</v>
      </c>
      <c r="F3098" s="659">
        <f ca="1"/>
        <v>2.0523028312392451E-2</v>
      </c>
      <c r="G3098" s="656">
        <v>2.0523686067118897E-2</v>
      </c>
    </row>
    <row r="3099" spans="5:7">
      <c r="E3099" s="661">
        <f ca="1">_xll.meDateFromTenor(E3098,"1D","Following",$C$16)</f>
        <v>47638</v>
      </c>
      <c r="F3099" s="659">
        <f ca="1"/>
        <v>2.0523880614195005E-2</v>
      </c>
      <c r="G3099" s="656">
        <v>2.0524574850985251E-2</v>
      </c>
    </row>
    <row r="3100" spans="5:7">
      <c r="E3100" s="661">
        <f ca="1">_xll.meDateFromTenor(E3099,"1D","Following",$C$16)</f>
        <v>47639</v>
      </c>
      <c r="F3100" s="659">
        <f ca="1"/>
        <v>2.0524730875826784E-2</v>
      </c>
      <c r="G3100" s="656">
        <v>2.0525461523963635E-2</v>
      </c>
    </row>
    <row r="3101" spans="5:7">
      <c r="E3101" s="661">
        <f ca="1">_xll.meDateFromTenor(E3100,"1D","Following",$C$16)</f>
        <v>47640</v>
      </c>
      <c r="F3101" s="659">
        <f ca="1"/>
        <v>2.0525579107739302E-2</v>
      </c>
      <c r="G3101" s="656">
        <v>2.0528108971178023E-2</v>
      </c>
    </row>
    <row r="3102" spans="5:7">
      <c r="E3102" s="661">
        <f ca="1">_xll.meDateFromTenor(E3101,"1D","Following",$C$16)</f>
        <v>47641</v>
      </c>
      <c r="F3102" s="659">
        <f ca="1"/>
        <v>2.0526425320384071E-2</v>
      </c>
      <c r="G3102" s="656">
        <v>2.0528987294211567E-2</v>
      </c>
    </row>
    <row r="3103" spans="5:7">
      <c r="E3103" s="661">
        <f ca="1">_xll.meDateFromTenor(E3102,"1D","Following",$C$16)</f>
        <v>47644</v>
      </c>
      <c r="F3103" s="659">
        <f ca="1"/>
        <v>2.0528951947226988E-2</v>
      </c>
      <c r="G3103" s="656">
        <v>2.0529863553160662E-2</v>
      </c>
    </row>
    <row r="3104" spans="5:7">
      <c r="E3104" s="661">
        <f ca="1">_xll.meDateFromTenor(E3103,"1D","Following",$C$16)</f>
        <v>47645</v>
      </c>
      <c r="F3104" s="659">
        <f ca="1"/>
        <v>2.0529790187315867E-2</v>
      </c>
      <c r="G3104" s="656">
        <v>2.0530737757385994E-2</v>
      </c>
    </row>
    <row r="3105" spans="5:7">
      <c r="E3105" s="661">
        <f ca="1">_xll.meDateFromTenor(E3104,"1D","Following",$C$16)</f>
        <v>47646</v>
      </c>
      <c r="F3105" s="659">
        <f ca="1"/>
        <v>2.0530626460394552E-2</v>
      </c>
      <c r="G3105" s="656">
        <v>2.0531609916248285E-2</v>
      </c>
    </row>
    <row r="3106" spans="5:7">
      <c r="E3106" s="661">
        <f ca="1">_xll.meDateFromTenor(E3105,"1D","Following",$C$16)</f>
        <v>47647</v>
      </c>
      <c r="F3106" s="659">
        <f ca="1"/>
        <v>2.0531460776914558E-2</v>
      </c>
      <c r="G3106" s="656">
        <v>2.0534214214263866E-2</v>
      </c>
    </row>
    <row r="3107" spans="5:7">
      <c r="E3107" s="661">
        <f ca="1">_xll.meDateFromTenor(E3106,"1D","Following",$C$16)</f>
        <v>47648</v>
      </c>
      <c r="F3107" s="659">
        <f ca="1"/>
        <v>2.0532293147327393E-2</v>
      </c>
      <c r="G3107" s="656">
        <v>2.0535078285280974E-2</v>
      </c>
    </row>
    <row r="3108" spans="5:7">
      <c r="E3108" s="661">
        <f ca="1">_xll.meDateFromTenor(E3107,"1D","Following",$C$16)</f>
        <v>47651</v>
      </c>
      <c r="F3108" s="659">
        <f ca="1"/>
        <v>2.053477868643799E-2</v>
      </c>
      <c r="G3108" s="656">
        <v>2.0535940357738543E-2</v>
      </c>
    </row>
    <row r="3109" spans="5:7">
      <c r="E3109" s="661">
        <f ca="1">_xll.meDateFromTenor(E3108,"1D","Following",$C$16)</f>
        <v>47652</v>
      </c>
      <c r="F3109" s="659">
        <f ca="1"/>
        <v>2.0535603376937255E-2</v>
      </c>
      <c r="G3109" s="656">
        <v>2.0536800440997274E-2</v>
      </c>
    </row>
    <row r="3110" spans="5:7">
      <c r="E3110" s="661">
        <f ca="1">_xll.meDateFromTenor(E3109,"1D","Following",$C$16)</f>
        <v>47653</v>
      </c>
      <c r="F3110" s="659">
        <f ca="1"/>
        <v>2.0536426173586905E-2</v>
      </c>
      <c r="G3110" s="656">
        <v>2.0537658544417869E-2</v>
      </c>
    </row>
    <row r="3111" spans="5:7">
      <c r="E3111" s="661">
        <f ca="1">_xll.meDateFromTenor(E3110,"1D","Following",$C$16)</f>
        <v>47654</v>
      </c>
      <c r="F3111" s="659">
        <f ca="1"/>
        <v>2.0537247086838462E-2</v>
      </c>
      <c r="G3111" s="656">
        <v>2.0540221069257871E-2</v>
      </c>
    </row>
    <row r="3112" spans="5:7">
      <c r="E3112" s="661">
        <f ca="1">_xll.meDateFromTenor(E3111,"1D","Following",$C$16)</f>
        <v>47655</v>
      </c>
      <c r="F3112" s="659">
        <f ca="1"/>
        <v>2.0538066127143418E-2</v>
      </c>
      <c r="G3112" s="656">
        <v>2.0541071346932952E-2</v>
      </c>
    </row>
    <row r="3113" spans="5:7">
      <c r="E3113" s="661">
        <f ca="1">_xll.meDateFromTenor(E3112,"1D","Following",$C$16)</f>
        <v>47658</v>
      </c>
      <c r="F3113" s="659">
        <f ca="1"/>
        <v>2.0540512114893869E-2</v>
      </c>
      <c r="G3113" s="656">
        <v>2.0541919691573405E-2</v>
      </c>
    </row>
    <row r="3114" spans="5:7">
      <c r="E3114" s="661">
        <f ca="1">_xll.meDateFromTenor(E3113,"1D","Following",$C$16)</f>
        <v>47659</v>
      </c>
      <c r="F3114" s="659">
        <f ca="1"/>
        <v>2.0541323767927583E-2</v>
      </c>
      <c r="G3114" s="656">
        <v>2.0542766112539936E-2</v>
      </c>
    </row>
    <row r="3115" spans="5:7">
      <c r="E3115" s="661">
        <f ca="1">_xll.meDateFromTenor(E3114,"1D","Following",$C$16)</f>
        <v>47660</v>
      </c>
      <c r="F3115" s="659">
        <f ca="1"/>
        <v>2.0542133600272256E-2</v>
      </c>
      <c r="G3115" s="656">
        <v>2.0543610619193253E-2</v>
      </c>
    </row>
    <row r="3116" spans="5:7">
      <c r="E3116" s="661">
        <f ca="1">_xll.meDateFromTenor(E3115,"1D","Following",$C$16)</f>
        <v>47661</v>
      </c>
      <c r="F3116" s="659">
        <f ca="1"/>
        <v>2.0542941622379414E-2</v>
      </c>
      <c r="G3116" s="656">
        <v>2.0546132746880899E-2</v>
      </c>
    </row>
    <row r="3117" spans="5:7">
      <c r="E3117" s="661">
        <f ca="1">_xll.meDateFromTenor(E3116,"1D","Following",$C$16)</f>
        <v>47662</v>
      </c>
      <c r="F3117" s="659">
        <f ca="1"/>
        <v>2.0543747844700561E-2</v>
      </c>
      <c r="G3117" s="656">
        <v>2.054696968988836E-2</v>
      </c>
    </row>
    <row r="3118" spans="5:7">
      <c r="E3118" s="661">
        <f ca="1">_xll.meDateFromTenor(E3117,"1D","Following",$C$16)</f>
        <v>47665</v>
      </c>
      <c r="F3118" s="659">
        <f ca="1"/>
        <v>2.0546155817463038E-2</v>
      </c>
      <c r="G3118" s="656">
        <v>2.0547804765386105E-2</v>
      </c>
    </row>
    <row r="3119" spans="5:7">
      <c r="E3119" s="661">
        <f ca="1">_xll.meDateFromTenor(E3118,"1D","Following",$C$16)</f>
        <v>47666</v>
      </c>
      <c r="F3119" s="659">
        <f ca="1"/>
        <v>2.0546954945155252E-2</v>
      </c>
      <c r="G3119" s="656">
        <v>2.054863798273485E-2</v>
      </c>
    </row>
    <row r="3120" spans="5:7">
      <c r="E3120" s="661">
        <f ca="1">_xll.meDateFromTenor(E3119,"1D","Following",$C$16)</f>
        <v>47667</v>
      </c>
      <c r="F3120" s="659">
        <f ca="1"/>
        <v>2.0547752325319007E-2</v>
      </c>
      <c r="G3120" s="656">
        <v>2.0549469351295289E-2</v>
      </c>
    </row>
    <row r="3121" spans="5:7">
      <c r="E3121" s="661">
        <f ca="1">_xll.meDateFromTenor(E3120,"1D","Following",$C$16)</f>
        <v>47668</v>
      </c>
      <c r="F3121" s="659">
        <f ca="1"/>
        <v>2.0548547968405825E-2</v>
      </c>
      <c r="G3121" s="656">
        <v>2.0551952457853802E-2</v>
      </c>
    </row>
    <row r="3122" spans="5:7">
      <c r="E3122" s="661">
        <f ca="1">_xll.meDateFromTenor(E3121,"1D","Following",$C$16)</f>
        <v>47669</v>
      </c>
      <c r="F3122" s="659">
        <f ca="1"/>
        <v>2.054934188486721E-2</v>
      </c>
      <c r="G3122" s="656">
        <v>2.0552776524868047E-2</v>
      </c>
    </row>
    <row r="3123" spans="5:7">
      <c r="E3123" s="661">
        <f ca="1">_xll.meDateFromTenor(E3122,"1D","Following",$C$16)</f>
        <v>47672</v>
      </c>
      <c r="F3123" s="659">
        <f ca="1"/>
        <v>2.0551713379013892E-2</v>
      </c>
      <c r="G3123" s="656">
        <v>2.0553598789897494E-2</v>
      </c>
    </row>
    <row r="3124" spans="5:7">
      <c r="E3124" s="661">
        <f ca="1">_xll.meDateFromTenor(E3123,"1D","Following",$C$16)</f>
        <v>47673</v>
      </c>
      <c r="F3124" s="659">
        <f ca="1"/>
        <v>2.0552500493488664E-2</v>
      </c>
      <c r="G3124" s="656">
        <v>2.0554419262302857E-2</v>
      </c>
    </row>
    <row r="3125" spans="5:7">
      <c r="E3125" s="661">
        <f ca="1">_xll.meDateFromTenor(E3124,"1D","Following",$C$16)</f>
        <v>47674</v>
      </c>
      <c r="F3125" s="659">
        <f ca="1"/>
        <v>2.0553285933595563E-2</v>
      </c>
      <c r="G3125" s="656">
        <v>2.055523795144483E-2</v>
      </c>
    </row>
    <row r="3126" spans="5:7">
      <c r="E3126" s="661">
        <f ca="1">_xll.meDateFromTenor(E3125,"1D","Following",$C$16)</f>
        <v>47675</v>
      </c>
      <c r="F3126" s="659">
        <f ca="1"/>
        <v>2.0554069709786099E-2</v>
      </c>
      <c r="G3126" s="656">
        <v>2.0557683412897435E-2</v>
      </c>
    </row>
    <row r="3127" spans="5:7">
      <c r="E3127" s="661">
        <f ca="1">_xll.meDateFromTenor(E3126,"1D","Following",$C$16)</f>
        <v>47676</v>
      </c>
      <c r="F3127" s="659">
        <f ca="1"/>
        <v>2.0554851832511784E-2</v>
      </c>
      <c r="G3127" s="656">
        <v>2.0558495062592871E-2</v>
      </c>
    </row>
    <row r="3128" spans="5:7">
      <c r="E3128" s="661">
        <f ca="1">_xll.meDateFromTenor(E3127,"1D","Following",$C$16)</f>
        <v>47679</v>
      </c>
      <c r="F3128" s="659">
        <f ca="1"/>
        <v>2.0557188384414841E-2</v>
      </c>
      <c r="G3128" s="656">
        <v>2.0559304975828436E-2</v>
      </c>
    </row>
    <row r="3129" spans="5:7">
      <c r="E3129" s="661">
        <f ca="1">_xll.meDateFromTenor(E3128,"1D","Following",$C$16)</f>
        <v>47680</v>
      </c>
      <c r="F3129" s="659">
        <f ca="1"/>
        <v>2.0557963997796233E-2</v>
      </c>
      <c r="G3129" s="656">
        <v>2.0560113161964821E-2</v>
      </c>
    </row>
    <row r="3130" spans="5:7">
      <c r="E3130" s="661">
        <f ca="1">_xll.meDateFromTenor(E3129,"1D","Following",$C$16)</f>
        <v>47681</v>
      </c>
      <c r="F3130" s="659">
        <f ca="1"/>
        <v>2.055873800997033E-2</v>
      </c>
      <c r="G3130" s="656">
        <v>2.0560919630362735E-2</v>
      </c>
    </row>
    <row r="3131" spans="5:7">
      <c r="E3131" s="661">
        <f ca="1">_xll.meDateFromTenor(E3130,"1D","Following",$C$16)</f>
        <v>47682</v>
      </c>
      <c r="F3131" s="659">
        <f ca="1"/>
        <v>2.0559510431388643E-2</v>
      </c>
      <c r="G3131" s="656">
        <v>2.0563328822732652E-2</v>
      </c>
    </row>
    <row r="3132" spans="5:7">
      <c r="E3132" s="661">
        <f ca="1">_xll.meDateFromTenor(E3131,"1D","Following",$C$16)</f>
        <v>47683</v>
      </c>
      <c r="F3132" s="659">
        <f ca="1"/>
        <v>2.0560281272502687E-2</v>
      </c>
      <c r="G3132" s="656">
        <v>2.0564128513783701E-2</v>
      </c>
    </row>
    <row r="3133" spans="5:7">
      <c r="E3133" s="661">
        <f ca="1">_xll.meDateFromTenor(E3132,"1D","Following",$C$16)</f>
        <v>47686</v>
      </c>
      <c r="F3133" s="659">
        <f ca="1"/>
        <v>2.0562584418534296E-2</v>
      </c>
      <c r="G3133" s="656">
        <v>2.0564926533899776E-2</v>
      </c>
    </row>
    <row r="3134" spans="5:7">
      <c r="E3134" s="661">
        <f ca="1">_xll.meDateFromTenor(E3133,"1D","Following",$C$16)</f>
        <v>47687</v>
      </c>
      <c r="F3134" s="659">
        <f ca="1"/>
        <v>2.0563349042946356E-2</v>
      </c>
      <c r="G3134" s="656">
        <v>2.0565722892441598E-2</v>
      </c>
    </row>
    <row r="3135" spans="5:7">
      <c r="E3135" s="661">
        <f ca="1">_xll.meDateFromTenor(E3134,"1D","Following",$C$16)</f>
        <v>47688</v>
      </c>
      <c r="F3135" s="659">
        <f ca="1"/>
        <v>2.0564112139311714E-2</v>
      </c>
      <c r="G3135" s="656">
        <v>2.056651759876986E-2</v>
      </c>
    </row>
    <row r="3136" spans="5:7">
      <c r="E3136" s="661">
        <f ca="1">_xll.meDateFromTenor(E3135,"1D","Following",$C$16)</f>
        <v>47689</v>
      </c>
      <c r="F3136" s="659">
        <f ca="1"/>
        <v>2.0564873718081866E-2</v>
      </c>
      <c r="G3136" s="656">
        <v>2.0568891898080324E-2</v>
      </c>
    </row>
    <row r="3137" spans="5:7">
      <c r="E3137" s="661">
        <f ca="1">_xll.meDateFromTenor(E3136,"1D","Following",$C$16)</f>
        <v>47690</v>
      </c>
      <c r="F3137" s="659">
        <f ca="1"/>
        <v>2.0565633789708323E-2</v>
      </c>
      <c r="G3137" s="656">
        <v>2.056968008916138E-2</v>
      </c>
    </row>
    <row r="3138" spans="5:7">
      <c r="E3138" s="661">
        <f ca="1">_xll.meDateFromTenor(E3137,"1D","Following",$C$16)</f>
        <v>47693</v>
      </c>
      <c r="F3138" s="659">
        <f ca="1"/>
        <v>2.0567905066240653E-2</v>
      </c>
      <c r="G3138" s="656">
        <v>2.0570466674832383E-2</v>
      </c>
    </row>
    <row r="3139" spans="5:7">
      <c r="E3139" s="661">
        <f ca="1">_xll.meDateFromTenor(E3138,"1D","Following",$C$16)</f>
        <v>47694</v>
      </c>
      <c r="F3139" s="659">
        <f ca="1"/>
        <v>2.0568659213807454E-2</v>
      </c>
      <c r="G3139" s="656">
        <v>2.0571251664454043E-2</v>
      </c>
    </row>
    <row r="3140" spans="5:7">
      <c r="E3140" s="661">
        <f ca="1">_xll.meDateFromTenor(E3139,"1D","Following",$C$16)</f>
        <v>47695</v>
      </c>
      <c r="F3140" s="659">
        <f ca="1"/>
        <v>2.0569411906488123E-2</v>
      </c>
      <c r="G3140" s="656">
        <v>2.057203506738706E-2</v>
      </c>
    </row>
    <row r="3141" spans="5:7">
      <c r="E3141" s="661">
        <f ca="1">_xll.meDateFromTenor(E3140,"1D","Following",$C$16)</f>
        <v>47696</v>
      </c>
      <c r="F3141" s="659">
        <f ca="1"/>
        <v>2.0570163154734165E-2</v>
      </c>
      <c r="G3141" s="656">
        <v>2.0574375849661288E-2</v>
      </c>
    </row>
    <row r="3142" spans="5:7">
      <c r="E3142" s="661">
        <f ca="1">_xll.meDateFromTenor(E3141,"1D","Following",$C$16)</f>
        <v>47697</v>
      </c>
      <c r="F3142" s="659">
        <f ca="1"/>
        <v>2.0570912968997098E-2</v>
      </c>
      <c r="G3142" s="656">
        <v>2.0575152999446761E-2</v>
      </c>
    </row>
    <row r="3143" spans="5:7">
      <c r="E3143" s="661">
        <f ca="1">_xll.meDateFromTenor(E3142,"1D","Following",$C$16)</f>
        <v>47700</v>
      </c>
      <c r="F3143" s="659">
        <f ca="1"/>
        <v>2.0573153912402321E-2</v>
      </c>
      <c r="G3143" s="656">
        <v>2.0575928609347104E-2</v>
      </c>
    </row>
    <row r="3144" spans="5:7">
      <c r="E3144" s="661">
        <f ca="1">_xll.meDateFromTenor(E3143,"1D","Following",$C$16)</f>
        <v>47701</v>
      </c>
      <c r="F3144" s="659">
        <f ca="1"/>
        <v>2.0573898095247917E-2</v>
      </c>
      <c r="G3144" s="656">
        <v>2.0576702688723015E-2</v>
      </c>
    </row>
    <row r="3145" spans="5:7">
      <c r="E3145" s="661">
        <f ca="1">_xll.meDateFromTenor(E3144,"1D","Following",$C$16)</f>
        <v>47702</v>
      </c>
      <c r="F3145" s="659">
        <f ca="1"/>
        <v>2.0574640896367954E-2</v>
      </c>
      <c r="G3145" s="656">
        <v>2.0577475246935199E-2</v>
      </c>
    </row>
    <row r="3146" spans="5:7">
      <c r="E3146" s="661">
        <f ca="1">_xll.meDateFromTenor(E3145,"1D","Following",$C$16)</f>
        <v>47703</v>
      </c>
      <c r="F3146" s="659">
        <f ca="1"/>
        <v>2.0575382326213951E-2</v>
      </c>
      <c r="G3146" s="656">
        <v>2.057978388819641E-2</v>
      </c>
    </row>
    <row r="3147" spans="5:7">
      <c r="E3147" s="661">
        <f ca="1">_xll.meDateFromTenor(E3146,"1D","Following",$C$16)</f>
        <v>47704</v>
      </c>
      <c r="F3147" s="659">
        <f ca="1"/>
        <v>2.0576122395237411E-2</v>
      </c>
      <c r="G3147" s="656">
        <v>2.058055045536071E-2</v>
      </c>
    </row>
    <row r="3148" spans="5:7">
      <c r="E3148" s="661">
        <f ca="1">_xll.meDateFromTenor(E3147,"1D","Following",$C$16)</f>
        <v>47707</v>
      </c>
      <c r="F3148" s="659">
        <f ca="1"/>
        <v>2.0578334541887712E-2</v>
      </c>
      <c r="G3148" s="656">
        <v>2.0581315548164794E-2</v>
      </c>
    </row>
    <row r="3149" spans="5:7">
      <c r="E3149" s="661">
        <f ca="1">_xll.meDateFromTenor(E3148,"1D","Following",$C$16)</f>
        <v>47708</v>
      </c>
      <c r="F3149" s="659">
        <f ca="1"/>
        <v>2.0579069272136159E-2</v>
      </c>
      <c r="G3149" s="656">
        <v>2.0582079175969364E-2</v>
      </c>
    </row>
    <row r="3150" spans="5:7">
      <c r="E3150" s="661">
        <f ca="1">_xll.meDateFromTenor(E3149,"1D","Following",$C$16)</f>
        <v>47709</v>
      </c>
      <c r="F3150" s="659">
        <f ca="1"/>
        <v>2.0579802693819628E-2</v>
      </c>
      <c r="G3150" s="656">
        <v>2.0582841348135122E-2</v>
      </c>
    </row>
    <row r="3151" spans="5:7">
      <c r="E3151" s="661">
        <f ca="1">_xll.meDateFromTenor(E3150,"1D","Following",$C$16)</f>
        <v>47710</v>
      </c>
      <c r="F3151" s="659">
        <f ca="1"/>
        <v>2.0580534817389633E-2</v>
      </c>
      <c r="G3151" s="656">
        <v>2.0585119224406551E-2</v>
      </c>
    </row>
    <row r="3152" spans="5:7">
      <c r="E3152" s="661">
        <f ca="1">_xll.meDateFromTenor(E3151,"1D","Following",$C$16)</f>
        <v>47711</v>
      </c>
      <c r="F3152" s="659">
        <f ca="1"/>
        <v>2.0581265653297681E-2</v>
      </c>
      <c r="G3152" s="656">
        <v>2.0585875667624084E-2</v>
      </c>
    </row>
    <row r="3153" spans="5:7">
      <c r="E3153" s="661">
        <f ca="1">_xll.meDateFromTenor(E3152,"1D","Following",$C$16)</f>
        <v>47714</v>
      </c>
      <c r="F3153" s="659">
        <f ca="1"/>
        <v>2.0583450539565232E-2</v>
      </c>
      <c r="G3153" s="656">
        <v>2.0586630702006312E-2</v>
      </c>
    </row>
    <row r="3154" spans="5:7">
      <c r="E3154" s="661">
        <f ca="1">_xll.meDateFromTenor(E3153,"1D","Following",$C$16)</f>
        <v>47715</v>
      </c>
      <c r="F3154" s="659">
        <f ca="1"/>
        <v>2.0584176329340582E-2</v>
      </c>
      <c r="G3154" s="656">
        <v>2.0587384336913952E-2</v>
      </c>
    </row>
    <row r="3155" spans="5:7">
      <c r="E3155" s="661">
        <f ca="1">_xll.meDateFromTenor(E3154,"1D","Following",$C$16)</f>
        <v>47716</v>
      </c>
      <c r="F3155" s="659">
        <f ca="1"/>
        <v>2.0584900883711538E-2</v>
      </c>
      <c r="G3155" s="656">
        <v>2.0588136581707685E-2</v>
      </c>
    </row>
    <row r="3156" spans="5:7">
      <c r="E3156" s="661">
        <f ca="1">_xll.meDateFromTenor(E3155,"1D","Following",$C$16)</f>
        <v>47717</v>
      </c>
      <c r="F3156" s="659">
        <f ca="1"/>
        <v>2.0585624213129611E-2</v>
      </c>
      <c r="G3156" s="656">
        <v>2.0590385069012552E-2</v>
      </c>
    </row>
    <row r="3157" spans="5:7">
      <c r="E3157" s="661">
        <f ca="1">_xll.meDateFromTenor(E3156,"1D","Following",$C$16)</f>
        <v>47718</v>
      </c>
      <c r="F3157" s="659">
        <f ca="1"/>
        <v>2.0586346328046307E-2</v>
      </c>
      <c r="G3157" s="656">
        <v>2.0591131846957728E-2</v>
      </c>
    </row>
    <row r="3158" spans="5:7">
      <c r="E3158" s="661">
        <f ca="1">_xll.meDateFromTenor(E3157,"1D","Following",$C$16)</f>
        <v>47721</v>
      </c>
      <c r="F3158" s="659">
        <f ca="1"/>
        <v>2.0588505490303277E-2</v>
      </c>
      <c r="G3158" s="656">
        <v>2.0591877281592522E-2</v>
      </c>
    </row>
    <row r="3159" spans="5:7">
      <c r="E3159" s="661">
        <f ca="1">_xll.meDateFromTenor(E3158,"1D","Following",$C$16)</f>
        <v>47722</v>
      </c>
      <c r="F3159" s="659">
        <f ca="1"/>
        <v>2.0589222851729597E-2</v>
      </c>
      <c r="G3159" s="656">
        <v>2.0592621382277628E-2</v>
      </c>
    </row>
    <row r="3160" spans="5:7">
      <c r="E3160" s="661">
        <f ca="1">_xll.meDateFromTenor(E3159,"1D","Following",$C$16)</f>
        <v>47723</v>
      </c>
      <c r="F3160" s="659">
        <f ca="1"/>
        <v>2.0589939050912092E-2</v>
      </c>
      <c r="G3160" s="656">
        <v>2.0593364158373758E-2</v>
      </c>
    </row>
    <row r="3161" spans="5:7">
      <c r="E3161" s="661">
        <f ca="1">_xll.meDateFromTenor(E3160,"1D","Following",$C$16)</f>
        <v>47724</v>
      </c>
      <c r="F3161" s="659">
        <f ca="1"/>
        <v>2.059065409830229E-2</v>
      </c>
      <c r="G3161" s="656">
        <v>2.0595584632735277E-2</v>
      </c>
    </row>
    <row r="3162" spans="5:7">
      <c r="E3162" s="661">
        <f ca="1">_xll.meDateFromTenor(E3161,"1D","Following",$C$16)</f>
        <v>47725</v>
      </c>
      <c r="F3162" s="659">
        <f ca="1"/>
        <v>2.0591368004351698E-2</v>
      </c>
      <c r="G3162" s="656">
        <v>2.0596322204082508E-2</v>
      </c>
    </row>
    <row r="3163" spans="5:7">
      <c r="E3163" s="661">
        <f ca="1">_xll.meDateFromTenor(E3162,"1D","Following",$C$16)</f>
        <v>47728</v>
      </c>
      <c r="F3163" s="659">
        <f ca="1"/>
        <v>2.0593502978970259E-2</v>
      </c>
      <c r="G3163" s="656">
        <v>2.0597058497644264E-2</v>
      </c>
    </row>
    <row r="3164" spans="5:7">
      <c r="E3164" s="661">
        <f ca="1">_xll.meDateFromTenor(E3163,"1D","Following",$C$16)</f>
        <v>47729</v>
      </c>
      <c r="F3164" s="659">
        <f ca="1"/>
        <v>2.0594212424171601E-2</v>
      </c>
      <c r="G3164" s="656">
        <v>2.0597793522781255E-2</v>
      </c>
    </row>
    <row r="3165" spans="5:7">
      <c r="E3165" s="661">
        <f ca="1">_xll.meDateFromTenor(E3164,"1D","Following",$C$16)</f>
        <v>47730</v>
      </c>
      <c r="F3165" s="659">
        <f ca="1"/>
        <v>2.0594920780289707E-2</v>
      </c>
      <c r="G3165" s="656">
        <v>2.0598527288854182E-2</v>
      </c>
    </row>
    <row r="3166" spans="5:7">
      <c r="E3166" s="661">
        <f ca="1">_xll.meDateFromTenor(E3165,"1D","Following",$C$16)</f>
        <v>47731</v>
      </c>
      <c r="F3166" s="659">
        <f ca="1"/>
        <v>2.0595628057776087E-2</v>
      </c>
      <c r="G3166" s="656">
        <v>2.0600721126295587E-2</v>
      </c>
    </row>
    <row r="3167" spans="5:7">
      <c r="E3167" s="661">
        <f ca="1">_xll.meDateFromTenor(E3166,"1D","Following",$C$16)</f>
        <v>47732</v>
      </c>
      <c r="F3167" s="659">
        <f ca="1"/>
        <v>2.0596334267082253E-2</v>
      </c>
      <c r="G3167" s="656">
        <v>2.0601449949719273E-2</v>
      </c>
    </row>
    <row r="3168" spans="5:7">
      <c r="E3168" s="661">
        <f ca="1">_xll.meDateFromTenor(E3167,"1D","Following",$C$16)</f>
        <v>47735</v>
      </c>
      <c r="F3168" s="659">
        <f ca="1"/>
        <v>2.0598446590434583E-2</v>
      </c>
      <c r="G3168" s="656">
        <v>2.0602177560882406E-2</v>
      </c>
    </row>
    <row r="3169" spans="5:7">
      <c r="E3169" s="661">
        <f ca="1">_xll.meDateFromTenor(E3168,"1D","Following",$C$16)</f>
        <v>47736</v>
      </c>
      <c r="F3169" s="659">
        <f ca="1"/>
        <v>2.0599148631535003E-2</v>
      </c>
      <c r="G3169" s="656">
        <v>2.0602903969145686E-2</v>
      </c>
    </row>
    <row r="3170" spans="5:7">
      <c r="E3170" s="661">
        <f ca="1">_xll.meDateFromTenor(E3169,"1D","Following",$C$16)</f>
        <v>47737</v>
      </c>
      <c r="F3170" s="659">
        <f ca="1"/>
        <v>2.0599849656712774E-2</v>
      </c>
      <c r="G3170" s="656">
        <v>2.0603629183869817E-2</v>
      </c>
    </row>
    <row r="3171" spans="5:7">
      <c r="E3171" s="661">
        <f ca="1">_xll.meDateFromTenor(E3170,"1D","Following",$C$16)</f>
        <v>47738</v>
      </c>
      <c r="F3171" s="659">
        <f ca="1"/>
        <v>2.0600549676419392E-2</v>
      </c>
      <c r="G3171" s="656">
        <v>2.0605797760414334E-2</v>
      </c>
    </row>
    <row r="3172" spans="5:7">
      <c r="E3172" s="661">
        <f ca="1">_xll.meDateFromTenor(E3171,"1D","Following",$C$16)</f>
        <v>47739</v>
      </c>
      <c r="F3172" s="659">
        <f ca="1"/>
        <v>2.060124870110638E-2</v>
      </c>
      <c r="G3172" s="656">
        <v>2.0606518294588889E-2</v>
      </c>
    </row>
    <row r="3173" spans="5:7">
      <c r="E3173" s="661">
        <f ca="1">_xll.meDateFromTenor(E3172,"1D","Following",$C$16)</f>
        <v>47742</v>
      </c>
      <c r="F3173" s="659">
        <f ca="1"/>
        <v>2.0603339909564655E-2</v>
      </c>
      <c r="G3173" s="656">
        <v>2.0607237682027806E-2</v>
      </c>
    </row>
    <row r="3174" spans="5:7">
      <c r="E3174" s="661">
        <f ca="1">_xll.meDateFromTenor(E3173,"1D","Following",$C$16)</f>
        <v>47743</v>
      </c>
      <c r="F3174" s="659">
        <f ca="1"/>
        <v>2.0604035058688217E-2</v>
      </c>
      <c r="G3174" s="656">
        <v>2.0607955932091779E-2</v>
      </c>
    </row>
    <row r="3175" spans="5:7">
      <c r="E3175" s="661">
        <f ca="1">_xll.meDateFromTenor(E3174,"1D","Following",$C$16)</f>
        <v>47744</v>
      </c>
      <c r="F3175" s="659">
        <f ca="1"/>
        <v>2.0604729265049703E-2</v>
      </c>
      <c r="G3175" s="656">
        <v>2.0608673054141526E-2</v>
      </c>
    </row>
    <row r="3176" spans="5:7">
      <c r="E3176" s="661">
        <f ca="1">_xll.meDateFromTenor(E3175,"1D","Following",$C$16)</f>
        <v>47745</v>
      </c>
      <c r="F3176" s="659">
        <f ca="1"/>
        <v>2.0605422539100627E-2</v>
      </c>
      <c r="G3176" s="656">
        <v>2.061081774581237E-2</v>
      </c>
    </row>
    <row r="3177" spans="5:7">
      <c r="E3177" s="661">
        <f ca="1">_xll.meDateFromTenor(E3176,"1D","Following",$C$16)</f>
        <v>47746</v>
      </c>
      <c r="F3177" s="659">
        <f ca="1"/>
        <v>2.0606114891292493E-2</v>
      </c>
      <c r="G3177" s="656">
        <v>2.0611530449412201E-2</v>
      </c>
    </row>
    <row r="3178" spans="5:7">
      <c r="E3178" s="661">
        <f ca="1">_xll.meDateFromTenor(E3177,"1D","Following",$C$16)</f>
        <v>47749</v>
      </c>
      <c r="F3178" s="659">
        <f ca="1"/>
        <v>2.0608186521228877E-2</v>
      </c>
      <c r="G3178" s="656">
        <v>2.0612242071801307E-2</v>
      </c>
    </row>
    <row r="3179" spans="5:7">
      <c r="E3179" s="661">
        <f ca="1">_xll.meDateFromTenor(E3178,"1D","Following",$C$16)</f>
        <v>47750</v>
      </c>
      <c r="F3179" s="659">
        <f ca="1"/>
        <v>2.0608875290499644E-2</v>
      </c>
      <c r="G3179" s="656">
        <v>2.0612952622340388E-2</v>
      </c>
    </row>
    <row r="3180" spans="5:7">
      <c r="E3180" s="661">
        <f ca="1">_xll.meDateFromTenor(E3179,"1D","Following",$C$16)</f>
        <v>47751</v>
      </c>
      <c r="F3180" s="659">
        <f ca="1"/>
        <v>2.0609563190168906E-2</v>
      </c>
      <c r="G3180" s="656">
        <v>2.0613662110390153E-2</v>
      </c>
    </row>
    <row r="3181" spans="5:7">
      <c r="E3181" s="661">
        <f ca="1">_xll.meDateFromTenor(E3180,"1D","Following",$C$16)</f>
        <v>47752</v>
      </c>
      <c r="F3181" s="659">
        <f ca="1"/>
        <v>2.0610250230688187E-2</v>
      </c>
      <c r="G3181" s="656">
        <v>2.0615784293210562E-2</v>
      </c>
    </row>
    <row r="3182" spans="5:7">
      <c r="E3182" s="661">
        <f ca="1">_xll.meDateFromTenor(E3181,"1D","Following",$C$16)</f>
        <v>47753</v>
      </c>
      <c r="F3182" s="659">
        <f ca="1"/>
        <v>2.0610936422508989E-2</v>
      </c>
      <c r="G3182" s="656">
        <v>2.061648962491007E-2</v>
      </c>
    </row>
    <row r="3183" spans="5:7">
      <c r="E3183" s="661">
        <f ca="1">_xll.meDateFromTenor(E3182,"1D","Following",$C$16)</f>
        <v>47756</v>
      </c>
      <c r="F3183" s="659">
        <f ca="1"/>
        <v>2.0612990010295661E-2</v>
      </c>
      <c r="G3183" s="656">
        <v>2.0617193940923772E-2</v>
      </c>
    </row>
    <row r="3184" spans="5:7">
      <c r="E3184" s="661">
        <f ca="1">_xll.meDateFromTenor(E3183,"1D","Following",$C$16)</f>
        <v>47757</v>
      </c>
      <c r="F3184" s="659">
        <f ca="1"/>
        <v>2.0613672911837681E-2</v>
      </c>
      <c r="G3184" s="656">
        <v>2.0617897250612371E-2</v>
      </c>
    </row>
    <row r="3185" spans="5:7">
      <c r="E3185" s="661">
        <f ca="1">_xll.meDateFromTenor(E3184,"1D","Following",$C$16)</f>
        <v>47758</v>
      </c>
      <c r="F3185" s="659">
        <f ca="1"/>
        <v>2.0614355016938785E-2</v>
      </c>
      <c r="G3185" s="656">
        <v>2.0618599563336566E-2</v>
      </c>
    </row>
    <row r="3186" spans="5:7">
      <c r="E3186" s="661">
        <f ca="1">_xll.meDateFromTenor(E3185,"1D","Following",$C$16)</f>
        <v>47759</v>
      </c>
      <c r="F3186" s="659">
        <f ca="1"/>
        <v>2.0615036336050475E-2</v>
      </c>
      <c r="G3186" s="656">
        <v>2.0620700613329754E-2</v>
      </c>
    </row>
    <row r="3187" spans="5:7">
      <c r="E3187" s="661">
        <f ca="1">_xll.meDateFromTenor(E3186,"1D","Following",$C$16)</f>
        <v>47760</v>
      </c>
      <c r="F3187" s="659">
        <f ca="1"/>
        <v>2.0615716879624275E-2</v>
      </c>
      <c r="G3187" s="656">
        <v>2.0621399031803354E-2</v>
      </c>
    </row>
    <row r="3188" spans="5:7">
      <c r="E3188" s="661">
        <f ca="1">_xll.meDateFromTenor(E3187,"1D","Following",$C$16)</f>
        <v>47763</v>
      </c>
      <c r="F3188" s="659">
        <f ca="1"/>
        <v>2.0617753961633414E-2</v>
      </c>
      <c r="G3188" s="656">
        <v>2.0622096500116059E-2</v>
      </c>
    </row>
    <row r="3189" spans="5:7">
      <c r="E3189" s="661">
        <f ca="1">_xll.meDateFromTenor(E3188,"1D","Following",$C$16)</f>
        <v>47764</v>
      </c>
      <c r="F3189" s="659">
        <f ca="1"/>
        <v>2.0618431507570745E-2</v>
      </c>
      <c r="G3189" s="656">
        <v>2.0622793027628584E-2</v>
      </c>
    </row>
    <row r="3190" spans="5:7">
      <c r="E3190" s="661">
        <f ca="1">_xll.meDateFromTenor(E3189,"1D","Following",$C$16)</f>
        <v>47765</v>
      </c>
      <c r="F3190" s="659">
        <f ca="1"/>
        <v>2.0619108330227742E-2</v>
      </c>
      <c r="G3190" s="656">
        <v>2.0623488623701614E-2</v>
      </c>
    </row>
    <row r="3191" spans="5:7">
      <c r="E3191" s="661">
        <f ca="1">_xll.meDateFromTenor(E3190,"1D","Following",$C$16)</f>
        <v>47766</v>
      </c>
      <c r="F3191" s="659">
        <f ca="1"/>
        <v>2.0619784440055907E-2</v>
      </c>
      <c r="G3191" s="656">
        <v>2.0625569916890803E-2</v>
      </c>
    </row>
    <row r="3192" spans="5:7">
      <c r="E3192" s="661">
        <f ca="1">_xll.meDateFromTenor(E3191,"1D","Following",$C$16)</f>
        <v>47767</v>
      </c>
      <c r="F3192" s="659">
        <f ca="1"/>
        <v>2.062045984750676E-2</v>
      </c>
      <c r="G3192" s="656">
        <v>2.0626261880812905E-2</v>
      </c>
    </row>
    <row r="3193" spans="5:7">
      <c r="E3193" s="661">
        <f ca="1">_xll.meDateFromTenor(E3192,"1D","Following",$C$16)</f>
        <v>47770</v>
      </c>
      <c r="F3193" s="659">
        <f ca="1"/>
        <v>2.0622481960110534E-2</v>
      </c>
      <c r="G3193" s="656">
        <v>2.0626952960099032E-2</v>
      </c>
    </row>
    <row r="3194" spans="5:7">
      <c r="E3194" s="661">
        <f ca="1">_xll.meDateFromTenor(E3193,"1D","Following",$C$16)</f>
        <v>47771</v>
      </c>
      <c r="F3194" s="659">
        <f ca="1"/>
        <v>2.0623154662567238E-2</v>
      </c>
      <c r="G3194" s="656">
        <v>2.062764316410988E-2</v>
      </c>
    </row>
    <row r="3195" spans="5:7">
      <c r="E3195" s="661">
        <f ca="1">_xll.meDateFromTenor(E3194,"1D","Following",$C$16)</f>
        <v>47772</v>
      </c>
      <c r="F3195" s="659">
        <f ca="1"/>
        <v>2.0623826714904182E-2</v>
      </c>
      <c r="G3195" s="656">
        <v>2.0628332502206154E-2</v>
      </c>
    </row>
    <row r="3196" spans="5:7">
      <c r="E3196" s="661">
        <f ca="1">_xll.meDateFromTenor(E3195,"1D","Following",$C$16)</f>
        <v>47773</v>
      </c>
      <c r="F3196" s="659">
        <f ca="1"/>
        <v>2.0624498127572884E-2</v>
      </c>
      <c r="G3196" s="656">
        <v>2.0630395414614571E-2</v>
      </c>
    </row>
    <row r="3197" spans="5:7">
      <c r="E3197" s="661">
        <f ca="1">_xll.meDateFromTenor(E3196,"1D","Following",$C$16)</f>
        <v>47774</v>
      </c>
      <c r="F3197" s="659">
        <f ca="1"/>
        <v>2.0625168911024849E-2</v>
      </c>
      <c r="G3197" s="656">
        <v>2.063108138265958E-2</v>
      </c>
    </row>
    <row r="3198" spans="5:7">
      <c r="E3198" s="661">
        <f ca="1">_xll.meDateFromTenor(E3197,"1D","Following",$C$16)</f>
        <v>47777</v>
      </c>
      <c r="F3198" s="659">
        <f ca="1"/>
        <v>2.0627177590595437E-2</v>
      </c>
      <c r="G3198" s="656">
        <v>2.0631766531593529E-2</v>
      </c>
    </row>
    <row r="3199" spans="5:7">
      <c r="E3199" s="661">
        <f ca="1">_xll.meDateFromTenor(E3198,"1D","Following",$C$16)</f>
        <v>47778</v>
      </c>
      <c r="F3199" s="659">
        <f ca="1"/>
        <v>2.0627845961695566E-2</v>
      </c>
      <c r="G3199" s="656">
        <v>2.0632450870777117E-2</v>
      </c>
    </row>
    <row r="3200" spans="5:7">
      <c r="E3200" s="661">
        <f ca="1">_xll.meDateFromTenor(E3199,"1D","Following",$C$16)</f>
        <v>47779</v>
      </c>
      <c r="F3200" s="659">
        <f ca="1"/>
        <v>2.0628513755836523E-2</v>
      </c>
      <c r="G3200" s="656">
        <v>2.0633134409571045E-2</v>
      </c>
    </row>
    <row r="3201" spans="5:7">
      <c r="E3201" s="661">
        <f ca="1">_xll.meDateFromTenor(E3200,"1D","Following",$C$16)</f>
        <v>47780</v>
      </c>
      <c r="F3201" s="659">
        <f ca="1"/>
        <v>2.0629180983469813E-2</v>
      </c>
      <c r="G3201" s="656">
        <v>2.0635180317221915E-2</v>
      </c>
    </row>
    <row r="3202" spans="5:7">
      <c r="E3202" s="661">
        <f ca="1">_xll.meDateFromTenor(E3201,"1D","Following",$C$16)</f>
        <v>47781</v>
      </c>
      <c r="F3202" s="659">
        <f ca="1"/>
        <v>2.062984765504694E-2</v>
      </c>
      <c r="G3202" s="656">
        <v>2.0635860748064241E-2</v>
      </c>
    </row>
    <row r="3203" spans="5:7">
      <c r="E3203" s="661">
        <f ca="1">_xll.meDateFromTenor(E3202,"1D","Following",$C$16)</f>
        <v>47784</v>
      </c>
      <c r="F3203" s="659">
        <f ca="1"/>
        <v>2.0631844437956518E-2</v>
      </c>
      <c r="G3203" s="656">
        <v>2.0636540425320416E-2</v>
      </c>
    </row>
    <row r="3204" spans="5:7">
      <c r="E3204" s="661">
        <f ca="1">_xll.meDateFromTenor(E3203,"1D","Following",$C$16)</f>
        <v>47785</v>
      </c>
      <c r="F3204" s="659">
        <f ca="1"/>
        <v>2.063250898982414E-2</v>
      </c>
      <c r="G3204" s="656">
        <v>2.0637219358351153E-2</v>
      </c>
    </row>
    <row r="3205" spans="5:7">
      <c r="E3205" s="661">
        <f ca="1">_xll.meDateFromTenor(E3204,"1D","Following",$C$16)</f>
        <v>47786</v>
      </c>
      <c r="F3205" s="659">
        <f ca="1"/>
        <v>2.0633173037893159E-2</v>
      </c>
      <c r="G3205" s="656">
        <v>2.063789755651714E-2</v>
      </c>
    </row>
    <row r="3206" spans="5:7">
      <c r="E3206" s="661">
        <f ca="1">_xll.meDateFromTenor(E3205,"1D","Following",$C$16)</f>
        <v>47787</v>
      </c>
      <c r="F3206" s="659">
        <f ca="1"/>
        <v>2.0633836592615095E-2</v>
      </c>
      <c r="G3206" s="656">
        <v>2.063992783543369E-2</v>
      </c>
    </row>
    <row r="3207" spans="5:7">
      <c r="E3207" s="661">
        <f ca="1">_xll.meDateFromTenor(E3206,"1D","Following",$C$16)</f>
        <v>47788</v>
      </c>
      <c r="F3207" s="659">
        <f ca="1"/>
        <v>2.0634499664441454E-2</v>
      </c>
      <c r="G3207" s="656">
        <v>2.0640603187747734E-2</v>
      </c>
    </row>
    <row r="3208" spans="5:7">
      <c r="E3208" s="661">
        <f ca="1">_xll.meDateFromTenor(E3207,"1D","Following",$C$16)</f>
        <v>47791</v>
      </c>
      <c r="F3208" s="659">
        <f ca="1"/>
        <v>2.0636486087062183E-2</v>
      </c>
      <c r="G3208" s="656">
        <v>2.064127785200055E-2</v>
      </c>
    </row>
    <row r="3209" spans="5:7">
      <c r="E3209" s="661">
        <f ca="1">_xll.meDateFromTenor(E3208,"1D","Following",$C$16)</f>
        <v>47792</v>
      </c>
      <c r="F3209" s="659">
        <f ca="1"/>
        <v>2.0637147331821357E-2</v>
      </c>
      <c r="G3209" s="656">
        <v>2.0641951837552835E-2</v>
      </c>
    </row>
    <row r="3210" spans="5:7">
      <c r="E3210" s="661">
        <f ca="1">_xll.meDateFromTenor(E3209,"1D","Following",$C$16)</f>
        <v>47793</v>
      </c>
      <c r="F3210" s="659">
        <f ca="1"/>
        <v>2.0637808145942502E-2</v>
      </c>
      <c r="G3210" s="656">
        <v>2.06426251537653E-2</v>
      </c>
    </row>
    <row r="3211" spans="5:7">
      <c r="E3211" s="661">
        <f ca="1">_xll.meDateFromTenor(E3210,"1D","Following",$C$16)</f>
        <v>47794</v>
      </c>
      <c r="F3211" s="659">
        <f ca="1"/>
        <v>2.063846853987714E-2</v>
      </c>
      <c r="G3211" s="656">
        <v>2.0644641179970745E-2</v>
      </c>
    </row>
    <row r="3212" spans="5:7">
      <c r="E3212" s="661">
        <f ca="1">_xll.meDateFromTenor(E3211,"1D","Following",$C$16)</f>
        <v>47795</v>
      </c>
      <c r="F3212" s="659">
        <f ca="1"/>
        <v>2.0639128524076785E-2</v>
      </c>
      <c r="G3212" s="656">
        <v>2.0645311907772679E-2</v>
      </c>
    </row>
    <row r="3213" spans="5:7">
      <c r="E3213" s="661">
        <f ca="1">_xll.meDateFromTenor(E3212,"1D","Following",$C$16)</f>
        <v>47798</v>
      </c>
      <c r="F3213" s="659">
        <f ca="1"/>
        <v>2.0641105978688182E-2</v>
      </c>
      <c r="G3213" s="656">
        <v>2.0645981985088852E-2</v>
      </c>
    </row>
    <row r="3214" spans="5:7">
      <c r="E3214" s="661">
        <f ca="1">_xll.meDateFromTenor(E3213,"1D","Following",$C$16)</f>
        <v>47799</v>
      </c>
      <c r="F3214" s="659">
        <f ca="1"/>
        <v>2.0641764231002634E-2</v>
      </c>
      <c r="G3214" s="656">
        <v>2.0646651393330512E-2</v>
      </c>
    </row>
    <row r="3215" spans="5:7">
      <c r="E3215" s="661">
        <f ca="1">_xll.meDateFromTenor(E3214,"1D","Following",$C$16)</f>
        <v>47800</v>
      </c>
      <c r="F3215" s="659">
        <f ca="1"/>
        <v>2.0642421997757274E-2</v>
      </c>
      <c r="G3215" s="656">
        <v>2.0647320113908917E-2</v>
      </c>
    </row>
    <row r="3216" spans="5:7">
      <c r="E3216" s="661">
        <f ca="1">_xll.meDateFromTenor(E3215,"1D","Following",$C$16)</f>
        <v>47801</v>
      </c>
      <c r="F3216" s="659">
        <f ca="1"/>
        <v>2.0643079257383023E-2</v>
      </c>
      <c r="G3216" s="656">
        <v>2.0649321963777122E-2</v>
      </c>
    </row>
    <row r="3217" spans="5:7">
      <c r="E3217" s="661">
        <f ca="1">_xll.meDateFromTenor(E3216,"1D","Following",$C$16)</f>
        <v>47802</v>
      </c>
      <c r="F3217" s="659">
        <f ca="1"/>
        <v>2.0643735988310798E-2</v>
      </c>
      <c r="G3217" s="656">
        <v>2.064998774781503E-2</v>
      </c>
    </row>
    <row r="3218" spans="5:7">
      <c r="E3218" s="661">
        <f ca="1">_xll.meDateFromTenor(E3217,"1D","Following",$C$16)</f>
        <v>47805</v>
      </c>
      <c r="F3218" s="659">
        <f ca="1"/>
        <v>2.0645702793215478E-2</v>
      </c>
      <c r="G3218" s="656">
        <v>2.0650652751245953E-2</v>
      </c>
    </row>
    <row r="3219" spans="5:7">
      <c r="E3219" s="661">
        <f ca="1">_xll.meDateFromTenor(E3218,"1D","Following",$C$16)</f>
        <v>47806</v>
      </c>
      <c r="F3219" s="659">
        <f ca="1"/>
        <v>2.0646357193660547E-2</v>
      </c>
      <c r="G3219" s="656">
        <v>2.0651316955481138E-2</v>
      </c>
    </row>
    <row r="3220" spans="5:7">
      <c r="E3220" s="661">
        <f ca="1">_xll.meDateFromTenor(E3219,"1D","Following",$C$16)</f>
        <v>47807</v>
      </c>
      <c r="F3220" s="659">
        <f ca="1"/>
        <v>2.0647010957562245E-2</v>
      </c>
      <c r="G3220" s="656">
        <v>2.0651980341931837E-2</v>
      </c>
    </row>
    <row r="3221" spans="5:7">
      <c r="E3221" s="661">
        <f ca="1">_xll.meDateFromTenor(E3220,"1D","Following",$C$16)</f>
        <v>47808</v>
      </c>
      <c r="F3221" s="659">
        <f ca="1"/>
        <v>2.064766406335148E-2</v>
      </c>
      <c r="G3221" s="656">
        <v>2.0653965408689572E-2</v>
      </c>
    </row>
    <row r="3222" spans="5:7">
      <c r="E3222" s="661">
        <f ca="1">_xll.meDateFromTenor(E3221,"1D","Following",$C$16)</f>
        <v>47809</v>
      </c>
      <c r="F3222" s="659">
        <f ca="1"/>
        <v>2.0648316489459171E-2</v>
      </c>
      <c r="G3222" s="656">
        <v>2.0654625338114872E-2</v>
      </c>
    </row>
    <row r="3223" spans="5:7">
      <c r="E3223" s="661">
        <f ca="1">_xll.meDateFromTenor(E3222,"1D","Following",$C$16)</f>
        <v>47812</v>
      </c>
      <c r="F3223" s="659">
        <f ca="1"/>
        <v>2.0650269474002191E-2</v>
      </c>
      <c r="G3223" s="656">
        <v>2.0655284356811958E-2</v>
      </c>
    </row>
    <row r="3224" spans="5:7">
      <c r="E3224" s="661">
        <f ca="1">_xll.meDateFromTenor(E3223,"1D","Following",$C$16)</f>
        <v>47813</v>
      </c>
      <c r="F3224" s="659">
        <f ca="1"/>
        <v>2.0650918965692915E-2</v>
      </c>
      <c r="G3224" s="656">
        <v>2.065594244619208E-2</v>
      </c>
    </row>
    <row r="3225" spans="5:7">
      <c r="E3225" s="661">
        <f ca="1">_xll.meDateFromTenor(E3224,"1D","Following",$C$16)</f>
        <v>47814</v>
      </c>
      <c r="F3225" s="659">
        <f ca="1"/>
        <v>2.065156766985668E-2</v>
      </c>
      <c r="G3225" s="656">
        <v>2.0656599587666497E-2</v>
      </c>
    </row>
    <row r="3226" spans="5:7">
      <c r="E3226" s="661">
        <f ca="1">_xll.meDateFromTenor(E3225,"1D","Following",$C$16)</f>
        <v>47815</v>
      </c>
      <c r="F3226" s="659">
        <f ca="1"/>
        <v>2.0652215564924425E-2</v>
      </c>
      <c r="G3226" s="656">
        <v>2.0658565138768018E-2</v>
      </c>
    </row>
    <row r="3227" spans="5:7">
      <c r="E3227" s="661">
        <f ca="1">_xll.meDateFromTenor(E3226,"1D","Following",$C$16)</f>
        <v>47816</v>
      </c>
      <c r="F3227" s="659">
        <f ca="1"/>
        <v>2.0652862629327053E-2</v>
      </c>
      <c r="G3227" s="656">
        <v>2.0659218302732131E-2</v>
      </c>
    </row>
    <row r="3228" spans="5:7">
      <c r="E3228" s="661">
        <f ca="1">_xll.meDateFromTenor(E3227,"1D","Following",$C$16)</f>
        <v>47819</v>
      </c>
      <c r="F3228" s="659">
        <f ca="1"/>
        <v>2.0654798622853476E-2</v>
      </c>
      <c r="G3228" s="656">
        <v>2.0659870425846799E-2</v>
      </c>
    </row>
    <row r="3229" spans="5:7">
      <c r="E3229" s="661">
        <f ca="1">_xll.meDateFromTenor(E3228,"1D","Following",$C$16)</f>
        <v>47820</v>
      </c>
      <c r="F3229" s="659">
        <f ca="1"/>
        <v>2.0655442148904853E-2</v>
      </c>
      <c r="G3229" s="656">
        <v>2.0660521489523284E-2</v>
      </c>
    </row>
    <row r="3230" spans="5:7">
      <c r="E3230" s="661">
        <f ca="1">_xll.meDateFromTenor(E3229,"1D","Following",$C$16)</f>
        <v>47821</v>
      </c>
      <c r="F3230" s="659">
        <f ca="1"/>
        <v>2.0656084736445719E-2</v>
      </c>
      <c r="G3230" s="656">
        <v>2.0661171475172831E-2</v>
      </c>
    </row>
    <row r="3231" spans="5:7">
      <c r="E3231" s="661">
        <f ca="1">_xll.meDateFromTenor(E3230,"1D","Following",$C$16)</f>
        <v>47822</v>
      </c>
      <c r="F3231" s="659">
        <f ca="1"/>
        <v>2.0656726363906981E-2</v>
      </c>
      <c r="G3231" s="656">
        <v>2.0663114778072394E-2</v>
      </c>
    </row>
    <row r="3232" spans="5:7">
      <c r="E3232" s="661">
        <f ca="1">_xll.meDateFromTenor(E3231,"1D","Following",$C$16)</f>
        <v>47823</v>
      </c>
      <c r="F3232" s="659">
        <f ca="1"/>
        <v>2.0657367009719568E-2</v>
      </c>
      <c r="G3232" s="656">
        <v>2.0663760265726736E-2</v>
      </c>
    </row>
    <row r="3233" spans="5:7">
      <c r="E3233" s="661">
        <f ca="1">_xll.meDateFromTenor(E3232,"1D","Following",$C$16)</f>
        <v>47826</v>
      </c>
      <c r="F3233" s="659">
        <f ca="1"/>
        <v>2.0659282841574447E-2</v>
      </c>
      <c r="G3233" s="656">
        <v>2.0664404582410409E-2</v>
      </c>
    </row>
    <row r="3234" spans="5:7">
      <c r="E3234" s="661">
        <f ca="1">_xll.meDateFromTenor(E3233,"1D","Following",$C$16)</f>
        <v>47827</v>
      </c>
      <c r="F3234" s="659">
        <f ca="1"/>
        <v>2.0659919345101512E-2</v>
      </c>
      <c r="G3234" s="656">
        <v>2.0665047709534669E-2</v>
      </c>
    </row>
    <row r="3235" spans="5:7">
      <c r="E3235" s="661">
        <f ca="1">_xll.meDateFromTenor(E3234,"1D","Following",$C$16)</f>
        <v>47828</v>
      </c>
      <c r="F3235" s="659">
        <f ca="1"/>
        <v>2.0660554759134486E-2</v>
      </c>
      <c r="G3235" s="656">
        <v>2.0665689628510769E-2</v>
      </c>
    </row>
    <row r="3236" spans="5:7">
      <c r="E3236" s="661">
        <f ca="1">_xll.meDateFromTenor(E3235,"1D","Following",$C$16)</f>
        <v>47829</v>
      </c>
      <c r="F3236" s="659">
        <f ca="1"/>
        <v>2.0661189062104294E-2</v>
      </c>
      <c r="G3236" s="656">
        <v>2.0667607950662633E-2</v>
      </c>
    </row>
    <row r="3237" spans="5:7">
      <c r="E3237" s="661">
        <f ca="1">_xll.meDateFromTenor(E3236,"1D","Following",$C$16)</f>
        <v>47830</v>
      </c>
      <c r="F3237" s="659">
        <f ca="1"/>
        <v>2.0661822232441861E-2</v>
      </c>
      <c r="G3237" s="656">
        <v>2.0668244851158618E-2</v>
      </c>
    </row>
    <row r="3238" spans="5:7">
      <c r="E3238" s="661">
        <f ca="1">_xll.meDateFromTenor(E3237,"1D","Following",$C$16)</f>
        <v>47833</v>
      </c>
      <c r="F3238" s="659">
        <f ca="1"/>
        <v>2.0663714731970255E-2</v>
      </c>
      <c r="G3238" s="656">
        <v>2.0668880450562716E-2</v>
      </c>
    </row>
    <row r="3239" spans="5:7">
      <c r="E3239" s="661">
        <f ca="1">_xll.meDateFromTenor(E3238,"1D","Following",$C$16)</f>
        <v>47834</v>
      </c>
      <c r="F3239" s="659">
        <f ca="1"/>
        <v>2.0664343156088019E-2</v>
      </c>
      <c r="G3239" s="656">
        <v>2.0669514730286165E-2</v>
      </c>
    </row>
    <row r="3240" spans="5:7">
      <c r="E3240" s="661">
        <f ca="1">_xll.meDateFromTenor(E3239,"1D","Following",$C$16)</f>
        <v>47835</v>
      </c>
      <c r="F3240" s="659">
        <f ca="1"/>
        <v>2.0664970339728129E-2</v>
      </c>
      <c r="G3240" s="656">
        <v>2.067014767174024E-2</v>
      </c>
    </row>
    <row r="3241" spans="5:7">
      <c r="E3241" s="661">
        <f ca="1">_xll.meDateFromTenor(E3240,"1D","Following",$C$16)</f>
        <v>47836</v>
      </c>
      <c r="F3241" s="659">
        <f ca="1"/>
        <v>2.0665596261321507E-2</v>
      </c>
      <c r="G3241" s="656">
        <v>2.0672038280598656E-2</v>
      </c>
    </row>
    <row r="3242" spans="5:7">
      <c r="E3242" s="661">
        <f ca="1">_xll.meDateFromTenor(E3241,"1D","Following",$C$16)</f>
        <v>47837</v>
      </c>
      <c r="F3242" s="659">
        <f ca="1"/>
        <v>2.0666220899299068E-2</v>
      </c>
      <c r="G3242" s="656">
        <v>2.0672665683087711E-2</v>
      </c>
    </row>
    <row r="3243" spans="5:7">
      <c r="E3243" s="661">
        <f ca="1">_xll.meDateFromTenor(E3242,"1D","Following",$C$16)</f>
        <v>47840</v>
      </c>
      <c r="F3243" s="659">
        <f ca="1"/>
        <v>2.0668086895846035E-2</v>
      </c>
      <c r="G3243" s="656">
        <v>2.0673291654363646E-2</v>
      </c>
    </row>
    <row r="3244" spans="5:7">
      <c r="E3244" s="661">
        <f ca="1">_xll.meDateFromTenor(E3243,"1D","Following",$C$16)</f>
        <v>47841</v>
      </c>
      <c r="F3244" s="659">
        <f ca="1"/>
        <v>2.0668706183669519E-2</v>
      </c>
      <c r="G3244" s="656">
        <v>2.0673916175837713E-2</v>
      </c>
    </row>
    <row r="3245" spans="5:7">
      <c r="E3245" s="661">
        <f ca="1">_xll.meDateFromTenor(E3244,"1D","Following",$C$16)</f>
        <v>47844</v>
      </c>
      <c r="F3245" s="659">
        <f ca="1"/>
        <v>2.0670555612096318E-2</v>
      </c>
      <c r="G3245" s="656">
        <v>2.0674539228921169E-2</v>
      </c>
    </row>
    <row r="3246" spans="5:7">
      <c r="E3246" s="661">
        <f ca="1">_xll.meDateFromTenor(E3245,"1D","Following",$C$16)</f>
        <v>47847</v>
      </c>
      <c r="F3246" s="659">
        <f ca="1"/>
        <v>2.0672391935006928E-2</v>
      </c>
      <c r="G3246" s="656">
        <v>2.0676399391940395E-2</v>
      </c>
    </row>
    <row r="3247" spans="5:7">
      <c r="E3247" s="661">
        <f ca="1">_xll.meDateFromTenor(E3246,"1D","Following",$C$16)</f>
        <v>47848</v>
      </c>
      <c r="F3247" s="659">
        <f ca="1"/>
        <v>2.0673001029651149E-2</v>
      </c>
      <c r="G3247" s="656">
        <v>2.0677016385573933E-2</v>
      </c>
    </row>
    <row r="3248" spans="5:7">
      <c r="E3248" s="661">
        <f ca="1">_xll.meDateFromTenor(E3247,"1D","Following",$C$16)</f>
        <v>47850</v>
      </c>
      <c r="F3248" s="659">
        <f ca="1"/>
        <v>2.067421457003615E-2</v>
      </c>
      <c r="G3248" s="656">
        <v>2.0678857924113492E-2</v>
      </c>
    </row>
    <row r="3249" spans="5:7">
      <c r="E3249" s="661">
        <f ca="1">_xll.meDateFromTenor(E3248,"1D","Following",$C$16)</f>
        <v>47851</v>
      </c>
      <c r="F3249" s="659">
        <f ca="1"/>
        <v>2.0674818972638762E-2</v>
      </c>
      <c r="G3249" s="656">
        <v>2.0680684908747783E-2</v>
      </c>
    </row>
    <row r="3250" spans="5:7">
      <c r="E3250" s="661">
        <f ca="1">_xll.meDateFromTenor(E3249,"1D","Following",$C$16)</f>
        <v>47854</v>
      </c>
      <c r="F3250" s="659">
        <f ca="1"/>
        <v>2.0676622451258061E-2</v>
      </c>
      <c r="G3250" s="656">
        <v>2.0681290582677227E-2</v>
      </c>
    </row>
    <row r="3251" spans="5:7">
      <c r="E3251" s="661">
        <f ca="1">_xll.meDateFromTenor(E3250,"1D","Following",$C$16)</f>
        <v>47855</v>
      </c>
      <c r="F3251" s="659">
        <f ca="1"/>
        <v>2.0677220295838048E-2</v>
      </c>
      <c r="G3251" s="656">
        <v>2.0682496837580649E-2</v>
      </c>
    </row>
    <row r="3252" spans="5:7">
      <c r="E3252" s="661">
        <f ca="1">_xll.meDateFromTenor(E3251,"1D","Following",$C$16)</f>
        <v>47856</v>
      </c>
      <c r="F3252" s="659">
        <f ca="1"/>
        <v>2.0677816446989673E-2</v>
      </c>
      <c r="G3252" s="656">
        <v>2.0683097381377136E-2</v>
      </c>
    </row>
    <row r="3253" spans="5:7">
      <c r="E3253" s="661">
        <f ca="1">_xll.meDateFromTenor(E3252,"1D","Following",$C$16)</f>
        <v>47857</v>
      </c>
      <c r="F3253" s="659">
        <f ca="1"/>
        <v>2.0678410883143861E-2</v>
      </c>
      <c r="G3253" s="656">
        <v>2.0684888455080742E-2</v>
      </c>
    </row>
    <row r="3254" spans="5:7">
      <c r="E3254" s="661">
        <f ca="1">_xll.meDateFromTenor(E3253,"1D","Following",$C$16)</f>
        <v>47858</v>
      </c>
      <c r="F3254" s="659">
        <f ca="1"/>
        <v>2.0679003582731524E-2</v>
      </c>
      <c r="G3254" s="656">
        <v>2.0685481898457508E-2</v>
      </c>
    </row>
    <row r="3255" spans="5:7">
      <c r="E3255" s="661">
        <f ca="1">_xll.meDateFromTenor(E3254,"1D","Following",$C$16)</f>
        <v>47861</v>
      </c>
      <c r="F3255" s="659">
        <f ca="1"/>
        <v>2.0680771046404579E-2</v>
      </c>
      <c r="G3255" s="656">
        <v>2.0686073520257475E-2</v>
      </c>
    </row>
    <row r="3256" spans="5:7">
      <c r="E3256" s="661">
        <f ca="1">_xll.meDateFromTenor(E3255,"1D","Following",$C$16)</f>
        <v>47862</v>
      </c>
      <c r="F3256" s="659">
        <f ca="1"/>
        <v>2.0681356584035342E-2</v>
      </c>
      <c r="G3256" s="656">
        <v>2.0686663301891898E-2</v>
      </c>
    </row>
    <row r="3257" spans="5:7">
      <c r="E3257" s="661">
        <f ca="1">_xll.meDateFromTenor(E3256,"1D","Following",$C$16)</f>
        <v>47863</v>
      </c>
      <c r="F3257" s="659">
        <f ca="1"/>
        <v>2.0681940277254188E-2</v>
      </c>
      <c r="G3257" s="656">
        <v>2.0687251224772028E-2</v>
      </c>
    </row>
    <row r="3258" spans="5:7">
      <c r="E3258" s="661">
        <f ca="1">_xll.meDateFromTenor(E3257,"1D","Following",$C$16)</f>
        <v>47864</v>
      </c>
      <c r="F3258" s="659">
        <f ca="1"/>
        <v>2.0682522104492018E-2</v>
      </c>
      <c r="G3258" s="656">
        <v>2.0689003654999216E-2</v>
      </c>
    </row>
    <row r="3259" spans="5:7">
      <c r="E3259" s="661">
        <f ca="1">_xll.meDateFromTenor(E3258,"1D","Following",$C$16)</f>
        <v>47865</v>
      </c>
      <c r="F3259" s="659">
        <f ca="1"/>
        <v>2.0683102044179755E-2</v>
      </c>
      <c r="G3259" s="656">
        <v>2.0689583956974716E-2</v>
      </c>
    </row>
    <row r="3260" spans="5:7">
      <c r="E3260" s="661">
        <f ca="1">_xll.meDateFromTenor(E3259,"1D","Following",$C$16)</f>
        <v>47868</v>
      </c>
      <c r="F3260" s="659">
        <f ca="1"/>
        <v>2.0684830322251619E-2</v>
      </c>
      <c r="G3260" s="656">
        <v>2.0690162307252201E-2</v>
      </c>
    </row>
    <row r="3261" spans="5:7">
      <c r="E3261" s="661">
        <f ca="1">_xll.meDateFromTenor(E3260,"1D","Following",$C$16)</f>
        <v>47869</v>
      </c>
      <c r="F3261" s="659">
        <f ca="1"/>
        <v>2.0685402496048187E-2</v>
      </c>
      <c r="G3261" s="656">
        <v>2.0690738687242909E-2</v>
      </c>
    </row>
    <row r="3262" spans="5:7">
      <c r="E3262" s="661">
        <f ca="1">_xll.meDateFromTenor(E3261,"1D","Following",$C$16)</f>
        <v>47870</v>
      </c>
      <c r="F3262" s="659">
        <f ca="1"/>
        <v>2.0685972674449254E-2</v>
      </c>
      <c r="G3262" s="656">
        <v>2.0691313078358101E-2</v>
      </c>
    </row>
    <row r="3263" spans="5:7">
      <c r="E3263" s="661">
        <f ca="1">_xll.meDateFromTenor(E3262,"1D","Following",$C$16)</f>
        <v>47871</v>
      </c>
      <c r="F3263" s="659">
        <f ca="1"/>
        <v>2.0686540835885746E-2</v>
      </c>
      <c r="G3263" s="656">
        <v>2.0693024132563121E-2</v>
      </c>
    </row>
    <row r="3264" spans="5:7">
      <c r="E3264" s="661">
        <f ca="1">_xll.meDateFromTenor(E3263,"1D","Following",$C$16)</f>
        <v>47872</v>
      </c>
      <c r="F3264" s="659">
        <f ca="1"/>
        <v>2.068710695878858E-2</v>
      </c>
      <c r="G3264" s="656">
        <v>2.0693590382288778E-2</v>
      </c>
    </row>
    <row r="3265" spans="5:7">
      <c r="E3265" s="661">
        <f ca="1">_xll.meDateFromTenor(E3264,"1D","Following",$C$16)</f>
        <v>47875</v>
      </c>
      <c r="F3265" s="659">
        <f ca="1"/>
        <v>2.068879288060432E-2</v>
      </c>
      <c r="G3265" s="656">
        <v>2.0694154550195191E-2</v>
      </c>
    </row>
    <row r="3266" spans="5:7">
      <c r="E3266" s="661">
        <f ca="1">_xll.meDateFromTenor(E3265,"1D","Following",$C$16)</f>
        <v>47876</v>
      </c>
      <c r="F3266" s="659">
        <f ca="1"/>
        <v>2.0689350633681707E-2</v>
      </c>
      <c r="G3266" s="656">
        <v>2.0694716617693606E-2</v>
      </c>
    </row>
    <row r="3267" spans="5:7">
      <c r="E3267" s="661">
        <f ca="1">_xll.meDateFromTenor(E3266,"1D","Following",$C$16)</f>
        <v>47877</v>
      </c>
      <c r="F3267" s="659">
        <f ca="1"/>
        <v>2.0689906240380026E-2</v>
      </c>
      <c r="G3267" s="656">
        <v>2.069527656619528E-2</v>
      </c>
    </row>
    <row r="3268" spans="5:7">
      <c r="E3268" s="661">
        <f ca="1">_xll.meDateFromTenor(E3267,"1D","Following",$C$16)</f>
        <v>47878</v>
      </c>
      <c r="F3268" s="659">
        <f ca="1"/>
        <v>2.0690459679130201E-2</v>
      </c>
      <c r="G3268" s="656">
        <v>2.0696943511832384E-2</v>
      </c>
    </row>
    <row r="3269" spans="5:7">
      <c r="E3269" s="661">
        <f ca="1">_xll.meDateFromTenor(E3268,"1D","Following",$C$16)</f>
        <v>47879</v>
      </c>
      <c r="F3269" s="659">
        <f ca="1"/>
        <v>2.0691010928363143E-2</v>
      </c>
      <c r="G3269" s="656">
        <v>2.0697494798459625E-2</v>
      </c>
    </row>
    <row r="3270" spans="5:7">
      <c r="E3270" s="661">
        <f ca="1">_xll.meDateFromTenor(E3269,"1D","Following",$C$16)</f>
        <v>47882</v>
      </c>
      <c r="F3270" s="659">
        <f ca="1"/>
        <v>2.0692651323267811E-2</v>
      </c>
      <c r="G3270" s="656">
        <v>2.0698043873146384E-2</v>
      </c>
    </row>
    <row r="3271" spans="5:7">
      <c r="E3271" s="661">
        <f ca="1">_xll.meDateFromTenor(E3270,"1D","Following",$C$16)</f>
        <v>47883</v>
      </c>
      <c r="F3271" s="659">
        <f ca="1"/>
        <v>2.0693193598741041E-2</v>
      </c>
      <c r="G3271" s="656">
        <v>2.0698590717303931E-2</v>
      </c>
    </row>
    <row r="3272" spans="5:7">
      <c r="E3272" s="661">
        <f ca="1">_xll.meDateFromTenor(E3271,"1D","Following",$C$16)</f>
        <v>47884</v>
      </c>
      <c r="F3272" s="659">
        <f ca="1"/>
        <v>2.0693733576851631E-2</v>
      </c>
      <c r="G3272" s="656">
        <v>2.0699135312343499E-2</v>
      </c>
    </row>
    <row r="3273" spans="5:7">
      <c r="E3273" s="661">
        <f ca="1">_xll.meDateFromTenor(E3272,"1D","Following",$C$16)</f>
        <v>47885</v>
      </c>
      <c r="F3273" s="659">
        <f ca="1"/>
        <v>2.0694271236030504E-2</v>
      </c>
      <c r="G3273" s="656">
        <v>2.0700755416866945E-2</v>
      </c>
    </row>
    <row r="3274" spans="5:7">
      <c r="E3274" s="661">
        <f ca="1">_xll.meDateFromTenor(E3273,"1D","Following",$C$16)</f>
        <v>47886</v>
      </c>
      <c r="F3274" s="659">
        <f ca="1"/>
        <v>2.0694806554708584E-2</v>
      </c>
      <c r="G3274" s="656">
        <v>2.0701290829547178E-2</v>
      </c>
    </row>
    <row r="3275" spans="5:7">
      <c r="E3275" s="661">
        <f ca="1">_xll.meDateFromTenor(E3274,"1D","Following",$C$16)</f>
        <v>47889</v>
      </c>
      <c r="F3275" s="659">
        <f ca="1"/>
        <v>2.0696398252047239E-2</v>
      </c>
      <c r="G3275" s="656">
        <v>2.070182390016571E-2</v>
      </c>
    </row>
    <row r="3276" spans="5:7">
      <c r="E3276" s="661">
        <f ca="1">_xll.meDateFromTenor(E3275,"1D","Following",$C$16)</f>
        <v>47890</v>
      </c>
      <c r="F3276" s="659">
        <f ca="1"/>
        <v>2.0696923993031323E-2</v>
      </c>
      <c r="G3276" s="656">
        <v>2.0702354610133797E-2</v>
      </c>
    </row>
    <row r="3277" spans="5:7">
      <c r="E3277" s="661">
        <f ca="1">_xll.meDateFromTenor(E3276,"1D","Following",$C$16)</f>
        <v>47891</v>
      </c>
      <c r="F3277" s="659">
        <f ca="1"/>
        <v>2.0697447285669201E-2</v>
      </c>
      <c r="G3277" s="656">
        <v>2.0702882940862685E-2</v>
      </c>
    </row>
    <row r="3278" spans="5:7">
      <c r="E3278" s="661">
        <f ca="1">_xll.meDateFromTenor(E3277,"1D","Following",$C$16)</f>
        <v>47892</v>
      </c>
      <c r="F3278" s="659">
        <f ca="1"/>
        <v>2.0697968108391803E-2</v>
      </c>
      <c r="G3278" s="656">
        <v>2.0704453471726725E-2</v>
      </c>
    </row>
    <row r="3279" spans="5:7">
      <c r="E3279" s="661">
        <f ca="1">_xll.meDateFromTenor(E3278,"1D","Following",$C$16)</f>
        <v>47893</v>
      </c>
      <c r="F3279" s="659">
        <f ca="1"/>
        <v>2.0698486439630032E-2</v>
      </c>
      <c r="G3279" s="656">
        <v>2.0704972099611373E-2</v>
      </c>
    </row>
    <row r="3280" spans="5:7">
      <c r="E3280" s="661">
        <f ca="1">_xll.meDateFromTenor(E3279,"1D","Following",$C$16)</f>
        <v>47896</v>
      </c>
      <c r="F3280" s="659">
        <f ca="1"/>
        <v>2.0700026268747736E-2</v>
      </c>
      <c r="G3280" s="656">
        <v>2.0705488255313091E-2</v>
      </c>
    </row>
    <row r="3281" spans="5:7">
      <c r="E3281" s="661">
        <f ca="1">_xll.meDateFromTenor(E3280,"1D","Following",$C$16)</f>
        <v>47897</v>
      </c>
      <c r="F3281" s="659">
        <f ca="1"/>
        <v>2.0700534418357695E-2</v>
      </c>
      <c r="G3281" s="656">
        <v>2.070600192024314E-2</v>
      </c>
    </row>
    <row r="3282" spans="5:7">
      <c r="E3282" s="661">
        <f ca="1">_xll.meDateFromTenor(E3281,"1D","Following",$C$16)</f>
        <v>47898</v>
      </c>
      <c r="F3282" s="659">
        <f ca="1"/>
        <v>2.070103996863789E-2</v>
      </c>
      <c r="G3282" s="656">
        <v>2.0706513075812769E-2</v>
      </c>
    </row>
    <row r="3283" spans="5:7">
      <c r="E3283" s="661">
        <f ca="1">_xll.meDateFromTenor(E3282,"1D","Following",$C$16)</f>
        <v>47899</v>
      </c>
      <c r="F3283" s="659">
        <f ca="1"/>
        <v>2.0701542898019225E-2</v>
      </c>
      <c r="G3283" s="656">
        <v>2.070803130047166E-2</v>
      </c>
    </row>
    <row r="3284" spans="5:7">
      <c r="E3284" s="661">
        <f ca="1">_xll.meDateFromTenor(E3283,"1D","Following",$C$16)</f>
        <v>47900</v>
      </c>
      <c r="F3284" s="659">
        <f ca="1"/>
        <v>2.0702043184932635E-2</v>
      </c>
      <c r="G3284" s="656">
        <v>2.0708532232712139E-2</v>
      </c>
    </row>
    <row r="3285" spans="5:7">
      <c r="E3285" s="661">
        <f ca="1">_xll.meDateFromTenor(E3284,"1D","Following",$C$16)</f>
        <v>47903</v>
      </c>
      <c r="F3285" s="659">
        <f ca="1"/>
        <v>2.0703527975174437E-2</v>
      </c>
      <c r="G3285" s="656">
        <v>2.0709030562648466E-2</v>
      </c>
    </row>
    <row r="3286" spans="5:7">
      <c r="E3286" s="661">
        <f ca="1">_xll.meDateFromTenor(E3285,"1D","Following",$C$16)</f>
        <v>47904</v>
      </c>
      <c r="F3286" s="659">
        <f ca="1"/>
        <v>2.0704017476525297E-2</v>
      </c>
      <c r="G3286" s="656">
        <v>2.0709526271691894E-2</v>
      </c>
    </row>
    <row r="3287" spans="5:7">
      <c r="E3287" s="661">
        <f ca="1">_xll.meDateFromTenor(E3286,"1D","Following",$C$16)</f>
        <v>47905</v>
      </c>
      <c r="F3287" s="659">
        <f ca="1"/>
        <v>2.0704504227562821E-2</v>
      </c>
      <c r="G3287" s="656">
        <v>2.0710019341253678E-2</v>
      </c>
    </row>
    <row r="3288" spans="5:7">
      <c r="E3288" s="661">
        <f ca="1">_xll.meDateFromTenor(E3287,"1D","Following",$C$16)</f>
        <v>47906</v>
      </c>
      <c r="F3288" s="659">
        <f ca="1"/>
        <v>2.0704988206717921E-2</v>
      </c>
      <c r="G3288" s="656">
        <v>2.0711482527161675E-2</v>
      </c>
    </row>
    <row r="3289" spans="5:7">
      <c r="E3289" s="661">
        <f ca="1">_xll.meDateFromTenor(E3288,"1D","Following",$C$16)</f>
        <v>47907</v>
      </c>
      <c r="F3289" s="659">
        <f ca="1"/>
        <v>2.0705469392421516E-2</v>
      </c>
      <c r="G3289" s="656">
        <v>2.0711964852909406E-2</v>
      </c>
    </row>
    <row r="3290" spans="5:7">
      <c r="E3290" s="661">
        <f ca="1">_xll.meDateFromTenor(E3289,"1D","Following",$C$16)</f>
        <v>47910</v>
      </c>
      <c r="F3290" s="659">
        <f ca="1"/>
        <v>2.0706895973132487E-2</v>
      </c>
      <c r="G3290" s="656">
        <v>2.071244444623176E-2</v>
      </c>
    </row>
    <row r="3291" spans="5:7">
      <c r="E3291" s="661">
        <f ca="1">_xll.meDateFromTenor(E3290,"1D","Following",$C$16)</f>
        <v>47911</v>
      </c>
      <c r="F3291" s="659">
        <f ca="1"/>
        <v>2.0707365769339264E-2</v>
      </c>
      <c r="G3291" s="656">
        <v>2.0712921288539982E-2</v>
      </c>
    </row>
    <row r="3292" spans="5:7">
      <c r="E3292" s="661">
        <f ca="1">_xll.meDateFromTenor(E3291,"1D","Following",$C$16)</f>
        <v>47912</v>
      </c>
      <c r="F3292" s="659">
        <f ca="1"/>
        <v>2.070783266424913E-2</v>
      </c>
      <c r="G3292" s="656">
        <v>2.0713395361245338E-2</v>
      </c>
    </row>
    <row r="3293" spans="5:7">
      <c r="E3293" s="661">
        <f ca="1">_xll.meDateFromTenor(E3292,"1D","Following",$C$16)</f>
        <v>47913</v>
      </c>
      <c r="F3293" s="659">
        <f ca="1"/>
        <v>2.0708296636293012E-2</v>
      </c>
      <c r="G3293" s="656">
        <v>2.07148007758567E-2</v>
      </c>
    </row>
    <row r="3294" spans="5:7">
      <c r="E3294" s="661">
        <f ca="1">_xll.meDateFromTenor(E3293,"1D","Following",$C$16)</f>
        <v>47914</v>
      </c>
      <c r="F3294" s="659">
        <f ca="1"/>
        <v>2.0708757663901824E-2</v>
      </c>
      <c r="G3294" s="656">
        <v>2.0715263584263101E-2</v>
      </c>
    </row>
    <row r="3295" spans="5:7">
      <c r="E3295" s="661">
        <f ca="1">_xll.meDateFromTenor(E3294,"1D","Following",$C$16)</f>
        <v>47917</v>
      </c>
      <c r="F3295" s="659">
        <f ca="1"/>
        <v>2.0710122864427017E-2</v>
      </c>
      <c r="G3295" s="656">
        <v>2.0715723530122899E-2</v>
      </c>
    </row>
    <row r="3296" spans="5:7">
      <c r="E3296" s="661">
        <f ca="1">_xll.meDateFromTenor(E3295,"1D","Following",$C$16)</f>
        <v>47918</v>
      </c>
      <c r="F3296" s="659">
        <f ca="1"/>
        <v>2.0710571898604733E-2</v>
      </c>
      <c r="G3296" s="656">
        <v>2.0716180594847339E-2</v>
      </c>
    </row>
    <row r="3297" spans="5:7">
      <c r="E3297" s="661">
        <f ca="1">_xll.meDateFromTenor(E3296,"1D","Following",$C$16)</f>
        <v>47919</v>
      </c>
      <c r="F3297" s="659">
        <f ca="1"/>
        <v>2.0711017880501972E-2</v>
      </c>
      <c r="G3297" s="656">
        <v>2.0716634759847686E-2</v>
      </c>
    </row>
    <row r="3298" spans="5:7">
      <c r="E3298" s="661">
        <f ca="1">_xll.meDateFromTenor(E3297,"1D","Following",$C$16)</f>
        <v>47920</v>
      </c>
      <c r="F3298" s="659">
        <f ca="1"/>
        <v>2.071146078854965E-2</v>
      </c>
      <c r="G3298" s="656">
        <v>2.0717979670616667E-2</v>
      </c>
    </row>
    <row r="3299" spans="5:7">
      <c r="E3299" s="661">
        <f ca="1">_xll.meDateFromTenor(E3298,"1D","Following",$C$16)</f>
        <v>47921</v>
      </c>
      <c r="F3299" s="659">
        <f ca="1"/>
        <v>2.0711900601178692E-2</v>
      </c>
      <c r="G3299" s="656">
        <v>2.0718422050833157E-2</v>
      </c>
    </row>
    <row r="3300" spans="5:7">
      <c r="E3300" s="661">
        <f ca="1">_xll.meDateFromTenor(E3299,"1D","Following",$C$16)</f>
        <v>47924</v>
      </c>
      <c r="F3300" s="659">
        <f ca="1"/>
        <v>2.0713201250863164E-2</v>
      </c>
      <c r="G3300" s="656">
        <v>2.0718861438381812E-2</v>
      </c>
    </row>
    <row r="3301" spans="5:7">
      <c r="E3301" s="661">
        <f ca="1">_xll.meDateFromTenor(E3300,"1D","Following",$C$16)</f>
        <v>47925</v>
      </c>
      <c r="F3301" s="659">
        <f ca="1"/>
        <v>2.071362846612684E-2</v>
      </c>
      <c r="G3301" s="656">
        <v>2.0719297814673892E-2</v>
      </c>
    </row>
    <row r="3302" spans="5:7">
      <c r="E3302" s="661">
        <f ca="1">_xll.meDateFromTenor(E3301,"1D","Following",$C$16)</f>
        <v>47926</v>
      </c>
      <c r="F3302" s="659">
        <f ca="1"/>
        <v>2.0714052478126462E-2</v>
      </c>
      <c r="G3302" s="656">
        <v>2.0719731161120646E-2</v>
      </c>
    </row>
    <row r="3303" spans="5:7">
      <c r="E3303" s="661">
        <f ca="1">_xll.meDateFromTenor(E3302,"1D","Following",$C$16)</f>
        <v>47927</v>
      </c>
      <c r="F3303" s="659">
        <f ca="1"/>
        <v>2.0714473265292965E-2</v>
      </c>
      <c r="G3303" s="656">
        <v>2.0721012835501502E-2</v>
      </c>
    </row>
    <row r="3304" spans="5:7">
      <c r="E3304" s="661">
        <f ca="1">_xll.meDateFromTenor(E3303,"1D","Following",$C$16)</f>
        <v>47928</v>
      </c>
      <c r="F3304" s="659">
        <f ca="1"/>
        <v>2.0714890806057255E-2</v>
      </c>
      <c r="G3304" s="656">
        <v>2.0721433876679494E-2</v>
      </c>
    </row>
    <row r="3305" spans="5:7">
      <c r="E3305" s="661">
        <f ca="1">_xll.meDateFromTenor(E3304,"1D","Following",$C$16)</f>
        <v>47931</v>
      </c>
      <c r="F3305" s="659">
        <f ca="1"/>
        <v>2.0716123734246073E-2</v>
      </c>
      <c r="G3305" s="656">
        <v>2.0721851795068431E-2</v>
      </c>
    </row>
    <row r="3306" spans="5:7">
      <c r="E3306" s="661">
        <f ca="1">_xll.meDateFromTenor(E3305,"1D","Following",$C$16)</f>
        <v>47932</v>
      </c>
      <c r="F3306" s="659">
        <f ca="1"/>
        <v>2.0716528073710719E-2</v>
      </c>
      <c r="G3306" s="656">
        <v>2.0722266572079567E-2</v>
      </c>
    </row>
    <row r="3307" spans="5:7">
      <c r="E3307" s="661">
        <f ca="1">_xll.meDateFromTenor(E3306,"1D","Following",$C$16)</f>
        <v>47933</v>
      </c>
      <c r="F3307" s="659">
        <f ca="1"/>
        <v>2.0716929058927757E-2</v>
      </c>
      <c r="G3307" s="656">
        <v>2.0722678189124152E-2</v>
      </c>
    </row>
    <row r="3308" spans="5:7">
      <c r="E3308" s="661">
        <f ca="1">_xll.meDateFromTenor(E3307,"1D","Following",$C$16)</f>
        <v>47934</v>
      </c>
      <c r="F3308" s="659">
        <f ca="1"/>
        <v>2.0717326668328092E-2</v>
      </c>
      <c r="G3308" s="656">
        <v>2.072389389457114E-2</v>
      </c>
    </row>
    <row r="3309" spans="5:7">
      <c r="E3309" s="661">
        <f ca="1">_xll.meDateFromTenor(E3308,"1D","Following",$C$16)</f>
        <v>47935</v>
      </c>
      <c r="F3309" s="659">
        <f ca="1"/>
        <v>2.0717720880342655E-2</v>
      </c>
      <c r="G3309" s="656">
        <v>2.0724292685862056E-2</v>
      </c>
    </row>
    <row r="3310" spans="5:7">
      <c r="E3310" s="661">
        <f ca="1">_xll.meDateFromTenor(E3309,"1D","Following",$C$16)</f>
        <v>47938</v>
      </c>
      <c r="F3310" s="659">
        <f ca="1"/>
        <v>2.0718882916380875E-2</v>
      </c>
      <c r="G3310" s="656">
        <v>2.0724688224242692E-2</v>
      </c>
    </row>
    <row r="3311" spans="5:7">
      <c r="E3311" s="661">
        <f ca="1">_xll.meDateFromTenor(E3310,"1D","Following",$C$16)</f>
        <v>47939</v>
      </c>
      <c r="F3311" s="659">
        <f ca="1"/>
        <v>2.0719263323161513E-2</v>
      </c>
      <c r="G3311" s="656">
        <v>2.0725080491124297E-2</v>
      </c>
    </row>
    <row r="3312" spans="5:7">
      <c r="E3312" s="661">
        <f ca="1">_xll.meDateFromTenor(E3311,"1D","Following",$C$16)</f>
        <v>47940</v>
      </c>
      <c r="F3312" s="659">
        <f ca="1"/>
        <v>2.0719640224710976E-2</v>
      </c>
      <c r="G3312" s="656">
        <v>2.0725469467918121E-2</v>
      </c>
    </row>
    <row r="3313" spans="5:7">
      <c r="E3313" s="661">
        <f ca="1">_xll.meDateFromTenor(E3312,"1D","Following",$C$16)</f>
        <v>47941</v>
      </c>
      <c r="F3313" s="659">
        <f ca="1"/>
        <v>2.0720013599460175E-2</v>
      </c>
      <c r="G3313" s="656">
        <v>2.0726616471885499E-2</v>
      </c>
    </row>
    <row r="3314" spans="5:7">
      <c r="E3314" s="661">
        <f ca="1">_xll.meDateFromTenor(E3313,"1D","Following",$C$16)</f>
        <v>47942</v>
      </c>
      <c r="F3314" s="659">
        <f ca="1"/>
        <v>2.0720383425840028E-2</v>
      </c>
      <c r="G3314" s="656">
        <v>2.0726992102440757E-2</v>
      </c>
    </row>
    <row r="3315" spans="5:7">
      <c r="E3315" s="661">
        <f ca="1">_xll.meDateFromTenor(E3314,"1D","Following",$C$16)</f>
        <v>47945</v>
      </c>
      <c r="F3315" s="659">
        <f ca="1"/>
        <v>2.07214713990727E-2</v>
      </c>
      <c r="G3315" s="656">
        <v>2.072736434996451E-2</v>
      </c>
    </row>
    <row r="3316" spans="5:7">
      <c r="E3316" s="661">
        <f ca="1">_xll.meDateFromTenor(E3315,"1D","Following",$C$16)</f>
        <v>47946</v>
      </c>
      <c r="F3316" s="659">
        <f ca="1"/>
        <v>2.0721826816284362E-2</v>
      </c>
      <c r="G3316" s="656">
        <v>2.0727733195868007E-2</v>
      </c>
    </row>
    <row r="3317" spans="5:7">
      <c r="E3317" s="661">
        <f ca="1">_xll.meDateFromTenor(E3316,"1D","Following",$C$16)</f>
        <v>47947</v>
      </c>
      <c r="F3317" s="659">
        <f ca="1"/>
        <v>2.0722178577281265E-2</v>
      </c>
      <c r="G3317" s="656">
        <v>2.0728098621562507E-2</v>
      </c>
    </row>
    <row r="3318" spans="5:7">
      <c r="E3318" s="661">
        <f ca="1">_xll.meDateFromTenor(E3317,"1D","Following",$C$16)</f>
        <v>47948</v>
      </c>
      <c r="F3318" s="659">
        <f ca="1"/>
        <v>2.0722526660494345E-2</v>
      </c>
      <c r="G3318" s="656">
        <v>2.0729174191504513E-2</v>
      </c>
    </row>
    <row r="3319" spans="5:7">
      <c r="E3319" s="661">
        <f ca="1">_xll.meDateFromTenor(E3318,"1D","Following",$C$16)</f>
        <v>47953</v>
      </c>
      <c r="F3319" s="659">
        <f ca="1"/>
        <v>2.0724211154884393E-2</v>
      </c>
      <c r="G3319" s="656">
        <v>2.0729525750475538E-2</v>
      </c>
    </row>
    <row r="3320" spans="5:7">
      <c r="E3320" s="661">
        <f ca="1">_xll.meDateFromTenor(E3319,"1D","Following",$C$16)</f>
        <v>47954</v>
      </c>
      <c r="F3320" s="659">
        <f ca="1"/>
        <v>2.0724536718443771E-2</v>
      </c>
      <c r="G3320" s="656">
        <v>2.0729873796293825E-2</v>
      </c>
    </row>
    <row r="3321" spans="5:7">
      <c r="E3321" s="661">
        <f ca="1">_xll.meDateFromTenor(E3320,"1D","Following",$C$16)</f>
        <v>47955</v>
      </c>
      <c r="F3321" s="659">
        <f ca="1"/>
        <v>2.0724858453235746E-2</v>
      </c>
      <c r="G3321" s="656">
        <v>2.073021831037063E-2</v>
      </c>
    </row>
    <row r="3322" spans="5:7">
      <c r="E3322" s="661">
        <f ca="1">_xll.meDateFromTenor(E3321,"1D","Following",$C$16)</f>
        <v>47956</v>
      </c>
      <c r="F3322" s="659">
        <f ca="1"/>
        <v>2.0725176337691241E-2</v>
      </c>
      <c r="G3322" s="656">
        <v>2.0731887254026322E-2</v>
      </c>
    </row>
    <row r="3323" spans="5:7">
      <c r="E3323" s="661">
        <f ca="1">_xll.meDateFromTenor(E3322,"1D","Following",$C$16)</f>
        <v>47959</v>
      </c>
      <c r="F3323" s="659">
        <f ca="1"/>
        <v>2.0726106673348007E-2</v>
      </c>
      <c r="G3323" s="656">
        <v>2.0732210187290562E-2</v>
      </c>
    </row>
    <row r="3324" spans="5:7">
      <c r="E3324" s="661">
        <f ca="1">_xll.meDateFromTenor(E3323,"1D","Following",$C$16)</f>
        <v>47960</v>
      </c>
      <c r="F3324" s="659">
        <f ca="1"/>
        <v>2.0726408940766754E-2</v>
      </c>
      <c r="G3324" s="656">
        <v>2.0732529458692098E-2</v>
      </c>
    </row>
    <row r="3325" spans="5:7">
      <c r="E3325" s="661">
        <f ca="1">_xll.meDateFromTenor(E3324,"1D","Following",$C$16)</f>
        <v>47961</v>
      </c>
      <c r="F3325" s="659">
        <f ca="1"/>
        <v>2.0726707250003619E-2</v>
      </c>
      <c r="G3325" s="656">
        <v>2.0732845049642179E-2</v>
      </c>
    </row>
    <row r="3326" spans="5:7">
      <c r="E3326" s="661">
        <f ca="1">_xll.meDateFromTenor(E3325,"1D","Following",$C$16)</f>
        <v>47962</v>
      </c>
      <c r="F3326" s="659">
        <f ca="1"/>
        <v>2.072700157948951E-2</v>
      </c>
      <c r="G3326" s="656">
        <v>2.073376955389624E-2</v>
      </c>
    </row>
    <row r="3327" spans="5:7">
      <c r="E3327" s="661">
        <f ca="1">_xll.meDateFromTenor(E3326,"1D","Following",$C$16)</f>
        <v>47963</v>
      </c>
      <c r="F3327" s="659">
        <f ca="1"/>
        <v>2.0727291907655349E-2</v>
      </c>
      <c r="G3327" s="656">
        <v>2.0734070237153041E-2</v>
      </c>
    </row>
    <row r="3328" spans="5:7">
      <c r="E3328" s="661">
        <f ca="1">_xll.meDateFromTenor(E3327,"1D","Following",$C$16)</f>
        <v>47966</v>
      </c>
      <c r="F3328" s="659">
        <f ca="1"/>
        <v>2.0728138668541753E-2</v>
      </c>
      <c r="G3328" s="656">
        <v>2.0734367147014654E-2</v>
      </c>
    </row>
    <row r="3329" spans="5:7">
      <c r="E3329" s="661">
        <f ca="1">_xll.meDateFromTenor(E3328,"1D","Following",$C$16)</f>
        <v>47967</v>
      </c>
      <c r="F3329" s="659">
        <f ca="1"/>
        <v>2.0728412775736581E-2</v>
      </c>
      <c r="G3329" s="656">
        <v>2.0734660264892336E-2</v>
      </c>
    </row>
    <row r="3330" spans="5:7">
      <c r="E3330" s="661">
        <f ca="1">_xll.meDateFromTenor(E3329,"1D","Following",$C$16)</f>
        <v>47968</v>
      </c>
      <c r="F3330" s="659">
        <f ca="1"/>
        <v>2.0728682773765945E-2</v>
      </c>
      <c r="G3330" s="656">
        <v>2.0734949572197337E-2</v>
      </c>
    </row>
    <row r="3331" spans="5:7">
      <c r="E3331" s="661">
        <f ca="1">_xll.meDateFromTenor(E3330,"1D","Following",$C$16)</f>
        <v>47970</v>
      </c>
      <c r="F3331" s="659">
        <f ca="1"/>
        <v>2.0729210356051984E-2</v>
      </c>
      <c r="G3331" s="656">
        <v>2.0735794444788801E-2</v>
      </c>
    </row>
    <row r="3332" spans="5:7">
      <c r="E3332" s="661">
        <f ca="1">_xll.meDateFromTenor(E3331,"1D","Following",$C$16)</f>
        <v>47973</v>
      </c>
      <c r="F3332" s="659">
        <f ca="1"/>
        <v>2.0729970371513081E-2</v>
      </c>
      <c r="G3332" s="656">
        <v>2.0736068323915623E-2</v>
      </c>
    </row>
    <row r="3333" spans="5:7">
      <c r="E3333" s="661">
        <f ca="1">_xll.meDateFromTenor(E3332,"1D","Following",$C$16)</f>
        <v>47974</v>
      </c>
      <c r="F3333" s="659">
        <f ca="1"/>
        <v>2.0730215261599003E-2</v>
      </c>
      <c r="G3333" s="656">
        <v>2.0736338299526029E-2</v>
      </c>
    </row>
    <row r="3334" spans="5:7">
      <c r="E3334" s="661">
        <f ca="1">_xll.meDateFromTenor(E3333,"1D","Following",$C$16)</f>
        <v>47975</v>
      </c>
      <c r="F3334" s="659">
        <f ca="1"/>
        <v>2.0730455891535892E-2</v>
      </c>
      <c r="G3334" s="656">
        <v>2.0736866465842614E-2</v>
      </c>
    </row>
    <row r="3335" spans="5:7">
      <c r="E3335" s="661">
        <f ca="1">_xll.meDateFromTenor(E3334,"1D","Following",$C$16)</f>
        <v>47976</v>
      </c>
      <c r="F3335" s="659">
        <f ca="1"/>
        <v>2.073069223975468E-2</v>
      </c>
      <c r="G3335" s="656">
        <v>2.0737628974225743E-2</v>
      </c>
    </row>
    <row r="3336" spans="5:7">
      <c r="E3336" s="661">
        <f ca="1">_xll.meDateFromTenor(E3335,"1D","Following",$C$16)</f>
        <v>47977</v>
      </c>
      <c r="F3336" s="659">
        <f ca="1"/>
        <v>2.0730924291915691E-2</v>
      </c>
      <c r="G3336" s="656">
        <v>2.0737875144598596E-2</v>
      </c>
    </row>
    <row r="3337" spans="5:7">
      <c r="E3337" s="661">
        <f ca="1">_xll.meDateFromTenor(E3336,"1D","Following",$C$16)</f>
        <v>47980</v>
      </c>
      <c r="F3337" s="659">
        <f ca="1"/>
        <v>2.0731594846749399E-2</v>
      </c>
      <c r="G3337" s="656">
        <v>2.0738117318681411E-2</v>
      </c>
    </row>
    <row r="3338" spans="5:7">
      <c r="E3338" s="661">
        <f ca="1">_xll.meDateFromTenor(E3337,"1D","Following",$C$16)</f>
        <v>47981</v>
      </c>
      <c r="F3338" s="659">
        <f ca="1"/>
        <v>2.0731809903835476E-2</v>
      </c>
      <c r="G3338" s="656">
        <v>2.0738355515233044E-2</v>
      </c>
    </row>
    <row r="3339" spans="5:7">
      <c r="E3339" s="661">
        <f ca="1">_xll.meDateFromTenor(E3338,"1D","Following",$C$16)</f>
        <v>47982</v>
      </c>
      <c r="F3339" s="659">
        <f ca="1"/>
        <v>2.0732020766671272E-2</v>
      </c>
      <c r="G3339" s="656">
        <v>2.0738589753012338E-2</v>
      </c>
    </row>
    <row r="3340" spans="5:7">
      <c r="E3340" s="661">
        <f ca="1">_xll.meDateFromTenor(E3339,"1D","Following",$C$16)</f>
        <v>47983</v>
      </c>
      <c r="F3340" s="659">
        <f ca="1"/>
        <v>2.0732227457064167E-2</v>
      </c>
      <c r="G3340" s="656">
        <v>2.0739268901304748E-2</v>
      </c>
    </row>
    <row r="3341" spans="5:7">
      <c r="E3341" s="661">
        <f ca="1">_xll.meDateFromTenor(E3340,"1D","Following",$C$16)</f>
        <v>47984</v>
      </c>
      <c r="F3341" s="659">
        <f ca="1"/>
        <v>2.0732429996821549E-2</v>
      </c>
      <c r="G3341" s="656">
        <v>2.0739487491583244E-2</v>
      </c>
    </row>
    <row r="3342" spans="5:7">
      <c r="E3342" s="661">
        <f ca="1">_xll.meDateFromTenor(E3341,"1D","Following",$C$16)</f>
        <v>47987</v>
      </c>
      <c r="F3342" s="659">
        <f ca="1"/>
        <v>2.0733012930354424E-2</v>
      </c>
      <c r="G3342" s="656">
        <v>2.0739702216883669E-2</v>
      </c>
    </row>
    <row r="3343" spans="5:7">
      <c r="E3343" s="661">
        <f ca="1">_xll.meDateFromTenor(E3342,"1D","Following",$C$16)</f>
        <v>47988</v>
      </c>
      <c r="F3343" s="659">
        <f ca="1"/>
        <v>2.0733199085643562E-2</v>
      </c>
      <c r="G3343" s="656">
        <v>2.0739913095964874E-2</v>
      </c>
    </row>
    <row r="3344" spans="5:7">
      <c r="E3344" s="661">
        <f ca="1">_xll.meDateFromTenor(E3343,"1D","Following",$C$16)</f>
        <v>47989</v>
      </c>
      <c r="F3344" s="659">
        <f ca="1"/>
        <v>2.0733381199334096E-2</v>
      </c>
      <c r="G3344" s="656">
        <v>2.0740120147585719E-2</v>
      </c>
    </row>
    <row r="3345" spans="5:7">
      <c r="E3345" s="661">
        <f ca="1">_xll.meDateFromTenor(E3344,"1D","Following",$C$16)</f>
        <v>47990</v>
      </c>
      <c r="F3345" s="659">
        <f ca="1"/>
        <v>2.0733559293233405E-2</v>
      </c>
      <c r="G3345" s="656">
        <v>2.07407185252746E-2</v>
      </c>
    </row>
    <row r="3346" spans="5:7">
      <c r="E3346" s="661">
        <f ca="1">_xll.meDateFromTenor(E3345,"1D","Following",$C$16)</f>
        <v>47991</v>
      </c>
      <c r="F3346" s="659">
        <f ca="1"/>
        <v>2.0733733389148877E-2</v>
      </c>
      <c r="G3346" s="656">
        <v>2.0740910454642512E-2</v>
      </c>
    </row>
    <row r="3347" spans="5:7">
      <c r="E3347" s="661">
        <f ca="1">_xll.meDateFromTenor(E3346,"1D","Following",$C$16)</f>
        <v>47994</v>
      </c>
      <c r="F3347" s="659">
        <f ca="1"/>
        <v>2.0734231907066039E-2</v>
      </c>
      <c r="G3347" s="656">
        <v>2.0741098650344333E-2</v>
      </c>
    </row>
    <row r="3348" spans="5:7">
      <c r="E3348" s="661">
        <f ca="1">_xll.meDateFromTenor(E3347,"1D","Following",$C$16)</f>
        <v>47995</v>
      </c>
      <c r="F3348" s="659">
        <f ca="1"/>
        <v>2.0734390229119957E-2</v>
      </c>
      <c r="G3348" s="656">
        <v>2.0741283131138908E-2</v>
      </c>
    </row>
    <row r="3349" spans="5:7">
      <c r="E3349" s="661">
        <f ca="1">_xll.meDateFromTenor(E3348,"1D","Following",$C$16)</f>
        <v>47996</v>
      </c>
      <c r="F3349" s="659">
        <f ca="1"/>
        <v>2.0734544662226937E-2</v>
      </c>
      <c r="G3349" s="656">
        <v>2.0741463915785088E-2</v>
      </c>
    </row>
    <row r="3350" spans="5:7">
      <c r="E3350" s="661">
        <f ca="1">_xll.meDateFromTenor(E3349,"1D","Following",$C$16)</f>
        <v>47997</v>
      </c>
      <c r="F3350" s="659">
        <f ca="1"/>
        <v>2.0734695228194367E-2</v>
      </c>
      <c r="G3350" s="656">
        <v>2.0741984280421802E-2</v>
      </c>
    </row>
    <row r="3351" spans="5:7">
      <c r="E3351" s="661">
        <f ca="1">_xll.meDateFromTenor(E3350,"1D","Following",$C$16)</f>
        <v>47998</v>
      </c>
      <c r="F3351" s="659">
        <f ca="1"/>
        <v>2.0734841948829637E-2</v>
      </c>
      <c r="G3351" s="656">
        <v>2.0742150468062936E-2</v>
      </c>
    </row>
    <row r="3352" spans="5:7">
      <c r="E3352" s="661">
        <f ca="1">_xll.meDateFromTenor(E3351,"1D","Following",$C$16)</f>
        <v>48001</v>
      </c>
      <c r="F3352" s="659">
        <f ca="1"/>
        <v>2.0735259256816223E-2</v>
      </c>
      <c r="G3352" s="656">
        <v>2.0742313053349944E-2</v>
      </c>
    </row>
    <row r="3353" spans="5:7">
      <c r="E3353" s="661">
        <f ca="1">_xll.meDateFromTenor(E3352,"1D","Following",$C$16)</f>
        <v>48002</v>
      </c>
      <c r="F3353" s="659">
        <f ca="1"/>
        <v>2.073539081419663E-2</v>
      </c>
      <c r="G3353" s="656">
        <v>2.0742472055041677E-2</v>
      </c>
    </row>
    <row r="3354" spans="5:7">
      <c r="E3354" s="661">
        <f ca="1">_xll.meDateFromTenor(E3353,"1D","Following",$C$16)</f>
        <v>48003</v>
      </c>
      <c r="F3354" s="659">
        <f ca="1"/>
        <v>2.0735518635281773E-2</v>
      </c>
      <c r="G3354" s="656">
        <v>2.0742627491896988E-2</v>
      </c>
    </row>
    <row r="3355" spans="5:7">
      <c r="E3355" s="661">
        <f ca="1">_xll.meDateFromTenor(E3354,"1D","Following",$C$16)</f>
        <v>48004</v>
      </c>
      <c r="F3355" s="659">
        <f ca="1"/>
        <v>2.0735642741879039E-2</v>
      </c>
      <c r="G3355" s="656">
        <v>2.0743072601032902E-2</v>
      </c>
    </row>
    <row r="3356" spans="5:7">
      <c r="E3356" s="661">
        <f ca="1">_xll.meDateFromTenor(E3355,"1D","Following",$C$16)</f>
        <v>48005</v>
      </c>
      <c r="F3356" s="659">
        <f ca="1"/>
        <v>2.0735763155795808E-2</v>
      </c>
      <c r="G3356" s="656">
        <v>2.0743213966131043E-2</v>
      </c>
    </row>
    <row r="3357" spans="5:7">
      <c r="E3357" s="661">
        <f ca="1">_xll.meDateFromTenor(E3356,"1D","Following",$C$16)</f>
        <v>48008</v>
      </c>
      <c r="F3357" s="659">
        <f ca="1"/>
        <v>2.0736102459536953E-2</v>
      </c>
      <c r="G3357" s="656">
        <v>2.0743351860187033E-2</v>
      </c>
    </row>
    <row r="3358" spans="5:7">
      <c r="E3358" s="661">
        <f ca="1">_xll.meDateFromTenor(E3357,"1D","Following",$C$16)</f>
        <v>48009</v>
      </c>
      <c r="F3358" s="659">
        <f ca="1"/>
        <v>2.0736208320805558E-2</v>
      </c>
      <c r="G3358" s="656">
        <v>2.0743486301959709E-2</v>
      </c>
    </row>
    <row r="3359" spans="5:7">
      <c r="E3359" s="661">
        <f ca="1">_xll.meDateFromTenor(E3358,"1D","Following",$C$16)</f>
        <v>48010</v>
      </c>
      <c r="F3359" s="659">
        <f ca="1"/>
        <v>2.0736310598430573E-2</v>
      </c>
      <c r="G3359" s="656">
        <v>2.0743617310207935E-2</v>
      </c>
    </row>
    <row r="3360" spans="5:7">
      <c r="E3360" s="661">
        <f ca="1">_xll.meDateFromTenor(E3359,"1D","Following",$C$16)</f>
        <v>48011</v>
      </c>
      <c r="F3360" s="659">
        <f ca="1"/>
        <v>2.0736409314219384E-2</v>
      </c>
      <c r="G3360" s="656">
        <v>2.074398992139442E-2</v>
      </c>
    </row>
    <row r="3361" spans="5:7">
      <c r="E3361" s="661">
        <f ca="1">_xll.meDateFromTenor(E3360,"1D","Following",$C$16)</f>
        <v>48012</v>
      </c>
      <c r="F3361" s="659">
        <f ca="1"/>
        <v>2.0736504489979369E-2</v>
      </c>
      <c r="G3361" s="656">
        <v>2.0744107383133363E-2</v>
      </c>
    </row>
    <row r="3362" spans="5:7">
      <c r="E3362" s="661">
        <f ca="1">_xll.meDateFromTenor(E3361,"1D","Following",$C$16)</f>
        <v>48015</v>
      </c>
      <c r="F3362" s="659">
        <f ca="1"/>
        <v>2.0736768995160203E-2</v>
      </c>
      <c r="G3362" s="656">
        <v>2.0744221505142112E-2</v>
      </c>
    </row>
    <row r="3363" spans="5:7">
      <c r="E3363" s="661">
        <f ca="1">_xll.meDateFromTenor(E3362,"1D","Following",$C$16)</f>
        <v>48016</v>
      </c>
      <c r="F3363" s="659">
        <f ca="1"/>
        <v>2.0736850228878716E-2</v>
      </c>
      <c r="G3363" s="656">
        <v>2.074433230617953E-2</v>
      </c>
    </row>
    <row r="3364" spans="5:7">
      <c r="E3364" s="661">
        <f ca="1">_xll.meDateFromTenor(E3363,"1D","Following",$C$16)</f>
        <v>48017</v>
      </c>
      <c r="F3364" s="659">
        <f ca="1"/>
        <v>2.0736928031605317E-2</v>
      </c>
      <c r="G3364" s="656">
        <v>2.0744439805004469E-2</v>
      </c>
    </row>
    <row r="3365" spans="5:7">
      <c r="E3365" s="661">
        <f ca="1">_xll.meDateFromTenor(E3364,"1D","Following",$C$16)</f>
        <v>48018</v>
      </c>
      <c r="F3365" s="659">
        <f ca="1"/>
        <v>2.0737002425147377E-2</v>
      </c>
      <c r="G3365" s="656">
        <v>2.0744742675792894E-2</v>
      </c>
    </row>
    <row r="3366" spans="5:7">
      <c r="E3366" s="661">
        <f ca="1">_xll.meDateFromTenor(E3365,"1D","Following",$C$16)</f>
        <v>48019</v>
      </c>
      <c r="F3366" s="659">
        <f ca="1"/>
        <v>2.073707343131229E-2</v>
      </c>
      <c r="G3366" s="656">
        <v>2.0744837153356423E-2</v>
      </c>
    </row>
    <row r="3367" spans="5:7">
      <c r="E3367" s="661">
        <f ca="1">_xll.meDateFromTenor(E3366,"1D","Following",$C$16)</f>
        <v>48022</v>
      </c>
      <c r="F3367" s="659">
        <f ca="1"/>
        <v>2.0737266343617951E-2</v>
      </c>
      <c r="G3367" s="656">
        <v>2.0744928422501734E-2</v>
      </c>
    </row>
    <row r="3368" spans="5:7">
      <c r="E3368" s="661">
        <f ca="1">_xll.meDateFromTenor(E3367,"1D","Following",$C$16)</f>
        <v>48023</v>
      </c>
      <c r="F3368" s="659">
        <f ca="1"/>
        <v>2.0737324018348081E-2</v>
      </c>
      <c r="G3368" s="656">
        <v>2.0745016501987679E-2</v>
      </c>
    </row>
    <row r="3369" spans="5:7">
      <c r="E3369" s="661">
        <f ca="1">_xll.meDateFromTenor(E3368,"1D","Following",$C$16)</f>
        <v>48024</v>
      </c>
      <c r="F3369" s="659">
        <f ca="1"/>
        <v>2.073737841473797E-2</v>
      </c>
      <c r="G3369" s="656">
        <v>2.0745101410573109E-2</v>
      </c>
    </row>
    <row r="3370" spans="5:7">
      <c r="E3370" s="661">
        <f ca="1">_xll.meDateFromTenor(E3369,"1D","Following",$C$16)</f>
        <v>48025</v>
      </c>
      <c r="F3370" s="659">
        <f ca="1"/>
        <v>2.0737429554595E-2</v>
      </c>
      <c r="G3370" s="656">
        <v>2.0745337298514851E-2</v>
      </c>
    </row>
    <row r="3371" spans="5:7">
      <c r="E3371" s="661">
        <f ca="1">_xll.meDateFromTenor(E3370,"1D","Following",$C$16)</f>
        <v>48026</v>
      </c>
      <c r="F3371" s="659">
        <f ca="1"/>
        <v>2.0737477459726553E-2</v>
      </c>
      <c r="G3371" s="656">
        <v>2.0745409711086758E-2</v>
      </c>
    </row>
    <row r="3372" spans="5:7">
      <c r="E3372" s="661">
        <f ca="1">_xll.meDateFromTenor(E3371,"1D","Following",$C$16)</f>
        <v>48029</v>
      </c>
      <c r="F3372" s="659">
        <f ca="1"/>
        <v>2.0737601984842167E-2</v>
      </c>
      <c r="G3372" s="656">
        <v>2.0745479046552412E-2</v>
      </c>
    </row>
    <row r="3373" spans="5:7">
      <c r="E3373" s="661">
        <f ca="1">_xll.meDateFromTenor(E3372,"1D","Following",$C$16)</f>
        <v>48030</v>
      </c>
      <c r="F3373" s="659">
        <f ca="1"/>
        <v>2.0737637169145628E-2</v>
      </c>
      <c r="G3373" s="656">
        <v>2.0745545323670674E-2</v>
      </c>
    </row>
    <row r="3374" spans="5:7">
      <c r="E3374" s="661">
        <f ca="1">_xll.meDateFromTenor(E3373,"1D","Following",$C$16)</f>
        <v>48031</v>
      </c>
      <c r="F3374" s="659">
        <f ca="1"/>
        <v>2.0737669227760519E-2</v>
      </c>
      <c r="G3374" s="656">
        <v>2.0745608561200394E-2</v>
      </c>
    </row>
    <row r="3375" spans="5:7">
      <c r="E3375" s="661">
        <f ca="1">_xll.meDateFromTenor(E3374,"1D","Following",$C$16)</f>
        <v>48032</v>
      </c>
      <c r="F3375" s="659">
        <f ca="1"/>
        <v>2.0737698182494227E-2</v>
      </c>
      <c r="G3375" s="656">
        <v>2.0745780223846818E-2</v>
      </c>
    </row>
    <row r="3376" spans="5:7">
      <c r="E3376" s="661">
        <f ca="1">_xll.meDateFromTenor(E3375,"1D","Following",$C$16)</f>
        <v>48033</v>
      </c>
      <c r="F3376" s="659">
        <f ca="1"/>
        <v>2.0737724055154127E-2</v>
      </c>
      <c r="G3376" s="656">
        <v>2.0745831490610891E-2</v>
      </c>
    </row>
    <row r="3377" spans="5:7">
      <c r="E3377" s="661">
        <f ca="1">_xll.meDateFromTenor(E3376,"1D","Following",$C$16)</f>
        <v>48036</v>
      </c>
      <c r="F3377" s="659">
        <f ca="1"/>
        <v>2.0737783398764826E-2</v>
      </c>
      <c r="G3377" s="656">
        <v>2.0745879811580683E-2</v>
      </c>
    </row>
    <row r="3378" spans="5:7">
      <c r="E3378" s="661">
        <f ca="1">_xll.meDateFromTenor(E3377,"1D","Following",$C$16)</f>
        <v>48037</v>
      </c>
      <c r="F3378" s="659">
        <f ca="1"/>
        <v>2.0737797161203327E-2</v>
      </c>
      <c r="G3378" s="656">
        <v>2.0745925205515051E-2</v>
      </c>
    </row>
    <row r="3379" spans="5:7">
      <c r="E3379" s="661">
        <f ca="1">_xll.meDateFromTenor(E3378,"1D","Following",$C$16)</f>
        <v>48038</v>
      </c>
      <c r="F3379" s="659">
        <f ca="1"/>
        <v>2.0737807950604936E-2</v>
      </c>
      <c r="G3379" s="656">
        <v>2.0745967691172849E-2</v>
      </c>
    </row>
    <row r="3380" spans="5:7">
      <c r="E3380" s="661">
        <f ca="1">_xll.meDateFromTenor(E3379,"1D","Following",$C$16)</f>
        <v>48039</v>
      </c>
      <c r="F3380" s="659">
        <f ca="1"/>
        <v>2.073781578877703E-2</v>
      </c>
      <c r="G3380" s="656">
        <v>2.0746077886075322E-2</v>
      </c>
    </row>
    <row r="3381" spans="5:7">
      <c r="E3381" s="661">
        <f ca="1">_xll.meDateFromTenor(E3380,"1D","Following",$C$16)</f>
        <v>48040</v>
      </c>
      <c r="F3381" s="659">
        <f ca="1"/>
        <v>2.0737820697526988E-2</v>
      </c>
      <c r="G3381" s="656">
        <v>2.0746108926215354E-2</v>
      </c>
    </row>
    <row r="3382" spans="5:7">
      <c r="E3382" s="661">
        <f ca="1">_xll.meDateFromTenor(E3381,"1D","Following",$C$16)</f>
        <v>48043</v>
      </c>
      <c r="F3382" s="659">
        <f ca="1"/>
        <v>2.0737818065317909E-2</v>
      </c>
      <c r="G3382" s="656">
        <v>2.0746137151873074E-2</v>
      </c>
    </row>
    <row r="3383" spans="5:7">
      <c r="E3383" s="661">
        <f ca="1">_xll.meDateFromTenor(E3382,"1D","Following",$C$16)</f>
        <v>48044</v>
      </c>
      <c r="F3383" s="659">
        <f ca="1"/>
        <v>2.0737811474453159E-2</v>
      </c>
      <c r="G3383" s="656">
        <v>2.074616258180734E-2</v>
      </c>
    </row>
    <row r="3384" spans="5:7">
      <c r="E3384" s="661">
        <f ca="1">_xll.meDateFromTenor(E3383,"1D","Following",$C$16)</f>
        <v>48045</v>
      </c>
      <c r="F3384" s="659">
        <f ca="1"/>
        <v>2.0737802063203192E-2</v>
      </c>
      <c r="G3384" s="656">
        <v>2.0746185234777004E-2</v>
      </c>
    </row>
    <row r="3385" spans="5:7">
      <c r="E3385" s="661">
        <f ca="1">_xll.meDateFromTenor(E3384,"1D","Following",$C$16)</f>
        <v>48046</v>
      </c>
      <c r="F3385" s="659">
        <f ca="1"/>
        <v>2.0737789853375387E-2</v>
      </c>
      <c r="G3385" s="656">
        <v>2.0746236719486902E-2</v>
      </c>
    </row>
    <row r="3386" spans="5:7">
      <c r="E3386" s="661">
        <f ca="1">_xll.meDateFromTenor(E3385,"1D","Following",$C$16)</f>
        <v>48047</v>
      </c>
      <c r="F3386" s="659">
        <f ca="1"/>
        <v>2.0737774866777116E-2</v>
      </c>
      <c r="G3386" s="656">
        <v>2.0746248452186682E-2</v>
      </c>
    </row>
    <row r="3387" spans="5:7">
      <c r="E3387" s="661">
        <f ca="1">_xll.meDateFromTenor(E3386,"1D","Following",$C$16)</f>
        <v>48050</v>
      </c>
      <c r="F3387" s="659">
        <f ca="1"/>
        <v>2.0737713464433382E-2</v>
      </c>
      <c r="G3387" s="656">
        <v>2.0746257501716117E-2</v>
      </c>
    </row>
    <row r="3388" spans="5:7">
      <c r="E3388" s="661">
        <f ca="1">_xll.meDateFromTenor(E3387,"1D","Following",$C$16)</f>
        <v>48051</v>
      </c>
      <c r="F3388" s="659">
        <f ca="1"/>
        <v>2.0737687588827096E-2</v>
      </c>
      <c r="G3388" s="656">
        <v>2.0746263886834069E-2</v>
      </c>
    </row>
    <row r="3389" spans="5:7">
      <c r="E3389" s="661">
        <f ca="1">_xll.meDateFromTenor(E3388,"1D","Following",$C$16)</f>
        <v>48052</v>
      </c>
      <c r="F3389" s="659">
        <f ca="1"/>
        <v>2.0737659045487265E-2</v>
      </c>
      <c r="G3389" s="656">
        <v>2.074626762629939E-2</v>
      </c>
    </row>
    <row r="3390" spans="5:7">
      <c r="E3390" s="661">
        <f ca="1">_xll.meDateFromTenor(E3389,"1D","Following",$C$16)</f>
        <v>48053</v>
      </c>
      <c r="F3390" s="659">
        <f ca="1"/>
        <v>2.0737627856221266E-2</v>
      </c>
      <c r="G3390" s="656">
        <v>2.074626315836808E-2</v>
      </c>
    </row>
    <row r="3391" spans="5:7">
      <c r="E3391" s="661">
        <f ca="1">_xll.meDateFromTenor(E3390,"1D","Following",$C$16)</f>
        <v>48054</v>
      </c>
      <c r="F3391" s="659">
        <f ca="1"/>
        <v>2.0737594042836479E-2</v>
      </c>
      <c r="G3391" s="656">
        <v>2.0746256502811394E-2</v>
      </c>
    </row>
    <row r="3392" spans="5:7">
      <c r="E3392" s="661">
        <f ca="1">_xll.meDateFromTenor(E3391,"1D","Following",$C$16)</f>
        <v>48057</v>
      </c>
      <c r="F3392" s="659">
        <f ca="1"/>
        <v>2.0737477076043228E-2</v>
      </c>
      <c r="G3392" s="656">
        <v>2.0746247295396338E-2</v>
      </c>
    </row>
    <row r="3393" spans="5:7">
      <c r="E3393" s="661">
        <f ca="1">_xll.meDateFromTenor(E3392,"1D","Following",$C$16)</f>
        <v>48058</v>
      </c>
      <c r="F3393" s="659">
        <f ca="1"/>
        <v>2.0737432984257117E-2</v>
      </c>
      <c r="G3393" s="656">
        <v>2.0746235554881767E-2</v>
      </c>
    </row>
    <row r="3394" spans="5:7">
      <c r="E3394" s="661">
        <f ca="1">_xll.meDateFromTenor(E3393,"1D","Following",$C$16)</f>
        <v>48059</v>
      </c>
      <c r="F3394" s="659">
        <f ca="1"/>
        <v>2.0737386377389134E-2</v>
      </c>
      <c r="G3394" s="656">
        <v>2.0746221300026534E-2</v>
      </c>
    </row>
    <row r="3395" spans="5:7">
      <c r="E3395" s="661">
        <f ca="1">_xll.meDateFromTenor(E3394,"1D","Following",$C$16)</f>
        <v>48060</v>
      </c>
      <c r="F3395" s="659">
        <f ca="1"/>
        <v>2.0737337277246647E-2</v>
      </c>
      <c r="G3395" s="656">
        <v>2.0746163637005387E-2</v>
      </c>
    </row>
    <row r="3396" spans="5:7">
      <c r="E3396" s="661">
        <f ca="1">_xll.meDateFromTenor(E3395,"1D","Following",$C$16)</f>
        <v>48061</v>
      </c>
      <c r="F3396" s="659">
        <f ca="1"/>
        <v>2.0737285705637053E-2</v>
      </c>
      <c r="G3396" s="656">
        <v>2.0746139512376031E-2</v>
      </c>
    </row>
    <row r="3397" spans="5:7">
      <c r="E3397" s="661">
        <f ca="1">_xll.meDateFromTenor(E3396,"1D","Following",$C$16)</f>
        <v>48064</v>
      </c>
      <c r="F3397" s="659">
        <f ca="1"/>
        <v>2.0737116380079419E-2</v>
      </c>
      <c r="G3397" s="656">
        <v>2.0746112967200275E-2</v>
      </c>
    </row>
    <row r="3398" spans="5:7">
      <c r="E3398" s="661">
        <f ca="1">_xll.meDateFromTenor(E3397,"1D","Following",$C$16)</f>
        <v>48065</v>
      </c>
      <c r="F3398" s="659">
        <f ca="1"/>
        <v>2.0737055140675194E-2</v>
      </c>
      <c r="G3398" s="656">
        <v>2.074608402023697E-2</v>
      </c>
    </row>
    <row r="3399" spans="5:7">
      <c r="E3399" s="661">
        <f ca="1">_xll.meDateFromTenor(E3398,"1D","Following",$C$16)</f>
        <v>48066</v>
      </c>
      <c r="F3399" s="659">
        <f ca="1"/>
        <v>2.073699153884076E-2</v>
      </c>
      <c r="G3399" s="656">
        <v>2.0746052690244973E-2</v>
      </c>
    </row>
    <row r="3400" spans="5:7">
      <c r="E3400" s="661">
        <f ca="1">_xll.meDateFromTenor(E3399,"1D","Following",$C$16)</f>
        <v>48067</v>
      </c>
      <c r="F3400" s="659">
        <f ca="1"/>
        <v>2.0736925596383512E-2</v>
      </c>
      <c r="G3400" s="656">
        <v>2.0745944589685351E-2</v>
      </c>
    </row>
    <row r="3401" spans="5:7">
      <c r="E3401" s="661">
        <f ca="1">_xll.meDateFromTenor(E3400,"1D","Following",$C$16)</f>
        <v>48068</v>
      </c>
      <c r="F3401" s="659">
        <f ca="1"/>
        <v>2.0736857335110822E-2</v>
      </c>
      <c r="G3401" s="656">
        <v>2.0745903915167112E-2</v>
      </c>
    </row>
    <row r="3402" spans="5:7">
      <c r="E3402" s="661">
        <f ca="1">_xll.meDateFromTenor(E3401,"1D","Following",$C$16)</f>
        <v>48071</v>
      </c>
      <c r="F3402" s="659">
        <f ca="1"/>
        <v>2.0736638856473928E-2</v>
      </c>
      <c r="G3402" s="656">
        <v>2.0745860951414442E-2</v>
      </c>
    </row>
    <row r="3403" spans="5:7">
      <c r="E3403" s="661">
        <f ca="1">_xll.meDateFromTenor(E3402,"1D","Following",$C$16)</f>
        <v>48072</v>
      </c>
      <c r="F3403" s="659">
        <f ca="1"/>
        <v>2.0736561538013298E-2</v>
      </c>
      <c r="G3403" s="656">
        <v>2.0745815717186197E-2</v>
      </c>
    </row>
    <row r="3404" spans="5:7">
      <c r="E3404" s="661">
        <f ca="1">_xll.meDateFromTenor(E3403,"1D","Following",$C$16)</f>
        <v>48073</v>
      </c>
      <c r="F3404" s="659">
        <f ca="1"/>
        <v>2.0736482009774137E-2</v>
      </c>
      <c r="G3404" s="656">
        <v>2.0745768231241229E-2</v>
      </c>
    </row>
    <row r="3405" spans="5:7">
      <c r="E3405" s="661">
        <f ca="1">_xll.meDateFromTenor(E3404,"1D","Following",$C$16)</f>
        <v>48074</v>
      </c>
      <c r="F3405" s="659">
        <f ca="1"/>
        <v>2.0736400293563828E-2</v>
      </c>
      <c r="G3405" s="656">
        <v>2.074561245069451E-2</v>
      </c>
    </row>
    <row r="3406" spans="5:7">
      <c r="E3406" s="661">
        <f ca="1">_xll.meDateFromTenor(E3405,"1D","Following",$C$16)</f>
        <v>48075</v>
      </c>
      <c r="F3406" s="659">
        <f ca="1"/>
        <v>2.073631641118975E-2</v>
      </c>
      <c r="G3406" s="656">
        <v>2.0745556145471172E-2</v>
      </c>
    </row>
    <row r="3407" spans="5:7">
      <c r="E3407" s="661">
        <f ca="1">_xll.meDateFromTenor(E3406,"1D","Following",$C$16)</f>
        <v>48078</v>
      </c>
      <c r="F3407" s="659">
        <f ca="1"/>
        <v>2.0736051985158738E-2</v>
      </c>
      <c r="G3407" s="656">
        <v>2.0745497682325382E-2</v>
      </c>
    </row>
    <row r="3408" spans="5:7">
      <c r="E3408" s="661">
        <f ca="1">_xll.meDateFromTenor(E3407,"1D","Following",$C$16)</f>
        <v>48079</v>
      </c>
      <c r="F3408" s="659">
        <f ca="1"/>
        <v>2.0735959656203413E-2</v>
      </c>
      <c r="G3408" s="656">
        <v>2.0745437080015982E-2</v>
      </c>
    </row>
    <row r="3409" spans="5:7">
      <c r="E3409" s="661">
        <f ca="1">_xll.meDateFromTenor(E3408,"1D","Following",$C$16)</f>
        <v>48080</v>
      </c>
      <c r="F3409" s="659">
        <f ca="1"/>
        <v>2.0735865270121234E-2</v>
      </c>
      <c r="G3409" s="656">
        <v>2.0745374357301834E-2</v>
      </c>
    </row>
    <row r="3410" spans="5:7">
      <c r="E3410" s="661">
        <f ca="1">_xll.meDateFromTenor(E3409,"1D","Following",$C$16)</f>
        <v>48081</v>
      </c>
      <c r="F3410" s="659">
        <f ca="1"/>
        <v>2.0735768848719568E-2</v>
      </c>
      <c r="G3410" s="656">
        <v>2.0745173654319386E-2</v>
      </c>
    </row>
    <row r="3411" spans="5:7">
      <c r="E3411" s="661">
        <f ca="1">_xll.meDateFromTenor(E3410,"1D","Following",$C$16)</f>
        <v>48082</v>
      </c>
      <c r="F3411" s="659">
        <f ca="1"/>
        <v>2.0735670413805817E-2</v>
      </c>
      <c r="G3411" s="656">
        <v>2.0745102637574748E-2</v>
      </c>
    </row>
    <row r="3412" spans="5:7">
      <c r="E3412" s="661">
        <f ca="1">_xll.meDateFromTenor(E3411,"1D","Following",$C$16)</f>
        <v>48085</v>
      </c>
      <c r="F3412" s="659">
        <f ca="1"/>
        <v>2.0735363246065817E-2</v>
      </c>
      <c r="G3412" s="656">
        <v>2.074502959421962E-2</v>
      </c>
    </row>
    <row r="3413" spans="5:7">
      <c r="E3413" s="661">
        <f ca="1">_xll.meDateFromTenor(E3412,"1D","Following",$C$16)</f>
        <v>48086</v>
      </c>
      <c r="F3413" s="659">
        <f ca="1"/>
        <v>2.0735256975177512E-2</v>
      </c>
      <c r="G3413" s="656">
        <v>2.074495454301286E-2</v>
      </c>
    </row>
    <row r="3414" spans="5:7">
      <c r="E3414" s="661">
        <f ca="1">_xll.meDateFromTenor(E3413,"1D","Following",$C$16)</f>
        <v>48087</v>
      </c>
      <c r="F3414" s="659">
        <f ca="1"/>
        <v>2.0735148799814015E-2</v>
      </c>
      <c r="G3414" s="656">
        <v>2.0744877502713314E-2</v>
      </c>
    </row>
    <row r="3415" spans="5:7">
      <c r="E3415" s="661">
        <f ca="1">_xll.meDateFromTenor(E3414,"1D","Following",$C$16)</f>
        <v>48088</v>
      </c>
      <c r="F3415" s="659">
        <f ca="1"/>
        <v>2.0735038741782716E-2</v>
      </c>
      <c r="G3415" s="656">
        <v>2.074463463484651E-2</v>
      </c>
    </row>
    <row r="3416" spans="5:7">
      <c r="E3416" s="661">
        <f ca="1">_xll.meDateFromTenor(E3415,"1D","Following",$C$16)</f>
        <v>48089</v>
      </c>
      <c r="F3416" s="659">
        <f ca="1"/>
        <v>2.0734926822890999E-2</v>
      </c>
      <c r="G3416" s="656">
        <v>2.0744549825764361E-2</v>
      </c>
    </row>
    <row r="3417" spans="5:7">
      <c r="E3417" s="661">
        <f ca="1">_xll.meDateFromTenor(E3416,"1D","Following",$C$16)</f>
        <v>48092</v>
      </c>
      <c r="F3417" s="659">
        <f ca="1"/>
        <v>2.0734580119127141E-2</v>
      </c>
      <c r="G3417" s="656">
        <v>2.0744463121383692E-2</v>
      </c>
    </row>
    <row r="3418" spans="5:7">
      <c r="E3418" s="661">
        <f ca="1">_xll.meDateFromTenor(E3417,"1D","Following",$C$16)</f>
        <v>48093</v>
      </c>
      <c r="F3418" s="659">
        <f ca="1"/>
        <v>2.0734460974867558E-2</v>
      </c>
      <c r="G3418" s="656">
        <v>2.0744374540463354E-2</v>
      </c>
    </row>
    <row r="3419" spans="5:7">
      <c r="E3419" s="661">
        <f ca="1">_xll.meDateFromTenor(E3418,"1D","Following",$C$16)</f>
        <v>48094</v>
      </c>
      <c r="F3419" s="659">
        <f ca="1"/>
        <v>2.0734340078784465E-2</v>
      </c>
      <c r="G3419" s="656">
        <v>2.0744284101762205E-2</v>
      </c>
    </row>
    <row r="3420" spans="5:7">
      <c r="E3420" s="661">
        <f ca="1">_xll.meDateFromTenor(E3419,"1D","Following",$C$16)</f>
        <v>48095</v>
      </c>
      <c r="F3420" s="659">
        <f ca="1"/>
        <v>2.0734217452685243E-2</v>
      </c>
      <c r="G3420" s="656">
        <v>2.074400182656241E-2</v>
      </c>
    </row>
    <row r="3421" spans="5:7">
      <c r="E3421" s="661">
        <f ca="1">_xll.meDateFromTenor(E3420,"1D","Following",$C$16)</f>
        <v>48096</v>
      </c>
      <c r="F3421" s="659">
        <f ca="1"/>
        <v>2.0734093118377268E-2</v>
      </c>
      <c r="G3421" s="656">
        <v>2.0743904144326534E-2</v>
      </c>
    </row>
    <row r="3422" spans="5:7">
      <c r="E3422" s="661">
        <f ca="1">_xll.meDateFromTenor(E3421,"1D","Following",$C$16)</f>
        <v>48099</v>
      </c>
      <c r="F3422" s="659">
        <f ca="1"/>
        <v>2.0733710084274687E-2</v>
      </c>
      <c r="G3422" s="656">
        <v>2.0743804698104117E-2</v>
      </c>
    </row>
    <row r="3423" spans="5:7">
      <c r="E3423" s="661">
        <f ca="1">_xll.meDateFromTenor(E3422,"1D","Following",$C$16)</f>
        <v>48100</v>
      </c>
      <c r="F3423" s="659">
        <f ca="1"/>
        <v>2.0733579135205543E-2</v>
      </c>
      <c r="G3423" s="656">
        <v>2.0743703506653999E-2</v>
      </c>
    </row>
    <row r="3424" spans="5:7">
      <c r="E3424" s="661">
        <f ca="1">_xll.meDateFromTenor(E3423,"1D","Following",$C$16)</f>
        <v>48101</v>
      </c>
      <c r="F3424" s="659">
        <f ca="1"/>
        <v>2.0733446586964559E-2</v>
      </c>
      <c r="G3424" s="656">
        <v>2.0743600588735037E-2</v>
      </c>
    </row>
    <row r="3425" spans="5:7">
      <c r="E3425" s="661">
        <f ca="1">_xll.meDateFromTenor(E3424,"1D","Following",$C$16)</f>
        <v>48102</v>
      </c>
      <c r="F3425" s="659">
        <f ca="1"/>
        <v>2.0733312461359121E-2</v>
      </c>
      <c r="G3425" s="656">
        <v>2.074328166375362E-2</v>
      </c>
    </row>
    <row r="3426" spans="5:7">
      <c r="E3426" s="661">
        <f ca="1">_xll.meDateFromTenor(E3425,"1D","Following",$C$16)</f>
        <v>48103</v>
      </c>
      <c r="F3426" s="659">
        <f ca="1"/>
        <v>2.0733176780196604E-2</v>
      </c>
      <c r="G3426" s="656">
        <v>2.0743172027547815E-2</v>
      </c>
    </row>
    <row r="3427" spans="5:7">
      <c r="E3427" s="661">
        <f ca="1">_xll.meDateFromTenor(E3426,"1D","Following",$C$16)</f>
        <v>48106</v>
      </c>
      <c r="F3427" s="659">
        <f ca="1"/>
        <v>2.073276062144043E-2</v>
      </c>
      <c r="G3427" s="656">
        <v>2.0743060758667428E-2</v>
      </c>
    </row>
    <row r="3428" spans="5:7">
      <c r="E3428" s="661">
        <f ca="1">_xll.meDateFromTenor(E3427,"1D","Following",$C$16)</f>
        <v>48107</v>
      </c>
      <c r="F3428" s="659">
        <f ca="1"/>
        <v>2.0732618936123434E-2</v>
      </c>
      <c r="G3428" s="656">
        <v>2.0742947875871318E-2</v>
      </c>
    </row>
    <row r="3429" spans="5:7">
      <c r="E3429" s="661">
        <f ca="1">_xll.meDateFromTenor(E3428,"1D","Following",$C$16)</f>
        <v>48108</v>
      </c>
      <c r="F3429" s="659">
        <f ca="1"/>
        <v>2.0732475804286273E-2</v>
      </c>
      <c r="G3429" s="656">
        <v>2.0742833397918332E-2</v>
      </c>
    </row>
    <row r="3430" spans="5:7">
      <c r="E3430" s="661">
        <f ca="1">_xll.meDateFromTenor(E3429,"1D","Following",$C$16)</f>
        <v>48109</v>
      </c>
      <c r="F3430" s="659">
        <f ca="1"/>
        <v>2.0732331247736324E-2</v>
      </c>
      <c r="G3430" s="656">
        <v>2.0742480580706664E-2</v>
      </c>
    </row>
    <row r="3431" spans="5:7">
      <c r="E3431" s="661">
        <f ca="1">_xll.meDateFromTenor(E3430,"1D","Following",$C$16)</f>
        <v>48110</v>
      </c>
      <c r="F3431" s="659">
        <f ca="1"/>
        <v>2.0732185288280979E-2</v>
      </c>
      <c r="G3431" s="656">
        <v>2.0742359909714715E-2</v>
      </c>
    </row>
    <row r="3432" spans="5:7">
      <c r="E3432" s="661">
        <f ca="1">_xll.meDateFromTenor(E3431,"1D","Following",$C$16)</f>
        <v>48113</v>
      </c>
      <c r="F3432" s="659">
        <f ca="1"/>
        <v>2.0731739210556342E-2</v>
      </c>
      <c r="G3432" s="656">
        <v>2.0742237737360159E-2</v>
      </c>
    </row>
    <row r="3433" spans="5:7">
      <c r="E3433" s="661">
        <f ca="1">_xll.meDateFromTenor(E3432,"1D","Following",$C$16)</f>
        <v>48114</v>
      </c>
      <c r="F3433" s="659">
        <f ca="1"/>
        <v>2.0731587857553205E-2</v>
      </c>
      <c r="G3433" s="656">
        <v>2.0742114082401845E-2</v>
      </c>
    </row>
    <row r="3434" spans="5:7">
      <c r="E3434" s="661">
        <f ca="1">_xll.meDateFromTenor(E3433,"1D","Following",$C$16)</f>
        <v>48115</v>
      </c>
      <c r="F3434" s="659">
        <f ca="1"/>
        <v>2.0731435210681576E-2</v>
      </c>
      <c r="G3434" s="656">
        <v>2.0741988963598627E-2</v>
      </c>
    </row>
    <row r="3435" spans="5:7">
      <c r="E3435" s="661">
        <f ca="1">_xll.meDateFromTenor(E3434,"1D","Following",$C$16)</f>
        <v>48116</v>
      </c>
      <c r="F3435" s="659">
        <f ca="1"/>
        <v>2.0731281291748838E-2</v>
      </c>
      <c r="G3435" s="656">
        <v>2.0741605011708082E-2</v>
      </c>
    </row>
    <row r="3436" spans="5:7">
      <c r="E3436" s="661">
        <f ca="1">_xll.meDateFromTenor(E3435,"1D","Following",$C$16)</f>
        <v>48117</v>
      </c>
      <c r="F3436" s="659">
        <f ca="1"/>
        <v>2.0731126122562369E-2</v>
      </c>
      <c r="G3436" s="656">
        <v>2.0741474225113778E-2</v>
      </c>
    </row>
    <row r="3437" spans="5:7">
      <c r="E3437" s="661">
        <f ca="1">_xll.meDateFromTenor(E3436,"1D","Following",$C$16)</f>
        <v>48120</v>
      </c>
      <c r="F3437" s="659">
        <f ca="1"/>
        <v>2.07306533315544E-2</v>
      </c>
      <c r="G3437" s="656">
        <v>2.0741342068468841E-2</v>
      </c>
    </row>
    <row r="3438" spans="5:7">
      <c r="E3438" s="661">
        <f ca="1">_xll.meDateFromTenor(E3437,"1D","Following",$C$16)</f>
        <v>48121</v>
      </c>
      <c r="F3438" s="659">
        <f ca="1"/>
        <v>2.0730493379426836E-2</v>
      </c>
      <c r="G3438" s="656">
        <v>2.0741208560532107E-2</v>
      </c>
    </row>
    <row r="3439" spans="5:7">
      <c r="E3439" s="661">
        <f ca="1">_xll.meDateFromTenor(E3438,"1D","Following",$C$16)</f>
        <v>48122</v>
      </c>
      <c r="F3439" s="659">
        <f ca="1"/>
        <v>2.073033228608245E-2</v>
      </c>
      <c r="G3439" s="656">
        <v>2.0741073720062446E-2</v>
      </c>
    </row>
    <row r="3440" spans="5:7">
      <c r="E3440" s="661">
        <f ca="1">_xll.meDateFromTenor(E3439,"1D","Following",$C$16)</f>
        <v>48123</v>
      </c>
      <c r="F3440" s="659">
        <f ca="1"/>
        <v>2.073017007332862E-2</v>
      </c>
      <c r="G3440" s="656">
        <v>2.0740661391044388E-2</v>
      </c>
    </row>
    <row r="3441" spans="5:7">
      <c r="E3441" s="661">
        <f ca="1">_xll.meDateFromTenor(E3440,"1D","Following",$C$16)</f>
        <v>48124</v>
      </c>
      <c r="F3441" s="659">
        <f ca="1"/>
        <v>2.0730006762972743E-2</v>
      </c>
      <c r="G3441" s="656">
        <v>2.0740521408031523E-2</v>
      </c>
    </row>
    <row r="3442" spans="5:7">
      <c r="E3442" s="661">
        <f ca="1">_xll.meDateFromTenor(E3441,"1D","Following",$C$16)</f>
        <v>48127</v>
      </c>
      <c r="F3442" s="659">
        <f ca="1"/>
        <v>2.0729510464366583E-2</v>
      </c>
      <c r="G3442" s="656">
        <v>2.0740380186279987E-2</v>
      </c>
    </row>
    <row r="3443" spans="5:7">
      <c r="E3443" s="661">
        <f ca="1">_xll.meDateFromTenor(E3442,"1D","Following",$C$16)</f>
        <v>48128</v>
      </c>
      <c r="F3443" s="659">
        <f ca="1"/>
        <v>2.0729342981676297E-2</v>
      </c>
      <c r="G3443" s="656">
        <v>2.074023774454864E-2</v>
      </c>
    </row>
    <row r="3444" spans="5:7">
      <c r="E3444" s="661">
        <f ca="1">_xll.meDateFromTenor(E3443,"1D","Following",$C$16)</f>
        <v>48129</v>
      </c>
      <c r="F3444" s="659">
        <f ca="1"/>
        <v>2.0729174510420865E-2</v>
      </c>
      <c r="G3444" s="656">
        <v>2.0740094101596326E-2</v>
      </c>
    </row>
    <row r="3445" spans="5:7">
      <c r="E3445" s="661">
        <f ca="1">_xll.meDateFromTenor(E3444,"1D","Following",$C$16)</f>
        <v>48130</v>
      </c>
      <c r="F3445" s="659">
        <f ca="1"/>
        <v>2.0729005072407668E-2</v>
      </c>
      <c r="G3445" s="656">
        <v>2.073965615300213E-2</v>
      </c>
    </row>
    <row r="3446" spans="5:7">
      <c r="E3446" s="661">
        <f ca="1">_xll.meDateFromTenor(E3445,"1D","Following",$C$16)</f>
        <v>48131</v>
      </c>
      <c r="F3446" s="659">
        <f ca="1"/>
        <v>2.0728834689444083E-2</v>
      </c>
      <c r="G3446" s="656">
        <v>2.0739507892754489E-2</v>
      </c>
    </row>
    <row r="3447" spans="5:7">
      <c r="E3447" s="661">
        <f ca="1">_xll.meDateFromTenor(E3446,"1D","Following",$C$16)</f>
        <v>48134</v>
      </c>
      <c r="F3447" s="659">
        <f ca="1"/>
        <v>2.0728318088924867E-2</v>
      </c>
      <c r="G3447" s="656">
        <v>2.0739358525080152E-2</v>
      </c>
    </row>
    <row r="3448" spans="5:7">
      <c r="E3448" s="661">
        <f ca="1">_xll.meDateFromTenor(E3447,"1D","Following",$C$16)</f>
        <v>48135</v>
      </c>
      <c r="F3448" s="659">
        <f ca="1"/>
        <v>2.0728144144233563E-2</v>
      </c>
      <c r="G3448" s="656">
        <v>2.0739208068737965E-2</v>
      </c>
    </row>
    <row r="3449" spans="5:7">
      <c r="E3449" s="661">
        <f ca="1">_xll.meDateFromTenor(E3448,"1D","Following",$C$16)</f>
        <v>48136</v>
      </c>
      <c r="F3449" s="659">
        <f ca="1"/>
        <v>2.0727969363628796E-2</v>
      </c>
      <c r="G3449" s="656">
        <v>2.073905654248679E-2</v>
      </c>
    </row>
    <row r="3450" spans="5:7">
      <c r="E3450" s="661">
        <f ca="1">_xll.meDateFromTenor(E3449,"1D","Following",$C$16)</f>
        <v>48137</v>
      </c>
      <c r="F3450" s="659">
        <f ca="1"/>
        <v>2.0727793768917938E-2</v>
      </c>
      <c r="G3450" s="656">
        <v>2.0738595731867825E-2</v>
      </c>
    </row>
    <row r="3451" spans="5:7">
      <c r="E3451" s="661">
        <f ca="1">_xll.meDateFromTenor(E3450,"1D","Following",$C$16)</f>
        <v>48138</v>
      </c>
      <c r="F3451" s="659">
        <f ca="1"/>
        <v>2.0727617381908363E-2</v>
      </c>
      <c r="G3451" s="656">
        <v>2.07384401135692E-2</v>
      </c>
    </row>
    <row r="3452" spans="5:7">
      <c r="E3452" s="661">
        <f ca="1">_xll.meDateFromTenor(E3451,"1D","Following",$C$16)</f>
        <v>48141</v>
      </c>
      <c r="F3452" s="659">
        <f ca="1"/>
        <v>2.0727083685161209E-2</v>
      </c>
      <c r="G3452" s="656">
        <v>2.0738283519155847E-2</v>
      </c>
    </row>
    <row r="3453" spans="5:7">
      <c r="E3453" s="661">
        <f ca="1">_xll.meDateFromTenor(E3452,"1D","Following",$C$16)</f>
        <v>48142</v>
      </c>
      <c r="F3453" s="659">
        <f ca="1"/>
        <v>2.0726904347030617E-2</v>
      </c>
      <c r="G3453" s="656">
        <v>2.0738125967386618E-2</v>
      </c>
    </row>
    <row r="3454" spans="5:7">
      <c r="E3454" s="661">
        <f ca="1">_xll.meDateFromTenor(E3453,"1D","Following",$C$16)</f>
        <v>48143</v>
      </c>
      <c r="F3454" s="659">
        <f ca="1"/>
        <v>2.0726724325638223E-2</v>
      </c>
      <c r="G3454" s="656">
        <v>2.0737967477020371E-2</v>
      </c>
    </row>
    <row r="3455" spans="5:7">
      <c r="E3455" s="661">
        <f ca="1">_xll.meDateFromTenor(E3454,"1D","Following",$C$16)</f>
        <v>48144</v>
      </c>
      <c r="F3455" s="659">
        <f ca="1"/>
        <v>2.072654364279141E-2</v>
      </c>
      <c r="G3455" s="656">
        <v>2.0737486561928E-2</v>
      </c>
    </row>
    <row r="3456" spans="5:7">
      <c r="E3456" s="661">
        <f ca="1">_xll.meDateFromTenor(E3455,"1D","Following",$C$16)</f>
        <v>48145</v>
      </c>
      <c r="F3456" s="659">
        <f ca="1"/>
        <v>2.0726362320297557E-2</v>
      </c>
      <c r="G3456" s="656">
        <v>2.0737324504762188E-2</v>
      </c>
    </row>
    <row r="3457" spans="5:7">
      <c r="E3457" s="661">
        <f ca="1">_xll.meDateFromTenor(E3456,"1D","Following",$C$16)</f>
        <v>48148</v>
      </c>
      <c r="F3457" s="659">
        <f ca="1"/>
        <v>2.0725814733007608E-2</v>
      </c>
      <c r="G3457" s="656">
        <v>2.0737161602793611E-2</v>
      </c>
    </row>
    <row r="3458" spans="5:7">
      <c r="E3458" s="661">
        <f ca="1">_xll.meDateFromTenor(E3457,"1D","Following",$C$16)</f>
        <v>48149</v>
      </c>
      <c r="F3458" s="659">
        <f ca="1"/>
        <v>2.0725631069999424E-2</v>
      </c>
      <c r="G3458" s="656">
        <v>2.0736997874781126E-2</v>
      </c>
    </row>
    <row r="3459" spans="5:7">
      <c r="E3459" s="661">
        <f ca="1">_xll.meDateFromTenor(E3458,"1D","Following",$C$16)</f>
        <v>48150</v>
      </c>
      <c r="F3459" s="659">
        <f ca="1"/>
        <v>2.0725446876381119E-2</v>
      </c>
      <c r="G3459" s="656">
        <v>2.0736833339483594E-2</v>
      </c>
    </row>
    <row r="3460" spans="5:7">
      <c r="E3460" s="661">
        <f ca="1">_xll.meDateFromTenor(E3459,"1D","Following",$C$16)</f>
        <v>48151</v>
      </c>
      <c r="F3460" s="659">
        <f ca="1"/>
        <v>2.0725262173960063E-2</v>
      </c>
      <c r="G3460" s="656">
        <v>2.0736335077469192E-2</v>
      </c>
    </row>
    <row r="3461" spans="5:7">
      <c r="E3461" s="661">
        <f ca="1">_xll.meDateFromTenor(E3460,"1D","Following",$C$16)</f>
        <v>48152</v>
      </c>
      <c r="F3461" s="659">
        <f ca="1"/>
        <v>2.0725076984543643E-2</v>
      </c>
      <c r="G3461" s="656">
        <v>2.0736167500619976E-2</v>
      </c>
    </row>
    <row r="3462" spans="5:7">
      <c r="E3462" s="661">
        <f ca="1">_xll.meDateFromTenor(E3461,"1D","Following",$C$16)</f>
        <v>48155</v>
      </c>
      <c r="F3462" s="659">
        <f ca="1"/>
        <v>2.0724518712396025E-2</v>
      </c>
      <c r="G3462" s="656">
        <v>2.0735999210279969E-2</v>
      </c>
    </row>
    <row r="3463" spans="5:7">
      <c r="E3463" s="661">
        <f ca="1">_xll.meDateFromTenor(E3462,"1D","Following",$C$16)</f>
        <v>48156</v>
      </c>
      <c r="F3463" s="659">
        <f ca="1"/>
        <v>2.0724331793071968E-2</v>
      </c>
      <c r="G3463" s="656">
        <v>2.0735830225208023E-2</v>
      </c>
    </row>
    <row r="3464" spans="5:7">
      <c r="E3464" s="661">
        <f ca="1">_xll.meDateFromTenor(E3463,"1D","Following",$C$16)</f>
        <v>48157</v>
      </c>
      <c r="F3464" s="659">
        <f ca="1"/>
        <v>2.0724144495789455E-2</v>
      </c>
      <c r="G3464" s="656">
        <v>2.0735660564162994E-2</v>
      </c>
    </row>
    <row r="3465" spans="5:7">
      <c r="E3465" s="661">
        <f ca="1">_xll.meDateFromTenor(E3464,"1D","Following",$C$16)</f>
        <v>48158</v>
      </c>
      <c r="F3465" s="659">
        <f ca="1"/>
        <v>2.0723956842355871E-2</v>
      </c>
      <c r="G3465" s="656">
        <v>2.0735147712777936E-2</v>
      </c>
    </row>
    <row r="3466" spans="5:7">
      <c r="E3466" s="661">
        <f ca="1">_xll.meDateFromTenor(E3465,"1D","Following",$C$16)</f>
        <v>48159</v>
      </c>
      <c r="F3466" s="659">
        <f ca="1"/>
        <v>2.0723768854578599E-2</v>
      </c>
      <c r="G3466" s="656">
        <v>2.0734975533693929E-2</v>
      </c>
    </row>
    <row r="3467" spans="5:7">
      <c r="E3467" s="661">
        <f ca="1">_xll.meDateFromTenor(E3466,"1D","Following",$C$16)</f>
        <v>48162</v>
      </c>
      <c r="F3467" s="659">
        <f ca="1"/>
        <v>2.0723203103258439E-2</v>
      </c>
      <c r="G3467" s="656">
        <v>2.0734802762020062E-2</v>
      </c>
    </row>
    <row r="3468" spans="5:7">
      <c r="E3468" s="661">
        <f ca="1">_xll.meDateFromTenor(E3467,"1D","Following",$C$16)</f>
        <v>48163</v>
      </c>
      <c r="F3468" s="659">
        <f ca="1"/>
        <v>2.0723013993656201E-2</v>
      </c>
      <c r="G3468" s="656">
        <v>2.0734629406104137E-2</v>
      </c>
    </row>
    <row r="3469" spans="5:7">
      <c r="E3469" s="661">
        <f ca="1">_xll.meDateFromTenor(E3468,"1D","Following",$C$16)</f>
        <v>48164</v>
      </c>
      <c r="F3469" s="659">
        <f ca="1"/>
        <v>2.0722824643603092E-2</v>
      </c>
      <c r="G3469" s="656">
        <v>2.0734455474293971E-2</v>
      </c>
    </row>
    <row r="3470" spans="5:7">
      <c r="E3470" s="661">
        <f ca="1">_xll.meDateFromTenor(E3469,"1D","Following",$C$16)</f>
        <v>48165</v>
      </c>
      <c r="F3470" s="659">
        <f ca="1"/>
        <v>2.0722635059762413E-2</v>
      </c>
      <c r="G3470" s="656">
        <v>2.0733930306976119E-2</v>
      </c>
    </row>
    <row r="3471" spans="5:7">
      <c r="E3471" s="661">
        <f ca="1">_xll.meDateFromTenor(E3470,"1D","Following",$C$16)</f>
        <v>48166</v>
      </c>
      <c r="F3471" s="659">
        <f ca="1"/>
        <v>2.0722445248797444E-2</v>
      </c>
      <c r="G3471" s="656">
        <v>2.0733754155067084E-2</v>
      </c>
    </row>
    <row r="3472" spans="5:7">
      <c r="E3472" s="661">
        <f ca="1">_xll.meDateFromTenor(E3471,"1D","Following",$C$16)</f>
        <v>48169</v>
      </c>
      <c r="F3472" s="659">
        <f ca="1"/>
        <v>2.0721874519789768E-2</v>
      </c>
      <c r="G3472" s="656">
        <v>2.0733577469002853E-2</v>
      </c>
    </row>
    <row r="3473" spans="5:7">
      <c r="E3473" s="661">
        <f ca="1">_xll.meDateFromTenor(E3472,"1D","Following",$C$16)</f>
        <v>48170</v>
      </c>
      <c r="F3473" s="659">
        <f ca="1"/>
        <v>2.0721683866960598E-2</v>
      </c>
      <c r="G3473" s="656">
        <v>2.0733400257131235E-2</v>
      </c>
    </row>
    <row r="3474" spans="5:7">
      <c r="E3474" s="661">
        <f ca="1">_xll.meDateFromTenor(E3473,"1D","Following",$C$16)</f>
        <v>48171</v>
      </c>
      <c r="F3474" s="659">
        <f ca="1"/>
        <v>2.0721493020323615E-2</v>
      </c>
      <c r="G3474" s="656">
        <v>2.0733222527800049E-2</v>
      </c>
    </row>
    <row r="3475" spans="5:7">
      <c r="E3475" s="661">
        <f ca="1">_xll.meDateFromTenor(E3474,"1D","Following",$C$16)</f>
        <v>48172</v>
      </c>
      <c r="F3475" s="659">
        <f ca="1"/>
        <v>2.0721301986542109E-2</v>
      </c>
      <c r="G3475" s="656">
        <v>2.0732686318527128E-2</v>
      </c>
    </row>
    <row r="3476" spans="5:7">
      <c r="E3476" s="661">
        <f ca="1">_xll.meDateFromTenor(E3475,"1D","Following",$C$16)</f>
        <v>48173</v>
      </c>
      <c r="F3476" s="659">
        <f ca="1"/>
        <v>2.0721110772279366E-2</v>
      </c>
      <c r="G3476" s="656">
        <v>2.0732506602835741E-2</v>
      </c>
    </row>
    <row r="3477" spans="5:7">
      <c r="E3477" s="661">
        <f ca="1">_xll.meDateFromTenor(E3476,"1D","Following",$C$16)</f>
        <v>48176</v>
      </c>
      <c r="F3477" s="659">
        <f ca="1"/>
        <v>2.0720536113236706E-2</v>
      </c>
      <c r="G3477" s="656">
        <v>2.0732326411423828E-2</v>
      </c>
    </row>
    <row r="3478" spans="5:7">
      <c r="E3478" s="661">
        <f ca="1">_xll.meDateFromTenor(E3477,"1D","Following",$C$16)</f>
        <v>48177</v>
      </c>
      <c r="F3478" s="659">
        <f ca="1"/>
        <v>2.0720344243681982E-2</v>
      </c>
      <c r="G3478" s="656">
        <v>2.0732145752639201E-2</v>
      </c>
    </row>
    <row r="3479" spans="5:7">
      <c r="E3479" s="661">
        <f ca="1">_xll.meDateFromTenor(E3478,"1D","Following",$C$16)</f>
        <v>48178</v>
      </c>
      <c r="F3479" s="659">
        <f ca="1"/>
        <v>2.0720152226962493E-2</v>
      </c>
      <c r="G3479" s="656">
        <v>2.0731964634829667E-2</v>
      </c>
    </row>
    <row r="3480" spans="5:7">
      <c r="E3480" s="661">
        <f ca="1">_xll.meDateFromTenor(E3479,"1D","Following",$C$16)</f>
        <v>48179</v>
      </c>
      <c r="F3480" s="659">
        <f ca="1"/>
        <v>2.0719960069741538E-2</v>
      </c>
      <c r="G3480" s="656">
        <v>2.0731418610729725E-2</v>
      </c>
    </row>
    <row r="3481" spans="5:7">
      <c r="E3481" s="661">
        <f ca="1">_xll.meDateFromTenor(E3480,"1D","Following",$C$16)</f>
        <v>48180</v>
      </c>
      <c r="F3481" s="659">
        <f ca="1"/>
        <v>2.0719767778682407E-2</v>
      </c>
      <c r="G3481" s="656">
        <v>2.073123574029866E-2</v>
      </c>
    </row>
    <row r="3482" spans="5:7">
      <c r="E3482" s="661">
        <f ca="1">_xll.meDateFromTenor(E3481,"1D","Following",$C$16)</f>
        <v>48183</v>
      </c>
      <c r="F3482" s="659">
        <f ca="1"/>
        <v>2.0719190169108882E-2</v>
      </c>
      <c r="G3482" s="656">
        <v>2.0731052452581739E-2</v>
      </c>
    </row>
    <row r="3483" spans="5:7">
      <c r="E3483" s="661">
        <f ca="1">_xll.meDateFromTenor(E3482,"1D","Following",$C$16)</f>
        <v>48184</v>
      </c>
      <c r="F3483" s="659">
        <f ca="1"/>
        <v>2.0718997409329972E-2</v>
      </c>
      <c r="G3483" s="656">
        <v>2.0730868755926776E-2</v>
      </c>
    </row>
    <row r="3484" spans="5:7">
      <c r="E3484" s="661">
        <f ca="1">_xll.meDateFromTenor(E3483,"1D","Following",$C$16)</f>
        <v>48185</v>
      </c>
      <c r="F3484" s="659">
        <f ca="1"/>
        <v>2.0718804549029361E-2</v>
      </c>
      <c r="G3484" s="656">
        <v>2.0730684658681574E-2</v>
      </c>
    </row>
    <row r="3485" spans="5:7">
      <c r="E3485" s="661">
        <f ca="1">_xll.meDateFromTenor(E3484,"1D","Following",$C$16)</f>
        <v>48186</v>
      </c>
      <c r="F3485" s="659">
        <f ca="1"/>
        <v>2.0718611594870331E-2</v>
      </c>
      <c r="G3485" s="656">
        <v>2.0730130046882636E-2</v>
      </c>
    </row>
    <row r="3486" spans="5:7">
      <c r="E3486" s="661">
        <f ca="1">_xll.meDateFromTenor(E3485,"1D","Following",$C$16)</f>
        <v>48187</v>
      </c>
      <c r="F3486" s="659">
        <f ca="1"/>
        <v>2.071841855351618E-2</v>
      </c>
      <c r="G3486" s="656">
        <v>2.0729944430754585E-2</v>
      </c>
    </row>
    <row r="3487" spans="5:7">
      <c r="E3487" s="661">
        <f ca="1">_xll.meDateFromTenor(E3486,"1D","Following",$C$16)</f>
        <v>48190</v>
      </c>
      <c r="F3487" s="659">
        <f ca="1"/>
        <v>2.0717838972915927E-2</v>
      </c>
      <c r="G3487" s="656">
        <v>2.0729758455775339E-2</v>
      </c>
    </row>
    <row r="3488" spans="5:7">
      <c r="E3488" s="661">
        <f ca="1">_xll.meDateFromTenor(E3487,"1D","Following",$C$16)</f>
        <v>48191</v>
      </c>
      <c r="F3488" s="659">
        <f ca="1"/>
        <v>2.071764564941422E-2</v>
      </c>
      <c r="G3488" s="656">
        <v>2.0729572130292719E-2</v>
      </c>
    </row>
    <row r="3489" spans="5:7">
      <c r="E3489" s="661">
        <f ca="1">_xll.meDateFromTenor(E3488,"1D","Following",$C$16)</f>
        <v>48192</v>
      </c>
      <c r="F3489" s="659">
        <f ca="1"/>
        <v>2.0717452272033855E-2</v>
      </c>
      <c r="G3489" s="656">
        <v>2.0729385462654529E-2</v>
      </c>
    </row>
    <row r="3490" spans="5:7">
      <c r="E3490" s="661">
        <f ca="1">_xll.meDateFromTenor(E3489,"1D","Following",$C$16)</f>
        <v>48193</v>
      </c>
      <c r="F3490" s="659">
        <f ca="1"/>
        <v>2.0717258847438129E-2</v>
      </c>
      <c r="G3490" s="656">
        <v>2.0728823490284636E-2</v>
      </c>
    </row>
    <row r="3491" spans="5:7">
      <c r="E3491" s="661">
        <f ca="1">_xll.meDateFromTenor(E3490,"1D","Following",$C$16)</f>
        <v>48194</v>
      </c>
      <c r="F3491" s="659">
        <f ca="1"/>
        <v>2.0717065382290335E-2</v>
      </c>
      <c r="G3491" s="656">
        <v>2.0728635537502267E-2</v>
      </c>
    </row>
    <row r="3492" spans="5:7">
      <c r="E3492" s="661">
        <f ca="1">_xll.meDateFromTenor(E3491,"1D","Following",$C$16)</f>
        <v>48197</v>
      </c>
      <c r="F3492" s="659">
        <f ca="1"/>
        <v>2.0716484810167475E-2</v>
      </c>
      <c r="G3492" s="656">
        <v>2.072844728430338E-2</v>
      </c>
    </row>
    <row r="3493" spans="5:7">
      <c r="E3493" s="661">
        <f ca="1">_xll.meDateFromTenor(E3492,"1D","Following",$C$16)</f>
        <v>48198</v>
      </c>
      <c r="F3493" s="659">
        <f ca="1"/>
        <v>2.0716291249444341E-2</v>
      </c>
      <c r="G3493" s="656">
        <v>2.072825873903578E-2</v>
      </c>
    </row>
    <row r="3494" spans="5:7">
      <c r="E3494" s="661">
        <f ca="1">_xll.meDateFromTenor(E3493,"1D","Following",$C$16)</f>
        <v>48199</v>
      </c>
      <c r="F3494" s="659">
        <f ca="1"/>
        <v>2.0716097681485603E-2</v>
      </c>
      <c r="G3494" s="656">
        <v>2.0728069910047279E-2</v>
      </c>
    </row>
    <row r="3495" spans="5:7">
      <c r="E3495" s="661">
        <f ca="1">_xll.meDateFromTenor(E3494,"1D","Following",$C$16)</f>
        <v>48200</v>
      </c>
      <c r="F3495" s="659">
        <f ca="1"/>
        <v>2.0715904112954559E-2</v>
      </c>
      <c r="G3495" s="656">
        <v>2.072750180423447E-2</v>
      </c>
    </row>
    <row r="3496" spans="5:7">
      <c r="E3496" s="661">
        <f ca="1">_xll.meDateFromTenor(E3495,"1D","Following",$C$16)</f>
        <v>48201</v>
      </c>
      <c r="F3496" s="659">
        <f ca="1"/>
        <v>2.07157105505145E-2</v>
      </c>
      <c r="G3496" s="656">
        <v>2.0727311923840464E-2</v>
      </c>
    </row>
    <row r="3497" spans="5:7">
      <c r="E3497" s="661">
        <f ca="1">_xll.meDateFromTenor(E3496,"1D","Following",$C$16)</f>
        <v>48204</v>
      </c>
      <c r="F3497" s="659">
        <f ca="1"/>
        <v>2.0715129966373164E-2</v>
      </c>
      <c r="G3497" s="656">
        <v>2.0727121801464611E-2</v>
      </c>
    </row>
    <row r="3498" spans="5:7">
      <c r="E3498" s="661">
        <f ca="1">_xll.meDateFromTenor(E3497,"1D","Following",$C$16)</f>
        <v>48205</v>
      </c>
      <c r="F3498" s="659">
        <f ca="1"/>
        <v>2.0714936494929975E-2</v>
      </c>
      <c r="G3498" s="656">
        <v>2.0726931445454708E-2</v>
      </c>
    </row>
    <row r="3499" spans="5:7">
      <c r="E3499" s="661">
        <f ca="1">_xll.meDateFromTenor(E3498,"1D","Following",$C$16)</f>
        <v>48206</v>
      </c>
      <c r="F3499" s="659">
        <f ca="1"/>
        <v>2.0714743062894243E-2</v>
      </c>
      <c r="G3499" s="656">
        <v>2.0726740864158578E-2</v>
      </c>
    </row>
    <row r="3500" spans="5:7">
      <c r="E3500" s="661">
        <f ca="1">_xll.meDateFromTenor(E3499,"1D","Following",$C$16)</f>
        <v>48211</v>
      </c>
      <c r="F3500" s="659">
        <f ca="1"/>
        <v>2.0713776727042624E-2</v>
      </c>
      <c r="G3500" s="656">
        <v>2.0726167852030887E-2</v>
      </c>
    </row>
    <row r="3501" spans="5:7">
      <c r="E3501" s="661">
        <f ca="1">_xll.meDateFromTenor(E3500,"1D","Following",$C$16)</f>
        <v>48212</v>
      </c>
      <c r="F3501" s="659">
        <f ca="1"/>
        <v>2.0713583671380764E-2</v>
      </c>
      <c r="G3501" s="656">
        <v>2.0725976453067924E-2</v>
      </c>
    </row>
    <row r="3502" spans="5:7">
      <c r="E3502" s="661">
        <f ca="1">_xll.meDateFromTenor(E3501,"1D","Following",$C$16)</f>
        <v>48213</v>
      </c>
      <c r="F3502" s="659">
        <f ca="1"/>
        <v>2.0713390701769412E-2</v>
      </c>
      <c r="G3502" s="656">
        <v>2.0725784870557779E-2</v>
      </c>
    </row>
    <row r="3503" spans="5:7">
      <c r="E3503" s="661">
        <f ca="1">_xll.meDateFromTenor(E3502,"1D","Following",$C$16)</f>
        <v>48215</v>
      </c>
      <c r="F3503" s="659">
        <f ca="1"/>
        <v>2.071300610049839E-2</v>
      </c>
      <c r="G3503" s="656">
        <v>2.0724824496972643E-2</v>
      </c>
    </row>
    <row r="3504" spans="5:7">
      <c r="E3504" s="661">
        <f ca="1">_xll.meDateFromTenor(E3503,"1D","Following",$C$16)</f>
        <v>48218</v>
      </c>
      <c r="F3504" s="659">
        <f ca="1"/>
        <v>2.0712430005805235E-2</v>
      </c>
      <c r="G3504" s="656">
        <v>2.07246319884834E-2</v>
      </c>
    </row>
    <row r="3505" spans="5:7">
      <c r="E3505" s="661">
        <f ca="1">_xll.meDateFromTenor(E3504,"1D","Following",$C$16)</f>
        <v>48219</v>
      </c>
      <c r="F3505" s="659">
        <f ca="1"/>
        <v>2.0712238215933057E-2</v>
      </c>
      <c r="G3505" s="656">
        <v>2.0724439354881642E-2</v>
      </c>
    </row>
    <row r="3506" spans="5:7">
      <c r="E3506" s="661">
        <f ca="1">_xll.meDateFromTenor(E3505,"1D","Following",$C$16)</f>
        <v>48220</v>
      </c>
      <c r="F3506" s="659">
        <f ca="1"/>
        <v>2.0712046557921686E-2</v>
      </c>
      <c r="G3506" s="656">
        <v>2.072405479988448E-2</v>
      </c>
    </row>
    <row r="3507" spans="5:7">
      <c r="E3507" s="661">
        <f ca="1">_xll.meDateFromTenor(E3506,"1D","Following",$C$16)</f>
        <v>48221</v>
      </c>
      <c r="F3507" s="659">
        <f ca="1"/>
        <v>2.0711855038379953E-2</v>
      </c>
      <c r="G3507" s="656">
        <v>2.0723477241324853E-2</v>
      </c>
    </row>
    <row r="3508" spans="5:7">
      <c r="E3508" s="661">
        <f ca="1">_xll.meDateFromTenor(E3507,"1D","Following",$C$16)</f>
        <v>48222</v>
      </c>
      <c r="F3508" s="659">
        <f ca="1"/>
        <v>2.071166366391668E-2</v>
      </c>
      <c r="G3508" s="656">
        <v>2.0723284561306229E-2</v>
      </c>
    </row>
    <row r="3509" spans="5:7">
      <c r="E3509" s="661">
        <f ca="1">_xll.meDateFromTenor(E3508,"1D","Following",$C$16)</f>
        <v>48225</v>
      </c>
      <c r="F3509" s="659">
        <f ca="1"/>
        <v>2.0711090477085879E-2</v>
      </c>
      <c r="G3509" s="656">
        <v>2.0723091814837523E-2</v>
      </c>
    </row>
    <row r="3510" spans="5:7">
      <c r="E3510" s="661">
        <f ca="1">_xll.meDateFromTenor(E3509,"1D","Following",$C$16)</f>
        <v>48226</v>
      </c>
      <c r="F3510" s="659">
        <f ca="1"/>
        <v>2.0710899749024701E-2</v>
      </c>
      <c r="G3510" s="656">
        <v>2.0722899010198297E-2</v>
      </c>
    </row>
    <row r="3511" spans="5:7">
      <c r="E3511" s="661">
        <f ca="1">_xll.meDateFromTenor(E3510,"1D","Following",$C$16)</f>
        <v>48227</v>
      </c>
      <c r="F3511" s="659">
        <f ca="1"/>
        <v>2.0710709199086113E-2</v>
      </c>
      <c r="G3511" s="656">
        <v>2.0722706155668132E-2</v>
      </c>
    </row>
    <row r="3512" spans="5:7">
      <c r="E3512" s="661">
        <f ca="1">_xll.meDateFromTenor(E3511,"1D","Following",$C$16)</f>
        <v>48228</v>
      </c>
      <c r="F3512" s="659">
        <f ca="1"/>
        <v>2.0710518833878939E-2</v>
      </c>
      <c r="G3512" s="656">
        <v>2.0722127375527685E-2</v>
      </c>
    </row>
    <row r="3513" spans="5:7">
      <c r="E3513" s="661">
        <f ca="1">_xll.meDateFromTenor(E3512,"1D","Following",$C$16)</f>
        <v>48229</v>
      </c>
      <c r="F3513" s="659">
        <f ca="1"/>
        <v>2.0710328660012E-2</v>
      </c>
      <c r="G3513" s="656">
        <v>2.0721934404229467E-2</v>
      </c>
    </row>
    <row r="3514" spans="5:7">
      <c r="E3514" s="661">
        <f ca="1">_xll.meDateFromTenor(E3513,"1D","Following",$C$16)</f>
        <v>48232</v>
      </c>
      <c r="F3514" s="659">
        <f ca="1"/>
        <v>2.0709759352540876E-2</v>
      </c>
      <c r="G3514" s="656">
        <v>2.072174142443816E-2</v>
      </c>
    </row>
    <row r="3515" spans="5:7">
      <c r="E3515" s="661">
        <f ca="1">_xll.meDateFromTenor(E3514,"1D","Following",$C$16)</f>
        <v>48233</v>
      </c>
      <c r="F3515" s="659">
        <f ca="1"/>
        <v>2.0709570010123145E-2</v>
      </c>
      <c r="G3515" s="656">
        <v>2.072154844443334E-2</v>
      </c>
    </row>
    <row r="3516" spans="5:7">
      <c r="E3516" s="661">
        <f ca="1">_xll.meDateFromTenor(E3515,"1D","Following",$C$16)</f>
        <v>48234</v>
      </c>
      <c r="F3516" s="659">
        <f ca="1"/>
        <v>2.070938089208978E-2</v>
      </c>
      <c r="G3516" s="656">
        <v>2.0721355472494582E-2</v>
      </c>
    </row>
    <row r="3517" spans="5:7">
      <c r="E3517" s="661">
        <f ca="1">_xll.meDateFromTenor(E3516,"1D","Following",$C$16)</f>
        <v>48235</v>
      </c>
      <c r="F3517" s="659">
        <f ca="1"/>
        <v>2.0709192005049601E-2</v>
      </c>
      <c r="G3517" s="656">
        <v>2.0720776687870389E-2</v>
      </c>
    </row>
    <row r="3518" spans="5:7">
      <c r="E3518" s="661">
        <f ca="1">_xll.meDateFromTenor(E3517,"1D","Following",$C$16)</f>
        <v>48236</v>
      </c>
      <c r="F3518" s="659">
        <f ca="1"/>
        <v>2.0709003355611443E-2</v>
      </c>
      <c r="G3518" s="656">
        <v>2.0720583830991585E-2</v>
      </c>
    </row>
    <row r="3519" spans="5:7">
      <c r="E3519" s="661">
        <f ca="1">_xll.meDateFromTenor(E3518,"1D","Following",$C$16)</f>
        <v>48239</v>
      </c>
      <c r="F3519" s="659">
        <f ca="1"/>
        <v>2.070843889899731E-2</v>
      </c>
      <c r="G3519" s="656">
        <v>2.0720391023576704E-2</v>
      </c>
    </row>
    <row r="3520" spans="5:7">
      <c r="E3520" s="661">
        <f ca="1">_xll.meDateFromTenor(E3519,"1D","Following",$C$16)</f>
        <v>48240</v>
      </c>
      <c r="F3520" s="659">
        <f ca="1"/>
        <v>2.0708251266055466E-2</v>
      </c>
      <c r="G3520" s="656">
        <v>2.0720198273905314E-2</v>
      </c>
    </row>
    <row r="3521" spans="5:7">
      <c r="E3521" s="661">
        <f ca="1">_xll.meDateFromTenor(E3520,"1D","Following",$C$16)</f>
        <v>48241</v>
      </c>
      <c r="F3521" s="659">
        <f ca="1"/>
        <v>2.070806390375976E-2</v>
      </c>
      <c r="G3521" s="656">
        <v>2.0720005590256989E-2</v>
      </c>
    </row>
    <row r="3522" spans="5:7">
      <c r="E3522" s="661">
        <f ca="1">_xll.meDateFromTenor(E3521,"1D","Following",$C$16)</f>
        <v>48242</v>
      </c>
      <c r="F3522" s="659">
        <f ca="1"/>
        <v>2.070787681871903E-2</v>
      </c>
      <c r="G3522" s="656">
        <v>2.0719428018246111E-2</v>
      </c>
    </row>
    <row r="3523" spans="5:7">
      <c r="E3523" s="661">
        <f ca="1">_xll.meDateFromTenor(E3522,"1D","Following",$C$16)</f>
        <v>48243</v>
      </c>
      <c r="F3523" s="659">
        <f ca="1"/>
        <v>2.070769001754209E-2</v>
      </c>
      <c r="G3523" s="656">
        <v>2.0719235681485756E-2</v>
      </c>
    </row>
    <row r="3524" spans="5:7">
      <c r="E3524" s="661">
        <f ca="1">_xll.meDateFromTenor(E3523,"1D","Following",$C$16)</f>
        <v>48246</v>
      </c>
      <c r="F3524" s="659">
        <f ca="1"/>
        <v>2.0707131383282271E-2</v>
      </c>
      <c r="G3524" s="656">
        <v>2.0719043452146327E-2</v>
      </c>
    </row>
    <row r="3525" spans="5:7">
      <c r="E3525" s="661">
        <f ca="1">_xll.meDateFromTenor(E3524,"1D","Following",$C$16)</f>
        <v>48247</v>
      </c>
      <c r="F3525" s="659">
        <f ca="1"/>
        <v>2.0706945783648758E-2</v>
      </c>
      <c r="G3525" s="656">
        <v>2.0718851338507385E-2</v>
      </c>
    </row>
    <row r="3526" spans="5:7">
      <c r="E3526" s="661">
        <f ca="1">_xll.meDateFromTenor(E3525,"1D","Following",$C$16)</f>
        <v>48248</v>
      </c>
      <c r="F3526" s="659">
        <f ca="1"/>
        <v>2.0706760500923158E-2</v>
      </c>
      <c r="G3526" s="656">
        <v>2.0718659348848513E-2</v>
      </c>
    </row>
    <row r="3527" spans="5:7">
      <c r="E3527" s="661">
        <f ca="1">_xll.meDateFromTenor(E3526,"1D","Following",$C$16)</f>
        <v>48249</v>
      </c>
      <c r="F3527" s="659">
        <f ca="1"/>
        <v>2.0706575541714307E-2</v>
      </c>
      <c r="G3527" s="656">
        <v>2.0718084206548013E-2</v>
      </c>
    </row>
    <row r="3528" spans="5:7">
      <c r="E3528" s="661">
        <f ca="1">_xll.meDateFromTenor(E3527,"1D","Following",$C$16)</f>
        <v>48250</v>
      </c>
      <c r="F3528" s="659">
        <f ca="1"/>
        <v>2.0706390912631021E-2</v>
      </c>
      <c r="G3528" s="656">
        <v>2.0717892795605125E-2</v>
      </c>
    </row>
    <row r="3529" spans="5:7">
      <c r="E3529" s="661">
        <f ca="1">_xll.meDateFromTenor(E3528,"1D","Following",$C$16)</f>
        <v>48253</v>
      </c>
      <c r="F3529" s="659">
        <f ca="1"/>
        <v>2.0705839072222849E-2</v>
      </c>
      <c r="G3529" s="656">
        <v>2.0717701550040164E-2</v>
      </c>
    </row>
    <row r="3530" spans="5:7">
      <c r="E3530" s="661">
        <f ca="1">_xll.meDateFromTenor(E3529,"1D","Following",$C$16)</f>
        <v>48254</v>
      </c>
      <c r="F3530" s="659">
        <f ca="1"/>
        <v>2.07056558297301E-2</v>
      </c>
      <c r="G3530" s="656">
        <v>2.0717510478132698E-2</v>
      </c>
    </row>
    <row r="3531" spans="5:7">
      <c r="E3531" s="661">
        <f ca="1">_xll.meDateFromTenor(E3530,"1D","Following",$C$16)</f>
        <v>48255</v>
      </c>
      <c r="F3531" s="659">
        <f ca="1"/>
        <v>2.0705472950407047E-2</v>
      </c>
      <c r="G3531" s="656">
        <v>2.0717319588162305E-2</v>
      </c>
    </row>
    <row r="3532" spans="5:7">
      <c r="E3532" s="661">
        <f ca="1">_xll.meDateFromTenor(E3531,"1D","Following",$C$16)</f>
        <v>48256</v>
      </c>
      <c r="F3532" s="659">
        <f ca="1"/>
        <v>2.0705290440862518E-2</v>
      </c>
      <c r="G3532" s="656">
        <v>2.0716748092669251E-2</v>
      </c>
    </row>
    <row r="3533" spans="5:7">
      <c r="E3533" s="661">
        <f ca="1">_xll.meDateFromTenor(E3532,"1D","Following",$C$16)</f>
        <v>48257</v>
      </c>
      <c r="F3533" s="659">
        <f ca="1"/>
        <v>2.0705108307705333E-2</v>
      </c>
      <c r="G3533" s="656">
        <v>2.0716558013242854E-2</v>
      </c>
    </row>
    <row r="3534" spans="5:7">
      <c r="E3534" s="661">
        <f ca="1">_xll.meDateFromTenor(E3533,"1D","Following",$C$16)</f>
        <v>48260</v>
      </c>
      <c r="F3534" s="659">
        <f ca="1"/>
        <v>2.0704564232646123E-2</v>
      </c>
      <c r="G3534" s="656">
        <v>2.0716368157151385E-2</v>
      </c>
    </row>
    <row r="3535" spans="5:7">
      <c r="E3535" s="661">
        <f ca="1">_xll.meDateFromTenor(E3534,"1D","Following",$C$16)</f>
        <v>48261</v>
      </c>
      <c r="F3535" s="659">
        <f ca="1"/>
        <v>2.0704383671126581E-2</v>
      </c>
      <c r="G3535" s="656">
        <v>2.0716178532674417E-2</v>
      </c>
    </row>
    <row r="3536" spans="5:7">
      <c r="E3536" s="661">
        <f ca="1">_xll.meDateFromTenor(E3535,"1D","Following",$C$16)</f>
        <v>48262</v>
      </c>
      <c r="F3536" s="659">
        <f ca="1"/>
        <v>2.0704203519038518E-2</v>
      </c>
      <c r="G3536" s="656">
        <v>2.0715989148091519E-2</v>
      </c>
    </row>
    <row r="3537" spans="5:7">
      <c r="E3537" s="661">
        <f ca="1">_xll.meDateFromTenor(E3536,"1D","Following",$C$16)</f>
        <v>48263</v>
      </c>
      <c r="F3537" s="659">
        <f ca="1"/>
        <v>2.0704023782990754E-2</v>
      </c>
      <c r="G3537" s="656">
        <v>2.0715422516502983E-2</v>
      </c>
    </row>
    <row r="3538" spans="5:7">
      <c r="E3538" s="661">
        <f ca="1">_xll.meDateFromTenor(E3537,"1D","Following",$C$16)</f>
        <v>48264</v>
      </c>
      <c r="F3538" s="659">
        <f ca="1"/>
        <v>2.0703844469592107E-2</v>
      </c>
      <c r="G3538" s="656">
        <v>2.0715234174292101E-2</v>
      </c>
    </row>
    <row r="3539" spans="5:7">
      <c r="E3539" s="661">
        <f ca="1">_xll.meDateFromTenor(E3538,"1D","Following",$C$16)</f>
        <v>48267</v>
      </c>
      <c r="F3539" s="659">
        <f ca="1"/>
        <v>2.0703309131379185E-2</v>
      </c>
      <c r="G3539" s="656">
        <v>2.0715046113373142E-2</v>
      </c>
    </row>
    <row r="3540" spans="5:7">
      <c r="E3540" s="661">
        <f ca="1">_xll.meDateFromTenor(E3539,"1D","Following",$C$16)</f>
        <v>48268</v>
      </c>
      <c r="F3540" s="659">
        <f ca="1"/>
        <v>2.0703131574665291E-2</v>
      </c>
      <c r="G3540" s="656">
        <v>2.0714858342025692E-2</v>
      </c>
    </row>
    <row r="3541" spans="5:7">
      <c r="E3541" s="661">
        <f ca="1">_xll.meDateFromTenor(E3540,"1D","Following",$C$16)</f>
        <v>48269</v>
      </c>
      <c r="F3541" s="659">
        <f ca="1"/>
        <v>2.0702954473644654E-2</v>
      </c>
      <c r="G3541" s="656">
        <v>2.0714670868529312E-2</v>
      </c>
    </row>
    <row r="3542" spans="5:7">
      <c r="E3542" s="661">
        <f ca="1">_xll.meDateFromTenor(E3541,"1D","Following",$C$16)</f>
        <v>48270</v>
      </c>
      <c r="F3542" s="659">
        <f ca="1"/>
        <v>2.0702777834926089E-2</v>
      </c>
      <c r="G3542" s="656">
        <v>2.0714110317942364E-2</v>
      </c>
    </row>
    <row r="3543" spans="5:7">
      <c r="E3543" s="661">
        <f ca="1">_xll.meDateFromTenor(E3542,"1D","Following",$C$16)</f>
        <v>48271</v>
      </c>
      <c r="F3543" s="659">
        <f ca="1"/>
        <v>2.070260166511843E-2</v>
      </c>
      <c r="G3543" s="656">
        <v>2.0713924118646008E-2</v>
      </c>
    </row>
    <row r="3544" spans="5:7">
      <c r="E3544" s="661">
        <f ca="1">_xll.meDateFromTenor(E3543,"1D","Following",$C$16)</f>
        <v>48274</v>
      </c>
      <c r="F3544" s="659">
        <f ca="1"/>
        <v>2.0702076035249112E-2</v>
      </c>
      <c r="G3544" s="656">
        <v>2.0713738258598589E-2</v>
      </c>
    </row>
    <row r="3545" spans="5:7">
      <c r="E3545" s="661">
        <f ca="1">_xll.meDateFromTenor(E3544,"1D","Following",$C$16)</f>
        <v>48275</v>
      </c>
      <c r="F3545" s="659">
        <f ca="1"/>
        <v>2.0701901807173313E-2</v>
      </c>
      <c r="G3545" s="656">
        <v>2.0713552746079684E-2</v>
      </c>
    </row>
    <row r="3546" spans="5:7">
      <c r="E3546" s="661">
        <f ca="1">_xll.meDateFromTenor(E3545,"1D","Following",$C$16)</f>
        <v>48276</v>
      </c>
      <c r="F3546" s="659">
        <f ca="1"/>
        <v>2.0701728081052542E-2</v>
      </c>
      <c r="G3546" s="656">
        <v>2.0713367589368849E-2</v>
      </c>
    </row>
    <row r="3547" spans="5:7">
      <c r="E3547" s="661">
        <f ca="1">_xll.meDateFromTenor(E3546,"1D","Following",$C$16)</f>
        <v>48277</v>
      </c>
      <c r="F3547" s="659">
        <f ca="1"/>
        <v>2.0701554863495623E-2</v>
      </c>
      <c r="G3547" s="656">
        <v>2.0712814336880544E-2</v>
      </c>
    </row>
    <row r="3548" spans="5:7">
      <c r="E3548" s="661">
        <f ca="1">_xll.meDateFromTenor(E3547,"1D","Following",$C$16)</f>
        <v>48278</v>
      </c>
      <c r="F3548" s="659">
        <f ca="1"/>
        <v>2.0701382161111389E-2</v>
      </c>
      <c r="G3548" s="656">
        <v>2.0712630686197744E-2</v>
      </c>
    </row>
    <row r="3549" spans="5:7">
      <c r="E3549" s="661">
        <f ca="1">_xll.meDateFromTenor(E3548,"1D","Following",$C$16)</f>
        <v>48281</v>
      </c>
      <c r="F3549" s="659">
        <f ca="1"/>
        <v>2.0700867211083E-2</v>
      </c>
      <c r="G3549" s="656">
        <v>2.0712447432720892E-2</v>
      </c>
    </row>
    <row r="3550" spans="5:7">
      <c r="E3550" s="661">
        <f ca="1">_xll.meDateFromTenor(E3549,"1D","Following",$C$16)</f>
        <v>48282</v>
      </c>
      <c r="F3550" s="659">
        <f ca="1"/>
        <v>2.0700696635477731E-2</v>
      </c>
      <c r="G3550" s="656">
        <v>2.0712264584729544E-2</v>
      </c>
    </row>
    <row r="3551" spans="5:7">
      <c r="E3551" s="661">
        <f ca="1">_xll.meDateFromTenor(E3550,"1D","Following",$C$16)</f>
        <v>48283</v>
      </c>
      <c r="F3551" s="659">
        <f ca="1"/>
        <v>2.0700526608089267E-2</v>
      </c>
      <c r="G3551" s="656">
        <v>2.0712082150503273E-2</v>
      </c>
    </row>
    <row r="3552" spans="5:7">
      <c r="E3552" s="661">
        <f ca="1">_xll.meDateFromTenor(E3551,"1D","Following",$C$16)</f>
        <v>48284</v>
      </c>
      <c r="F3552" s="659">
        <f ca="1"/>
        <v>2.0700357135526436E-2</v>
      </c>
      <c r="G3552" s="656">
        <v>2.071153741321069E-2</v>
      </c>
    </row>
    <row r="3553" spans="5:7">
      <c r="E3553" s="661">
        <f ca="1">_xll.meDateFromTenor(E3552,"1D","Following",$C$16)</f>
        <v>48285</v>
      </c>
      <c r="F3553" s="659">
        <f ca="1"/>
        <v>2.0700188224398064E-2</v>
      </c>
      <c r="G3553" s="656">
        <v>2.0711356716840469E-2</v>
      </c>
    </row>
    <row r="3554" spans="5:7">
      <c r="E3554" s="661">
        <f ca="1">_xll.meDateFromTenor(E3553,"1D","Following",$C$16)</f>
        <v>48288</v>
      </c>
      <c r="F3554" s="659">
        <f ca="1"/>
        <v>2.069968492570793E-2</v>
      </c>
      <c r="G3554" s="656">
        <v>2.071117647563319E-2</v>
      </c>
    </row>
    <row r="3555" spans="5:7">
      <c r="E3555" s="661">
        <f ca="1">_xll.meDateFromTenor(E3554,"1D","Following",$C$16)</f>
        <v>48289</v>
      </c>
      <c r="F3555" s="659">
        <f ca="1"/>
        <v>2.0699518326405635E-2</v>
      </c>
      <c r="G3555" s="656">
        <v>2.0710996697868429E-2</v>
      </c>
    </row>
    <row r="3556" spans="5:7">
      <c r="E3556" s="661">
        <f ca="1">_xll.meDateFromTenor(E3555,"1D","Following",$C$16)</f>
        <v>48290</v>
      </c>
      <c r="F3556" s="659">
        <f ca="1"/>
        <v>2.0699352321581922E-2</v>
      </c>
      <c r="G3556" s="656">
        <v>2.0710817391825752E-2</v>
      </c>
    </row>
    <row r="3557" spans="5:7">
      <c r="E3557" s="661">
        <f ca="1">_xll.meDateFromTenor(E3556,"1D","Following",$C$16)</f>
        <v>48291</v>
      </c>
      <c r="F3557" s="659">
        <f ca="1"/>
        <v>2.0699186917845617E-2</v>
      </c>
      <c r="G3557" s="656">
        <v>2.0710282386825946E-2</v>
      </c>
    </row>
    <row r="3558" spans="5:7">
      <c r="E3558" s="661">
        <f ca="1">_xll.meDateFromTenor(E3557,"1D","Following",$C$16)</f>
        <v>48292</v>
      </c>
      <c r="F3558" s="659">
        <f ca="1"/>
        <v>2.0699022121805542E-2</v>
      </c>
      <c r="G3558" s="656">
        <v>2.0710105050467328E-2</v>
      </c>
    </row>
    <row r="3559" spans="5:7">
      <c r="E3559" s="661">
        <f ca="1">_xll.meDateFromTenor(E3558,"1D","Following",$C$16)</f>
        <v>48295</v>
      </c>
      <c r="F3559" s="659">
        <f ca="1"/>
        <v>2.0698531445950987E-2</v>
      </c>
      <c r="G3559" s="656">
        <v>2.0709928227228655E-2</v>
      </c>
    </row>
    <row r="3560" spans="5:7">
      <c r="E3560" s="661">
        <f ca="1">_xll.meDateFromTenor(E3559,"1D","Following",$C$16)</f>
        <v>48296</v>
      </c>
      <c r="F3560" s="659">
        <f ca="1"/>
        <v>2.0698369146784107E-2</v>
      </c>
      <c r="G3560" s="656">
        <v>2.07097519253895E-2</v>
      </c>
    </row>
    <row r="3561" spans="5:7">
      <c r="E3561" s="661">
        <f ca="1">_xll.meDateFromTenor(E3560,"1D","Following",$C$16)</f>
        <v>48297</v>
      </c>
      <c r="F3561" s="659">
        <f ca="1"/>
        <v>2.0698207488357583E-2</v>
      </c>
      <c r="G3561" s="656">
        <v>2.0709576153229433E-2</v>
      </c>
    </row>
    <row r="3562" spans="5:7">
      <c r="E3562" s="661">
        <f ca="1">_xll.meDateFromTenor(E3561,"1D","Following",$C$16)</f>
        <v>48298</v>
      </c>
      <c r="F3562" s="659">
        <f ca="1"/>
        <v>2.0698046477280244E-2</v>
      </c>
      <c r="G3562" s="656">
        <v>2.0709052097619477E-2</v>
      </c>
    </row>
    <row r="3563" spans="5:7">
      <c r="E3563" s="661">
        <f ca="1">_xll.meDateFromTenor(E3562,"1D","Following",$C$16)</f>
        <v>48303</v>
      </c>
      <c r="F3563" s="659">
        <f ca="1"/>
        <v>2.0697251363440229E-2</v>
      </c>
      <c r="G3563" s="656">
        <v>2.070887852697148E-2</v>
      </c>
    </row>
    <row r="3564" spans="5:7">
      <c r="E3564" s="661">
        <f ca="1">_xll.meDateFromTenor(E3563,"1D","Following",$C$16)</f>
        <v>48304</v>
      </c>
      <c r="F3564" s="659">
        <f ca="1"/>
        <v>2.0697094375243343E-2</v>
      </c>
      <c r="G3564" s="656">
        <v>2.0708705527400437E-2</v>
      </c>
    </row>
    <row r="3565" spans="5:7">
      <c r="E3565" s="661">
        <f ca="1">_xll.meDateFromTenor(E3564,"1D","Following",$C$16)</f>
        <v>48305</v>
      </c>
      <c r="F3565" s="659">
        <f ca="1"/>
        <v>2.0696938080657409E-2</v>
      </c>
      <c r="G3565" s="656">
        <v>2.0708533107185907E-2</v>
      </c>
    </row>
    <row r="3566" spans="5:7">
      <c r="E3566" s="661">
        <f ca="1">_xll.meDateFromTenor(E3565,"1D","Following",$C$16)</f>
        <v>48306</v>
      </c>
      <c r="F3566" s="659">
        <f ca="1"/>
        <v>2.0696782486291272E-2</v>
      </c>
      <c r="G3566" s="656">
        <v>2.0707679986246091E-2</v>
      </c>
    </row>
    <row r="3567" spans="5:7">
      <c r="E3567" s="661">
        <f ca="1">_xll.meDateFromTenor(E3566,"1D","Following",$C$16)</f>
        <v>48309</v>
      </c>
      <c r="F3567" s="659">
        <f ca="1"/>
        <v>2.0696319970599834E-2</v>
      </c>
      <c r="G3567" s="656">
        <v>2.0707511216041686E-2</v>
      </c>
    </row>
    <row r="3568" spans="5:7">
      <c r="E3568" s="661">
        <f ca="1">_xll.meDateFromTenor(E3567,"1D","Following",$C$16)</f>
        <v>48310</v>
      </c>
      <c r="F3568" s="659">
        <f ca="1"/>
        <v>2.0696167243201103E-2</v>
      </c>
      <c r="G3568" s="656">
        <v>2.0707343083150816E-2</v>
      </c>
    </row>
    <row r="3569" spans="5:7">
      <c r="E3569" s="661">
        <f ca="1">_xll.meDateFromTenor(E3568,"1D","Following",$C$16)</f>
        <v>48311</v>
      </c>
      <c r="F3569" s="659">
        <f ca="1"/>
        <v>2.0696015249066283E-2</v>
      </c>
      <c r="G3569" s="656">
        <v>2.0707175595853031E-2</v>
      </c>
    </row>
    <row r="3570" spans="5:7">
      <c r="E3570" s="661">
        <f ca="1">_xll.meDateFromTenor(E3569,"1D","Following",$C$16)</f>
        <v>48312</v>
      </c>
      <c r="F3570" s="659">
        <f ca="1"/>
        <v>2.0695863994804203E-2</v>
      </c>
      <c r="G3570" s="656">
        <v>2.0706677090313982E-2</v>
      </c>
    </row>
    <row r="3571" spans="5:7">
      <c r="E3571" s="661">
        <f ca="1">_xll.meDateFromTenor(E3570,"1D","Following",$C$16)</f>
        <v>48313</v>
      </c>
      <c r="F3571" s="659">
        <f ca="1"/>
        <v>2.069571348702369E-2</v>
      </c>
      <c r="G3571" s="656">
        <v>2.0706512268184298E-2</v>
      </c>
    </row>
    <row r="3572" spans="5:7">
      <c r="E3572" s="661">
        <f ca="1">_xll.meDateFromTenor(E3571,"1D","Following",$C$16)</f>
        <v>48316</v>
      </c>
      <c r="F3572" s="659">
        <f ca="1"/>
        <v>2.0695266508659795E-2</v>
      </c>
      <c r="G3572" s="656">
        <v>2.0706348133045574E-2</v>
      </c>
    </row>
    <row r="3573" spans="5:7">
      <c r="E3573" s="661">
        <f ca="1">_xll.meDateFromTenor(E3572,"1D","Following",$C$16)</f>
        <v>48317</v>
      </c>
      <c r="F3573" s="659">
        <f ca="1"/>
        <v>2.0695119052893795E-2</v>
      </c>
      <c r="G3573" s="656">
        <v>2.0706184693177372E-2</v>
      </c>
    </row>
    <row r="3574" spans="5:7">
      <c r="E3574" s="661">
        <f ca="1">_xll.meDateFromTenor(E3573,"1D","Following",$C$16)</f>
        <v>48318</v>
      </c>
      <c r="F3574" s="659">
        <f ca="1"/>
        <v>2.0694972376653489E-2</v>
      </c>
      <c r="G3574" s="656">
        <v>2.0706021956859267E-2</v>
      </c>
    </row>
    <row r="3575" spans="5:7">
      <c r="E3575" s="661">
        <f ca="1">_xll.meDateFromTenor(E3574,"1D","Following",$C$16)</f>
        <v>48319</v>
      </c>
      <c r="F3575" s="659">
        <f ca="1"/>
        <v>2.0694826486547704E-2</v>
      </c>
      <c r="G3575" s="656">
        <v>2.0705538052001263E-2</v>
      </c>
    </row>
    <row r="3576" spans="5:7">
      <c r="E3576" s="661">
        <f ca="1">_xll.meDateFromTenor(E3575,"1D","Following",$C$16)</f>
        <v>48320</v>
      </c>
      <c r="F3576" s="659">
        <f ca="1"/>
        <v>2.0694681389185253E-2</v>
      </c>
      <c r="G3576" s="656">
        <v>2.0705378212679273E-2</v>
      </c>
    </row>
    <row r="3577" spans="5:7">
      <c r="E3577" s="661">
        <f ca="1">_xll.meDateFromTenor(E3576,"1D","Following",$C$16)</f>
        <v>48323</v>
      </c>
      <c r="F3577" s="659">
        <f ca="1"/>
        <v>2.0694250919646228E-2</v>
      </c>
      <c r="G3577" s="656">
        <v>2.0705219118305238E-2</v>
      </c>
    </row>
    <row r="3578" spans="5:7">
      <c r="E3578" s="661">
        <f ca="1">_xll.meDateFromTenor(E3577,"1D","Following",$C$16)</f>
        <v>48324</v>
      </c>
      <c r="F3578" s="659">
        <f ca="1"/>
        <v>2.0694109059345406E-2</v>
      </c>
      <c r="G3578" s="656">
        <v>2.0705060777158734E-2</v>
      </c>
    </row>
    <row r="3579" spans="5:7">
      <c r="E3579" s="661">
        <f ca="1">_xll.meDateFromTenor(E3578,"1D","Following",$C$16)</f>
        <v>48325</v>
      </c>
      <c r="F3579" s="659">
        <f ca="1"/>
        <v>2.069396802483205E-2</v>
      </c>
      <c r="G3579" s="656">
        <v>2.0704903197519334E-2</v>
      </c>
    </row>
    <row r="3580" spans="5:7">
      <c r="E3580" s="661">
        <f ca="1">_xll.meDateFromTenor(E3579,"1D","Following",$C$16)</f>
        <v>48326</v>
      </c>
      <c r="F3580" s="659">
        <f ca="1"/>
        <v>2.0693827822714995E-2</v>
      </c>
      <c r="G3580" s="656">
        <v>2.0704435110439446E-2</v>
      </c>
    </row>
    <row r="3581" spans="5:7">
      <c r="E3581" s="661">
        <f ca="1">_xll.meDateFromTenor(E3580,"1D","Following",$C$16)</f>
        <v>48327</v>
      </c>
      <c r="F3581" s="659">
        <f ca="1"/>
        <v>2.0693688459603059E-2</v>
      </c>
      <c r="G3581" s="656">
        <v>2.0704280659624166E-2</v>
      </c>
    </row>
    <row r="3582" spans="5:7">
      <c r="E3582" s="661">
        <f ca="1">_xll.meDateFromTenor(E3581,"1D","Following",$C$16)</f>
        <v>48330</v>
      </c>
      <c r="F3582" s="659">
        <f ca="1"/>
        <v>2.069327547038622E-2</v>
      </c>
      <c r="G3582" s="656">
        <v>2.0704127011713844E-2</v>
      </c>
    </row>
    <row r="3583" spans="5:7">
      <c r="E3583" s="661">
        <f ca="1">_xll.meDateFromTenor(E3582,"1D","Following",$C$16)</f>
        <v>48331</v>
      </c>
      <c r="F3583" s="659">
        <f ca="1"/>
        <v>2.0693139529383012E-2</v>
      </c>
      <c r="G3583" s="656">
        <v>2.0703974174988059E-2</v>
      </c>
    </row>
    <row r="3584" spans="5:7">
      <c r="E3584" s="661">
        <f ca="1">_xll.meDateFromTenor(E3583,"1D","Following",$C$16)</f>
        <v>48332</v>
      </c>
      <c r="F3584" s="659">
        <f ca="1"/>
        <v>2.069300446042906E-2</v>
      </c>
      <c r="G3584" s="656">
        <v>2.0703822157726377E-2</v>
      </c>
    </row>
    <row r="3585" spans="5:7">
      <c r="E3585" s="661">
        <f ca="1">_xll.meDateFromTenor(E3584,"1D","Following",$C$16)</f>
        <v>48333</v>
      </c>
      <c r="F3585" s="659">
        <f ca="1"/>
        <v>2.0692870270133168E-2</v>
      </c>
      <c r="G3585" s="656">
        <v>2.0703371105521676E-2</v>
      </c>
    </row>
    <row r="3586" spans="5:7">
      <c r="E3586" s="661">
        <f ca="1">_xll.meDateFromTenor(E3585,"1D","Following",$C$16)</f>
        <v>48334</v>
      </c>
      <c r="F3586" s="659">
        <f ca="1"/>
        <v>2.0692736965104184E-2</v>
      </c>
      <c r="G3586" s="656">
        <v>2.0703222448912133E-2</v>
      </c>
    </row>
    <row r="3587" spans="5:7">
      <c r="E3587" s="661">
        <f ca="1">_xll.meDateFromTenor(E3586,"1D","Following",$C$16)</f>
        <v>48337</v>
      </c>
      <c r="F3587" s="659">
        <f ca="1"/>
        <v>2.0692342427706858E-2</v>
      </c>
      <c r="G3587" s="656">
        <v>2.0703074653164552E-2</v>
      </c>
    </row>
    <row r="3588" spans="5:7">
      <c r="E3588" s="661">
        <f ca="1">_xll.meDateFromTenor(E3587,"1D","Following",$C$16)</f>
        <v>48338</v>
      </c>
      <c r="F3588" s="659">
        <f ca="1"/>
        <v>2.0692212729833712E-2</v>
      </c>
      <c r="G3588" s="656">
        <v>2.0702927726558504E-2</v>
      </c>
    </row>
    <row r="3589" spans="5:7">
      <c r="E3589" s="661">
        <f ca="1">_xll.meDateFromTenor(E3588,"1D","Following",$C$16)</f>
        <v>48339</v>
      </c>
      <c r="F3589" s="659">
        <f ca="1"/>
        <v>2.0692083950271587E-2</v>
      </c>
      <c r="G3589" s="656">
        <v>2.0702781677373567E-2</v>
      </c>
    </row>
    <row r="3590" spans="5:7">
      <c r="E3590" s="661">
        <f ca="1">_xll.meDateFromTenor(E3589,"1D","Following",$C$16)</f>
        <v>48340</v>
      </c>
      <c r="F3590" s="659">
        <f ca="1"/>
        <v>2.0691956095629318E-2</v>
      </c>
      <c r="G3590" s="656">
        <v>2.0702348877141119E-2</v>
      </c>
    </row>
    <row r="3591" spans="5:7">
      <c r="E3591" s="661">
        <f ca="1">_xll.meDateFromTenor(E3590,"1D","Following",$C$16)</f>
        <v>48341</v>
      </c>
      <c r="F3591" s="659">
        <f ca="1"/>
        <v>2.0691829172515719E-2</v>
      </c>
      <c r="G3591" s="656">
        <v>2.0702206415596117E-2</v>
      </c>
    </row>
    <row r="3592" spans="5:7">
      <c r="E3592" s="661">
        <f ca="1">_xll.meDateFromTenor(E3591,"1D","Following",$C$16)</f>
        <v>48344</v>
      </c>
      <c r="F3592" s="659">
        <f ca="1"/>
        <v>2.0691454058435223E-2</v>
      </c>
      <c r="G3592" s="656">
        <v>2.0702064843828798E-2</v>
      </c>
    </row>
    <row r="3593" spans="5:7">
      <c r="E3593" s="661">
        <f ca="1">_xll.meDateFromTenor(E3592,"1D","Following",$C$16)</f>
        <v>48345</v>
      </c>
      <c r="F3593" s="659">
        <f ca="1"/>
        <v>2.0691330922706204E-2</v>
      </c>
      <c r="G3593" s="656">
        <v>2.0701924141077452E-2</v>
      </c>
    </row>
    <row r="3594" spans="5:7">
      <c r="E3594" s="661">
        <f ca="1">_xll.meDateFromTenor(E3593,"1D","Following",$C$16)</f>
        <v>48346</v>
      </c>
      <c r="F3594" s="659">
        <f ca="1"/>
        <v>2.0691208722639746E-2</v>
      </c>
      <c r="G3594" s="656">
        <v>2.0701784286580361E-2</v>
      </c>
    </row>
    <row r="3595" spans="5:7">
      <c r="E3595" s="661">
        <f ca="1">_xll.meDateFromTenor(E3594,"1D","Following",$C$16)</f>
        <v>48347</v>
      </c>
      <c r="F3595" s="659">
        <f ca="1"/>
        <v>2.0691087435934442E-2</v>
      </c>
      <c r="G3595" s="656">
        <v>2.0701369604997546E-2</v>
      </c>
    </row>
    <row r="3596" spans="5:7">
      <c r="E3596" s="661">
        <f ca="1">_xll.meDateFromTenor(E3595,"1D","Following",$C$16)</f>
        <v>48348</v>
      </c>
      <c r="F3596" s="659">
        <f ca="1"/>
        <v>2.0690967040288874E-2</v>
      </c>
      <c r="G3596" s="656">
        <v>2.0701232935900381E-2</v>
      </c>
    </row>
    <row r="3597" spans="5:7">
      <c r="E3597" s="661">
        <f ca="1">_xll.meDateFromTenor(E3596,"1D","Following",$C$16)</f>
        <v>48351</v>
      </c>
      <c r="F3597" s="659">
        <f ca="1"/>
        <v>2.0690610976696468E-2</v>
      </c>
      <c r="G3597" s="656">
        <v>2.070109701124892E-2</v>
      </c>
    </row>
    <row r="3598" spans="5:7">
      <c r="E3598" s="661">
        <f ca="1">_xll.meDateFromTenor(E3597,"1D","Following",$C$16)</f>
        <v>48352</v>
      </c>
      <c r="F3598" s="659">
        <f ca="1"/>
        <v>2.0690493922275725E-2</v>
      </c>
      <c r="G3598" s="656">
        <v>2.0700961810281446E-2</v>
      </c>
    </row>
    <row r="3599" spans="5:7">
      <c r="E3599" s="661">
        <f ca="1">_xll.meDateFromTenor(E3598,"1D","Following",$C$16)</f>
        <v>48353</v>
      </c>
      <c r="F3599" s="659">
        <f ca="1"/>
        <v>2.0690377647407662E-2</v>
      </c>
      <c r="G3599" s="656">
        <v>2.0700827312236252E-2</v>
      </c>
    </row>
    <row r="3600" spans="5:7">
      <c r="E3600" s="661">
        <f ca="1">_xll.meDateFromTenor(E3599,"1D","Following",$C$16)</f>
        <v>48354</v>
      </c>
      <c r="F3600" s="659">
        <f ca="1"/>
        <v>2.0690262129790856E-2</v>
      </c>
      <c r="G3600" s="656">
        <v>2.0700427828017221E-2</v>
      </c>
    </row>
    <row r="3601" spans="5:7">
      <c r="E3601" s="661">
        <f ca="1">_xll.meDateFromTenor(E3600,"1D","Following",$C$16)</f>
        <v>48355</v>
      </c>
      <c r="F3601" s="659">
        <f ca="1"/>
        <v>2.0690147347123898E-2</v>
      </c>
      <c r="G3601" s="656">
        <v>2.070029593404402E-2</v>
      </c>
    </row>
    <row r="3602" spans="5:7">
      <c r="E3602" s="661">
        <f ca="1">_xll.meDateFromTenor(E3601,"1D","Following",$C$16)</f>
        <v>48358</v>
      </c>
      <c r="F3602" s="659">
        <f ca="1"/>
        <v>2.0689807185807998E-2</v>
      </c>
      <c r="G3602" s="656">
        <v>2.0700164639184542E-2</v>
      </c>
    </row>
    <row r="3603" spans="5:7">
      <c r="E3603" s="661">
        <f ca="1">_xll.meDateFromTenor(E3602,"1D","Following",$C$16)</f>
        <v>48359</v>
      </c>
      <c r="F3603" s="659">
        <f ca="1"/>
        <v>2.0689695119926316E-2</v>
      </c>
      <c r="G3603" s="656">
        <v>2.0700033922677066E-2</v>
      </c>
    </row>
    <row r="3604" spans="5:7">
      <c r="E3604" s="661">
        <f ca="1">_xll.meDateFromTenor(E3603,"1D","Following",$C$16)</f>
        <v>48360</v>
      </c>
      <c r="F3604" s="659">
        <f ca="1"/>
        <v>2.0689583677487414E-2</v>
      </c>
      <c r="G3604" s="656">
        <v>2.0699903763759894E-2</v>
      </c>
    </row>
    <row r="3605" spans="5:7">
      <c r="E3605" s="661">
        <f ca="1">_xll.meDateFromTenor(E3604,"1D","Following",$C$16)</f>
        <v>48361</v>
      </c>
      <c r="F3605" s="659">
        <f ca="1"/>
        <v>2.0689472836189896E-2</v>
      </c>
      <c r="G3605" s="656">
        <v>2.069951642493302E-2</v>
      </c>
    </row>
    <row r="3606" spans="5:7">
      <c r="E3606" s="661">
        <f ca="1">_xll.meDateFromTenor(E3605,"1D","Following",$C$16)</f>
        <v>48362</v>
      </c>
      <c r="F3606" s="659">
        <f ca="1"/>
        <v>2.0689362573732328E-2</v>
      </c>
      <c r="G3606" s="656">
        <v>2.0699388288759914E-2</v>
      </c>
    </row>
    <row r="3607" spans="5:7">
      <c r="E3607" s="661">
        <f ca="1">_xll.meDateFromTenor(E3606,"1D","Following",$C$16)</f>
        <v>48365</v>
      </c>
      <c r="F3607" s="659">
        <f ca="1"/>
        <v>2.0689035036385278E-2</v>
      </c>
      <c r="G3607" s="656">
        <v>2.0699260606368543E-2</v>
      </c>
    </row>
    <row r="3608" spans="5:7">
      <c r="E3608" s="661">
        <f ca="1">_xll.meDateFromTenor(E3607,"1D","Following",$C$16)</f>
        <v>48366</v>
      </c>
      <c r="F3608" s="659">
        <f ca="1"/>
        <v>2.0688926866273431E-2</v>
      </c>
      <c r="G3608" s="656">
        <v>2.0699133356997197E-2</v>
      </c>
    </row>
    <row r="3609" spans="5:7">
      <c r="E3609" s="661">
        <f ca="1">_xll.meDateFromTenor(E3608,"1D","Following",$C$16)</f>
        <v>48367</v>
      </c>
      <c r="F3609" s="659">
        <f ca="1"/>
        <v>2.0688819163494482E-2</v>
      </c>
      <c r="G3609" s="656">
        <v>2.0699006519884166E-2</v>
      </c>
    </row>
    <row r="3610" spans="5:7">
      <c r="E3610" s="661">
        <f ca="1">_xll.meDateFromTenor(E3609,"1D","Following",$C$16)</f>
        <v>48368</v>
      </c>
      <c r="F3610" s="659">
        <f ca="1"/>
        <v>2.0688711905747021E-2</v>
      </c>
      <c r="G3610" s="656">
        <v>2.069862827447784E-2</v>
      </c>
    </row>
    <row r="3611" spans="5:7">
      <c r="E3611" s="661">
        <f ca="1">_xll.meDateFromTenor(E3610,"1D","Following",$C$16)</f>
        <v>48369</v>
      </c>
      <c r="F3611" s="659">
        <f ca="1"/>
        <v>2.0688605070729633E-2</v>
      </c>
      <c r="G3611" s="656">
        <v>2.0698502878780944E-2</v>
      </c>
    </row>
    <row r="3612" spans="5:7">
      <c r="E3612" s="661">
        <f ca="1">_xll.meDateFromTenor(E3611,"1D","Following",$C$16)</f>
        <v>48372</v>
      </c>
      <c r="F3612" s="659">
        <f ca="1"/>
        <v>2.0688286879043769E-2</v>
      </c>
      <c r="G3612" s="656">
        <v>2.0698377791533808E-2</v>
      </c>
    </row>
    <row r="3613" spans="5:7">
      <c r="E3613" s="661">
        <f ca="1">_xll.meDateFromTenor(E3612,"1D","Following",$C$16)</f>
        <v>48373</v>
      </c>
      <c r="F3613" s="659">
        <f ca="1"/>
        <v>2.0688181511932541E-2</v>
      </c>
      <c r="G3613" s="656">
        <v>2.0698252991974718E-2</v>
      </c>
    </row>
    <row r="3614" spans="5:7">
      <c r="E3614" s="661">
        <f ca="1">_xll.meDateFromTenor(E3613,"1D","Following",$C$16)</f>
        <v>48374</v>
      </c>
      <c r="F3614" s="659">
        <f ca="1"/>
        <v>2.0688076456044324E-2</v>
      </c>
      <c r="G3614" s="656">
        <v>2.0698128459341956E-2</v>
      </c>
    </row>
    <row r="3615" spans="5:7">
      <c r="E3615" s="661">
        <f ca="1">_xll.meDateFromTenor(E3614,"1D","Following",$C$16)</f>
        <v>48375</v>
      </c>
      <c r="F3615" s="659">
        <f ca="1"/>
        <v>2.0687971689077708E-2</v>
      </c>
      <c r="G3615" s="656">
        <v>2.0697756255384548E-2</v>
      </c>
    </row>
    <row r="3616" spans="5:7">
      <c r="E3616" s="661">
        <f ca="1">_xll.meDateFromTenor(E3615,"1D","Following",$C$16)</f>
        <v>48376</v>
      </c>
      <c r="F3616" s="659">
        <f ca="1"/>
        <v>2.0687867188731269E-2</v>
      </c>
      <c r="G3616" s="656">
        <v>2.0697632582839996E-2</v>
      </c>
    </row>
    <row r="3617" spans="5:7">
      <c r="E3617" s="661">
        <f ca="1">_xll.meDateFromTenor(E3616,"1D","Following",$C$16)</f>
        <v>48379</v>
      </c>
      <c r="F3617" s="659">
        <f ca="1"/>
        <v>2.0687555064398937E-2</v>
      </c>
      <c r="G3617" s="656">
        <v>2.0697509073413223E-2</v>
      </c>
    </row>
    <row r="3618" spans="5:7">
      <c r="E3618" s="661">
        <f ca="1">_xll.meDateFromTenor(E3617,"1D","Following",$C$16)</f>
        <v>48380</v>
      </c>
      <c r="F3618" s="659">
        <f ca="1"/>
        <v>2.0687451407519111E-2</v>
      </c>
      <c r="G3618" s="656">
        <v>2.0697385706342511E-2</v>
      </c>
    </row>
    <row r="3619" spans="5:7">
      <c r="E3619" s="661">
        <f ca="1">_xll.meDateFromTenor(E3618,"1D","Following",$C$16)</f>
        <v>48381</v>
      </c>
      <c r="F3619" s="659">
        <f ca="1"/>
        <v>2.0687347905752405E-2</v>
      </c>
      <c r="G3619" s="656">
        <v>2.0697262460866145E-2</v>
      </c>
    </row>
    <row r="3620" spans="5:7">
      <c r="E3620" s="661">
        <f ca="1">_xll.meDateFromTenor(E3619,"1D","Following",$C$16)</f>
        <v>48382</v>
      </c>
      <c r="F3620" s="659">
        <f ca="1"/>
        <v>2.0687244536797409E-2</v>
      </c>
      <c r="G3620" s="656">
        <v>2.0696893246386031E-2</v>
      </c>
    </row>
    <row r="3621" spans="5:7">
      <c r="E3621" s="661">
        <f ca="1">_xll.meDateFromTenor(E3620,"1D","Following",$C$16)</f>
        <v>48383</v>
      </c>
      <c r="F3621" s="659">
        <f ca="1"/>
        <v>2.0687141278352708E-2</v>
      </c>
      <c r="G3621" s="656">
        <v>2.0696770279669954E-2</v>
      </c>
    </row>
    <row r="3622" spans="5:7">
      <c r="E3622" s="661">
        <f ca="1">_xll.meDateFromTenor(E3621,"1D","Following",$C$16)</f>
        <v>48386</v>
      </c>
      <c r="F3622" s="659">
        <f ca="1"/>
        <v>2.0686831943066253E-2</v>
      </c>
      <c r="G3622" s="656">
        <v>2.0696647330739663E-2</v>
      </c>
    </row>
    <row r="3623" spans="5:7">
      <c r="E3623" s="661">
        <f ca="1">_xll.meDateFromTenor(E3622,"1D","Following",$C$16)</f>
        <v>48387</v>
      </c>
      <c r="F3623" s="659">
        <f ca="1"/>
        <v>2.0686728903648605E-2</v>
      </c>
      <c r="G3623" s="656">
        <v>2.0696524378833455E-2</v>
      </c>
    </row>
    <row r="3624" spans="5:7">
      <c r="E3624" s="661">
        <f ca="1">_xll.meDateFromTenor(E3623,"1D","Following",$C$16)</f>
        <v>48388</v>
      </c>
      <c r="F3624" s="659">
        <f ca="1"/>
        <v>2.06866258632342E-2</v>
      </c>
      <c r="G3624" s="656">
        <v>2.069640140318961E-2</v>
      </c>
    </row>
    <row r="3625" spans="5:7">
      <c r="E3625" s="661">
        <f ca="1">_xll.meDateFromTenor(E3624,"1D","Following",$C$16)</f>
        <v>48389</v>
      </c>
      <c r="F3625" s="659">
        <f ca="1"/>
        <v>2.0686522799521604E-2</v>
      </c>
      <c r="G3625" s="656">
        <v>2.0696032126215177E-2</v>
      </c>
    </row>
    <row r="3626" spans="5:7">
      <c r="E3626" s="661">
        <f ca="1">_xll.meDateFromTenor(E3625,"1D","Following",$C$16)</f>
        <v>48390</v>
      </c>
      <c r="F3626" s="659">
        <f ca="1"/>
        <v>2.0686419690209418E-2</v>
      </c>
      <c r="G3626" s="656">
        <v>2.0695908848003691E-2</v>
      </c>
    </row>
    <row r="3627" spans="5:7">
      <c r="E3627" s="661">
        <f ca="1">_xll.meDateFromTenor(E3626,"1D","Following",$C$16)</f>
        <v>48393</v>
      </c>
      <c r="F3627" s="659">
        <f ca="1"/>
        <v>2.0686109865661176E-2</v>
      </c>
      <c r="G3627" s="656">
        <v>2.0695785442246015E-2</v>
      </c>
    </row>
    <row r="3628" spans="5:7">
      <c r="E3628" s="661">
        <f ca="1">_xll.meDateFromTenor(E3627,"1D","Following",$C$16)</f>
        <v>48394</v>
      </c>
      <c r="F3628" s="659">
        <f ca="1"/>
        <v>2.0686006350936495E-2</v>
      </c>
      <c r="G3628" s="656">
        <v>2.0695661888180436E-2</v>
      </c>
    </row>
    <row r="3629" spans="5:7">
      <c r="E3629" s="661">
        <f ca="1">_xll.meDateFromTenor(E3628,"1D","Following",$C$16)</f>
        <v>48395</v>
      </c>
      <c r="F3629" s="659">
        <f ca="1"/>
        <v>2.0685902679105157E-2</v>
      </c>
      <c r="G3629" s="656">
        <v>2.0695538165045241E-2</v>
      </c>
    </row>
    <row r="3630" spans="5:7">
      <c r="E3630" s="661">
        <f ca="1">_xll.meDateFromTenor(E3629,"1D","Following",$C$16)</f>
        <v>48396</v>
      </c>
      <c r="F3630" s="659">
        <f ca="1"/>
        <v>2.068579882786575E-2</v>
      </c>
      <c r="G3630" s="656">
        <v>2.0695165773604866E-2</v>
      </c>
    </row>
    <row r="3631" spans="5:7">
      <c r="E3631" s="661">
        <f ca="1">_xll.meDateFromTenor(E3630,"1D","Following",$C$16)</f>
        <v>48397</v>
      </c>
      <c r="F3631" s="659">
        <f ca="1"/>
        <v>2.0685694774916861E-2</v>
      </c>
      <c r="G3631" s="656">
        <v>2.0695041166574096E-2</v>
      </c>
    </row>
    <row r="3632" spans="5:7">
      <c r="E3632" s="661">
        <f ca="1">_xll.meDateFromTenor(E3631,"1D","Following",$C$16)</f>
        <v>48400</v>
      </c>
      <c r="F3632" s="659">
        <f ca="1"/>
        <v>2.0685381182799178E-2</v>
      </c>
      <c r="G3632" s="656">
        <v>2.0694916286665165E-2</v>
      </c>
    </row>
    <row r="3633" spans="5:7">
      <c r="E3633" s="661">
        <f ca="1">_xll.meDateFromTenor(E3632,"1D","Following",$C$16)</f>
        <v>48401</v>
      </c>
      <c r="F3633" s="659">
        <f ca="1"/>
        <v>2.0685276099998241E-2</v>
      </c>
      <c r="G3633" s="656">
        <v>2.069479111311634E-2</v>
      </c>
    </row>
    <row r="3634" spans="5:7">
      <c r="E3634" s="661">
        <f ca="1">_xll.meDateFromTenor(E3633,"1D","Following",$C$16)</f>
        <v>48402</v>
      </c>
      <c r="F3634" s="659">
        <f ca="1"/>
        <v>2.0685170703980751E-2</v>
      </c>
      <c r="G3634" s="656">
        <v>2.0694665625165917E-2</v>
      </c>
    </row>
    <row r="3635" spans="5:7">
      <c r="E3635" s="661">
        <f ca="1">_xll.meDateFromTenor(E3634,"1D","Following",$C$16)</f>
        <v>48403</v>
      </c>
      <c r="F3635" s="659">
        <f ca="1"/>
        <v>2.0685064972445311E-2</v>
      </c>
      <c r="G3635" s="656">
        <v>2.0694287067287973E-2</v>
      </c>
    </row>
    <row r="3636" spans="5:7">
      <c r="E3636" s="661">
        <f ca="1">_xll.meDateFromTenor(E3635,"1D","Following",$C$16)</f>
        <v>48404</v>
      </c>
      <c r="F3636" s="659">
        <f ca="1"/>
        <v>2.0684958883090507E-2</v>
      </c>
      <c r="G3636" s="656">
        <v>2.0694160114114055E-2</v>
      </c>
    </row>
    <row r="3637" spans="5:7">
      <c r="E3637" s="661">
        <f ca="1">_xll.meDateFromTenor(E3636,"1D","Following",$C$16)</f>
        <v>48407</v>
      </c>
      <c r="F3637" s="659">
        <f ca="1"/>
        <v>2.0684638245095723E-2</v>
      </c>
      <c r="G3637" s="656">
        <v>2.0694032742729986E-2</v>
      </c>
    </row>
    <row r="3638" spans="5:7">
      <c r="E3638" s="661">
        <f ca="1">_xll.meDateFromTenor(E3637,"1D","Following",$C$16)</f>
        <v>48408</v>
      </c>
      <c r="F3638" s="659">
        <f ca="1"/>
        <v>2.0684530501449309E-2</v>
      </c>
      <c r="G3638" s="656">
        <v>2.0693904932374045E-2</v>
      </c>
    </row>
    <row r="3639" spans="5:7">
      <c r="E3639" s="661">
        <f ca="1">_xll.meDateFromTenor(E3638,"1D","Following",$C$16)</f>
        <v>48409</v>
      </c>
      <c r="F3639" s="659">
        <f ca="1"/>
        <v>2.0684422288476455E-2</v>
      </c>
      <c r="G3639" s="656">
        <v>2.0693776662284526E-2</v>
      </c>
    </row>
    <row r="3640" spans="5:7">
      <c r="E3640" s="661">
        <f ca="1">_xll.meDateFromTenor(E3639,"1D","Following",$C$16)</f>
        <v>48410</v>
      </c>
      <c r="F3640" s="659">
        <f ca="1"/>
        <v>2.068431358387576E-2</v>
      </c>
      <c r="G3640" s="656">
        <v>2.069338888599739E-2</v>
      </c>
    </row>
    <row r="3641" spans="5:7">
      <c r="E3641" s="661">
        <f ca="1">_xll.meDateFromTenor(E3640,"1D","Following",$C$16)</f>
        <v>48411</v>
      </c>
      <c r="F3641" s="659">
        <f ca="1"/>
        <v>2.0684204365345807E-2</v>
      </c>
      <c r="G3641" s="656">
        <v>2.0693258569356447E-2</v>
      </c>
    </row>
    <row r="3642" spans="5:7">
      <c r="E3642" s="661">
        <f ca="1">_xll.meDateFromTenor(E3641,"1D","Following",$C$16)</f>
        <v>48414</v>
      </c>
      <c r="F3642" s="659">
        <f ca="1"/>
        <v>2.0683873403166273E-2</v>
      </c>
      <c r="G3642" s="656">
        <v>2.0693127689173363E-2</v>
      </c>
    </row>
    <row r="3643" spans="5:7">
      <c r="E3643" s="661">
        <f ca="1">_xll.meDateFromTenor(E3642,"1D","Following",$C$16)</f>
        <v>48415</v>
      </c>
      <c r="F3643" s="659">
        <f ca="1"/>
        <v>2.0683761905905162E-2</v>
      </c>
      <c r="G3643" s="656">
        <v>2.0692996224686431E-2</v>
      </c>
    </row>
    <row r="3644" spans="5:7">
      <c r="E3644" s="661">
        <f ca="1">_xll.meDateFromTenor(E3643,"1D","Following",$C$16)</f>
        <v>48416</v>
      </c>
      <c r="F3644" s="659">
        <f ca="1"/>
        <v>2.0683649783207726E-2</v>
      </c>
      <c r="G3644" s="656">
        <v>2.0692864155133946E-2</v>
      </c>
    </row>
    <row r="3645" spans="5:7">
      <c r="E3645" s="661">
        <f ca="1">_xll.meDateFromTenor(E3644,"1D","Following",$C$16)</f>
        <v>48417</v>
      </c>
      <c r="F3645" s="659">
        <f ca="1"/>
        <v>2.0683537012772556E-2</v>
      </c>
      <c r="G3645" s="656">
        <v>2.0692464108465997E-2</v>
      </c>
    </row>
    <row r="3646" spans="5:7">
      <c r="E3646" s="661">
        <f ca="1">_xll.meDateFromTenor(E3645,"1D","Following",$C$16)</f>
        <v>48418</v>
      </c>
      <c r="F3646" s="659">
        <f ca="1"/>
        <v>2.0683423572298243E-2</v>
      </c>
      <c r="G3646" s="656">
        <v>2.069232941103415E-2</v>
      </c>
    </row>
    <row r="3647" spans="5:7">
      <c r="E3647" s="661">
        <f ca="1">_xll.meDateFromTenor(E3646,"1D","Following",$C$16)</f>
        <v>48421</v>
      </c>
      <c r="F3647" s="659">
        <f ca="1"/>
        <v>2.0683079007626295E-2</v>
      </c>
      <c r="G3647" s="656">
        <v>2.0692194004728184E-2</v>
      </c>
    </row>
    <row r="3648" spans="5:7">
      <c r="E3648" s="661">
        <f ca="1">_xll.meDateFromTenor(E3647,"1D","Following",$C$16)</f>
        <v>48422</v>
      </c>
      <c r="F3648" s="659">
        <f ca="1"/>
        <v>2.0682962663981268E-2</v>
      </c>
      <c r="G3648" s="656">
        <v>2.0692057868786386E-2</v>
      </c>
    </row>
    <row r="3649" spans="5:7">
      <c r="E3649" s="661">
        <f ca="1">_xll.meDateFromTenor(E3648,"1D","Following",$C$16)</f>
        <v>48423</v>
      </c>
      <c r="F3649" s="659">
        <f ca="1"/>
        <v>2.0682845538790032E-2</v>
      </c>
      <c r="G3649" s="656">
        <v>2.0691920982447053E-2</v>
      </c>
    </row>
    <row r="3650" spans="5:7">
      <c r="E3650" s="661">
        <f ca="1">_xll.meDateFromTenor(E3649,"1D","Following",$C$16)</f>
        <v>48424</v>
      </c>
      <c r="F3650" s="659">
        <f ca="1"/>
        <v>2.0682727609751171E-2</v>
      </c>
      <c r="G3650" s="656">
        <v>2.0691505613426676E-2</v>
      </c>
    </row>
    <row r="3651" spans="5:7">
      <c r="E3651" s="661">
        <f ca="1">_xll.meDateFromTenor(E3650,"1D","Following",$C$16)</f>
        <v>48425</v>
      </c>
      <c r="F3651" s="659">
        <f ca="1"/>
        <v>2.0682608854563279E-2</v>
      </c>
      <c r="G3651" s="656">
        <v>2.0691365517880048E-2</v>
      </c>
    </row>
    <row r="3652" spans="5:7">
      <c r="E3652" s="661">
        <f ca="1">_xll.meDateFromTenor(E3651,"1D","Following",$C$16)</f>
        <v>48428</v>
      </c>
      <c r="F3652" s="659">
        <f ca="1"/>
        <v>2.0682247409091258E-2</v>
      </c>
      <c r="G3652" s="656">
        <v>2.0691224568127328E-2</v>
      </c>
    </row>
    <row r="3653" spans="5:7">
      <c r="E3653" s="661">
        <f ca="1">_xll.meDateFromTenor(E3652,"1D","Following",$C$16)</f>
        <v>48429</v>
      </c>
      <c r="F3653" s="659">
        <f ca="1"/>
        <v>2.0682125126293093E-2</v>
      </c>
      <c r="G3653" s="656">
        <v>2.0691082743406797E-2</v>
      </c>
    </row>
    <row r="3654" spans="5:7">
      <c r="E3654" s="661">
        <f ca="1">_xll.meDateFromTenor(E3653,"1D","Following",$C$16)</f>
        <v>48430</v>
      </c>
      <c r="F3654" s="659">
        <f ca="1"/>
        <v>2.0682001905838836E-2</v>
      </c>
      <c r="G3654" s="656">
        <v>2.0690940022956735E-2</v>
      </c>
    </row>
    <row r="3655" spans="5:7">
      <c r="E3655" s="661">
        <f ca="1">_xll.meDateFromTenor(E3654,"1D","Following",$C$16)</f>
        <v>48431</v>
      </c>
      <c r="F3655" s="659">
        <f ca="1"/>
        <v>2.0681877725427067E-2</v>
      </c>
      <c r="G3655" s="656">
        <v>2.0690506279612299E-2</v>
      </c>
    </row>
    <row r="3656" spans="5:7">
      <c r="E3656" s="661">
        <f ca="1">_xll.meDateFromTenor(E3655,"1D","Following",$C$16)</f>
        <v>48432</v>
      </c>
      <c r="F3656" s="659">
        <f ca="1"/>
        <v>2.0681752562756374E-2</v>
      </c>
      <c r="G3656" s="656">
        <v>2.0690359768627032E-2</v>
      </c>
    </row>
    <row r="3657" spans="5:7">
      <c r="E3657" s="661">
        <f ca="1">_xll.meDateFromTenor(E3656,"1D","Following",$C$16)</f>
        <v>48435</v>
      </c>
      <c r="F3657" s="659">
        <f ca="1"/>
        <v>2.0681370958176622E-2</v>
      </c>
      <c r="G3657" s="656">
        <v>2.069021225810368E-2</v>
      </c>
    </row>
    <row r="3658" spans="5:7">
      <c r="E3658" s="661">
        <f ca="1">_xll.meDateFromTenor(E3657,"1D","Following",$C$16)</f>
        <v>48436</v>
      </c>
      <c r="F3658" s="659">
        <f ca="1"/>
        <v>2.0681241643456107E-2</v>
      </c>
      <c r="G3658" s="656">
        <v>2.0690063727280529E-2</v>
      </c>
    </row>
    <row r="3659" spans="5:7">
      <c r="E3659" s="661">
        <f ca="1">_xll.meDateFromTenor(E3658,"1D","Following",$C$16)</f>
        <v>48437</v>
      </c>
      <c r="F3659" s="659">
        <f ca="1"/>
        <v>2.0681111234969608E-2</v>
      </c>
      <c r="G3659" s="656">
        <v>2.0689914155395877E-2</v>
      </c>
    </row>
    <row r="3660" spans="5:7">
      <c r="E3660" s="661">
        <f ca="1">_xll.meDateFromTenor(E3659,"1D","Following",$C$16)</f>
        <v>48438</v>
      </c>
      <c r="F3660" s="659">
        <f ca="1"/>
        <v>2.0680979710415708E-2</v>
      </c>
      <c r="G3660" s="656">
        <v>2.0689458985755766E-2</v>
      </c>
    </row>
    <row r="3661" spans="5:7">
      <c r="E3661" s="661">
        <f ca="1">_xll.meDateFromTenor(E3660,"1D","Following",$C$16)</f>
        <v>48439</v>
      </c>
      <c r="F3661" s="659">
        <f ca="1"/>
        <v>2.0680847047492994E-2</v>
      </c>
      <c r="G3661" s="656">
        <v>2.0689305042007975E-2</v>
      </c>
    </row>
    <row r="3662" spans="5:7">
      <c r="E3662" s="661">
        <f ca="1">_xll.meDateFromTenor(E3661,"1D","Following",$C$16)</f>
        <v>48442</v>
      </c>
      <c r="F3662" s="659">
        <f ca="1"/>
        <v>2.0680442005497859E-2</v>
      </c>
      <c r="G3662" s="656">
        <v>2.0689149953390117E-2</v>
      </c>
    </row>
    <row r="3663" spans="5:7">
      <c r="E3663" s="661">
        <f ca="1">_xll.meDateFromTenor(E3662,"1D","Following",$C$16)</f>
        <v>48443</v>
      </c>
      <c r="F3663" s="659">
        <f ca="1"/>
        <v>2.0680304566085772E-2</v>
      </c>
      <c r="G3663" s="656">
        <v>2.0688993699140481E-2</v>
      </c>
    </row>
    <row r="3664" spans="5:7">
      <c r="E3664" s="661">
        <f ca="1">_xll.meDateFromTenor(E3663,"1D","Following",$C$16)</f>
        <v>48444</v>
      </c>
      <c r="F3664" s="659">
        <f ca="1"/>
        <v>2.0680165876797812E-2</v>
      </c>
      <c r="G3664" s="656">
        <v>2.0688836258497361E-2</v>
      </c>
    </row>
    <row r="3665" spans="5:7">
      <c r="E3665" s="661">
        <f ca="1">_xll.meDateFromTenor(E3664,"1D","Following",$C$16)</f>
        <v>48445</v>
      </c>
      <c r="F3665" s="659">
        <f ca="1"/>
        <v>2.0680025915332564E-2</v>
      </c>
      <c r="G3665" s="656">
        <v>2.0688356610589952E-2</v>
      </c>
    </row>
    <row r="3666" spans="5:7">
      <c r="E3666" s="661">
        <f ca="1">_xll.meDateFromTenor(E3665,"1D","Following",$C$16)</f>
        <v>48446</v>
      </c>
      <c r="F3666" s="659">
        <f ca="1"/>
        <v>2.0679884659388609E-2</v>
      </c>
      <c r="G3666" s="656">
        <v>2.0688194216755763E-2</v>
      </c>
    </row>
    <row r="3667" spans="5:7">
      <c r="E3667" s="661">
        <f ca="1">_xll.meDateFromTenor(E3666,"1D","Following",$C$16)</f>
        <v>48449</v>
      </c>
      <c r="F3667" s="659">
        <f ca="1"/>
        <v>2.067945290167043E-2</v>
      </c>
      <c r="G3667" s="656">
        <v>2.0688030532719524E-2</v>
      </c>
    </row>
    <row r="3668" spans="5:7">
      <c r="E3668" s="661">
        <f ca="1">_xll.meDateFromTenor(E3667,"1D","Following",$C$16)</f>
        <v>48450</v>
      </c>
      <c r="F3668" s="659">
        <f ca="1"/>
        <v>2.0679306244797552E-2</v>
      </c>
      <c r="G3668" s="656">
        <v>2.0687865537719532E-2</v>
      </c>
    </row>
    <row r="3669" spans="5:7">
      <c r="E3669" s="661">
        <f ca="1">_xll.meDateFromTenor(E3668,"1D","Following",$C$16)</f>
        <v>48451</v>
      </c>
      <c r="F3669" s="659">
        <f ca="1"/>
        <v>2.0679158181938908E-2</v>
      </c>
      <c r="G3669" s="656">
        <v>2.0687699210994066E-2</v>
      </c>
    </row>
    <row r="3670" spans="5:7">
      <c r="E3670" s="661">
        <f ca="1">_xll.meDateFromTenor(E3669,"1D","Following",$C$16)</f>
        <v>48452</v>
      </c>
      <c r="F3670" s="659">
        <f ca="1"/>
        <v>2.0679008690793088E-2</v>
      </c>
      <c r="G3670" s="656">
        <v>2.0687192032847735E-2</v>
      </c>
    </row>
    <row r="3671" spans="5:7">
      <c r="E3671" s="661">
        <f ca="1">_xll.meDateFromTenor(E3670,"1D","Following",$C$16)</f>
        <v>48453</v>
      </c>
      <c r="F3671" s="659">
        <f ca="1"/>
        <v>2.0678857749058682E-2</v>
      </c>
      <c r="G3671" s="656">
        <v>2.0687020171603274E-2</v>
      </c>
    </row>
    <row r="3672" spans="5:7">
      <c r="E3672" s="661">
        <f ca="1">_xll.meDateFromTenor(E3671,"1D","Following",$C$16)</f>
        <v>48456</v>
      </c>
      <c r="F3672" s="659">
        <f ca="1"/>
        <v>2.0678395997309803E-2</v>
      </c>
      <c r="G3672" s="656">
        <v>2.0686846874824787E-2</v>
      </c>
    </row>
    <row r="3673" spans="5:7">
      <c r="E3673" s="661">
        <f ca="1">_xll.meDateFromTenor(E3672,"1D","Following",$C$16)</f>
        <v>48457</v>
      </c>
      <c r="F3673" s="659">
        <f ca="1"/>
        <v>2.0678239030206911E-2</v>
      </c>
      <c r="G3673" s="656">
        <v>2.0686672121750557E-2</v>
      </c>
    </row>
    <row r="3674" spans="5:7">
      <c r="E3674" s="661">
        <f ca="1">_xll.meDateFromTenor(E3673,"1D","Following",$C$16)</f>
        <v>48458</v>
      </c>
      <c r="F3674" s="659">
        <f ca="1"/>
        <v>2.0678080501008368E-2</v>
      </c>
      <c r="G3674" s="656">
        <v>2.0686495891618879E-2</v>
      </c>
    </row>
    <row r="3675" spans="5:7">
      <c r="E3675" s="661">
        <f ca="1">_xll.meDateFromTenor(E3674,"1D","Following",$C$16)</f>
        <v>48459</v>
      </c>
      <c r="F3675" s="659">
        <f ca="1"/>
        <v>2.0677920387412764E-2</v>
      </c>
      <c r="G3675" s="656">
        <v>2.0685958131262006E-2</v>
      </c>
    </row>
    <row r="3676" spans="5:7">
      <c r="E3676" s="661">
        <f ca="1">_xll.meDateFromTenor(E3675,"1D","Following",$C$16)</f>
        <v>48460</v>
      </c>
      <c r="F3676" s="659">
        <f ca="1"/>
        <v>2.0677758667118681E-2</v>
      </c>
      <c r="G3676" s="656">
        <v>2.0685775785283397E-2</v>
      </c>
    </row>
    <row r="3677" spans="5:7">
      <c r="E3677" s="661">
        <f ca="1">_xll.meDateFromTenor(E3676,"1D","Following",$C$16)</f>
        <v>48463</v>
      </c>
      <c r="F3677" s="659">
        <f ca="1"/>
        <v>2.0677263643031438E-2</v>
      </c>
      <c r="G3677" s="656">
        <v>2.0685591858438782E-2</v>
      </c>
    </row>
    <row r="3678" spans="5:7">
      <c r="E3678" s="661">
        <f ca="1">_xll.meDateFromTenor(E3677,"1D","Following",$C$16)</f>
        <v>48464</v>
      </c>
      <c r="F3678" s="659">
        <f ca="1"/>
        <v>2.0677095272929321E-2</v>
      </c>
      <c r="G3678" s="656">
        <v>2.0685406329966443E-2</v>
      </c>
    </row>
    <row r="3679" spans="5:7">
      <c r="E3679" s="661">
        <f ca="1">_xll.meDateFromTenor(E3678,"1D","Following",$C$16)</f>
        <v>48465</v>
      </c>
      <c r="F3679" s="659">
        <f ca="1"/>
        <v>2.067692518462166E-2</v>
      </c>
      <c r="G3679" s="656">
        <v>2.068521917910467E-2</v>
      </c>
    </row>
    <row r="3680" spans="5:7">
      <c r="E3680" s="661">
        <f ca="1">_xll.meDateFromTenor(E3679,"1D","Following",$C$16)</f>
        <v>48466</v>
      </c>
      <c r="F3680" s="659">
        <f ca="1"/>
        <v>2.067675335580705E-2</v>
      </c>
      <c r="G3680" s="656">
        <v>2.0684647784565639E-2</v>
      </c>
    </row>
    <row r="3681" spans="5:7">
      <c r="E3681" s="661">
        <f ca="1">_xll.meDateFromTenor(E3680,"1D","Following",$C$16)</f>
        <v>48467</v>
      </c>
      <c r="F3681" s="659">
        <f ca="1"/>
        <v>2.0676579764184071E-2</v>
      </c>
      <c r="G3681" s="656">
        <v>2.0684453936529013E-2</v>
      </c>
    </row>
    <row r="3682" spans="5:7">
      <c r="E3682" s="661">
        <f ca="1">_xll.meDateFromTenor(E3681,"1D","Following",$C$16)</f>
        <v>48470</v>
      </c>
      <c r="F3682" s="659">
        <f ca="1"/>
        <v>2.0676048189450808E-2</v>
      </c>
      <c r="G3682" s="656">
        <v>2.0684258362294393E-2</v>
      </c>
    </row>
    <row r="3683" spans="5:7">
      <c r="E3683" s="661">
        <f ca="1">_xll.meDateFromTenor(E3682,"1D","Following",$C$16)</f>
        <v>48471</v>
      </c>
      <c r="F3683" s="659">
        <f ca="1"/>
        <v>2.067586732358024E-2</v>
      </c>
      <c r="G3683" s="656">
        <v>2.0684061041100075E-2</v>
      </c>
    </row>
    <row r="3684" spans="5:7">
      <c r="E3684" s="661">
        <f ca="1">_xll.meDateFromTenor(E3683,"1D","Following",$C$16)</f>
        <v>48472</v>
      </c>
      <c r="F3684" s="659">
        <f ca="1"/>
        <v>2.0675684583394242E-2</v>
      </c>
      <c r="G3684" s="656">
        <v>2.0683861952184336E-2</v>
      </c>
    </row>
    <row r="3685" spans="5:7">
      <c r="E3685" s="661">
        <f ca="1">_xll.meDateFromTenor(E3684,"1D","Following",$C$16)</f>
        <v>48473</v>
      </c>
      <c r="F3685" s="659">
        <f ca="1"/>
        <v>2.0675499946591406E-2</v>
      </c>
      <c r="G3685" s="656">
        <v>2.068325387149152E-2</v>
      </c>
    </row>
    <row r="3686" spans="5:7">
      <c r="E3686" s="661">
        <f ca="1">_xll.meDateFromTenor(E3685,"1D","Following",$C$16)</f>
        <v>48474</v>
      </c>
      <c r="F3686" s="659">
        <f ca="1"/>
        <v>2.0675313390870313E-2</v>
      </c>
      <c r="G3686" s="656">
        <v>2.0683047504073002E-2</v>
      </c>
    </row>
    <row r="3687" spans="5:7">
      <c r="E3687" s="661">
        <f ca="1">_xll.meDateFromTenor(E3686,"1D","Following",$C$16)</f>
        <v>48477</v>
      </c>
      <c r="F3687" s="659">
        <f ca="1"/>
        <v>2.067474198718338E-2</v>
      </c>
      <c r="G3687" s="656">
        <v>2.0682839265124511E-2</v>
      </c>
    </row>
    <row r="3688" spans="5:7">
      <c r="E3688" s="661">
        <f ca="1">_xll.meDateFromTenor(E3687,"1D","Following",$C$16)</f>
        <v>48478</v>
      </c>
      <c r="F3688" s="659">
        <f ca="1"/>
        <v>2.0674547532775141E-2</v>
      </c>
      <c r="G3688" s="656">
        <v>2.0682629133884335E-2</v>
      </c>
    </row>
    <row r="3689" spans="5:7">
      <c r="E3689" s="661">
        <f ca="1">_xll.meDateFromTenor(E3688,"1D","Following",$C$16)</f>
        <v>48479</v>
      </c>
      <c r="F3689" s="659">
        <f ca="1"/>
        <v>2.0674351047941589E-2</v>
      </c>
      <c r="G3689" s="656">
        <v>2.0682417089590757E-2</v>
      </c>
    </row>
    <row r="3690" spans="5:7">
      <c r="E3690" s="661">
        <f ca="1">_xll.meDateFromTenor(E3689,"1D","Following",$C$16)</f>
        <v>48480</v>
      </c>
      <c r="F3690" s="659">
        <f ca="1"/>
        <v>2.0674152510381304E-2</v>
      </c>
      <c r="G3690" s="656">
        <v>2.0681769270772529E-2</v>
      </c>
    </row>
    <row r="3691" spans="5:7">
      <c r="E3691" s="661">
        <f ca="1">_xll.meDateFromTenor(E3690,"1D","Following",$C$16)</f>
        <v>48481</v>
      </c>
      <c r="F3691" s="659">
        <f ca="1"/>
        <v>2.0673951897792874E-2</v>
      </c>
      <c r="G3691" s="656">
        <v>2.0681549366648243E-2</v>
      </c>
    </row>
    <row r="3692" spans="5:7">
      <c r="E3692" s="661">
        <f ca="1">_xll.meDateFromTenor(E3691,"1D","Following",$C$16)</f>
        <v>48484</v>
      </c>
      <c r="F3692" s="659">
        <f ca="1"/>
        <v>2.0673337386844612E-2</v>
      </c>
      <c r="G3692" s="656">
        <v>2.0681327445662007E-2</v>
      </c>
    </row>
    <row r="3693" spans="5:7">
      <c r="E3693" s="661">
        <f ca="1">_xll.meDateFromTenor(E3692,"1D","Following",$C$16)</f>
        <v>48485</v>
      </c>
      <c r="F3693" s="659">
        <f ca="1"/>
        <v>2.0673128251129488E-2</v>
      </c>
      <c r="G3693" s="656">
        <v>2.0681103487052096E-2</v>
      </c>
    </row>
    <row r="3694" spans="5:7">
      <c r="E3694" s="661">
        <f ca="1">_xll.meDateFromTenor(E3693,"1D","Following",$C$16)</f>
        <v>48486</v>
      </c>
      <c r="F3694" s="659">
        <f ca="1"/>
        <v>2.0672916928879154E-2</v>
      </c>
      <c r="G3694" s="656">
        <v>2.068087747005681E-2</v>
      </c>
    </row>
    <row r="3695" spans="5:7">
      <c r="E3695" s="661">
        <f ca="1">_xll.meDateFromTenor(E3694,"1D","Following",$C$16)</f>
        <v>48487</v>
      </c>
      <c r="F3695" s="659">
        <f ca="1"/>
        <v>2.0672703397792203E-2</v>
      </c>
      <c r="G3695" s="656">
        <v>2.0680186861141554E-2</v>
      </c>
    </row>
    <row r="3696" spans="5:7">
      <c r="E3696" s="661">
        <f ca="1">_xll.meDateFromTenor(E3695,"1D","Following",$C$16)</f>
        <v>48488</v>
      </c>
      <c r="F3696" s="659">
        <f ca="1"/>
        <v>2.0672487635567227E-2</v>
      </c>
      <c r="G3696" s="656">
        <v>2.0679952402987631E-2</v>
      </c>
    </row>
    <row r="3697" spans="5:7">
      <c r="E3697" s="661">
        <f ca="1">_xll.meDateFromTenor(E3696,"1D","Following",$C$16)</f>
        <v>48491</v>
      </c>
      <c r="F3697" s="659">
        <f ca="1"/>
        <v>2.0671826739049971E-2</v>
      </c>
      <c r="G3697" s="656">
        <v>2.0679715782639767E-2</v>
      </c>
    </row>
    <row r="3698" spans="5:7">
      <c r="E3698" s="661">
        <f ca="1">_xll.meDateFromTenor(E3697,"1D","Following",$C$16)</f>
        <v>48492</v>
      </c>
      <c r="F3698" s="659">
        <f ca="1"/>
        <v>2.0671601829258739E-2</v>
      </c>
      <c r="G3698" s="656">
        <v>2.0679476979336253E-2</v>
      </c>
    </row>
    <row r="3699" spans="5:7">
      <c r="E3699" s="661">
        <f ca="1">_xll.meDateFromTenor(E3698,"1D","Following",$C$16)</f>
        <v>48493</v>
      </c>
      <c r="F3699" s="659">
        <f ca="1"/>
        <v>2.0671374576822419E-2</v>
      </c>
      <c r="G3699" s="656">
        <v>2.0679235972315382E-2</v>
      </c>
    </row>
    <row r="3700" spans="5:7">
      <c r="E3700" s="661">
        <f ca="1">_xll.meDateFromTenor(E3699,"1D","Following",$C$16)</f>
        <v>48494</v>
      </c>
      <c r="F3700" s="659">
        <f ca="1"/>
        <v>2.0671144959439582E-2</v>
      </c>
      <c r="G3700" s="656">
        <v>2.0678499521331471E-2</v>
      </c>
    </row>
    <row r="3701" spans="5:7">
      <c r="E3701" s="661">
        <f ca="1">_xll.meDateFromTenor(E3700,"1D","Following",$C$16)</f>
        <v>48495</v>
      </c>
      <c r="F3701" s="659">
        <f ca="1"/>
        <v>2.0670912954808832E-2</v>
      </c>
      <c r="G3701" s="656">
        <v>2.0678249491824032E-2</v>
      </c>
    </row>
    <row r="3702" spans="5:7">
      <c r="E3702" s="661">
        <f ca="1">_xll.meDateFromTenor(E3701,"1D","Following",$C$16)</f>
        <v>48498</v>
      </c>
      <c r="F3702" s="659">
        <f ca="1"/>
        <v>2.067020239441493E-2</v>
      </c>
      <c r="G3702" s="656">
        <v>2.0677997154790673E-2</v>
      </c>
    </row>
    <row r="3703" spans="5:7">
      <c r="E3703" s="661">
        <f ca="1">_xll.meDateFromTenor(E3702,"1D","Following",$C$16)</f>
        <v>48499</v>
      </c>
      <c r="F3703" s="659">
        <f ca="1"/>
        <v>2.0669960617778371E-2</v>
      </c>
      <c r="G3703" s="656">
        <v>2.0677742489469686E-2</v>
      </c>
    </row>
    <row r="3704" spans="5:7">
      <c r="E3704" s="661">
        <f ca="1">_xll.meDateFromTenor(E3703,"1D","Following",$C$16)</f>
        <v>48500</v>
      </c>
      <c r="F3704" s="659">
        <f ca="1"/>
        <v>2.0669716342386828E-2</v>
      </c>
      <c r="G3704" s="656">
        <v>2.0677485475099348E-2</v>
      </c>
    </row>
    <row r="3705" spans="5:7">
      <c r="E3705" s="661">
        <f ca="1">_xll.meDateFromTenor(E3704,"1D","Following",$C$16)</f>
        <v>48501</v>
      </c>
      <c r="F3705" s="659">
        <f ca="1"/>
        <v>2.0669469545938898E-2</v>
      </c>
      <c r="G3705" s="656">
        <v>2.0676700130075169E-2</v>
      </c>
    </row>
    <row r="3706" spans="5:7">
      <c r="E3706" s="661">
        <f ca="1">_xll.meDateFromTenor(E3705,"1D","Following",$C$16)</f>
        <v>48502</v>
      </c>
      <c r="F3706" s="659">
        <f ca="1"/>
        <v>2.0669220206133151E-2</v>
      </c>
      <c r="G3706" s="656">
        <v>2.0676433511890344E-2</v>
      </c>
    </row>
    <row r="3707" spans="5:7">
      <c r="E3707" s="661">
        <f ca="1">_xll.meDateFromTenor(E3706,"1D","Following",$C$16)</f>
        <v>48505</v>
      </c>
      <c r="F3707" s="659">
        <f ca="1"/>
        <v>2.0668456703554945E-2</v>
      </c>
      <c r="G3707" s="656">
        <v>2.0676164440847616E-2</v>
      </c>
    </row>
    <row r="3708" spans="5:7">
      <c r="E3708" s="661">
        <f ca="1">_xll.meDateFromTenor(E3707,"1D","Following",$C$16)</f>
        <v>48506</v>
      </c>
      <c r="F3708" s="659">
        <f ca="1"/>
        <v>2.0668196967303841E-2</v>
      </c>
      <c r="G3708" s="656">
        <v>2.067589289618527E-2</v>
      </c>
    </row>
    <row r="3709" spans="5:7">
      <c r="E3709" s="661">
        <f ca="1">_xll.meDateFromTenor(E3708,"1D","Following",$C$16)</f>
        <v>48507</v>
      </c>
      <c r="F3709" s="659">
        <f ca="1"/>
        <v>2.0667934576187871E-2</v>
      </c>
      <c r="G3709" s="656">
        <v>2.0675618857141604E-2</v>
      </c>
    </row>
    <row r="3710" spans="5:7">
      <c r="E3710" s="661">
        <f ca="1">_xll.meDateFromTenor(E3709,"1D","Following",$C$16)</f>
        <v>48508</v>
      </c>
      <c r="F3710" s="659">
        <f ca="1"/>
        <v>2.066766950790561E-2</v>
      </c>
      <c r="G3710" s="656">
        <v>2.0674781566105523E-2</v>
      </c>
    </row>
    <row r="3711" spans="5:7">
      <c r="E3711" s="661">
        <f ca="1">_xll.meDateFromTenor(E3710,"1D","Following",$C$16)</f>
        <v>48509</v>
      </c>
      <c r="F3711" s="659">
        <f ca="1"/>
        <v>2.0667401740155657E-2</v>
      </c>
      <c r="G3711" s="656">
        <v>2.0674497341919437E-2</v>
      </c>
    </row>
    <row r="3712" spans="5:7">
      <c r="E3712" s="661">
        <f ca="1">_xll.meDateFromTenor(E3711,"1D","Following",$C$16)</f>
        <v>48512</v>
      </c>
      <c r="F3712" s="659">
        <f ca="1"/>
        <v>2.0666582017085489E-2</v>
      </c>
      <c r="G3712" s="656">
        <v>2.0674210519543462E-2</v>
      </c>
    </row>
    <row r="3713" spans="5:7">
      <c r="E3713" s="661">
        <f ca="1">_xll.meDateFromTenor(E3712,"1D","Following",$C$16)</f>
        <v>48513</v>
      </c>
      <c r="F3713" s="659">
        <f ca="1"/>
        <v>2.0666303228450617E-2</v>
      </c>
      <c r="G3713" s="656">
        <v>2.0673921078215897E-2</v>
      </c>
    </row>
    <row r="3714" spans="5:7">
      <c r="E3714" s="661">
        <f ca="1">_xll.meDateFromTenor(E3713,"1D","Following",$C$16)</f>
        <v>48514</v>
      </c>
      <c r="F3714" s="659">
        <f ca="1"/>
        <v>2.0666021628840993E-2</v>
      </c>
      <c r="G3714" s="656">
        <v>2.0673628997175019E-2</v>
      </c>
    </row>
    <row r="3715" spans="5:7">
      <c r="E3715" s="661">
        <f ca="1">_xll.meDateFromTenor(E3714,"1D","Following",$C$16)</f>
        <v>48515</v>
      </c>
      <c r="F3715" s="659">
        <f ca="1"/>
        <v>2.0665737195955193E-2</v>
      </c>
      <c r="G3715" s="656">
        <v>2.0672736708155424E-2</v>
      </c>
    </row>
    <row r="3716" spans="5:7">
      <c r="E3716" s="661">
        <f ca="1">_xll.meDateFromTenor(E3715,"1D","Following",$C$16)</f>
        <v>48516</v>
      </c>
      <c r="F3716" s="659">
        <f ca="1"/>
        <v>2.0665449907491806E-2</v>
      </c>
      <c r="G3716" s="656">
        <v>2.0672433860644199E-2</v>
      </c>
    </row>
    <row r="3717" spans="5:7">
      <c r="E3717" s="661">
        <f ca="1">_xll.meDateFromTenor(E3716,"1D","Following",$C$16)</f>
        <v>48519</v>
      </c>
      <c r="F3717" s="659">
        <f ca="1"/>
        <v>2.0664570685622018E-2</v>
      </c>
      <c r="G3717" s="656">
        <v>2.0672128269611109E-2</v>
      </c>
    </row>
    <row r="3718" spans="5:7">
      <c r="E3718" s="661">
        <f ca="1">_xll.meDateFromTenor(E3717,"1D","Following",$C$16)</f>
        <v>48520</v>
      </c>
      <c r="F3718" s="659">
        <f ca="1"/>
        <v>2.0664271751834169E-2</v>
      </c>
      <c r="G3718" s="656">
        <v>2.067181991429444E-2</v>
      </c>
    </row>
    <row r="3719" spans="5:7">
      <c r="E3719" s="661">
        <f ca="1">_xll.meDateFromTenor(E3718,"1D","Following",$C$16)</f>
        <v>48521</v>
      </c>
      <c r="F3719" s="659">
        <f ca="1"/>
        <v>2.0663969850961666E-2</v>
      </c>
      <c r="G3719" s="656">
        <v>2.0671508773932482E-2</v>
      </c>
    </row>
    <row r="3720" spans="5:7">
      <c r="E3720" s="661">
        <f ca="1">_xll.meDateFromTenor(E3719,"1D","Following",$C$16)</f>
        <v>48522</v>
      </c>
      <c r="F3720" s="659">
        <f ca="1"/>
        <v>2.0663664960703109E-2</v>
      </c>
      <c r="G3720" s="656">
        <v>2.0670558434957746E-2</v>
      </c>
    </row>
    <row r="3721" spans="5:7">
      <c r="E3721" s="661">
        <f ca="1">_xll.meDateFromTenor(E3720,"1D","Following",$C$16)</f>
        <v>48523</v>
      </c>
      <c r="F3721" s="659">
        <f ca="1"/>
        <v>2.0663357058757076E-2</v>
      </c>
      <c r="G3721" s="656">
        <v>2.0670235946797511E-2</v>
      </c>
    </row>
    <row r="3722" spans="5:7">
      <c r="E3722" s="661">
        <f ca="1">_xll.meDateFromTenor(E3721,"1D","Following",$C$16)</f>
        <v>48526</v>
      </c>
      <c r="F3722" s="659">
        <f ca="1"/>
        <v>2.0662415059780011E-2</v>
      </c>
      <c r="G3722" s="656">
        <v>2.0669910569783428E-2</v>
      </c>
    </row>
    <row r="3723" spans="5:7">
      <c r="E3723" s="661">
        <f ca="1">_xll.meDateFromTenor(E3722,"1D","Following",$C$16)</f>
        <v>48527</v>
      </c>
      <c r="F3723" s="659">
        <f ca="1"/>
        <v>2.0662094893609491E-2</v>
      </c>
      <c r="G3723" s="656">
        <v>2.0669582288127493E-2</v>
      </c>
    </row>
    <row r="3724" spans="5:7">
      <c r="E3724" s="661">
        <f ca="1">_xll.meDateFromTenor(E3723,"1D","Following",$C$16)</f>
        <v>48528</v>
      </c>
      <c r="F3724" s="659">
        <f ca="1"/>
        <v>2.0661771637481622E-2</v>
      </c>
      <c r="G3724" s="656">
        <v>2.0669251105936533E-2</v>
      </c>
    </row>
    <row r="3725" spans="5:7">
      <c r="E3725" s="661">
        <f ca="1">_xll.meDateFromTenor(E3724,"1D","Following",$C$16)</f>
        <v>48529</v>
      </c>
      <c r="F3725" s="659">
        <f ca="1"/>
        <v>2.0661445302332191E-2</v>
      </c>
      <c r="G3725" s="656">
        <v>2.0668240246958861E-2</v>
      </c>
    </row>
    <row r="3726" spans="5:7">
      <c r="E3726" s="661">
        <f ca="1">_xll.meDateFromTenor(E3725,"1D","Following",$C$16)</f>
        <v>48530</v>
      </c>
      <c r="F3726" s="659">
        <f ca="1"/>
        <v>2.0661115899096975E-2</v>
      </c>
      <c r="G3726" s="656">
        <v>2.0667897553433161E-2</v>
      </c>
    </row>
    <row r="3727" spans="5:7">
      <c r="E3727" s="661">
        <f ca="1">_xll.meDateFromTenor(E3726,"1D","Following",$C$16)</f>
        <v>48533</v>
      </c>
      <c r="F3727" s="659">
        <f ca="1"/>
        <v>2.06601093902344E-2</v>
      </c>
      <c r="G3727" s="656">
        <v>2.066755200477511E-2</v>
      </c>
    </row>
    <row r="3728" spans="5:7">
      <c r="E3728" s="661">
        <f ca="1">_xll.meDateFromTenor(E3727,"1D","Following",$C$16)</f>
        <v>48534</v>
      </c>
      <c r="F3728" s="659">
        <f ca="1"/>
        <v>2.0659767824013839E-2</v>
      </c>
      <c r="G3728" s="656">
        <v>2.0667203610065247E-2</v>
      </c>
    </row>
    <row r="3729" spans="5:7">
      <c r="E3729" s="661">
        <f ca="1">_xll.meDateFromTenor(E3728,"1D","Following",$C$16)</f>
        <v>48535</v>
      </c>
      <c r="F3729" s="659">
        <f ca="1"/>
        <v>2.0659423244386386E-2</v>
      </c>
      <c r="G3729" s="656">
        <v>2.0666852378384115E-2</v>
      </c>
    </row>
    <row r="3730" spans="5:7">
      <c r="E3730" s="661">
        <f ca="1">_xll.meDateFromTenor(E3729,"1D","Following",$C$16)</f>
        <v>48536</v>
      </c>
      <c r="F3730" s="659">
        <f ca="1"/>
        <v>2.0659075662287817E-2</v>
      </c>
      <c r="G3730" s="656">
        <v>2.06657817523184E-2</v>
      </c>
    </row>
    <row r="3731" spans="5:7">
      <c r="E3731" s="661">
        <f ca="1">_xll.meDateFromTenor(E3730,"1D","Following",$C$16)</f>
        <v>48537</v>
      </c>
      <c r="F3731" s="659">
        <f ca="1"/>
        <v>2.0658725088653927E-2</v>
      </c>
      <c r="G3731" s="656">
        <v>2.066541926355752E-2</v>
      </c>
    </row>
    <row r="3732" spans="5:7">
      <c r="E3732" s="661">
        <f ca="1">_xll.meDateFromTenor(E3731,"1D","Following",$C$16)</f>
        <v>48540</v>
      </c>
      <c r="F3732" s="659">
        <f ca="1"/>
        <v>2.0657655527898059E-2</v>
      </c>
      <c r="G3732" s="656">
        <v>2.0665053983228036E-2</v>
      </c>
    </row>
    <row r="3733" spans="5:7">
      <c r="E3733" s="661">
        <f ca="1">_xll.meDateFromTenor(E3732,"1D","Following",$C$16)</f>
        <v>48541</v>
      </c>
      <c r="F3733" s="659">
        <f ca="1"/>
        <v>2.0657293097480642E-2</v>
      </c>
      <c r="G3733" s="656">
        <v>2.0664685920410489E-2</v>
      </c>
    </row>
    <row r="3734" spans="5:7">
      <c r="E3734" s="661">
        <f ca="1">_xll.meDateFromTenor(E3733,"1D","Following",$C$16)</f>
        <v>48542</v>
      </c>
      <c r="F3734" s="659">
        <f ca="1"/>
        <v>2.0656927730206789E-2</v>
      </c>
      <c r="G3734" s="656">
        <v>2.0664315084185418E-2</v>
      </c>
    </row>
    <row r="3735" spans="5:7">
      <c r="E3735" s="661">
        <f ca="1">_xll.meDateFromTenor(E3734,"1D","Following",$C$16)</f>
        <v>48543</v>
      </c>
      <c r="F3735" s="659">
        <f ca="1"/>
        <v>2.0656559437012285E-2</v>
      </c>
      <c r="G3735" s="656">
        <v>2.0663186025870396E-2</v>
      </c>
    </row>
    <row r="3736" spans="5:7">
      <c r="E3736" s="661">
        <f ca="1">_xll.meDateFromTenor(E3735,"1D","Following",$C$16)</f>
        <v>48544</v>
      </c>
      <c r="F3736" s="659">
        <f ca="1"/>
        <v>2.0656188228832906E-2</v>
      </c>
      <c r="G3736" s="656">
        <v>2.0662804186820569E-2</v>
      </c>
    </row>
    <row r="3737" spans="5:7">
      <c r="E3737" s="661">
        <f ca="1">_xll.meDateFromTenor(E3736,"1D","Following",$C$16)</f>
        <v>48547</v>
      </c>
      <c r="F3737" s="659">
        <f ca="1"/>
        <v>2.0655057223743323E-2</v>
      </c>
      <c r="G3737" s="656">
        <v>2.0662419619765896E-2</v>
      </c>
    </row>
    <row r="3738" spans="5:7">
      <c r="E3738" s="661">
        <f ca="1">_xll.meDateFromTenor(E3737,"1D","Following",$C$16)</f>
        <v>48548</v>
      </c>
      <c r="F3738" s="659">
        <f ca="1"/>
        <v>2.0654674464982242E-2</v>
      </c>
      <c r="G3738" s="656">
        <v>2.0662032333786905E-2</v>
      </c>
    </row>
    <row r="3739" spans="5:7">
      <c r="E3739" s="661">
        <f ca="1">_xll.meDateFromTenor(E3738,"1D","Following",$C$16)</f>
        <v>48549</v>
      </c>
      <c r="F3739" s="659">
        <f ca="1"/>
        <v>2.0654288845915188E-2</v>
      </c>
      <c r="G3739" s="656">
        <v>2.066164233796414E-2</v>
      </c>
    </row>
    <row r="3740" spans="5:7">
      <c r="E3740" s="661">
        <f ca="1">_xll.meDateFromTenor(E3739,"1D","Following",$C$16)</f>
        <v>48550</v>
      </c>
      <c r="F3740" s="659">
        <f ca="1"/>
        <v>2.0653900377477934E-2</v>
      </c>
      <c r="G3740" s="656">
        <v>2.0660456182238524E-2</v>
      </c>
    </row>
    <row r="3741" spans="5:7">
      <c r="E3741" s="661">
        <f ca="1">_xll.meDateFromTenor(E3740,"1D","Following",$C$16)</f>
        <v>48551</v>
      </c>
      <c r="F3741" s="659">
        <f ca="1"/>
        <v>2.0653509070606257E-2</v>
      </c>
      <c r="G3741" s="656">
        <v>2.0660055437845999E-2</v>
      </c>
    </row>
    <row r="3742" spans="5:7">
      <c r="E3742" s="661">
        <f ca="1">_xll.meDateFromTenor(E3741,"1D","Following",$C$16)</f>
        <v>48554</v>
      </c>
      <c r="F3742" s="659">
        <f ca="1"/>
        <v>2.0652318228742528E-2</v>
      </c>
      <c r="G3742" s="656">
        <v>2.0659652029012373E-2</v>
      </c>
    </row>
    <row r="3743" spans="5:7">
      <c r="E3743" s="661">
        <f ca="1">_xll.meDateFromTenor(E3742,"1D","Following",$C$16)</f>
        <v>48555</v>
      </c>
      <c r="F3743" s="659">
        <f ca="1"/>
        <v>2.0651915677490983E-2</v>
      </c>
      <c r="G3743" s="656">
        <v>2.0659245964818183E-2</v>
      </c>
    </row>
    <row r="3744" spans="5:7">
      <c r="E3744" s="661">
        <f ca="1">_xll.meDateFromTenor(E3743,"1D","Following",$C$16)</f>
        <v>48556</v>
      </c>
      <c r="F3744" s="659">
        <f ca="1"/>
        <v>2.0651510342483911E-2</v>
      </c>
      <c r="G3744" s="656">
        <v>2.0658837254343962E-2</v>
      </c>
    </row>
    <row r="3745" spans="5:7">
      <c r="E3745" s="661">
        <f ca="1">_xll.meDateFromTenor(E3744,"1D","Following",$C$16)</f>
        <v>48557</v>
      </c>
      <c r="F3745" s="659">
        <f ca="1"/>
        <v>2.06511022346571E-2</v>
      </c>
      <c r="G3745" s="656">
        <v>2.0657595336046476E-2</v>
      </c>
    </row>
    <row r="3746" spans="5:7">
      <c r="E3746" s="661">
        <f ca="1">_xll.meDateFromTenor(E3745,"1D","Following",$C$16)</f>
        <v>48558</v>
      </c>
      <c r="F3746" s="659">
        <f ca="1"/>
        <v>2.0650691364946325E-2</v>
      </c>
      <c r="G3746" s="656">
        <v>2.0657176131257494E-2</v>
      </c>
    </row>
    <row r="3747" spans="5:7">
      <c r="E3747" s="661">
        <f ca="1">_xll.meDateFromTenor(E3746,"1D","Following",$C$16)</f>
        <v>48561</v>
      </c>
      <c r="F3747" s="659">
        <f ca="1"/>
        <v>2.0649442293868028E-2</v>
      </c>
      <c r="G3747" s="656">
        <v>2.0656754325591158E-2</v>
      </c>
    </row>
    <row r="3748" spans="5:7">
      <c r="E3748" s="661">
        <f ca="1">_xll.meDateFromTenor(E3747,"1D","Following",$C$16)</f>
        <v>48562</v>
      </c>
      <c r="F3748" s="659">
        <f ca="1"/>
        <v>2.0649020485979198E-2</v>
      </c>
      <c r="G3748" s="656">
        <v>2.0656329928128003E-2</v>
      </c>
    </row>
    <row r="3749" spans="5:7">
      <c r="E3749" s="661">
        <f ca="1">_xll.meDateFromTenor(E3748,"1D","Following",$C$16)</f>
        <v>48563</v>
      </c>
      <c r="F3749" s="659">
        <f ca="1"/>
        <v>2.0648595970885305E-2</v>
      </c>
      <c r="G3749" s="656">
        <v>2.0655902947948571E-2</v>
      </c>
    </row>
    <row r="3750" spans="5:7">
      <c r="E3750" s="661">
        <f ca="1">_xll.meDateFromTenor(E3749,"1D","Following",$C$16)</f>
        <v>48564</v>
      </c>
      <c r="F3750" s="659">
        <f ca="1"/>
        <v>2.0648168759522131E-2</v>
      </c>
      <c r="G3750" s="656">
        <v>2.0654606601917935E-2</v>
      </c>
    </row>
    <row r="3751" spans="5:7">
      <c r="E3751" s="661">
        <f ca="1">_xll.meDateFromTenor(E3750,"1D","Following",$C$16)</f>
        <v>48565</v>
      </c>
      <c r="F3751" s="659">
        <f ca="1"/>
        <v>2.0647738862825449E-2</v>
      </c>
      <c r="G3751" s="656">
        <v>2.0654169381678734E-2</v>
      </c>
    </row>
    <row r="3752" spans="5:7">
      <c r="E3752" s="661">
        <f ca="1">_xll.meDateFromTenor(E3751,"1D","Following",$C$16)</f>
        <v>48568</v>
      </c>
      <c r="F3752" s="659">
        <f ca="1"/>
        <v>2.0646433170092151E-2</v>
      </c>
      <c r="G3752" s="656">
        <v>2.0653729624125931E-2</v>
      </c>
    </row>
    <row r="3753" spans="5:7">
      <c r="E3753" s="661">
        <f ca="1">_xll.meDateFromTenor(E3752,"1D","Following",$C$16)</f>
        <v>48569</v>
      </c>
      <c r="F3753" s="659">
        <f ca="1"/>
        <v>2.0645992641419239E-2</v>
      </c>
      <c r="G3753" s="656">
        <v>2.0653287338340053E-2</v>
      </c>
    </row>
    <row r="3754" spans="5:7">
      <c r="E3754" s="661">
        <f ca="1">_xll.meDateFromTenor(E3753,"1D","Following",$C$16)</f>
        <v>48570</v>
      </c>
      <c r="F3754" s="659">
        <f ca="1"/>
        <v>2.0645549482091713E-2</v>
      </c>
      <c r="G3754" s="656">
        <v>2.0652842533401647E-2</v>
      </c>
    </row>
    <row r="3755" spans="5:7">
      <c r="E3755" s="661">
        <f ca="1">_xll.meDateFromTenor(E3754,"1D","Following",$C$16)</f>
        <v>48571</v>
      </c>
      <c r="F3755" s="659">
        <f ca="1"/>
        <v>2.0645103703045363E-2</v>
      </c>
      <c r="G3755" s="656">
        <v>2.0651493094476593E-2</v>
      </c>
    </row>
    <row r="3756" spans="5:7">
      <c r="E3756" s="661">
        <f ca="1">_xll.meDateFromTenor(E3755,"1D","Following",$C$16)</f>
        <v>48572</v>
      </c>
      <c r="F3756" s="659">
        <f ca="1"/>
        <v>2.0644655315215959E-2</v>
      </c>
      <c r="G3756" s="656">
        <v>2.0651038303733417E-2</v>
      </c>
    </row>
    <row r="3757" spans="5:7">
      <c r="E3757" s="661">
        <f ca="1">_xll.meDateFromTenor(E3756,"1D","Following",$C$16)</f>
        <v>48575</v>
      </c>
      <c r="F3757" s="659">
        <f ca="1"/>
        <v>2.064329460838725E-2</v>
      </c>
      <c r="G3757" s="656">
        <v>2.0650581039240383E-2</v>
      </c>
    </row>
    <row r="3758" spans="5:7">
      <c r="E3758" s="661">
        <f ca="1">_xll.meDateFromTenor(E3757,"1D","Following",$C$16)</f>
        <v>48576</v>
      </c>
      <c r="F3758" s="659">
        <f ca="1"/>
        <v>2.0642835894783437E-2</v>
      </c>
      <c r="G3758" s="656">
        <v>2.0650121310078026E-2</v>
      </c>
    </row>
    <row r="3759" spans="5:7">
      <c r="E3759" s="661">
        <f ca="1">_xll.meDateFromTenor(E3758,"1D","Following",$C$16)</f>
        <v>48577</v>
      </c>
      <c r="F3759" s="659">
        <f ca="1"/>
        <v>2.0642374627075473E-2</v>
      </c>
      <c r="G3759" s="656">
        <v>2.0649659125326889E-2</v>
      </c>
    </row>
    <row r="3760" spans="5:7">
      <c r="E3760" s="661">
        <f ca="1">_xll.meDateFromTenor(E3759,"1D","Following",$C$16)</f>
        <v>48578</v>
      </c>
      <c r="F3760" s="659">
        <f ca="1"/>
        <v>2.0641910816199139E-2</v>
      </c>
      <c r="G3760" s="656">
        <v>2.0648257928346132E-2</v>
      </c>
    </row>
    <row r="3761" spans="5:7">
      <c r="E3761" s="661">
        <f ca="1">_xll.meDateFromTenor(E3760,"1D","Following",$C$16)</f>
        <v>48579</v>
      </c>
      <c r="F3761" s="659">
        <f ca="1"/>
        <v>2.0641444473090208E-2</v>
      </c>
      <c r="G3761" s="656">
        <v>2.064778601204522E-2</v>
      </c>
    </row>
    <row r="3762" spans="5:7">
      <c r="E3762" s="661">
        <f ca="1">_xll.meDateFromTenor(E3761,"1D","Following",$C$16)</f>
        <v>48582</v>
      </c>
      <c r="F3762" s="659">
        <f ca="1"/>
        <v>2.0640026454543572E-2</v>
      </c>
      <c r="G3762" s="656">
        <v>2.0647311685558195E-2</v>
      </c>
    </row>
    <row r="3763" spans="5:7">
      <c r="E3763" s="661">
        <f ca="1">_xll.meDateFromTenor(E3762,"1D","Following",$C$16)</f>
        <v>48583</v>
      </c>
      <c r="F3763" s="659">
        <f ca="1"/>
        <v>2.0639548762886806E-2</v>
      </c>
      <c r="G3763" s="656">
        <v>2.0646834957965605E-2</v>
      </c>
    </row>
    <row r="3764" spans="5:7">
      <c r="E3764" s="661">
        <f ca="1">_xll.meDateFromTenor(E3763,"1D","Following",$C$16)</f>
        <v>48584</v>
      </c>
      <c r="F3764" s="659">
        <f ca="1"/>
        <v>2.0639068580202612E-2</v>
      </c>
      <c r="G3764" s="656">
        <v>2.0646355838347979E-2</v>
      </c>
    </row>
    <row r="3765" spans="5:7">
      <c r="E3765" s="661">
        <f ca="1">_xll.meDateFromTenor(E3764,"1D","Following",$C$16)</f>
        <v>48585</v>
      </c>
      <c r="F3765" s="659">
        <f ca="1"/>
        <v>2.0638585917516897E-2</v>
      </c>
      <c r="G3765" s="656">
        <v>2.0644900211874172E-2</v>
      </c>
    </row>
    <row r="3766" spans="5:7">
      <c r="E3766" s="661">
        <f ca="1">_xll.meDateFromTenor(E3765,"1D","Following",$C$16)</f>
        <v>48586</v>
      </c>
      <c r="F3766" s="659">
        <f ca="1"/>
        <v>2.0638100785855568E-2</v>
      </c>
      <c r="G3766" s="656">
        <v>2.064441025373542E-2</v>
      </c>
    </row>
    <row r="3767" spans="5:7">
      <c r="E3767" s="661">
        <f ca="1">_xll.meDateFromTenor(E3766,"1D","Following",$C$16)</f>
        <v>48589</v>
      </c>
      <c r="F3767" s="659">
        <f ca="1"/>
        <v>2.063663068727702E-2</v>
      </c>
      <c r="G3767" s="656">
        <v>2.064391793619855E-2</v>
      </c>
    </row>
    <row r="3768" spans="5:7">
      <c r="E3768" s="661">
        <f ca="1">_xll.meDateFromTenor(E3767,"1D","Following",$C$16)</f>
        <v>48590</v>
      </c>
      <c r="F3768" s="659">
        <f ca="1"/>
        <v>2.0636135789972341E-2</v>
      </c>
      <c r="G3768" s="656">
        <v>2.0643423268418944E-2</v>
      </c>
    </row>
    <row r="3769" spans="5:7">
      <c r="E3769" s="661">
        <f ca="1">_xll.meDateFromTenor(E3768,"1D","Following",$C$16)</f>
        <v>48591</v>
      </c>
      <c r="F3769" s="659">
        <f ca="1"/>
        <v>2.0635638478821598E-2</v>
      </c>
      <c r="G3769" s="656">
        <v>2.0642926259551962E-2</v>
      </c>
    </row>
    <row r="3770" spans="5:7">
      <c r="E3770" s="661">
        <f ca="1">_xll.meDateFromTenor(E3769,"1D","Following",$C$16)</f>
        <v>48592</v>
      </c>
      <c r="F3770" s="659">
        <f ca="1"/>
        <v>2.0635138764850697E-2</v>
      </c>
      <c r="G3770" s="656">
        <v>2.0641421277980566E-2</v>
      </c>
    </row>
    <row r="3771" spans="5:7">
      <c r="E3771" s="661">
        <f ca="1">_xll.meDateFromTenor(E3770,"1D","Following",$C$16)</f>
        <v>48593</v>
      </c>
      <c r="F3771" s="659">
        <f ca="1"/>
        <v>2.0634636659085551E-2</v>
      </c>
      <c r="G3771" s="656">
        <v>2.0640914996317861E-2</v>
      </c>
    </row>
    <row r="3772" spans="5:7">
      <c r="E3772" s="661">
        <f ca="1">_xll.meDateFromTenor(E3771,"1D","Following",$C$16)</f>
        <v>48596</v>
      </c>
      <c r="F3772" s="659">
        <f ca="1"/>
        <v>2.0633116101283711E-2</v>
      </c>
      <c r="G3772" s="656">
        <v>2.0640406419344663E-2</v>
      </c>
    </row>
    <row r="3773" spans="5:7">
      <c r="E3773" s="661">
        <f ca="1">_xll.meDateFromTenor(E3772,"1D","Following",$C$16)</f>
        <v>48597</v>
      </c>
      <c r="F3773" s="659">
        <f ca="1"/>
        <v>2.0632604538600663E-2</v>
      </c>
      <c r="G3773" s="656">
        <v>2.0639895556216349E-2</v>
      </c>
    </row>
    <row r="3774" spans="5:7">
      <c r="E3774" s="661">
        <f ca="1">_xll.meDateFromTenor(E3773,"1D","Following",$C$16)</f>
        <v>48598</v>
      </c>
      <c r="F3774" s="659">
        <f ca="1"/>
        <v>2.063209063925291E-2</v>
      </c>
      <c r="G3774" s="656">
        <v>2.0639382416088287E-2</v>
      </c>
    </row>
    <row r="3775" spans="5:7">
      <c r="E3775" s="661">
        <f ca="1">_xll.meDateFromTenor(E3774,"1D","Following",$C$16)</f>
        <v>48599</v>
      </c>
      <c r="F3775" s="659">
        <f ca="1"/>
        <v>2.0631574414266367E-2</v>
      </c>
      <c r="G3775" s="656">
        <v>2.063782942525939E-2</v>
      </c>
    </row>
    <row r="3776" spans="5:7">
      <c r="E3776" s="661">
        <f ca="1">_xll.meDateFromTenor(E3775,"1D","Following",$C$16)</f>
        <v>48600</v>
      </c>
      <c r="F3776" s="659">
        <f ca="1"/>
        <v>2.0631055874666935E-2</v>
      </c>
      <c r="G3776" s="656">
        <v>2.0637307268686095E-2</v>
      </c>
    </row>
    <row r="3777" spans="5:7">
      <c r="E3777" s="661">
        <f ca="1">_xll.meDateFromTenor(E3776,"1D","Following",$C$16)</f>
        <v>48603</v>
      </c>
      <c r="F3777" s="659">
        <f ca="1"/>
        <v>2.0629486478450431E-2</v>
      </c>
      <c r="G3777" s="656">
        <v>2.0636782880889937E-2</v>
      </c>
    </row>
    <row r="3778" spans="5:7">
      <c r="E3778" s="661">
        <f ca="1">_xll.meDateFromTenor(E3777,"1D","Following",$C$16)</f>
        <v>48604</v>
      </c>
      <c r="F3778" s="659">
        <f ca="1"/>
        <v>2.0628958790658555E-2</v>
      </c>
      <c r="G3778" s="656">
        <v>2.0636256271026276E-2</v>
      </c>
    </row>
    <row r="3779" spans="5:7">
      <c r="E3779" s="661">
        <f ca="1">_xll.meDateFromTenor(E3778,"1D","Following",$C$16)</f>
        <v>48605</v>
      </c>
      <c r="F3779" s="659">
        <f ca="1"/>
        <v>2.0628428843383336E-2</v>
      </c>
      <c r="G3779" s="656">
        <v>2.0635727448250499E-2</v>
      </c>
    </row>
    <row r="3780" spans="5:7">
      <c r="E3780" s="661">
        <f ca="1">_xll.meDateFromTenor(E3779,"1D","Following",$C$16)</f>
        <v>48606</v>
      </c>
      <c r="F3780" s="659">
        <f ca="1"/>
        <v>2.0627896647650693E-2</v>
      </c>
      <c r="G3780" s="656">
        <v>2.0634127794004177E-2</v>
      </c>
    </row>
    <row r="3781" spans="5:7">
      <c r="E3781" s="661">
        <f ca="1">_xll.meDateFromTenor(E3780,"1D","Following",$C$16)</f>
        <v>48607</v>
      </c>
      <c r="F3781" s="659">
        <f ca="1"/>
        <v>2.0627362214486522E-2</v>
      </c>
      <c r="G3781" s="656">
        <v>2.0633590211133652E-2</v>
      </c>
    </row>
    <row r="3782" spans="5:7">
      <c r="E3782" s="661">
        <f ca="1">_xll.meDateFromTenor(E3781,"1D","Following",$C$16)</f>
        <v>48610</v>
      </c>
      <c r="F3782" s="659">
        <f ca="1"/>
        <v>2.0625745600663981E-2</v>
      </c>
      <c r="G3782" s="656">
        <v>2.0633050461127893E-2</v>
      </c>
    </row>
    <row r="3783" spans="5:7">
      <c r="E3783" s="661">
        <f ca="1">_xll.meDateFromTenor(E3782,"1D","Following",$C$16)</f>
        <v>48611</v>
      </c>
      <c r="F3783" s="659">
        <f ca="1"/>
        <v>2.0625202328032818E-2</v>
      </c>
      <c r="G3783" s="656">
        <v>2.0632508553142252E-2</v>
      </c>
    </row>
    <row r="3784" spans="5:7">
      <c r="E3784" s="661">
        <f ca="1">_xll.meDateFromTenor(E3783,"1D","Following",$C$16)</f>
        <v>48612</v>
      </c>
      <c r="F3784" s="659">
        <f ca="1"/>
        <v>2.0624656873099674E-2</v>
      </c>
      <c r="G3784" s="656">
        <v>2.0631964496332117E-2</v>
      </c>
    </row>
    <row r="3785" spans="5:7">
      <c r="E3785" s="661">
        <f ca="1">_xll.meDateFromTenor(E3784,"1D","Following",$C$16)</f>
        <v>48613</v>
      </c>
      <c r="F3785" s="659">
        <f ca="1"/>
        <v>2.0624109246890471E-2</v>
      </c>
      <c r="G3785" s="656">
        <v>2.0630319524508462E-2</v>
      </c>
    </row>
    <row r="3786" spans="5:7">
      <c r="E3786" s="661">
        <f ca="1">_xll.meDateFromTenor(E3785,"1D","Following",$C$16)</f>
        <v>48614</v>
      </c>
      <c r="F3786" s="659">
        <f ca="1"/>
        <v>2.0623559460431106E-2</v>
      </c>
      <c r="G3786" s="656">
        <v>2.0629766963954081E-2</v>
      </c>
    </row>
    <row r="3787" spans="5:7">
      <c r="E3787" s="661">
        <f ca="1">_xll.meDateFromTenor(E3786,"1D","Following",$C$16)</f>
        <v>48617</v>
      </c>
      <c r="F3787" s="659">
        <f ca="1"/>
        <v>2.0621897249811155E-2</v>
      </c>
      <c r="G3787" s="656">
        <v>2.0629212300352071E-2</v>
      </c>
    </row>
    <row r="3788" spans="5:7">
      <c r="E3788" s="661">
        <f ca="1">_xll.meDateFromTenor(E3787,"1D","Following",$C$16)</f>
        <v>48618</v>
      </c>
      <c r="F3788" s="659">
        <f ca="1"/>
        <v>2.0621338932610242E-2</v>
      </c>
      <c r="G3788" s="656">
        <v>2.062865554285781E-2</v>
      </c>
    </row>
    <row r="3789" spans="5:7">
      <c r="E3789" s="661">
        <f ca="1">_xll.meDateFromTenor(E3788,"1D","Following",$C$16)</f>
        <v>48619</v>
      </c>
      <c r="F3789" s="659">
        <f ca="1"/>
        <v>2.0620778510288727E-2</v>
      </c>
      <c r="G3789" s="656">
        <v>2.0628096700626677E-2</v>
      </c>
    </row>
    <row r="3790" spans="5:7">
      <c r="E3790" s="661">
        <f ca="1">_xll.meDateFromTenor(E3789,"1D","Following",$C$16)</f>
        <v>48620</v>
      </c>
      <c r="F3790" s="659">
        <f ca="1"/>
        <v>2.0620215993872499E-2</v>
      </c>
      <c r="G3790" s="656">
        <v>2.0626407757065774E-2</v>
      </c>
    </row>
    <row r="3791" spans="5:7">
      <c r="E3791" s="661">
        <f ca="1">_xll.meDateFromTenor(E3790,"1D","Following",$C$16)</f>
        <v>48621</v>
      </c>
      <c r="F3791" s="659">
        <f ca="1"/>
        <v>2.061965139438748E-2</v>
      </c>
      <c r="G3791" s="656">
        <v>2.062584066744089E-2</v>
      </c>
    </row>
    <row r="3792" spans="5:7">
      <c r="E3792" s="661">
        <f ca="1">_xll.meDateFromTenor(E3791,"1D","Following",$C$16)</f>
        <v>48624</v>
      </c>
      <c r="F3792" s="659">
        <f ca="1"/>
        <v>2.0617945207778737E-2</v>
      </c>
      <c r="G3792" s="656">
        <v>2.0625271538855999E-2</v>
      </c>
    </row>
    <row r="3793" spans="5:7">
      <c r="E3793" s="661">
        <f ca="1">_xll.meDateFromTenor(E3792,"1D","Following",$C$16)</f>
        <v>48625</v>
      </c>
      <c r="F3793" s="659">
        <f ca="1"/>
        <v>2.061737238627763E-2</v>
      </c>
      <c r="G3793" s="656">
        <v>2.0624700380466484E-2</v>
      </c>
    </row>
    <row r="3794" spans="5:7">
      <c r="E3794" s="661">
        <f ca="1">_xll.meDateFromTenor(E3793,"1D","Following",$C$16)</f>
        <v>48626</v>
      </c>
      <c r="F3794" s="659">
        <f ca="1"/>
        <v>2.0616797536837268E-2</v>
      </c>
      <c r="G3794" s="656">
        <v>2.0624127201427721E-2</v>
      </c>
    </row>
    <row r="3795" spans="5:7">
      <c r="E3795" s="661">
        <f ca="1">_xll.meDateFromTenor(E3794,"1D","Following",$C$16)</f>
        <v>48627</v>
      </c>
      <c r="F3795" s="659">
        <f ca="1"/>
        <v>2.0616220670483573E-2</v>
      </c>
      <c r="G3795" s="656">
        <v>2.0622395631969655E-2</v>
      </c>
    </row>
    <row r="3796" spans="5:7">
      <c r="E3796" s="661">
        <f ca="1">_xll.meDateFromTenor(E3795,"1D","Following",$C$16)</f>
        <v>48628</v>
      </c>
      <c r="F3796" s="659">
        <f ca="1"/>
        <v>2.0615641798242434E-2</v>
      </c>
      <c r="G3796" s="656">
        <v>2.0621814461887621E-2</v>
      </c>
    </row>
    <row r="3797" spans="5:7">
      <c r="E3797" s="661">
        <f ca="1">_xll.meDateFromTenor(E3796,"1D","Following",$C$16)</f>
        <v>48631</v>
      </c>
      <c r="F3797" s="659">
        <f ca="1"/>
        <v>2.061389325645353E-2</v>
      </c>
      <c r="G3797" s="656">
        <v>2.0621231316933216E-2</v>
      </c>
    </row>
    <row r="3798" spans="5:7">
      <c r="E3798" s="661">
        <f ca="1">_xll.meDateFromTenor(E3797,"1D","Following",$C$16)</f>
        <v>48632</v>
      </c>
      <c r="F3798" s="659">
        <f ca="1"/>
        <v>2.0613306470921765E-2</v>
      </c>
      <c r="G3798" s="656">
        <v>2.0620646206261809E-2</v>
      </c>
    </row>
    <row r="3799" spans="5:7">
      <c r="E3799" s="661">
        <f ca="1">_xll.meDateFromTenor(E3798,"1D","Following",$C$16)</f>
        <v>48633</v>
      </c>
      <c r="F3799" s="659">
        <f ca="1"/>
        <v>2.0612717734632108E-2</v>
      </c>
      <c r="G3799" s="656">
        <v>2.0620059139028774E-2</v>
      </c>
    </row>
    <row r="3800" spans="5:7">
      <c r="E3800" s="661">
        <f ca="1">_xll.meDateFromTenor(E3799,"1D","Following",$C$16)</f>
        <v>48634</v>
      </c>
      <c r="F3800" s="659">
        <f ca="1"/>
        <v>2.0612127058610472E-2</v>
      </c>
      <c r="G3800" s="656">
        <v>2.0618286289513631E-2</v>
      </c>
    </row>
    <row r="3801" spans="5:7">
      <c r="E3801" s="661">
        <f ca="1">_xll.meDateFromTenor(E3800,"1D","Following",$C$16)</f>
        <v>48635</v>
      </c>
      <c r="F3801" s="659">
        <f ca="1"/>
        <v>2.0611534453882762E-2</v>
      </c>
      <c r="G3801" s="656">
        <v>2.0617691487587821E-2</v>
      </c>
    </row>
    <row r="3802" spans="5:7">
      <c r="E3802" s="661">
        <f ca="1">_xll.meDateFromTenor(E3801,"1D","Following",$C$16)</f>
        <v>48638</v>
      </c>
      <c r="F3802" s="659">
        <f ca="1"/>
        <v>2.0609745177722325E-2</v>
      </c>
      <c r="G3802" s="656">
        <v>2.0617094774877259E-2</v>
      </c>
    </row>
    <row r="3803" spans="5:7">
      <c r="E3803" s="661">
        <f ca="1">_xll.meDateFromTenor(E3802,"1D","Following",$C$16)</f>
        <v>48639</v>
      </c>
      <c r="F3803" s="659">
        <f ca="1"/>
        <v>2.060914496842944E-2</v>
      </c>
      <c r="G3803" s="656">
        <v>2.0616496160537318E-2</v>
      </c>
    </row>
    <row r="3804" spans="5:7">
      <c r="E3804" s="661">
        <f ca="1">_xll.meDateFromTenor(E3803,"1D","Following",$C$16)</f>
        <v>48640</v>
      </c>
      <c r="F3804" s="659">
        <f ca="1"/>
        <v>2.0608542885560022E-2</v>
      </c>
      <c r="G3804" s="656">
        <v>2.0615895653723366E-2</v>
      </c>
    </row>
    <row r="3805" spans="5:7">
      <c r="E3805" s="661">
        <f ca="1">_xll.meDateFromTenor(E3804,"1D","Following",$C$16)</f>
        <v>48641</v>
      </c>
      <c r="F3805" s="659">
        <f ca="1"/>
        <v>2.0607938940139996E-2</v>
      </c>
      <c r="G3805" s="656">
        <v>2.0614082869991234E-2</v>
      </c>
    </row>
    <row r="3806" spans="5:7">
      <c r="E3806" s="661">
        <f ca="1">_xll.meDateFromTenor(E3805,"1D","Following",$C$16)</f>
        <v>48642</v>
      </c>
      <c r="F3806" s="659">
        <f ca="1"/>
        <v>2.0607333143195263E-2</v>
      </c>
      <c r="G3806" s="656">
        <v>2.0613474884835014E-2</v>
      </c>
    </row>
    <row r="3807" spans="5:7">
      <c r="E3807" s="661">
        <f ca="1">_xll.meDateFromTenor(E3806,"1D","Following",$C$16)</f>
        <v>48645</v>
      </c>
      <c r="F3807" s="659">
        <f ca="1"/>
        <v>2.0605504753471917E-2</v>
      </c>
      <c r="G3807" s="656">
        <v>2.0612865052981651E-2</v>
      </c>
    </row>
    <row r="3808" spans="5:7">
      <c r="E3808" s="661">
        <f ca="1">_xll.meDateFromTenor(E3807,"1D","Following",$C$16)</f>
        <v>48646</v>
      </c>
      <c r="F3808" s="659">
        <f ca="1"/>
        <v>2.0604891660687453E-2</v>
      </c>
      <c r="G3808" s="656">
        <v>2.0612253383586542E-2</v>
      </c>
    </row>
    <row r="3809" spans="5:7">
      <c r="E3809" s="661">
        <f ca="1">_xll.meDateFromTenor(E3808,"1D","Following",$C$16)</f>
        <v>48647</v>
      </c>
      <c r="F3809" s="659">
        <f ca="1"/>
        <v>2.0604276771507821E-2</v>
      </c>
      <c r="G3809" s="656">
        <v>2.0611639885805045E-2</v>
      </c>
    </row>
    <row r="3810" spans="5:7">
      <c r="E3810" s="661">
        <f ca="1">_xll.meDateFromTenor(E3809,"1D","Following",$C$16)</f>
        <v>48648</v>
      </c>
      <c r="F3810" s="659">
        <f ca="1"/>
        <v>2.0603660096958947E-2</v>
      </c>
      <c r="G3810" s="656">
        <v>2.0609788513696006E-2</v>
      </c>
    </row>
    <row r="3811" spans="5:7">
      <c r="E3811" s="661">
        <f ca="1">_xll.meDateFromTenor(E3810,"1D","Following",$C$16)</f>
        <v>48649</v>
      </c>
      <c r="F3811" s="659">
        <f ca="1"/>
        <v>2.0603041648066724E-2</v>
      </c>
      <c r="G3811" s="656">
        <v>2.0609167793922724E-2</v>
      </c>
    </row>
    <row r="3812" spans="5:7">
      <c r="E3812" s="661">
        <f ca="1">_xll.meDateFromTenor(E3811,"1D","Following",$C$16)</f>
        <v>48652</v>
      </c>
      <c r="F3812" s="659">
        <f ca="1"/>
        <v>2.0601175765589098E-2</v>
      </c>
      <c r="G3812" s="656">
        <v>2.0608545291539937E-2</v>
      </c>
    </row>
    <row r="3813" spans="5:7">
      <c r="E3813" s="661">
        <f ca="1">_xll.meDateFromTenor(E3812,"1D","Following",$C$16)</f>
        <v>48653</v>
      </c>
      <c r="F3813" s="659">
        <f ca="1"/>
        <v>2.0600550329582593E-2</v>
      </c>
      <c r="G3813" s="656">
        <v>2.0607921015703013E-2</v>
      </c>
    </row>
    <row r="3814" spans="5:7">
      <c r="E3814" s="661">
        <f ca="1">_xll.meDateFromTenor(E3813,"1D","Following",$C$16)</f>
        <v>48654</v>
      </c>
      <c r="F3814" s="659">
        <f ca="1"/>
        <v>2.0599923174362295E-2</v>
      </c>
      <c r="G3814" s="656">
        <v>2.0607294975567327E-2</v>
      </c>
    </row>
    <row r="3815" spans="5:7">
      <c r="E3815" s="661">
        <f ca="1">_xll.meDateFromTenor(E3814,"1D","Following",$C$16)</f>
        <v>48655</v>
      </c>
      <c r="F3815" s="659">
        <f ca="1"/>
        <v>2.0599294310954107E-2</v>
      </c>
      <c r="G3815" s="656">
        <v>2.0605406360921473E-2</v>
      </c>
    </row>
    <row r="3816" spans="5:7">
      <c r="E3816" s="661">
        <f ca="1">_xll.meDateFromTenor(E3815,"1D","Following",$C$16)</f>
        <v>48656</v>
      </c>
      <c r="F3816" s="659">
        <f ca="1"/>
        <v>2.0598663750383946E-2</v>
      </c>
      <c r="G3816" s="656">
        <v>2.0604773355144497E-2</v>
      </c>
    </row>
    <row r="3817" spans="5:7">
      <c r="E3817" s="661">
        <f ca="1">_xll.meDateFromTenor(E3816,"1D","Following",$C$16)</f>
        <v>48659</v>
      </c>
      <c r="F3817" s="659">
        <f ca="1"/>
        <v>2.0596761995960656E-2</v>
      </c>
      <c r="G3817" s="656">
        <v>2.0604138630845637E-2</v>
      </c>
    </row>
    <row r="3818" spans="5:7">
      <c r="E3818" s="661">
        <f ca="1">_xll.meDateFromTenor(E3817,"1D","Following",$C$16)</f>
        <v>48660</v>
      </c>
      <c r="F3818" s="659">
        <f ca="1"/>
        <v>2.0596124757001663E-2</v>
      </c>
      <c r="G3818" s="656">
        <v>2.0603502197180268E-2</v>
      </c>
    </row>
    <row r="3819" spans="5:7">
      <c r="E3819" s="661">
        <f ca="1">_xll.meDateFromTenor(E3818,"1D","Following",$C$16)</f>
        <v>48661</v>
      </c>
      <c r="F3819" s="659">
        <f ca="1"/>
        <v>2.0595485876010237E-2</v>
      </c>
      <c r="G3819" s="656">
        <v>2.060286406330376E-2</v>
      </c>
    </row>
    <row r="3820" spans="5:7">
      <c r="E3820" s="661">
        <f ca="1">_xll.meDateFromTenor(E3819,"1D","Following",$C$16)</f>
        <v>48662</v>
      </c>
      <c r="F3820" s="659">
        <f ca="1"/>
        <v>2.0594845364012283E-2</v>
      </c>
      <c r="G3820" s="656">
        <v>2.0600939551961166E-2</v>
      </c>
    </row>
    <row r="3821" spans="5:7">
      <c r="E3821" s="661">
        <f ca="1">_xll.meDateFromTenor(E3820,"1D","Following",$C$16)</f>
        <v>48663</v>
      </c>
      <c r="F3821" s="659">
        <f ca="1"/>
        <v>2.0594203232033714E-2</v>
      </c>
      <c r="G3821" s="656">
        <v>2.0600294708793859E-2</v>
      </c>
    </row>
    <row r="3822" spans="5:7">
      <c r="E3822" s="661">
        <f ca="1">_xll.meDateFromTenor(E3821,"1D","Following",$C$16)</f>
        <v>48666</v>
      </c>
      <c r="F3822" s="659">
        <f ca="1"/>
        <v>2.0592267226473396E-2</v>
      </c>
      <c r="G3822" s="656">
        <v>2.0599648211192291E-2</v>
      </c>
    </row>
    <row r="3823" spans="5:7">
      <c r="E3823" s="661">
        <f ca="1">_xll.meDateFromTenor(E3822,"1D","Following",$C$16)</f>
        <v>48667</v>
      </c>
      <c r="F3823" s="659">
        <f ca="1"/>
        <v>2.0591618724831447E-2</v>
      </c>
      <c r="G3823" s="656">
        <v>2.0599000068311835E-2</v>
      </c>
    </row>
    <row r="3824" spans="5:7">
      <c r="E3824" s="661">
        <f ca="1">_xll.meDateFromTenor(E3823,"1D","Following",$C$16)</f>
        <v>48668</v>
      </c>
      <c r="F3824" s="659">
        <f ca="1"/>
        <v>2.0590968658338434E-2</v>
      </c>
      <c r="G3824" s="656">
        <v>2.0598350289307867E-2</v>
      </c>
    </row>
    <row r="3825" spans="5:7">
      <c r="E3825" s="661">
        <f ca="1">_xll.meDateFromTenor(E3824,"1D","Following",$C$16)</f>
        <v>48669</v>
      </c>
      <c r="F3825" s="659">
        <f ca="1"/>
        <v>2.0590317038020254E-2</v>
      </c>
      <c r="G3825" s="656">
        <v>2.0596391227108626E-2</v>
      </c>
    </row>
    <row r="3826" spans="5:7">
      <c r="E3826" s="661">
        <f ca="1">_xll.meDateFromTenor(E3825,"1D","Following",$C$16)</f>
        <v>48670</v>
      </c>
      <c r="F3826" s="659">
        <f ca="1"/>
        <v>2.0589663874902821E-2</v>
      </c>
      <c r="G3826" s="656">
        <v>2.0595734995164351E-2</v>
      </c>
    </row>
    <row r="3827" spans="5:7">
      <c r="E3827" s="661">
        <f ca="1">_xll.meDateFromTenor(E3826,"1D","Following",$C$16)</f>
        <v>48673</v>
      </c>
      <c r="F3827" s="659">
        <f ca="1"/>
        <v>2.0587695239014103E-2</v>
      </c>
      <c r="G3827" s="656">
        <v>2.0595077172873434E-2</v>
      </c>
    </row>
    <row r="3828" spans="5:7">
      <c r="E3828" s="661">
        <f ca="1">_xll.meDateFromTenor(E3827,"1D","Following",$C$16)</f>
        <v>48674</v>
      </c>
      <c r="F3828" s="659">
        <f ca="1"/>
        <v>2.0587036014958746E-2</v>
      </c>
      <c r="G3828" s="656">
        <v>2.0594417769391256E-2</v>
      </c>
    </row>
    <row r="3829" spans="5:7">
      <c r="E3829" s="661">
        <f ca="1">_xll.meDateFromTenor(E3828,"1D","Following",$C$16)</f>
        <v>48675</v>
      </c>
      <c r="F3829" s="659">
        <f ca="1"/>
        <v>2.0586375303233682E-2</v>
      </c>
      <c r="G3829" s="656">
        <v>2.0593756793873187E-2</v>
      </c>
    </row>
    <row r="3830" spans="5:7">
      <c r="E3830" s="661">
        <f ca="1">_xll.meDateFromTenor(E3829,"1D","Following",$C$16)</f>
        <v>48676</v>
      </c>
      <c r="F3830" s="659">
        <f ca="1"/>
        <v>2.0585713114864821E-2</v>
      </c>
      <c r="G3830" s="656">
        <v>2.0591764526657379E-2</v>
      </c>
    </row>
    <row r="3831" spans="5:7">
      <c r="E3831" s="661">
        <f ca="1">_xll.meDateFromTenor(E3830,"1D","Following",$C$16)</f>
        <v>48677</v>
      </c>
      <c r="F3831" s="659">
        <f ca="1"/>
        <v>2.0585049460878069E-2</v>
      </c>
      <c r="G3831" s="656">
        <v>2.0591097354549497E-2</v>
      </c>
    </row>
    <row r="3832" spans="5:7">
      <c r="E3832" s="661">
        <f ca="1">_xll.meDateFromTenor(E3831,"1D","Following",$C$16)</f>
        <v>48680</v>
      </c>
      <c r="F3832" s="659">
        <f ca="1"/>
        <v>2.0583049815469566E-2</v>
      </c>
      <c r="G3832" s="656">
        <v>2.0590428656182599E-2</v>
      </c>
    </row>
    <row r="3833" spans="5:7">
      <c r="E3833" s="661">
        <f ca="1">_xll.meDateFromTenor(E3832,"1D","Following",$C$16)</f>
        <v>48681</v>
      </c>
      <c r="F3833" s="659">
        <f ca="1"/>
        <v>2.0582380409270344E-2</v>
      </c>
      <c r="G3833" s="656">
        <v>2.0589758440712057E-2</v>
      </c>
    </row>
    <row r="3834" spans="5:7">
      <c r="E3834" s="661">
        <f ca="1">_xll.meDateFromTenor(E3833,"1D","Following",$C$16)</f>
        <v>48682</v>
      </c>
      <c r="F3834" s="659">
        <f ca="1"/>
        <v>2.0581709592582782E-2</v>
      </c>
      <c r="G3834" s="656">
        <v>2.0589086717293249E-2</v>
      </c>
    </row>
    <row r="3835" spans="5:7">
      <c r="E3835" s="661">
        <f ca="1">_xll.meDateFromTenor(E3834,"1D","Following",$C$16)</f>
        <v>48683</v>
      </c>
      <c r="F3835" s="659">
        <f ca="1"/>
        <v>2.0581037376432774E-2</v>
      </c>
      <c r="G3835" s="656">
        <v>2.0587062590900967E-2</v>
      </c>
    </row>
    <row r="3836" spans="5:7">
      <c r="E3836" s="661">
        <f ca="1">_xll.meDateFromTenor(E3835,"1D","Following",$C$16)</f>
        <v>48688</v>
      </c>
      <c r="F3836" s="659">
        <f ca="1"/>
        <v>2.0577655689653043E-2</v>
      </c>
      <c r="G3836" s="656">
        <v>2.0586384927242837E-2</v>
      </c>
    </row>
    <row r="3837" spans="5:7">
      <c r="E3837" s="661">
        <f ca="1">_xll.meDateFromTenor(E3836,"1D","Following",$C$16)</f>
        <v>48689</v>
      </c>
      <c r="F3837" s="659">
        <f ca="1"/>
        <v>2.0576975308272509E-2</v>
      </c>
      <c r="G3837" s="656">
        <v>2.0585705801413317E-2</v>
      </c>
    </row>
    <row r="3838" spans="5:7">
      <c r="E3838" s="661">
        <f ca="1">_xll.meDateFromTenor(E3837,"1D","Following",$C$16)</f>
        <v>48690</v>
      </c>
      <c r="F3838" s="659">
        <f ca="1"/>
        <v>2.0576293604610912E-2</v>
      </c>
      <c r="G3838" s="656">
        <v>2.0585025222567773E-2</v>
      </c>
    </row>
    <row r="3839" spans="5:7">
      <c r="E3839" s="661">
        <f ca="1">_xll.meDateFromTenor(E3838,"1D","Following",$C$16)</f>
        <v>48691</v>
      </c>
      <c r="F3839" s="659">
        <f ca="1"/>
        <v>2.0575610589694145E-2</v>
      </c>
      <c r="G3839" s="656">
        <v>2.0581600853537899E-2</v>
      </c>
    </row>
    <row r="3840" spans="5:7">
      <c r="E3840" s="661">
        <f ca="1">_xll.meDateFromTenor(E3839,"1D","Following",$C$16)</f>
        <v>48694</v>
      </c>
      <c r="F3840" s="659">
        <f ca="1"/>
        <v>2.0573553787671957E-2</v>
      </c>
      <c r="G3840" s="656">
        <v>2.0580911748859114E-2</v>
      </c>
    </row>
    <row r="3841" spans="5:7">
      <c r="E3841" s="661">
        <f ca="1">_xll.meDateFromTenor(E3840,"1D","Following",$C$16)</f>
        <v>48695</v>
      </c>
      <c r="F3841" s="659">
        <f ca="1"/>
        <v>2.0572865637993629E-2</v>
      </c>
      <c r="G3841" s="656">
        <v>2.0580221255251937E-2</v>
      </c>
    </row>
    <row r="3842" spans="5:7">
      <c r="E3842" s="661">
        <f ca="1">_xll.meDateFromTenor(E3841,"1D","Following",$C$16)</f>
        <v>48696</v>
      </c>
      <c r="F3842" s="659">
        <f ca="1"/>
        <v>2.0572176232189682E-2</v>
      </c>
      <c r="G3842" s="656">
        <v>2.0579529381871735E-2</v>
      </c>
    </row>
    <row r="3843" spans="5:7">
      <c r="E3843" s="661">
        <f ca="1">_xll.meDateFromTenor(E3842,"1D","Following",$C$16)</f>
        <v>48697</v>
      </c>
      <c r="F3843" s="659">
        <f ca="1"/>
        <v>2.0571485581286023E-2</v>
      </c>
      <c r="G3843" s="656">
        <v>2.0577445574646757E-2</v>
      </c>
    </row>
    <row r="3844" spans="5:7">
      <c r="E3844" s="661">
        <f ca="1">_xll.meDateFromTenor(E3843,"1D","Following",$C$16)</f>
        <v>48698</v>
      </c>
      <c r="F3844" s="659">
        <f ca="1"/>
        <v>2.057079369630856E-2</v>
      </c>
      <c r="G3844" s="656">
        <v>2.0576748273728223E-2</v>
      </c>
    </row>
    <row r="3845" spans="5:7">
      <c r="E3845" s="661">
        <f ca="1">_xll.meDateFromTenor(E3844,"1D","Following",$C$16)</f>
        <v>48701</v>
      </c>
      <c r="F3845" s="659">
        <f ca="1"/>
        <v>2.0568710747192472E-2</v>
      </c>
      <c r="G3845" s="656">
        <v>2.0576049638813543E-2</v>
      </c>
    </row>
    <row r="3846" spans="5:7">
      <c r="E3846" s="661">
        <f ca="1">_xll.meDateFromTenor(E3845,"1D","Following",$C$16)</f>
        <v>48702</v>
      </c>
      <c r="F3846" s="659">
        <f ca="1"/>
        <v>2.0568014036178903E-2</v>
      </c>
      <c r="G3846" s="656">
        <v>2.0575349679058084E-2</v>
      </c>
    </row>
    <row r="3847" spans="5:7">
      <c r="E3847" s="661">
        <f ca="1">_xll.meDateFromTenor(E3846,"1D","Following",$C$16)</f>
        <v>48703</v>
      </c>
      <c r="F3847" s="659">
        <f ca="1"/>
        <v>2.0567316146221072E-2</v>
      </c>
      <c r="G3847" s="656">
        <v>2.0574648403617231E-2</v>
      </c>
    </row>
    <row r="3848" spans="5:7">
      <c r="E3848" s="661">
        <f ca="1">_xll.meDateFromTenor(E3847,"1D","Following",$C$16)</f>
        <v>48704</v>
      </c>
      <c r="F3848" s="659">
        <f ca="1"/>
        <v>2.0566617088344903E-2</v>
      </c>
      <c r="G3848" s="656">
        <v>2.0572536774736035E-2</v>
      </c>
    </row>
    <row r="3849" spans="5:7">
      <c r="E3849" s="661">
        <f ca="1">_xll.meDateFromTenor(E3848,"1D","Following",$C$16)</f>
        <v>48705</v>
      </c>
      <c r="F3849" s="659">
        <f ca="1"/>
        <v>2.0565916873576288E-2</v>
      </c>
      <c r="G3849" s="656">
        <v>2.0571830328107336E-2</v>
      </c>
    </row>
    <row r="3850" spans="5:7">
      <c r="E3850" s="661">
        <f ca="1">_xll.meDateFromTenor(E3849,"1D","Following",$C$16)</f>
        <v>48708</v>
      </c>
      <c r="F3850" s="659">
        <f ca="1"/>
        <v>2.0563809398174922E-2</v>
      </c>
      <c r="G3850" s="656">
        <v>2.0571122610829655E-2</v>
      </c>
    </row>
    <row r="3851" spans="5:7">
      <c r="E3851" s="661">
        <f ca="1">_xll.meDateFromTenor(E3850,"1D","Following",$C$16)</f>
        <v>48709</v>
      </c>
      <c r="F3851" s="659">
        <f ca="1"/>
        <v>2.0563104664863625E-2</v>
      </c>
      <c r="G3851" s="656">
        <v>2.057041362835605E-2</v>
      </c>
    </row>
    <row r="3852" spans="5:7">
      <c r="E3852" s="661">
        <f ca="1">_xll.meDateFromTenor(E3851,"1D","Following",$C$16)</f>
        <v>48710</v>
      </c>
      <c r="F3852" s="659">
        <f ca="1"/>
        <v>2.0562398822397264E-2</v>
      </c>
      <c r="G3852" s="656">
        <v>2.0569703385399134E-2</v>
      </c>
    </row>
    <row r="3853" spans="5:7">
      <c r="E3853" s="661">
        <f ca="1">_xll.meDateFromTenor(E3852,"1D","Following",$C$16)</f>
        <v>48711</v>
      </c>
      <c r="F3853" s="659">
        <f ca="1"/>
        <v>2.0561691874409579E-2</v>
      </c>
      <c r="G3853" s="656">
        <v>2.0567565140754515E-2</v>
      </c>
    </row>
    <row r="3854" spans="5:7">
      <c r="E3854" s="661">
        <f ca="1">_xll.meDateFromTenor(E3853,"1D","Following",$C$16)</f>
        <v>48712</v>
      </c>
      <c r="F3854" s="659">
        <f ca="1"/>
        <v>2.0560983824534314E-2</v>
      </c>
      <c r="G3854" s="656">
        <v>2.0566849902990365E-2</v>
      </c>
    </row>
    <row r="3855" spans="5:7">
      <c r="E3855" s="661">
        <f ca="1">_xll.meDateFromTenor(E3854,"1D","Following",$C$16)</f>
        <v>48715</v>
      </c>
      <c r="F3855" s="659">
        <f ca="1"/>
        <v>2.0558853099920421E-2</v>
      </c>
      <c r="G3855" s="656">
        <v>2.0566133428305922E-2</v>
      </c>
    </row>
    <row r="3856" spans="5:7">
      <c r="E3856" s="661">
        <f ca="1">_xll.meDateFromTenor(E3855,"1D","Following",$C$16)</f>
        <v>48716</v>
      </c>
      <c r="F3856" s="659">
        <f ca="1"/>
        <v>2.0558140678832219E-2</v>
      </c>
      <c r="G3856" s="656">
        <v>2.0565415721413783E-2</v>
      </c>
    </row>
    <row r="3857" spans="5:7">
      <c r="E3857" s="661">
        <f ca="1">_xll.meDateFromTenor(E3856,"1D","Following",$C$16)</f>
        <v>48717</v>
      </c>
      <c r="F3857" s="659">
        <f ca="1"/>
        <v>2.0557427174025138E-2</v>
      </c>
      <c r="G3857" s="656">
        <v>2.0564696787026559E-2</v>
      </c>
    </row>
    <row r="3858" spans="5:7">
      <c r="E3858" s="661">
        <f ca="1">_xll.meDateFromTenor(E3857,"1D","Following",$C$16)</f>
        <v>48718</v>
      </c>
      <c r="F3858" s="659">
        <f ca="1"/>
        <v>2.055671258913291E-2</v>
      </c>
      <c r="G3858" s="656">
        <v>2.0562532666020369E-2</v>
      </c>
    </row>
    <row r="3859" spans="5:7">
      <c r="E3859" s="661">
        <f ca="1">_xll.meDateFromTenor(E3858,"1D","Following",$C$16)</f>
        <v>48719</v>
      </c>
      <c r="F3859" s="659">
        <f ca="1"/>
        <v>2.0555996927789272E-2</v>
      </c>
      <c r="G3859" s="656">
        <v>2.0561808868778814E-2</v>
      </c>
    </row>
    <row r="3860" spans="5:7">
      <c r="E3860" s="661">
        <f ca="1">_xll.meDateFromTenor(E3859,"1D","Following",$C$16)</f>
        <v>48722</v>
      </c>
      <c r="F3860" s="659">
        <f ca="1"/>
        <v>2.0553843521387342E-2</v>
      </c>
      <c r="G3860" s="656">
        <v>2.056108386760519E-2</v>
      </c>
    </row>
    <row r="3861" spans="5:7">
      <c r="E3861" s="661">
        <f ca="1">_xll.meDateFromTenor(E3860,"1D","Following",$C$16)</f>
        <v>48723</v>
      </c>
      <c r="F3861" s="659">
        <f ca="1"/>
        <v>2.0553123590575487E-2</v>
      </c>
      <c r="G3861" s="656">
        <v>2.0560357667212103E-2</v>
      </c>
    </row>
    <row r="3862" spans="5:7">
      <c r="E3862" s="661">
        <f ca="1">_xll.meDateFromTenor(E3861,"1D","Following",$C$16)</f>
        <v>48724</v>
      </c>
      <c r="F3862" s="659">
        <f ca="1"/>
        <v>2.0552402601480925E-2</v>
      </c>
      <c r="G3862" s="656">
        <v>2.0559630272312147E-2</v>
      </c>
    </row>
    <row r="3863" spans="5:7">
      <c r="E3863" s="661">
        <f ca="1">_xll.meDateFromTenor(E3862,"1D","Following",$C$16)</f>
        <v>48725</v>
      </c>
      <c r="F3863" s="659">
        <f ca="1"/>
        <v>2.0551680557737394E-2</v>
      </c>
      <c r="G3863" s="656">
        <v>2.0557440967697148E-2</v>
      </c>
    </row>
    <row r="3864" spans="5:7">
      <c r="E3864" s="661">
        <f ca="1">_xll.meDateFromTenor(E3863,"1D","Following",$C$16)</f>
        <v>48726</v>
      </c>
      <c r="F3864" s="659">
        <f ca="1"/>
        <v>2.0550957462978636E-2</v>
      </c>
      <c r="G3864" s="656">
        <v>2.0556708841895772E-2</v>
      </c>
    </row>
    <row r="3865" spans="5:7">
      <c r="E3865" s="661">
        <f ca="1">_xll.meDateFromTenor(E3864,"1D","Following",$C$16)</f>
        <v>48729</v>
      </c>
      <c r="F3865" s="659">
        <f ca="1"/>
        <v>2.0548781908948394E-2</v>
      </c>
      <c r="G3865" s="656">
        <v>2.0555975545150557E-2</v>
      </c>
    </row>
    <row r="3866" spans="5:7">
      <c r="E3866" s="661">
        <f ca="1">_xll.meDateFromTenor(E3865,"1D","Following",$C$16)</f>
        <v>48730</v>
      </c>
      <c r="F3866" s="659">
        <f ca="1"/>
        <v>2.0548054646466123E-2</v>
      </c>
      <c r="G3866" s="656">
        <v>2.0555241082174099E-2</v>
      </c>
    </row>
    <row r="3867" spans="5:7">
      <c r="E3867" s="661">
        <f ca="1">_xll.meDateFromTenor(E3866,"1D","Following",$C$16)</f>
        <v>48731</v>
      </c>
      <c r="F3867" s="659">
        <f ca="1"/>
        <v>2.0547326351137325E-2</v>
      </c>
      <c r="G3867" s="656">
        <v>2.055450545767901E-2</v>
      </c>
    </row>
    <row r="3868" spans="5:7">
      <c r="E3868" s="661">
        <f ca="1">_xll.meDateFromTenor(E3867,"1D","Following",$C$16)</f>
        <v>48732</v>
      </c>
      <c r="F3868" s="659">
        <f ca="1"/>
        <v>2.0546597026595736E-2</v>
      </c>
      <c r="G3868" s="656">
        <v>2.0552291662207942E-2</v>
      </c>
    </row>
    <row r="3869" spans="5:7">
      <c r="E3869" s="661">
        <f ca="1">_xll.meDateFromTenor(E3868,"1D","Following",$C$16)</f>
        <v>48733</v>
      </c>
      <c r="F3869" s="659">
        <f ca="1"/>
        <v>2.0545866676475094E-2</v>
      </c>
      <c r="G3869" s="656">
        <v>2.0551551438764339E-2</v>
      </c>
    </row>
    <row r="3870" spans="5:7">
      <c r="E3870" s="661">
        <f ca="1">_xll.meDateFromTenor(E3869,"1D","Following",$C$16)</f>
        <v>48736</v>
      </c>
      <c r="F3870" s="659">
        <f ca="1"/>
        <v>2.0543669508976271E-2</v>
      </c>
      <c r="G3870" s="656">
        <v>2.0550810077365114E-2</v>
      </c>
    </row>
    <row r="3871" spans="5:7">
      <c r="E3871" s="661">
        <f ca="1">_xll.meDateFromTenor(E3870,"1D","Following",$C$16)</f>
        <v>48737</v>
      </c>
      <c r="F3871" s="659">
        <f ca="1"/>
        <v>2.0542935092876826E-2</v>
      </c>
      <c r="G3871" s="656">
        <v>2.0550067582722879E-2</v>
      </c>
    </row>
    <row r="3872" spans="5:7">
      <c r="E3872" s="661">
        <f ca="1">_xll.meDateFromTenor(E3871,"1D","Following",$C$16)</f>
        <v>48738</v>
      </c>
      <c r="F3872" s="659">
        <f ca="1"/>
        <v>2.0542199669367035E-2</v>
      </c>
      <c r="G3872" s="656">
        <v>2.0549323959550229E-2</v>
      </c>
    </row>
    <row r="3873" spans="5:7">
      <c r="E3873" s="661">
        <f ca="1">_xll.meDateFromTenor(E3872,"1D","Following",$C$16)</f>
        <v>48739</v>
      </c>
      <c r="F3873" s="659">
        <f ca="1"/>
        <v>2.0541463242080626E-2</v>
      </c>
      <c r="G3873" s="656">
        <v>2.0547086365975849E-2</v>
      </c>
    </row>
    <row r="3874" spans="5:7">
      <c r="E3874" s="661">
        <f ca="1">_xll.meDateFromTenor(E3873,"1D","Following",$C$16)</f>
        <v>48740</v>
      </c>
      <c r="F3874" s="659">
        <f ca="1"/>
        <v>2.0540725814651349E-2</v>
      </c>
      <c r="G3874" s="656">
        <v>2.0546338275807596E-2</v>
      </c>
    </row>
    <row r="3875" spans="5:7">
      <c r="E3875" s="661">
        <f ca="1">_xll.meDateFromTenor(E3874,"1D","Following",$C$16)</f>
        <v>48743</v>
      </c>
      <c r="F3875" s="659">
        <f ca="1"/>
        <v>2.0538507567843665E-2</v>
      </c>
      <c r="G3875" s="656">
        <v>2.0545589080671948E-2</v>
      </c>
    </row>
    <row r="3876" spans="5:7">
      <c r="E3876" s="661">
        <f ca="1">_xll.meDateFromTenor(E3875,"1D","Following",$C$16)</f>
        <v>48744</v>
      </c>
      <c r="F3876" s="659">
        <f ca="1"/>
        <v>2.0537766176180295E-2</v>
      </c>
      <c r="G3876" s="656">
        <v>2.0544838785281513E-2</v>
      </c>
    </row>
    <row r="3877" spans="5:7">
      <c r="E3877" s="661">
        <f ca="1">_xll.meDateFromTenor(E3876,"1D","Following",$C$16)</f>
        <v>48745</v>
      </c>
      <c r="F3877" s="659">
        <f ca="1"/>
        <v>2.0537023802542749E-2</v>
      </c>
      <c r="G3877" s="656">
        <v>2.0544087394348896E-2</v>
      </c>
    </row>
    <row r="3878" spans="5:7">
      <c r="E3878" s="661">
        <f ca="1">_xll.meDateFromTenor(E3877,"1D","Following",$C$16)</f>
        <v>48746</v>
      </c>
      <c r="F3878" s="659">
        <f ca="1"/>
        <v>2.0536280450564767E-2</v>
      </c>
      <c r="G3878" s="656">
        <v>2.0541826695423968E-2</v>
      </c>
    </row>
    <row r="3879" spans="5:7">
      <c r="E3879" s="661">
        <f ca="1">_xll.meDateFromTenor(E3878,"1D","Following",$C$16)</f>
        <v>48747</v>
      </c>
      <c r="F3879" s="659">
        <f ca="1"/>
        <v>2.053553612388009E-2</v>
      </c>
      <c r="G3879" s="656">
        <v>2.0541070969448641E-2</v>
      </c>
    </row>
    <row r="3880" spans="5:7">
      <c r="E3880" s="661">
        <f ca="1">_xll.meDateFromTenor(E3879,"1D","Following",$C$16)</f>
        <v>48750</v>
      </c>
      <c r="F3880" s="659">
        <f ca="1"/>
        <v>2.0533297331923286E-2</v>
      </c>
      <c r="G3880" s="656">
        <v>2.054031417149416E-2</v>
      </c>
    </row>
    <row r="3881" spans="5:7">
      <c r="E3881" s="661">
        <f ca="1">_xll.meDateFromTenor(E3880,"1D","Following",$C$16)</f>
        <v>48751</v>
      </c>
      <c r="F3881" s="659">
        <f ca="1"/>
        <v>2.053254914274923E-2</v>
      </c>
      <c r="G3881" s="656">
        <v>2.0539556306273108E-2</v>
      </c>
    </row>
    <row r="3882" spans="5:7">
      <c r="E3882" s="661">
        <f ca="1">_xll.meDateFromTenor(E3881,"1D","Following",$C$16)</f>
        <v>48752</v>
      </c>
      <c r="F3882" s="659">
        <f ca="1"/>
        <v>2.0531799997037171E-2</v>
      </c>
      <c r="G3882" s="656">
        <v>2.0538797378498105E-2</v>
      </c>
    </row>
    <row r="3883" spans="5:7">
      <c r="E3883" s="661">
        <f ca="1">_xll.meDateFromTenor(E3882,"1D","Following",$C$16)</f>
        <v>48753</v>
      </c>
      <c r="F3883" s="659">
        <f ca="1"/>
        <v>2.0531049898420861E-2</v>
      </c>
      <c r="G3883" s="656">
        <v>2.0536514266975378E-2</v>
      </c>
    </row>
    <row r="3884" spans="5:7">
      <c r="E3884" s="661">
        <f ca="1">_xll.meDateFromTenor(E3883,"1D","Following",$C$16)</f>
        <v>48754</v>
      </c>
      <c r="F3884" s="659">
        <f ca="1"/>
        <v>2.0530298850534028E-2</v>
      </c>
      <c r="G3884" s="656">
        <v>2.0535751136110576E-2</v>
      </c>
    </row>
    <row r="3885" spans="5:7">
      <c r="E3885" s="661">
        <f ca="1">_xll.meDateFromTenor(E3884,"1D","Following",$C$16)</f>
        <v>48757</v>
      </c>
      <c r="F3885" s="659">
        <f ca="1"/>
        <v>2.052804004758783E-2</v>
      </c>
      <c r="G3885" s="656">
        <v>2.0534986966254838E-2</v>
      </c>
    </row>
    <row r="3886" spans="5:7">
      <c r="E3886" s="661">
        <f ca="1">_xll.meDateFromTenor(E3885,"1D","Following",$C$16)</f>
        <v>48758</v>
      </c>
      <c r="F3886" s="659">
        <f ca="1"/>
        <v>2.0527285238956326E-2</v>
      </c>
      <c r="G3886" s="656">
        <v>2.0534221762120757E-2</v>
      </c>
    </row>
    <row r="3887" spans="5:7">
      <c r="E3887" s="661">
        <f ca="1">_xll.meDateFromTenor(E3886,"1D","Following",$C$16)</f>
        <v>48759</v>
      </c>
      <c r="F3887" s="659">
        <f ca="1"/>
        <v>2.0526529499223005E-2</v>
      </c>
      <c r="G3887" s="656">
        <v>2.0533455528420952E-2</v>
      </c>
    </row>
    <row r="3888" spans="5:7">
      <c r="E3888" s="661">
        <f ca="1">_xll.meDateFromTenor(E3887,"1D","Following",$C$16)</f>
        <v>48760</v>
      </c>
      <c r="F3888" s="659">
        <f ca="1"/>
        <v>2.0525772832021599E-2</v>
      </c>
      <c r="G3888" s="656">
        <v>2.0531150697053177E-2</v>
      </c>
    </row>
    <row r="3889" spans="5:7">
      <c r="E3889" s="661">
        <f ca="1">_xll.meDateFromTenor(E3888,"1D","Following",$C$16)</f>
        <v>48761</v>
      </c>
      <c r="F3889" s="659">
        <f ca="1"/>
        <v>2.0525015240985857E-2</v>
      </c>
      <c r="G3889" s="656">
        <v>2.0530380392216486E-2</v>
      </c>
    </row>
    <row r="3890" spans="5:7">
      <c r="E3890" s="661">
        <f ca="1">_xll.meDateFromTenor(E3889,"1D","Following",$C$16)</f>
        <v>48764</v>
      </c>
      <c r="F3890" s="659">
        <f ca="1"/>
        <v>2.0522736961209983E-2</v>
      </c>
      <c r="G3890" s="656">
        <v>2.0529609081377069E-2</v>
      </c>
    </row>
    <row r="3891" spans="5:7">
      <c r="E3891" s="661">
        <f ca="1">_xll.meDateFromTenor(E3890,"1D","Following",$C$16)</f>
        <v>48765</v>
      </c>
      <c r="F3891" s="659">
        <f ca="1"/>
        <v>2.0521975711174281E-2</v>
      </c>
      <c r="G3891" s="656">
        <v>2.0528836769247553E-2</v>
      </c>
    </row>
    <row r="3892" spans="5:7">
      <c r="E3892" s="661">
        <f ca="1">_xll.meDateFromTenor(E3891,"1D","Following",$C$16)</f>
        <v>48766</v>
      </c>
      <c r="F3892" s="659">
        <f ca="1"/>
        <v>2.0521213555472931E-2</v>
      </c>
      <c r="G3892" s="656">
        <v>2.0528063460540528E-2</v>
      </c>
    </row>
    <row r="3893" spans="5:7">
      <c r="E3893" s="661">
        <f ca="1">_xll.meDateFromTenor(E3892,"1D","Following",$C$16)</f>
        <v>48767</v>
      </c>
      <c r="F3893" s="659">
        <f ca="1"/>
        <v>2.0520450497739685E-2</v>
      </c>
      <c r="G3893" s="656">
        <v>2.0525737602080468E-2</v>
      </c>
    </row>
    <row r="3894" spans="5:7">
      <c r="E3894" s="661">
        <f ca="1">_xll.meDateFromTenor(E3893,"1D","Following",$C$16)</f>
        <v>48768</v>
      </c>
      <c r="F3894" s="659">
        <f ca="1"/>
        <v>2.0519686541608274E-2</v>
      </c>
      <c r="G3894" s="656">
        <v>2.0524960354189457E-2</v>
      </c>
    </row>
    <row r="3895" spans="5:7">
      <c r="E3895" s="661">
        <f ca="1">_xll.meDateFromTenor(E3894,"1D","Following",$C$16)</f>
        <v>48771</v>
      </c>
      <c r="F3895" s="659">
        <f ca="1"/>
        <v>2.0517389319162461E-2</v>
      </c>
      <c r="G3895" s="656">
        <v>2.0524182133283962E-2</v>
      </c>
    </row>
    <row r="3896" spans="5:7">
      <c r="E3896" s="661">
        <f ca="1">_xll.meDateFromTenor(E3895,"1D","Following",$C$16)</f>
        <v>48772</v>
      </c>
      <c r="F3896" s="659">
        <f ca="1"/>
        <v>2.0516621805775796E-2</v>
      </c>
      <c r="G3896" s="656">
        <v>2.0523402944076587E-2</v>
      </c>
    </row>
    <row r="3897" spans="5:7">
      <c r="E3897" s="661">
        <f ca="1">_xll.meDateFromTenor(E3896,"1D","Following",$C$16)</f>
        <v>48773</v>
      </c>
      <c r="F3897" s="659">
        <f ca="1"/>
        <v>2.0515853412159668E-2</v>
      </c>
      <c r="G3897" s="656">
        <v>2.0522622791279931E-2</v>
      </c>
    </row>
    <row r="3898" spans="5:7">
      <c r="E3898" s="661">
        <f ca="1">_xll.meDateFromTenor(E3897,"1D","Following",$C$16)</f>
        <v>48774</v>
      </c>
      <c r="F3898" s="659">
        <f ca="1"/>
        <v>2.0515084141947817E-2</v>
      </c>
      <c r="G3898" s="656">
        <v>2.0520276598480328E-2</v>
      </c>
    </row>
    <row r="3899" spans="5:7">
      <c r="E3899" s="661">
        <f ca="1">_xll.meDateFromTenor(E3898,"1D","Following",$C$16)</f>
        <v>48775</v>
      </c>
      <c r="F3899" s="659">
        <f ca="1"/>
        <v>2.0514313998773976E-2</v>
      </c>
      <c r="G3899" s="656">
        <v>2.0519492638452593E-2</v>
      </c>
    </row>
    <row r="3900" spans="5:7">
      <c r="E3900" s="661">
        <f ca="1">_xll.meDateFromTenor(E3899,"1D","Following",$C$16)</f>
        <v>48778</v>
      </c>
      <c r="F3900" s="659">
        <f ca="1"/>
        <v>2.051199836781795E-2</v>
      </c>
      <c r="G3900" s="656">
        <v>2.0518707738398603E-2</v>
      </c>
    </row>
    <row r="3901" spans="5:7">
      <c r="E3901" s="661">
        <f ca="1">_xll.meDateFromTenor(E3900,"1D","Following",$C$16)</f>
        <v>48779</v>
      </c>
      <c r="F3901" s="659">
        <f ca="1"/>
        <v>2.0511224769133571E-2</v>
      </c>
      <c r="G3901" s="656">
        <v>2.0517921903030947E-2</v>
      </c>
    </row>
    <row r="3902" spans="5:7">
      <c r="E3902" s="661">
        <f ca="1">_xll.meDateFromTenor(E3901,"1D","Following",$C$16)</f>
        <v>48780</v>
      </c>
      <c r="F3902" s="659">
        <f ca="1"/>
        <v>2.0510450315655904E-2</v>
      </c>
      <c r="G3902" s="656">
        <v>2.0517135137062246E-2</v>
      </c>
    </row>
    <row r="3903" spans="5:7">
      <c r="E3903" s="661">
        <f ca="1">_xll.meDateFromTenor(E3902,"1D","Following",$C$16)</f>
        <v>48781</v>
      </c>
      <c r="F3903" s="659">
        <f ca="1"/>
        <v>2.0509675011018691E-2</v>
      </c>
      <c r="G3903" s="656">
        <v>2.0514769302675859E-2</v>
      </c>
    </row>
    <row r="3904" spans="5:7">
      <c r="E3904" s="661">
        <f ca="1">_xll.meDateFromTenor(E3903,"1D","Following",$C$16)</f>
        <v>48782</v>
      </c>
      <c r="F3904" s="659">
        <f ca="1"/>
        <v>2.0508898858855668E-2</v>
      </c>
      <c r="G3904" s="656">
        <v>2.0513978861428986E-2</v>
      </c>
    </row>
    <row r="3905" spans="5:7">
      <c r="E3905" s="661">
        <f ca="1">_xll.meDateFromTenor(E3904,"1D","Following",$C$16)</f>
        <v>48785</v>
      </c>
      <c r="F3905" s="659">
        <f ca="1"/>
        <v>2.0506565353549153E-2</v>
      </c>
      <c r="G3905" s="656">
        <v>2.0513187513144071E-2</v>
      </c>
    </row>
    <row r="3906" spans="5:7">
      <c r="E3906" s="661">
        <f ca="1">_xll.meDateFromTenor(E3905,"1D","Following",$C$16)</f>
        <v>48786</v>
      </c>
      <c r="F3906" s="659">
        <f ca="1"/>
        <v>2.0505785847620302E-2</v>
      </c>
      <c r="G3906" s="656">
        <v>2.0512395262533737E-2</v>
      </c>
    </row>
    <row r="3907" spans="5:7">
      <c r="E3907" s="661">
        <f ca="1">_xll.meDateFromTenor(E3906,"1D","Following",$C$16)</f>
        <v>48787</v>
      </c>
      <c r="F3907" s="659">
        <f ca="1"/>
        <v>2.0505005512334334E-2</v>
      </c>
      <c r="G3907" s="656">
        <v>2.0511602114310568E-2</v>
      </c>
    </row>
    <row r="3908" spans="5:7">
      <c r="E3908" s="661">
        <f ca="1">_xll.meDateFromTenor(E3907,"1D","Following",$C$16)</f>
        <v>48788</v>
      </c>
      <c r="F3908" s="659">
        <f ca="1"/>
        <v>2.0504224351325002E-2</v>
      </c>
      <c r="G3908" s="656">
        <v>2.0509217331090158E-2</v>
      </c>
    </row>
    <row r="3909" spans="5:7">
      <c r="E3909" s="661">
        <f ca="1">_xll.meDateFromTenor(E3908,"1D","Following",$C$16)</f>
        <v>48789</v>
      </c>
      <c r="F3909" s="659">
        <f ca="1"/>
        <v>2.050344236822604E-2</v>
      </c>
      <c r="G3909" s="656">
        <v>2.0508420639541721E-2</v>
      </c>
    </row>
    <row r="3910" spans="5:7">
      <c r="E3910" s="661">
        <f ca="1">_xll.meDateFromTenor(E3909,"1D","Following",$C$16)</f>
        <v>48792</v>
      </c>
      <c r="F3910" s="659">
        <f ca="1"/>
        <v>2.0501091522728769E-2</v>
      </c>
      <c r="G3910" s="656">
        <v>2.0507623073943482E-2</v>
      </c>
    </row>
    <row r="3911" spans="5:7">
      <c r="E3911" s="661">
        <f ca="1">_xll.meDateFromTenor(E3910,"1D","Following",$C$16)</f>
        <v>48793</v>
      </c>
      <c r="F3911" s="659">
        <f ca="1"/>
        <v>2.0500306287608683E-2</v>
      </c>
      <c r="G3911" s="656">
        <v>2.0506824639008037E-2</v>
      </c>
    </row>
    <row r="3912" spans="5:7">
      <c r="E3912" s="661">
        <f ca="1">_xll.meDateFromTenor(E3911,"1D","Following",$C$16)</f>
        <v>48794</v>
      </c>
      <c r="F3912" s="659">
        <f ca="1"/>
        <v>2.0499520248567667E-2</v>
      </c>
      <c r="G3912" s="656">
        <v>2.0506025339447998E-2</v>
      </c>
    </row>
    <row r="3913" spans="5:7">
      <c r="E3913" s="661">
        <f ca="1">_xll.meDateFromTenor(E3912,"1D","Following",$C$16)</f>
        <v>48795</v>
      </c>
      <c r="F3913" s="659">
        <f ca="1"/>
        <v>2.0498733409239456E-2</v>
      </c>
      <c r="G3913" s="656">
        <v>2.0503622300146306E-2</v>
      </c>
    </row>
    <row r="3914" spans="5:7">
      <c r="E3914" s="661">
        <f ca="1">_xll.meDateFromTenor(E3913,"1D","Following",$C$16)</f>
        <v>48796</v>
      </c>
      <c r="F3914" s="659">
        <f ca="1"/>
        <v>2.0497945773257795E-2</v>
      </c>
      <c r="G3914" s="656">
        <v>2.0502819589213902E-2</v>
      </c>
    </row>
    <row r="3915" spans="5:7">
      <c r="E3915" s="661">
        <f ca="1">_xll.meDateFromTenor(E3914,"1D","Following",$C$16)</f>
        <v>48799</v>
      </c>
      <c r="F3915" s="659">
        <f ca="1"/>
        <v>2.0495578121729491E-2</v>
      </c>
      <c r="G3915" s="656">
        <v>2.0502016037219919E-2</v>
      </c>
    </row>
    <row r="3916" spans="5:7">
      <c r="E3916" s="661">
        <f ca="1">_xll.meDateFromTenor(E3915,"1D","Following",$C$16)</f>
        <v>48800</v>
      </c>
      <c r="F3916" s="659">
        <f ca="1"/>
        <v>2.0494787335471418E-2</v>
      </c>
      <c r="G3916" s="656">
        <v>2.0501211648876951E-2</v>
      </c>
    </row>
    <row r="3917" spans="5:7">
      <c r="E3917" s="661">
        <f ca="1">_xll.meDateFromTenor(E3916,"1D","Following",$C$16)</f>
        <v>48801</v>
      </c>
      <c r="F3917" s="659">
        <f ca="1"/>
        <v>2.0493995770728593E-2</v>
      </c>
      <c r="G3917" s="656">
        <v>2.0500406428897618E-2</v>
      </c>
    </row>
    <row r="3918" spans="5:7">
      <c r="E3918" s="661">
        <f ca="1">_xll.meDateFromTenor(E3917,"1D","Following",$C$16)</f>
        <v>48802</v>
      </c>
      <c r="F3918" s="659">
        <f ca="1"/>
        <v>2.0493203431134751E-2</v>
      </c>
      <c r="G3918" s="656">
        <v>2.0497985826267405E-2</v>
      </c>
    </row>
    <row r="3919" spans="5:7">
      <c r="E3919" s="661">
        <f ca="1">_xll.meDateFromTenor(E3918,"1D","Following",$C$16)</f>
        <v>48803</v>
      </c>
      <c r="F3919" s="659">
        <f ca="1"/>
        <v>2.0492410320323635E-2</v>
      </c>
      <c r="G3919" s="656">
        <v>2.049717732686861E-2</v>
      </c>
    </row>
    <row r="3920" spans="5:7">
      <c r="E3920" s="661">
        <f ca="1">_xll.meDateFromTenor(E3919,"1D","Following",$C$16)</f>
        <v>48806</v>
      </c>
      <c r="F3920" s="659">
        <f ca="1"/>
        <v>2.0490026396924023E-2</v>
      </c>
      <c r="G3920" s="656">
        <v>2.0496368019396468E-2</v>
      </c>
    </row>
    <row r="3921" spans="5:7">
      <c r="E3921" s="661">
        <f ca="1">_xll.meDateFromTenor(E3920,"1D","Following",$C$16)</f>
        <v>48807</v>
      </c>
      <c r="F3921" s="659">
        <f ca="1"/>
        <v>2.0489230237581205E-2</v>
      </c>
      <c r="G3921" s="656">
        <v>2.0495557908563569E-2</v>
      </c>
    </row>
    <row r="3922" spans="5:7">
      <c r="E3922" s="661">
        <f ca="1">_xll.meDateFromTenor(E3921,"1D","Following",$C$16)</f>
        <v>48808</v>
      </c>
      <c r="F3922" s="659">
        <f ca="1"/>
        <v>2.0488433325189809E-2</v>
      </c>
      <c r="G3922" s="656">
        <v>2.0494746999082526E-2</v>
      </c>
    </row>
    <row r="3923" spans="5:7">
      <c r="E3923" s="661">
        <f ca="1">_xll.meDateFromTenor(E3922,"1D","Following",$C$16)</f>
        <v>48809</v>
      </c>
      <c r="F3923" s="659">
        <f ca="1"/>
        <v>2.0487635663383578E-2</v>
      </c>
      <c r="G3923" s="656">
        <v>2.0492309525876547E-2</v>
      </c>
    </row>
    <row r="3924" spans="5:7">
      <c r="E3924" s="661">
        <f ca="1">_xll.meDateFromTenor(E3923,"1D","Following",$C$16)</f>
        <v>48810</v>
      </c>
      <c r="F3924" s="659">
        <f ca="1"/>
        <v>2.0486837255796246E-2</v>
      </c>
      <c r="G3924" s="656">
        <v>2.0491495468928953E-2</v>
      </c>
    </row>
    <row r="3925" spans="5:7">
      <c r="E3925" s="661">
        <f ca="1">_xll.meDateFromTenor(E3924,"1D","Following",$C$16)</f>
        <v>48813</v>
      </c>
      <c r="F3925" s="659">
        <f ca="1"/>
        <v>2.048443759468507E-2</v>
      </c>
      <c r="G3925" s="656">
        <v>2.0490680636896227E-2</v>
      </c>
    </row>
    <row r="3926" spans="5:7">
      <c r="E3926" s="661">
        <f ca="1">_xll.meDateFromTenor(E3925,"1D","Following",$C$16)</f>
        <v>48814</v>
      </c>
      <c r="F3926" s="659">
        <f ca="1"/>
        <v>2.0483636240310743E-2</v>
      </c>
      <c r="G3926" s="656">
        <v>2.0489865034490982E-2</v>
      </c>
    </row>
    <row r="3927" spans="5:7">
      <c r="E3927" s="661">
        <f ca="1">_xll.meDateFromTenor(E3926,"1D","Following",$C$16)</f>
        <v>48815</v>
      </c>
      <c r="F3927" s="659">
        <f ca="1"/>
        <v>2.0482834158324022E-2</v>
      </c>
      <c r="G3927" s="656">
        <v>2.048904866642581E-2</v>
      </c>
    </row>
    <row r="3928" spans="5:7">
      <c r="E3928" s="661">
        <f ca="1">_xll.meDateFromTenor(E3927,"1D","Following",$C$16)</f>
        <v>48816</v>
      </c>
      <c r="F3928" s="659">
        <f ca="1"/>
        <v>2.048203135235864E-2</v>
      </c>
      <c r="G3928" s="656">
        <v>2.0486595015396823E-2</v>
      </c>
    </row>
    <row r="3929" spans="5:7">
      <c r="E3929" s="661">
        <f ca="1">_xll.meDateFromTenor(E3928,"1D","Following",$C$16)</f>
        <v>48817</v>
      </c>
      <c r="F3929" s="659">
        <f ca="1"/>
        <v>2.0481227826048339E-2</v>
      </c>
      <c r="G3929" s="656">
        <v>2.0485775631818009E-2</v>
      </c>
    </row>
    <row r="3930" spans="5:7">
      <c r="E3930" s="661">
        <f ca="1">_xll.meDateFromTenor(E3929,"1D","Following",$C$16)</f>
        <v>48820</v>
      </c>
      <c r="F3930" s="659">
        <f ca="1"/>
        <v>2.0478812961385314E-2</v>
      </c>
      <c r="G3930" s="656">
        <v>2.0484955506142294E-2</v>
      </c>
    </row>
    <row r="3931" spans="5:7">
      <c r="E3931" s="661">
        <f ca="1">_xll.meDateFromTenor(E3930,"1D","Following",$C$16)</f>
        <v>48821</v>
      </c>
      <c r="F3931" s="659">
        <f ca="1"/>
        <v>2.0478006590032731E-2</v>
      </c>
      <c r="G3931" s="656">
        <v>2.0484134643082279E-2</v>
      </c>
    </row>
    <row r="3932" spans="5:7">
      <c r="E3932" s="661">
        <f ca="1">_xll.meDateFromTenor(E3931,"1D","Following",$C$16)</f>
        <v>48822</v>
      </c>
      <c r="F3932" s="659">
        <f ca="1"/>
        <v>2.0477199516503924E-2</v>
      </c>
      <c r="G3932" s="656">
        <v>2.0483313047350574E-2</v>
      </c>
    </row>
    <row r="3933" spans="5:7">
      <c r="E3933" s="661">
        <f ca="1">_xll.meDateFromTenor(E3932,"1D","Following",$C$16)</f>
        <v>48823</v>
      </c>
      <c r="F3933" s="659">
        <f ca="1"/>
        <v>2.0476391744432641E-2</v>
      </c>
      <c r="G3933" s="656">
        <v>2.0480843911251326E-2</v>
      </c>
    </row>
    <row r="3934" spans="5:7">
      <c r="E3934" s="661">
        <f ca="1">_xll.meDateFromTenor(E3933,"1D","Following",$C$16)</f>
        <v>48824</v>
      </c>
      <c r="F3934" s="659">
        <f ca="1"/>
        <v>2.0475583277452608E-2</v>
      </c>
      <c r="G3934" s="656">
        <v>2.048001943195888E-2</v>
      </c>
    </row>
    <row r="3935" spans="5:7">
      <c r="E3935" s="661">
        <f ca="1">_xll.meDateFromTenor(E3934,"1D","Following",$C$16)</f>
        <v>48827</v>
      </c>
      <c r="F3935" s="659">
        <f ca="1"/>
        <v>2.0473153743397463E-2</v>
      </c>
      <c r="G3935" s="656">
        <v>2.0479194243557756E-2</v>
      </c>
    </row>
    <row r="3936" spans="5:7">
      <c r="E3936" s="661">
        <f ca="1">_xll.meDateFromTenor(E3935,"1D","Following",$C$16)</f>
        <v>48828</v>
      </c>
      <c r="F3936" s="659">
        <f ca="1"/>
        <v>2.0472342533119858E-2</v>
      </c>
      <c r="G3936" s="656">
        <v>2.0478368350760563E-2</v>
      </c>
    </row>
    <row r="3937" spans="5:7">
      <c r="E3937" s="661">
        <f ca="1">_xll.meDateFromTenor(E3936,"1D","Following",$C$16)</f>
        <v>48829</v>
      </c>
      <c r="F3937" s="659">
        <f ca="1"/>
        <v>2.0471530646102215E-2</v>
      </c>
      <c r="G3937" s="656">
        <v>2.0477541758279903E-2</v>
      </c>
    </row>
    <row r="3938" spans="5:7">
      <c r="E3938" s="661">
        <f ca="1">_xll.meDateFromTenor(E3937,"1D","Following",$C$16)</f>
        <v>48830</v>
      </c>
      <c r="F3938" s="659">
        <f ca="1"/>
        <v>2.0470718085978265E-2</v>
      </c>
      <c r="G3938" s="656">
        <v>2.0475057829863148E-2</v>
      </c>
    </row>
    <row r="3939" spans="5:7">
      <c r="E3939" s="661">
        <f ca="1">_xll.meDateFromTenor(E3938,"1D","Following",$C$16)</f>
        <v>48831</v>
      </c>
      <c r="F3939" s="659">
        <f ca="1"/>
        <v>2.0469904856381751E-2</v>
      </c>
      <c r="G3939" s="656">
        <v>2.0474228485774657E-2</v>
      </c>
    </row>
    <row r="3940" spans="5:7">
      <c r="E3940" s="661">
        <f ca="1">_xll.meDateFromTenor(E3939,"1D","Following",$C$16)</f>
        <v>48834</v>
      </c>
      <c r="F3940" s="659">
        <f ca="1"/>
        <v>2.0467461187094214E-2</v>
      </c>
      <c r="G3940" s="656">
        <v>2.0473398465565711E-2</v>
      </c>
    </row>
    <row r="3941" spans="5:7">
      <c r="E3941" s="661">
        <f ca="1">_xll.meDateFromTenor(E3940,"1D","Following",$C$16)</f>
        <v>48835</v>
      </c>
      <c r="F3941" s="659">
        <f ca="1"/>
        <v>2.0466645315944838E-2</v>
      </c>
      <c r="G3941" s="656">
        <v>2.0472567773948919E-2</v>
      </c>
    </row>
    <row r="3942" spans="5:7">
      <c r="E3942" s="661">
        <f ca="1">_xll.meDateFromTenor(E3941,"1D","Following",$C$16)</f>
        <v>48836</v>
      </c>
      <c r="F3942" s="659">
        <f ca="1"/>
        <v>2.0465828793491597E-2</v>
      </c>
      <c r="G3942" s="656">
        <v>2.0471736415636887E-2</v>
      </c>
    </row>
    <row r="3943" spans="5:7">
      <c r="E3943" s="661">
        <f ca="1">_xll.meDateFromTenor(E3942,"1D","Following",$C$16)</f>
        <v>48837</v>
      </c>
      <c r="F3943" s="659">
        <f ca="1"/>
        <v>2.0465011623368223E-2</v>
      </c>
      <c r="G3943" s="656">
        <v>2.0469238387655384E-2</v>
      </c>
    </row>
    <row r="3944" spans="5:7">
      <c r="E3944" s="661">
        <f ca="1">_xll.meDateFromTenor(E3943,"1D","Following",$C$16)</f>
        <v>48838</v>
      </c>
      <c r="F3944" s="659">
        <f ca="1"/>
        <v>2.046419380920847E-2</v>
      </c>
      <c r="G3944" s="656">
        <v>2.0468404409688428E-2</v>
      </c>
    </row>
    <row r="3945" spans="5:7">
      <c r="E3945" s="661">
        <f ca="1">_xll.meDateFromTenor(E3944,"1D","Following",$C$16)</f>
        <v>48841</v>
      </c>
      <c r="F3945" s="659">
        <f ca="1"/>
        <v>2.0461736538848266E-2</v>
      </c>
      <c r="G3945" s="656">
        <v>2.0467569788589251E-2</v>
      </c>
    </row>
    <row r="3946" spans="5:7">
      <c r="E3946" s="661">
        <f ca="1">_xll.meDateFromTenor(E3945,"1D","Following",$C$16)</f>
        <v>48842</v>
      </c>
      <c r="F3946" s="659">
        <f ca="1"/>
        <v>2.0460916184880357E-2</v>
      </c>
      <c r="G3946" s="656">
        <v>2.0466734529070444E-2</v>
      </c>
    </row>
    <row r="3947" spans="5:7">
      <c r="E3947" s="661">
        <f ca="1">_xll.meDateFromTenor(E3946,"1D","Following",$C$16)</f>
        <v>48843</v>
      </c>
      <c r="F3947" s="659">
        <f ca="1"/>
        <v>2.046009520504476E-2</v>
      </c>
      <c r="G3947" s="656">
        <v>2.046589863584463E-2</v>
      </c>
    </row>
    <row r="3948" spans="5:7">
      <c r="E3948" s="661">
        <f ca="1">_xll.meDateFromTenor(E3947,"1D","Following",$C$16)</f>
        <v>48844</v>
      </c>
      <c r="F3948" s="659">
        <f ca="1"/>
        <v>2.0459273602975208E-2</v>
      </c>
      <c r="G3948" s="656">
        <v>2.046338720105113E-2</v>
      </c>
    </row>
    <row r="3949" spans="5:7">
      <c r="E3949" s="661">
        <f ca="1">_xll.meDateFromTenor(E3948,"1D","Following",$C$16)</f>
        <v>48845</v>
      </c>
      <c r="F3949" s="659">
        <f ca="1"/>
        <v>2.0458451382305457E-2</v>
      </c>
      <c r="G3949" s="656">
        <v>2.0462548820123293E-2</v>
      </c>
    </row>
    <row r="3950" spans="5:7">
      <c r="E3950" s="661">
        <f ca="1">_xll.meDateFromTenor(E3949,"1D","Following",$C$16)</f>
        <v>48848</v>
      </c>
      <c r="F3950" s="659">
        <f ca="1"/>
        <v>2.045598104503232E-2</v>
      </c>
      <c r="G3950" s="656">
        <v>2.0461709829051461E-2</v>
      </c>
    </row>
    <row r="3951" spans="5:7">
      <c r="E3951" s="661">
        <f ca="1">_xll.meDateFromTenor(E3950,"1D","Following",$C$16)</f>
        <v>48849</v>
      </c>
      <c r="F3951" s="659">
        <f ca="1"/>
        <v>2.045515638629912E-2</v>
      </c>
      <c r="G3951" s="656">
        <v>2.0460870232548233E-2</v>
      </c>
    </row>
    <row r="3952" spans="5:7">
      <c r="E3952" s="661">
        <f ca="1">_xll.meDateFromTenor(E3951,"1D","Following",$C$16)</f>
        <v>48850</v>
      </c>
      <c r="F3952" s="659">
        <f ca="1"/>
        <v>2.045433112713441E-2</v>
      </c>
      <c r="G3952" s="656">
        <v>2.0460030035326218E-2</v>
      </c>
    </row>
    <row r="3953" spans="5:7">
      <c r="E3953" s="661">
        <f ca="1">_xll.meDateFromTenor(E3952,"1D","Following",$C$16)</f>
        <v>48851</v>
      </c>
      <c r="F3953" s="659">
        <f ca="1"/>
        <v>2.0453505271171929E-2</v>
      </c>
      <c r="G3953" s="656">
        <v>2.0457505886473475E-2</v>
      </c>
    </row>
    <row r="3954" spans="5:7">
      <c r="E3954" s="661">
        <f ca="1">_xll.meDateFromTenor(E3953,"1D","Following",$C$16)</f>
        <v>48852</v>
      </c>
      <c r="F3954" s="659">
        <f ca="1"/>
        <v>2.0452678822045409E-2</v>
      </c>
      <c r="G3954" s="656">
        <v>2.0456663333502344E-2</v>
      </c>
    </row>
    <row r="3955" spans="5:7">
      <c r="E3955" s="661">
        <f ca="1">_xll.meDateFromTenor(E3954,"1D","Following",$C$16)</f>
        <v>48855</v>
      </c>
      <c r="F3955" s="659">
        <f ca="1"/>
        <v>2.0450195952019069E-2</v>
      </c>
      <c r="G3955" s="656">
        <v>2.0455820203375441E-2</v>
      </c>
    </row>
    <row r="3956" spans="5:7">
      <c r="E3956" s="661">
        <f ca="1">_xll.meDateFromTenor(E3955,"1D","Following",$C$16)</f>
        <v>48856</v>
      </c>
      <c r="F3956" s="659">
        <f ca="1"/>
        <v>2.0449367166573824E-2</v>
      </c>
      <c r="G3956" s="656">
        <v>2.0454976500805373E-2</v>
      </c>
    </row>
    <row r="3957" spans="5:7">
      <c r="E3957" s="661">
        <f ca="1">_xll.meDateFromTenor(E3956,"1D","Following",$C$16)</f>
        <v>48857</v>
      </c>
      <c r="F3957" s="659">
        <f ca="1"/>
        <v>2.0448537806133239E-2</v>
      </c>
      <c r="G3957" s="656">
        <v>2.0454132230504744E-2</v>
      </c>
    </row>
    <row r="3958" spans="5:7">
      <c r="E3958" s="661">
        <f ca="1">_xll.meDateFromTenor(E3957,"1D","Following",$C$16)</f>
        <v>48858</v>
      </c>
      <c r="F3958" s="659">
        <f ca="1"/>
        <v>2.0447707874331068E-2</v>
      </c>
      <c r="G3958" s="656">
        <v>2.0451596060345509E-2</v>
      </c>
    </row>
    <row r="3959" spans="5:7">
      <c r="E3959" s="661">
        <f ca="1">_xll.meDateFromTenor(E3958,"1D","Following",$C$16)</f>
        <v>48859</v>
      </c>
      <c r="F3959" s="659">
        <f ca="1"/>
        <v>2.044687737480104E-2</v>
      </c>
      <c r="G3959" s="656">
        <v>2.045074956624867E-2</v>
      </c>
    </row>
    <row r="3960" spans="5:7">
      <c r="E3960" s="661">
        <f ca="1">_xll.meDateFromTenor(E3959,"1D","Following",$C$16)</f>
        <v>48862</v>
      </c>
      <c r="F3960" s="659">
        <f ca="1"/>
        <v>2.0444382506181212E-2</v>
      </c>
      <c r="G3960" s="656">
        <v>2.0449902527984284E-2</v>
      </c>
    </row>
    <row r="3961" spans="5:7">
      <c r="E3961" s="661">
        <f ca="1">_xll.meDateFromTenor(E3960,"1D","Following",$C$16)</f>
        <v>48863</v>
      </c>
      <c r="F3961" s="659">
        <f ca="1"/>
        <v>2.0443549772077161E-2</v>
      </c>
      <c r="G3961" s="656">
        <v>2.0449054950264958E-2</v>
      </c>
    </row>
    <row r="3962" spans="5:7">
      <c r="E3962" s="661">
        <f ca="1">_xll.meDateFromTenor(E3961,"1D","Following",$C$16)</f>
        <v>48864</v>
      </c>
      <c r="F3962" s="659">
        <f ca="1"/>
        <v>2.0442716488413955E-2</v>
      </c>
      <c r="G3962" s="656">
        <v>2.0448206837803296E-2</v>
      </c>
    </row>
    <row r="3963" spans="5:7">
      <c r="E3963" s="661">
        <f ca="1">_xll.meDateFromTenor(E3962,"1D","Following",$C$16)</f>
        <v>48865</v>
      </c>
      <c r="F3963" s="659">
        <f ca="1"/>
        <v>2.0441882658825326E-2</v>
      </c>
      <c r="G3963" s="656">
        <v>2.0445659339090334E-2</v>
      </c>
    </row>
    <row r="3964" spans="5:7">
      <c r="E3964" s="661">
        <f ca="1">_xll.meDateFromTenor(E3963,"1D","Following",$C$16)</f>
        <v>48866</v>
      </c>
      <c r="F3964" s="659">
        <f ca="1"/>
        <v>2.0441048286945027E-2</v>
      </c>
      <c r="G3964" s="656">
        <v>2.0444809134785365E-2</v>
      </c>
    </row>
    <row r="3965" spans="5:7">
      <c r="E3965" s="661">
        <f ca="1">_xll.meDateFromTenor(E3964,"1D","Following",$C$16)</f>
        <v>48869</v>
      </c>
      <c r="F3965" s="659">
        <f ca="1"/>
        <v>2.0438541953891453E-2</v>
      </c>
      <c r="G3965" s="656">
        <v>2.0443958419301082E-2</v>
      </c>
    </row>
    <row r="3966" spans="5:7">
      <c r="E3966" s="661">
        <f ca="1">_xll.meDateFromTenor(E3965,"1D","Following",$C$16)</f>
        <v>48870</v>
      </c>
      <c r="F3966" s="659">
        <f ca="1"/>
        <v>2.0437705449181838E-2</v>
      </c>
      <c r="G3966" s="656">
        <v>2.0443107197350083E-2</v>
      </c>
    </row>
    <row r="3967" spans="5:7">
      <c r="E3967" s="661">
        <f ca="1">_xll.meDateFromTenor(E3966,"1D","Following",$C$16)</f>
        <v>48871</v>
      </c>
      <c r="F3967" s="659">
        <f ca="1"/>
        <v>2.0436868420349245E-2</v>
      </c>
      <c r="G3967" s="656">
        <v>2.0442255473644977E-2</v>
      </c>
    </row>
    <row r="3968" spans="5:7">
      <c r="E3968" s="661">
        <f ca="1">_xll.meDateFromTenor(E3967,"1D","Following",$C$16)</f>
        <v>48872</v>
      </c>
      <c r="F3968" s="659">
        <f ca="1"/>
        <v>2.0436030871027414E-2</v>
      </c>
      <c r="G3968" s="656">
        <v>2.0439697339131035E-2</v>
      </c>
    </row>
    <row r="3969" spans="5:7">
      <c r="E3969" s="661">
        <f ca="1">_xll.meDateFromTenor(E3968,"1D","Following",$C$16)</f>
        <v>48873</v>
      </c>
      <c r="F3969" s="659">
        <f ca="1"/>
        <v>2.043519280485008E-2</v>
      </c>
      <c r="G3969" s="656">
        <v>2.0438843655535527E-2</v>
      </c>
    </row>
    <row r="3970" spans="5:7">
      <c r="E3970" s="661">
        <f ca="1">_xll.meDateFromTenor(E3969,"1D","Following",$C$16)</f>
        <v>48876</v>
      </c>
      <c r="F3970" s="659">
        <f ca="1"/>
        <v>2.0432675541522487E-2</v>
      </c>
      <c r="G3970" s="656">
        <v>2.0437989493748927E-2</v>
      </c>
    </row>
    <row r="3971" spans="5:7">
      <c r="E3971" s="661">
        <f ca="1">_xll.meDateFromTenor(E3970,"1D","Following",$C$16)</f>
        <v>48877</v>
      </c>
      <c r="F3971" s="659">
        <f ca="1"/>
        <v>2.0431835444260554E-2</v>
      </c>
      <c r="G3971" s="656">
        <v>2.0437134858483846E-2</v>
      </c>
    </row>
    <row r="3972" spans="5:7">
      <c r="E3972" s="661">
        <f ca="1">_xll.meDateFromTenor(E3971,"1D","Following",$C$16)</f>
        <v>48878</v>
      </c>
      <c r="F3972" s="659">
        <f ca="1"/>
        <v>2.0430994848311818E-2</v>
      </c>
      <c r="G3972" s="656">
        <v>2.043627975445287E-2</v>
      </c>
    </row>
    <row r="3973" spans="5:7">
      <c r="E3973" s="661">
        <f ca="1">_xll.meDateFromTenor(E3972,"1D","Following",$C$16)</f>
        <v>48879</v>
      </c>
      <c r="F3973" s="659">
        <f ca="1"/>
        <v>2.0430153757310023E-2</v>
      </c>
      <c r="G3973" s="656">
        <v>2.0433711676890707E-2</v>
      </c>
    </row>
    <row r="3974" spans="5:7">
      <c r="E3974" s="661">
        <f ca="1">_xll.meDateFromTenor(E3973,"1D","Following",$C$16)</f>
        <v>48880</v>
      </c>
      <c r="F3974" s="659">
        <f ca="1"/>
        <v>2.0429312174888897E-2</v>
      </c>
      <c r="G3974" s="656">
        <v>2.0432854744922242E-2</v>
      </c>
    </row>
    <row r="3975" spans="5:7">
      <c r="E3975" s="661">
        <f ca="1">_xll.meDateFromTenor(E3974,"1D","Following",$C$16)</f>
        <v>48883</v>
      </c>
      <c r="F3975" s="659">
        <f ca="1"/>
        <v>2.0426784515447004E-2</v>
      </c>
      <c r="G3975" s="656">
        <v>2.0431997367750917E-2</v>
      </c>
    </row>
    <row r="3976" spans="5:7">
      <c r="E3976" s="661">
        <f ca="1">_xll.meDateFromTenor(E3975,"1D","Following",$C$16)</f>
        <v>48884</v>
      </c>
      <c r="F3976" s="659">
        <f ca="1"/>
        <v>2.0425941003685995E-2</v>
      </c>
      <c r="G3976" s="656">
        <v>2.0431139550089329E-2</v>
      </c>
    </row>
    <row r="3977" spans="5:7">
      <c r="E3977" s="661">
        <f ca="1">_xll.meDateFromTenor(E3976,"1D","Following",$C$16)</f>
        <v>48885</v>
      </c>
      <c r="F3977" s="659">
        <f ca="1"/>
        <v>2.0425097018674364E-2</v>
      </c>
      <c r="G3977" s="656">
        <v>2.0430281296650081E-2</v>
      </c>
    </row>
    <row r="3978" spans="5:7">
      <c r="E3978" s="661">
        <f ca="1">_xll.meDateFromTenor(E3977,"1D","Following",$C$16)</f>
        <v>48886</v>
      </c>
      <c r="F3978" s="659">
        <f ca="1"/>
        <v>2.0424252564045845E-2</v>
      </c>
      <c r="G3978" s="656">
        <v>2.0427703968792444E-2</v>
      </c>
    </row>
    <row r="3979" spans="5:7">
      <c r="E3979" s="661">
        <f ca="1">_xll.meDateFromTenor(E3978,"1D","Following",$C$16)</f>
        <v>48887</v>
      </c>
      <c r="F3979" s="659">
        <f ca="1"/>
        <v>2.0423407643434182E-2</v>
      </c>
      <c r="G3979" s="656">
        <v>2.0426844019368607E-2</v>
      </c>
    </row>
    <row r="3980" spans="5:7">
      <c r="E3980" s="661">
        <f ca="1">_xll.meDateFromTenor(E3979,"1D","Following",$C$16)</f>
        <v>48890</v>
      </c>
      <c r="F3980" s="659">
        <f ca="1"/>
        <v>2.0420870122037721E-2</v>
      </c>
      <c r="G3980" s="656">
        <v>2.0425983657730132E-2</v>
      </c>
    </row>
    <row r="3981" spans="5:7">
      <c r="E3981" s="661">
        <f ca="1">_xll.meDateFromTenor(E3980,"1D","Following",$C$16)</f>
        <v>48891</v>
      </c>
      <c r="F3981" s="659">
        <f ca="1"/>
        <v>2.0420023373830875E-2</v>
      </c>
      <c r="G3981" s="656">
        <v>2.0425122888589629E-2</v>
      </c>
    </row>
    <row r="3982" spans="5:7">
      <c r="E3982" s="661">
        <f ca="1">_xll.meDateFromTenor(E3981,"1D","Following",$C$16)</f>
        <v>48892</v>
      </c>
      <c r="F3982" s="659">
        <f ca="1"/>
        <v>2.0419176176816701E-2</v>
      </c>
      <c r="G3982" s="656">
        <v>2.0424261715451218E-2</v>
      </c>
    </row>
    <row r="3983" spans="5:7">
      <c r="E3983" s="661">
        <f ca="1">_xll.meDateFromTenor(E3982,"1D","Following",$C$16)</f>
        <v>48893</v>
      </c>
      <c r="F3983" s="659">
        <f ca="1"/>
        <v>2.0418328529664551E-2</v>
      </c>
      <c r="G3983" s="656">
        <v>2.0421675753916946E-2</v>
      </c>
    </row>
    <row r="3984" spans="5:7">
      <c r="E3984" s="661">
        <f ca="1">_xll.meDateFromTenor(E3983,"1D","Following",$C$16)</f>
        <v>48894</v>
      </c>
      <c r="F3984" s="659">
        <f ca="1"/>
        <v>2.0417480430050875E-2</v>
      </c>
      <c r="G3984" s="656">
        <v>2.0420812944238365E-2</v>
      </c>
    </row>
    <row r="3985" spans="5:7">
      <c r="E3985" s="661">
        <f ca="1">_xll.meDateFromTenor(E3984,"1D","Following",$C$16)</f>
        <v>48897</v>
      </c>
      <c r="F3985" s="659">
        <f ca="1"/>
        <v>2.0414933393205381E-2</v>
      </c>
      <c r="G3985" s="656">
        <v>2.0419949719079122E-2</v>
      </c>
    </row>
    <row r="3986" spans="5:7">
      <c r="E3986" s="661">
        <f ca="1">_xll.meDateFromTenor(E3985,"1D","Following",$C$16)</f>
        <v>48898</v>
      </c>
      <c r="F3986" s="659">
        <f ca="1"/>
        <v>2.0414083460510261E-2</v>
      </c>
      <c r="G3986" s="656">
        <v>2.0419086075900972E-2</v>
      </c>
    </row>
    <row r="3987" spans="5:7">
      <c r="E3987" s="661">
        <f ca="1">_xll.meDateFromTenor(E3986,"1D","Following",$C$16)</f>
        <v>48899</v>
      </c>
      <c r="F3987" s="659">
        <f ca="1"/>
        <v>2.0413233063735943E-2</v>
      </c>
      <c r="G3987" s="656">
        <v>2.0418222012165688E-2</v>
      </c>
    </row>
    <row r="3988" spans="5:7">
      <c r="E3988" s="661">
        <f ca="1">_xll.meDateFromTenor(E3987,"1D","Following",$C$16)</f>
        <v>48900</v>
      </c>
      <c r="F3988" s="659">
        <f ca="1"/>
        <v>2.0412382200558889E-2</v>
      </c>
      <c r="G3988" s="656">
        <v>2.0415627272234477E-2</v>
      </c>
    </row>
    <row r="3989" spans="5:7">
      <c r="E3989" s="661">
        <f ca="1">_xll.meDateFromTenor(E3988,"1D","Following",$C$16)</f>
        <v>48901</v>
      </c>
      <c r="F3989" s="659">
        <f ca="1"/>
        <v>2.0411530868655554E-2</v>
      </c>
      <c r="G3989" s="656">
        <v>2.0414761500888143E-2</v>
      </c>
    </row>
    <row r="3990" spans="5:7">
      <c r="E3990" s="661">
        <f ca="1">_xll.meDateFromTenor(E3989,"1D","Following",$C$16)</f>
        <v>48904</v>
      </c>
      <c r="F3990" s="659">
        <f ca="1"/>
        <v>2.0408974037352548E-2</v>
      </c>
      <c r="G3990" s="656">
        <v>2.0413895296293439E-2</v>
      </c>
    </row>
    <row r="3991" spans="5:7">
      <c r="E3991" s="661">
        <f ca="1">_xll.meDateFromTenor(E3990,"1D","Following",$C$16)</f>
        <v>48905</v>
      </c>
      <c r="F3991" s="659">
        <f ca="1"/>
        <v>2.0408120807308746E-2</v>
      </c>
      <c r="G3991" s="656">
        <v>2.0413028655912116E-2</v>
      </c>
    </row>
    <row r="3992" spans="5:7">
      <c r="E3992" s="661">
        <f ca="1">_xll.meDateFromTenor(E3991,"1D","Following",$C$16)</f>
        <v>48906</v>
      </c>
      <c r="F3992" s="659">
        <f ca="1"/>
        <v>2.0407267096920992E-2</v>
      </c>
      <c r="G3992" s="656">
        <v>2.041216157720593E-2</v>
      </c>
    </row>
    <row r="3993" spans="5:7">
      <c r="E3993" s="661">
        <f ca="1">_xll.meDateFromTenor(E3992,"1D","Following",$C$16)</f>
        <v>48907</v>
      </c>
      <c r="F3993" s="659">
        <f ca="1"/>
        <v>2.0406412903865748E-2</v>
      </c>
      <c r="G3993" s="656">
        <v>2.0409557685755735E-2</v>
      </c>
    </row>
    <row r="3994" spans="5:7">
      <c r="E3994" s="661">
        <f ca="1">_xll.meDateFromTenor(E3993,"1D","Following",$C$16)</f>
        <v>48908</v>
      </c>
      <c r="F3994" s="659">
        <f ca="1"/>
        <v>2.0405558225819465E-2</v>
      </c>
      <c r="G3994" s="656">
        <v>2.040868882836764E-2</v>
      </c>
    </row>
    <row r="3995" spans="5:7">
      <c r="E3995" s="661">
        <f ca="1">_xll.meDateFromTenor(E3994,"1D","Following",$C$16)</f>
        <v>48911</v>
      </c>
      <c r="F3995" s="659">
        <f ca="1"/>
        <v>2.0402991258499075E-2</v>
      </c>
      <c r="G3995" s="656">
        <v>2.0407819519963458E-2</v>
      </c>
    </row>
    <row r="3996" spans="5:7">
      <c r="E3996" s="661">
        <f ca="1">_xll.meDateFromTenor(E3995,"1D","Following",$C$16)</f>
        <v>48912</v>
      </c>
      <c r="F3996" s="659">
        <f ca="1"/>
        <v>2.0402134617253303E-2</v>
      </c>
      <c r="G3996" s="656">
        <v>2.0406949758004937E-2</v>
      </c>
    </row>
    <row r="3997" spans="5:7">
      <c r="E3997" s="661">
        <f ca="1">_xll.meDateFromTenor(E3996,"1D","Following",$C$16)</f>
        <v>48913</v>
      </c>
      <c r="F3997" s="659">
        <f ca="1"/>
        <v>2.0401277479398822E-2</v>
      </c>
      <c r="G3997" s="656">
        <v>2.0406079539953836E-2</v>
      </c>
    </row>
    <row r="3998" spans="5:7">
      <c r="E3998" s="661">
        <f ca="1">_xll.meDateFromTenor(E3997,"1D","Following",$C$16)</f>
        <v>48914</v>
      </c>
      <c r="F3998" s="659">
        <f ca="1"/>
        <v>2.0400419842612087E-2</v>
      </c>
      <c r="G3998" s="656">
        <v>2.0403466123862603E-2</v>
      </c>
    </row>
    <row r="3999" spans="5:7">
      <c r="E3999" s="661">
        <f ca="1">_xll.meDateFromTenor(E3998,"1D","Following",$C$16)</f>
        <v>48915</v>
      </c>
      <c r="F3999" s="659">
        <f ca="1"/>
        <v>2.0399561704569573E-2</v>
      </c>
      <c r="G3999" s="656">
        <v>2.0402594056058727E-2</v>
      </c>
    </row>
    <row r="4000" spans="5:7">
      <c r="E4000" s="661">
        <f ca="1">_xll.meDateFromTenor(E3999,"1D","Following",$C$16)</f>
        <v>48918</v>
      </c>
      <c r="F4000" s="659">
        <f ca="1"/>
        <v>2.039698425967193E-2</v>
      </c>
      <c r="G4000" s="656">
        <v>2.0401721519471047E-2</v>
      </c>
    </row>
    <row r="4001" spans="5:7">
      <c r="E4001" s="661">
        <f ca="1">_xll.meDateFromTenor(E4000,"1D","Following",$C$16)</f>
        <v>48919</v>
      </c>
      <c r="F4001" s="659">
        <f ca="1"/>
        <v>2.0396124093370899E-2</v>
      </c>
      <c r="G4001" s="656">
        <v>2.0400848511561317E-2</v>
      </c>
    </row>
    <row r="4002" spans="5:7">
      <c r="E4002" s="661">
        <f ca="1">_xll.meDateFromTenor(E4001,"1D","Following",$C$16)</f>
        <v>48920</v>
      </c>
      <c r="F4002" s="659">
        <f ca="1"/>
        <v>2.03952634141964E-2</v>
      </c>
      <c r="G4002" s="656">
        <v>2.0399975029791288E-2</v>
      </c>
    </row>
    <row r="4003" spans="5:7">
      <c r="E4003" s="661">
        <f ca="1">_xll.meDateFromTenor(E4002,"1D","Following",$C$16)</f>
        <v>48921</v>
      </c>
      <c r="F4003" s="659">
        <f ca="1"/>
        <v>2.0394402219824893E-2</v>
      </c>
      <c r="G4003" s="656">
        <v>2.0397351715936964E-2</v>
      </c>
    </row>
    <row r="4004" spans="5:7">
      <c r="E4004" s="661">
        <f ca="1">_xll.meDateFromTenor(E4003,"1D","Following",$C$16)</f>
        <v>48922</v>
      </c>
      <c r="F4004" s="659">
        <f ca="1"/>
        <v>2.0393540507932843E-2</v>
      </c>
      <c r="G4004" s="656">
        <v>2.0396476313343296E-2</v>
      </c>
    </row>
    <row r="4005" spans="5:7">
      <c r="E4005" s="661">
        <f ca="1">_xll.meDateFromTenor(E4004,"1D","Following",$C$16)</f>
        <v>48925</v>
      </c>
      <c r="F4005" s="659">
        <f ca="1"/>
        <v>2.0390952243898079E-2</v>
      </c>
      <c r="G4005" s="656">
        <v>2.03956004241981E-2</v>
      </c>
    </row>
    <row r="4006" spans="5:7">
      <c r="E4006" s="661">
        <f ca="1">_xll.meDateFromTenor(E4005,"1D","Following",$C$16)</f>
        <v>48926</v>
      </c>
      <c r="F4006" s="659">
        <f ca="1"/>
        <v>2.0390088438688499E-2</v>
      </c>
      <c r="G4006" s="656">
        <v>2.0394724045963139E-2</v>
      </c>
    </row>
    <row r="4007" spans="5:7">
      <c r="E4007" s="661">
        <f ca="1">_xll.meDateFromTenor(E4006,"1D","Following",$C$16)</f>
        <v>48927</v>
      </c>
      <c r="F4007" s="659">
        <f ca="1"/>
        <v>2.038922410434069E-2</v>
      </c>
      <c r="G4007" s="656">
        <v>2.0393847176100165E-2</v>
      </c>
    </row>
    <row r="4008" spans="5:7">
      <c r="E4008" s="661">
        <f ca="1">_xll.meDateFromTenor(E4007,"1D","Following",$C$16)</f>
        <v>48928</v>
      </c>
      <c r="F4008" s="659">
        <f ca="1"/>
        <v>2.0388359238531124E-2</v>
      </c>
      <c r="G4008" s="656">
        <v>2.0391213591360705E-2</v>
      </c>
    </row>
    <row r="4009" spans="5:7">
      <c r="E4009" s="661">
        <f ca="1">_xll.meDateFromTenor(E4008,"1D","Following",$C$16)</f>
        <v>48929</v>
      </c>
      <c r="F4009" s="659">
        <f ca="1"/>
        <v>2.0387493838936257E-2</v>
      </c>
      <c r="G4009" s="656">
        <v>2.0390334729603221E-2</v>
      </c>
    </row>
    <row r="4010" spans="5:7">
      <c r="E4010" s="661">
        <f ca="1">_xll.meDateFromTenor(E4009,"1D","Following",$C$16)</f>
        <v>48932</v>
      </c>
      <c r="F4010" s="659">
        <f ca="1"/>
        <v>2.0384894414204505E-2</v>
      </c>
      <c r="G4010" s="656">
        <v>2.0389455363526501E-2</v>
      </c>
    </row>
    <row r="4011" spans="5:7">
      <c r="E4011" s="661">
        <f ca="1">_xll.meDateFromTenor(E4010,"1D","Following",$C$16)</f>
        <v>48933</v>
      </c>
      <c r="F4011" s="659">
        <f ca="1"/>
        <v>2.0384026856233077E-2</v>
      </c>
      <c r="G4011" s="656">
        <v>2.0388575490592292E-2</v>
      </c>
    </row>
    <row r="4012" spans="5:7">
      <c r="E4012" s="661">
        <f ca="1">_xll.meDateFromTenor(E4011,"1D","Following",$C$16)</f>
        <v>48934</v>
      </c>
      <c r="F4012" s="659">
        <f ca="1"/>
        <v>2.038315875285867E-2</v>
      </c>
      <c r="G4012" s="656">
        <v>2.0387695108262351E-2</v>
      </c>
    </row>
    <row r="4013" spans="5:7">
      <c r="E4013" s="661">
        <f ca="1">_xll.meDateFromTenor(E4012,"1D","Following",$C$16)</f>
        <v>48935</v>
      </c>
      <c r="F4013" s="659">
        <f ca="1"/>
        <v>2.0382290101757749E-2</v>
      </c>
      <c r="G4013" s="656">
        <v>2.0385050879515705E-2</v>
      </c>
    </row>
    <row r="4014" spans="5:7">
      <c r="E4014" s="661">
        <f ca="1">_xll.meDateFromTenor(E4013,"1D","Following",$C$16)</f>
        <v>48936</v>
      </c>
      <c r="F4014" s="659">
        <f ca="1"/>
        <v>2.0381420900606774E-2</v>
      </c>
      <c r="G4014" s="656">
        <v>2.0384168434220393E-2</v>
      </c>
    </row>
    <row r="4015" spans="5:7">
      <c r="E4015" s="661">
        <f ca="1">_xll.meDateFromTenor(E4014,"1D","Following",$C$16)</f>
        <v>48940</v>
      </c>
      <c r="F4015" s="659">
        <f ca="1"/>
        <v>2.03779385490316E-2</v>
      </c>
      <c r="G4015" s="656">
        <v>2.0383285466838125E-2</v>
      </c>
    </row>
    <row r="4016" spans="5:7">
      <c r="E4016" s="661">
        <f ca="1">_xll.meDateFromTenor(E4015,"1D","Following",$C$16)</f>
        <v>48941</v>
      </c>
      <c r="F4016" s="659">
        <f ca="1"/>
        <v>2.0377066562777307E-2</v>
      </c>
      <c r="G4016" s="656">
        <v>2.0382401974830655E-2</v>
      </c>
    </row>
    <row r="4017" spans="5:7">
      <c r="E4017" s="661">
        <f ca="1">_xll.meDateFromTenor(E4016,"1D","Following",$C$16)</f>
        <v>48942</v>
      </c>
      <c r="F4017" s="659">
        <f ca="1"/>
        <v>2.037619401253174E-2</v>
      </c>
      <c r="G4017" s="656">
        <v>2.0381517955659737E-2</v>
      </c>
    </row>
    <row r="4018" spans="5:7">
      <c r="E4018" s="661">
        <f ca="1">_xll.meDateFromTenor(E4017,"1D","Following",$C$16)</f>
        <v>48943</v>
      </c>
      <c r="F4018" s="659">
        <f ca="1"/>
        <v>2.0375320895971365E-2</v>
      </c>
      <c r="G4018" s="656">
        <v>2.037797655657669E-2</v>
      </c>
    </row>
    <row r="4019" spans="5:7">
      <c r="E4019" s="661">
        <f ca="1">_xll.meDateFromTenor(E4018,"1D","Following",$C$16)</f>
        <v>48946</v>
      </c>
      <c r="F4019" s="659">
        <f ca="1"/>
        <v>2.0372698125166018E-2</v>
      </c>
      <c r="G4019" s="656">
        <v>2.0377089863514861E-2</v>
      </c>
    </row>
    <row r="4020" spans="5:7">
      <c r="E4020" s="661">
        <f ca="1">_xll.meDateFromTenor(E4019,"1D","Following",$C$16)</f>
        <v>48947</v>
      </c>
      <c r="F4020" s="659">
        <f ca="1"/>
        <v>2.0371822720111038E-2</v>
      </c>
      <c r="G4020" s="656">
        <v>2.037620262806011E-2</v>
      </c>
    </row>
    <row r="4021" spans="5:7">
      <c r="E4021" s="661">
        <f ca="1">_xll.meDateFromTenor(E4020,"1D","Following",$C$16)</f>
        <v>48948</v>
      </c>
      <c r="F4021" s="659">
        <f ca="1"/>
        <v>2.0370946737123568E-2</v>
      </c>
      <c r="G4021" s="656">
        <v>2.0375314847674197E-2</v>
      </c>
    </row>
    <row r="4022" spans="5:7">
      <c r="E4022" s="661">
        <f ca="1">_xll.meDateFromTenor(E4021,"1D","Following",$C$16)</f>
        <v>48949</v>
      </c>
      <c r="F4022" s="659">
        <f ca="1"/>
        <v>2.0370070173880067E-2</v>
      </c>
      <c r="G4022" s="656">
        <v>2.037264821154702E-2</v>
      </c>
    </row>
    <row r="4023" spans="5:7">
      <c r="E4023" s="661">
        <f ca="1">_xll.meDateFromTenor(E4022,"1D","Following",$C$16)</f>
        <v>48950</v>
      </c>
      <c r="F4023" s="659">
        <f ca="1"/>
        <v>2.0369193028057002E-2</v>
      </c>
      <c r="G4023" s="656">
        <v>2.0371758226054002E-2</v>
      </c>
    </row>
    <row r="4024" spans="5:7">
      <c r="E4024" s="661">
        <f ca="1">_xll.meDateFromTenor(E4023,"1D","Following",$C$16)</f>
        <v>48953</v>
      </c>
      <c r="F4024" s="659">
        <f ca="1"/>
        <v>2.0366558071875054E-2</v>
      </c>
      <c r="G4024" s="656">
        <v>2.0370867682938592E-2</v>
      </c>
    </row>
    <row r="4025" spans="5:7">
      <c r="E4025" s="661">
        <f ca="1">_xll.meDateFromTenor(E4024,"1D","Following",$C$16)</f>
        <v>48954</v>
      </c>
      <c r="F4025" s="659">
        <f ca="1"/>
        <v>2.0365678572498359E-2</v>
      </c>
      <c r="G4025" s="656">
        <v>2.0369976579662545E-2</v>
      </c>
    </row>
    <row r="4026" spans="5:7">
      <c r="E4026" s="661">
        <f ca="1">_xll.meDateFromTenor(E4025,"1D","Following",$C$16)</f>
        <v>48955</v>
      </c>
      <c r="F4026" s="659">
        <f ca="1"/>
        <v>2.0364798478924424E-2</v>
      </c>
      <c r="G4026" s="656">
        <v>2.0369084913687621E-2</v>
      </c>
    </row>
    <row r="4027" spans="5:7">
      <c r="E4027" s="661">
        <f ca="1">_xll.meDateFromTenor(E4026,"1D","Following",$C$16)</f>
        <v>48956</v>
      </c>
      <c r="F4027" s="659">
        <f ca="1"/>
        <v>2.0363917788829698E-2</v>
      </c>
      <c r="G4027" s="656">
        <v>2.0366406514187103E-2</v>
      </c>
    </row>
    <row r="4028" spans="5:7">
      <c r="E4028" s="661">
        <f ca="1">_xll.meDateFromTenor(E4027,"1D","Following",$C$16)</f>
        <v>48957</v>
      </c>
      <c r="F4028" s="659">
        <f ca="1"/>
        <v>2.0363036499890658E-2</v>
      </c>
      <c r="G4028" s="656">
        <v>2.0365512572034204E-2</v>
      </c>
    </row>
    <row r="4029" spans="5:7">
      <c r="E4029" s="661">
        <f ca="1">_xll.meDateFromTenor(E4028,"1D","Following",$C$16)</f>
        <v>48960</v>
      </c>
      <c r="F4029" s="659">
        <f ca="1"/>
        <v>2.0360389016772232E-2</v>
      </c>
      <c r="G4029" s="656">
        <v>2.0364618054491194E-2</v>
      </c>
    </row>
    <row r="4030" spans="5:7">
      <c r="E4030" s="661">
        <f ca="1">_xll.meDateFromTenor(E4029,"1D","Following",$C$16)</f>
        <v>48961</v>
      </c>
      <c r="F4030" s="659">
        <f ca="1"/>
        <v>2.0359505309220535E-2</v>
      </c>
      <c r="G4030" s="656">
        <v>2.036372295901984E-2</v>
      </c>
    </row>
    <row r="4031" spans="5:7">
      <c r="E4031" s="661">
        <f ca="1">_xll.meDateFromTenor(E4030,"1D","Following",$C$16)</f>
        <v>48962</v>
      </c>
      <c r="F4031" s="659">
        <f ca="1"/>
        <v>2.0358620991206843E-2</v>
      </c>
      <c r="G4031" s="656">
        <v>2.0362827283081881E-2</v>
      </c>
    </row>
    <row r="4032" spans="5:7">
      <c r="E4032" s="661">
        <f ca="1">_xll.meDateFromTenor(E4031,"1D","Following",$C$16)</f>
        <v>48963</v>
      </c>
      <c r="F4032" s="659">
        <f ca="1"/>
        <v>2.03577360604076E-2</v>
      </c>
      <c r="G4032" s="656">
        <v>2.0360136747085981E-2</v>
      </c>
    </row>
    <row r="4033" spans="5:7">
      <c r="E4033" s="661">
        <f ca="1">_xll.meDateFromTenor(E4032,"1D","Following",$C$16)</f>
        <v>48964</v>
      </c>
      <c r="F4033" s="659">
        <f ca="1"/>
        <v>2.035685051449929E-2</v>
      </c>
      <c r="G4033" s="656">
        <v>2.0359238723899185E-2</v>
      </c>
    </row>
    <row r="4034" spans="5:7">
      <c r="E4034" s="661">
        <f ca="1">_xll.meDateFromTenor(E4033,"1D","Following",$C$16)</f>
        <v>48967</v>
      </c>
      <c r="F4034" s="659">
        <f ca="1"/>
        <v>2.0354190162884523E-2</v>
      </c>
      <c r="G4034" s="656">
        <v>2.0358340107554565E-2</v>
      </c>
    </row>
    <row r="4035" spans="5:7">
      <c r="E4035" s="661">
        <f ca="1">_xll.meDateFromTenor(E4034,"1D","Following",$C$16)</f>
        <v>48968</v>
      </c>
      <c r="F4035" s="659">
        <f ca="1"/>
        <v>2.0353302133304538E-2</v>
      </c>
      <c r="G4035" s="656">
        <v>2.0357440895513876E-2</v>
      </c>
    </row>
    <row r="4036" spans="5:7">
      <c r="E4036" s="661">
        <f ca="1">_xll.meDateFromTenor(E4035,"1D","Following",$C$16)</f>
        <v>48969</v>
      </c>
      <c r="F4036" s="659">
        <f ca="1"/>
        <v>2.0352413476997792E-2</v>
      </c>
      <c r="G4036" s="656">
        <v>2.0356541085238874E-2</v>
      </c>
    </row>
    <row r="4037" spans="5:7">
      <c r="E4037" s="661">
        <f ca="1">_xll.meDateFromTenor(E4036,"1D","Following",$C$16)</f>
        <v>48970</v>
      </c>
      <c r="F4037" s="659">
        <f ca="1"/>
        <v>2.0351524191640751E-2</v>
      </c>
      <c r="G4037" s="656">
        <v>2.0353838039625535E-2</v>
      </c>
    </row>
    <row r="4038" spans="5:7">
      <c r="E4038" s="661">
        <f ca="1">_xll.meDateFromTenor(E4037,"1D","Following",$C$16)</f>
        <v>48971</v>
      </c>
      <c r="F4038" s="659">
        <f ca="1"/>
        <v>2.0350634274909879E-2</v>
      </c>
      <c r="G4038" s="656">
        <v>2.0352935811030821E-2</v>
      </c>
    </row>
    <row r="4039" spans="5:7">
      <c r="E4039" s="661">
        <f ca="1">_xll.meDateFromTenor(E4038,"1D","Following",$C$16)</f>
        <v>48974</v>
      </c>
      <c r="F4039" s="659">
        <f ca="1"/>
        <v>2.03479607132389E-2</v>
      </c>
      <c r="G4039" s="656">
        <v>2.0352032971510576E-2</v>
      </c>
    </row>
    <row r="4040" spans="5:7">
      <c r="E4040" s="661">
        <f ca="1">_xll.meDateFromTenor(E4039,"1D","Following",$C$16)</f>
        <v>48975</v>
      </c>
      <c r="F4040" s="659">
        <f ca="1"/>
        <v>2.0347068247777329E-2</v>
      </c>
      <c r="G4040" s="656">
        <v>2.0351129518526537E-2</v>
      </c>
    </row>
    <row r="4041" spans="5:7">
      <c r="E4041" s="661">
        <f ca="1">_xll.meDateFromTenor(E4040,"1D","Following",$C$16)</f>
        <v>48976</v>
      </c>
      <c r="F4041" s="659">
        <f ca="1"/>
        <v>2.0346175139324244E-2</v>
      </c>
      <c r="G4041" s="656">
        <v>2.0350225449540474E-2</v>
      </c>
    </row>
    <row r="4042" spans="5:7">
      <c r="E4042" s="661">
        <f ca="1">_xll.meDateFromTenor(E4041,"1D","Following",$C$16)</f>
        <v>48977</v>
      </c>
      <c r="F4042" s="659">
        <f ca="1"/>
        <v>2.0345281385556108E-2</v>
      </c>
      <c r="G4042" s="656">
        <v>2.0347509521187645E-2</v>
      </c>
    </row>
    <row r="4043" spans="5:7">
      <c r="E4043" s="661">
        <f ca="1">_xll.meDateFromTenor(E4042,"1D","Following",$C$16)</f>
        <v>48978</v>
      </c>
      <c r="F4043" s="659">
        <f ca="1"/>
        <v>2.0344386984149389E-2</v>
      </c>
      <c r="G4043" s="656">
        <v>2.0346602962811003E-2</v>
      </c>
    </row>
    <row r="4044" spans="5:7">
      <c r="E4044" s="661">
        <f ca="1">_xll.meDateFromTenor(E4043,"1D","Following",$C$16)</f>
        <v>48981</v>
      </c>
      <c r="F4044" s="659">
        <f ca="1"/>
        <v>2.0341699870862325E-2</v>
      </c>
      <c r="G4044" s="656">
        <v>2.0345695775741107E-2</v>
      </c>
    </row>
    <row r="4045" spans="5:7">
      <c r="E4045" s="661">
        <f ca="1">_xll.meDateFromTenor(E4044,"1D","Following",$C$16)</f>
        <v>48982</v>
      </c>
      <c r="F4045" s="659">
        <f ca="1"/>
        <v>2.034080285566588E-2</v>
      </c>
      <c r="G4045" s="656">
        <v>2.0344787957439714E-2</v>
      </c>
    </row>
    <row r="4046" spans="5:7">
      <c r="E4046" s="661">
        <f ca="1">_xll.meDateFromTenor(E4045,"1D","Following",$C$16)</f>
        <v>48983</v>
      </c>
      <c r="F4046" s="659">
        <f ca="1"/>
        <v>2.0339905181213168E-2</v>
      </c>
      <c r="G4046" s="656">
        <v>2.0343879505368569E-2</v>
      </c>
    </row>
    <row r="4047" spans="5:7">
      <c r="E4047" s="661">
        <f ca="1">_xll.meDateFromTenor(E4046,"1D","Following",$C$16)</f>
        <v>48984</v>
      </c>
      <c r="F4047" s="659">
        <f ca="1"/>
        <v>2.0339006845180651E-2</v>
      </c>
      <c r="G4047" s="656">
        <v>2.0341150321154196E-2</v>
      </c>
    </row>
    <row r="4048" spans="5:7">
      <c r="E4048" s="661">
        <f ca="1">_xll.meDateFromTenor(E4047,"1D","Following",$C$16)</f>
        <v>48985</v>
      </c>
      <c r="F4048" s="659">
        <f ca="1"/>
        <v>2.0338107845244788E-2</v>
      </c>
      <c r="G4048" s="656">
        <v>2.0340239308621614E-2</v>
      </c>
    </row>
    <row r="4049" spans="5:7">
      <c r="E4049" s="661">
        <f ca="1">_xll.meDateFromTenor(E4048,"1D","Following",$C$16)</f>
        <v>48988</v>
      </c>
      <c r="F4049" s="659">
        <f ca="1"/>
        <v>2.033540683878177E-2</v>
      </c>
      <c r="G4049" s="656">
        <v>2.0339327649628054E-2</v>
      </c>
    </row>
    <row r="4050" spans="5:7">
      <c r="E4050" s="661">
        <f ca="1">_xll.meDateFromTenor(E4049,"1D","Following",$C$16)</f>
        <v>48989</v>
      </c>
      <c r="F4050" s="659">
        <f ca="1"/>
        <v>2.0334505159997164E-2</v>
      </c>
      <c r="G4050" s="656">
        <v>2.0338415341635274E-2</v>
      </c>
    </row>
    <row r="4051" spans="5:7">
      <c r="E4051" s="661">
        <f ca="1">_xll.meDateFromTenor(E4050,"1D","Following",$C$16)</f>
        <v>48990</v>
      </c>
      <c r="F4051" s="659">
        <f ca="1"/>
        <v>2.0333602805691534E-2</v>
      </c>
      <c r="G4051" s="656">
        <v>2.0337502382105039E-2</v>
      </c>
    </row>
    <row r="4052" spans="5:7">
      <c r="E4052" s="661">
        <f ca="1">_xll.meDateFromTenor(E4051,"1D","Following",$C$16)</f>
        <v>48991</v>
      </c>
      <c r="F4052" s="659">
        <f ca="1"/>
        <v>2.0332699773541341E-2</v>
      </c>
      <c r="G4052" s="656">
        <v>2.0334759568907082E-2</v>
      </c>
    </row>
    <row r="4053" spans="5:7">
      <c r="E4053" s="661">
        <f ca="1">_xll.meDateFromTenor(E4052,"1D","Following",$C$16)</f>
        <v>48992</v>
      </c>
      <c r="F4053" s="659">
        <f ca="1"/>
        <v>2.0331796061223047E-2</v>
      </c>
      <c r="G4053" s="656">
        <v>2.0333843977844532E-2</v>
      </c>
    </row>
    <row r="4054" spans="5:7">
      <c r="E4054" s="661">
        <f ca="1">_xll.meDateFromTenor(E4053,"1D","Following",$C$16)</f>
        <v>48995</v>
      </c>
      <c r="F4054" s="659">
        <f ca="1"/>
        <v>2.0329080820024204E-2</v>
      </c>
      <c r="G4054" s="656">
        <v>2.0332927722553292E-2</v>
      </c>
    </row>
    <row r="4055" spans="5:7">
      <c r="E4055" s="661">
        <f ca="1">_xll.meDateFromTenor(E4054,"1D","Following",$C$16)</f>
        <v>48996</v>
      </c>
      <c r="F4055" s="659">
        <f ca="1"/>
        <v>2.0328174363798152E-2</v>
      </c>
      <c r="G4055" s="656">
        <v>2.0332010800495123E-2</v>
      </c>
    </row>
    <row r="4056" spans="5:7">
      <c r="E4056" s="661">
        <f ca="1">_xll.meDateFromTenor(E4055,"1D","Following",$C$16)</f>
        <v>48997</v>
      </c>
      <c r="F4056" s="659">
        <f ca="1"/>
        <v>2.0327267215786312E-2</v>
      </c>
      <c r="G4056" s="656">
        <v>2.0331093209131762E-2</v>
      </c>
    </row>
    <row r="4057" spans="5:7">
      <c r="E4057" s="661">
        <f ca="1">_xll.meDateFromTenor(E4056,"1D","Following",$C$16)</f>
        <v>48998</v>
      </c>
      <c r="F4057" s="659">
        <f ca="1"/>
        <v>2.0326359373665153E-2</v>
      </c>
      <c r="G4057" s="656">
        <v>2.032833639382817E-2</v>
      </c>
    </row>
    <row r="4058" spans="5:7">
      <c r="E4058" s="661">
        <f ca="1">_xll.meDateFromTenor(E4057,"1D","Following",$C$16)</f>
        <v>48999</v>
      </c>
      <c r="F4058" s="659">
        <f ca="1"/>
        <v>2.0325450835111138E-2</v>
      </c>
      <c r="G4058" s="656">
        <v>2.0327416099861644E-2</v>
      </c>
    </row>
    <row r="4059" spans="5:7">
      <c r="E4059" s="661">
        <f ca="1">_xll.meDateFromTenor(E4058,"1D","Following",$C$16)</f>
        <v>49002</v>
      </c>
      <c r="F4059" s="659">
        <f ca="1"/>
        <v>2.0322721017616605E-2</v>
      </c>
      <c r="G4059" s="656">
        <v>2.0326495123898704E-2</v>
      </c>
    </row>
    <row r="4060" spans="5:7">
      <c r="E4060" s="661">
        <f ca="1">_xll.meDateFromTenor(E4059,"1D","Following",$C$16)</f>
        <v>49003</v>
      </c>
      <c r="F4060" s="659">
        <f ca="1"/>
        <v>2.0321809670095801E-2</v>
      </c>
      <c r="G4060" s="656">
        <v>2.0325573463401119E-2</v>
      </c>
    </row>
    <row r="4061" spans="5:7">
      <c r="E4061" s="661">
        <f ca="1">_xll.meDateFromTenor(E4060,"1D","Following",$C$16)</f>
        <v>49004</v>
      </c>
      <c r="F4061" s="659">
        <f ca="1"/>
        <v>2.0320897614524464E-2</v>
      </c>
      <c r="G4061" s="656">
        <v>2.0324651115830639E-2</v>
      </c>
    </row>
    <row r="4062" spans="5:7">
      <c r="E4062" s="661">
        <f ca="1">_xll.meDateFromTenor(E4061,"1D","Following",$C$16)</f>
        <v>49005</v>
      </c>
      <c r="F4062" s="659">
        <f ca="1"/>
        <v>2.0319984848579054E-2</v>
      </c>
      <c r="G4062" s="656">
        <v>2.0321879925299356E-2</v>
      </c>
    </row>
    <row r="4063" spans="5:7">
      <c r="E4063" s="661">
        <f ca="1">_xll.meDateFromTenor(E4062,"1D","Following",$C$16)</f>
        <v>49006</v>
      </c>
      <c r="F4063" s="659">
        <f ca="1"/>
        <v>2.0319071369936031E-2</v>
      </c>
      <c r="G4063" s="656">
        <v>2.0320954804054825E-2</v>
      </c>
    </row>
    <row r="4064" spans="5:7">
      <c r="E4064" s="661">
        <f ca="1">_xll.meDateFromTenor(E4063,"1D","Following",$C$16)</f>
        <v>49009</v>
      </c>
      <c r="F4064" s="659">
        <f ca="1"/>
        <v>2.0316326634585925E-2</v>
      </c>
      <c r="G4064" s="656">
        <v>2.032002898304618E-2</v>
      </c>
    </row>
    <row r="4065" spans="5:7">
      <c r="E4065" s="661">
        <f ca="1">_xll.meDateFromTenor(E4064,"1D","Following",$C$16)</f>
        <v>49010</v>
      </c>
      <c r="F4065" s="659">
        <f ca="1"/>
        <v>2.0315410281917093E-2</v>
      </c>
      <c r="G4065" s="656">
        <v>2.0319102459735165E-2</v>
      </c>
    </row>
    <row r="4066" spans="5:7">
      <c r="E4066" s="661">
        <f ca="1">_xll.meDateFromTenor(E4065,"1D","Following",$C$16)</f>
        <v>49011</v>
      </c>
      <c r="F4066" s="659">
        <f ca="1"/>
        <v>2.0314493204932966E-2</v>
      </c>
      <c r="G4066" s="656">
        <v>2.0318175231583538E-2</v>
      </c>
    </row>
    <row r="4067" spans="5:7">
      <c r="E4067" s="661">
        <f ca="1">_xll.meDateFromTenor(E4066,"1D","Following",$C$16)</f>
        <v>49012</v>
      </c>
      <c r="F4067" s="659">
        <f ca="1"/>
        <v>2.031357540131001E-2</v>
      </c>
      <c r="G4067" s="656">
        <v>2.0315389292702511E-2</v>
      </c>
    </row>
    <row r="4068" spans="5:7">
      <c r="E4068" s="661">
        <f ca="1">_xll.meDateFromTenor(E4067,"1D","Following",$C$16)</f>
        <v>49013</v>
      </c>
      <c r="F4068" s="659">
        <f ca="1"/>
        <v>2.0312656868724684E-2</v>
      </c>
      <c r="G4068" s="656">
        <v>2.0314459219805975E-2</v>
      </c>
    </row>
    <row r="4069" spans="5:7">
      <c r="E4069" s="661">
        <f ca="1">_xll.meDateFromTenor(E4068,"1D","Following",$C$16)</f>
        <v>49016</v>
      </c>
      <c r="F4069" s="659">
        <f ca="1"/>
        <v>2.0309896873959146E-2</v>
      </c>
      <c r="G4069" s="656">
        <v>2.03135284293776E-2</v>
      </c>
    </row>
    <row r="4070" spans="5:7">
      <c r="E4070" s="661">
        <f ca="1">_xll.meDateFromTenor(E4069,"1D","Following",$C$16)</f>
        <v>49017</v>
      </c>
      <c r="F4070" s="659">
        <f ca="1"/>
        <v>2.030897540228899E-2</v>
      </c>
      <c r="G4070" s="656">
        <v>2.0312596918879135E-2</v>
      </c>
    </row>
    <row r="4071" spans="5:7">
      <c r="E4071" s="661">
        <f ca="1">_xll.meDateFromTenor(E4070,"1D","Following",$C$16)</f>
        <v>49018</v>
      </c>
      <c r="F4071" s="659">
        <f ca="1"/>
        <v>2.0308053190038786E-2</v>
      </c>
      <c r="G4071" s="656">
        <v>2.0311664685772342E-2</v>
      </c>
    </row>
    <row r="4072" spans="5:7">
      <c r="E4072" s="661">
        <f ca="1">_xll.meDateFromTenor(E4071,"1D","Following",$C$16)</f>
        <v>49019</v>
      </c>
      <c r="F4072" s="659">
        <f ca="1"/>
        <v>2.0307130234884993E-2</v>
      </c>
      <c r="G4072" s="656">
        <v>2.0308863625419529E-2</v>
      </c>
    </row>
    <row r="4073" spans="5:7">
      <c r="E4073" s="661">
        <f ca="1">_xll.meDateFromTenor(E4072,"1D","Following",$C$16)</f>
        <v>49020</v>
      </c>
      <c r="F4073" s="659">
        <f ca="1"/>
        <v>2.030620653450408E-2</v>
      </c>
      <c r="G4073" s="656">
        <v>2.0307928476496963E-2</v>
      </c>
    </row>
    <row r="4074" spans="5:7">
      <c r="E4074" s="661">
        <f ca="1">_xll.meDateFromTenor(E4073,"1D","Following",$C$16)</f>
        <v>49023</v>
      </c>
      <c r="F4074" s="659">
        <f ca="1"/>
        <v>2.0303430938763238E-2</v>
      </c>
      <c r="G4074" s="656">
        <v>2.030699259227484E-2</v>
      </c>
    </row>
    <row r="4075" spans="5:7">
      <c r="E4075" s="661">
        <f ca="1">_xll.meDateFromTenor(E4074,"1D","Following",$C$16)</f>
        <v>49024</v>
      </c>
      <c r="F4075" s="659">
        <f ca="1"/>
        <v>2.0302504234238468E-2</v>
      </c>
      <c r="G4075" s="656">
        <v>2.0306055970214912E-2</v>
      </c>
    </row>
    <row r="4076" spans="5:7">
      <c r="E4076" s="661">
        <f ca="1">_xll.meDateFromTenor(E4075,"1D","Following",$C$16)</f>
        <v>49025</v>
      </c>
      <c r="F4076" s="659">
        <f ca="1"/>
        <v>2.0301576772868896E-2</v>
      </c>
      <c r="G4076" s="656">
        <v>2.0305118607778939E-2</v>
      </c>
    </row>
    <row r="4077" spans="5:7">
      <c r="E4077" s="661">
        <f ca="1">_xll.meDateFromTenor(E4076,"1D","Following",$C$16)</f>
        <v>49026</v>
      </c>
      <c r="F4077" s="659">
        <f ca="1"/>
        <v>2.0300648552330977E-2</v>
      </c>
      <c r="G4077" s="656">
        <v>2.0302302052832288E-2</v>
      </c>
    </row>
    <row r="4078" spans="5:7">
      <c r="E4078" s="661">
        <f ca="1">_xll.meDateFromTenor(E4077,"1D","Following",$C$16)</f>
        <v>49027</v>
      </c>
      <c r="F4078" s="659">
        <f ca="1"/>
        <v>2.0299719570301182E-2</v>
      </c>
      <c r="G4078" s="656">
        <v>2.0301361703509671E-2</v>
      </c>
    </row>
    <row r="4079" spans="5:7">
      <c r="E4079" s="661">
        <f ca="1">_xll.meDateFromTenor(E4078,"1D","Following",$C$16)</f>
        <v>49030</v>
      </c>
      <c r="F4079" s="659">
        <f ca="1"/>
        <v>2.0296928032025163E-2</v>
      </c>
      <c r="G4079" s="656">
        <v>2.0300420601119785E-2</v>
      </c>
    </row>
    <row r="4080" spans="5:7">
      <c r="E4080" s="661">
        <f ca="1">_xll.meDateFromTenor(E4079,"1D","Following",$C$16)</f>
        <v>49031</v>
      </c>
      <c r="F4080" s="659">
        <f ca="1"/>
        <v>2.0295995980792486E-2</v>
      </c>
      <c r="G4080" s="656">
        <v>2.0299478743124381E-2</v>
      </c>
    </row>
    <row r="4081" spans="5:7">
      <c r="E4081" s="661">
        <f ca="1">_xll.meDateFromTenor(E4080,"1D","Following",$C$16)</f>
        <v>49032</v>
      </c>
      <c r="F4081" s="659">
        <f ca="1"/>
        <v>2.0295063156450258E-2</v>
      </c>
      <c r="G4081" s="656">
        <v>2.0298536126985216E-2</v>
      </c>
    </row>
    <row r="4082" spans="5:7">
      <c r="E4082" s="661">
        <f ca="1">_xll.meDateFromTenor(E4081,"1D","Following",$C$16)</f>
        <v>49033</v>
      </c>
      <c r="F4082" s="659">
        <f ca="1"/>
        <v>2.0294129556674922E-2</v>
      </c>
      <c r="G4082" s="656">
        <v>2.0295703704322671E-2</v>
      </c>
    </row>
    <row r="4083" spans="5:7">
      <c r="E4083" s="661">
        <f ca="1">_xll.meDateFromTenor(E4082,"1D","Following",$C$16)</f>
        <v>49034</v>
      </c>
      <c r="F4083" s="659">
        <f ca="1"/>
        <v>2.0293195179142961E-2</v>
      </c>
      <c r="G4083" s="656">
        <v>2.0294758030225995E-2</v>
      </c>
    </row>
    <row r="4084" spans="5:7">
      <c r="E4084" s="661">
        <f ca="1">_xll.meDateFromTenor(E4083,"1D","Following",$C$16)</f>
        <v>49037</v>
      </c>
      <c r="F4084" s="659">
        <f ca="1"/>
        <v>2.029038735677189E-2</v>
      </c>
      <c r="G4084" s="656">
        <v>2.0293811585294329E-2</v>
      </c>
    </row>
    <row r="4085" spans="5:7">
      <c r="E4085" s="661">
        <f ca="1">_xll.meDateFromTenor(E4084,"1D","Following",$C$16)</f>
        <v>49038</v>
      </c>
      <c r="F4085" s="659">
        <f ca="1"/>
        <v>2.0289449844978026E-2</v>
      </c>
      <c r="G4085" s="656">
        <v>2.0292864366989429E-2</v>
      </c>
    </row>
    <row r="4086" spans="5:7">
      <c r="E4086" s="661">
        <f ca="1">_xll.meDateFromTenor(E4085,"1D","Following",$C$16)</f>
        <v>49039</v>
      </c>
      <c r="F4086" s="659">
        <f ca="1"/>
        <v>2.028851154380984E-2</v>
      </c>
      <c r="G4086" s="656">
        <v>2.0291916372773045E-2</v>
      </c>
    </row>
    <row r="4087" spans="5:7">
      <c r="E4087" s="661">
        <f ca="1">_xll.meDateFromTenor(E4086,"1D","Following",$C$16)</f>
        <v>49040</v>
      </c>
      <c r="F4087" s="659">
        <f ca="1"/>
        <v>2.0287572450943807E-2</v>
      </c>
      <c r="G4087" s="656">
        <v>2.0289067709272565E-2</v>
      </c>
    </row>
    <row r="4088" spans="5:7">
      <c r="E4088" s="661">
        <f ca="1">_xll.meDateFromTenor(E4087,"1D","Following",$C$16)</f>
        <v>49045</v>
      </c>
      <c r="F4088" s="659">
        <f ca="1"/>
        <v>2.0282865029822048E-2</v>
      </c>
      <c r="G4088" s="656">
        <v>2.0288116586027808E-2</v>
      </c>
    </row>
    <row r="4089" spans="5:7">
      <c r="E4089" s="661">
        <f ca="1">_xll.meDateFromTenor(E4088,"1D","Following",$C$16)</f>
        <v>49046</v>
      </c>
      <c r="F4089" s="659">
        <f ca="1"/>
        <v>2.0281921137974626E-2</v>
      </c>
      <c r="G4089" s="656">
        <v>2.0287164674180347E-2</v>
      </c>
    </row>
    <row r="4090" spans="5:7">
      <c r="E4090" s="661">
        <f ca="1">_xll.meDateFromTenor(E4089,"1D","Following",$C$16)</f>
        <v>49047</v>
      </c>
      <c r="F4090" s="659">
        <f ca="1"/>
        <v>2.0280976438164594E-2</v>
      </c>
      <c r="G4090" s="656">
        <v>2.0286211971191931E-2</v>
      </c>
    </row>
    <row r="4091" spans="5:7">
      <c r="E4091" s="661">
        <f ca="1">_xll.meDateFromTenor(E4090,"1D","Following",$C$16)</f>
        <v>49048</v>
      </c>
      <c r="F4091" s="659">
        <f ca="1"/>
        <v>2.0280030928068415E-2</v>
      </c>
      <c r="G4091" s="656">
        <v>2.0281436500296995E-2</v>
      </c>
    </row>
    <row r="4092" spans="5:7">
      <c r="E4092" s="661">
        <f ca="1">_xll.meDateFromTenor(E4091,"1D","Following",$C$16)</f>
        <v>49051</v>
      </c>
      <c r="F4092" s="659">
        <f ca="1"/>
        <v>2.0277189512827649E-2</v>
      </c>
      <c r="G4092" s="656">
        <v>2.0280478997159717E-2</v>
      </c>
    </row>
    <row r="4093" spans="5:7">
      <c r="E4093" s="661">
        <f ca="1">_xll.meDateFromTenor(E4092,"1D","Following",$C$16)</f>
        <v>49052</v>
      </c>
      <c r="F4093" s="659">
        <f ca="1"/>
        <v>2.0276240738351523E-2</v>
      </c>
      <c r="G4093" s="656">
        <v>2.0279520685113777E-2</v>
      </c>
    </row>
    <row r="4094" spans="5:7">
      <c r="E4094" s="661">
        <f ca="1">_xll.meDateFromTenor(E4093,"1D","Following",$C$16)</f>
        <v>49053</v>
      </c>
      <c r="F4094" s="659">
        <f ca="1"/>
        <v>2.0275291141971574E-2</v>
      </c>
      <c r="G4094" s="656">
        <v>2.0278561561620917E-2</v>
      </c>
    </row>
    <row r="4095" spans="5:7">
      <c r="E4095" s="661">
        <f ca="1">_xll.meDateFromTenor(E4094,"1D","Following",$C$16)</f>
        <v>49054</v>
      </c>
      <c r="F4095" s="659">
        <f ca="1"/>
        <v>2.0274340721364255E-2</v>
      </c>
      <c r="G4095" s="656">
        <v>2.0275679297078408E-2</v>
      </c>
    </row>
    <row r="4096" spans="5:7">
      <c r="E4096" s="661">
        <f ca="1">_xll.meDateFromTenor(E4095,"1D","Following",$C$16)</f>
        <v>49055</v>
      </c>
      <c r="F4096" s="659">
        <f ca="1"/>
        <v>2.0273389474206035E-2</v>
      </c>
      <c r="G4096" s="656">
        <v>2.0274716902415443E-2</v>
      </c>
    </row>
    <row r="4097" spans="5:7">
      <c r="E4097" s="661">
        <f ca="1">_xll.meDateFromTenor(E4096,"1D","Following",$C$16)</f>
        <v>49058</v>
      </c>
      <c r="F4097" s="659">
        <f ca="1"/>
        <v>2.0270530750190609E-2</v>
      </c>
      <c r="G4097" s="656">
        <v>2.0273753683614337E-2</v>
      </c>
    </row>
    <row r="4098" spans="5:7">
      <c r="E4098" s="661">
        <f ca="1">_xll.meDateFromTenor(E4097,"1D","Following",$C$16)</f>
        <v>49059</v>
      </c>
      <c r="F4098" s="659">
        <f ca="1"/>
        <v>2.0269576173593418E-2</v>
      </c>
      <c r="G4098" s="656">
        <v>2.0272789638136841E-2</v>
      </c>
    </row>
    <row r="4099" spans="5:7">
      <c r="E4099" s="661">
        <f ca="1">_xll.meDateFromTenor(E4098,"1D","Following",$C$16)</f>
        <v>49060</v>
      </c>
      <c r="F4099" s="659">
        <f ca="1"/>
        <v>2.0268620758827651E-2</v>
      </c>
      <c r="G4099" s="656">
        <v>2.0271824763444725E-2</v>
      </c>
    </row>
    <row r="4100" spans="5:7">
      <c r="E4100" s="662">
        <f ca="1">_xll.meDateFromTenor(E4099,"1D","Following",$C$16)</f>
        <v>49061</v>
      </c>
      <c r="F4100" s="663">
        <f ca="1"/>
        <v>2.0267664503569757E-2</v>
      </c>
      <c r="G4100" s="656">
        <v>2.0268925138698126E-2</v>
      </c>
    </row>
    <row r="4101" spans="5:7">
      <c r="E4101" s="235" t="s">
        <v>12</v>
      </c>
      <c r="F4101" s="235" t="s">
        <v>12</v>
      </c>
      <c r="G4101" s="235" t="s">
        <v>12</v>
      </c>
    </row>
  </sheetData>
  <dataValidations count="3">
    <dataValidation type="list" allowBlank="1" showInputMessage="1" showErrorMessage="1" sqref="C8">
      <formula1>"1D,1M,3M,6M,12M"</formula1>
    </dataValidation>
    <dataValidation type="list" allowBlank="1" showInputMessage="1" showErrorMessage="1" sqref="C5">
      <formula1>"EURYC,USDYC,GBPYC,JPYYC"</formula1>
    </dataValidation>
    <dataValidation type="list" allowBlank="1" showInputMessage="1" showErrorMessage="1" sqref="C12">
      <formula1>"TRUE,FALSE"</formula1>
    </dataValidation>
  </dataValidations>
  <pageMargins left="0.7" right="0.7" top="0.75" bottom="0.75" header="0.3" footer="0.3"/>
  <pageSetup paperSize="9" scale="42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7" customWidth="1"/>
    <col min="76" max="78" width="12.7109375" customWidth="1"/>
  </cols>
  <sheetData>
    <row r="1" spans="1:79">
      <c r="BV1" s="424" t="s">
        <v>2108</v>
      </c>
    </row>
    <row r="2" spans="1:79" ht="23.25">
      <c r="B2" s="126" t="s">
        <v>2114</v>
      </c>
      <c r="C2" s="234"/>
      <c r="D2" s="234"/>
      <c r="E2" s="234"/>
      <c r="F2" s="234"/>
      <c r="G2" s="234"/>
      <c r="H2" s="998"/>
      <c r="I2" s="234"/>
      <c r="M2" s="234" t="s">
        <v>2060</v>
      </c>
      <c r="AR2" s="234" t="s">
        <v>1993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1768</v>
      </c>
      <c r="C5" s="468" t="s">
        <v>1802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1773</v>
      </c>
      <c r="I5" s="468" t="s">
        <v>1772</v>
      </c>
      <c r="J5" s="469" t="s">
        <v>1784</v>
      </c>
      <c r="L5" t="s">
        <v>12</v>
      </c>
      <c r="M5" s="885" t="s">
        <v>2017</v>
      </c>
      <c r="N5" s="886" t="s">
        <v>354</v>
      </c>
      <c r="O5" s="886" t="s">
        <v>2016</v>
      </c>
      <c r="P5" s="886" t="s">
        <v>1803</v>
      </c>
      <c r="Q5" s="886" t="s">
        <v>1770</v>
      </c>
      <c r="R5" s="886" t="s">
        <v>1443</v>
      </c>
      <c r="S5" s="886" t="s">
        <v>1444</v>
      </c>
      <c r="T5" s="886" t="s">
        <v>156</v>
      </c>
      <c r="U5" s="887" t="s">
        <v>2107</v>
      </c>
      <c r="V5" s="886" t="s">
        <v>2015</v>
      </c>
      <c r="W5" s="886" t="s">
        <v>1772</v>
      </c>
      <c r="X5" s="886" t="s">
        <v>2003</v>
      </c>
      <c r="Y5" s="886" t="s">
        <v>2002</v>
      </c>
      <c r="Z5" s="886" t="s">
        <v>1784</v>
      </c>
      <c r="AA5" s="886" t="s">
        <v>1768</v>
      </c>
      <c r="AB5" s="886" t="s">
        <v>1769</v>
      </c>
      <c r="AC5" s="886" t="s">
        <v>1</v>
      </c>
      <c r="AD5" s="886" t="s">
        <v>120</v>
      </c>
      <c r="AE5" s="886" t="s">
        <v>2012</v>
      </c>
      <c r="AF5" s="886" t="s">
        <v>2011</v>
      </c>
      <c r="AG5" s="886" t="s">
        <v>2014</v>
      </c>
      <c r="AH5" s="886" t="s">
        <v>2013</v>
      </c>
      <c r="AI5" s="886" t="s">
        <v>2009</v>
      </c>
      <c r="AJ5" s="886" t="s">
        <v>2008</v>
      </c>
      <c r="AK5" s="886" t="s">
        <v>2005</v>
      </c>
      <c r="AL5" s="886" t="s">
        <v>2004</v>
      </c>
      <c r="AM5" s="886" t="s">
        <v>2006</v>
      </c>
      <c r="AN5" s="886" t="s">
        <v>2010</v>
      </c>
      <c r="AO5" s="886" t="s">
        <v>2007</v>
      </c>
      <c r="AP5" s="888" t="s">
        <v>2001</v>
      </c>
      <c r="AQ5" t="s">
        <v>12</v>
      </c>
      <c r="AR5" s="879" t="s">
        <v>2017</v>
      </c>
      <c r="AS5" s="880" t="s">
        <v>354</v>
      </c>
      <c r="AT5" s="880" t="s">
        <v>2016</v>
      </c>
      <c r="AU5" s="880" t="s">
        <v>1803</v>
      </c>
      <c r="AV5" s="880" t="s">
        <v>1770</v>
      </c>
      <c r="AW5" s="880" t="s">
        <v>1443</v>
      </c>
      <c r="AX5" s="880" t="s">
        <v>1444</v>
      </c>
      <c r="AY5" s="880" t="s">
        <v>156</v>
      </c>
      <c r="AZ5" s="881" t="s">
        <v>2107</v>
      </c>
      <c r="BA5" s="880" t="s">
        <v>2015</v>
      </c>
      <c r="BB5" s="880" t="s">
        <v>1772</v>
      </c>
      <c r="BC5" s="880" t="s">
        <v>2003</v>
      </c>
      <c r="BD5" s="880" t="s">
        <v>2002</v>
      </c>
      <c r="BE5" s="880" t="s">
        <v>1784</v>
      </c>
      <c r="BF5" s="880" t="s">
        <v>1768</v>
      </c>
      <c r="BG5" s="880" t="s">
        <v>1769</v>
      </c>
      <c r="BH5" s="880" t="s">
        <v>1</v>
      </c>
      <c r="BI5" s="880" t="s">
        <v>120</v>
      </c>
      <c r="BJ5" s="880" t="s">
        <v>2012</v>
      </c>
      <c r="BK5" s="880" t="s">
        <v>2011</v>
      </c>
      <c r="BL5" s="880" t="s">
        <v>2014</v>
      </c>
      <c r="BM5" s="880" t="s">
        <v>2013</v>
      </c>
      <c r="BN5" s="880" t="s">
        <v>2009</v>
      </c>
      <c r="BO5" s="880" t="s">
        <v>2008</v>
      </c>
      <c r="BP5" s="880" t="s">
        <v>2005</v>
      </c>
      <c r="BQ5" s="880" t="s">
        <v>2004</v>
      </c>
      <c r="BR5" s="880" t="s">
        <v>2006</v>
      </c>
      <c r="BS5" s="880" t="s">
        <v>2010</v>
      </c>
      <c r="BT5" s="880" t="s">
        <v>2007</v>
      </c>
      <c r="BU5" s="882" t="s">
        <v>2001</v>
      </c>
      <c r="BV5" t="s">
        <v>12</v>
      </c>
      <c r="BW5" s="914" t="s">
        <v>2000</v>
      </c>
      <c r="BX5" s="915" t="s">
        <v>1805</v>
      </c>
      <c r="BY5" s="915" t="s">
        <v>1806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43228</v>
      </c>
      <c r="C6" s="400" t="s">
        <v>361</v>
      </c>
      <c r="D6" s="361">
        <v>1000000</v>
      </c>
      <c r="E6" s="361" t="s">
        <v>2</v>
      </c>
      <c r="F6" s="342" t="s">
        <v>1753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2060</v>
      </c>
      <c r="N6" s="890">
        <f t="shared" ref="N6:N25" si="0">$D6</f>
        <v>1000000</v>
      </c>
      <c r="O6" s="891" t="s">
        <v>1992</v>
      </c>
      <c r="P6" s="891" t="str">
        <f t="shared" ref="P6:P25" si="1">IF($F6="PAYER","PAY","RECEIVE")</f>
        <v>RECEIVE</v>
      </c>
      <c r="Q6" s="891" t="str">
        <f t="shared" ref="Q6:Q25" si="2">$E6&amp;"YC"</f>
        <v>EURYC</v>
      </c>
      <c r="R6" s="891"/>
      <c r="S6" s="891" t="str">
        <f t="shared" ref="S6:S25" si="3">$E6&amp;"OIS"</f>
        <v>EUROIS</v>
      </c>
      <c r="T6" s="890" t="str">
        <f t="shared" ref="T6:T25" si="4">$E6</f>
        <v>EUR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43228</v>
      </c>
      <c r="AB6" s="894" t="str">
        <f t="shared" ref="AB6:AB25" si="7">$G6</f>
        <v>1Y</v>
      </c>
      <c r="AC6" s="893" t="s">
        <v>2030</v>
      </c>
      <c r="AD6" s="894" t="str">
        <f>$H6</f>
        <v>ACT/360</v>
      </c>
      <c r="AE6" s="891" t="s">
        <v>38</v>
      </c>
      <c r="AF6" s="891" t="s">
        <v>0</v>
      </c>
      <c r="AG6" s="891" t="s">
        <v>38</v>
      </c>
      <c r="AH6" s="891" t="s">
        <v>0</v>
      </c>
      <c r="AI6" s="891" t="s">
        <v>38</v>
      </c>
      <c r="AJ6" s="891" t="s">
        <v>0</v>
      </c>
      <c r="AK6" s="891"/>
      <c r="AL6" s="891"/>
      <c r="AM6" s="891">
        <f t="shared" ref="AM6:AM25" ca="1" si="8">DAY($B6)</f>
        <v>8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1993</v>
      </c>
      <c r="AS6" s="890">
        <f t="shared" ref="AS6:AS25" si="9">$D6</f>
        <v>1000000</v>
      </c>
      <c r="AT6" s="891" t="s">
        <v>1992</v>
      </c>
      <c r="AU6" s="891" t="str">
        <f t="shared" ref="AU6:AU25" si="10">IF($F6="PAYER","RECEIVE","PAY")</f>
        <v>PAY</v>
      </c>
      <c r="AV6" s="891" t="str">
        <f t="shared" ref="AV6:AV25" si="11">$E6&amp;"YC"</f>
        <v>EURYC</v>
      </c>
      <c r="AW6" s="891" t="str">
        <f t="shared" ref="AW6:AX25" si="12">$E6&amp;"OIS"</f>
        <v>EUROIS</v>
      </c>
      <c r="AX6" s="891" t="str">
        <f t="shared" si="12"/>
        <v>EUROIS</v>
      </c>
      <c r="AY6" s="890" t="str">
        <f t="shared" ref="AY6:AY25" si="13">$E6</f>
        <v>EUR</v>
      </c>
      <c r="AZ6" s="891" t="s">
        <v>2033</v>
      </c>
      <c r="BA6" s="892">
        <v>1</v>
      </c>
      <c r="BB6" s="893"/>
      <c r="BC6" s="891"/>
      <c r="BD6" s="891"/>
      <c r="BE6" s="911">
        <f t="shared" ref="BE6:BE25" si="14">$J6</f>
        <v>0</v>
      </c>
      <c r="BF6" s="894">
        <f t="shared" ref="BF6:BF25" ca="1" si="15">$B6</f>
        <v>43228</v>
      </c>
      <c r="BG6" s="894" t="str">
        <f t="shared" ref="BG6:BG25" si="16">$G6</f>
        <v>1Y</v>
      </c>
      <c r="BH6" s="893" t="s">
        <v>2030</v>
      </c>
      <c r="BI6" s="891" t="s">
        <v>3</v>
      </c>
      <c r="BJ6" s="891" t="s">
        <v>38</v>
      </c>
      <c r="BK6" s="891" t="s">
        <v>0</v>
      </c>
      <c r="BL6" s="891" t="s">
        <v>38</v>
      </c>
      <c r="BM6" s="891" t="s">
        <v>0</v>
      </c>
      <c r="BN6" s="891" t="s">
        <v>38</v>
      </c>
      <c r="BO6" s="891" t="s">
        <v>0</v>
      </c>
      <c r="BP6" s="891"/>
      <c r="BQ6" s="891"/>
      <c r="BR6" s="891">
        <f t="shared" ref="BR6:BR25" ca="1" si="17">DAY($B6)</f>
        <v>8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EUROIS1@111:0</v>
      </c>
      <c r="BX6" s="917" t="str">
        <f ca="1">IF(OR($D6="",$D6=0),"",_xll.meLWOSwapParRate($BW6,Q6))</f>
        <v>[2018/05/04 09:52] #Error: Invalid Curve: CurveCollection 'EURYC' does not exist</v>
      </c>
      <c r="BY6" s="918" t="str">
        <f ca="1">IF(OR($D6="",$D6=0),"",_xll.meLWOSwapPV($BW6,Q6))</f>
        <v>[2018/05/04 09:52] #Error: Invalid Curve: CurveCollection 'EURYC' does not exist</v>
      </c>
      <c r="BZ6" s="923" t="str">
        <f ca="1">IF(OR($D6="",$D6=0),"",_xll.meLWOSwapPV01($BW6,Q6))</f>
        <v>[2018/05/04 09:52] #Error: Invalid Curve: CurveCollection 'EURYC' does not exist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43228</v>
      </c>
      <c r="C7" s="401" t="s">
        <v>361</v>
      </c>
      <c r="D7" s="362">
        <v>1000000</v>
      </c>
      <c r="E7" s="362" t="s">
        <v>2</v>
      </c>
      <c r="F7" s="365" t="s">
        <v>1753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2060</v>
      </c>
      <c r="N7" s="897">
        <f t="shared" si="0"/>
        <v>1000000</v>
      </c>
      <c r="O7" s="898" t="s">
        <v>1992</v>
      </c>
      <c r="P7" s="898" t="str">
        <f t="shared" si="1"/>
        <v>RECEIVE</v>
      </c>
      <c r="Q7" s="898" t="str">
        <f t="shared" si="2"/>
        <v>EURYC</v>
      </c>
      <c r="R7" s="898"/>
      <c r="S7" s="898" t="str">
        <f t="shared" si="3"/>
        <v>EUROIS</v>
      </c>
      <c r="T7" s="897" t="str">
        <f t="shared" si="4"/>
        <v>EUR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43228</v>
      </c>
      <c r="AB7" s="901" t="str">
        <f t="shared" si="7"/>
        <v>2Y</v>
      </c>
      <c r="AC7" s="900" t="s">
        <v>2030</v>
      </c>
      <c r="AD7" s="898" t="str">
        <f t="shared" ref="AD7:AD25" si="18">$H7</f>
        <v>ACT/360</v>
      </c>
      <c r="AE7" s="898" t="s">
        <v>38</v>
      </c>
      <c r="AF7" s="898" t="s">
        <v>0</v>
      </c>
      <c r="AG7" s="898" t="s">
        <v>38</v>
      </c>
      <c r="AH7" s="898" t="s">
        <v>0</v>
      </c>
      <c r="AI7" s="898" t="s">
        <v>38</v>
      </c>
      <c r="AJ7" s="898" t="s">
        <v>0</v>
      </c>
      <c r="AK7" s="898"/>
      <c r="AL7" s="898"/>
      <c r="AM7" s="898">
        <f t="shared" ca="1" si="8"/>
        <v>8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1993</v>
      </c>
      <c r="AS7" s="897">
        <f t="shared" si="9"/>
        <v>1000000</v>
      </c>
      <c r="AT7" s="898" t="s">
        <v>1992</v>
      </c>
      <c r="AU7" s="898" t="str">
        <f t="shared" si="10"/>
        <v>PAY</v>
      </c>
      <c r="AV7" s="898" t="str">
        <f t="shared" si="11"/>
        <v>EURYC</v>
      </c>
      <c r="AW7" s="898" t="str">
        <f t="shared" si="12"/>
        <v>EUROIS</v>
      </c>
      <c r="AX7" s="898" t="str">
        <f t="shared" si="12"/>
        <v>EUROIS</v>
      </c>
      <c r="AY7" s="897" t="str">
        <f t="shared" si="13"/>
        <v>EUR</v>
      </c>
      <c r="AZ7" s="898" t="s">
        <v>2033</v>
      </c>
      <c r="BA7" s="899">
        <v>1</v>
      </c>
      <c r="BB7" s="900"/>
      <c r="BC7" s="898"/>
      <c r="BD7" s="898"/>
      <c r="BE7" s="912">
        <f t="shared" si="14"/>
        <v>0</v>
      </c>
      <c r="BF7" s="901">
        <f t="shared" ca="1" si="15"/>
        <v>43228</v>
      </c>
      <c r="BG7" s="901" t="str">
        <f t="shared" si="16"/>
        <v>2Y</v>
      </c>
      <c r="BH7" s="900" t="s">
        <v>2030</v>
      </c>
      <c r="BI7" s="898" t="s">
        <v>3</v>
      </c>
      <c r="BJ7" s="898" t="s">
        <v>38</v>
      </c>
      <c r="BK7" s="898" t="s">
        <v>0</v>
      </c>
      <c r="BL7" s="898" t="s">
        <v>38</v>
      </c>
      <c r="BM7" s="898" t="s">
        <v>0</v>
      </c>
      <c r="BN7" s="898" t="s">
        <v>38</v>
      </c>
      <c r="BO7" s="898" t="s">
        <v>0</v>
      </c>
      <c r="BP7" s="898"/>
      <c r="BQ7" s="898"/>
      <c r="BR7" s="898">
        <f t="shared" ca="1" si="17"/>
        <v>8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EUROIS2@68:0</v>
      </c>
      <c r="BX7" s="900" t="str">
        <f ca="1">IF(OR($D7="",$D7=0),"",_xll.meLWOSwapParRate($BW7,Q7))</f>
        <v>[2018/05/04 09:52] #Error: Invalid Curve: CurveCollection 'EURYC' does not exist</v>
      </c>
      <c r="BY7" s="897" t="str">
        <f ca="1">IF(OR($D7="",$D7=0),"",_xll.meLWOSwapPV($BW7,Q7))</f>
        <v>[2018/05/04 09:52] #Error: Invalid Curve: CurveCollection 'EURYC' does not exist</v>
      </c>
      <c r="BZ7" s="921" t="str">
        <f ca="1">IF(OR($D7="",$D7=0),"",_xll.meLWOSwapPV01($BW7,Q7))</f>
        <v>[2018/05/04 09:52] #Error: Invalid Curve: CurveCollection 'EURYC' does not exist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43228</v>
      </c>
      <c r="C8" s="401" t="s">
        <v>361</v>
      </c>
      <c r="D8" s="362">
        <v>1000000</v>
      </c>
      <c r="E8" s="362" t="s">
        <v>2</v>
      </c>
      <c r="F8" s="365" t="s">
        <v>1753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2060</v>
      </c>
      <c r="N8" s="897">
        <f t="shared" si="0"/>
        <v>1000000</v>
      </c>
      <c r="O8" s="898" t="s">
        <v>1992</v>
      </c>
      <c r="P8" s="898" t="str">
        <f t="shared" si="1"/>
        <v>RECEIVE</v>
      </c>
      <c r="Q8" s="898" t="str">
        <f t="shared" si="2"/>
        <v>EURYC</v>
      </c>
      <c r="R8" s="898"/>
      <c r="S8" s="898" t="str">
        <f t="shared" si="3"/>
        <v>EUROIS</v>
      </c>
      <c r="T8" s="897" t="str">
        <f t="shared" si="4"/>
        <v>EUR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43228</v>
      </c>
      <c r="AB8" s="901" t="str">
        <f t="shared" si="7"/>
        <v>3Y</v>
      </c>
      <c r="AC8" s="900" t="s">
        <v>2030</v>
      </c>
      <c r="AD8" s="898" t="str">
        <f t="shared" si="18"/>
        <v>ACT/360</v>
      </c>
      <c r="AE8" s="898" t="s">
        <v>38</v>
      </c>
      <c r="AF8" s="898" t="s">
        <v>0</v>
      </c>
      <c r="AG8" s="898" t="s">
        <v>38</v>
      </c>
      <c r="AH8" s="898" t="s">
        <v>0</v>
      </c>
      <c r="AI8" s="898" t="s">
        <v>38</v>
      </c>
      <c r="AJ8" s="898" t="s">
        <v>0</v>
      </c>
      <c r="AK8" s="898"/>
      <c r="AL8" s="898"/>
      <c r="AM8" s="898">
        <f t="shared" ca="1" si="8"/>
        <v>8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1993</v>
      </c>
      <c r="AS8" s="897">
        <f t="shared" si="9"/>
        <v>1000000</v>
      </c>
      <c r="AT8" s="898" t="s">
        <v>1992</v>
      </c>
      <c r="AU8" s="898" t="str">
        <f t="shared" si="10"/>
        <v>PAY</v>
      </c>
      <c r="AV8" s="898" t="str">
        <f t="shared" si="11"/>
        <v>EURYC</v>
      </c>
      <c r="AW8" s="898" t="str">
        <f t="shared" si="12"/>
        <v>EUROIS</v>
      </c>
      <c r="AX8" s="898" t="str">
        <f t="shared" si="12"/>
        <v>EUROIS</v>
      </c>
      <c r="AY8" s="897" t="str">
        <f t="shared" si="13"/>
        <v>EUR</v>
      </c>
      <c r="AZ8" s="898" t="s">
        <v>2033</v>
      </c>
      <c r="BA8" s="899">
        <v>1</v>
      </c>
      <c r="BB8" s="900"/>
      <c r="BC8" s="898"/>
      <c r="BD8" s="898"/>
      <c r="BE8" s="912">
        <f t="shared" si="14"/>
        <v>0</v>
      </c>
      <c r="BF8" s="901">
        <f t="shared" ca="1" si="15"/>
        <v>43228</v>
      </c>
      <c r="BG8" s="901" t="str">
        <f t="shared" si="16"/>
        <v>3Y</v>
      </c>
      <c r="BH8" s="900" t="s">
        <v>2030</v>
      </c>
      <c r="BI8" s="898" t="s">
        <v>3</v>
      </c>
      <c r="BJ8" s="898" t="s">
        <v>38</v>
      </c>
      <c r="BK8" s="898" t="s">
        <v>0</v>
      </c>
      <c r="BL8" s="898" t="s">
        <v>38</v>
      </c>
      <c r="BM8" s="898" t="s">
        <v>0</v>
      </c>
      <c r="BN8" s="898" t="s">
        <v>38</v>
      </c>
      <c r="BO8" s="898" t="s">
        <v>0</v>
      </c>
      <c r="BP8" s="898"/>
      <c r="BQ8" s="898"/>
      <c r="BR8" s="898">
        <f t="shared" ca="1" si="17"/>
        <v>8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EUROIS3@102:0</v>
      </c>
      <c r="BX8" s="900" t="str">
        <f ca="1">IF(OR($D8="",$D8=0),"",_xll.meLWOSwapParRate($BW8,Q8))</f>
        <v>[2018/05/04 09:52] #Error: Invalid Curve: CurveCollection 'EURYC' does not exist</v>
      </c>
      <c r="BY8" s="897" t="str">
        <f ca="1">IF(OR($D8="",$D8=0),"",_xll.meLWOSwapPV($BW8,Q8))</f>
        <v>[2018/05/04 09:52] #Error: Invalid Curve: CurveCollection 'EURYC' does not exist</v>
      </c>
      <c r="BZ8" s="921" t="str">
        <f ca="1">IF(OR($D8="",$D8=0),"",_xll.meLWOSwapPV01($BW8,Q8))</f>
        <v>[2018/05/04 09:52] #Error: Invalid Curve: CurveCollection 'EURYC' does not exist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43228</v>
      </c>
      <c r="C9" s="4" t="s">
        <v>361</v>
      </c>
      <c r="D9" s="362">
        <v>1000000</v>
      </c>
      <c r="E9" s="362" t="s">
        <v>2</v>
      </c>
      <c r="F9" s="365" t="s">
        <v>1753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2060</v>
      </c>
      <c r="N9" s="897">
        <f t="shared" si="0"/>
        <v>1000000</v>
      </c>
      <c r="O9" s="898" t="s">
        <v>1992</v>
      </c>
      <c r="P9" s="898" t="str">
        <f t="shared" si="1"/>
        <v>RECEIVE</v>
      </c>
      <c r="Q9" s="898" t="str">
        <f t="shared" si="2"/>
        <v>EURYC</v>
      </c>
      <c r="R9" s="898"/>
      <c r="S9" s="898" t="str">
        <f t="shared" si="3"/>
        <v>EUROIS</v>
      </c>
      <c r="T9" s="897" t="str">
        <f t="shared" si="4"/>
        <v>EUR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43228</v>
      </c>
      <c r="AB9" s="901" t="str">
        <f t="shared" si="7"/>
        <v>4Y</v>
      </c>
      <c r="AC9" s="900" t="s">
        <v>2030</v>
      </c>
      <c r="AD9" s="898" t="str">
        <f t="shared" si="18"/>
        <v>ACT/360</v>
      </c>
      <c r="AE9" s="898" t="s">
        <v>38</v>
      </c>
      <c r="AF9" s="898" t="s">
        <v>0</v>
      </c>
      <c r="AG9" s="898" t="s">
        <v>38</v>
      </c>
      <c r="AH9" s="898" t="s">
        <v>0</v>
      </c>
      <c r="AI9" s="898" t="s">
        <v>38</v>
      </c>
      <c r="AJ9" s="898" t="s">
        <v>0</v>
      </c>
      <c r="AK9" s="898"/>
      <c r="AL9" s="898"/>
      <c r="AM9" s="898">
        <f t="shared" ca="1" si="8"/>
        <v>8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1993</v>
      </c>
      <c r="AS9" s="897">
        <f t="shared" si="9"/>
        <v>1000000</v>
      </c>
      <c r="AT9" s="898" t="s">
        <v>1992</v>
      </c>
      <c r="AU9" s="898" t="str">
        <f t="shared" si="10"/>
        <v>PAY</v>
      </c>
      <c r="AV9" s="898" t="str">
        <f t="shared" si="11"/>
        <v>EURYC</v>
      </c>
      <c r="AW9" s="898" t="str">
        <f t="shared" si="12"/>
        <v>EUROIS</v>
      </c>
      <c r="AX9" s="898" t="str">
        <f t="shared" si="12"/>
        <v>EUROIS</v>
      </c>
      <c r="AY9" s="897" t="str">
        <f t="shared" si="13"/>
        <v>EUR</v>
      </c>
      <c r="AZ9" s="898" t="s">
        <v>2033</v>
      </c>
      <c r="BA9" s="899">
        <v>1</v>
      </c>
      <c r="BB9" s="900"/>
      <c r="BC9" s="898"/>
      <c r="BD9" s="898"/>
      <c r="BE9" s="912">
        <f t="shared" si="14"/>
        <v>0</v>
      </c>
      <c r="BF9" s="901">
        <f t="shared" ca="1" si="15"/>
        <v>43228</v>
      </c>
      <c r="BG9" s="901" t="str">
        <f t="shared" si="16"/>
        <v>4Y</v>
      </c>
      <c r="BH9" s="900" t="s">
        <v>2030</v>
      </c>
      <c r="BI9" s="898" t="s">
        <v>3</v>
      </c>
      <c r="BJ9" s="898" t="s">
        <v>38</v>
      </c>
      <c r="BK9" s="898" t="s">
        <v>0</v>
      </c>
      <c r="BL9" s="898" t="s">
        <v>38</v>
      </c>
      <c r="BM9" s="898" t="s">
        <v>0</v>
      </c>
      <c r="BN9" s="898" t="s">
        <v>38</v>
      </c>
      <c r="BO9" s="898" t="s">
        <v>0</v>
      </c>
      <c r="BP9" s="898"/>
      <c r="BQ9" s="898"/>
      <c r="BR9" s="898">
        <f t="shared" ca="1" si="17"/>
        <v>8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EUROIS4@96:0</v>
      </c>
      <c r="BX9" s="900" t="str">
        <f ca="1">IF(OR($D9="",$D9=0),"",_xll.meLWOSwapParRate($BW9,Q9))</f>
        <v>[2018/05/04 09:52] #Error: Invalid Curve: CurveCollection 'EURYC' does not exist</v>
      </c>
      <c r="BY9" s="897" t="str">
        <f ca="1">IF(OR($D9="",$D9=0),"",_xll.meLWOSwapPV($BW9,Q9))</f>
        <v>[2018/05/04 09:52] #Error: Invalid Curve: CurveCollection 'EURYC' does not exist</v>
      </c>
      <c r="BZ9" s="921" t="str">
        <f ca="1">IF(OR($D9="",$D9=0),"",_xll.meLWOSwapPV01($BW9,Q9))</f>
        <v>[2018/05/04 09:52] #Error: Invalid Curve: CurveCollection 'EURYC' does not exist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43228</v>
      </c>
      <c r="C10" s="4" t="s">
        <v>361</v>
      </c>
      <c r="D10" s="362">
        <v>1000000</v>
      </c>
      <c r="E10" s="362" t="s">
        <v>2</v>
      </c>
      <c r="F10" s="365" t="s">
        <v>1753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2060</v>
      </c>
      <c r="N10" s="897">
        <f t="shared" si="0"/>
        <v>1000000</v>
      </c>
      <c r="O10" s="898" t="s">
        <v>1992</v>
      </c>
      <c r="P10" s="898" t="str">
        <f t="shared" si="1"/>
        <v>RECEIVE</v>
      </c>
      <c r="Q10" s="898" t="str">
        <f t="shared" si="2"/>
        <v>EURYC</v>
      </c>
      <c r="R10" s="898"/>
      <c r="S10" s="898" t="str">
        <f t="shared" si="3"/>
        <v>EUROIS</v>
      </c>
      <c r="T10" s="897" t="str">
        <f t="shared" si="4"/>
        <v>EUR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43228</v>
      </c>
      <c r="AB10" s="901" t="str">
        <f t="shared" si="7"/>
        <v>5Y</v>
      </c>
      <c r="AC10" s="900" t="s">
        <v>2030</v>
      </c>
      <c r="AD10" s="898" t="str">
        <f t="shared" si="18"/>
        <v>ACT/360</v>
      </c>
      <c r="AE10" s="898" t="s">
        <v>38</v>
      </c>
      <c r="AF10" s="898" t="s">
        <v>0</v>
      </c>
      <c r="AG10" s="898" t="s">
        <v>38</v>
      </c>
      <c r="AH10" s="898" t="s">
        <v>0</v>
      </c>
      <c r="AI10" s="898" t="s">
        <v>38</v>
      </c>
      <c r="AJ10" s="898" t="s">
        <v>0</v>
      </c>
      <c r="AK10" s="898"/>
      <c r="AL10" s="898"/>
      <c r="AM10" s="898">
        <f t="shared" ca="1" si="8"/>
        <v>8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1993</v>
      </c>
      <c r="AS10" s="897">
        <f t="shared" si="9"/>
        <v>1000000</v>
      </c>
      <c r="AT10" s="898" t="s">
        <v>1992</v>
      </c>
      <c r="AU10" s="898" t="str">
        <f t="shared" si="10"/>
        <v>PAY</v>
      </c>
      <c r="AV10" s="898" t="str">
        <f t="shared" si="11"/>
        <v>EURYC</v>
      </c>
      <c r="AW10" s="898" t="str">
        <f t="shared" si="12"/>
        <v>EUROIS</v>
      </c>
      <c r="AX10" s="898" t="str">
        <f t="shared" si="12"/>
        <v>EUROIS</v>
      </c>
      <c r="AY10" s="897" t="str">
        <f t="shared" si="13"/>
        <v>EUR</v>
      </c>
      <c r="AZ10" s="898" t="s">
        <v>2033</v>
      </c>
      <c r="BA10" s="899">
        <v>1</v>
      </c>
      <c r="BB10" s="900"/>
      <c r="BC10" s="898"/>
      <c r="BD10" s="898"/>
      <c r="BE10" s="912">
        <f t="shared" si="14"/>
        <v>0</v>
      </c>
      <c r="BF10" s="901">
        <f t="shared" ca="1" si="15"/>
        <v>43228</v>
      </c>
      <c r="BG10" s="901" t="str">
        <f t="shared" si="16"/>
        <v>5Y</v>
      </c>
      <c r="BH10" s="900" t="s">
        <v>2030</v>
      </c>
      <c r="BI10" s="898" t="s">
        <v>3</v>
      </c>
      <c r="BJ10" s="898" t="s">
        <v>38</v>
      </c>
      <c r="BK10" s="898" t="s">
        <v>0</v>
      </c>
      <c r="BL10" s="898" t="s">
        <v>38</v>
      </c>
      <c r="BM10" s="898" t="s">
        <v>0</v>
      </c>
      <c r="BN10" s="898" t="s">
        <v>38</v>
      </c>
      <c r="BO10" s="898" t="s">
        <v>0</v>
      </c>
      <c r="BP10" s="898"/>
      <c r="BQ10" s="898"/>
      <c r="BR10" s="898">
        <f t="shared" ca="1" si="17"/>
        <v>8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EUROIS5@81:0</v>
      </c>
      <c r="BX10" s="900" t="str">
        <f ca="1">IF(OR($D10="",$D10=0),"",_xll.meLWOSwapParRate($BW10,Q10))</f>
        <v>[2018/05/04 09:52] #Error: Invalid Curve: CurveCollection 'EURYC' does not exist</v>
      </c>
      <c r="BY10" s="897" t="str">
        <f ca="1">IF(OR($D10="",$D10=0),"",_xll.meLWOSwapPV($BW10,Q10))</f>
        <v>[2018/05/04 09:52] #Error: Invalid Curve: CurveCollection 'EURYC' does not exist</v>
      </c>
      <c r="BZ10" s="921" t="str">
        <f ca="1">IF(OR($D10="",$D10=0),"",_xll.meLWOSwapPV01($BW10,Q10))</f>
        <v>[2018/05/04 09:52] #Error: Invalid Curve: CurveCollection 'EURYC' does not exist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43228</v>
      </c>
      <c r="C11" s="4" t="s">
        <v>361</v>
      </c>
      <c r="D11" s="362">
        <v>1000000</v>
      </c>
      <c r="E11" s="362" t="s">
        <v>2</v>
      </c>
      <c r="F11" s="365" t="s">
        <v>1753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2060</v>
      </c>
      <c r="N11" s="897">
        <f t="shared" si="0"/>
        <v>1000000</v>
      </c>
      <c r="O11" s="898" t="s">
        <v>1992</v>
      </c>
      <c r="P11" s="898" t="str">
        <f t="shared" si="1"/>
        <v>RECEIVE</v>
      </c>
      <c r="Q11" s="898" t="str">
        <f t="shared" si="2"/>
        <v>EURYC</v>
      </c>
      <c r="R11" s="898"/>
      <c r="S11" s="898" t="str">
        <f t="shared" si="3"/>
        <v>EUROIS</v>
      </c>
      <c r="T11" s="897" t="str">
        <f t="shared" si="4"/>
        <v>EUR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43228</v>
      </c>
      <c r="AB11" s="901" t="str">
        <f t="shared" si="7"/>
        <v>6Y</v>
      </c>
      <c r="AC11" s="900" t="s">
        <v>2030</v>
      </c>
      <c r="AD11" s="898" t="str">
        <f t="shared" si="18"/>
        <v>ACT/360</v>
      </c>
      <c r="AE11" s="898" t="s">
        <v>38</v>
      </c>
      <c r="AF11" s="898" t="s">
        <v>0</v>
      </c>
      <c r="AG11" s="898" t="s">
        <v>38</v>
      </c>
      <c r="AH11" s="898" t="s">
        <v>0</v>
      </c>
      <c r="AI11" s="898" t="s">
        <v>38</v>
      </c>
      <c r="AJ11" s="898" t="s">
        <v>0</v>
      </c>
      <c r="AK11" s="898"/>
      <c r="AL11" s="898"/>
      <c r="AM11" s="898">
        <f t="shared" ca="1" si="8"/>
        <v>8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1993</v>
      </c>
      <c r="AS11" s="897">
        <f t="shared" si="9"/>
        <v>1000000</v>
      </c>
      <c r="AT11" s="898" t="s">
        <v>1992</v>
      </c>
      <c r="AU11" s="898" t="str">
        <f t="shared" si="10"/>
        <v>PAY</v>
      </c>
      <c r="AV11" s="898" t="str">
        <f t="shared" si="11"/>
        <v>EURYC</v>
      </c>
      <c r="AW11" s="898" t="str">
        <f t="shared" si="12"/>
        <v>EUROIS</v>
      </c>
      <c r="AX11" s="898" t="str">
        <f t="shared" si="12"/>
        <v>EUROIS</v>
      </c>
      <c r="AY11" s="897" t="str">
        <f t="shared" si="13"/>
        <v>EUR</v>
      </c>
      <c r="AZ11" s="898" t="s">
        <v>2033</v>
      </c>
      <c r="BA11" s="899">
        <v>1</v>
      </c>
      <c r="BB11" s="900"/>
      <c r="BC11" s="898"/>
      <c r="BD11" s="898"/>
      <c r="BE11" s="912">
        <f t="shared" si="14"/>
        <v>0</v>
      </c>
      <c r="BF11" s="901">
        <f t="shared" ca="1" si="15"/>
        <v>43228</v>
      </c>
      <c r="BG11" s="901" t="str">
        <f t="shared" si="16"/>
        <v>6Y</v>
      </c>
      <c r="BH11" s="900" t="s">
        <v>2030</v>
      </c>
      <c r="BI11" s="898" t="s">
        <v>3</v>
      </c>
      <c r="BJ11" s="898" t="s">
        <v>38</v>
      </c>
      <c r="BK11" s="898" t="s">
        <v>0</v>
      </c>
      <c r="BL11" s="898" t="s">
        <v>38</v>
      </c>
      <c r="BM11" s="898" t="s">
        <v>0</v>
      </c>
      <c r="BN11" s="898" t="s">
        <v>38</v>
      </c>
      <c r="BO11" s="898" t="s">
        <v>0</v>
      </c>
      <c r="BP11" s="898"/>
      <c r="BQ11" s="898"/>
      <c r="BR11" s="898">
        <f t="shared" ca="1" si="17"/>
        <v>8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EUROIS6@122:0</v>
      </c>
      <c r="BX11" s="900" t="str">
        <f ca="1">IF(OR($D11="",$D11=0),"",_xll.meLWOSwapParRate($BW11,Q11))</f>
        <v>[2018/05/04 09:52] #Error: Invalid Curve: CurveCollection 'EURYC' does not exist</v>
      </c>
      <c r="BY11" s="897" t="str">
        <f ca="1">IF(OR($D11="",$D11=0),"",_xll.meLWOSwapPV($BW11,Q11))</f>
        <v>[2018/05/04 09:52] #Error: Invalid Curve: CurveCollection 'EURYC' does not exist</v>
      </c>
      <c r="BZ11" s="921" t="str">
        <f ca="1">IF(OR($D11="",$D11=0),"",_xll.meLWOSwapPV01($BW11,Q11))</f>
        <v>[2018/05/04 09:52] #Error: Invalid Curve: CurveCollection 'EURYC' does not exist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43228</v>
      </c>
      <c r="C12" s="4" t="s">
        <v>361</v>
      </c>
      <c r="D12" s="362">
        <v>1000000</v>
      </c>
      <c r="E12" s="362" t="s">
        <v>2</v>
      </c>
      <c r="F12" s="365" t="s">
        <v>1753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2060</v>
      </c>
      <c r="N12" s="897">
        <f t="shared" si="0"/>
        <v>1000000</v>
      </c>
      <c r="O12" s="898" t="s">
        <v>1992</v>
      </c>
      <c r="P12" s="898" t="str">
        <f t="shared" si="1"/>
        <v>RECEIVE</v>
      </c>
      <c r="Q12" s="898" t="str">
        <f t="shared" si="2"/>
        <v>EURYC</v>
      </c>
      <c r="R12" s="898"/>
      <c r="S12" s="898" t="str">
        <f t="shared" si="3"/>
        <v>EUROIS</v>
      </c>
      <c r="T12" s="897" t="str">
        <f t="shared" si="4"/>
        <v>EUR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43228</v>
      </c>
      <c r="AB12" s="901" t="str">
        <f t="shared" si="7"/>
        <v>7Y</v>
      </c>
      <c r="AC12" s="900" t="s">
        <v>2030</v>
      </c>
      <c r="AD12" s="898" t="str">
        <f t="shared" si="18"/>
        <v>ACT/360</v>
      </c>
      <c r="AE12" s="898" t="s">
        <v>38</v>
      </c>
      <c r="AF12" s="898" t="s">
        <v>0</v>
      </c>
      <c r="AG12" s="898" t="s">
        <v>38</v>
      </c>
      <c r="AH12" s="898" t="s">
        <v>0</v>
      </c>
      <c r="AI12" s="898" t="s">
        <v>38</v>
      </c>
      <c r="AJ12" s="898" t="s">
        <v>0</v>
      </c>
      <c r="AK12" s="898"/>
      <c r="AL12" s="898"/>
      <c r="AM12" s="898">
        <f t="shared" ca="1" si="8"/>
        <v>8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1993</v>
      </c>
      <c r="AS12" s="897">
        <f t="shared" si="9"/>
        <v>1000000</v>
      </c>
      <c r="AT12" s="898" t="s">
        <v>1992</v>
      </c>
      <c r="AU12" s="898" t="str">
        <f t="shared" si="10"/>
        <v>PAY</v>
      </c>
      <c r="AV12" s="898" t="str">
        <f t="shared" si="11"/>
        <v>EURYC</v>
      </c>
      <c r="AW12" s="898" t="str">
        <f t="shared" si="12"/>
        <v>EUROIS</v>
      </c>
      <c r="AX12" s="898" t="str">
        <f t="shared" si="12"/>
        <v>EUROIS</v>
      </c>
      <c r="AY12" s="897" t="str">
        <f t="shared" si="13"/>
        <v>EUR</v>
      </c>
      <c r="AZ12" s="898" t="s">
        <v>2033</v>
      </c>
      <c r="BA12" s="899">
        <v>1</v>
      </c>
      <c r="BB12" s="900"/>
      <c r="BC12" s="898"/>
      <c r="BD12" s="898"/>
      <c r="BE12" s="912">
        <f t="shared" si="14"/>
        <v>0</v>
      </c>
      <c r="BF12" s="901">
        <f t="shared" ca="1" si="15"/>
        <v>43228</v>
      </c>
      <c r="BG12" s="901" t="str">
        <f t="shared" si="16"/>
        <v>7Y</v>
      </c>
      <c r="BH12" s="900" t="s">
        <v>2030</v>
      </c>
      <c r="BI12" s="898" t="s">
        <v>3</v>
      </c>
      <c r="BJ12" s="898" t="s">
        <v>38</v>
      </c>
      <c r="BK12" s="898" t="s">
        <v>0</v>
      </c>
      <c r="BL12" s="898" t="s">
        <v>38</v>
      </c>
      <c r="BM12" s="898" t="s">
        <v>0</v>
      </c>
      <c r="BN12" s="898" t="s">
        <v>38</v>
      </c>
      <c r="BO12" s="898" t="s">
        <v>0</v>
      </c>
      <c r="BP12" s="898"/>
      <c r="BQ12" s="898"/>
      <c r="BR12" s="898">
        <f t="shared" ca="1" si="17"/>
        <v>8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EUROIS7@92:0</v>
      </c>
      <c r="BX12" s="900" t="str">
        <f ca="1">IF(OR($D12="",$D12=0),"",_xll.meLWOSwapParRate($BW12,Q12))</f>
        <v>[2018/05/04 09:52] #Error: Invalid Curve: CurveCollection 'EURYC' does not exist</v>
      </c>
      <c r="BY12" s="897" t="str">
        <f ca="1">IF(OR($D12="",$D12=0),"",_xll.meLWOSwapPV($BW12,Q12))</f>
        <v>[2018/05/04 09:52] #Error: Invalid Curve: CurveCollection 'EURYC' does not exist</v>
      </c>
      <c r="BZ12" s="921" t="str">
        <f ca="1">IF(OR($D12="",$D12=0),"",_xll.meLWOSwapPV01($BW12,Q12))</f>
        <v>[2018/05/04 09:52] #Error: Invalid Curve: CurveCollection 'EURYC' does not exist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43228</v>
      </c>
      <c r="C13" s="4" t="s">
        <v>361</v>
      </c>
      <c r="D13" s="362">
        <v>1000000</v>
      </c>
      <c r="E13" s="362" t="s">
        <v>2</v>
      </c>
      <c r="F13" s="365" t="s">
        <v>1753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2060</v>
      </c>
      <c r="N13" s="897">
        <f t="shared" si="0"/>
        <v>1000000</v>
      </c>
      <c r="O13" s="898" t="s">
        <v>1992</v>
      </c>
      <c r="P13" s="898" t="str">
        <f t="shared" si="1"/>
        <v>RECEIVE</v>
      </c>
      <c r="Q13" s="898" t="str">
        <f t="shared" si="2"/>
        <v>EURYC</v>
      </c>
      <c r="R13" s="898"/>
      <c r="S13" s="898" t="str">
        <f t="shared" si="3"/>
        <v>EUROIS</v>
      </c>
      <c r="T13" s="897" t="str">
        <f t="shared" si="4"/>
        <v>EUR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43228</v>
      </c>
      <c r="AB13" s="901" t="str">
        <f t="shared" si="7"/>
        <v>8Y</v>
      </c>
      <c r="AC13" s="900" t="s">
        <v>2030</v>
      </c>
      <c r="AD13" s="898" t="str">
        <f t="shared" si="18"/>
        <v>ACT/360</v>
      </c>
      <c r="AE13" s="898" t="s">
        <v>38</v>
      </c>
      <c r="AF13" s="898" t="s">
        <v>0</v>
      </c>
      <c r="AG13" s="898" t="s">
        <v>38</v>
      </c>
      <c r="AH13" s="898" t="s">
        <v>0</v>
      </c>
      <c r="AI13" s="898" t="s">
        <v>38</v>
      </c>
      <c r="AJ13" s="898" t="s">
        <v>0</v>
      </c>
      <c r="AK13" s="898"/>
      <c r="AL13" s="898"/>
      <c r="AM13" s="898">
        <f t="shared" ca="1" si="8"/>
        <v>8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1993</v>
      </c>
      <c r="AS13" s="897">
        <f t="shared" si="9"/>
        <v>1000000</v>
      </c>
      <c r="AT13" s="898" t="s">
        <v>1992</v>
      </c>
      <c r="AU13" s="898" t="str">
        <f t="shared" si="10"/>
        <v>PAY</v>
      </c>
      <c r="AV13" s="898" t="str">
        <f t="shared" si="11"/>
        <v>EURYC</v>
      </c>
      <c r="AW13" s="898" t="str">
        <f t="shared" si="12"/>
        <v>EUROIS</v>
      </c>
      <c r="AX13" s="898" t="str">
        <f t="shared" si="12"/>
        <v>EUROIS</v>
      </c>
      <c r="AY13" s="897" t="str">
        <f t="shared" si="13"/>
        <v>EUR</v>
      </c>
      <c r="AZ13" s="898" t="s">
        <v>2033</v>
      </c>
      <c r="BA13" s="899">
        <v>1</v>
      </c>
      <c r="BB13" s="900"/>
      <c r="BC13" s="898"/>
      <c r="BD13" s="898"/>
      <c r="BE13" s="912">
        <f t="shared" si="14"/>
        <v>0</v>
      </c>
      <c r="BF13" s="901">
        <f t="shared" ca="1" si="15"/>
        <v>43228</v>
      </c>
      <c r="BG13" s="901" t="str">
        <f t="shared" si="16"/>
        <v>8Y</v>
      </c>
      <c r="BH13" s="900" t="s">
        <v>2030</v>
      </c>
      <c r="BI13" s="898" t="s">
        <v>3</v>
      </c>
      <c r="BJ13" s="898" t="s">
        <v>38</v>
      </c>
      <c r="BK13" s="898" t="s">
        <v>0</v>
      </c>
      <c r="BL13" s="898" t="s">
        <v>38</v>
      </c>
      <c r="BM13" s="898" t="s">
        <v>0</v>
      </c>
      <c r="BN13" s="898" t="s">
        <v>38</v>
      </c>
      <c r="BO13" s="898" t="s">
        <v>0</v>
      </c>
      <c r="BP13" s="898"/>
      <c r="BQ13" s="898"/>
      <c r="BR13" s="898">
        <f t="shared" ca="1" si="17"/>
        <v>8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EUROIS8@79:0</v>
      </c>
      <c r="BX13" s="900" t="str">
        <f ca="1">IF(OR($D13="",$D13=0),"",_xll.meLWOSwapParRate($BW13,Q13))</f>
        <v>[2018/05/04 09:52] #Error: Invalid Curve: CurveCollection 'EURYC' does not exist</v>
      </c>
      <c r="BY13" s="897" t="str">
        <f ca="1">IF(OR($D13="",$D13=0),"",_xll.meLWOSwapPV($BW13,Q13))</f>
        <v>[2018/05/04 09:52] #Error: Invalid Curve: CurveCollection 'EURYC' does not exist</v>
      </c>
      <c r="BZ13" s="921" t="str">
        <f ca="1">IF(OR($D13="",$D13=0),"",_xll.meLWOSwapPV01($BW13,Q13))</f>
        <v>[2018/05/04 09:52] #Error: Invalid Curve: CurveCollection 'EURYC' does not exist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43228</v>
      </c>
      <c r="C14" s="4" t="s">
        <v>361</v>
      </c>
      <c r="D14" s="362">
        <v>1000000</v>
      </c>
      <c r="E14" s="362" t="s">
        <v>2</v>
      </c>
      <c r="F14" s="365" t="s">
        <v>1753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2060</v>
      </c>
      <c r="N14" s="897">
        <f t="shared" si="0"/>
        <v>1000000</v>
      </c>
      <c r="O14" s="898" t="s">
        <v>1992</v>
      </c>
      <c r="P14" s="898" t="str">
        <f t="shared" si="1"/>
        <v>RECEIVE</v>
      </c>
      <c r="Q14" s="898" t="str">
        <f t="shared" si="2"/>
        <v>EURYC</v>
      </c>
      <c r="R14" s="898"/>
      <c r="S14" s="898" t="str">
        <f t="shared" si="3"/>
        <v>EUROIS</v>
      </c>
      <c r="T14" s="897" t="str">
        <f t="shared" si="4"/>
        <v>EUR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43228</v>
      </c>
      <c r="AB14" s="901" t="str">
        <f t="shared" si="7"/>
        <v>9Y</v>
      </c>
      <c r="AC14" s="900" t="s">
        <v>2030</v>
      </c>
      <c r="AD14" s="898" t="str">
        <f t="shared" si="18"/>
        <v>ACT/360</v>
      </c>
      <c r="AE14" s="898" t="s">
        <v>38</v>
      </c>
      <c r="AF14" s="898" t="s">
        <v>0</v>
      </c>
      <c r="AG14" s="898" t="s">
        <v>38</v>
      </c>
      <c r="AH14" s="898" t="s">
        <v>0</v>
      </c>
      <c r="AI14" s="898" t="s">
        <v>38</v>
      </c>
      <c r="AJ14" s="898" t="s">
        <v>0</v>
      </c>
      <c r="AK14" s="898"/>
      <c r="AL14" s="898"/>
      <c r="AM14" s="898">
        <f t="shared" ca="1" si="8"/>
        <v>8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1993</v>
      </c>
      <c r="AS14" s="897">
        <f t="shared" si="9"/>
        <v>1000000</v>
      </c>
      <c r="AT14" s="898" t="s">
        <v>1992</v>
      </c>
      <c r="AU14" s="898" t="str">
        <f t="shared" si="10"/>
        <v>PAY</v>
      </c>
      <c r="AV14" s="898" t="str">
        <f t="shared" si="11"/>
        <v>EURYC</v>
      </c>
      <c r="AW14" s="898" t="str">
        <f t="shared" si="12"/>
        <v>EUROIS</v>
      </c>
      <c r="AX14" s="898" t="str">
        <f t="shared" si="12"/>
        <v>EUROIS</v>
      </c>
      <c r="AY14" s="897" t="str">
        <f t="shared" si="13"/>
        <v>EUR</v>
      </c>
      <c r="AZ14" s="898" t="s">
        <v>2033</v>
      </c>
      <c r="BA14" s="899">
        <v>1</v>
      </c>
      <c r="BB14" s="900"/>
      <c r="BC14" s="898"/>
      <c r="BD14" s="898"/>
      <c r="BE14" s="912">
        <f t="shared" si="14"/>
        <v>0</v>
      </c>
      <c r="BF14" s="901">
        <f t="shared" ca="1" si="15"/>
        <v>43228</v>
      </c>
      <c r="BG14" s="901" t="str">
        <f t="shared" si="16"/>
        <v>9Y</v>
      </c>
      <c r="BH14" s="900" t="s">
        <v>2030</v>
      </c>
      <c r="BI14" s="898" t="s">
        <v>3</v>
      </c>
      <c r="BJ14" s="898" t="s">
        <v>38</v>
      </c>
      <c r="BK14" s="898" t="s">
        <v>0</v>
      </c>
      <c r="BL14" s="898" t="s">
        <v>38</v>
      </c>
      <c r="BM14" s="898" t="s">
        <v>0</v>
      </c>
      <c r="BN14" s="898" t="s">
        <v>38</v>
      </c>
      <c r="BO14" s="898" t="s">
        <v>0</v>
      </c>
      <c r="BP14" s="898"/>
      <c r="BQ14" s="898"/>
      <c r="BR14" s="898">
        <f t="shared" ca="1" si="17"/>
        <v>8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EUROIS9@36:0</v>
      </c>
      <c r="BX14" s="900" t="str">
        <f ca="1">IF(OR($D14="",$D14=0),"",_xll.meLWOSwapParRate($BW14,Q14))</f>
        <v>[2018/05/04 09:52] #Error: Invalid Curve: CurveCollection 'EURYC' does not exist</v>
      </c>
      <c r="BY14" s="897" t="str">
        <f ca="1">IF(OR($D14="",$D14=0),"",_xll.meLWOSwapPV($BW14,Q14))</f>
        <v>[2018/05/04 09:52] #Error: Invalid Curve: CurveCollection 'EURYC' does not exist</v>
      </c>
      <c r="BZ14" s="921" t="str">
        <f ca="1">IF(OR($D14="",$D14=0),"",_xll.meLWOSwapPV01($BW14,Q14))</f>
        <v>[2018/05/04 09:52] #Error: Invalid Curve: CurveCollection 'EURYC' does not exist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43228</v>
      </c>
      <c r="C15" s="4" t="s">
        <v>361</v>
      </c>
      <c r="D15" s="362">
        <v>1000000</v>
      </c>
      <c r="E15" s="362" t="s">
        <v>2</v>
      </c>
      <c r="F15" s="365" t="s">
        <v>1753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2060</v>
      </c>
      <c r="N15" s="897">
        <f t="shared" si="0"/>
        <v>1000000</v>
      </c>
      <c r="O15" s="898" t="s">
        <v>1992</v>
      </c>
      <c r="P15" s="898" t="str">
        <f t="shared" si="1"/>
        <v>RECEIVE</v>
      </c>
      <c r="Q15" s="898" t="str">
        <f t="shared" si="2"/>
        <v>EURYC</v>
      </c>
      <c r="R15" s="898"/>
      <c r="S15" s="898" t="str">
        <f t="shared" si="3"/>
        <v>EUROIS</v>
      </c>
      <c r="T15" s="897" t="str">
        <f t="shared" si="4"/>
        <v>EUR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43228</v>
      </c>
      <c r="AB15" s="901" t="str">
        <f t="shared" si="7"/>
        <v>10Y</v>
      </c>
      <c r="AC15" s="900" t="s">
        <v>2030</v>
      </c>
      <c r="AD15" s="898" t="str">
        <f t="shared" si="18"/>
        <v>ACT/360</v>
      </c>
      <c r="AE15" s="898" t="s">
        <v>38</v>
      </c>
      <c r="AF15" s="898" t="s">
        <v>0</v>
      </c>
      <c r="AG15" s="898" t="s">
        <v>38</v>
      </c>
      <c r="AH15" s="898" t="s">
        <v>0</v>
      </c>
      <c r="AI15" s="898" t="s">
        <v>38</v>
      </c>
      <c r="AJ15" s="898" t="s">
        <v>0</v>
      </c>
      <c r="AK15" s="898"/>
      <c r="AL15" s="898"/>
      <c r="AM15" s="898">
        <f t="shared" ca="1" si="8"/>
        <v>8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1993</v>
      </c>
      <c r="AS15" s="897">
        <f t="shared" si="9"/>
        <v>1000000</v>
      </c>
      <c r="AT15" s="898" t="s">
        <v>1992</v>
      </c>
      <c r="AU15" s="898" t="str">
        <f t="shared" si="10"/>
        <v>PAY</v>
      </c>
      <c r="AV15" s="898" t="str">
        <f t="shared" si="11"/>
        <v>EURYC</v>
      </c>
      <c r="AW15" s="898" t="str">
        <f t="shared" si="12"/>
        <v>EUROIS</v>
      </c>
      <c r="AX15" s="898" t="str">
        <f t="shared" si="12"/>
        <v>EUROIS</v>
      </c>
      <c r="AY15" s="897" t="str">
        <f t="shared" si="13"/>
        <v>EUR</v>
      </c>
      <c r="AZ15" s="898" t="s">
        <v>2033</v>
      </c>
      <c r="BA15" s="899">
        <v>1</v>
      </c>
      <c r="BB15" s="900"/>
      <c r="BC15" s="898"/>
      <c r="BD15" s="898"/>
      <c r="BE15" s="912">
        <f t="shared" si="14"/>
        <v>0</v>
      </c>
      <c r="BF15" s="901">
        <f t="shared" ca="1" si="15"/>
        <v>43228</v>
      </c>
      <c r="BG15" s="901" t="str">
        <f t="shared" si="16"/>
        <v>10Y</v>
      </c>
      <c r="BH15" s="900" t="s">
        <v>2030</v>
      </c>
      <c r="BI15" s="898" t="s">
        <v>3</v>
      </c>
      <c r="BJ15" s="898" t="s">
        <v>38</v>
      </c>
      <c r="BK15" s="898" t="s">
        <v>0</v>
      </c>
      <c r="BL15" s="898" t="s">
        <v>38</v>
      </c>
      <c r="BM15" s="898" t="s">
        <v>0</v>
      </c>
      <c r="BN15" s="898" t="s">
        <v>38</v>
      </c>
      <c r="BO15" s="898" t="s">
        <v>0</v>
      </c>
      <c r="BP15" s="898"/>
      <c r="BQ15" s="898"/>
      <c r="BR15" s="898">
        <f t="shared" ca="1" si="17"/>
        <v>8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EUROIS10@25:0</v>
      </c>
      <c r="BX15" s="900" t="str">
        <f ca="1">IF(OR($D15="",$D15=0),"",_xll.meLWOSwapParRate($BW15,Q15))</f>
        <v>[2018/05/04 09:52] #Error: Invalid Curve: CurveCollection 'EURYC' does not exist</v>
      </c>
      <c r="BY15" s="897" t="str">
        <f ca="1">IF(OR($D15="",$D15=0),"",_xll.meLWOSwapPV($BW15,Q15))</f>
        <v>[2018/05/04 09:52] #Error: Invalid Curve: CurveCollection 'EURYC' does not exist</v>
      </c>
      <c r="BZ15" s="921" t="str">
        <f ca="1">IF(OR($D15="",$D15=0),"",_xll.meLWOSwapPV01($BW15,Q15))</f>
        <v>[2018/05/04 09:52] #Error: Invalid Curve: CurveCollection 'EURYC' does not exist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43228</v>
      </c>
      <c r="C16" s="4" t="s">
        <v>361</v>
      </c>
      <c r="D16" s="362">
        <v>1000000</v>
      </c>
      <c r="E16" s="362" t="s">
        <v>2</v>
      </c>
      <c r="F16" s="365" t="s">
        <v>1753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2060</v>
      </c>
      <c r="N16" s="897">
        <f t="shared" si="0"/>
        <v>1000000</v>
      </c>
      <c r="O16" s="898" t="s">
        <v>1992</v>
      </c>
      <c r="P16" s="898" t="str">
        <f t="shared" si="1"/>
        <v>RECEIVE</v>
      </c>
      <c r="Q16" s="898" t="str">
        <f t="shared" si="2"/>
        <v>EURYC</v>
      </c>
      <c r="R16" s="898"/>
      <c r="S16" s="898" t="str">
        <f t="shared" si="3"/>
        <v>EUROIS</v>
      </c>
      <c r="T16" s="897" t="str">
        <f t="shared" si="4"/>
        <v>EUR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43228</v>
      </c>
      <c r="AB16" s="901" t="str">
        <f t="shared" si="7"/>
        <v>11Y</v>
      </c>
      <c r="AC16" s="900" t="s">
        <v>2030</v>
      </c>
      <c r="AD16" s="898" t="str">
        <f t="shared" si="18"/>
        <v>ACT/360</v>
      </c>
      <c r="AE16" s="898" t="s">
        <v>38</v>
      </c>
      <c r="AF16" s="898" t="s">
        <v>0</v>
      </c>
      <c r="AG16" s="898" t="s">
        <v>38</v>
      </c>
      <c r="AH16" s="898" t="s">
        <v>0</v>
      </c>
      <c r="AI16" s="898" t="s">
        <v>38</v>
      </c>
      <c r="AJ16" s="898" t="s">
        <v>0</v>
      </c>
      <c r="AK16" s="898"/>
      <c r="AL16" s="898"/>
      <c r="AM16" s="898">
        <f t="shared" ca="1" si="8"/>
        <v>8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1993</v>
      </c>
      <c r="AS16" s="897">
        <f t="shared" si="9"/>
        <v>1000000</v>
      </c>
      <c r="AT16" s="898" t="s">
        <v>1992</v>
      </c>
      <c r="AU16" s="898" t="str">
        <f t="shared" si="10"/>
        <v>PAY</v>
      </c>
      <c r="AV16" s="898" t="str">
        <f t="shared" si="11"/>
        <v>EURYC</v>
      </c>
      <c r="AW16" s="898" t="str">
        <f t="shared" si="12"/>
        <v>EUROIS</v>
      </c>
      <c r="AX16" s="898" t="str">
        <f t="shared" si="12"/>
        <v>EUROIS</v>
      </c>
      <c r="AY16" s="897" t="str">
        <f t="shared" si="13"/>
        <v>EUR</v>
      </c>
      <c r="AZ16" s="898" t="s">
        <v>2033</v>
      </c>
      <c r="BA16" s="899">
        <v>1</v>
      </c>
      <c r="BB16" s="900"/>
      <c r="BC16" s="898"/>
      <c r="BD16" s="898"/>
      <c r="BE16" s="912">
        <f t="shared" si="14"/>
        <v>0</v>
      </c>
      <c r="BF16" s="901">
        <f t="shared" ca="1" si="15"/>
        <v>43228</v>
      </c>
      <c r="BG16" s="901" t="str">
        <f t="shared" si="16"/>
        <v>11Y</v>
      </c>
      <c r="BH16" s="900" t="s">
        <v>2030</v>
      </c>
      <c r="BI16" s="898" t="s">
        <v>3</v>
      </c>
      <c r="BJ16" s="898" t="s">
        <v>38</v>
      </c>
      <c r="BK16" s="898" t="s">
        <v>0</v>
      </c>
      <c r="BL16" s="898" t="s">
        <v>38</v>
      </c>
      <c r="BM16" s="898" t="s">
        <v>0</v>
      </c>
      <c r="BN16" s="898" t="s">
        <v>38</v>
      </c>
      <c r="BO16" s="898" t="s">
        <v>0</v>
      </c>
      <c r="BP16" s="898"/>
      <c r="BQ16" s="898"/>
      <c r="BR16" s="898">
        <f t="shared" ca="1" si="17"/>
        <v>8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EUROIS11@33:0</v>
      </c>
      <c r="BX16" s="900" t="str">
        <f ca="1">IF(OR($D16="",$D16=0),"",_xll.meLWOSwapParRate($BW16,Q16))</f>
        <v>[2018/05/04 09:52] #Error: Invalid Curve: CurveCollection 'EURYC' does not exist</v>
      </c>
      <c r="BY16" s="897" t="str">
        <f ca="1">IF(OR($D16="",$D16=0),"",_xll.meLWOSwapPV($BW16,Q16))</f>
        <v>[2018/05/04 09:52] #Error: Invalid Curve: CurveCollection 'EURYC' does not exist</v>
      </c>
      <c r="BZ16" s="921" t="str">
        <f ca="1">IF(OR($D16="",$D16=0),"",_xll.meLWOSwapPV01($BW16,Q16))</f>
        <v>[2018/05/04 09:52] #Error: Invalid Curve: CurveCollection 'EURYC' does not exist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43228</v>
      </c>
      <c r="C17" s="4" t="s">
        <v>361</v>
      </c>
      <c r="D17" s="362">
        <v>1000000</v>
      </c>
      <c r="E17" s="362" t="s">
        <v>2</v>
      </c>
      <c r="F17" s="365" t="s">
        <v>1753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2060</v>
      </c>
      <c r="N17" s="897">
        <f t="shared" si="0"/>
        <v>1000000</v>
      </c>
      <c r="O17" s="898" t="s">
        <v>1992</v>
      </c>
      <c r="P17" s="898" t="str">
        <f t="shared" si="1"/>
        <v>RECEIVE</v>
      </c>
      <c r="Q17" s="898" t="str">
        <f t="shared" si="2"/>
        <v>EURYC</v>
      </c>
      <c r="R17" s="898"/>
      <c r="S17" s="898" t="str">
        <f t="shared" si="3"/>
        <v>EUROIS</v>
      </c>
      <c r="T17" s="897" t="str">
        <f t="shared" si="4"/>
        <v>EUR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43228</v>
      </c>
      <c r="AB17" s="901" t="str">
        <f t="shared" si="7"/>
        <v>12Y</v>
      </c>
      <c r="AC17" s="900" t="s">
        <v>2030</v>
      </c>
      <c r="AD17" s="898" t="str">
        <f t="shared" si="18"/>
        <v>ACT/360</v>
      </c>
      <c r="AE17" s="898" t="s">
        <v>38</v>
      </c>
      <c r="AF17" s="898" t="s">
        <v>0</v>
      </c>
      <c r="AG17" s="898" t="s">
        <v>38</v>
      </c>
      <c r="AH17" s="898" t="s">
        <v>0</v>
      </c>
      <c r="AI17" s="898" t="s">
        <v>38</v>
      </c>
      <c r="AJ17" s="898" t="s">
        <v>0</v>
      </c>
      <c r="AK17" s="898"/>
      <c r="AL17" s="898"/>
      <c r="AM17" s="898">
        <f t="shared" ca="1" si="8"/>
        <v>8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1993</v>
      </c>
      <c r="AS17" s="897">
        <f t="shared" si="9"/>
        <v>1000000</v>
      </c>
      <c r="AT17" s="898" t="s">
        <v>1992</v>
      </c>
      <c r="AU17" s="898" t="str">
        <f t="shared" si="10"/>
        <v>PAY</v>
      </c>
      <c r="AV17" s="898" t="str">
        <f t="shared" si="11"/>
        <v>EURYC</v>
      </c>
      <c r="AW17" s="898" t="str">
        <f t="shared" si="12"/>
        <v>EUROIS</v>
      </c>
      <c r="AX17" s="898" t="str">
        <f t="shared" si="12"/>
        <v>EUROIS</v>
      </c>
      <c r="AY17" s="897" t="str">
        <f t="shared" si="13"/>
        <v>EUR</v>
      </c>
      <c r="AZ17" s="898" t="s">
        <v>2033</v>
      </c>
      <c r="BA17" s="899">
        <v>1</v>
      </c>
      <c r="BB17" s="900"/>
      <c r="BC17" s="898"/>
      <c r="BD17" s="898"/>
      <c r="BE17" s="912">
        <f t="shared" si="14"/>
        <v>0</v>
      </c>
      <c r="BF17" s="901">
        <f t="shared" ca="1" si="15"/>
        <v>43228</v>
      </c>
      <c r="BG17" s="901" t="str">
        <f t="shared" si="16"/>
        <v>12Y</v>
      </c>
      <c r="BH17" s="900" t="s">
        <v>2030</v>
      </c>
      <c r="BI17" s="898" t="s">
        <v>3</v>
      </c>
      <c r="BJ17" s="898" t="s">
        <v>38</v>
      </c>
      <c r="BK17" s="898" t="s">
        <v>0</v>
      </c>
      <c r="BL17" s="898" t="s">
        <v>38</v>
      </c>
      <c r="BM17" s="898" t="s">
        <v>0</v>
      </c>
      <c r="BN17" s="898" t="s">
        <v>38</v>
      </c>
      <c r="BO17" s="898" t="s">
        <v>0</v>
      </c>
      <c r="BP17" s="898"/>
      <c r="BQ17" s="898"/>
      <c r="BR17" s="898">
        <f t="shared" ca="1" si="17"/>
        <v>8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EUROIS12@42:0</v>
      </c>
      <c r="BX17" s="900" t="str">
        <f ca="1">IF(OR($D17="",$D17=0),"",_xll.meLWOSwapParRate($BW17,Q17))</f>
        <v>[2018/05/04 09:52] #Error: Invalid Curve: CurveCollection 'EURYC' does not exist</v>
      </c>
      <c r="BY17" s="897" t="str">
        <f ca="1">IF(OR($D17="",$D17=0),"",_xll.meLWOSwapPV($BW17,Q17))</f>
        <v>[2018/05/04 09:52] #Error: Invalid Curve: CurveCollection 'EURYC' does not exist</v>
      </c>
      <c r="BZ17" s="921" t="str">
        <f ca="1">IF(OR($D17="",$D17=0),"",_xll.meLWOSwapPV01($BW17,Q17))</f>
        <v>[2018/05/04 09:52] #Error: Invalid Curve: CurveCollection 'EURYC' does not exist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43228</v>
      </c>
      <c r="C18" s="4" t="s">
        <v>361</v>
      </c>
      <c r="D18" s="362">
        <v>1000000</v>
      </c>
      <c r="E18" s="362" t="s">
        <v>2</v>
      </c>
      <c r="F18" s="365" t="s">
        <v>1753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2060</v>
      </c>
      <c r="N18" s="897">
        <f t="shared" si="0"/>
        <v>1000000</v>
      </c>
      <c r="O18" s="898" t="s">
        <v>1992</v>
      </c>
      <c r="P18" s="898" t="str">
        <f t="shared" si="1"/>
        <v>RECEIVE</v>
      </c>
      <c r="Q18" s="898" t="str">
        <f t="shared" si="2"/>
        <v>EURYC</v>
      </c>
      <c r="R18" s="898"/>
      <c r="S18" s="898" t="str">
        <f t="shared" si="3"/>
        <v>EUROIS</v>
      </c>
      <c r="T18" s="897" t="str">
        <f t="shared" si="4"/>
        <v>EUR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43228</v>
      </c>
      <c r="AB18" s="901" t="str">
        <f t="shared" si="7"/>
        <v>15Y</v>
      </c>
      <c r="AC18" s="900" t="s">
        <v>2030</v>
      </c>
      <c r="AD18" s="898" t="str">
        <f t="shared" si="18"/>
        <v>ACT/360</v>
      </c>
      <c r="AE18" s="898" t="s">
        <v>38</v>
      </c>
      <c r="AF18" s="898" t="s">
        <v>0</v>
      </c>
      <c r="AG18" s="898" t="s">
        <v>38</v>
      </c>
      <c r="AH18" s="898" t="s">
        <v>0</v>
      </c>
      <c r="AI18" s="898" t="s">
        <v>38</v>
      </c>
      <c r="AJ18" s="898" t="s">
        <v>0</v>
      </c>
      <c r="AK18" s="898"/>
      <c r="AL18" s="898"/>
      <c r="AM18" s="898">
        <f t="shared" ca="1" si="8"/>
        <v>8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1993</v>
      </c>
      <c r="AS18" s="897">
        <f t="shared" si="9"/>
        <v>1000000</v>
      </c>
      <c r="AT18" s="898" t="s">
        <v>1992</v>
      </c>
      <c r="AU18" s="898" t="str">
        <f t="shared" si="10"/>
        <v>PAY</v>
      </c>
      <c r="AV18" s="898" t="str">
        <f t="shared" si="11"/>
        <v>EURYC</v>
      </c>
      <c r="AW18" s="898" t="str">
        <f t="shared" si="12"/>
        <v>EUROIS</v>
      </c>
      <c r="AX18" s="898" t="str">
        <f t="shared" si="12"/>
        <v>EUROIS</v>
      </c>
      <c r="AY18" s="897" t="str">
        <f t="shared" si="13"/>
        <v>EUR</v>
      </c>
      <c r="AZ18" s="898" t="s">
        <v>2033</v>
      </c>
      <c r="BA18" s="899">
        <v>1</v>
      </c>
      <c r="BB18" s="900"/>
      <c r="BC18" s="898"/>
      <c r="BD18" s="898"/>
      <c r="BE18" s="912">
        <f t="shared" si="14"/>
        <v>0</v>
      </c>
      <c r="BF18" s="901">
        <f t="shared" ca="1" si="15"/>
        <v>43228</v>
      </c>
      <c r="BG18" s="901" t="str">
        <f t="shared" si="16"/>
        <v>15Y</v>
      </c>
      <c r="BH18" s="900" t="s">
        <v>2030</v>
      </c>
      <c r="BI18" s="898" t="s">
        <v>3</v>
      </c>
      <c r="BJ18" s="898" t="s">
        <v>38</v>
      </c>
      <c r="BK18" s="898" t="s">
        <v>0</v>
      </c>
      <c r="BL18" s="898" t="s">
        <v>38</v>
      </c>
      <c r="BM18" s="898" t="s">
        <v>0</v>
      </c>
      <c r="BN18" s="898" t="s">
        <v>38</v>
      </c>
      <c r="BO18" s="898" t="s">
        <v>0</v>
      </c>
      <c r="BP18" s="898"/>
      <c r="BQ18" s="898"/>
      <c r="BR18" s="898">
        <f t="shared" ca="1" si="17"/>
        <v>8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EUROIS13@85:0</v>
      </c>
      <c r="BX18" s="900" t="str">
        <f ca="1">IF(OR($D18="",$D18=0),"",_xll.meLWOSwapParRate($BW18,Q18))</f>
        <v>[2018/05/04 09:52] #Error: Invalid Curve: CurveCollection 'EURYC' does not exist</v>
      </c>
      <c r="BY18" s="897" t="str">
        <f ca="1">IF(OR($D18="",$D18=0),"",_xll.meLWOSwapPV($BW18,Q18))</f>
        <v>[2018/05/04 09:52] #Error: Invalid Curve: CurveCollection 'EURYC' does not exist</v>
      </c>
      <c r="BZ18" s="921" t="str">
        <f ca="1">IF(OR($D18="",$D18=0),"",_xll.meLWOSwapPV01($BW18,Q18))</f>
        <v>[2018/05/04 09:52] #Error: Invalid Curve: CurveCollection 'EURYC' does not exist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43228</v>
      </c>
      <c r="C19" s="4" t="s">
        <v>361</v>
      </c>
      <c r="D19" s="362">
        <v>1000000</v>
      </c>
      <c r="E19" s="362" t="s">
        <v>2</v>
      </c>
      <c r="F19" s="365" t="s">
        <v>1753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2060</v>
      </c>
      <c r="N19" s="897">
        <f t="shared" si="0"/>
        <v>1000000</v>
      </c>
      <c r="O19" s="898" t="s">
        <v>1992</v>
      </c>
      <c r="P19" s="898" t="str">
        <f t="shared" si="1"/>
        <v>RECEIVE</v>
      </c>
      <c r="Q19" s="898" t="str">
        <f t="shared" si="2"/>
        <v>EURYC</v>
      </c>
      <c r="R19" s="898"/>
      <c r="S19" s="898" t="str">
        <f t="shared" si="3"/>
        <v>EUROIS</v>
      </c>
      <c r="T19" s="897" t="str">
        <f t="shared" si="4"/>
        <v>EUR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43228</v>
      </c>
      <c r="AB19" s="901" t="str">
        <f t="shared" si="7"/>
        <v>20Y</v>
      </c>
      <c r="AC19" s="900" t="s">
        <v>2030</v>
      </c>
      <c r="AD19" s="898" t="str">
        <f t="shared" si="18"/>
        <v>ACT/360</v>
      </c>
      <c r="AE19" s="898" t="s">
        <v>38</v>
      </c>
      <c r="AF19" s="898" t="s">
        <v>0</v>
      </c>
      <c r="AG19" s="898" t="s">
        <v>38</v>
      </c>
      <c r="AH19" s="898" t="s">
        <v>0</v>
      </c>
      <c r="AI19" s="898" t="s">
        <v>38</v>
      </c>
      <c r="AJ19" s="898" t="s">
        <v>0</v>
      </c>
      <c r="AK19" s="898"/>
      <c r="AL19" s="898"/>
      <c r="AM19" s="898">
        <f t="shared" ca="1" si="8"/>
        <v>8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1993</v>
      </c>
      <c r="AS19" s="897">
        <f t="shared" si="9"/>
        <v>1000000</v>
      </c>
      <c r="AT19" s="898" t="s">
        <v>1992</v>
      </c>
      <c r="AU19" s="898" t="str">
        <f t="shared" si="10"/>
        <v>PAY</v>
      </c>
      <c r="AV19" s="898" t="str">
        <f t="shared" si="11"/>
        <v>EURYC</v>
      </c>
      <c r="AW19" s="898" t="str">
        <f t="shared" si="12"/>
        <v>EUROIS</v>
      </c>
      <c r="AX19" s="898" t="str">
        <f t="shared" si="12"/>
        <v>EUROIS</v>
      </c>
      <c r="AY19" s="897" t="str">
        <f t="shared" si="13"/>
        <v>EUR</v>
      </c>
      <c r="AZ19" s="898" t="s">
        <v>2033</v>
      </c>
      <c r="BA19" s="899">
        <v>1</v>
      </c>
      <c r="BB19" s="900"/>
      <c r="BC19" s="898"/>
      <c r="BD19" s="898"/>
      <c r="BE19" s="912">
        <f t="shared" si="14"/>
        <v>0</v>
      </c>
      <c r="BF19" s="901">
        <f t="shared" ca="1" si="15"/>
        <v>43228</v>
      </c>
      <c r="BG19" s="901" t="str">
        <f t="shared" si="16"/>
        <v>20Y</v>
      </c>
      <c r="BH19" s="900" t="s">
        <v>2030</v>
      </c>
      <c r="BI19" s="898" t="s">
        <v>3</v>
      </c>
      <c r="BJ19" s="898" t="s">
        <v>38</v>
      </c>
      <c r="BK19" s="898" t="s">
        <v>0</v>
      </c>
      <c r="BL19" s="898" t="s">
        <v>38</v>
      </c>
      <c r="BM19" s="898" t="s">
        <v>0</v>
      </c>
      <c r="BN19" s="898" t="s">
        <v>38</v>
      </c>
      <c r="BO19" s="898" t="s">
        <v>0</v>
      </c>
      <c r="BP19" s="898"/>
      <c r="BQ19" s="898"/>
      <c r="BR19" s="898">
        <f t="shared" ca="1" si="17"/>
        <v>8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EUROIS14@40:0</v>
      </c>
      <c r="BX19" s="900" t="str">
        <f ca="1">IF(OR($D19="",$D19=0),"",_xll.meLWOSwapParRate($BW19,Q19))</f>
        <v>[2018/05/04 09:52] #Error: Invalid Curve: CurveCollection 'EURYC' does not exist</v>
      </c>
      <c r="BY19" s="897" t="str">
        <f ca="1">IF(OR($D19="",$D19=0),"",_xll.meLWOSwapPV($BW19,Q19))</f>
        <v>[2018/05/04 09:52] #Error: Invalid Curve: CurveCollection 'EURYC' does not exist</v>
      </c>
      <c r="BZ19" s="921" t="str">
        <f ca="1">IF(OR($D19="",$D19=0),"",_xll.meLWOSwapPV01($BW19,Q19))</f>
        <v>[2018/05/04 09:52] #Error: Invalid Curve: CurveCollection 'EURYC' does not exist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43228</v>
      </c>
      <c r="C20" s="4" t="s">
        <v>361</v>
      </c>
      <c r="D20" s="362">
        <v>1000000</v>
      </c>
      <c r="E20" s="362" t="s">
        <v>2</v>
      </c>
      <c r="F20" s="365" t="s">
        <v>1753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2060</v>
      </c>
      <c r="N20" s="897">
        <f t="shared" si="0"/>
        <v>1000000</v>
      </c>
      <c r="O20" s="898" t="s">
        <v>1992</v>
      </c>
      <c r="P20" s="898" t="str">
        <f t="shared" si="1"/>
        <v>RECEIVE</v>
      </c>
      <c r="Q20" s="898" t="str">
        <f t="shared" si="2"/>
        <v>EURYC</v>
      </c>
      <c r="R20" s="898"/>
      <c r="S20" s="898" t="str">
        <f t="shared" si="3"/>
        <v>EUROIS</v>
      </c>
      <c r="T20" s="897" t="str">
        <f t="shared" si="4"/>
        <v>EUR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43228</v>
      </c>
      <c r="AB20" s="901" t="str">
        <f t="shared" si="7"/>
        <v>25Y</v>
      </c>
      <c r="AC20" s="900" t="s">
        <v>2030</v>
      </c>
      <c r="AD20" s="898" t="str">
        <f t="shared" si="18"/>
        <v>ACT/360</v>
      </c>
      <c r="AE20" s="898" t="s">
        <v>38</v>
      </c>
      <c r="AF20" s="898" t="s">
        <v>0</v>
      </c>
      <c r="AG20" s="898" t="s">
        <v>38</v>
      </c>
      <c r="AH20" s="898" t="s">
        <v>0</v>
      </c>
      <c r="AI20" s="898" t="s">
        <v>38</v>
      </c>
      <c r="AJ20" s="898" t="s">
        <v>0</v>
      </c>
      <c r="AK20" s="898"/>
      <c r="AL20" s="898"/>
      <c r="AM20" s="898">
        <f t="shared" ca="1" si="8"/>
        <v>8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1993</v>
      </c>
      <c r="AS20" s="897">
        <f t="shared" si="9"/>
        <v>1000000</v>
      </c>
      <c r="AT20" s="898" t="s">
        <v>1992</v>
      </c>
      <c r="AU20" s="898" t="str">
        <f t="shared" si="10"/>
        <v>PAY</v>
      </c>
      <c r="AV20" s="898" t="str">
        <f t="shared" si="11"/>
        <v>EURYC</v>
      </c>
      <c r="AW20" s="898" t="str">
        <f t="shared" si="12"/>
        <v>EUROIS</v>
      </c>
      <c r="AX20" s="898" t="str">
        <f t="shared" si="12"/>
        <v>EUROIS</v>
      </c>
      <c r="AY20" s="897" t="str">
        <f t="shared" si="13"/>
        <v>EUR</v>
      </c>
      <c r="AZ20" s="898" t="s">
        <v>2033</v>
      </c>
      <c r="BA20" s="899">
        <v>1</v>
      </c>
      <c r="BB20" s="900"/>
      <c r="BC20" s="898"/>
      <c r="BD20" s="898"/>
      <c r="BE20" s="912">
        <f t="shared" si="14"/>
        <v>0</v>
      </c>
      <c r="BF20" s="901">
        <f t="shared" ca="1" si="15"/>
        <v>43228</v>
      </c>
      <c r="BG20" s="901" t="str">
        <f t="shared" si="16"/>
        <v>25Y</v>
      </c>
      <c r="BH20" s="900" t="s">
        <v>2030</v>
      </c>
      <c r="BI20" s="898" t="s">
        <v>3</v>
      </c>
      <c r="BJ20" s="898" t="s">
        <v>38</v>
      </c>
      <c r="BK20" s="898" t="s">
        <v>0</v>
      </c>
      <c r="BL20" s="898" t="s">
        <v>38</v>
      </c>
      <c r="BM20" s="898" t="s">
        <v>0</v>
      </c>
      <c r="BN20" s="898" t="s">
        <v>38</v>
      </c>
      <c r="BO20" s="898" t="s">
        <v>0</v>
      </c>
      <c r="BP20" s="898"/>
      <c r="BQ20" s="898"/>
      <c r="BR20" s="898">
        <f t="shared" ca="1" si="17"/>
        <v>8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EUROIS15@13:0</v>
      </c>
      <c r="BX20" s="900" t="str">
        <f ca="1">IF(OR($D20="",$D20=0),"",_xll.meLWOSwapParRate($BW20,Q20))</f>
        <v>[2018/05/04 09:52] #Error: Invalid Curve: CurveCollection 'EURYC' does not exist</v>
      </c>
      <c r="BY20" s="897" t="str">
        <f ca="1">IF(OR($D20="",$D20=0),"",_xll.meLWOSwapPV($BW20,Q20))</f>
        <v>[2018/05/04 09:52] #Error: Invalid Curve: CurveCollection 'EURYC' does not exist</v>
      </c>
      <c r="BZ20" s="921" t="str">
        <f ca="1">IF(OR($D20="",$D20=0),"",_xll.meLWOSwapPV01($BW20,Q20))</f>
        <v>[2018/05/04 09:52] #Error: Invalid Curve: CurveCollection 'EURYC' does not exist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43228</v>
      </c>
      <c r="C21" s="4" t="s">
        <v>361</v>
      </c>
      <c r="D21" s="362">
        <v>1000000</v>
      </c>
      <c r="E21" s="362" t="s">
        <v>2</v>
      </c>
      <c r="F21" s="365" t="s">
        <v>1753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2060</v>
      </c>
      <c r="N21" s="897">
        <f t="shared" si="0"/>
        <v>1000000</v>
      </c>
      <c r="O21" s="898" t="s">
        <v>1992</v>
      </c>
      <c r="P21" s="898" t="str">
        <f t="shared" si="1"/>
        <v>RECEIVE</v>
      </c>
      <c r="Q21" s="898" t="str">
        <f t="shared" si="2"/>
        <v>EURYC</v>
      </c>
      <c r="R21" s="898"/>
      <c r="S21" s="898" t="str">
        <f t="shared" si="3"/>
        <v>EUROIS</v>
      </c>
      <c r="T21" s="897" t="str">
        <f t="shared" si="4"/>
        <v>EUR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43228</v>
      </c>
      <c r="AB21" s="901" t="str">
        <f t="shared" si="7"/>
        <v>30Y</v>
      </c>
      <c r="AC21" s="900" t="s">
        <v>2030</v>
      </c>
      <c r="AD21" s="898" t="str">
        <f t="shared" si="18"/>
        <v>ACT/360</v>
      </c>
      <c r="AE21" s="898" t="s">
        <v>38</v>
      </c>
      <c r="AF21" s="898" t="s">
        <v>0</v>
      </c>
      <c r="AG21" s="898" t="s">
        <v>38</v>
      </c>
      <c r="AH21" s="898" t="s">
        <v>0</v>
      </c>
      <c r="AI21" s="898" t="s">
        <v>38</v>
      </c>
      <c r="AJ21" s="898" t="s">
        <v>0</v>
      </c>
      <c r="AK21" s="898"/>
      <c r="AL21" s="898"/>
      <c r="AM21" s="898">
        <f t="shared" ca="1" si="8"/>
        <v>8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1993</v>
      </c>
      <c r="AS21" s="897">
        <f t="shared" si="9"/>
        <v>1000000</v>
      </c>
      <c r="AT21" s="898" t="s">
        <v>1992</v>
      </c>
      <c r="AU21" s="898" t="str">
        <f t="shared" si="10"/>
        <v>PAY</v>
      </c>
      <c r="AV21" s="898" t="str">
        <f t="shared" si="11"/>
        <v>EURYC</v>
      </c>
      <c r="AW21" s="898" t="str">
        <f t="shared" si="12"/>
        <v>EUROIS</v>
      </c>
      <c r="AX21" s="898" t="str">
        <f t="shared" si="12"/>
        <v>EUROIS</v>
      </c>
      <c r="AY21" s="897" t="str">
        <f t="shared" si="13"/>
        <v>EUR</v>
      </c>
      <c r="AZ21" s="898" t="s">
        <v>2033</v>
      </c>
      <c r="BA21" s="899">
        <v>1</v>
      </c>
      <c r="BB21" s="900"/>
      <c r="BC21" s="898"/>
      <c r="BD21" s="898"/>
      <c r="BE21" s="912">
        <f t="shared" si="14"/>
        <v>0</v>
      </c>
      <c r="BF21" s="901">
        <f t="shared" ca="1" si="15"/>
        <v>43228</v>
      </c>
      <c r="BG21" s="901" t="str">
        <f t="shared" si="16"/>
        <v>30Y</v>
      </c>
      <c r="BH21" s="900" t="s">
        <v>2030</v>
      </c>
      <c r="BI21" s="898" t="s">
        <v>3</v>
      </c>
      <c r="BJ21" s="898" t="s">
        <v>38</v>
      </c>
      <c r="BK21" s="898" t="s">
        <v>0</v>
      </c>
      <c r="BL21" s="898" t="s">
        <v>38</v>
      </c>
      <c r="BM21" s="898" t="s">
        <v>0</v>
      </c>
      <c r="BN21" s="898" t="s">
        <v>38</v>
      </c>
      <c r="BO21" s="898" t="s">
        <v>0</v>
      </c>
      <c r="BP21" s="898"/>
      <c r="BQ21" s="898"/>
      <c r="BR21" s="898">
        <f t="shared" ca="1" si="17"/>
        <v>8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EUROIS16@117:0</v>
      </c>
      <c r="BX21" s="900" t="str">
        <f ca="1">IF(OR($D21="",$D21=0),"",_xll.meLWOSwapParRate($BW21,Q21))</f>
        <v>[2018/05/04 09:52] #Error: Invalid Curve: CurveCollection 'EURYC' does not exist</v>
      </c>
      <c r="BY21" s="897" t="str">
        <f ca="1">IF(OR($D21="",$D21=0),"",_xll.meLWOSwapPV($BW21,Q21))</f>
        <v>[2018/05/04 09:52] #Error: Invalid Curve: CurveCollection 'EURYC' does not exist</v>
      </c>
      <c r="BZ21" s="921" t="str">
        <f ca="1">IF(OR($D21="",$D21=0),"",_xll.meLWOSwapPV01($BW21,Q21))</f>
        <v>[2018/05/04 09:52] #Error: Invalid Curve: CurveCollection 'EURYC' does not exist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43228</v>
      </c>
      <c r="C22" s="4" t="s">
        <v>361</v>
      </c>
      <c r="D22" s="362">
        <v>1000000</v>
      </c>
      <c r="E22" s="362" t="s">
        <v>2</v>
      </c>
      <c r="F22" s="365" t="s">
        <v>1753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2060</v>
      </c>
      <c r="N22" s="897">
        <f t="shared" si="0"/>
        <v>1000000</v>
      </c>
      <c r="O22" s="898" t="s">
        <v>1992</v>
      </c>
      <c r="P22" s="898" t="str">
        <f t="shared" si="1"/>
        <v>RECEIVE</v>
      </c>
      <c r="Q22" s="898" t="str">
        <f t="shared" si="2"/>
        <v>EURYC</v>
      </c>
      <c r="R22" s="898"/>
      <c r="S22" s="898" t="str">
        <f t="shared" si="3"/>
        <v>EUROIS</v>
      </c>
      <c r="T22" s="897" t="str">
        <f t="shared" si="4"/>
        <v>EUR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43228</v>
      </c>
      <c r="AB22" s="901" t="str">
        <f t="shared" si="7"/>
        <v>40Y</v>
      </c>
      <c r="AC22" s="900" t="s">
        <v>2030</v>
      </c>
      <c r="AD22" s="898" t="str">
        <f t="shared" si="18"/>
        <v>ACT/360</v>
      </c>
      <c r="AE22" s="898" t="s">
        <v>38</v>
      </c>
      <c r="AF22" s="898" t="s">
        <v>0</v>
      </c>
      <c r="AG22" s="898" t="s">
        <v>38</v>
      </c>
      <c r="AH22" s="898" t="s">
        <v>0</v>
      </c>
      <c r="AI22" s="898" t="s">
        <v>38</v>
      </c>
      <c r="AJ22" s="898" t="s">
        <v>0</v>
      </c>
      <c r="AK22" s="898"/>
      <c r="AL22" s="898"/>
      <c r="AM22" s="898">
        <f t="shared" ca="1" si="8"/>
        <v>8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1993</v>
      </c>
      <c r="AS22" s="897">
        <f t="shared" si="9"/>
        <v>1000000</v>
      </c>
      <c r="AT22" s="898" t="s">
        <v>1992</v>
      </c>
      <c r="AU22" s="898" t="str">
        <f t="shared" si="10"/>
        <v>PAY</v>
      </c>
      <c r="AV22" s="898" t="str">
        <f t="shared" si="11"/>
        <v>EURYC</v>
      </c>
      <c r="AW22" s="898" t="str">
        <f t="shared" si="12"/>
        <v>EUROIS</v>
      </c>
      <c r="AX22" s="898" t="str">
        <f t="shared" si="12"/>
        <v>EUROIS</v>
      </c>
      <c r="AY22" s="897" t="str">
        <f t="shared" si="13"/>
        <v>EUR</v>
      </c>
      <c r="AZ22" s="898" t="s">
        <v>2033</v>
      </c>
      <c r="BA22" s="899">
        <v>1</v>
      </c>
      <c r="BB22" s="900"/>
      <c r="BC22" s="898"/>
      <c r="BD22" s="898"/>
      <c r="BE22" s="912">
        <f t="shared" si="14"/>
        <v>0</v>
      </c>
      <c r="BF22" s="901">
        <f t="shared" ca="1" si="15"/>
        <v>43228</v>
      </c>
      <c r="BG22" s="901" t="str">
        <f t="shared" si="16"/>
        <v>40Y</v>
      </c>
      <c r="BH22" s="900" t="s">
        <v>2030</v>
      </c>
      <c r="BI22" s="898" t="s">
        <v>3</v>
      </c>
      <c r="BJ22" s="898" t="s">
        <v>38</v>
      </c>
      <c r="BK22" s="898" t="s">
        <v>0</v>
      </c>
      <c r="BL22" s="898" t="s">
        <v>38</v>
      </c>
      <c r="BM22" s="898" t="s">
        <v>0</v>
      </c>
      <c r="BN22" s="898" t="s">
        <v>38</v>
      </c>
      <c r="BO22" s="898" t="s">
        <v>0</v>
      </c>
      <c r="BP22" s="898"/>
      <c r="BQ22" s="898"/>
      <c r="BR22" s="898">
        <f t="shared" ca="1" si="17"/>
        <v>8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EUROIS17@58:0</v>
      </c>
      <c r="BX22" s="900" t="str">
        <f ca="1">IF(OR($D22="",$D22=0),"",_xll.meLWOSwapParRate($BW22,Q22))</f>
        <v>[2018/05/04 09:52] #Error: Invalid Curve: CurveCollection 'EURYC' does not exist</v>
      </c>
      <c r="BY22" s="897" t="str">
        <f ca="1">IF(OR($D22="",$D22=0),"",_xll.meLWOSwapPV($BW22,Q22))</f>
        <v>[2018/05/04 09:52] #Error: Invalid Curve: CurveCollection 'EURYC' does not exist</v>
      </c>
      <c r="BZ22" s="921" t="str">
        <f ca="1">IF(OR($D22="",$D22=0),"",_xll.meLWOSwapPV01($BW22,Q22))</f>
        <v>[2018/05/04 09:52] #Error: Invalid Curve: CurveCollection 'EURYC' does not exist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43228</v>
      </c>
      <c r="C23" s="4" t="s">
        <v>361</v>
      </c>
      <c r="D23" s="362">
        <v>1000000</v>
      </c>
      <c r="E23" s="362" t="s">
        <v>2</v>
      </c>
      <c r="F23" s="365" t="s">
        <v>1753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2060</v>
      </c>
      <c r="N23" s="897">
        <f t="shared" si="0"/>
        <v>1000000</v>
      </c>
      <c r="O23" s="898" t="s">
        <v>1992</v>
      </c>
      <c r="P23" s="898" t="str">
        <f t="shared" si="1"/>
        <v>RECEIVE</v>
      </c>
      <c r="Q23" s="898" t="str">
        <f t="shared" si="2"/>
        <v>EURYC</v>
      </c>
      <c r="R23" s="898"/>
      <c r="S23" s="898" t="str">
        <f t="shared" si="3"/>
        <v>EUROIS</v>
      </c>
      <c r="T23" s="897" t="str">
        <f t="shared" si="4"/>
        <v>EUR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43228</v>
      </c>
      <c r="AB23" s="901" t="str">
        <f t="shared" si="7"/>
        <v>50Y</v>
      </c>
      <c r="AC23" s="900" t="s">
        <v>2030</v>
      </c>
      <c r="AD23" s="898" t="str">
        <f t="shared" si="18"/>
        <v>ACT/360</v>
      </c>
      <c r="AE23" s="898" t="s">
        <v>38</v>
      </c>
      <c r="AF23" s="898" t="s">
        <v>0</v>
      </c>
      <c r="AG23" s="898" t="s">
        <v>38</v>
      </c>
      <c r="AH23" s="898" t="s">
        <v>0</v>
      </c>
      <c r="AI23" s="898" t="s">
        <v>38</v>
      </c>
      <c r="AJ23" s="898" t="s">
        <v>0</v>
      </c>
      <c r="AK23" s="898"/>
      <c r="AL23" s="898"/>
      <c r="AM23" s="898">
        <f t="shared" ca="1" si="8"/>
        <v>8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1993</v>
      </c>
      <c r="AS23" s="897">
        <f t="shared" si="9"/>
        <v>1000000</v>
      </c>
      <c r="AT23" s="898" t="s">
        <v>1992</v>
      </c>
      <c r="AU23" s="898" t="str">
        <f t="shared" si="10"/>
        <v>PAY</v>
      </c>
      <c r="AV23" s="898" t="str">
        <f t="shared" si="11"/>
        <v>EURYC</v>
      </c>
      <c r="AW23" s="898" t="str">
        <f t="shared" si="12"/>
        <v>EUROIS</v>
      </c>
      <c r="AX23" s="898" t="str">
        <f t="shared" si="12"/>
        <v>EUROIS</v>
      </c>
      <c r="AY23" s="897" t="str">
        <f t="shared" si="13"/>
        <v>EUR</v>
      </c>
      <c r="AZ23" s="898" t="s">
        <v>2033</v>
      </c>
      <c r="BA23" s="899">
        <v>1</v>
      </c>
      <c r="BB23" s="900"/>
      <c r="BC23" s="898"/>
      <c r="BD23" s="898"/>
      <c r="BE23" s="912">
        <f t="shared" si="14"/>
        <v>0</v>
      </c>
      <c r="BF23" s="901">
        <f t="shared" ca="1" si="15"/>
        <v>43228</v>
      </c>
      <c r="BG23" s="901" t="str">
        <f t="shared" si="16"/>
        <v>50Y</v>
      </c>
      <c r="BH23" s="900" t="s">
        <v>2030</v>
      </c>
      <c r="BI23" s="898" t="s">
        <v>3</v>
      </c>
      <c r="BJ23" s="898" t="s">
        <v>38</v>
      </c>
      <c r="BK23" s="898" t="s">
        <v>0</v>
      </c>
      <c r="BL23" s="898" t="s">
        <v>38</v>
      </c>
      <c r="BM23" s="898" t="s">
        <v>0</v>
      </c>
      <c r="BN23" s="898" t="s">
        <v>38</v>
      </c>
      <c r="BO23" s="898" t="s">
        <v>0</v>
      </c>
      <c r="BP23" s="898"/>
      <c r="BQ23" s="898"/>
      <c r="BR23" s="898">
        <f t="shared" ca="1" si="17"/>
        <v>8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EUROIS18@139:0</v>
      </c>
      <c r="BX23" s="900" t="str">
        <f ca="1">IF(OR($D23="",$D23=0),"",_xll.meLWOSwapParRate($BW23,Q23))</f>
        <v>[2018/05/04 09:52] #Error: Invalid Curve: CurveCollection 'EURYC' does not exist</v>
      </c>
      <c r="BY23" s="897" t="str">
        <f ca="1">IF(OR($D23="",$D23=0),"",_xll.meLWOSwapPV($BW23,Q23))</f>
        <v>[2018/05/04 09:52] #Error: Invalid Curve: CurveCollection 'EURYC' does not exist</v>
      </c>
      <c r="BZ23" s="921" t="str">
        <f ca="1">IF(OR($D23="",$D23=0),"",_xll.meLWOSwapPV01($BW23,Q23))</f>
        <v>[2018/05/04 09:52] #Error: Invalid Curve: CurveCollection 'EURYC' does not exist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2060</v>
      </c>
      <c r="N24" s="897">
        <f t="shared" si="0"/>
        <v>0</v>
      </c>
      <c r="O24" s="898" t="s">
        <v>1992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2030</v>
      </c>
      <c r="AD24" s="898">
        <f t="shared" si="18"/>
        <v>0</v>
      </c>
      <c r="AE24" s="898" t="s">
        <v>38</v>
      </c>
      <c r="AF24" s="898" t="s">
        <v>0</v>
      </c>
      <c r="AG24" s="898" t="s">
        <v>38</v>
      </c>
      <c r="AH24" s="898" t="s">
        <v>0</v>
      </c>
      <c r="AI24" s="898" t="s">
        <v>38</v>
      </c>
      <c r="AJ24" s="898" t="s">
        <v>0</v>
      </c>
      <c r="AK24" s="898"/>
      <c r="AL24" s="898"/>
      <c r="AM24" s="898" t="e">
        <f t="shared" si="8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1993</v>
      </c>
      <c r="AS24" s="897">
        <f t="shared" si="9"/>
        <v>0</v>
      </c>
      <c r="AT24" s="898" t="s">
        <v>1992</v>
      </c>
      <c r="AU24" s="898" t="str">
        <f t="shared" si="10"/>
        <v>PAY</v>
      </c>
      <c r="AV24" s="898" t="str">
        <f t="shared" si="11"/>
        <v>YC</v>
      </c>
      <c r="AW24" s="898" t="str">
        <f t="shared" si="12"/>
        <v>OIS</v>
      </c>
      <c r="AX24" s="898" t="str">
        <f t="shared" si="12"/>
        <v>OIS</v>
      </c>
      <c r="AY24" s="897">
        <f t="shared" si="13"/>
        <v>0</v>
      </c>
      <c r="AZ24" s="898" t="s">
        <v>2033</v>
      </c>
      <c r="BA24" s="899">
        <v>1</v>
      </c>
      <c r="BB24" s="900"/>
      <c r="BC24" s="898"/>
      <c r="BD24" s="898"/>
      <c r="BE24" s="912">
        <f t="shared" si="14"/>
        <v>0</v>
      </c>
      <c r="BF24" s="901" t="str">
        <f t="shared" si="15"/>
        <v/>
      </c>
      <c r="BG24" s="901">
        <f t="shared" si="16"/>
        <v>0</v>
      </c>
      <c r="BH24" s="900" t="s">
        <v>2030</v>
      </c>
      <c r="BI24" s="898" t="s">
        <v>3</v>
      </c>
      <c r="BJ24" s="898" t="s">
        <v>38</v>
      </c>
      <c r="BK24" s="898" t="s">
        <v>0</v>
      </c>
      <c r="BL24" s="898" t="s">
        <v>38</v>
      </c>
      <c r="BM24" s="898" t="s">
        <v>0</v>
      </c>
      <c r="BN24" s="898" t="s">
        <v>38</v>
      </c>
      <c r="BO24" s="898" t="s">
        <v>0</v>
      </c>
      <c r="BP24" s="898"/>
      <c r="BQ24" s="898"/>
      <c r="BR24" s="898" t="e">
        <f t="shared" si="17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2060</v>
      </c>
      <c r="N25" s="904">
        <f t="shared" si="0"/>
        <v>0</v>
      </c>
      <c r="O25" s="905" t="s">
        <v>1992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2030</v>
      </c>
      <c r="AD25" s="905">
        <f t="shared" si="18"/>
        <v>0</v>
      </c>
      <c r="AE25" s="905" t="s">
        <v>38</v>
      </c>
      <c r="AF25" s="905" t="s">
        <v>0</v>
      </c>
      <c r="AG25" s="905" t="s">
        <v>38</v>
      </c>
      <c r="AH25" s="905" t="s">
        <v>0</v>
      </c>
      <c r="AI25" s="905" t="s">
        <v>38</v>
      </c>
      <c r="AJ25" s="905" t="s">
        <v>0</v>
      </c>
      <c r="AK25" s="905"/>
      <c r="AL25" s="905"/>
      <c r="AM25" s="905" t="e">
        <f t="shared" si="8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1993</v>
      </c>
      <c r="AS25" s="904">
        <f t="shared" si="9"/>
        <v>0</v>
      </c>
      <c r="AT25" s="905" t="s">
        <v>1992</v>
      </c>
      <c r="AU25" s="905" t="str">
        <f t="shared" si="10"/>
        <v>PAY</v>
      </c>
      <c r="AV25" s="905" t="str">
        <f t="shared" si="11"/>
        <v>YC</v>
      </c>
      <c r="AW25" s="905" t="str">
        <f t="shared" si="12"/>
        <v>OIS</v>
      </c>
      <c r="AX25" s="905" t="str">
        <f t="shared" si="12"/>
        <v>OIS</v>
      </c>
      <c r="AY25" s="904">
        <f t="shared" si="13"/>
        <v>0</v>
      </c>
      <c r="AZ25" s="906" t="s">
        <v>2033</v>
      </c>
      <c r="BA25" s="907">
        <v>1</v>
      </c>
      <c r="BB25" s="908"/>
      <c r="BC25" s="905"/>
      <c r="BD25" s="905"/>
      <c r="BE25" s="913">
        <f t="shared" si="14"/>
        <v>0</v>
      </c>
      <c r="BF25" s="909" t="str">
        <f t="shared" si="15"/>
        <v/>
      </c>
      <c r="BG25" s="909">
        <f t="shared" si="16"/>
        <v>0</v>
      </c>
      <c r="BH25" s="908" t="s">
        <v>2030</v>
      </c>
      <c r="BI25" s="905" t="s">
        <v>3</v>
      </c>
      <c r="BJ25" s="905" t="s">
        <v>38</v>
      </c>
      <c r="BK25" s="905" t="s">
        <v>0</v>
      </c>
      <c r="BL25" s="905" t="s">
        <v>38</v>
      </c>
      <c r="BM25" s="905" t="s">
        <v>0</v>
      </c>
      <c r="BN25" s="905" t="s">
        <v>38</v>
      </c>
      <c r="BO25" s="905" t="s">
        <v>0</v>
      </c>
      <c r="BP25" s="905"/>
      <c r="BQ25" s="905"/>
      <c r="BR25" s="905" t="e">
        <f t="shared" si="17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2108</v>
      </c>
    </row>
    <row r="2" spans="1:79" ht="23.25">
      <c r="B2" s="126" t="s">
        <v>2116</v>
      </c>
      <c r="C2" s="234"/>
      <c r="D2" s="234"/>
      <c r="E2" s="234"/>
      <c r="F2" s="234"/>
      <c r="G2" s="234"/>
      <c r="H2" s="998"/>
      <c r="I2" s="234"/>
      <c r="M2" s="234" t="s">
        <v>2060</v>
      </c>
      <c r="AR2" s="234" t="s">
        <v>1993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  <c r="BX3" s="149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1768</v>
      </c>
      <c r="C5" s="468" t="s">
        <v>1802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1773</v>
      </c>
      <c r="I5" s="468" t="s">
        <v>1772</v>
      </c>
      <c r="J5" s="469" t="s">
        <v>1784</v>
      </c>
      <c r="L5" t="s">
        <v>12</v>
      </c>
      <c r="M5" s="885" t="s">
        <v>2017</v>
      </c>
      <c r="N5" s="886" t="s">
        <v>354</v>
      </c>
      <c r="O5" s="886" t="s">
        <v>2016</v>
      </c>
      <c r="P5" s="886" t="s">
        <v>1803</v>
      </c>
      <c r="Q5" s="886" t="s">
        <v>1770</v>
      </c>
      <c r="R5" s="886" t="s">
        <v>1443</v>
      </c>
      <c r="S5" s="886" t="s">
        <v>1444</v>
      </c>
      <c r="T5" s="886" t="s">
        <v>156</v>
      </c>
      <c r="U5" s="887" t="s">
        <v>2107</v>
      </c>
      <c r="V5" s="886" t="s">
        <v>2015</v>
      </c>
      <c r="W5" s="886" t="s">
        <v>1772</v>
      </c>
      <c r="X5" s="886" t="s">
        <v>2003</v>
      </c>
      <c r="Y5" s="886" t="s">
        <v>2002</v>
      </c>
      <c r="Z5" s="886" t="s">
        <v>1784</v>
      </c>
      <c r="AA5" s="886" t="s">
        <v>1768</v>
      </c>
      <c r="AB5" s="886" t="s">
        <v>1769</v>
      </c>
      <c r="AC5" s="886" t="s">
        <v>1</v>
      </c>
      <c r="AD5" s="886" t="s">
        <v>120</v>
      </c>
      <c r="AE5" s="886" t="s">
        <v>2012</v>
      </c>
      <c r="AF5" s="886" t="s">
        <v>2011</v>
      </c>
      <c r="AG5" s="886" t="s">
        <v>2014</v>
      </c>
      <c r="AH5" s="886" t="s">
        <v>2013</v>
      </c>
      <c r="AI5" s="886" t="s">
        <v>2009</v>
      </c>
      <c r="AJ5" s="886" t="s">
        <v>2008</v>
      </c>
      <c r="AK5" s="886" t="s">
        <v>2005</v>
      </c>
      <c r="AL5" s="886" t="s">
        <v>2004</v>
      </c>
      <c r="AM5" s="886" t="s">
        <v>2006</v>
      </c>
      <c r="AN5" s="886" t="s">
        <v>2010</v>
      </c>
      <c r="AO5" s="886" t="s">
        <v>2007</v>
      </c>
      <c r="AP5" s="888" t="s">
        <v>2001</v>
      </c>
      <c r="AQ5" t="s">
        <v>12</v>
      </c>
      <c r="AR5" s="879" t="s">
        <v>2017</v>
      </c>
      <c r="AS5" s="880" t="s">
        <v>354</v>
      </c>
      <c r="AT5" s="880" t="s">
        <v>2016</v>
      </c>
      <c r="AU5" s="880" t="s">
        <v>1803</v>
      </c>
      <c r="AV5" s="880" t="s">
        <v>1770</v>
      </c>
      <c r="AW5" s="880" t="s">
        <v>1443</v>
      </c>
      <c r="AX5" s="880" t="s">
        <v>1444</v>
      </c>
      <c r="AY5" s="880" t="s">
        <v>156</v>
      </c>
      <c r="AZ5" s="881" t="s">
        <v>2107</v>
      </c>
      <c r="BA5" s="880" t="s">
        <v>2015</v>
      </c>
      <c r="BB5" s="880" t="s">
        <v>1772</v>
      </c>
      <c r="BC5" s="880" t="s">
        <v>2003</v>
      </c>
      <c r="BD5" s="880" t="s">
        <v>2002</v>
      </c>
      <c r="BE5" s="880" t="s">
        <v>1784</v>
      </c>
      <c r="BF5" s="880" t="s">
        <v>1768</v>
      </c>
      <c r="BG5" s="880" t="s">
        <v>1769</v>
      </c>
      <c r="BH5" s="880" t="s">
        <v>1</v>
      </c>
      <c r="BI5" s="880" t="s">
        <v>120</v>
      </c>
      <c r="BJ5" s="880" t="s">
        <v>2012</v>
      </c>
      <c r="BK5" s="880" t="s">
        <v>2011</v>
      </c>
      <c r="BL5" s="880" t="s">
        <v>2014</v>
      </c>
      <c r="BM5" s="880" t="s">
        <v>2013</v>
      </c>
      <c r="BN5" s="880" t="s">
        <v>2009</v>
      </c>
      <c r="BO5" s="880" t="s">
        <v>2008</v>
      </c>
      <c r="BP5" s="880" t="s">
        <v>2005</v>
      </c>
      <c r="BQ5" s="880" t="s">
        <v>2004</v>
      </c>
      <c r="BR5" s="880" t="s">
        <v>2006</v>
      </c>
      <c r="BS5" s="880" t="s">
        <v>2010</v>
      </c>
      <c r="BT5" s="880" t="s">
        <v>2007</v>
      </c>
      <c r="BU5" s="882" t="s">
        <v>2001</v>
      </c>
      <c r="BV5" t="s">
        <v>12</v>
      </c>
      <c r="BW5" s="914" t="s">
        <v>2000</v>
      </c>
      <c r="BX5" s="915" t="s">
        <v>1805</v>
      </c>
      <c r="BY5" s="915" t="s">
        <v>1806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43229</v>
      </c>
      <c r="C6" s="400" t="s">
        <v>361</v>
      </c>
      <c r="D6" s="361">
        <v>1000000</v>
      </c>
      <c r="E6" s="361" t="s">
        <v>181</v>
      </c>
      <c r="F6" s="342" t="s">
        <v>1753</v>
      </c>
      <c r="G6" s="346" t="s">
        <v>154</v>
      </c>
      <c r="H6" s="1116" t="s">
        <v>3</v>
      </c>
      <c r="I6" s="344">
        <v>0.01</v>
      </c>
      <c r="J6" s="883">
        <v>0</v>
      </c>
      <c r="L6" s="203">
        <v>1</v>
      </c>
      <c r="M6" s="889" t="s">
        <v>2060</v>
      </c>
      <c r="N6" s="890">
        <f t="shared" ref="N6:N25" si="0">$D6</f>
        <v>1000000</v>
      </c>
      <c r="O6" s="891" t="s">
        <v>1992</v>
      </c>
      <c r="P6" s="891" t="str">
        <f t="shared" ref="P6:P25" si="1">IF($F6="PAYER","PAY","RECEIVE")</f>
        <v>RECEIVE</v>
      </c>
      <c r="Q6" s="891" t="str">
        <f t="shared" ref="Q6:Q25" si="2">$E6&amp;"YC"</f>
        <v>USDYC</v>
      </c>
      <c r="R6" s="891"/>
      <c r="S6" s="891" t="str">
        <f t="shared" ref="S6:S25" si="3">$E6&amp;"OIS"</f>
        <v>USDOIS</v>
      </c>
      <c r="T6" s="890" t="str">
        <f t="shared" ref="T6:T25" si="4">$E6</f>
        <v>USD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43229</v>
      </c>
      <c r="AB6" s="894" t="str">
        <f t="shared" ref="AB6:AB25" si="7">$G6</f>
        <v>1Y</v>
      </c>
      <c r="AC6" s="893" t="s">
        <v>2030</v>
      </c>
      <c r="AD6" s="891" t="str">
        <f t="shared" ref="AD6:AD25" si="8">$H6</f>
        <v>ACT/360</v>
      </c>
      <c r="AE6" s="891" t="s">
        <v>38</v>
      </c>
      <c r="AF6" s="891" t="s">
        <v>357</v>
      </c>
      <c r="AG6" s="891" t="s">
        <v>38</v>
      </c>
      <c r="AH6" s="891" t="s">
        <v>357</v>
      </c>
      <c r="AI6" s="891" t="s">
        <v>38</v>
      </c>
      <c r="AJ6" s="891" t="s">
        <v>357</v>
      </c>
      <c r="AK6" s="891"/>
      <c r="AL6" s="891"/>
      <c r="AM6" s="891">
        <f t="shared" ref="AM6:AM25" ca="1" si="9">DAY($B6)</f>
        <v>9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1993</v>
      </c>
      <c r="AS6" s="890">
        <f t="shared" ref="AS6:AS25" si="10">$D6</f>
        <v>1000000</v>
      </c>
      <c r="AT6" s="891" t="s">
        <v>1992</v>
      </c>
      <c r="AU6" s="891" t="str">
        <f t="shared" ref="AU6:AU25" si="11">IF($F6="PAYER","RECEIVE","PAY")</f>
        <v>PAY</v>
      </c>
      <c r="AV6" s="891" t="str">
        <f t="shared" ref="AV6:AV25" si="12">$E6&amp;"YC"</f>
        <v>USDYC</v>
      </c>
      <c r="AW6" s="891" t="str">
        <f t="shared" ref="AW6:AX25" si="13">$E6&amp;"OIS"</f>
        <v>USDOIS</v>
      </c>
      <c r="AX6" s="891" t="str">
        <f t="shared" si="13"/>
        <v>USDOIS</v>
      </c>
      <c r="AY6" s="890" t="str">
        <f t="shared" ref="AY6:AY25" si="14">$E6</f>
        <v>USD</v>
      </c>
      <c r="AZ6" s="891" t="s">
        <v>2078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43229</v>
      </c>
      <c r="BG6" s="894" t="str">
        <f t="shared" ref="BG6:BG25" si="17">$G6</f>
        <v>1Y</v>
      </c>
      <c r="BH6" s="893" t="s">
        <v>2030</v>
      </c>
      <c r="BI6" s="891" t="s">
        <v>3</v>
      </c>
      <c r="BJ6" s="891" t="s">
        <v>38</v>
      </c>
      <c r="BK6" s="891" t="s">
        <v>357</v>
      </c>
      <c r="BL6" s="891" t="s">
        <v>38</v>
      </c>
      <c r="BM6" s="891" t="s">
        <v>357</v>
      </c>
      <c r="BN6" s="891" t="s">
        <v>38</v>
      </c>
      <c r="BO6" s="891" t="s">
        <v>357</v>
      </c>
      <c r="BP6" s="891"/>
      <c r="BQ6" s="891"/>
      <c r="BR6" s="891">
        <f t="shared" ref="BR6:BR25" ca="1" si="18">DAY($B6)</f>
        <v>9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USDOIS1@114:0</v>
      </c>
      <c r="BX6" s="917" t="str">
        <f ca="1">IF(OR($D6="",$D6=0),"",_xll.meLWOSwapParRate($BW6,Q6))</f>
        <v>[2018/05/04 09:52] #Error: Invalid Curve: CurveCollection 'USDYC' does not exist</v>
      </c>
      <c r="BY6" s="918" t="str">
        <f ca="1">IF(OR($D6="",$D6=0),"",_xll.meLWOSwapPV($BW6,Q6))</f>
        <v>[2018/05/04 09:52] #Error: Invalid Curve: CurveCollection 'USDYC' does not exist</v>
      </c>
      <c r="BZ6" s="923" t="str">
        <f ca="1">IF(OR($D6="",$D6=0),"",_xll.meLWOSwapPV01($BW6,Q6))</f>
        <v>[2018/05/04 09:52] #Error: Invalid Curve: CurveCollection 'USDYC' does not exist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43229</v>
      </c>
      <c r="C7" s="401" t="s">
        <v>361</v>
      </c>
      <c r="D7" s="362">
        <v>1000000</v>
      </c>
      <c r="E7" s="362" t="s">
        <v>181</v>
      </c>
      <c r="F7" s="365" t="s">
        <v>1753</v>
      </c>
      <c r="G7" s="397" t="s">
        <v>40</v>
      </c>
      <c r="H7" s="1117" t="s">
        <v>3</v>
      </c>
      <c r="I7" s="363">
        <v>0.01</v>
      </c>
      <c r="J7" s="883">
        <v>0</v>
      </c>
      <c r="L7" s="203">
        <v>2</v>
      </c>
      <c r="M7" s="896" t="s">
        <v>2060</v>
      </c>
      <c r="N7" s="897">
        <f t="shared" si="0"/>
        <v>1000000</v>
      </c>
      <c r="O7" s="898" t="s">
        <v>1992</v>
      </c>
      <c r="P7" s="898" t="str">
        <f t="shared" si="1"/>
        <v>RECEIVE</v>
      </c>
      <c r="Q7" s="898" t="str">
        <f t="shared" si="2"/>
        <v>USDYC</v>
      </c>
      <c r="R7" s="898"/>
      <c r="S7" s="898" t="str">
        <f t="shared" si="3"/>
        <v>USDOIS</v>
      </c>
      <c r="T7" s="897" t="str">
        <f t="shared" si="4"/>
        <v>USD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43229</v>
      </c>
      <c r="AB7" s="901" t="str">
        <f t="shared" si="7"/>
        <v>2Y</v>
      </c>
      <c r="AC7" s="900" t="s">
        <v>2030</v>
      </c>
      <c r="AD7" s="898" t="str">
        <f t="shared" si="8"/>
        <v>ACT/360</v>
      </c>
      <c r="AE7" s="898" t="s">
        <v>38</v>
      </c>
      <c r="AF7" s="898" t="s">
        <v>357</v>
      </c>
      <c r="AG7" s="898" t="s">
        <v>38</v>
      </c>
      <c r="AH7" s="898" t="s">
        <v>357</v>
      </c>
      <c r="AI7" s="898" t="s">
        <v>38</v>
      </c>
      <c r="AJ7" s="898" t="s">
        <v>357</v>
      </c>
      <c r="AK7" s="898"/>
      <c r="AL7" s="898"/>
      <c r="AM7" s="898">
        <f t="shared" ca="1" si="9"/>
        <v>9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1993</v>
      </c>
      <c r="AS7" s="897">
        <f t="shared" si="10"/>
        <v>1000000</v>
      </c>
      <c r="AT7" s="898" t="s">
        <v>1992</v>
      </c>
      <c r="AU7" s="898" t="str">
        <f t="shared" si="11"/>
        <v>PAY</v>
      </c>
      <c r="AV7" s="898" t="str">
        <f t="shared" si="12"/>
        <v>USDYC</v>
      </c>
      <c r="AW7" s="898" t="str">
        <f t="shared" si="13"/>
        <v>USDOIS</v>
      </c>
      <c r="AX7" s="898" t="str">
        <f t="shared" si="13"/>
        <v>USDOIS</v>
      </c>
      <c r="AY7" s="897" t="str">
        <f t="shared" si="14"/>
        <v>USD</v>
      </c>
      <c r="AZ7" s="898" t="s">
        <v>2078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43229</v>
      </c>
      <c r="BG7" s="901" t="str">
        <f t="shared" si="17"/>
        <v>2Y</v>
      </c>
      <c r="BH7" s="900" t="s">
        <v>2030</v>
      </c>
      <c r="BI7" s="898" t="s">
        <v>3</v>
      </c>
      <c r="BJ7" s="898" t="s">
        <v>38</v>
      </c>
      <c r="BK7" s="898" t="s">
        <v>357</v>
      </c>
      <c r="BL7" s="898" t="s">
        <v>38</v>
      </c>
      <c r="BM7" s="898" t="s">
        <v>357</v>
      </c>
      <c r="BN7" s="898" t="s">
        <v>38</v>
      </c>
      <c r="BO7" s="898" t="s">
        <v>357</v>
      </c>
      <c r="BP7" s="898"/>
      <c r="BQ7" s="898"/>
      <c r="BR7" s="898">
        <f t="shared" ca="1" si="18"/>
        <v>9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USDOIS2@66:0</v>
      </c>
      <c r="BX7" s="900" t="str">
        <f ca="1">IF(OR($D7="",$D7=0),"",_xll.meLWOSwapParRate($BW7,Q7))</f>
        <v>[2018/05/04 09:52] #Error: Invalid Curve: CurveCollection 'USDYC' does not exist</v>
      </c>
      <c r="BY7" s="897" t="str">
        <f ca="1">IF(OR($D7="",$D7=0),"",_xll.meLWOSwapPV($BW7,Q7))</f>
        <v>[2018/05/04 09:52] #Error: Invalid Curve: CurveCollection 'USDYC' does not exist</v>
      </c>
      <c r="BZ7" s="921" t="str">
        <f ca="1">IF(OR($D7="",$D7=0),"",_xll.meLWOSwapPV01($BW7,Q7))</f>
        <v>[2018/05/04 09:52] #Error: Invalid Curve: CurveCollection 'USDYC' does not exist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43229</v>
      </c>
      <c r="C8" s="401" t="s">
        <v>361</v>
      </c>
      <c r="D8" s="362">
        <v>1000000</v>
      </c>
      <c r="E8" s="362" t="s">
        <v>181</v>
      </c>
      <c r="F8" s="365" t="s">
        <v>1753</v>
      </c>
      <c r="G8" s="397" t="s">
        <v>37</v>
      </c>
      <c r="H8" s="1117" t="s">
        <v>3</v>
      </c>
      <c r="I8" s="363">
        <v>0.01</v>
      </c>
      <c r="J8" s="883">
        <v>0</v>
      </c>
      <c r="L8" s="203">
        <v>3</v>
      </c>
      <c r="M8" s="896" t="s">
        <v>2060</v>
      </c>
      <c r="N8" s="897">
        <f t="shared" si="0"/>
        <v>1000000</v>
      </c>
      <c r="O8" s="898" t="s">
        <v>1992</v>
      </c>
      <c r="P8" s="898" t="str">
        <f t="shared" si="1"/>
        <v>RECEIVE</v>
      </c>
      <c r="Q8" s="898" t="str">
        <f t="shared" si="2"/>
        <v>USDYC</v>
      </c>
      <c r="R8" s="898"/>
      <c r="S8" s="898" t="str">
        <f t="shared" si="3"/>
        <v>USDOIS</v>
      </c>
      <c r="T8" s="897" t="str">
        <f t="shared" si="4"/>
        <v>USD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43229</v>
      </c>
      <c r="AB8" s="901" t="str">
        <f t="shared" si="7"/>
        <v>3Y</v>
      </c>
      <c r="AC8" s="900" t="s">
        <v>2030</v>
      </c>
      <c r="AD8" s="898" t="str">
        <f t="shared" si="8"/>
        <v>ACT/360</v>
      </c>
      <c r="AE8" s="898" t="s">
        <v>38</v>
      </c>
      <c r="AF8" s="898" t="s">
        <v>357</v>
      </c>
      <c r="AG8" s="898" t="s">
        <v>38</v>
      </c>
      <c r="AH8" s="898" t="s">
        <v>357</v>
      </c>
      <c r="AI8" s="898" t="s">
        <v>38</v>
      </c>
      <c r="AJ8" s="898" t="s">
        <v>357</v>
      </c>
      <c r="AK8" s="898"/>
      <c r="AL8" s="898"/>
      <c r="AM8" s="898">
        <f t="shared" ca="1" si="9"/>
        <v>9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1993</v>
      </c>
      <c r="AS8" s="897">
        <f t="shared" si="10"/>
        <v>1000000</v>
      </c>
      <c r="AT8" s="898" t="s">
        <v>1992</v>
      </c>
      <c r="AU8" s="898" t="str">
        <f t="shared" si="11"/>
        <v>PAY</v>
      </c>
      <c r="AV8" s="898" t="str">
        <f t="shared" si="12"/>
        <v>USDYC</v>
      </c>
      <c r="AW8" s="898" t="str">
        <f t="shared" si="13"/>
        <v>USDOIS</v>
      </c>
      <c r="AX8" s="898" t="str">
        <f t="shared" si="13"/>
        <v>USDOIS</v>
      </c>
      <c r="AY8" s="897" t="str">
        <f t="shared" si="14"/>
        <v>USD</v>
      </c>
      <c r="AZ8" s="898" t="s">
        <v>2078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43229</v>
      </c>
      <c r="BG8" s="901" t="str">
        <f t="shared" si="17"/>
        <v>3Y</v>
      </c>
      <c r="BH8" s="900" t="s">
        <v>2030</v>
      </c>
      <c r="BI8" s="898" t="s">
        <v>3</v>
      </c>
      <c r="BJ8" s="898" t="s">
        <v>38</v>
      </c>
      <c r="BK8" s="898" t="s">
        <v>357</v>
      </c>
      <c r="BL8" s="898" t="s">
        <v>38</v>
      </c>
      <c r="BM8" s="898" t="s">
        <v>357</v>
      </c>
      <c r="BN8" s="898" t="s">
        <v>38</v>
      </c>
      <c r="BO8" s="898" t="s">
        <v>357</v>
      </c>
      <c r="BP8" s="898"/>
      <c r="BQ8" s="898"/>
      <c r="BR8" s="898">
        <f t="shared" ca="1" si="18"/>
        <v>9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USDOIS3@21:0</v>
      </c>
      <c r="BX8" s="900" t="str">
        <f ca="1">IF(OR($D8="",$D8=0),"",_xll.meLWOSwapParRate($BW8,Q8))</f>
        <v>[2018/05/04 09:52] #Error: Invalid Curve: CurveCollection 'USDYC' does not exist</v>
      </c>
      <c r="BY8" s="897" t="str">
        <f ca="1">IF(OR($D8="",$D8=0),"",_xll.meLWOSwapPV($BW8,Q8))</f>
        <v>[2018/05/04 09:52] #Error: Invalid Curve: CurveCollection 'USDYC' does not exist</v>
      </c>
      <c r="BZ8" s="921" t="str">
        <f ca="1">IF(OR($D8="",$D8=0),"",_xll.meLWOSwapPV01($BW8,Q8))</f>
        <v>[2018/05/04 09:52] #Error: Invalid Curve: CurveCollection 'USDYC' does not exist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43229</v>
      </c>
      <c r="C9" s="4" t="s">
        <v>361</v>
      </c>
      <c r="D9" s="362">
        <v>1000000</v>
      </c>
      <c r="E9" s="362" t="s">
        <v>181</v>
      </c>
      <c r="F9" s="365" t="s">
        <v>1753</v>
      </c>
      <c r="G9" s="397" t="s">
        <v>33</v>
      </c>
      <c r="H9" s="1117" t="s">
        <v>3</v>
      </c>
      <c r="I9" s="363">
        <v>0.01</v>
      </c>
      <c r="J9" s="883">
        <v>0</v>
      </c>
      <c r="L9" s="203">
        <v>4</v>
      </c>
      <c r="M9" s="896" t="s">
        <v>2060</v>
      </c>
      <c r="N9" s="897">
        <f t="shared" si="0"/>
        <v>1000000</v>
      </c>
      <c r="O9" s="898" t="s">
        <v>1992</v>
      </c>
      <c r="P9" s="898" t="str">
        <f t="shared" si="1"/>
        <v>RECEIVE</v>
      </c>
      <c r="Q9" s="898" t="str">
        <f t="shared" si="2"/>
        <v>USDYC</v>
      </c>
      <c r="R9" s="898"/>
      <c r="S9" s="898" t="str">
        <f t="shared" si="3"/>
        <v>USDOIS</v>
      </c>
      <c r="T9" s="897" t="str">
        <f t="shared" si="4"/>
        <v>USD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43229</v>
      </c>
      <c r="AB9" s="901" t="str">
        <f t="shared" si="7"/>
        <v>4Y</v>
      </c>
      <c r="AC9" s="900" t="s">
        <v>2030</v>
      </c>
      <c r="AD9" s="898" t="str">
        <f t="shared" si="8"/>
        <v>ACT/360</v>
      </c>
      <c r="AE9" s="898" t="s">
        <v>38</v>
      </c>
      <c r="AF9" s="898" t="s">
        <v>357</v>
      </c>
      <c r="AG9" s="898" t="s">
        <v>38</v>
      </c>
      <c r="AH9" s="898" t="s">
        <v>357</v>
      </c>
      <c r="AI9" s="898" t="s">
        <v>38</v>
      </c>
      <c r="AJ9" s="898" t="s">
        <v>357</v>
      </c>
      <c r="AK9" s="898"/>
      <c r="AL9" s="898"/>
      <c r="AM9" s="898">
        <f t="shared" ca="1" si="9"/>
        <v>9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1993</v>
      </c>
      <c r="AS9" s="897">
        <f t="shared" si="10"/>
        <v>1000000</v>
      </c>
      <c r="AT9" s="898" t="s">
        <v>1992</v>
      </c>
      <c r="AU9" s="898" t="str">
        <f t="shared" si="11"/>
        <v>PAY</v>
      </c>
      <c r="AV9" s="898" t="str">
        <f t="shared" si="12"/>
        <v>USDYC</v>
      </c>
      <c r="AW9" s="898" t="str">
        <f t="shared" si="13"/>
        <v>USDOIS</v>
      </c>
      <c r="AX9" s="898" t="str">
        <f t="shared" si="13"/>
        <v>USDOIS</v>
      </c>
      <c r="AY9" s="897" t="str">
        <f t="shared" si="14"/>
        <v>USD</v>
      </c>
      <c r="AZ9" s="898" t="s">
        <v>2078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43229</v>
      </c>
      <c r="BG9" s="901" t="str">
        <f t="shared" si="17"/>
        <v>4Y</v>
      </c>
      <c r="BH9" s="900" t="s">
        <v>2030</v>
      </c>
      <c r="BI9" s="898" t="s">
        <v>3</v>
      </c>
      <c r="BJ9" s="898" t="s">
        <v>38</v>
      </c>
      <c r="BK9" s="898" t="s">
        <v>357</v>
      </c>
      <c r="BL9" s="898" t="s">
        <v>38</v>
      </c>
      <c r="BM9" s="898" t="s">
        <v>357</v>
      </c>
      <c r="BN9" s="898" t="s">
        <v>38</v>
      </c>
      <c r="BO9" s="898" t="s">
        <v>357</v>
      </c>
      <c r="BP9" s="898"/>
      <c r="BQ9" s="898"/>
      <c r="BR9" s="898">
        <f t="shared" ca="1" si="18"/>
        <v>9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USDOIS4@95:0</v>
      </c>
      <c r="BX9" s="900" t="str">
        <f ca="1">IF(OR($D9="",$D9=0),"",_xll.meLWOSwapParRate($BW9,Q9))</f>
        <v>[2018/05/04 09:52] #Error: Invalid Curve: CurveCollection 'USDYC' does not exist</v>
      </c>
      <c r="BY9" s="897" t="str">
        <f ca="1">IF(OR($D9="",$D9=0),"",_xll.meLWOSwapPV($BW9,Q9))</f>
        <v>[2018/05/04 09:52] #Error: Invalid Curve: CurveCollection 'USDYC' does not exist</v>
      </c>
      <c r="BZ9" s="921" t="str">
        <f ca="1">IF(OR($D9="",$D9=0),"",_xll.meLWOSwapPV01($BW9,Q9))</f>
        <v>[2018/05/04 09:52] #Error: Invalid Curve: CurveCollection 'USDYC' does not exist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43229</v>
      </c>
      <c r="C10" s="4" t="s">
        <v>361</v>
      </c>
      <c r="D10" s="362">
        <v>1000000</v>
      </c>
      <c r="E10" s="362" t="s">
        <v>181</v>
      </c>
      <c r="F10" s="365" t="s">
        <v>1753</v>
      </c>
      <c r="G10" s="397" t="s">
        <v>31</v>
      </c>
      <c r="H10" s="1117" t="s">
        <v>3</v>
      </c>
      <c r="I10" s="363">
        <v>0.01</v>
      </c>
      <c r="J10" s="883">
        <v>0</v>
      </c>
      <c r="L10" s="203">
        <v>5</v>
      </c>
      <c r="M10" s="896" t="s">
        <v>2060</v>
      </c>
      <c r="N10" s="897">
        <f t="shared" si="0"/>
        <v>1000000</v>
      </c>
      <c r="O10" s="898" t="s">
        <v>1992</v>
      </c>
      <c r="P10" s="898" t="str">
        <f t="shared" si="1"/>
        <v>RECEIVE</v>
      </c>
      <c r="Q10" s="898" t="str">
        <f t="shared" si="2"/>
        <v>USDYC</v>
      </c>
      <c r="R10" s="898"/>
      <c r="S10" s="898" t="str">
        <f t="shared" si="3"/>
        <v>USDOIS</v>
      </c>
      <c r="T10" s="897" t="str">
        <f t="shared" si="4"/>
        <v>USD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43229</v>
      </c>
      <c r="AB10" s="901" t="str">
        <f t="shared" si="7"/>
        <v>5Y</v>
      </c>
      <c r="AC10" s="900" t="s">
        <v>2030</v>
      </c>
      <c r="AD10" s="898" t="str">
        <f t="shared" si="8"/>
        <v>ACT/360</v>
      </c>
      <c r="AE10" s="898" t="s">
        <v>38</v>
      </c>
      <c r="AF10" s="898" t="s">
        <v>357</v>
      </c>
      <c r="AG10" s="898" t="s">
        <v>38</v>
      </c>
      <c r="AH10" s="898" t="s">
        <v>357</v>
      </c>
      <c r="AI10" s="898" t="s">
        <v>38</v>
      </c>
      <c r="AJ10" s="898" t="s">
        <v>357</v>
      </c>
      <c r="AK10" s="898"/>
      <c r="AL10" s="898"/>
      <c r="AM10" s="898">
        <f t="shared" ca="1" si="9"/>
        <v>9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1993</v>
      </c>
      <c r="AS10" s="897">
        <f t="shared" si="10"/>
        <v>1000000</v>
      </c>
      <c r="AT10" s="898" t="s">
        <v>1992</v>
      </c>
      <c r="AU10" s="898" t="str">
        <f t="shared" si="11"/>
        <v>PAY</v>
      </c>
      <c r="AV10" s="898" t="str">
        <f t="shared" si="12"/>
        <v>USDYC</v>
      </c>
      <c r="AW10" s="898" t="str">
        <f t="shared" si="13"/>
        <v>USDOIS</v>
      </c>
      <c r="AX10" s="898" t="str">
        <f t="shared" si="13"/>
        <v>USDOIS</v>
      </c>
      <c r="AY10" s="897" t="str">
        <f t="shared" si="14"/>
        <v>USD</v>
      </c>
      <c r="AZ10" s="898" t="s">
        <v>2078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43229</v>
      </c>
      <c r="BG10" s="901" t="str">
        <f t="shared" si="17"/>
        <v>5Y</v>
      </c>
      <c r="BH10" s="900" t="s">
        <v>2030</v>
      </c>
      <c r="BI10" s="898" t="s">
        <v>3</v>
      </c>
      <c r="BJ10" s="898" t="s">
        <v>38</v>
      </c>
      <c r="BK10" s="898" t="s">
        <v>357</v>
      </c>
      <c r="BL10" s="898" t="s">
        <v>38</v>
      </c>
      <c r="BM10" s="898" t="s">
        <v>357</v>
      </c>
      <c r="BN10" s="898" t="s">
        <v>38</v>
      </c>
      <c r="BO10" s="898" t="s">
        <v>357</v>
      </c>
      <c r="BP10" s="898"/>
      <c r="BQ10" s="898"/>
      <c r="BR10" s="898">
        <f t="shared" ca="1" si="18"/>
        <v>9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USDOIS5@97:0</v>
      </c>
      <c r="BX10" s="900" t="str">
        <f ca="1">IF(OR($D10="",$D10=0),"",_xll.meLWOSwapParRate($BW10,Q10))</f>
        <v>[2018/05/04 09:52] #Error: Invalid Curve: CurveCollection 'USDYC' does not exist</v>
      </c>
      <c r="BY10" s="897" t="str">
        <f ca="1">IF(OR($D10="",$D10=0),"",_xll.meLWOSwapPV($BW10,Q10))</f>
        <v>[2018/05/04 09:52] #Error: Invalid Curve: CurveCollection 'USDYC' does not exist</v>
      </c>
      <c r="BZ10" s="921" t="str">
        <f ca="1">IF(OR($D10="",$D10=0),"",_xll.meLWOSwapPV01($BW10,Q10))</f>
        <v>[2018/05/04 09:52] #Error: Invalid Curve: CurveCollection 'USDYC' does not exist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43229</v>
      </c>
      <c r="C11" s="4" t="s">
        <v>361</v>
      </c>
      <c r="D11" s="362">
        <v>1000000</v>
      </c>
      <c r="E11" s="362" t="s">
        <v>181</v>
      </c>
      <c r="F11" s="365" t="s">
        <v>1753</v>
      </c>
      <c r="G11" s="397" t="s">
        <v>127</v>
      </c>
      <c r="H11" s="1117" t="s">
        <v>3</v>
      </c>
      <c r="I11" s="363">
        <v>0.01</v>
      </c>
      <c r="J11" s="883">
        <v>0</v>
      </c>
      <c r="L11" s="203">
        <v>6</v>
      </c>
      <c r="M11" s="896" t="s">
        <v>2060</v>
      </c>
      <c r="N11" s="897">
        <f t="shared" si="0"/>
        <v>1000000</v>
      </c>
      <c r="O11" s="898" t="s">
        <v>1992</v>
      </c>
      <c r="P11" s="898" t="str">
        <f t="shared" si="1"/>
        <v>RECEIVE</v>
      </c>
      <c r="Q11" s="898" t="str">
        <f t="shared" si="2"/>
        <v>USDYC</v>
      </c>
      <c r="R11" s="898"/>
      <c r="S11" s="898" t="str">
        <f t="shared" si="3"/>
        <v>USDOIS</v>
      </c>
      <c r="T11" s="897" t="str">
        <f t="shared" si="4"/>
        <v>USD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43229</v>
      </c>
      <c r="AB11" s="901" t="str">
        <f t="shared" si="7"/>
        <v>6Y</v>
      </c>
      <c r="AC11" s="900" t="s">
        <v>2030</v>
      </c>
      <c r="AD11" s="898" t="str">
        <f t="shared" si="8"/>
        <v>ACT/360</v>
      </c>
      <c r="AE11" s="898" t="s">
        <v>38</v>
      </c>
      <c r="AF11" s="898" t="s">
        <v>357</v>
      </c>
      <c r="AG11" s="898" t="s">
        <v>38</v>
      </c>
      <c r="AH11" s="898" t="s">
        <v>357</v>
      </c>
      <c r="AI11" s="898" t="s">
        <v>38</v>
      </c>
      <c r="AJ11" s="898" t="s">
        <v>357</v>
      </c>
      <c r="AK11" s="898"/>
      <c r="AL11" s="898"/>
      <c r="AM11" s="898">
        <f t="shared" ca="1" si="9"/>
        <v>9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1993</v>
      </c>
      <c r="AS11" s="897">
        <f t="shared" si="10"/>
        <v>1000000</v>
      </c>
      <c r="AT11" s="898" t="s">
        <v>1992</v>
      </c>
      <c r="AU11" s="898" t="str">
        <f t="shared" si="11"/>
        <v>PAY</v>
      </c>
      <c r="AV11" s="898" t="str">
        <f t="shared" si="12"/>
        <v>USDYC</v>
      </c>
      <c r="AW11" s="898" t="str">
        <f t="shared" si="13"/>
        <v>USDOIS</v>
      </c>
      <c r="AX11" s="898" t="str">
        <f t="shared" si="13"/>
        <v>USDOIS</v>
      </c>
      <c r="AY11" s="897" t="str">
        <f t="shared" si="14"/>
        <v>USD</v>
      </c>
      <c r="AZ11" s="898" t="s">
        <v>2078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43229</v>
      </c>
      <c r="BG11" s="901" t="str">
        <f t="shared" si="17"/>
        <v>6Y</v>
      </c>
      <c r="BH11" s="900" t="s">
        <v>2030</v>
      </c>
      <c r="BI11" s="898" t="s">
        <v>3</v>
      </c>
      <c r="BJ11" s="898" t="s">
        <v>38</v>
      </c>
      <c r="BK11" s="898" t="s">
        <v>357</v>
      </c>
      <c r="BL11" s="898" t="s">
        <v>38</v>
      </c>
      <c r="BM11" s="898" t="s">
        <v>357</v>
      </c>
      <c r="BN11" s="898" t="s">
        <v>38</v>
      </c>
      <c r="BO11" s="898" t="s">
        <v>357</v>
      </c>
      <c r="BP11" s="898"/>
      <c r="BQ11" s="898"/>
      <c r="BR11" s="898">
        <f t="shared" ca="1" si="18"/>
        <v>9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USDOIS6@94:0</v>
      </c>
      <c r="BX11" s="900" t="str">
        <f ca="1">IF(OR($D11="",$D11=0),"",_xll.meLWOSwapParRate($BW11,Q11))</f>
        <v>[2018/05/04 09:52] #Error: Invalid Curve: CurveCollection 'USDYC' does not exist</v>
      </c>
      <c r="BY11" s="897" t="str">
        <f ca="1">IF(OR($D11="",$D11=0),"",_xll.meLWOSwapPV($BW11,Q11))</f>
        <v>[2018/05/04 09:52] #Error: Invalid Curve: CurveCollection 'USDYC' does not exist</v>
      </c>
      <c r="BZ11" s="921" t="str">
        <f ca="1">IF(OR($D11="",$D11=0),"",_xll.meLWOSwapPV01($BW11,Q11))</f>
        <v>[2018/05/04 09:52] #Error: Invalid Curve: CurveCollection 'USDYC' does not exist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43229</v>
      </c>
      <c r="C12" s="4" t="s">
        <v>361</v>
      </c>
      <c r="D12" s="362">
        <v>1000000</v>
      </c>
      <c r="E12" s="362" t="s">
        <v>181</v>
      </c>
      <c r="F12" s="365" t="s">
        <v>1753</v>
      </c>
      <c r="G12" s="397" t="s">
        <v>29</v>
      </c>
      <c r="H12" s="1117" t="s">
        <v>3</v>
      </c>
      <c r="I12" s="363">
        <v>0.01</v>
      </c>
      <c r="J12" s="883">
        <v>0</v>
      </c>
      <c r="L12" s="203">
        <v>7</v>
      </c>
      <c r="M12" s="896" t="s">
        <v>2060</v>
      </c>
      <c r="N12" s="897">
        <f t="shared" si="0"/>
        <v>1000000</v>
      </c>
      <c r="O12" s="898" t="s">
        <v>1992</v>
      </c>
      <c r="P12" s="898" t="str">
        <f t="shared" si="1"/>
        <v>RECEIVE</v>
      </c>
      <c r="Q12" s="898" t="str">
        <f t="shared" si="2"/>
        <v>USDYC</v>
      </c>
      <c r="R12" s="898"/>
      <c r="S12" s="898" t="str">
        <f t="shared" si="3"/>
        <v>USDOIS</v>
      </c>
      <c r="T12" s="897" t="str">
        <f t="shared" si="4"/>
        <v>USD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43229</v>
      </c>
      <c r="AB12" s="901" t="str">
        <f t="shared" si="7"/>
        <v>7Y</v>
      </c>
      <c r="AC12" s="900" t="s">
        <v>2030</v>
      </c>
      <c r="AD12" s="898" t="str">
        <f t="shared" si="8"/>
        <v>ACT/360</v>
      </c>
      <c r="AE12" s="898" t="s">
        <v>38</v>
      </c>
      <c r="AF12" s="898" t="s">
        <v>357</v>
      </c>
      <c r="AG12" s="898" t="s">
        <v>38</v>
      </c>
      <c r="AH12" s="898" t="s">
        <v>357</v>
      </c>
      <c r="AI12" s="898" t="s">
        <v>38</v>
      </c>
      <c r="AJ12" s="898" t="s">
        <v>357</v>
      </c>
      <c r="AK12" s="898"/>
      <c r="AL12" s="898"/>
      <c r="AM12" s="898">
        <f t="shared" ca="1" si="9"/>
        <v>9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1993</v>
      </c>
      <c r="AS12" s="897">
        <f t="shared" si="10"/>
        <v>1000000</v>
      </c>
      <c r="AT12" s="898" t="s">
        <v>1992</v>
      </c>
      <c r="AU12" s="898" t="str">
        <f t="shared" si="11"/>
        <v>PAY</v>
      </c>
      <c r="AV12" s="898" t="str">
        <f t="shared" si="12"/>
        <v>USDYC</v>
      </c>
      <c r="AW12" s="898" t="str">
        <f t="shared" si="13"/>
        <v>USDOIS</v>
      </c>
      <c r="AX12" s="898" t="str">
        <f t="shared" si="13"/>
        <v>USDOIS</v>
      </c>
      <c r="AY12" s="897" t="str">
        <f t="shared" si="14"/>
        <v>USD</v>
      </c>
      <c r="AZ12" s="898" t="s">
        <v>2078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43229</v>
      </c>
      <c r="BG12" s="901" t="str">
        <f t="shared" si="17"/>
        <v>7Y</v>
      </c>
      <c r="BH12" s="900" t="s">
        <v>2030</v>
      </c>
      <c r="BI12" s="898" t="s">
        <v>3</v>
      </c>
      <c r="BJ12" s="898" t="s">
        <v>38</v>
      </c>
      <c r="BK12" s="898" t="s">
        <v>357</v>
      </c>
      <c r="BL12" s="898" t="s">
        <v>38</v>
      </c>
      <c r="BM12" s="898" t="s">
        <v>357</v>
      </c>
      <c r="BN12" s="898" t="s">
        <v>38</v>
      </c>
      <c r="BO12" s="898" t="s">
        <v>357</v>
      </c>
      <c r="BP12" s="898"/>
      <c r="BQ12" s="898"/>
      <c r="BR12" s="898">
        <f t="shared" ca="1" si="18"/>
        <v>9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USDOIS7@53:0</v>
      </c>
      <c r="BX12" s="900" t="str">
        <f ca="1">IF(OR($D12="",$D12=0),"",_xll.meLWOSwapParRate($BW12,Q12))</f>
        <v>[2018/05/04 09:52] #Error: Invalid Curve: CurveCollection 'USDYC' does not exist</v>
      </c>
      <c r="BY12" s="897" t="str">
        <f ca="1">IF(OR($D12="",$D12=0),"",_xll.meLWOSwapPV($BW12,Q12))</f>
        <v>[2018/05/04 09:52] #Error: Invalid Curve: CurveCollection 'USDYC' does not exist</v>
      </c>
      <c r="BZ12" s="921" t="str">
        <f ca="1">IF(OR($D12="",$D12=0),"",_xll.meLWOSwapPV01($BW12,Q12))</f>
        <v>[2018/05/04 09:52] #Error: Invalid Curve: CurveCollection 'USDYC' does not exist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43229</v>
      </c>
      <c r="C13" s="4" t="s">
        <v>361</v>
      </c>
      <c r="D13" s="362">
        <v>1000000</v>
      </c>
      <c r="E13" s="362" t="s">
        <v>181</v>
      </c>
      <c r="F13" s="365" t="s">
        <v>1753</v>
      </c>
      <c r="G13" s="397" t="s">
        <v>115</v>
      </c>
      <c r="H13" s="1117" t="s">
        <v>3</v>
      </c>
      <c r="I13" s="363">
        <v>0.01</v>
      </c>
      <c r="J13" s="883">
        <v>0</v>
      </c>
      <c r="L13" s="203">
        <v>8</v>
      </c>
      <c r="M13" s="896" t="s">
        <v>2060</v>
      </c>
      <c r="N13" s="897">
        <f t="shared" si="0"/>
        <v>1000000</v>
      </c>
      <c r="O13" s="898" t="s">
        <v>1992</v>
      </c>
      <c r="P13" s="898" t="str">
        <f t="shared" si="1"/>
        <v>RECEIVE</v>
      </c>
      <c r="Q13" s="898" t="str">
        <f t="shared" si="2"/>
        <v>USDYC</v>
      </c>
      <c r="R13" s="898"/>
      <c r="S13" s="898" t="str">
        <f t="shared" si="3"/>
        <v>USDOIS</v>
      </c>
      <c r="T13" s="897" t="str">
        <f t="shared" si="4"/>
        <v>USD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43229</v>
      </c>
      <c r="AB13" s="901" t="str">
        <f t="shared" si="7"/>
        <v>8Y</v>
      </c>
      <c r="AC13" s="900" t="s">
        <v>2030</v>
      </c>
      <c r="AD13" s="898" t="str">
        <f t="shared" si="8"/>
        <v>ACT/360</v>
      </c>
      <c r="AE13" s="898" t="s">
        <v>38</v>
      </c>
      <c r="AF13" s="898" t="s">
        <v>357</v>
      </c>
      <c r="AG13" s="898" t="s">
        <v>38</v>
      </c>
      <c r="AH13" s="898" t="s">
        <v>357</v>
      </c>
      <c r="AI13" s="898" t="s">
        <v>38</v>
      </c>
      <c r="AJ13" s="898" t="s">
        <v>357</v>
      </c>
      <c r="AK13" s="898"/>
      <c r="AL13" s="898"/>
      <c r="AM13" s="898">
        <f t="shared" ca="1" si="9"/>
        <v>9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1993</v>
      </c>
      <c r="AS13" s="897">
        <f t="shared" si="10"/>
        <v>1000000</v>
      </c>
      <c r="AT13" s="898" t="s">
        <v>1992</v>
      </c>
      <c r="AU13" s="898" t="str">
        <f t="shared" si="11"/>
        <v>PAY</v>
      </c>
      <c r="AV13" s="898" t="str">
        <f t="shared" si="12"/>
        <v>USDYC</v>
      </c>
      <c r="AW13" s="898" t="str">
        <f t="shared" si="13"/>
        <v>USDOIS</v>
      </c>
      <c r="AX13" s="898" t="str">
        <f t="shared" si="13"/>
        <v>USDOIS</v>
      </c>
      <c r="AY13" s="897" t="str">
        <f t="shared" si="14"/>
        <v>USD</v>
      </c>
      <c r="AZ13" s="898" t="s">
        <v>2078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43229</v>
      </c>
      <c r="BG13" s="901" t="str">
        <f t="shared" si="17"/>
        <v>8Y</v>
      </c>
      <c r="BH13" s="900" t="s">
        <v>2030</v>
      </c>
      <c r="BI13" s="898" t="s">
        <v>3</v>
      </c>
      <c r="BJ13" s="898" t="s">
        <v>38</v>
      </c>
      <c r="BK13" s="898" t="s">
        <v>357</v>
      </c>
      <c r="BL13" s="898" t="s">
        <v>38</v>
      </c>
      <c r="BM13" s="898" t="s">
        <v>357</v>
      </c>
      <c r="BN13" s="898" t="s">
        <v>38</v>
      </c>
      <c r="BO13" s="898" t="s">
        <v>357</v>
      </c>
      <c r="BP13" s="898"/>
      <c r="BQ13" s="898"/>
      <c r="BR13" s="898">
        <f t="shared" ca="1" si="18"/>
        <v>9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USDOIS8@76:0</v>
      </c>
      <c r="BX13" s="900" t="str">
        <f ca="1">IF(OR($D13="",$D13=0),"",_xll.meLWOSwapParRate($BW13,Q13))</f>
        <v>[2018/05/04 09:52] #Error: Invalid Curve: CurveCollection 'USDYC' does not exist</v>
      </c>
      <c r="BY13" s="897" t="str">
        <f ca="1">IF(OR($D13="",$D13=0),"",_xll.meLWOSwapPV($BW13,Q13))</f>
        <v>[2018/05/04 09:52] #Error: Invalid Curve: CurveCollection 'USDYC' does not exist</v>
      </c>
      <c r="BZ13" s="921" t="str">
        <f ca="1">IF(OR($D13="",$D13=0),"",_xll.meLWOSwapPV01($BW13,Q13))</f>
        <v>[2018/05/04 09:52] #Error: Invalid Curve: CurveCollection 'USDYC' does not exist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43229</v>
      </c>
      <c r="C14" s="4" t="s">
        <v>361</v>
      </c>
      <c r="D14" s="362">
        <v>1000000</v>
      </c>
      <c r="E14" s="362" t="s">
        <v>181</v>
      </c>
      <c r="F14" s="365" t="s">
        <v>1753</v>
      </c>
      <c r="G14" s="397" t="s">
        <v>109</v>
      </c>
      <c r="H14" s="1117" t="s">
        <v>3</v>
      </c>
      <c r="I14" s="363">
        <v>0.01</v>
      </c>
      <c r="J14" s="883">
        <v>0</v>
      </c>
      <c r="L14" s="203">
        <v>9</v>
      </c>
      <c r="M14" s="896" t="s">
        <v>2060</v>
      </c>
      <c r="N14" s="897">
        <f t="shared" si="0"/>
        <v>1000000</v>
      </c>
      <c r="O14" s="898" t="s">
        <v>1992</v>
      </c>
      <c r="P14" s="898" t="str">
        <f t="shared" si="1"/>
        <v>RECEIVE</v>
      </c>
      <c r="Q14" s="898" t="str">
        <f t="shared" si="2"/>
        <v>USDYC</v>
      </c>
      <c r="R14" s="898"/>
      <c r="S14" s="898" t="str">
        <f t="shared" si="3"/>
        <v>USDOIS</v>
      </c>
      <c r="T14" s="897" t="str">
        <f t="shared" si="4"/>
        <v>USD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43229</v>
      </c>
      <c r="AB14" s="901" t="str">
        <f t="shared" si="7"/>
        <v>9Y</v>
      </c>
      <c r="AC14" s="900" t="s">
        <v>2030</v>
      </c>
      <c r="AD14" s="898" t="str">
        <f t="shared" si="8"/>
        <v>ACT/360</v>
      </c>
      <c r="AE14" s="898" t="s">
        <v>38</v>
      </c>
      <c r="AF14" s="898" t="s">
        <v>357</v>
      </c>
      <c r="AG14" s="898" t="s">
        <v>38</v>
      </c>
      <c r="AH14" s="898" t="s">
        <v>357</v>
      </c>
      <c r="AI14" s="898" t="s">
        <v>38</v>
      </c>
      <c r="AJ14" s="898" t="s">
        <v>357</v>
      </c>
      <c r="AK14" s="898"/>
      <c r="AL14" s="898"/>
      <c r="AM14" s="898">
        <f t="shared" ca="1" si="9"/>
        <v>9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1993</v>
      </c>
      <c r="AS14" s="897">
        <f t="shared" si="10"/>
        <v>1000000</v>
      </c>
      <c r="AT14" s="898" t="s">
        <v>1992</v>
      </c>
      <c r="AU14" s="898" t="str">
        <f t="shared" si="11"/>
        <v>PAY</v>
      </c>
      <c r="AV14" s="898" t="str">
        <f t="shared" si="12"/>
        <v>USDYC</v>
      </c>
      <c r="AW14" s="898" t="str">
        <f t="shared" si="13"/>
        <v>USDOIS</v>
      </c>
      <c r="AX14" s="898" t="str">
        <f t="shared" si="13"/>
        <v>USDOIS</v>
      </c>
      <c r="AY14" s="897" t="str">
        <f t="shared" si="14"/>
        <v>USD</v>
      </c>
      <c r="AZ14" s="898" t="s">
        <v>2078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43229</v>
      </c>
      <c r="BG14" s="901" t="str">
        <f t="shared" si="17"/>
        <v>9Y</v>
      </c>
      <c r="BH14" s="900" t="s">
        <v>2030</v>
      </c>
      <c r="BI14" s="898" t="s">
        <v>3</v>
      </c>
      <c r="BJ14" s="898" t="s">
        <v>38</v>
      </c>
      <c r="BK14" s="898" t="s">
        <v>357</v>
      </c>
      <c r="BL14" s="898" t="s">
        <v>38</v>
      </c>
      <c r="BM14" s="898" t="s">
        <v>357</v>
      </c>
      <c r="BN14" s="898" t="s">
        <v>38</v>
      </c>
      <c r="BO14" s="898" t="s">
        <v>357</v>
      </c>
      <c r="BP14" s="898"/>
      <c r="BQ14" s="898"/>
      <c r="BR14" s="898">
        <f t="shared" ca="1" si="18"/>
        <v>9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USDOIS9@124:0</v>
      </c>
      <c r="BX14" s="900" t="str">
        <f ca="1">IF(OR($D14="",$D14=0),"",_xll.meLWOSwapParRate($BW14,Q14))</f>
        <v>[2018/05/04 09:52] #Error: Invalid Curve: CurveCollection 'USDYC' does not exist</v>
      </c>
      <c r="BY14" s="897" t="str">
        <f ca="1">IF(OR($D14="",$D14=0),"",_xll.meLWOSwapPV($BW14,Q14))</f>
        <v>[2018/05/04 09:52] #Error: Invalid Curve: CurveCollection 'USDYC' does not exist</v>
      </c>
      <c r="BZ14" s="921" t="str">
        <f ca="1">IF(OR($D14="",$D14=0),"",_xll.meLWOSwapPV01($BW14,Q14))</f>
        <v>[2018/05/04 09:52] #Error: Invalid Curve: CurveCollection 'USDYC' does not exist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43229</v>
      </c>
      <c r="C15" s="4" t="s">
        <v>361</v>
      </c>
      <c r="D15" s="362">
        <v>1000000</v>
      </c>
      <c r="E15" s="362" t="s">
        <v>181</v>
      </c>
      <c r="F15" s="365" t="s">
        <v>1753</v>
      </c>
      <c r="G15" s="397" t="s">
        <v>27</v>
      </c>
      <c r="H15" s="1117" t="s">
        <v>3</v>
      </c>
      <c r="I15" s="363">
        <v>0.01</v>
      </c>
      <c r="J15" s="883">
        <v>0</v>
      </c>
      <c r="L15" s="203">
        <v>10</v>
      </c>
      <c r="M15" s="896" t="s">
        <v>2060</v>
      </c>
      <c r="N15" s="897">
        <f t="shared" si="0"/>
        <v>1000000</v>
      </c>
      <c r="O15" s="898" t="s">
        <v>1992</v>
      </c>
      <c r="P15" s="898" t="str">
        <f t="shared" si="1"/>
        <v>RECEIVE</v>
      </c>
      <c r="Q15" s="898" t="str">
        <f t="shared" si="2"/>
        <v>USDYC</v>
      </c>
      <c r="R15" s="898"/>
      <c r="S15" s="898" t="str">
        <f t="shared" si="3"/>
        <v>USDOIS</v>
      </c>
      <c r="T15" s="897" t="str">
        <f t="shared" si="4"/>
        <v>USD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43229</v>
      </c>
      <c r="AB15" s="901" t="str">
        <f t="shared" si="7"/>
        <v>10Y</v>
      </c>
      <c r="AC15" s="900" t="s">
        <v>2030</v>
      </c>
      <c r="AD15" s="898" t="str">
        <f t="shared" si="8"/>
        <v>ACT/360</v>
      </c>
      <c r="AE15" s="898" t="s">
        <v>38</v>
      </c>
      <c r="AF15" s="898" t="s">
        <v>357</v>
      </c>
      <c r="AG15" s="898" t="s">
        <v>38</v>
      </c>
      <c r="AH15" s="898" t="s">
        <v>357</v>
      </c>
      <c r="AI15" s="898" t="s">
        <v>38</v>
      </c>
      <c r="AJ15" s="898" t="s">
        <v>357</v>
      </c>
      <c r="AK15" s="898"/>
      <c r="AL15" s="898"/>
      <c r="AM15" s="898">
        <f t="shared" ca="1" si="9"/>
        <v>9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1993</v>
      </c>
      <c r="AS15" s="897">
        <f t="shared" si="10"/>
        <v>1000000</v>
      </c>
      <c r="AT15" s="898" t="s">
        <v>1992</v>
      </c>
      <c r="AU15" s="898" t="str">
        <f t="shared" si="11"/>
        <v>PAY</v>
      </c>
      <c r="AV15" s="898" t="str">
        <f t="shared" si="12"/>
        <v>USDYC</v>
      </c>
      <c r="AW15" s="898" t="str">
        <f t="shared" si="13"/>
        <v>USDOIS</v>
      </c>
      <c r="AX15" s="898" t="str">
        <f t="shared" si="13"/>
        <v>USDOIS</v>
      </c>
      <c r="AY15" s="897" t="str">
        <f t="shared" si="14"/>
        <v>USD</v>
      </c>
      <c r="AZ15" s="898" t="s">
        <v>2078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43229</v>
      </c>
      <c r="BG15" s="901" t="str">
        <f t="shared" si="17"/>
        <v>10Y</v>
      </c>
      <c r="BH15" s="900" t="s">
        <v>2030</v>
      </c>
      <c r="BI15" s="898" t="s">
        <v>3</v>
      </c>
      <c r="BJ15" s="898" t="s">
        <v>38</v>
      </c>
      <c r="BK15" s="898" t="s">
        <v>357</v>
      </c>
      <c r="BL15" s="898" t="s">
        <v>38</v>
      </c>
      <c r="BM15" s="898" t="s">
        <v>357</v>
      </c>
      <c r="BN15" s="898" t="s">
        <v>38</v>
      </c>
      <c r="BO15" s="898" t="s">
        <v>357</v>
      </c>
      <c r="BP15" s="898"/>
      <c r="BQ15" s="898"/>
      <c r="BR15" s="898">
        <f t="shared" ca="1" si="18"/>
        <v>9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USDOIS10@125:0</v>
      </c>
      <c r="BX15" s="900" t="str">
        <f ca="1">IF(OR($D15="",$D15=0),"",_xll.meLWOSwapParRate($BW15,Q15))</f>
        <v>[2018/05/04 09:52] #Error: Invalid Curve: CurveCollection 'USDYC' does not exist</v>
      </c>
      <c r="BY15" s="897" t="str">
        <f ca="1">IF(OR($D15="",$D15=0),"",_xll.meLWOSwapPV($BW15,Q15))</f>
        <v>[2018/05/04 09:52] #Error: Invalid Curve: CurveCollection 'USDYC' does not exist</v>
      </c>
      <c r="BZ15" s="921" t="str">
        <f ca="1">IF(OR($D15="",$D15=0),"",_xll.meLWOSwapPV01($BW15,Q15))</f>
        <v>[2018/05/04 09:52] #Error: Invalid Curve: CurveCollection 'USDYC' does not exist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43229</v>
      </c>
      <c r="C16" s="4" t="s">
        <v>361</v>
      </c>
      <c r="D16" s="362">
        <v>1000000</v>
      </c>
      <c r="E16" s="362" t="s">
        <v>181</v>
      </c>
      <c r="F16" s="365" t="s">
        <v>1753</v>
      </c>
      <c r="G16" s="397" t="s">
        <v>318</v>
      </c>
      <c r="H16" s="1117" t="s">
        <v>3</v>
      </c>
      <c r="I16" s="363">
        <v>0.01</v>
      </c>
      <c r="J16" s="883">
        <v>0</v>
      </c>
      <c r="L16" s="203">
        <v>11</v>
      </c>
      <c r="M16" s="896" t="s">
        <v>2060</v>
      </c>
      <c r="N16" s="897">
        <f t="shared" si="0"/>
        <v>1000000</v>
      </c>
      <c r="O16" s="898" t="s">
        <v>1992</v>
      </c>
      <c r="P16" s="898" t="str">
        <f t="shared" si="1"/>
        <v>RECEIVE</v>
      </c>
      <c r="Q16" s="898" t="str">
        <f t="shared" si="2"/>
        <v>USDYC</v>
      </c>
      <c r="R16" s="898"/>
      <c r="S16" s="898" t="str">
        <f t="shared" si="3"/>
        <v>USDOIS</v>
      </c>
      <c r="T16" s="897" t="str">
        <f t="shared" si="4"/>
        <v>USD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43229</v>
      </c>
      <c r="AB16" s="901" t="str">
        <f t="shared" si="7"/>
        <v>11Y</v>
      </c>
      <c r="AC16" s="900" t="s">
        <v>2030</v>
      </c>
      <c r="AD16" s="898" t="str">
        <f t="shared" si="8"/>
        <v>ACT/360</v>
      </c>
      <c r="AE16" s="898" t="s">
        <v>38</v>
      </c>
      <c r="AF16" s="898" t="s">
        <v>357</v>
      </c>
      <c r="AG16" s="898" t="s">
        <v>38</v>
      </c>
      <c r="AH16" s="898" t="s">
        <v>357</v>
      </c>
      <c r="AI16" s="898" t="s">
        <v>38</v>
      </c>
      <c r="AJ16" s="898" t="s">
        <v>357</v>
      </c>
      <c r="AK16" s="898"/>
      <c r="AL16" s="898"/>
      <c r="AM16" s="898">
        <f t="shared" ca="1" si="9"/>
        <v>9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1993</v>
      </c>
      <c r="AS16" s="897">
        <f t="shared" si="10"/>
        <v>1000000</v>
      </c>
      <c r="AT16" s="898" t="s">
        <v>1992</v>
      </c>
      <c r="AU16" s="898" t="str">
        <f t="shared" si="11"/>
        <v>PAY</v>
      </c>
      <c r="AV16" s="898" t="str">
        <f t="shared" si="12"/>
        <v>USDYC</v>
      </c>
      <c r="AW16" s="898" t="str">
        <f t="shared" si="13"/>
        <v>USDOIS</v>
      </c>
      <c r="AX16" s="898" t="str">
        <f t="shared" si="13"/>
        <v>USDOIS</v>
      </c>
      <c r="AY16" s="897" t="str">
        <f t="shared" si="14"/>
        <v>USD</v>
      </c>
      <c r="AZ16" s="898" t="s">
        <v>2078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43229</v>
      </c>
      <c r="BG16" s="901" t="str">
        <f t="shared" si="17"/>
        <v>11Y</v>
      </c>
      <c r="BH16" s="900" t="s">
        <v>2030</v>
      </c>
      <c r="BI16" s="898" t="s">
        <v>3</v>
      </c>
      <c r="BJ16" s="898" t="s">
        <v>38</v>
      </c>
      <c r="BK16" s="898" t="s">
        <v>357</v>
      </c>
      <c r="BL16" s="898" t="s">
        <v>38</v>
      </c>
      <c r="BM16" s="898" t="s">
        <v>357</v>
      </c>
      <c r="BN16" s="898" t="s">
        <v>38</v>
      </c>
      <c r="BO16" s="898" t="s">
        <v>357</v>
      </c>
      <c r="BP16" s="898"/>
      <c r="BQ16" s="898"/>
      <c r="BR16" s="898">
        <f t="shared" ca="1" si="18"/>
        <v>9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USDOIS11@45:0</v>
      </c>
      <c r="BX16" s="900" t="str">
        <f ca="1">IF(OR($D16="",$D16=0),"",_xll.meLWOSwapParRate($BW16,Q16))</f>
        <v>[2018/05/04 09:52] #Error: Invalid Curve: CurveCollection 'USDYC' does not exist</v>
      </c>
      <c r="BY16" s="897" t="str">
        <f ca="1">IF(OR($D16="",$D16=0),"",_xll.meLWOSwapPV($BW16,Q16))</f>
        <v>[2018/05/04 09:52] #Error: Invalid Curve: CurveCollection 'USDYC' does not exist</v>
      </c>
      <c r="BZ16" s="921" t="str">
        <f ca="1">IF(OR($D16="",$D16=0),"",_xll.meLWOSwapPV01($BW16,Q16))</f>
        <v>[2018/05/04 09:52] #Error: Invalid Curve: CurveCollection 'USDYC' does not exist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43229</v>
      </c>
      <c r="C17" s="4" t="s">
        <v>361</v>
      </c>
      <c r="D17" s="362">
        <v>1000000</v>
      </c>
      <c r="E17" s="362" t="s">
        <v>181</v>
      </c>
      <c r="F17" s="365" t="s">
        <v>1753</v>
      </c>
      <c r="G17" s="397" t="s">
        <v>25</v>
      </c>
      <c r="H17" s="1117" t="s">
        <v>3</v>
      </c>
      <c r="I17" s="363">
        <v>0.01</v>
      </c>
      <c r="J17" s="883">
        <v>0</v>
      </c>
      <c r="L17" s="203">
        <v>12</v>
      </c>
      <c r="M17" s="896" t="s">
        <v>2060</v>
      </c>
      <c r="N17" s="897">
        <f t="shared" si="0"/>
        <v>1000000</v>
      </c>
      <c r="O17" s="898" t="s">
        <v>1992</v>
      </c>
      <c r="P17" s="898" t="str">
        <f t="shared" si="1"/>
        <v>RECEIVE</v>
      </c>
      <c r="Q17" s="898" t="str">
        <f t="shared" si="2"/>
        <v>USDYC</v>
      </c>
      <c r="R17" s="898"/>
      <c r="S17" s="898" t="str">
        <f t="shared" si="3"/>
        <v>USDOIS</v>
      </c>
      <c r="T17" s="897" t="str">
        <f t="shared" si="4"/>
        <v>USD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43229</v>
      </c>
      <c r="AB17" s="901" t="str">
        <f t="shared" si="7"/>
        <v>12Y</v>
      </c>
      <c r="AC17" s="900" t="s">
        <v>2030</v>
      </c>
      <c r="AD17" s="898" t="str">
        <f t="shared" si="8"/>
        <v>ACT/360</v>
      </c>
      <c r="AE17" s="898" t="s">
        <v>38</v>
      </c>
      <c r="AF17" s="898" t="s">
        <v>357</v>
      </c>
      <c r="AG17" s="898" t="s">
        <v>38</v>
      </c>
      <c r="AH17" s="898" t="s">
        <v>357</v>
      </c>
      <c r="AI17" s="898" t="s">
        <v>38</v>
      </c>
      <c r="AJ17" s="898" t="s">
        <v>357</v>
      </c>
      <c r="AK17" s="898"/>
      <c r="AL17" s="898"/>
      <c r="AM17" s="898">
        <f t="shared" ca="1" si="9"/>
        <v>9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1993</v>
      </c>
      <c r="AS17" s="897">
        <f t="shared" si="10"/>
        <v>1000000</v>
      </c>
      <c r="AT17" s="898" t="s">
        <v>1992</v>
      </c>
      <c r="AU17" s="898" t="str">
        <f t="shared" si="11"/>
        <v>PAY</v>
      </c>
      <c r="AV17" s="898" t="str">
        <f t="shared" si="12"/>
        <v>USDYC</v>
      </c>
      <c r="AW17" s="898" t="str">
        <f t="shared" si="13"/>
        <v>USDOIS</v>
      </c>
      <c r="AX17" s="898" t="str">
        <f t="shared" si="13"/>
        <v>USDOIS</v>
      </c>
      <c r="AY17" s="897" t="str">
        <f t="shared" si="14"/>
        <v>USD</v>
      </c>
      <c r="AZ17" s="898" t="s">
        <v>2078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43229</v>
      </c>
      <c r="BG17" s="901" t="str">
        <f t="shared" si="17"/>
        <v>12Y</v>
      </c>
      <c r="BH17" s="900" t="s">
        <v>2030</v>
      </c>
      <c r="BI17" s="898" t="s">
        <v>3</v>
      </c>
      <c r="BJ17" s="898" t="s">
        <v>38</v>
      </c>
      <c r="BK17" s="898" t="s">
        <v>357</v>
      </c>
      <c r="BL17" s="898" t="s">
        <v>38</v>
      </c>
      <c r="BM17" s="898" t="s">
        <v>357</v>
      </c>
      <c r="BN17" s="898" t="s">
        <v>38</v>
      </c>
      <c r="BO17" s="898" t="s">
        <v>357</v>
      </c>
      <c r="BP17" s="898"/>
      <c r="BQ17" s="898"/>
      <c r="BR17" s="898">
        <f t="shared" ca="1" si="18"/>
        <v>9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USDOIS12@130:0</v>
      </c>
      <c r="BX17" s="900" t="str">
        <f ca="1">IF(OR($D17="",$D17=0),"",_xll.meLWOSwapParRate($BW17,Q17))</f>
        <v>[2018/05/04 09:52] #Error: Invalid Curve: CurveCollection 'USDYC' does not exist</v>
      </c>
      <c r="BY17" s="897" t="str">
        <f ca="1">IF(OR($D17="",$D17=0),"",_xll.meLWOSwapPV($BW17,Q17))</f>
        <v>[2018/05/04 09:52] #Error: Invalid Curve: CurveCollection 'USDYC' does not exist</v>
      </c>
      <c r="BZ17" s="921" t="str">
        <f ca="1">IF(OR($D17="",$D17=0),"",_xll.meLWOSwapPV01($BW17,Q17))</f>
        <v>[2018/05/04 09:52] #Error: Invalid Curve: CurveCollection 'USDYC' does not exist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43229</v>
      </c>
      <c r="C18" s="4" t="s">
        <v>361</v>
      </c>
      <c r="D18" s="362">
        <v>1000000</v>
      </c>
      <c r="E18" s="362" t="s">
        <v>181</v>
      </c>
      <c r="F18" s="365" t="s">
        <v>1753</v>
      </c>
      <c r="G18" s="397" t="s">
        <v>23</v>
      </c>
      <c r="H18" s="1117" t="s">
        <v>3</v>
      </c>
      <c r="I18" s="363">
        <v>0.01</v>
      </c>
      <c r="J18" s="883">
        <v>0</v>
      </c>
      <c r="L18" s="203">
        <v>13</v>
      </c>
      <c r="M18" s="896" t="s">
        <v>2060</v>
      </c>
      <c r="N18" s="897">
        <f t="shared" si="0"/>
        <v>1000000</v>
      </c>
      <c r="O18" s="898" t="s">
        <v>1992</v>
      </c>
      <c r="P18" s="898" t="str">
        <f t="shared" si="1"/>
        <v>RECEIVE</v>
      </c>
      <c r="Q18" s="898" t="str">
        <f t="shared" si="2"/>
        <v>USDYC</v>
      </c>
      <c r="R18" s="898"/>
      <c r="S18" s="898" t="str">
        <f t="shared" si="3"/>
        <v>USDOIS</v>
      </c>
      <c r="T18" s="897" t="str">
        <f t="shared" si="4"/>
        <v>USD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43229</v>
      </c>
      <c r="AB18" s="901" t="str">
        <f t="shared" si="7"/>
        <v>15Y</v>
      </c>
      <c r="AC18" s="900" t="s">
        <v>2030</v>
      </c>
      <c r="AD18" s="898" t="str">
        <f t="shared" si="8"/>
        <v>ACT/360</v>
      </c>
      <c r="AE18" s="898" t="s">
        <v>38</v>
      </c>
      <c r="AF18" s="898" t="s">
        <v>357</v>
      </c>
      <c r="AG18" s="898" t="s">
        <v>38</v>
      </c>
      <c r="AH18" s="898" t="s">
        <v>357</v>
      </c>
      <c r="AI18" s="898" t="s">
        <v>38</v>
      </c>
      <c r="AJ18" s="898" t="s">
        <v>357</v>
      </c>
      <c r="AK18" s="898"/>
      <c r="AL18" s="898"/>
      <c r="AM18" s="898">
        <f t="shared" ca="1" si="9"/>
        <v>9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1993</v>
      </c>
      <c r="AS18" s="897">
        <f t="shared" si="10"/>
        <v>1000000</v>
      </c>
      <c r="AT18" s="898" t="s">
        <v>1992</v>
      </c>
      <c r="AU18" s="898" t="str">
        <f t="shared" si="11"/>
        <v>PAY</v>
      </c>
      <c r="AV18" s="898" t="str">
        <f t="shared" si="12"/>
        <v>USDYC</v>
      </c>
      <c r="AW18" s="898" t="str">
        <f t="shared" si="13"/>
        <v>USDOIS</v>
      </c>
      <c r="AX18" s="898" t="str">
        <f t="shared" si="13"/>
        <v>USDOIS</v>
      </c>
      <c r="AY18" s="897" t="str">
        <f t="shared" si="14"/>
        <v>USD</v>
      </c>
      <c r="AZ18" s="898" t="s">
        <v>2078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43229</v>
      </c>
      <c r="BG18" s="901" t="str">
        <f t="shared" si="17"/>
        <v>15Y</v>
      </c>
      <c r="BH18" s="900" t="s">
        <v>2030</v>
      </c>
      <c r="BI18" s="898" t="s">
        <v>3</v>
      </c>
      <c r="BJ18" s="898" t="s">
        <v>38</v>
      </c>
      <c r="BK18" s="898" t="s">
        <v>357</v>
      </c>
      <c r="BL18" s="898" t="s">
        <v>38</v>
      </c>
      <c r="BM18" s="898" t="s">
        <v>357</v>
      </c>
      <c r="BN18" s="898" t="s">
        <v>38</v>
      </c>
      <c r="BO18" s="898" t="s">
        <v>357</v>
      </c>
      <c r="BP18" s="898"/>
      <c r="BQ18" s="898"/>
      <c r="BR18" s="898">
        <f t="shared" ca="1" si="18"/>
        <v>9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USDOIS13@77:0</v>
      </c>
      <c r="BX18" s="900" t="str">
        <f ca="1">IF(OR($D18="",$D18=0),"",_xll.meLWOSwapParRate($BW18,Q18))</f>
        <v>[2018/05/04 09:52] #Error: Invalid Curve: CurveCollection 'USDYC' does not exist</v>
      </c>
      <c r="BY18" s="897" t="str">
        <f ca="1">IF(OR($D18="",$D18=0),"",_xll.meLWOSwapPV($BW18,Q18))</f>
        <v>[2018/05/04 09:52] #Error: Invalid Curve: CurveCollection 'USDYC' does not exist</v>
      </c>
      <c r="BZ18" s="921" t="str">
        <f ca="1">IF(OR($D18="",$D18=0),"",_xll.meLWOSwapPV01($BW18,Q18))</f>
        <v>[2018/05/04 09:52] #Error: Invalid Curve: CurveCollection 'USDYC' does not exist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43229</v>
      </c>
      <c r="C19" s="4" t="s">
        <v>361</v>
      </c>
      <c r="D19" s="362">
        <v>1000000</v>
      </c>
      <c r="E19" s="362" t="s">
        <v>181</v>
      </c>
      <c r="F19" s="365" t="s">
        <v>1753</v>
      </c>
      <c r="G19" s="397" t="s">
        <v>19</v>
      </c>
      <c r="H19" s="1117" t="s">
        <v>3</v>
      </c>
      <c r="I19" s="363">
        <v>0.01</v>
      </c>
      <c r="J19" s="883">
        <v>0</v>
      </c>
      <c r="L19" s="203">
        <v>14</v>
      </c>
      <c r="M19" s="896" t="s">
        <v>2060</v>
      </c>
      <c r="N19" s="897">
        <f t="shared" si="0"/>
        <v>1000000</v>
      </c>
      <c r="O19" s="898" t="s">
        <v>1992</v>
      </c>
      <c r="P19" s="898" t="str">
        <f t="shared" si="1"/>
        <v>RECEIVE</v>
      </c>
      <c r="Q19" s="898" t="str">
        <f t="shared" si="2"/>
        <v>USDYC</v>
      </c>
      <c r="R19" s="898"/>
      <c r="S19" s="898" t="str">
        <f t="shared" si="3"/>
        <v>USDOIS</v>
      </c>
      <c r="T19" s="897" t="str">
        <f t="shared" si="4"/>
        <v>USD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43229</v>
      </c>
      <c r="AB19" s="901" t="str">
        <f t="shared" si="7"/>
        <v>20Y</v>
      </c>
      <c r="AC19" s="900" t="s">
        <v>2030</v>
      </c>
      <c r="AD19" s="898" t="str">
        <f t="shared" si="8"/>
        <v>ACT/360</v>
      </c>
      <c r="AE19" s="898" t="s">
        <v>38</v>
      </c>
      <c r="AF19" s="898" t="s">
        <v>357</v>
      </c>
      <c r="AG19" s="898" t="s">
        <v>38</v>
      </c>
      <c r="AH19" s="898" t="s">
        <v>357</v>
      </c>
      <c r="AI19" s="898" t="s">
        <v>38</v>
      </c>
      <c r="AJ19" s="898" t="s">
        <v>357</v>
      </c>
      <c r="AK19" s="898"/>
      <c r="AL19" s="898"/>
      <c r="AM19" s="898">
        <f t="shared" ca="1" si="9"/>
        <v>9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1993</v>
      </c>
      <c r="AS19" s="897">
        <f t="shared" si="10"/>
        <v>1000000</v>
      </c>
      <c r="AT19" s="898" t="s">
        <v>1992</v>
      </c>
      <c r="AU19" s="898" t="str">
        <f t="shared" si="11"/>
        <v>PAY</v>
      </c>
      <c r="AV19" s="898" t="str">
        <f t="shared" si="12"/>
        <v>USDYC</v>
      </c>
      <c r="AW19" s="898" t="str">
        <f t="shared" si="13"/>
        <v>USDOIS</v>
      </c>
      <c r="AX19" s="898" t="str">
        <f t="shared" si="13"/>
        <v>USDOIS</v>
      </c>
      <c r="AY19" s="897" t="str">
        <f t="shared" si="14"/>
        <v>USD</v>
      </c>
      <c r="AZ19" s="898" t="s">
        <v>2078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43229</v>
      </c>
      <c r="BG19" s="901" t="str">
        <f t="shared" si="17"/>
        <v>20Y</v>
      </c>
      <c r="BH19" s="900" t="s">
        <v>2030</v>
      </c>
      <c r="BI19" s="898" t="s">
        <v>3</v>
      </c>
      <c r="BJ19" s="898" t="s">
        <v>38</v>
      </c>
      <c r="BK19" s="898" t="s">
        <v>357</v>
      </c>
      <c r="BL19" s="898" t="s">
        <v>38</v>
      </c>
      <c r="BM19" s="898" t="s">
        <v>357</v>
      </c>
      <c r="BN19" s="898" t="s">
        <v>38</v>
      </c>
      <c r="BO19" s="898" t="s">
        <v>357</v>
      </c>
      <c r="BP19" s="898"/>
      <c r="BQ19" s="898"/>
      <c r="BR19" s="898">
        <f t="shared" ca="1" si="18"/>
        <v>9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USDOIS14@83:0</v>
      </c>
      <c r="BX19" s="900" t="str">
        <f ca="1">IF(OR($D19="",$D19=0),"",_xll.meLWOSwapParRate($BW19,Q19))</f>
        <v>[2018/05/04 09:52] #Error: Invalid Curve: CurveCollection 'USDYC' does not exist</v>
      </c>
      <c r="BY19" s="897" t="str">
        <f ca="1">IF(OR($D19="",$D19=0),"",_xll.meLWOSwapPV($BW19,Q19))</f>
        <v>[2018/05/04 09:52] #Error: Invalid Curve: CurveCollection 'USDYC' does not exist</v>
      </c>
      <c r="BZ19" s="921" t="str">
        <f ca="1">IF(OR($D19="",$D19=0),"",_xll.meLWOSwapPV01($BW19,Q19))</f>
        <v>[2018/05/04 09:52] #Error: Invalid Curve: CurveCollection 'USDYC' does not exist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43229</v>
      </c>
      <c r="C20" s="4" t="s">
        <v>361</v>
      </c>
      <c r="D20" s="362">
        <v>1000000</v>
      </c>
      <c r="E20" s="362" t="s">
        <v>181</v>
      </c>
      <c r="F20" s="365" t="s">
        <v>1753</v>
      </c>
      <c r="G20" s="397" t="s">
        <v>17</v>
      </c>
      <c r="H20" s="1117" t="s">
        <v>3</v>
      </c>
      <c r="I20" s="363">
        <v>0.01</v>
      </c>
      <c r="J20" s="883">
        <v>0</v>
      </c>
      <c r="L20" s="203">
        <v>15</v>
      </c>
      <c r="M20" s="896" t="s">
        <v>2060</v>
      </c>
      <c r="N20" s="897">
        <f t="shared" si="0"/>
        <v>1000000</v>
      </c>
      <c r="O20" s="898" t="s">
        <v>1992</v>
      </c>
      <c r="P20" s="898" t="str">
        <f t="shared" si="1"/>
        <v>RECEIVE</v>
      </c>
      <c r="Q20" s="898" t="str">
        <f t="shared" si="2"/>
        <v>USDYC</v>
      </c>
      <c r="R20" s="898"/>
      <c r="S20" s="898" t="str">
        <f t="shared" si="3"/>
        <v>USDOIS</v>
      </c>
      <c r="T20" s="897" t="str">
        <f t="shared" si="4"/>
        <v>USD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43229</v>
      </c>
      <c r="AB20" s="901" t="str">
        <f t="shared" si="7"/>
        <v>25Y</v>
      </c>
      <c r="AC20" s="900" t="s">
        <v>2030</v>
      </c>
      <c r="AD20" s="898" t="str">
        <f t="shared" si="8"/>
        <v>ACT/360</v>
      </c>
      <c r="AE20" s="898" t="s">
        <v>38</v>
      </c>
      <c r="AF20" s="898" t="s">
        <v>357</v>
      </c>
      <c r="AG20" s="898" t="s">
        <v>38</v>
      </c>
      <c r="AH20" s="898" t="s">
        <v>357</v>
      </c>
      <c r="AI20" s="898" t="s">
        <v>38</v>
      </c>
      <c r="AJ20" s="898" t="s">
        <v>357</v>
      </c>
      <c r="AK20" s="898"/>
      <c r="AL20" s="898"/>
      <c r="AM20" s="898">
        <f t="shared" ca="1" si="9"/>
        <v>9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1993</v>
      </c>
      <c r="AS20" s="897">
        <f t="shared" si="10"/>
        <v>1000000</v>
      </c>
      <c r="AT20" s="898" t="s">
        <v>1992</v>
      </c>
      <c r="AU20" s="898" t="str">
        <f t="shared" si="11"/>
        <v>PAY</v>
      </c>
      <c r="AV20" s="898" t="str">
        <f t="shared" si="12"/>
        <v>USDYC</v>
      </c>
      <c r="AW20" s="898" t="str">
        <f t="shared" si="13"/>
        <v>USDOIS</v>
      </c>
      <c r="AX20" s="898" t="str">
        <f t="shared" si="13"/>
        <v>USDOIS</v>
      </c>
      <c r="AY20" s="897" t="str">
        <f t="shared" si="14"/>
        <v>USD</v>
      </c>
      <c r="AZ20" s="898" t="s">
        <v>2078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43229</v>
      </c>
      <c r="BG20" s="901" t="str">
        <f t="shared" si="17"/>
        <v>25Y</v>
      </c>
      <c r="BH20" s="900" t="s">
        <v>2030</v>
      </c>
      <c r="BI20" s="898" t="s">
        <v>3</v>
      </c>
      <c r="BJ20" s="898" t="s">
        <v>38</v>
      </c>
      <c r="BK20" s="898" t="s">
        <v>357</v>
      </c>
      <c r="BL20" s="898" t="s">
        <v>38</v>
      </c>
      <c r="BM20" s="898" t="s">
        <v>357</v>
      </c>
      <c r="BN20" s="898" t="s">
        <v>38</v>
      </c>
      <c r="BO20" s="898" t="s">
        <v>357</v>
      </c>
      <c r="BP20" s="898"/>
      <c r="BQ20" s="898"/>
      <c r="BR20" s="898">
        <f t="shared" ca="1" si="18"/>
        <v>9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USDOIS15@153:0</v>
      </c>
      <c r="BX20" s="900" t="str">
        <f ca="1">IF(OR($D20="",$D20=0),"",_xll.meLWOSwapParRate($BW20,Q20))</f>
        <v>[2018/05/04 09:52] #Error: Invalid Curve: CurveCollection 'USDYC' does not exist</v>
      </c>
      <c r="BY20" s="897" t="str">
        <f ca="1">IF(OR($D20="",$D20=0),"",_xll.meLWOSwapPV($BW20,Q20))</f>
        <v>[2018/05/04 09:52] #Error: Invalid Curve: CurveCollection 'USDYC' does not exist</v>
      </c>
      <c r="BZ20" s="921" t="str">
        <f ca="1">IF(OR($D20="",$D20=0),"",_xll.meLWOSwapPV01($BW20,Q20))</f>
        <v>[2018/05/04 09:52] #Error: Invalid Curve: CurveCollection 'USDYC' does not exist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43229</v>
      </c>
      <c r="C21" s="4" t="s">
        <v>361</v>
      </c>
      <c r="D21" s="362">
        <v>1000000</v>
      </c>
      <c r="E21" s="362" t="s">
        <v>181</v>
      </c>
      <c r="F21" s="365" t="s">
        <v>1753</v>
      </c>
      <c r="G21" s="397" t="s">
        <v>16</v>
      </c>
      <c r="H21" s="1117" t="s">
        <v>3</v>
      </c>
      <c r="I21" s="363">
        <v>0.01</v>
      </c>
      <c r="J21" s="883">
        <v>0</v>
      </c>
      <c r="L21" s="203">
        <v>16</v>
      </c>
      <c r="M21" s="896" t="s">
        <v>2060</v>
      </c>
      <c r="N21" s="897">
        <f t="shared" si="0"/>
        <v>1000000</v>
      </c>
      <c r="O21" s="898" t="s">
        <v>1992</v>
      </c>
      <c r="P21" s="898" t="str">
        <f t="shared" si="1"/>
        <v>RECEIVE</v>
      </c>
      <c r="Q21" s="898" t="str">
        <f t="shared" si="2"/>
        <v>USDYC</v>
      </c>
      <c r="R21" s="898"/>
      <c r="S21" s="898" t="str">
        <f t="shared" si="3"/>
        <v>USDOIS</v>
      </c>
      <c r="T21" s="897" t="str">
        <f t="shared" si="4"/>
        <v>USD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43229</v>
      </c>
      <c r="AB21" s="901" t="str">
        <f t="shared" si="7"/>
        <v>30Y</v>
      </c>
      <c r="AC21" s="900" t="s">
        <v>2030</v>
      </c>
      <c r="AD21" s="898" t="str">
        <f t="shared" si="8"/>
        <v>ACT/360</v>
      </c>
      <c r="AE21" s="898" t="s">
        <v>38</v>
      </c>
      <c r="AF21" s="898" t="s">
        <v>357</v>
      </c>
      <c r="AG21" s="898" t="s">
        <v>38</v>
      </c>
      <c r="AH21" s="898" t="s">
        <v>357</v>
      </c>
      <c r="AI21" s="898" t="s">
        <v>38</v>
      </c>
      <c r="AJ21" s="898" t="s">
        <v>357</v>
      </c>
      <c r="AK21" s="898"/>
      <c r="AL21" s="898"/>
      <c r="AM21" s="898">
        <f t="shared" ca="1" si="9"/>
        <v>9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1993</v>
      </c>
      <c r="AS21" s="897">
        <f t="shared" si="10"/>
        <v>1000000</v>
      </c>
      <c r="AT21" s="898" t="s">
        <v>1992</v>
      </c>
      <c r="AU21" s="898" t="str">
        <f t="shared" si="11"/>
        <v>PAY</v>
      </c>
      <c r="AV21" s="898" t="str">
        <f t="shared" si="12"/>
        <v>USDYC</v>
      </c>
      <c r="AW21" s="898" t="str">
        <f t="shared" si="13"/>
        <v>USDOIS</v>
      </c>
      <c r="AX21" s="898" t="str">
        <f t="shared" si="13"/>
        <v>USDOIS</v>
      </c>
      <c r="AY21" s="897" t="str">
        <f t="shared" si="14"/>
        <v>USD</v>
      </c>
      <c r="AZ21" s="898" t="s">
        <v>2078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43229</v>
      </c>
      <c r="BG21" s="901" t="str">
        <f t="shared" si="17"/>
        <v>30Y</v>
      </c>
      <c r="BH21" s="900" t="s">
        <v>2030</v>
      </c>
      <c r="BI21" s="898" t="s">
        <v>3</v>
      </c>
      <c r="BJ21" s="898" t="s">
        <v>38</v>
      </c>
      <c r="BK21" s="898" t="s">
        <v>357</v>
      </c>
      <c r="BL21" s="898" t="s">
        <v>38</v>
      </c>
      <c r="BM21" s="898" t="s">
        <v>357</v>
      </c>
      <c r="BN21" s="898" t="s">
        <v>38</v>
      </c>
      <c r="BO21" s="898" t="s">
        <v>357</v>
      </c>
      <c r="BP21" s="898"/>
      <c r="BQ21" s="898"/>
      <c r="BR21" s="898">
        <f t="shared" ca="1" si="18"/>
        <v>9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USDOIS16@129:0</v>
      </c>
      <c r="BX21" s="900" t="str">
        <f ca="1">IF(OR($D21="",$D21=0),"",_xll.meLWOSwapParRate($BW21,Q21))</f>
        <v>[2018/05/04 09:52] #Error: Invalid Curve: CurveCollection 'USDYC' does not exist</v>
      </c>
      <c r="BY21" s="897" t="str">
        <f ca="1">IF(OR($D21="",$D21=0),"",_xll.meLWOSwapPV($BW21,Q21))</f>
        <v>[2018/05/04 09:52] #Error: Invalid Curve: CurveCollection 'USDYC' does not exist</v>
      </c>
      <c r="BZ21" s="921" t="str">
        <f ca="1">IF(OR($D21="",$D21=0),"",_xll.meLWOSwapPV01($BW21,Q21))</f>
        <v>[2018/05/04 09:52] #Error: Invalid Curve: CurveCollection 'USDYC' does not exist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43229</v>
      </c>
      <c r="C22" s="4" t="s">
        <v>361</v>
      </c>
      <c r="D22" s="362">
        <v>1000000</v>
      </c>
      <c r="E22" s="362" t="s">
        <v>181</v>
      </c>
      <c r="F22" s="365" t="s">
        <v>1753</v>
      </c>
      <c r="G22" s="397" t="s">
        <v>14</v>
      </c>
      <c r="H22" s="1117" t="s">
        <v>3</v>
      </c>
      <c r="I22" s="363">
        <v>0.01</v>
      </c>
      <c r="J22" s="883">
        <v>0</v>
      </c>
      <c r="L22" s="203">
        <v>17</v>
      </c>
      <c r="M22" s="896" t="s">
        <v>2060</v>
      </c>
      <c r="N22" s="897">
        <f t="shared" si="0"/>
        <v>1000000</v>
      </c>
      <c r="O22" s="898" t="s">
        <v>1992</v>
      </c>
      <c r="P22" s="898" t="str">
        <f t="shared" si="1"/>
        <v>RECEIVE</v>
      </c>
      <c r="Q22" s="898" t="str">
        <f t="shared" si="2"/>
        <v>USDYC</v>
      </c>
      <c r="R22" s="898"/>
      <c r="S22" s="898" t="str">
        <f t="shared" si="3"/>
        <v>USDOIS</v>
      </c>
      <c r="T22" s="897" t="str">
        <f t="shared" si="4"/>
        <v>USD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43229</v>
      </c>
      <c r="AB22" s="901" t="str">
        <f t="shared" si="7"/>
        <v>40Y</v>
      </c>
      <c r="AC22" s="900" t="s">
        <v>2030</v>
      </c>
      <c r="AD22" s="898" t="str">
        <f t="shared" si="8"/>
        <v>ACT/360</v>
      </c>
      <c r="AE22" s="898" t="s">
        <v>38</v>
      </c>
      <c r="AF22" s="898" t="s">
        <v>357</v>
      </c>
      <c r="AG22" s="898" t="s">
        <v>38</v>
      </c>
      <c r="AH22" s="898" t="s">
        <v>357</v>
      </c>
      <c r="AI22" s="898" t="s">
        <v>38</v>
      </c>
      <c r="AJ22" s="898" t="s">
        <v>357</v>
      </c>
      <c r="AK22" s="898"/>
      <c r="AL22" s="898"/>
      <c r="AM22" s="898">
        <f t="shared" ca="1" si="9"/>
        <v>9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1993</v>
      </c>
      <c r="AS22" s="897">
        <f t="shared" si="10"/>
        <v>1000000</v>
      </c>
      <c r="AT22" s="898" t="s">
        <v>1992</v>
      </c>
      <c r="AU22" s="898" t="str">
        <f t="shared" si="11"/>
        <v>PAY</v>
      </c>
      <c r="AV22" s="898" t="str">
        <f t="shared" si="12"/>
        <v>USDYC</v>
      </c>
      <c r="AW22" s="898" t="str">
        <f t="shared" si="13"/>
        <v>USDOIS</v>
      </c>
      <c r="AX22" s="898" t="str">
        <f t="shared" si="13"/>
        <v>USDOIS</v>
      </c>
      <c r="AY22" s="897" t="str">
        <f t="shared" si="14"/>
        <v>USD</v>
      </c>
      <c r="AZ22" s="898" t="s">
        <v>2078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43229</v>
      </c>
      <c r="BG22" s="901" t="str">
        <f t="shared" si="17"/>
        <v>40Y</v>
      </c>
      <c r="BH22" s="900" t="s">
        <v>2030</v>
      </c>
      <c r="BI22" s="898" t="s">
        <v>3</v>
      </c>
      <c r="BJ22" s="898" t="s">
        <v>38</v>
      </c>
      <c r="BK22" s="898" t="s">
        <v>357</v>
      </c>
      <c r="BL22" s="898" t="s">
        <v>38</v>
      </c>
      <c r="BM22" s="898" t="s">
        <v>357</v>
      </c>
      <c r="BN22" s="898" t="s">
        <v>38</v>
      </c>
      <c r="BO22" s="898" t="s">
        <v>357</v>
      </c>
      <c r="BP22" s="898"/>
      <c r="BQ22" s="898"/>
      <c r="BR22" s="898">
        <f t="shared" ca="1" si="18"/>
        <v>9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USDOIS17@90:0</v>
      </c>
      <c r="BX22" s="900" t="str">
        <f ca="1">IF(OR($D22="",$D22=0),"",_xll.meLWOSwapParRate($BW22,Q22))</f>
        <v>[2018/05/04 09:52] #Error: Invalid Curve: CurveCollection 'USDYC' does not exist</v>
      </c>
      <c r="BY22" s="897" t="str">
        <f ca="1">IF(OR($D22="",$D22=0),"",_xll.meLWOSwapPV($BW22,Q22))</f>
        <v>[2018/05/04 09:52] #Error: Invalid Curve: CurveCollection 'USDYC' does not exist</v>
      </c>
      <c r="BZ22" s="921" t="str">
        <f ca="1">IF(OR($D22="",$D22=0),"",_xll.meLWOSwapPV01($BW22,Q22))</f>
        <v>[2018/05/04 09:52] #Error: Invalid Curve: CurveCollection 'USDYC' does not exist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43229</v>
      </c>
      <c r="C23" s="4" t="s">
        <v>361</v>
      </c>
      <c r="D23" s="362">
        <v>1000000</v>
      </c>
      <c r="E23" s="362" t="s">
        <v>181</v>
      </c>
      <c r="F23" s="365" t="s">
        <v>1753</v>
      </c>
      <c r="G23" s="397" t="s">
        <v>13</v>
      </c>
      <c r="H23" s="1117" t="s">
        <v>3</v>
      </c>
      <c r="I23" s="363">
        <v>0.01</v>
      </c>
      <c r="J23" s="883">
        <v>0</v>
      </c>
      <c r="L23" s="203">
        <v>18</v>
      </c>
      <c r="M23" s="896" t="s">
        <v>2060</v>
      </c>
      <c r="N23" s="897">
        <f t="shared" si="0"/>
        <v>1000000</v>
      </c>
      <c r="O23" s="898" t="s">
        <v>1992</v>
      </c>
      <c r="P23" s="898" t="str">
        <f t="shared" si="1"/>
        <v>RECEIVE</v>
      </c>
      <c r="Q23" s="898" t="str">
        <f t="shared" si="2"/>
        <v>USDYC</v>
      </c>
      <c r="R23" s="898"/>
      <c r="S23" s="898" t="str">
        <f t="shared" si="3"/>
        <v>USDOIS</v>
      </c>
      <c r="T23" s="897" t="str">
        <f t="shared" si="4"/>
        <v>USD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43229</v>
      </c>
      <c r="AB23" s="901" t="str">
        <f t="shared" si="7"/>
        <v>50Y</v>
      </c>
      <c r="AC23" s="900" t="s">
        <v>2030</v>
      </c>
      <c r="AD23" s="898" t="str">
        <f t="shared" si="8"/>
        <v>ACT/360</v>
      </c>
      <c r="AE23" s="898" t="s">
        <v>38</v>
      </c>
      <c r="AF23" s="898" t="s">
        <v>357</v>
      </c>
      <c r="AG23" s="898" t="s">
        <v>38</v>
      </c>
      <c r="AH23" s="898" t="s">
        <v>357</v>
      </c>
      <c r="AI23" s="898" t="s">
        <v>38</v>
      </c>
      <c r="AJ23" s="898" t="s">
        <v>357</v>
      </c>
      <c r="AK23" s="898"/>
      <c r="AL23" s="898"/>
      <c r="AM23" s="898">
        <f t="shared" ca="1" si="9"/>
        <v>9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1993</v>
      </c>
      <c r="AS23" s="897">
        <f t="shared" si="10"/>
        <v>1000000</v>
      </c>
      <c r="AT23" s="898" t="s">
        <v>1992</v>
      </c>
      <c r="AU23" s="898" t="str">
        <f t="shared" si="11"/>
        <v>PAY</v>
      </c>
      <c r="AV23" s="898" t="str">
        <f t="shared" si="12"/>
        <v>USDYC</v>
      </c>
      <c r="AW23" s="898" t="str">
        <f t="shared" si="13"/>
        <v>USDOIS</v>
      </c>
      <c r="AX23" s="898" t="str">
        <f t="shared" si="13"/>
        <v>USDOIS</v>
      </c>
      <c r="AY23" s="897" t="str">
        <f t="shared" si="14"/>
        <v>USD</v>
      </c>
      <c r="AZ23" s="898" t="s">
        <v>2078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43229</v>
      </c>
      <c r="BG23" s="901" t="str">
        <f t="shared" si="17"/>
        <v>50Y</v>
      </c>
      <c r="BH23" s="900" t="s">
        <v>2030</v>
      </c>
      <c r="BI23" s="898" t="s">
        <v>3</v>
      </c>
      <c r="BJ23" s="898" t="s">
        <v>38</v>
      </c>
      <c r="BK23" s="898" t="s">
        <v>357</v>
      </c>
      <c r="BL23" s="898" t="s">
        <v>38</v>
      </c>
      <c r="BM23" s="898" t="s">
        <v>357</v>
      </c>
      <c r="BN23" s="898" t="s">
        <v>38</v>
      </c>
      <c r="BO23" s="898" t="s">
        <v>357</v>
      </c>
      <c r="BP23" s="898"/>
      <c r="BQ23" s="898"/>
      <c r="BR23" s="898">
        <f t="shared" ca="1" si="18"/>
        <v>9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USDOIS18@145:0</v>
      </c>
      <c r="BX23" s="900" t="str">
        <f ca="1">IF(OR($D23="",$D23=0),"",_xll.meLWOSwapParRate($BW23,Q23))</f>
        <v>[2018/05/04 09:52] #Error: Invalid Curve: CurveCollection 'USDYC' does not exist</v>
      </c>
      <c r="BY23" s="897" t="str">
        <f ca="1">IF(OR($D23="",$D23=0),"",_xll.meLWOSwapPV($BW23,Q23))</f>
        <v>[2018/05/04 09:52] #Error: Invalid Curve: CurveCollection 'USDYC' does not exist</v>
      </c>
      <c r="BZ23" s="921" t="str">
        <f ca="1">IF(OR($D23="",$D23=0),"",_xll.meLWOSwapPV01($BW23,Q23))</f>
        <v>[2018/05/04 09:52] #Error: Invalid Curve: CurveCollection 'USDYC' does not exist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2060</v>
      </c>
      <c r="N24" s="897">
        <f t="shared" si="0"/>
        <v>0</v>
      </c>
      <c r="O24" s="898" t="s">
        <v>1992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2030</v>
      </c>
      <c r="AD24" s="898">
        <f t="shared" si="8"/>
        <v>0</v>
      </c>
      <c r="AE24" s="898" t="s">
        <v>38</v>
      </c>
      <c r="AF24" s="898" t="s">
        <v>357</v>
      </c>
      <c r="AG24" s="898" t="s">
        <v>38</v>
      </c>
      <c r="AH24" s="898" t="s">
        <v>357</v>
      </c>
      <c r="AI24" s="898" t="s">
        <v>38</v>
      </c>
      <c r="AJ24" s="898" t="s">
        <v>357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1993</v>
      </c>
      <c r="AS24" s="897">
        <f t="shared" si="10"/>
        <v>0</v>
      </c>
      <c r="AT24" s="898" t="s">
        <v>1992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2078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2030</v>
      </c>
      <c r="BI24" s="898" t="s">
        <v>3</v>
      </c>
      <c r="BJ24" s="898" t="s">
        <v>38</v>
      </c>
      <c r="BK24" s="898" t="s">
        <v>357</v>
      </c>
      <c r="BL24" s="898" t="s">
        <v>38</v>
      </c>
      <c r="BM24" s="898" t="s">
        <v>357</v>
      </c>
      <c r="BN24" s="898" t="s">
        <v>38</v>
      </c>
      <c r="BO24" s="898" t="s">
        <v>357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2060</v>
      </c>
      <c r="N25" s="904">
        <f t="shared" si="0"/>
        <v>0</v>
      </c>
      <c r="O25" s="905" t="s">
        <v>1992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2030</v>
      </c>
      <c r="AD25" s="905">
        <f t="shared" si="8"/>
        <v>0</v>
      </c>
      <c r="AE25" s="905" t="s">
        <v>38</v>
      </c>
      <c r="AF25" s="905" t="s">
        <v>357</v>
      </c>
      <c r="AG25" s="905" t="s">
        <v>38</v>
      </c>
      <c r="AH25" s="905" t="s">
        <v>357</v>
      </c>
      <c r="AI25" s="905" t="s">
        <v>38</v>
      </c>
      <c r="AJ25" s="905" t="s">
        <v>357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1993</v>
      </c>
      <c r="AS25" s="904">
        <f t="shared" si="10"/>
        <v>0</v>
      </c>
      <c r="AT25" s="905" t="s">
        <v>1992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2078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2030</v>
      </c>
      <c r="BI25" s="905" t="s">
        <v>3</v>
      </c>
      <c r="BJ25" s="905" t="s">
        <v>38</v>
      </c>
      <c r="BK25" s="905" t="s">
        <v>357</v>
      </c>
      <c r="BL25" s="905" t="s">
        <v>38</v>
      </c>
      <c r="BM25" s="905" t="s">
        <v>357</v>
      </c>
      <c r="BN25" s="905" t="s">
        <v>38</v>
      </c>
      <c r="BO25" s="905" t="s">
        <v>357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9" tint="0.39997558519241921"/>
  </sheetPr>
  <dimension ref="A1:CA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</cols>
  <sheetData>
    <row r="1" spans="1:79">
      <c r="BV1" s="424" t="s">
        <v>2108</v>
      </c>
    </row>
    <row r="2" spans="1:79" ht="23.25">
      <c r="B2" s="126" t="s">
        <v>2115</v>
      </c>
      <c r="C2" s="234"/>
      <c r="D2" s="234"/>
      <c r="E2" s="234"/>
      <c r="F2" s="234"/>
      <c r="G2" s="234"/>
      <c r="H2" s="998"/>
      <c r="I2" s="234"/>
      <c r="M2" s="234" t="s">
        <v>2060</v>
      </c>
      <c r="AR2" s="234" t="s">
        <v>1993</v>
      </c>
    </row>
    <row r="3" spans="1:79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79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79">
      <c r="A5" t="s">
        <v>12</v>
      </c>
      <c r="B5" s="467" t="s">
        <v>1768</v>
      </c>
      <c r="C5" s="468" t="s">
        <v>1802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1773</v>
      </c>
      <c r="I5" s="468" t="s">
        <v>1772</v>
      </c>
      <c r="J5" s="469" t="s">
        <v>1784</v>
      </c>
      <c r="L5" t="s">
        <v>12</v>
      </c>
      <c r="M5" s="885" t="s">
        <v>2017</v>
      </c>
      <c r="N5" s="886" t="s">
        <v>354</v>
      </c>
      <c r="O5" s="886" t="s">
        <v>2016</v>
      </c>
      <c r="P5" s="886" t="s">
        <v>1803</v>
      </c>
      <c r="Q5" s="886" t="s">
        <v>1770</v>
      </c>
      <c r="R5" s="886" t="s">
        <v>1443</v>
      </c>
      <c r="S5" s="886" t="s">
        <v>1444</v>
      </c>
      <c r="T5" s="886" t="s">
        <v>156</v>
      </c>
      <c r="U5" s="887" t="s">
        <v>2107</v>
      </c>
      <c r="V5" s="886" t="s">
        <v>2015</v>
      </c>
      <c r="W5" s="886" t="s">
        <v>1772</v>
      </c>
      <c r="X5" s="886" t="s">
        <v>2003</v>
      </c>
      <c r="Y5" s="886" t="s">
        <v>2002</v>
      </c>
      <c r="Z5" s="886" t="s">
        <v>1784</v>
      </c>
      <c r="AA5" s="886" t="s">
        <v>1768</v>
      </c>
      <c r="AB5" s="886" t="s">
        <v>1769</v>
      </c>
      <c r="AC5" s="886" t="s">
        <v>1</v>
      </c>
      <c r="AD5" s="886" t="s">
        <v>120</v>
      </c>
      <c r="AE5" s="886" t="s">
        <v>2012</v>
      </c>
      <c r="AF5" s="886" t="s">
        <v>2011</v>
      </c>
      <c r="AG5" s="886" t="s">
        <v>2014</v>
      </c>
      <c r="AH5" s="886" t="s">
        <v>2013</v>
      </c>
      <c r="AI5" s="886" t="s">
        <v>2009</v>
      </c>
      <c r="AJ5" s="886" t="s">
        <v>2008</v>
      </c>
      <c r="AK5" s="886" t="s">
        <v>2005</v>
      </c>
      <c r="AL5" s="886" t="s">
        <v>2004</v>
      </c>
      <c r="AM5" s="886" t="s">
        <v>2006</v>
      </c>
      <c r="AN5" s="886" t="s">
        <v>2010</v>
      </c>
      <c r="AO5" s="886" t="s">
        <v>2007</v>
      </c>
      <c r="AP5" s="888" t="s">
        <v>2001</v>
      </c>
      <c r="AQ5" t="s">
        <v>12</v>
      </c>
      <c r="AR5" s="879" t="s">
        <v>2017</v>
      </c>
      <c r="AS5" s="880" t="s">
        <v>354</v>
      </c>
      <c r="AT5" s="880" t="s">
        <v>2016</v>
      </c>
      <c r="AU5" s="880" t="s">
        <v>1803</v>
      </c>
      <c r="AV5" s="880" t="s">
        <v>1770</v>
      </c>
      <c r="AW5" s="880" t="s">
        <v>1443</v>
      </c>
      <c r="AX5" s="880" t="s">
        <v>1444</v>
      </c>
      <c r="AY5" s="880" t="s">
        <v>156</v>
      </c>
      <c r="AZ5" s="881" t="s">
        <v>2107</v>
      </c>
      <c r="BA5" s="880" t="s">
        <v>2015</v>
      </c>
      <c r="BB5" s="880" t="s">
        <v>1772</v>
      </c>
      <c r="BC5" s="880" t="s">
        <v>2003</v>
      </c>
      <c r="BD5" s="880" t="s">
        <v>2002</v>
      </c>
      <c r="BE5" s="880" t="s">
        <v>1784</v>
      </c>
      <c r="BF5" s="880" t="s">
        <v>1768</v>
      </c>
      <c r="BG5" s="880" t="s">
        <v>1769</v>
      </c>
      <c r="BH5" s="880" t="s">
        <v>1</v>
      </c>
      <c r="BI5" s="880" t="s">
        <v>120</v>
      </c>
      <c r="BJ5" s="880" t="s">
        <v>2012</v>
      </c>
      <c r="BK5" s="880" t="s">
        <v>2011</v>
      </c>
      <c r="BL5" s="880" t="s">
        <v>2014</v>
      </c>
      <c r="BM5" s="880" t="s">
        <v>2013</v>
      </c>
      <c r="BN5" s="880" t="s">
        <v>2009</v>
      </c>
      <c r="BO5" s="880" t="s">
        <v>2008</v>
      </c>
      <c r="BP5" s="880" t="s">
        <v>2005</v>
      </c>
      <c r="BQ5" s="880" t="s">
        <v>2004</v>
      </c>
      <c r="BR5" s="880" t="s">
        <v>2006</v>
      </c>
      <c r="BS5" s="880" t="s">
        <v>2010</v>
      </c>
      <c r="BT5" s="880" t="s">
        <v>2007</v>
      </c>
      <c r="BU5" s="882" t="s">
        <v>2001</v>
      </c>
      <c r="BV5" t="s">
        <v>12</v>
      </c>
      <c r="BW5" s="914" t="s">
        <v>2000</v>
      </c>
      <c r="BX5" s="915" t="s">
        <v>1805</v>
      </c>
      <c r="BY5" s="915" t="s">
        <v>1806</v>
      </c>
      <c r="BZ5" s="916" t="s">
        <v>1077</v>
      </c>
      <c r="CA5" t="s">
        <v>12</v>
      </c>
    </row>
    <row r="6" spans="1:79">
      <c r="A6" s="203">
        <v>1</v>
      </c>
      <c r="B6" s="455">
        <f ca="1">IF(OR(D6="",D6=0),"",_xll.meDateFromTenor(COB,C6,$AI6,$AJ6))</f>
        <v>43224</v>
      </c>
      <c r="C6" s="400" t="s">
        <v>356</v>
      </c>
      <c r="D6" s="361">
        <v>1000000</v>
      </c>
      <c r="E6" s="361" t="s">
        <v>187</v>
      </c>
      <c r="F6" s="342" t="s">
        <v>1753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2060</v>
      </c>
      <c r="N6" s="890">
        <f t="shared" ref="N6:N25" si="0">$D6</f>
        <v>1000000</v>
      </c>
      <c r="O6" s="891" t="s">
        <v>1992</v>
      </c>
      <c r="P6" s="891" t="str">
        <f t="shared" ref="P6:P25" si="1">IF($F6="PAYER","PAY","RECEIVE")</f>
        <v>RECEIVE</v>
      </c>
      <c r="Q6" s="891" t="str">
        <f t="shared" ref="Q6:Q25" si="2">$E6&amp;"YC"</f>
        <v>GBPYC</v>
      </c>
      <c r="R6" s="891"/>
      <c r="S6" s="891" t="str">
        <f t="shared" ref="S6:S25" si="3">$E6&amp;"OIS"</f>
        <v>GBPOIS</v>
      </c>
      <c r="T6" s="890" t="str">
        <f t="shared" ref="T6:T25" si="4">$E6</f>
        <v>GBP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43224</v>
      </c>
      <c r="AB6" s="894" t="str">
        <f t="shared" ref="AB6:AB25" si="7">$G6</f>
        <v>1Y</v>
      </c>
      <c r="AC6" s="893" t="s">
        <v>2030</v>
      </c>
      <c r="AD6" s="891" t="str">
        <f t="shared" ref="AD6:AD25" si="8">$H6</f>
        <v>ACT/365</v>
      </c>
      <c r="AE6" s="891" t="s">
        <v>38</v>
      </c>
      <c r="AF6" s="891" t="s">
        <v>185</v>
      </c>
      <c r="AG6" s="891" t="s">
        <v>38</v>
      </c>
      <c r="AH6" s="891" t="s">
        <v>185</v>
      </c>
      <c r="AI6" s="891" t="s">
        <v>38</v>
      </c>
      <c r="AJ6" s="891" t="s">
        <v>185</v>
      </c>
      <c r="AK6" s="891"/>
      <c r="AL6" s="891"/>
      <c r="AM6" s="891">
        <f t="shared" ref="AM6:AM25" ca="1" si="9">DAY($B6)</f>
        <v>4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1993</v>
      </c>
      <c r="AS6" s="890">
        <f t="shared" ref="AS6:AS25" si="10">$D6</f>
        <v>1000000</v>
      </c>
      <c r="AT6" s="891" t="s">
        <v>1992</v>
      </c>
      <c r="AU6" s="891" t="str">
        <f t="shared" ref="AU6:AU25" si="11">IF($F6="PAYER","RECEIVE","PAY")</f>
        <v>PAY</v>
      </c>
      <c r="AV6" s="891" t="str">
        <f t="shared" ref="AV6:AV25" si="12">$E6&amp;"YC"</f>
        <v>GBPYC</v>
      </c>
      <c r="AW6" s="891" t="str">
        <f t="shared" ref="AW6:AX25" si="13">$E6&amp;"OIS"</f>
        <v>GBPOIS</v>
      </c>
      <c r="AX6" s="891" t="str">
        <f t="shared" si="13"/>
        <v>GBPOIS</v>
      </c>
      <c r="AY6" s="890" t="str">
        <f t="shared" ref="AY6:AY25" si="14">$E6</f>
        <v>GBP</v>
      </c>
      <c r="AZ6" s="891" t="s">
        <v>2078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43224</v>
      </c>
      <c r="BG6" s="894" t="str">
        <f t="shared" ref="BG6:BG25" si="17">$G6</f>
        <v>1Y</v>
      </c>
      <c r="BH6" s="893" t="s">
        <v>2030</v>
      </c>
      <c r="BI6" s="891" t="s">
        <v>3</v>
      </c>
      <c r="BJ6" s="891" t="s">
        <v>38</v>
      </c>
      <c r="BK6" s="891" t="s">
        <v>185</v>
      </c>
      <c r="BL6" s="891" t="s">
        <v>38</v>
      </c>
      <c r="BM6" s="891" t="s">
        <v>185</v>
      </c>
      <c r="BN6" s="891" t="s">
        <v>38</v>
      </c>
      <c r="BO6" s="891" t="s">
        <v>185</v>
      </c>
      <c r="BP6" s="891"/>
      <c r="BQ6" s="891"/>
      <c r="BR6" s="891">
        <f t="shared" ref="BR6:BR25" ca="1" si="18">DAY($B6)</f>
        <v>4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GBPOIS1@118:0</v>
      </c>
      <c r="BX6" s="927">
        <f ca="1">IF(OR($D6="",$D6=0),"",_xll.meLWOSwapParRate($BW6,Q6))</f>
        <v>6.5299947896721583E-3</v>
      </c>
      <c r="BY6" s="918">
        <f ca="1">IF(OR($D6="",$D6=0),"",_xll.meLWOSwapPV($BW6,Q6))</f>
        <v>3475.5687486662473</v>
      </c>
      <c r="BZ6" s="923">
        <f ca="1">IF(OR($D6="",$D6=0),"",_xll.meLWOSwapPV01($BW6,Q6))</f>
        <v>100.16033227621233</v>
      </c>
      <c r="CA6" t="s">
        <v>12</v>
      </c>
    </row>
    <row r="7" spans="1:79">
      <c r="A7" s="203">
        <v>2</v>
      </c>
      <c r="B7" s="456">
        <f ca="1">IF(OR(D7="",D7=0),"",_xll.meDateFromTenor(COB,C7,$AI7,$AJ7))</f>
        <v>43224</v>
      </c>
      <c r="C7" s="401" t="s">
        <v>356</v>
      </c>
      <c r="D7" s="362">
        <v>1000000</v>
      </c>
      <c r="E7" s="362" t="s">
        <v>187</v>
      </c>
      <c r="F7" s="365" t="s">
        <v>1753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2060</v>
      </c>
      <c r="N7" s="897">
        <f t="shared" si="0"/>
        <v>1000000</v>
      </c>
      <c r="O7" s="898" t="s">
        <v>1992</v>
      </c>
      <c r="P7" s="898" t="str">
        <f t="shared" si="1"/>
        <v>RECEIVE</v>
      </c>
      <c r="Q7" s="898" t="str">
        <f t="shared" si="2"/>
        <v>GBPYC</v>
      </c>
      <c r="R7" s="898"/>
      <c r="S7" s="898" t="str">
        <f t="shared" si="3"/>
        <v>GBPOIS</v>
      </c>
      <c r="T7" s="897" t="str">
        <f t="shared" si="4"/>
        <v>GBP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43224</v>
      </c>
      <c r="AB7" s="901" t="str">
        <f t="shared" si="7"/>
        <v>2Y</v>
      </c>
      <c r="AC7" s="900" t="s">
        <v>2030</v>
      </c>
      <c r="AD7" s="898" t="str">
        <f t="shared" si="8"/>
        <v>ACT/365</v>
      </c>
      <c r="AE7" s="898" t="s">
        <v>38</v>
      </c>
      <c r="AF7" s="898" t="s">
        <v>185</v>
      </c>
      <c r="AG7" s="898" t="s">
        <v>38</v>
      </c>
      <c r="AH7" s="898" t="s">
        <v>185</v>
      </c>
      <c r="AI7" s="898" t="s">
        <v>38</v>
      </c>
      <c r="AJ7" s="898" t="s">
        <v>185</v>
      </c>
      <c r="AK7" s="898"/>
      <c r="AL7" s="898"/>
      <c r="AM7" s="898">
        <f t="shared" ca="1" si="9"/>
        <v>4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1993</v>
      </c>
      <c r="AS7" s="897">
        <f t="shared" si="10"/>
        <v>1000000</v>
      </c>
      <c r="AT7" s="898" t="s">
        <v>1992</v>
      </c>
      <c r="AU7" s="898" t="str">
        <f t="shared" si="11"/>
        <v>PAY</v>
      </c>
      <c r="AV7" s="898" t="str">
        <f t="shared" si="12"/>
        <v>GBPYC</v>
      </c>
      <c r="AW7" s="898" t="str">
        <f t="shared" si="13"/>
        <v>GBPOIS</v>
      </c>
      <c r="AX7" s="898" t="str">
        <f t="shared" si="13"/>
        <v>GBPOIS</v>
      </c>
      <c r="AY7" s="897" t="str">
        <f t="shared" si="14"/>
        <v>GBP</v>
      </c>
      <c r="AZ7" s="898" t="s">
        <v>2078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43224</v>
      </c>
      <c r="BG7" s="901" t="str">
        <f t="shared" si="17"/>
        <v>2Y</v>
      </c>
      <c r="BH7" s="900" t="s">
        <v>2030</v>
      </c>
      <c r="BI7" s="898" t="s">
        <v>3</v>
      </c>
      <c r="BJ7" s="898" t="s">
        <v>38</v>
      </c>
      <c r="BK7" s="898" t="s">
        <v>185</v>
      </c>
      <c r="BL7" s="898" t="s">
        <v>38</v>
      </c>
      <c r="BM7" s="898" t="s">
        <v>185</v>
      </c>
      <c r="BN7" s="898" t="s">
        <v>38</v>
      </c>
      <c r="BO7" s="898" t="s">
        <v>185</v>
      </c>
      <c r="BP7" s="898"/>
      <c r="BQ7" s="898"/>
      <c r="BR7" s="898">
        <f t="shared" ca="1" si="18"/>
        <v>4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GBPOIS2@82:0</v>
      </c>
      <c r="BX7" s="928">
        <f ca="1">IF(OR($D7="",$D7=0),"",_xll.meLWOSwapParRate($BW7,Q7))</f>
        <v>7.4928125287529014E-3</v>
      </c>
      <c r="BY7" s="897">
        <f ca="1">IF(OR($D7="",$D7=0),"",_xll.meLWOSwapPV($BW7,Q7))</f>
        <v>4974.2156465051921</v>
      </c>
      <c r="BZ7" s="921">
        <f ca="1">IF(OR($D7="",$D7=0),"",_xll.meLWOSwapPV01($BW7,Q7))</f>
        <v>198.39823322150571</v>
      </c>
      <c r="CA7" t="s">
        <v>12</v>
      </c>
    </row>
    <row r="8" spans="1:79">
      <c r="A8" s="203">
        <v>3</v>
      </c>
      <c r="B8" s="456">
        <f ca="1">IF(OR(D8="",D8=0),"",_xll.meDateFromTenor(COB,C8,$AI8,$AJ8))</f>
        <v>43224</v>
      </c>
      <c r="C8" s="401" t="s">
        <v>356</v>
      </c>
      <c r="D8" s="362">
        <v>1000000</v>
      </c>
      <c r="E8" s="362" t="s">
        <v>187</v>
      </c>
      <c r="F8" s="365" t="s">
        <v>1753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2060</v>
      </c>
      <c r="N8" s="897">
        <f t="shared" si="0"/>
        <v>1000000</v>
      </c>
      <c r="O8" s="898" t="s">
        <v>1992</v>
      </c>
      <c r="P8" s="898" t="str">
        <f t="shared" si="1"/>
        <v>RECEIVE</v>
      </c>
      <c r="Q8" s="898" t="str">
        <f t="shared" si="2"/>
        <v>GBPYC</v>
      </c>
      <c r="R8" s="898"/>
      <c r="S8" s="898" t="str">
        <f t="shared" si="3"/>
        <v>GBPOIS</v>
      </c>
      <c r="T8" s="897" t="str">
        <f t="shared" si="4"/>
        <v>GBP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43224</v>
      </c>
      <c r="AB8" s="901" t="str">
        <f t="shared" si="7"/>
        <v>3Y</v>
      </c>
      <c r="AC8" s="900" t="s">
        <v>2030</v>
      </c>
      <c r="AD8" s="898" t="str">
        <f t="shared" si="8"/>
        <v>ACT/365</v>
      </c>
      <c r="AE8" s="898" t="s">
        <v>38</v>
      </c>
      <c r="AF8" s="898" t="s">
        <v>185</v>
      </c>
      <c r="AG8" s="898" t="s">
        <v>38</v>
      </c>
      <c r="AH8" s="898" t="s">
        <v>185</v>
      </c>
      <c r="AI8" s="898" t="s">
        <v>38</v>
      </c>
      <c r="AJ8" s="898" t="s">
        <v>185</v>
      </c>
      <c r="AK8" s="898"/>
      <c r="AL8" s="898"/>
      <c r="AM8" s="898">
        <f t="shared" ca="1" si="9"/>
        <v>4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1993</v>
      </c>
      <c r="AS8" s="897">
        <f t="shared" si="10"/>
        <v>1000000</v>
      </c>
      <c r="AT8" s="898" t="s">
        <v>1992</v>
      </c>
      <c r="AU8" s="898" t="str">
        <f t="shared" si="11"/>
        <v>PAY</v>
      </c>
      <c r="AV8" s="898" t="str">
        <f t="shared" si="12"/>
        <v>GBPYC</v>
      </c>
      <c r="AW8" s="898" t="str">
        <f t="shared" si="13"/>
        <v>GBPOIS</v>
      </c>
      <c r="AX8" s="898" t="str">
        <f t="shared" si="13"/>
        <v>GBPOIS</v>
      </c>
      <c r="AY8" s="897" t="str">
        <f t="shared" si="14"/>
        <v>GBP</v>
      </c>
      <c r="AZ8" s="898" t="s">
        <v>2078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43224</v>
      </c>
      <c r="BG8" s="901" t="str">
        <f t="shared" si="17"/>
        <v>3Y</v>
      </c>
      <c r="BH8" s="900" t="s">
        <v>2030</v>
      </c>
      <c r="BI8" s="898" t="s">
        <v>3</v>
      </c>
      <c r="BJ8" s="898" t="s">
        <v>38</v>
      </c>
      <c r="BK8" s="898" t="s">
        <v>185</v>
      </c>
      <c r="BL8" s="898" t="s">
        <v>38</v>
      </c>
      <c r="BM8" s="898" t="s">
        <v>185</v>
      </c>
      <c r="BN8" s="898" t="s">
        <v>38</v>
      </c>
      <c r="BO8" s="898" t="s">
        <v>185</v>
      </c>
      <c r="BP8" s="898"/>
      <c r="BQ8" s="898"/>
      <c r="BR8" s="898">
        <f t="shared" ca="1" si="18"/>
        <v>4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GBPOIS3@91:0</v>
      </c>
      <c r="BX8" s="928">
        <f ca="1">IF(OR($D8="",$D8=0),"",_xll.meLWOSwapParRate($BW8,Q8))</f>
        <v>9.1555305312473832E-3</v>
      </c>
      <c r="BY8" s="897">
        <f ca="1">IF(OR($D8="",$D8=0),"",_xll.meLWOSwapPV($BW8,Q8))</f>
        <v>2494.6790760920485</v>
      </c>
      <c r="BZ8" s="921">
        <f ca="1">IF(OR($D8="",$D8=0),"",_xll.meLWOSwapPV01($BW8,Q8))</f>
        <v>295.41376786267818</v>
      </c>
      <c r="CA8" t="s">
        <v>12</v>
      </c>
    </row>
    <row r="9" spans="1:79">
      <c r="A9" s="203">
        <v>4</v>
      </c>
      <c r="B9" s="456">
        <f ca="1">IF(OR(D9="",D9=0),"",_xll.meDateFromTenor(COB,C9,$AI9,$AJ9))</f>
        <v>43224</v>
      </c>
      <c r="C9" s="926" t="s">
        <v>356</v>
      </c>
      <c r="D9" s="362">
        <v>1000000</v>
      </c>
      <c r="E9" s="362" t="s">
        <v>187</v>
      </c>
      <c r="F9" s="365" t="s">
        <v>1753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2060</v>
      </c>
      <c r="N9" s="897">
        <f t="shared" si="0"/>
        <v>1000000</v>
      </c>
      <c r="O9" s="898" t="s">
        <v>1992</v>
      </c>
      <c r="P9" s="898" t="str">
        <f t="shared" si="1"/>
        <v>RECEIVE</v>
      </c>
      <c r="Q9" s="898" t="str">
        <f t="shared" si="2"/>
        <v>GBPYC</v>
      </c>
      <c r="R9" s="898"/>
      <c r="S9" s="898" t="str">
        <f t="shared" si="3"/>
        <v>GBPOIS</v>
      </c>
      <c r="T9" s="897" t="str">
        <f t="shared" si="4"/>
        <v>GBP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43224</v>
      </c>
      <c r="AB9" s="901" t="str">
        <f t="shared" si="7"/>
        <v>4Y</v>
      </c>
      <c r="AC9" s="900" t="s">
        <v>2030</v>
      </c>
      <c r="AD9" s="898" t="str">
        <f t="shared" si="8"/>
        <v>ACT/365</v>
      </c>
      <c r="AE9" s="898" t="s">
        <v>38</v>
      </c>
      <c r="AF9" s="898" t="s">
        <v>185</v>
      </c>
      <c r="AG9" s="898" t="s">
        <v>38</v>
      </c>
      <c r="AH9" s="898" t="s">
        <v>185</v>
      </c>
      <c r="AI9" s="898" t="s">
        <v>38</v>
      </c>
      <c r="AJ9" s="898" t="s">
        <v>185</v>
      </c>
      <c r="AK9" s="898"/>
      <c r="AL9" s="898"/>
      <c r="AM9" s="898">
        <f t="shared" ca="1" si="9"/>
        <v>4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1993</v>
      </c>
      <c r="AS9" s="897">
        <f t="shared" si="10"/>
        <v>1000000</v>
      </c>
      <c r="AT9" s="898" t="s">
        <v>1992</v>
      </c>
      <c r="AU9" s="898" t="str">
        <f t="shared" si="11"/>
        <v>PAY</v>
      </c>
      <c r="AV9" s="898" t="str">
        <f t="shared" si="12"/>
        <v>GBPYC</v>
      </c>
      <c r="AW9" s="898" t="str">
        <f t="shared" si="13"/>
        <v>GBPOIS</v>
      </c>
      <c r="AX9" s="898" t="str">
        <f t="shared" si="13"/>
        <v>GBPOIS</v>
      </c>
      <c r="AY9" s="897" t="str">
        <f t="shared" si="14"/>
        <v>GBP</v>
      </c>
      <c r="AZ9" s="898" t="s">
        <v>2078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43224</v>
      </c>
      <c r="BG9" s="901" t="str">
        <f t="shared" si="17"/>
        <v>4Y</v>
      </c>
      <c r="BH9" s="900" t="s">
        <v>2030</v>
      </c>
      <c r="BI9" s="898" t="s">
        <v>3</v>
      </c>
      <c r="BJ9" s="898" t="s">
        <v>38</v>
      </c>
      <c r="BK9" s="898" t="s">
        <v>185</v>
      </c>
      <c r="BL9" s="898" t="s">
        <v>38</v>
      </c>
      <c r="BM9" s="898" t="s">
        <v>185</v>
      </c>
      <c r="BN9" s="898" t="s">
        <v>38</v>
      </c>
      <c r="BO9" s="898" t="s">
        <v>185</v>
      </c>
      <c r="BP9" s="898"/>
      <c r="BQ9" s="898"/>
      <c r="BR9" s="898">
        <f t="shared" ca="1" si="18"/>
        <v>4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GBPOIS4@103:0</v>
      </c>
      <c r="BX9" s="928">
        <f ca="1">IF(OR($D9="",$D9=0),"",_xll.meLWOSwapParRate($BW9,Q9))</f>
        <v>9.9216275958209227E-3</v>
      </c>
      <c r="BY9" s="897">
        <f ca="1">IF(OR($D9="",$D9=0),"",_xll.meLWOSwapPV($BW9,Q9))</f>
        <v>306.8349077776511</v>
      </c>
      <c r="BZ9" s="921">
        <f ca="1">IF(OR($D9="",$D9=0),"",_xll.meLWOSwapPV01($BW9,Q9))</f>
        <v>391.50886206902413</v>
      </c>
      <c r="CA9" t="s">
        <v>12</v>
      </c>
    </row>
    <row r="10" spans="1:79">
      <c r="A10" s="203">
        <v>5</v>
      </c>
      <c r="B10" s="456">
        <f ca="1">IF(OR(D10="",D10=0),"",_xll.meDateFromTenor(COB,C10,$AI10,$AJ10))</f>
        <v>43224</v>
      </c>
      <c r="C10" s="926" t="s">
        <v>356</v>
      </c>
      <c r="D10" s="362">
        <v>1000000</v>
      </c>
      <c r="E10" s="362" t="s">
        <v>187</v>
      </c>
      <c r="F10" s="365" t="s">
        <v>1753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2060</v>
      </c>
      <c r="N10" s="897">
        <f t="shared" si="0"/>
        <v>1000000</v>
      </c>
      <c r="O10" s="898" t="s">
        <v>1992</v>
      </c>
      <c r="P10" s="898" t="str">
        <f t="shared" si="1"/>
        <v>RECEIVE</v>
      </c>
      <c r="Q10" s="898" t="str">
        <f t="shared" si="2"/>
        <v>GBPYC</v>
      </c>
      <c r="R10" s="898"/>
      <c r="S10" s="898" t="str">
        <f t="shared" si="3"/>
        <v>GBPOIS</v>
      </c>
      <c r="T10" s="897" t="str">
        <f t="shared" si="4"/>
        <v>GBP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43224</v>
      </c>
      <c r="AB10" s="901" t="str">
        <f t="shared" si="7"/>
        <v>5Y</v>
      </c>
      <c r="AC10" s="900" t="s">
        <v>2030</v>
      </c>
      <c r="AD10" s="898" t="str">
        <f t="shared" si="8"/>
        <v>ACT/365</v>
      </c>
      <c r="AE10" s="898" t="s">
        <v>38</v>
      </c>
      <c r="AF10" s="898" t="s">
        <v>185</v>
      </c>
      <c r="AG10" s="898" t="s">
        <v>38</v>
      </c>
      <c r="AH10" s="898" t="s">
        <v>185</v>
      </c>
      <c r="AI10" s="898" t="s">
        <v>38</v>
      </c>
      <c r="AJ10" s="898" t="s">
        <v>185</v>
      </c>
      <c r="AK10" s="898"/>
      <c r="AL10" s="898"/>
      <c r="AM10" s="898">
        <f t="shared" ca="1" si="9"/>
        <v>4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1993</v>
      </c>
      <c r="AS10" s="897">
        <f t="shared" si="10"/>
        <v>1000000</v>
      </c>
      <c r="AT10" s="898" t="s">
        <v>1992</v>
      </c>
      <c r="AU10" s="898" t="str">
        <f t="shared" si="11"/>
        <v>PAY</v>
      </c>
      <c r="AV10" s="898" t="str">
        <f t="shared" si="12"/>
        <v>GBPYC</v>
      </c>
      <c r="AW10" s="898" t="str">
        <f t="shared" si="13"/>
        <v>GBPOIS</v>
      </c>
      <c r="AX10" s="898" t="str">
        <f t="shared" si="13"/>
        <v>GBPOIS</v>
      </c>
      <c r="AY10" s="897" t="str">
        <f t="shared" si="14"/>
        <v>GBP</v>
      </c>
      <c r="AZ10" s="898" t="s">
        <v>2078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43224</v>
      </c>
      <c r="BG10" s="901" t="str">
        <f t="shared" si="17"/>
        <v>5Y</v>
      </c>
      <c r="BH10" s="900" t="s">
        <v>2030</v>
      </c>
      <c r="BI10" s="898" t="s">
        <v>3</v>
      </c>
      <c r="BJ10" s="898" t="s">
        <v>38</v>
      </c>
      <c r="BK10" s="898" t="s">
        <v>185</v>
      </c>
      <c r="BL10" s="898" t="s">
        <v>38</v>
      </c>
      <c r="BM10" s="898" t="s">
        <v>185</v>
      </c>
      <c r="BN10" s="898" t="s">
        <v>38</v>
      </c>
      <c r="BO10" s="898" t="s">
        <v>185</v>
      </c>
      <c r="BP10" s="898"/>
      <c r="BQ10" s="898"/>
      <c r="BR10" s="898">
        <f t="shared" ca="1" si="18"/>
        <v>4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GBPOIS5@120:0</v>
      </c>
      <c r="BX10" s="928">
        <f ca="1">IF(OR($D10="",$D10=0),"",_xll.meLWOSwapParRate($BW10,Q10))</f>
        <v>1.0502285310015397E-2</v>
      </c>
      <c r="BY10" s="897">
        <f ca="1">IF(OR($D10="",$D10=0),"",_xll.meLWOSwapPV($BW10,Q10))</f>
        <v>-2442.9774050770429</v>
      </c>
      <c r="BZ10" s="921">
        <f ca="1">IF(OR($D10="",$D10=0),"",_xll.meLWOSwapPV01($BW10,Q10))</f>
        <v>486.37245731955818</v>
      </c>
      <c r="CA10" t="s">
        <v>12</v>
      </c>
    </row>
    <row r="11" spans="1:79">
      <c r="A11" s="203">
        <v>6</v>
      </c>
      <c r="B11" s="456">
        <f ca="1">IF(OR(D11="",D11=0),"",_xll.meDateFromTenor(COB,C11,$AI11,$AJ11))</f>
        <v>43224</v>
      </c>
      <c r="C11" s="926" t="s">
        <v>356</v>
      </c>
      <c r="D11" s="362">
        <v>1000000</v>
      </c>
      <c r="E11" s="362" t="s">
        <v>187</v>
      </c>
      <c r="F11" s="365" t="s">
        <v>1753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2060</v>
      </c>
      <c r="N11" s="897">
        <f t="shared" si="0"/>
        <v>1000000</v>
      </c>
      <c r="O11" s="898" t="s">
        <v>1992</v>
      </c>
      <c r="P11" s="898" t="str">
        <f t="shared" si="1"/>
        <v>RECEIVE</v>
      </c>
      <c r="Q11" s="898" t="str">
        <f t="shared" si="2"/>
        <v>GBPYC</v>
      </c>
      <c r="R11" s="898"/>
      <c r="S11" s="898" t="str">
        <f t="shared" si="3"/>
        <v>GBPOIS</v>
      </c>
      <c r="T11" s="897" t="str">
        <f t="shared" si="4"/>
        <v>GBP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43224</v>
      </c>
      <c r="AB11" s="901" t="str">
        <f t="shared" si="7"/>
        <v>6Y</v>
      </c>
      <c r="AC11" s="900" t="s">
        <v>2030</v>
      </c>
      <c r="AD11" s="898" t="str">
        <f t="shared" si="8"/>
        <v>ACT/365</v>
      </c>
      <c r="AE11" s="898" t="s">
        <v>38</v>
      </c>
      <c r="AF11" s="898" t="s">
        <v>185</v>
      </c>
      <c r="AG11" s="898" t="s">
        <v>38</v>
      </c>
      <c r="AH11" s="898" t="s">
        <v>185</v>
      </c>
      <c r="AI11" s="898" t="s">
        <v>38</v>
      </c>
      <c r="AJ11" s="898" t="s">
        <v>185</v>
      </c>
      <c r="AK11" s="898"/>
      <c r="AL11" s="898"/>
      <c r="AM11" s="898">
        <f t="shared" ca="1" si="9"/>
        <v>4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1993</v>
      </c>
      <c r="AS11" s="897">
        <f t="shared" si="10"/>
        <v>1000000</v>
      </c>
      <c r="AT11" s="898" t="s">
        <v>1992</v>
      </c>
      <c r="AU11" s="898" t="str">
        <f t="shared" si="11"/>
        <v>PAY</v>
      </c>
      <c r="AV11" s="898" t="str">
        <f t="shared" si="12"/>
        <v>GBPYC</v>
      </c>
      <c r="AW11" s="898" t="str">
        <f t="shared" si="13"/>
        <v>GBPOIS</v>
      </c>
      <c r="AX11" s="898" t="str">
        <f t="shared" si="13"/>
        <v>GBPOIS</v>
      </c>
      <c r="AY11" s="897" t="str">
        <f t="shared" si="14"/>
        <v>GBP</v>
      </c>
      <c r="AZ11" s="898" t="s">
        <v>2078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43224</v>
      </c>
      <c r="BG11" s="901" t="str">
        <f t="shared" si="17"/>
        <v>6Y</v>
      </c>
      <c r="BH11" s="900" t="s">
        <v>2030</v>
      </c>
      <c r="BI11" s="898" t="s">
        <v>3</v>
      </c>
      <c r="BJ11" s="898" t="s">
        <v>38</v>
      </c>
      <c r="BK11" s="898" t="s">
        <v>185</v>
      </c>
      <c r="BL11" s="898" t="s">
        <v>38</v>
      </c>
      <c r="BM11" s="898" t="s">
        <v>185</v>
      </c>
      <c r="BN11" s="898" t="s">
        <v>38</v>
      </c>
      <c r="BO11" s="898" t="s">
        <v>185</v>
      </c>
      <c r="BP11" s="898"/>
      <c r="BQ11" s="898"/>
      <c r="BR11" s="898">
        <f t="shared" ca="1" si="18"/>
        <v>4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GBPOIS6@141:0</v>
      </c>
      <c r="BX11" s="928">
        <f ca="1">IF(OR($D11="",$D11=0),"",_xll.meLWOSwapParRate($BW11,Q11))</f>
        <v>1.0947727468449913E-2</v>
      </c>
      <c r="BY11" s="897">
        <f ca="1">IF(OR($D11="",$D11=0),"",_xll.meLWOSwapPV($BW11,Q11))</f>
        <v>-5506.3046012344348</v>
      </c>
      <c r="BZ11" s="921">
        <f ca="1">IF(OR($D11="",$D11=0),"",_xll.meLWOSwapPV01($BW11,Q11))</f>
        <v>581.00084513119168</v>
      </c>
      <c r="CA11" t="s">
        <v>12</v>
      </c>
    </row>
    <row r="12" spans="1:79">
      <c r="A12" s="203">
        <v>7</v>
      </c>
      <c r="B12" s="456">
        <f ca="1">IF(OR(D12="",D12=0),"",_xll.meDateFromTenor(COB,C12,$AI12,$AJ12))</f>
        <v>43224</v>
      </c>
      <c r="C12" s="926" t="s">
        <v>356</v>
      </c>
      <c r="D12" s="362">
        <v>1000000</v>
      </c>
      <c r="E12" s="362" t="s">
        <v>187</v>
      </c>
      <c r="F12" s="365" t="s">
        <v>1753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2060</v>
      </c>
      <c r="N12" s="897">
        <f t="shared" si="0"/>
        <v>1000000</v>
      </c>
      <c r="O12" s="898" t="s">
        <v>1992</v>
      </c>
      <c r="P12" s="898" t="str">
        <f t="shared" si="1"/>
        <v>RECEIVE</v>
      </c>
      <c r="Q12" s="898" t="str">
        <f t="shared" si="2"/>
        <v>GBPYC</v>
      </c>
      <c r="R12" s="898"/>
      <c r="S12" s="898" t="str">
        <f t="shared" si="3"/>
        <v>GBPOIS</v>
      </c>
      <c r="T12" s="897" t="str">
        <f t="shared" si="4"/>
        <v>GBP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43224</v>
      </c>
      <c r="AB12" s="901" t="str">
        <f t="shared" si="7"/>
        <v>7Y</v>
      </c>
      <c r="AC12" s="900" t="s">
        <v>2030</v>
      </c>
      <c r="AD12" s="898" t="str">
        <f t="shared" si="8"/>
        <v>ACT/365</v>
      </c>
      <c r="AE12" s="898" t="s">
        <v>38</v>
      </c>
      <c r="AF12" s="898" t="s">
        <v>185</v>
      </c>
      <c r="AG12" s="898" t="s">
        <v>38</v>
      </c>
      <c r="AH12" s="898" t="s">
        <v>185</v>
      </c>
      <c r="AI12" s="898" t="s">
        <v>38</v>
      </c>
      <c r="AJ12" s="898" t="s">
        <v>185</v>
      </c>
      <c r="AK12" s="898"/>
      <c r="AL12" s="898"/>
      <c r="AM12" s="898">
        <f t="shared" ca="1" si="9"/>
        <v>4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1993</v>
      </c>
      <c r="AS12" s="897">
        <f t="shared" si="10"/>
        <v>1000000</v>
      </c>
      <c r="AT12" s="898" t="s">
        <v>1992</v>
      </c>
      <c r="AU12" s="898" t="str">
        <f t="shared" si="11"/>
        <v>PAY</v>
      </c>
      <c r="AV12" s="898" t="str">
        <f t="shared" si="12"/>
        <v>GBPYC</v>
      </c>
      <c r="AW12" s="898" t="str">
        <f t="shared" si="13"/>
        <v>GBPOIS</v>
      </c>
      <c r="AX12" s="898" t="str">
        <f t="shared" si="13"/>
        <v>GBPOIS</v>
      </c>
      <c r="AY12" s="897" t="str">
        <f t="shared" si="14"/>
        <v>GBP</v>
      </c>
      <c r="AZ12" s="898" t="s">
        <v>2078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43224</v>
      </c>
      <c r="BG12" s="901" t="str">
        <f t="shared" si="17"/>
        <v>7Y</v>
      </c>
      <c r="BH12" s="900" t="s">
        <v>2030</v>
      </c>
      <c r="BI12" s="898" t="s">
        <v>3</v>
      </c>
      <c r="BJ12" s="898" t="s">
        <v>38</v>
      </c>
      <c r="BK12" s="898" t="s">
        <v>185</v>
      </c>
      <c r="BL12" s="898" t="s">
        <v>38</v>
      </c>
      <c r="BM12" s="898" t="s">
        <v>185</v>
      </c>
      <c r="BN12" s="898" t="s">
        <v>38</v>
      </c>
      <c r="BO12" s="898" t="s">
        <v>185</v>
      </c>
      <c r="BP12" s="898"/>
      <c r="BQ12" s="898"/>
      <c r="BR12" s="898">
        <f t="shared" ca="1" si="18"/>
        <v>4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GBPOIS7@123:0</v>
      </c>
      <c r="BX12" s="928">
        <f ca="1">IF(OR($D12="",$D12=0),"",_xll.meLWOSwapParRate($BW12,Q12))</f>
        <v>1.1323038355843876E-2</v>
      </c>
      <c r="BY12" s="897">
        <f ca="1">IF(OR($D12="",$D12=0),"",_xll.meLWOSwapPV($BW12,Q12))</f>
        <v>-8905.1224293968553</v>
      </c>
      <c r="BZ12" s="921">
        <f ca="1">IF(OR($D12="",$D12=0),"",_xll.meLWOSwapPV01($BW12,Q12))</f>
        <v>673.08119904935756</v>
      </c>
      <c r="CA12" t="s">
        <v>12</v>
      </c>
    </row>
    <row r="13" spans="1:79">
      <c r="A13" s="203">
        <v>8</v>
      </c>
      <c r="B13" s="456">
        <f ca="1">IF(OR(D13="",D13=0),"",_xll.meDateFromTenor(COB,C13,$AI13,$AJ13))</f>
        <v>43224</v>
      </c>
      <c r="C13" s="926" t="s">
        <v>356</v>
      </c>
      <c r="D13" s="362">
        <v>1000000</v>
      </c>
      <c r="E13" s="362" t="s">
        <v>187</v>
      </c>
      <c r="F13" s="365" t="s">
        <v>1753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2060</v>
      </c>
      <c r="N13" s="897">
        <f t="shared" si="0"/>
        <v>1000000</v>
      </c>
      <c r="O13" s="898" t="s">
        <v>1992</v>
      </c>
      <c r="P13" s="898" t="str">
        <f t="shared" si="1"/>
        <v>RECEIVE</v>
      </c>
      <c r="Q13" s="898" t="str">
        <f t="shared" si="2"/>
        <v>GBPYC</v>
      </c>
      <c r="R13" s="898"/>
      <c r="S13" s="898" t="str">
        <f t="shared" si="3"/>
        <v>GBPOIS</v>
      </c>
      <c r="T13" s="897" t="str">
        <f t="shared" si="4"/>
        <v>GBP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43224</v>
      </c>
      <c r="AB13" s="901" t="str">
        <f t="shared" si="7"/>
        <v>8Y</v>
      </c>
      <c r="AC13" s="900" t="s">
        <v>2030</v>
      </c>
      <c r="AD13" s="898" t="str">
        <f t="shared" si="8"/>
        <v>ACT/365</v>
      </c>
      <c r="AE13" s="898" t="s">
        <v>38</v>
      </c>
      <c r="AF13" s="898" t="s">
        <v>185</v>
      </c>
      <c r="AG13" s="898" t="s">
        <v>38</v>
      </c>
      <c r="AH13" s="898" t="s">
        <v>185</v>
      </c>
      <c r="AI13" s="898" t="s">
        <v>38</v>
      </c>
      <c r="AJ13" s="898" t="s">
        <v>185</v>
      </c>
      <c r="AK13" s="898"/>
      <c r="AL13" s="898"/>
      <c r="AM13" s="898">
        <f t="shared" ca="1" si="9"/>
        <v>4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1993</v>
      </c>
      <c r="AS13" s="897">
        <f t="shared" si="10"/>
        <v>1000000</v>
      </c>
      <c r="AT13" s="898" t="s">
        <v>1992</v>
      </c>
      <c r="AU13" s="898" t="str">
        <f t="shared" si="11"/>
        <v>PAY</v>
      </c>
      <c r="AV13" s="898" t="str">
        <f t="shared" si="12"/>
        <v>GBPYC</v>
      </c>
      <c r="AW13" s="898" t="str">
        <f t="shared" si="13"/>
        <v>GBPOIS</v>
      </c>
      <c r="AX13" s="898" t="str">
        <f t="shared" si="13"/>
        <v>GBPOIS</v>
      </c>
      <c r="AY13" s="897" t="str">
        <f t="shared" si="14"/>
        <v>GBP</v>
      </c>
      <c r="AZ13" s="898" t="s">
        <v>2078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43224</v>
      </c>
      <c r="BG13" s="901" t="str">
        <f t="shared" si="17"/>
        <v>8Y</v>
      </c>
      <c r="BH13" s="900" t="s">
        <v>2030</v>
      </c>
      <c r="BI13" s="898" t="s">
        <v>3</v>
      </c>
      <c r="BJ13" s="898" t="s">
        <v>38</v>
      </c>
      <c r="BK13" s="898" t="s">
        <v>185</v>
      </c>
      <c r="BL13" s="898" t="s">
        <v>38</v>
      </c>
      <c r="BM13" s="898" t="s">
        <v>185</v>
      </c>
      <c r="BN13" s="898" t="s">
        <v>38</v>
      </c>
      <c r="BO13" s="898" t="s">
        <v>185</v>
      </c>
      <c r="BP13" s="898"/>
      <c r="BQ13" s="898"/>
      <c r="BR13" s="898">
        <f t="shared" ca="1" si="18"/>
        <v>4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GBPOIS8@26:0</v>
      </c>
      <c r="BX13" s="928">
        <f ca="1">IF(OR($D13="",$D13=0),"",_xll.meLWOSwapParRate($BW13,Q13))</f>
        <v>1.1662271504700712E-2</v>
      </c>
      <c r="BY13" s="897">
        <f ca="1">IF(OR($D13="",$D13=0),"",_xll.meLWOSwapPV($BW13,Q13))</f>
        <v>-12697.574901294152</v>
      </c>
      <c r="BZ13" s="921">
        <f ca="1">IF(OR($D13="",$D13=0),"",_xll.meLWOSwapPV01($BW13,Q13))</f>
        <v>763.86889057454709</v>
      </c>
      <c r="CA13" t="s">
        <v>12</v>
      </c>
    </row>
    <row r="14" spans="1:79">
      <c r="A14" s="203">
        <v>9</v>
      </c>
      <c r="B14" s="456">
        <f ca="1">IF(OR(D14="",D14=0),"",_xll.meDateFromTenor(COB,C14,$AI14,$AJ14))</f>
        <v>43224</v>
      </c>
      <c r="C14" s="926" t="s">
        <v>356</v>
      </c>
      <c r="D14" s="362">
        <v>1000000</v>
      </c>
      <c r="E14" s="362" t="s">
        <v>187</v>
      </c>
      <c r="F14" s="365" t="s">
        <v>1753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2060</v>
      </c>
      <c r="N14" s="897">
        <f t="shared" si="0"/>
        <v>1000000</v>
      </c>
      <c r="O14" s="898" t="s">
        <v>1992</v>
      </c>
      <c r="P14" s="898" t="str">
        <f t="shared" si="1"/>
        <v>RECEIVE</v>
      </c>
      <c r="Q14" s="898" t="str">
        <f t="shared" si="2"/>
        <v>GBPYC</v>
      </c>
      <c r="R14" s="898"/>
      <c r="S14" s="898" t="str">
        <f t="shared" si="3"/>
        <v>GBPOIS</v>
      </c>
      <c r="T14" s="897" t="str">
        <f t="shared" si="4"/>
        <v>GBP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43224</v>
      </c>
      <c r="AB14" s="901" t="str">
        <f t="shared" si="7"/>
        <v>9Y</v>
      </c>
      <c r="AC14" s="900" t="s">
        <v>2030</v>
      </c>
      <c r="AD14" s="898" t="str">
        <f t="shared" si="8"/>
        <v>ACT/365</v>
      </c>
      <c r="AE14" s="898" t="s">
        <v>38</v>
      </c>
      <c r="AF14" s="898" t="s">
        <v>185</v>
      </c>
      <c r="AG14" s="898" t="s">
        <v>38</v>
      </c>
      <c r="AH14" s="898" t="s">
        <v>185</v>
      </c>
      <c r="AI14" s="898" t="s">
        <v>38</v>
      </c>
      <c r="AJ14" s="898" t="s">
        <v>185</v>
      </c>
      <c r="AK14" s="898"/>
      <c r="AL14" s="898"/>
      <c r="AM14" s="898">
        <f t="shared" ca="1" si="9"/>
        <v>4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1993</v>
      </c>
      <c r="AS14" s="897">
        <f t="shared" si="10"/>
        <v>1000000</v>
      </c>
      <c r="AT14" s="898" t="s">
        <v>1992</v>
      </c>
      <c r="AU14" s="898" t="str">
        <f t="shared" si="11"/>
        <v>PAY</v>
      </c>
      <c r="AV14" s="898" t="str">
        <f t="shared" si="12"/>
        <v>GBPYC</v>
      </c>
      <c r="AW14" s="898" t="str">
        <f t="shared" si="13"/>
        <v>GBPOIS</v>
      </c>
      <c r="AX14" s="898" t="str">
        <f t="shared" si="13"/>
        <v>GBPOIS</v>
      </c>
      <c r="AY14" s="897" t="str">
        <f t="shared" si="14"/>
        <v>GBP</v>
      </c>
      <c r="AZ14" s="898" t="s">
        <v>2078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43224</v>
      </c>
      <c r="BG14" s="901" t="str">
        <f t="shared" si="17"/>
        <v>9Y</v>
      </c>
      <c r="BH14" s="900" t="s">
        <v>2030</v>
      </c>
      <c r="BI14" s="898" t="s">
        <v>3</v>
      </c>
      <c r="BJ14" s="898" t="s">
        <v>38</v>
      </c>
      <c r="BK14" s="898" t="s">
        <v>185</v>
      </c>
      <c r="BL14" s="898" t="s">
        <v>38</v>
      </c>
      <c r="BM14" s="898" t="s">
        <v>185</v>
      </c>
      <c r="BN14" s="898" t="s">
        <v>38</v>
      </c>
      <c r="BO14" s="898" t="s">
        <v>185</v>
      </c>
      <c r="BP14" s="898"/>
      <c r="BQ14" s="898"/>
      <c r="BR14" s="898">
        <f t="shared" ca="1" si="18"/>
        <v>4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GBPOIS9@138:0</v>
      </c>
      <c r="BX14" s="928">
        <f ca="1">IF(OR($D14="",$D14=0),"",_xll.meLWOSwapParRate($BW14,Q14))</f>
        <v>1.1994452704201575E-2</v>
      </c>
      <c r="BY14" s="897">
        <f ca="1">IF(OR($D14="",$D14=0),"",_xll.meLWOSwapPV($BW14,Q14))</f>
        <v>-17019.138288316171</v>
      </c>
      <c r="BZ14" s="921">
        <f ca="1">IF(OR($D14="",$D14=0),"",_xll.meLWOSwapPV01($BW14,Q14))</f>
        <v>853.32373399796177</v>
      </c>
      <c r="CA14" t="s">
        <v>12</v>
      </c>
    </row>
    <row r="15" spans="1:79">
      <c r="A15" s="203">
        <v>10</v>
      </c>
      <c r="B15" s="456">
        <f ca="1">IF(OR(D15="",D15=0),"",_xll.meDateFromTenor(COB,C15,$AI15,$AJ15))</f>
        <v>43224</v>
      </c>
      <c r="C15" s="926" t="s">
        <v>356</v>
      </c>
      <c r="D15" s="362">
        <v>1000000</v>
      </c>
      <c r="E15" s="362" t="s">
        <v>187</v>
      </c>
      <c r="F15" s="365" t="s">
        <v>1753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2060</v>
      </c>
      <c r="N15" s="897">
        <f t="shared" si="0"/>
        <v>1000000</v>
      </c>
      <c r="O15" s="898" t="s">
        <v>1992</v>
      </c>
      <c r="P15" s="898" t="str">
        <f t="shared" si="1"/>
        <v>RECEIVE</v>
      </c>
      <c r="Q15" s="898" t="str">
        <f t="shared" si="2"/>
        <v>GBPYC</v>
      </c>
      <c r="R15" s="898"/>
      <c r="S15" s="898" t="str">
        <f t="shared" si="3"/>
        <v>GBPOIS</v>
      </c>
      <c r="T15" s="897" t="str">
        <f t="shared" si="4"/>
        <v>GBP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43224</v>
      </c>
      <c r="AB15" s="901" t="str">
        <f t="shared" si="7"/>
        <v>10Y</v>
      </c>
      <c r="AC15" s="900" t="s">
        <v>2030</v>
      </c>
      <c r="AD15" s="898" t="str">
        <f t="shared" si="8"/>
        <v>ACT/365</v>
      </c>
      <c r="AE15" s="898" t="s">
        <v>38</v>
      </c>
      <c r="AF15" s="898" t="s">
        <v>185</v>
      </c>
      <c r="AG15" s="898" t="s">
        <v>38</v>
      </c>
      <c r="AH15" s="898" t="s">
        <v>185</v>
      </c>
      <c r="AI15" s="898" t="s">
        <v>38</v>
      </c>
      <c r="AJ15" s="898" t="s">
        <v>185</v>
      </c>
      <c r="AK15" s="898"/>
      <c r="AL15" s="898"/>
      <c r="AM15" s="898">
        <f t="shared" ca="1" si="9"/>
        <v>4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1993</v>
      </c>
      <c r="AS15" s="897">
        <f t="shared" si="10"/>
        <v>1000000</v>
      </c>
      <c r="AT15" s="898" t="s">
        <v>1992</v>
      </c>
      <c r="AU15" s="898" t="str">
        <f t="shared" si="11"/>
        <v>PAY</v>
      </c>
      <c r="AV15" s="898" t="str">
        <f t="shared" si="12"/>
        <v>GBPYC</v>
      </c>
      <c r="AW15" s="898" t="str">
        <f t="shared" si="13"/>
        <v>GBPOIS</v>
      </c>
      <c r="AX15" s="898" t="str">
        <f t="shared" si="13"/>
        <v>GBPOIS</v>
      </c>
      <c r="AY15" s="897" t="str">
        <f t="shared" si="14"/>
        <v>GBP</v>
      </c>
      <c r="AZ15" s="898" t="s">
        <v>2078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43224</v>
      </c>
      <c r="BG15" s="901" t="str">
        <f t="shared" si="17"/>
        <v>10Y</v>
      </c>
      <c r="BH15" s="900" t="s">
        <v>2030</v>
      </c>
      <c r="BI15" s="898" t="s">
        <v>3</v>
      </c>
      <c r="BJ15" s="898" t="s">
        <v>38</v>
      </c>
      <c r="BK15" s="898" t="s">
        <v>185</v>
      </c>
      <c r="BL15" s="898" t="s">
        <v>38</v>
      </c>
      <c r="BM15" s="898" t="s">
        <v>185</v>
      </c>
      <c r="BN15" s="898" t="s">
        <v>38</v>
      </c>
      <c r="BO15" s="898" t="s">
        <v>185</v>
      </c>
      <c r="BP15" s="898"/>
      <c r="BQ15" s="898"/>
      <c r="BR15" s="898">
        <f t="shared" ca="1" si="18"/>
        <v>4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GBPOIS10@73:0</v>
      </c>
      <c r="BX15" s="928">
        <f ca="1">IF(OR($D15="",$D15=0),"",_xll.meLWOSwapParRate($BW15,Q15))</f>
        <v>1.230259821569849E-2</v>
      </c>
      <c r="BY15" s="897">
        <f ca="1">IF(OR($D15="",$D15=0),"",_xll.meLWOSwapPV($BW15,Q15))</f>
        <v>-21688.248437021583</v>
      </c>
      <c r="BZ15" s="921">
        <f ca="1">IF(OR($D15="",$D15=0),"",_xll.meLWOSwapPV01($BW15,Q15))</f>
        <v>941.90329381639458</v>
      </c>
      <c r="CA15" t="s">
        <v>12</v>
      </c>
    </row>
    <row r="16" spans="1:79">
      <c r="A16" s="203">
        <v>11</v>
      </c>
      <c r="B16" s="456">
        <f ca="1">IF(OR(D16="",D16=0),"",_xll.meDateFromTenor(COB,C16,$AI16,$AJ16))</f>
        <v>43224</v>
      </c>
      <c r="C16" s="926" t="s">
        <v>356</v>
      </c>
      <c r="D16" s="362">
        <v>1000000</v>
      </c>
      <c r="E16" s="362" t="s">
        <v>187</v>
      </c>
      <c r="F16" s="365" t="s">
        <v>1753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2060</v>
      </c>
      <c r="N16" s="897">
        <f t="shared" si="0"/>
        <v>1000000</v>
      </c>
      <c r="O16" s="898" t="s">
        <v>1992</v>
      </c>
      <c r="P16" s="898" t="str">
        <f t="shared" si="1"/>
        <v>RECEIVE</v>
      </c>
      <c r="Q16" s="898" t="str">
        <f t="shared" si="2"/>
        <v>GBPYC</v>
      </c>
      <c r="R16" s="898"/>
      <c r="S16" s="898" t="str">
        <f t="shared" si="3"/>
        <v>GBPOIS</v>
      </c>
      <c r="T16" s="897" t="str">
        <f t="shared" si="4"/>
        <v>GBP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43224</v>
      </c>
      <c r="AB16" s="901" t="str">
        <f t="shared" si="7"/>
        <v>11Y</v>
      </c>
      <c r="AC16" s="900" t="s">
        <v>2030</v>
      </c>
      <c r="AD16" s="898" t="str">
        <f t="shared" si="8"/>
        <v>ACT/365</v>
      </c>
      <c r="AE16" s="898" t="s">
        <v>38</v>
      </c>
      <c r="AF16" s="898" t="s">
        <v>185</v>
      </c>
      <c r="AG16" s="898" t="s">
        <v>38</v>
      </c>
      <c r="AH16" s="898" t="s">
        <v>185</v>
      </c>
      <c r="AI16" s="898" t="s">
        <v>38</v>
      </c>
      <c r="AJ16" s="898" t="s">
        <v>185</v>
      </c>
      <c r="AK16" s="898"/>
      <c r="AL16" s="898"/>
      <c r="AM16" s="898">
        <f t="shared" ca="1" si="9"/>
        <v>4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1993</v>
      </c>
      <c r="AS16" s="897">
        <f t="shared" si="10"/>
        <v>1000000</v>
      </c>
      <c r="AT16" s="898" t="s">
        <v>1992</v>
      </c>
      <c r="AU16" s="898" t="str">
        <f t="shared" si="11"/>
        <v>PAY</v>
      </c>
      <c r="AV16" s="898" t="str">
        <f t="shared" si="12"/>
        <v>GBPYC</v>
      </c>
      <c r="AW16" s="898" t="str">
        <f t="shared" si="13"/>
        <v>GBPOIS</v>
      </c>
      <c r="AX16" s="898" t="str">
        <f t="shared" si="13"/>
        <v>GBPOIS</v>
      </c>
      <c r="AY16" s="897" t="str">
        <f t="shared" si="14"/>
        <v>GBP</v>
      </c>
      <c r="AZ16" s="898" t="s">
        <v>2078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43224</v>
      </c>
      <c r="BG16" s="901" t="str">
        <f t="shared" si="17"/>
        <v>11Y</v>
      </c>
      <c r="BH16" s="900" t="s">
        <v>2030</v>
      </c>
      <c r="BI16" s="898" t="s">
        <v>3</v>
      </c>
      <c r="BJ16" s="898" t="s">
        <v>38</v>
      </c>
      <c r="BK16" s="898" t="s">
        <v>185</v>
      </c>
      <c r="BL16" s="898" t="s">
        <v>38</v>
      </c>
      <c r="BM16" s="898" t="s">
        <v>185</v>
      </c>
      <c r="BN16" s="898" t="s">
        <v>38</v>
      </c>
      <c r="BO16" s="898" t="s">
        <v>185</v>
      </c>
      <c r="BP16" s="898"/>
      <c r="BQ16" s="898"/>
      <c r="BR16" s="898">
        <f t="shared" ca="1" si="18"/>
        <v>4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GBPOIS11@30:0</v>
      </c>
      <c r="BX16" s="928">
        <f ca="1">IF(OR($D16="",$D16=0),"",_xll.meLWOSwapParRate($BW16,Q16))</f>
        <v>1.2536772612112787E-2</v>
      </c>
      <c r="BY16" s="897">
        <f ca="1">IF(OR($D16="",$D16=0),"",_xll.meLWOSwapPV($BW16,Q16))</f>
        <v>-26101.347640089967</v>
      </c>
      <c r="BZ16" s="921">
        <f ca="1">IF(OR($D16="",$D16=0),"",_xll.meLWOSwapPV01($BW16,Q16))</f>
        <v>1028.9194827892402</v>
      </c>
      <c r="CA16" t="s">
        <v>12</v>
      </c>
    </row>
    <row r="17" spans="1:79">
      <c r="A17" s="203">
        <v>12</v>
      </c>
      <c r="B17" s="456">
        <f ca="1">IF(OR(D17="",D17=0),"",_xll.meDateFromTenor(COB,C17,$AI17,$AJ17))</f>
        <v>43224</v>
      </c>
      <c r="C17" s="926" t="s">
        <v>356</v>
      </c>
      <c r="D17" s="362">
        <v>1000000</v>
      </c>
      <c r="E17" s="362" t="s">
        <v>187</v>
      </c>
      <c r="F17" s="365" t="s">
        <v>1753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2060</v>
      </c>
      <c r="N17" s="897">
        <f t="shared" si="0"/>
        <v>1000000</v>
      </c>
      <c r="O17" s="898" t="s">
        <v>1992</v>
      </c>
      <c r="P17" s="898" t="str">
        <f t="shared" si="1"/>
        <v>RECEIVE</v>
      </c>
      <c r="Q17" s="898" t="str">
        <f t="shared" si="2"/>
        <v>GBPYC</v>
      </c>
      <c r="R17" s="898"/>
      <c r="S17" s="898" t="str">
        <f t="shared" si="3"/>
        <v>GBPOIS</v>
      </c>
      <c r="T17" s="897" t="str">
        <f t="shared" si="4"/>
        <v>GBP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43224</v>
      </c>
      <c r="AB17" s="901" t="str">
        <f t="shared" si="7"/>
        <v>12Y</v>
      </c>
      <c r="AC17" s="900" t="s">
        <v>2030</v>
      </c>
      <c r="AD17" s="898" t="str">
        <f t="shared" si="8"/>
        <v>ACT/365</v>
      </c>
      <c r="AE17" s="898" t="s">
        <v>38</v>
      </c>
      <c r="AF17" s="898" t="s">
        <v>185</v>
      </c>
      <c r="AG17" s="898" t="s">
        <v>38</v>
      </c>
      <c r="AH17" s="898" t="s">
        <v>185</v>
      </c>
      <c r="AI17" s="898" t="s">
        <v>38</v>
      </c>
      <c r="AJ17" s="898" t="s">
        <v>185</v>
      </c>
      <c r="AK17" s="898"/>
      <c r="AL17" s="898"/>
      <c r="AM17" s="898">
        <f t="shared" ca="1" si="9"/>
        <v>4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1993</v>
      </c>
      <c r="AS17" s="897">
        <f t="shared" si="10"/>
        <v>1000000</v>
      </c>
      <c r="AT17" s="898" t="s">
        <v>1992</v>
      </c>
      <c r="AU17" s="898" t="str">
        <f t="shared" si="11"/>
        <v>PAY</v>
      </c>
      <c r="AV17" s="898" t="str">
        <f t="shared" si="12"/>
        <v>GBPYC</v>
      </c>
      <c r="AW17" s="898" t="str">
        <f t="shared" si="13"/>
        <v>GBPOIS</v>
      </c>
      <c r="AX17" s="898" t="str">
        <f t="shared" si="13"/>
        <v>GBPOIS</v>
      </c>
      <c r="AY17" s="897" t="str">
        <f t="shared" si="14"/>
        <v>GBP</v>
      </c>
      <c r="AZ17" s="898" t="s">
        <v>2078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43224</v>
      </c>
      <c r="BG17" s="901" t="str">
        <f t="shared" si="17"/>
        <v>12Y</v>
      </c>
      <c r="BH17" s="900" t="s">
        <v>2030</v>
      </c>
      <c r="BI17" s="898" t="s">
        <v>3</v>
      </c>
      <c r="BJ17" s="898" t="s">
        <v>38</v>
      </c>
      <c r="BK17" s="898" t="s">
        <v>185</v>
      </c>
      <c r="BL17" s="898" t="s">
        <v>38</v>
      </c>
      <c r="BM17" s="898" t="s">
        <v>185</v>
      </c>
      <c r="BN17" s="898" t="s">
        <v>38</v>
      </c>
      <c r="BO17" s="898" t="s">
        <v>185</v>
      </c>
      <c r="BP17" s="898"/>
      <c r="BQ17" s="898"/>
      <c r="BR17" s="898">
        <f t="shared" ca="1" si="18"/>
        <v>4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GBPOIS12@116:0</v>
      </c>
      <c r="BX17" s="928">
        <f ca="1">IF(OR($D17="",$D17=0),"",_xll.meLWOSwapParRate($BW17,Q17))</f>
        <v>1.2723816193769909E-2</v>
      </c>
      <c r="BY17" s="897">
        <f ca="1">IF(OR($D17="",$D17=0),"",_xll.meLWOSwapPV($BW17,Q17))</f>
        <v>-30379.768201258325</v>
      </c>
      <c r="BZ17" s="921">
        <f ca="1">IF(OR($D17="",$D17=0),"",_xll.meLWOSwapPV01($BW17,Q17))</f>
        <v>1115.3384090580328</v>
      </c>
      <c r="CA17" t="s">
        <v>12</v>
      </c>
    </row>
    <row r="18" spans="1:79">
      <c r="A18" s="203">
        <v>13</v>
      </c>
      <c r="B18" s="456">
        <f ca="1">IF(OR(D18="",D18=0),"",_xll.meDateFromTenor(COB,C18,$AI18,$AJ18))</f>
        <v>43224</v>
      </c>
      <c r="C18" s="926" t="s">
        <v>356</v>
      </c>
      <c r="D18" s="362">
        <v>1000000</v>
      </c>
      <c r="E18" s="362" t="s">
        <v>187</v>
      </c>
      <c r="F18" s="365" t="s">
        <v>1753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2060</v>
      </c>
      <c r="N18" s="897">
        <f t="shared" si="0"/>
        <v>1000000</v>
      </c>
      <c r="O18" s="898" t="s">
        <v>1992</v>
      </c>
      <c r="P18" s="898" t="str">
        <f t="shared" si="1"/>
        <v>RECEIVE</v>
      </c>
      <c r="Q18" s="898" t="str">
        <f t="shared" si="2"/>
        <v>GBPYC</v>
      </c>
      <c r="R18" s="898"/>
      <c r="S18" s="898" t="str">
        <f t="shared" si="3"/>
        <v>GBPOIS</v>
      </c>
      <c r="T18" s="897" t="str">
        <f t="shared" si="4"/>
        <v>GBP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43224</v>
      </c>
      <c r="AB18" s="901" t="str">
        <f t="shared" si="7"/>
        <v>15Y</v>
      </c>
      <c r="AC18" s="900" t="s">
        <v>2030</v>
      </c>
      <c r="AD18" s="898" t="str">
        <f t="shared" si="8"/>
        <v>ACT/365</v>
      </c>
      <c r="AE18" s="898" t="s">
        <v>38</v>
      </c>
      <c r="AF18" s="898" t="s">
        <v>185</v>
      </c>
      <c r="AG18" s="898" t="s">
        <v>38</v>
      </c>
      <c r="AH18" s="898" t="s">
        <v>185</v>
      </c>
      <c r="AI18" s="898" t="s">
        <v>38</v>
      </c>
      <c r="AJ18" s="898" t="s">
        <v>185</v>
      </c>
      <c r="AK18" s="898"/>
      <c r="AL18" s="898"/>
      <c r="AM18" s="898">
        <f t="shared" ca="1" si="9"/>
        <v>4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1993</v>
      </c>
      <c r="AS18" s="897">
        <f t="shared" si="10"/>
        <v>1000000</v>
      </c>
      <c r="AT18" s="898" t="s">
        <v>1992</v>
      </c>
      <c r="AU18" s="898" t="str">
        <f t="shared" si="11"/>
        <v>PAY</v>
      </c>
      <c r="AV18" s="898" t="str">
        <f t="shared" si="12"/>
        <v>GBPYC</v>
      </c>
      <c r="AW18" s="898" t="str">
        <f t="shared" si="13"/>
        <v>GBPOIS</v>
      </c>
      <c r="AX18" s="898" t="str">
        <f t="shared" si="13"/>
        <v>GBPOIS</v>
      </c>
      <c r="AY18" s="897" t="str">
        <f t="shared" si="14"/>
        <v>GBP</v>
      </c>
      <c r="AZ18" s="898" t="s">
        <v>2078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43224</v>
      </c>
      <c r="BG18" s="901" t="str">
        <f t="shared" si="17"/>
        <v>15Y</v>
      </c>
      <c r="BH18" s="900" t="s">
        <v>2030</v>
      </c>
      <c r="BI18" s="898" t="s">
        <v>3</v>
      </c>
      <c r="BJ18" s="898" t="s">
        <v>38</v>
      </c>
      <c r="BK18" s="898" t="s">
        <v>185</v>
      </c>
      <c r="BL18" s="898" t="s">
        <v>38</v>
      </c>
      <c r="BM18" s="898" t="s">
        <v>185</v>
      </c>
      <c r="BN18" s="898" t="s">
        <v>38</v>
      </c>
      <c r="BO18" s="898" t="s">
        <v>185</v>
      </c>
      <c r="BP18" s="898"/>
      <c r="BQ18" s="898"/>
      <c r="BR18" s="898">
        <f t="shared" ca="1" si="18"/>
        <v>4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GBPOIS13@140:0</v>
      </c>
      <c r="BX18" s="928">
        <f ca="1">IF(OR($D18="",$D18=0),"",_xll.meLWOSwapParRate($BW18,Q18))</f>
        <v>1.3149046078496072E-2</v>
      </c>
      <c r="BY18" s="897">
        <f ca="1">IF(OR($D18="",$D18=0),"",_xll.meLWOSwapPV($BW18,Q18))</f>
        <v>-42966.239431380673</v>
      </c>
      <c r="BZ18" s="921">
        <f ca="1">IF(OR($D18="",$D18=0),"",_xll.meLWOSwapPV01($BW18,Q18))</f>
        <v>1364.420791578274</v>
      </c>
      <c r="CA18" t="s">
        <v>12</v>
      </c>
    </row>
    <row r="19" spans="1:79">
      <c r="A19" s="203">
        <v>14</v>
      </c>
      <c r="B19" s="456">
        <f ca="1">IF(OR(D19="",D19=0),"",_xll.meDateFromTenor(COB,C19,$AI19,$AJ19))</f>
        <v>43224</v>
      </c>
      <c r="C19" s="926" t="s">
        <v>356</v>
      </c>
      <c r="D19" s="362">
        <v>1000000</v>
      </c>
      <c r="E19" s="362" t="s">
        <v>187</v>
      </c>
      <c r="F19" s="365" t="s">
        <v>1753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2060</v>
      </c>
      <c r="N19" s="897">
        <f t="shared" si="0"/>
        <v>1000000</v>
      </c>
      <c r="O19" s="898" t="s">
        <v>1992</v>
      </c>
      <c r="P19" s="898" t="str">
        <f t="shared" si="1"/>
        <v>RECEIVE</v>
      </c>
      <c r="Q19" s="898" t="str">
        <f t="shared" si="2"/>
        <v>GBPYC</v>
      </c>
      <c r="R19" s="898"/>
      <c r="S19" s="898" t="str">
        <f t="shared" si="3"/>
        <v>GBPOIS</v>
      </c>
      <c r="T19" s="897" t="str">
        <f t="shared" si="4"/>
        <v>GBP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43224</v>
      </c>
      <c r="AB19" s="901" t="str">
        <f t="shared" si="7"/>
        <v>20Y</v>
      </c>
      <c r="AC19" s="900" t="s">
        <v>2030</v>
      </c>
      <c r="AD19" s="898" t="str">
        <f t="shared" si="8"/>
        <v>ACT/365</v>
      </c>
      <c r="AE19" s="898" t="s">
        <v>38</v>
      </c>
      <c r="AF19" s="898" t="s">
        <v>185</v>
      </c>
      <c r="AG19" s="898" t="s">
        <v>38</v>
      </c>
      <c r="AH19" s="898" t="s">
        <v>185</v>
      </c>
      <c r="AI19" s="898" t="s">
        <v>38</v>
      </c>
      <c r="AJ19" s="898" t="s">
        <v>185</v>
      </c>
      <c r="AK19" s="898"/>
      <c r="AL19" s="898"/>
      <c r="AM19" s="898">
        <f t="shared" ca="1" si="9"/>
        <v>4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1993</v>
      </c>
      <c r="AS19" s="897">
        <f t="shared" si="10"/>
        <v>1000000</v>
      </c>
      <c r="AT19" s="898" t="s">
        <v>1992</v>
      </c>
      <c r="AU19" s="898" t="str">
        <f t="shared" si="11"/>
        <v>PAY</v>
      </c>
      <c r="AV19" s="898" t="str">
        <f t="shared" si="12"/>
        <v>GBPYC</v>
      </c>
      <c r="AW19" s="898" t="str">
        <f t="shared" si="13"/>
        <v>GBPOIS</v>
      </c>
      <c r="AX19" s="898" t="str">
        <f t="shared" si="13"/>
        <v>GBPOIS</v>
      </c>
      <c r="AY19" s="897" t="str">
        <f t="shared" si="14"/>
        <v>GBP</v>
      </c>
      <c r="AZ19" s="898" t="s">
        <v>2078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43224</v>
      </c>
      <c r="BG19" s="901" t="str">
        <f t="shared" si="17"/>
        <v>20Y</v>
      </c>
      <c r="BH19" s="900" t="s">
        <v>2030</v>
      </c>
      <c r="BI19" s="898" t="s">
        <v>3</v>
      </c>
      <c r="BJ19" s="898" t="s">
        <v>38</v>
      </c>
      <c r="BK19" s="898" t="s">
        <v>185</v>
      </c>
      <c r="BL19" s="898" t="s">
        <v>38</v>
      </c>
      <c r="BM19" s="898" t="s">
        <v>185</v>
      </c>
      <c r="BN19" s="898" t="s">
        <v>38</v>
      </c>
      <c r="BO19" s="898" t="s">
        <v>185</v>
      </c>
      <c r="BP19" s="898"/>
      <c r="BQ19" s="898"/>
      <c r="BR19" s="898">
        <f t="shared" ca="1" si="18"/>
        <v>4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GBPOIS14@38:0</v>
      </c>
      <c r="BX19" s="928">
        <f ca="1">IF(OR($D19="",$D19=0),"",_xll.meLWOSwapParRate($BW19,Q19))</f>
        <v>1.3289275510062218E-2</v>
      </c>
      <c r="BY19" s="897">
        <f ca="1">IF(OR($D19="",$D19=0),"",_xll.meLWOSwapPV($BW19,Q19))</f>
        <v>-57809.340580310789</v>
      </c>
      <c r="BZ19" s="921">
        <f ca="1">IF(OR($D19="",$D19=0),"",_xll.meLWOSwapPV01($BW19,Q19))</f>
        <v>1757.5098347178985</v>
      </c>
      <c r="CA19" t="s">
        <v>12</v>
      </c>
    </row>
    <row r="20" spans="1:79">
      <c r="A20" s="203">
        <v>15</v>
      </c>
      <c r="B20" s="456">
        <f ca="1">IF(OR(D20="",D20=0),"",_xll.meDateFromTenor(COB,C20,$AI20,$AJ20))</f>
        <v>43224</v>
      </c>
      <c r="C20" s="926" t="s">
        <v>356</v>
      </c>
      <c r="D20" s="362">
        <v>1000000</v>
      </c>
      <c r="E20" s="362" t="s">
        <v>187</v>
      </c>
      <c r="F20" s="365" t="s">
        <v>1753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2060</v>
      </c>
      <c r="N20" s="897">
        <f t="shared" si="0"/>
        <v>1000000</v>
      </c>
      <c r="O20" s="898" t="s">
        <v>1992</v>
      </c>
      <c r="P20" s="898" t="str">
        <f t="shared" si="1"/>
        <v>RECEIVE</v>
      </c>
      <c r="Q20" s="898" t="str">
        <f t="shared" si="2"/>
        <v>GBPYC</v>
      </c>
      <c r="R20" s="898"/>
      <c r="S20" s="898" t="str">
        <f t="shared" si="3"/>
        <v>GBPOIS</v>
      </c>
      <c r="T20" s="897" t="str">
        <f t="shared" si="4"/>
        <v>GBP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43224</v>
      </c>
      <c r="AB20" s="901" t="str">
        <f t="shared" si="7"/>
        <v>25Y</v>
      </c>
      <c r="AC20" s="900" t="s">
        <v>2030</v>
      </c>
      <c r="AD20" s="898" t="str">
        <f t="shared" si="8"/>
        <v>ACT/365</v>
      </c>
      <c r="AE20" s="898" t="s">
        <v>38</v>
      </c>
      <c r="AF20" s="898" t="s">
        <v>185</v>
      </c>
      <c r="AG20" s="898" t="s">
        <v>38</v>
      </c>
      <c r="AH20" s="898" t="s">
        <v>185</v>
      </c>
      <c r="AI20" s="898" t="s">
        <v>38</v>
      </c>
      <c r="AJ20" s="898" t="s">
        <v>185</v>
      </c>
      <c r="AK20" s="898"/>
      <c r="AL20" s="898"/>
      <c r="AM20" s="898">
        <f t="shared" ca="1" si="9"/>
        <v>4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1993</v>
      </c>
      <c r="AS20" s="897">
        <f t="shared" si="10"/>
        <v>1000000</v>
      </c>
      <c r="AT20" s="898" t="s">
        <v>1992</v>
      </c>
      <c r="AU20" s="898" t="str">
        <f t="shared" si="11"/>
        <v>PAY</v>
      </c>
      <c r="AV20" s="898" t="str">
        <f t="shared" si="12"/>
        <v>GBPYC</v>
      </c>
      <c r="AW20" s="898" t="str">
        <f t="shared" si="13"/>
        <v>GBPOIS</v>
      </c>
      <c r="AX20" s="898" t="str">
        <f t="shared" si="13"/>
        <v>GBPOIS</v>
      </c>
      <c r="AY20" s="897" t="str">
        <f t="shared" si="14"/>
        <v>GBP</v>
      </c>
      <c r="AZ20" s="898" t="s">
        <v>2078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43224</v>
      </c>
      <c r="BG20" s="901" t="str">
        <f t="shared" si="17"/>
        <v>25Y</v>
      </c>
      <c r="BH20" s="900" t="s">
        <v>2030</v>
      </c>
      <c r="BI20" s="898" t="s">
        <v>3</v>
      </c>
      <c r="BJ20" s="898" t="s">
        <v>38</v>
      </c>
      <c r="BK20" s="898" t="s">
        <v>185</v>
      </c>
      <c r="BL20" s="898" t="s">
        <v>38</v>
      </c>
      <c r="BM20" s="898" t="s">
        <v>185</v>
      </c>
      <c r="BN20" s="898" t="s">
        <v>38</v>
      </c>
      <c r="BO20" s="898" t="s">
        <v>185</v>
      </c>
      <c r="BP20" s="898"/>
      <c r="BQ20" s="898"/>
      <c r="BR20" s="898">
        <f t="shared" ca="1" si="18"/>
        <v>4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GBPOIS15@99:0</v>
      </c>
      <c r="BX20" s="928">
        <f ca="1">IF(OR($D20="",$D20=0),"",_xll.meLWOSwapParRate($BW20,Q20))</f>
        <v>1.3155409281356197E-2</v>
      </c>
      <c r="BY20" s="897">
        <f ca="1">IF(OR($D20="",$D20=0),"",_xll.meLWOSwapPV($BW20,Q20))</f>
        <v>-67088.967063498392</v>
      </c>
      <c r="BZ20" s="921">
        <f ca="1">IF(OR($D20="",$D20=0),"",_xll.meLWOSwapPV01($BW20,Q20))</f>
        <v>2126.1573723540405</v>
      </c>
      <c r="CA20" t="s">
        <v>12</v>
      </c>
    </row>
    <row r="21" spans="1:79">
      <c r="A21" s="203">
        <v>16</v>
      </c>
      <c r="B21" s="456">
        <f ca="1">IF(OR(D21="",D21=0),"",_xll.meDateFromTenor(COB,C21,$AI21,$AJ21))</f>
        <v>43224</v>
      </c>
      <c r="C21" s="926" t="s">
        <v>356</v>
      </c>
      <c r="D21" s="362">
        <v>1000000</v>
      </c>
      <c r="E21" s="362" t="s">
        <v>187</v>
      </c>
      <c r="F21" s="365" t="s">
        <v>1753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2060</v>
      </c>
      <c r="N21" s="897">
        <f t="shared" si="0"/>
        <v>1000000</v>
      </c>
      <c r="O21" s="898" t="s">
        <v>1992</v>
      </c>
      <c r="P21" s="898" t="str">
        <f t="shared" si="1"/>
        <v>RECEIVE</v>
      </c>
      <c r="Q21" s="898" t="str">
        <f t="shared" si="2"/>
        <v>GBPYC</v>
      </c>
      <c r="R21" s="898"/>
      <c r="S21" s="898" t="str">
        <f t="shared" si="3"/>
        <v>GBPOIS</v>
      </c>
      <c r="T21" s="897" t="str">
        <f t="shared" si="4"/>
        <v>GBP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43224</v>
      </c>
      <c r="AB21" s="901" t="str">
        <f t="shared" si="7"/>
        <v>30Y</v>
      </c>
      <c r="AC21" s="900" t="s">
        <v>2030</v>
      </c>
      <c r="AD21" s="898" t="str">
        <f t="shared" si="8"/>
        <v>ACT/365</v>
      </c>
      <c r="AE21" s="898" t="s">
        <v>38</v>
      </c>
      <c r="AF21" s="898" t="s">
        <v>185</v>
      </c>
      <c r="AG21" s="898" t="s">
        <v>38</v>
      </c>
      <c r="AH21" s="898" t="s">
        <v>185</v>
      </c>
      <c r="AI21" s="898" t="s">
        <v>38</v>
      </c>
      <c r="AJ21" s="898" t="s">
        <v>185</v>
      </c>
      <c r="AK21" s="898"/>
      <c r="AL21" s="898"/>
      <c r="AM21" s="898">
        <f t="shared" ca="1" si="9"/>
        <v>4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1993</v>
      </c>
      <c r="AS21" s="897">
        <f t="shared" si="10"/>
        <v>1000000</v>
      </c>
      <c r="AT21" s="898" t="s">
        <v>1992</v>
      </c>
      <c r="AU21" s="898" t="str">
        <f t="shared" si="11"/>
        <v>PAY</v>
      </c>
      <c r="AV21" s="898" t="str">
        <f t="shared" si="12"/>
        <v>GBPYC</v>
      </c>
      <c r="AW21" s="898" t="str">
        <f t="shared" si="13"/>
        <v>GBPOIS</v>
      </c>
      <c r="AX21" s="898" t="str">
        <f t="shared" si="13"/>
        <v>GBPOIS</v>
      </c>
      <c r="AY21" s="897" t="str">
        <f t="shared" si="14"/>
        <v>GBP</v>
      </c>
      <c r="AZ21" s="898" t="s">
        <v>2078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43224</v>
      </c>
      <c r="BG21" s="901" t="str">
        <f t="shared" si="17"/>
        <v>30Y</v>
      </c>
      <c r="BH21" s="900" t="s">
        <v>2030</v>
      </c>
      <c r="BI21" s="898" t="s">
        <v>3</v>
      </c>
      <c r="BJ21" s="898" t="s">
        <v>38</v>
      </c>
      <c r="BK21" s="898" t="s">
        <v>185</v>
      </c>
      <c r="BL21" s="898" t="s">
        <v>38</v>
      </c>
      <c r="BM21" s="898" t="s">
        <v>185</v>
      </c>
      <c r="BN21" s="898" t="s">
        <v>38</v>
      </c>
      <c r="BO21" s="898" t="s">
        <v>185</v>
      </c>
      <c r="BP21" s="898"/>
      <c r="BQ21" s="898"/>
      <c r="BR21" s="898">
        <f t="shared" ca="1" si="18"/>
        <v>4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GBPOIS16@152:0</v>
      </c>
      <c r="BX21" s="928">
        <f ca="1">IF(OR($D21="",$D21=0),"",_xll.meLWOSwapParRate($BW21,Q21))</f>
        <v>1.2929501047666237E-2</v>
      </c>
      <c r="BY21" s="897">
        <f ca="1">IF(OR($D21="",$D21=0),"",_xll.meLWOSwapPV($BW21,Q21))</f>
        <v>-72457.84834039447</v>
      </c>
      <c r="BZ21" s="921">
        <f ca="1">IF(OR($D21="",$D21=0),"",_xll.meLWOSwapPV01($BW21,Q21))</f>
        <v>2473.3853021871255</v>
      </c>
      <c r="CA21" t="s">
        <v>12</v>
      </c>
    </row>
    <row r="22" spans="1:79">
      <c r="A22" s="203">
        <v>17</v>
      </c>
      <c r="B22" s="456">
        <f ca="1">IF(OR(D22="",D22=0),"",_xll.meDateFromTenor(COB,C22,$AI22,$AJ22))</f>
        <v>43224</v>
      </c>
      <c r="C22" s="926" t="s">
        <v>356</v>
      </c>
      <c r="D22" s="362">
        <v>1000000</v>
      </c>
      <c r="E22" s="362" t="s">
        <v>187</v>
      </c>
      <c r="F22" s="365" t="s">
        <v>1753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2060</v>
      </c>
      <c r="N22" s="897">
        <f t="shared" si="0"/>
        <v>1000000</v>
      </c>
      <c r="O22" s="898" t="s">
        <v>1992</v>
      </c>
      <c r="P22" s="898" t="str">
        <f t="shared" si="1"/>
        <v>RECEIVE</v>
      </c>
      <c r="Q22" s="898" t="str">
        <f t="shared" si="2"/>
        <v>GBPYC</v>
      </c>
      <c r="R22" s="898"/>
      <c r="S22" s="898" t="str">
        <f t="shared" si="3"/>
        <v>GBPOIS</v>
      </c>
      <c r="T22" s="897" t="str">
        <f t="shared" si="4"/>
        <v>GBP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43224</v>
      </c>
      <c r="AB22" s="901" t="str">
        <f t="shared" si="7"/>
        <v>40Y</v>
      </c>
      <c r="AC22" s="900" t="s">
        <v>2030</v>
      </c>
      <c r="AD22" s="898" t="str">
        <f t="shared" si="8"/>
        <v>ACT/365</v>
      </c>
      <c r="AE22" s="898" t="s">
        <v>38</v>
      </c>
      <c r="AF22" s="898" t="s">
        <v>185</v>
      </c>
      <c r="AG22" s="898" t="s">
        <v>38</v>
      </c>
      <c r="AH22" s="898" t="s">
        <v>185</v>
      </c>
      <c r="AI22" s="898" t="s">
        <v>38</v>
      </c>
      <c r="AJ22" s="898" t="s">
        <v>185</v>
      </c>
      <c r="AK22" s="898"/>
      <c r="AL22" s="898"/>
      <c r="AM22" s="898">
        <f t="shared" ca="1" si="9"/>
        <v>4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1993</v>
      </c>
      <c r="AS22" s="897">
        <f t="shared" si="10"/>
        <v>1000000</v>
      </c>
      <c r="AT22" s="898" t="s">
        <v>1992</v>
      </c>
      <c r="AU22" s="898" t="str">
        <f t="shared" si="11"/>
        <v>PAY</v>
      </c>
      <c r="AV22" s="898" t="str">
        <f t="shared" si="12"/>
        <v>GBPYC</v>
      </c>
      <c r="AW22" s="898" t="str">
        <f t="shared" si="13"/>
        <v>GBPOIS</v>
      </c>
      <c r="AX22" s="898" t="str">
        <f t="shared" si="13"/>
        <v>GBPOIS</v>
      </c>
      <c r="AY22" s="897" t="str">
        <f t="shared" si="14"/>
        <v>GBP</v>
      </c>
      <c r="AZ22" s="898" t="s">
        <v>2078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43224</v>
      </c>
      <c r="BG22" s="901" t="str">
        <f t="shared" si="17"/>
        <v>40Y</v>
      </c>
      <c r="BH22" s="900" t="s">
        <v>2030</v>
      </c>
      <c r="BI22" s="898" t="s">
        <v>3</v>
      </c>
      <c r="BJ22" s="898" t="s">
        <v>38</v>
      </c>
      <c r="BK22" s="898" t="s">
        <v>185</v>
      </c>
      <c r="BL22" s="898" t="s">
        <v>38</v>
      </c>
      <c r="BM22" s="898" t="s">
        <v>185</v>
      </c>
      <c r="BN22" s="898" t="s">
        <v>38</v>
      </c>
      <c r="BO22" s="898" t="s">
        <v>185</v>
      </c>
      <c r="BP22" s="898"/>
      <c r="BQ22" s="898"/>
      <c r="BR22" s="898">
        <f t="shared" ca="1" si="18"/>
        <v>4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GBPOIS17@52:0</v>
      </c>
      <c r="BX22" s="928">
        <f ca="1">IF(OR($D22="",$D22=0),"",_xll.meLWOSwapParRate($BW22,Q22))</f>
        <v>1.2249626601069501E-2</v>
      </c>
      <c r="BY22" s="897">
        <f ca="1">IF(OR($D22="",$D22=0),"",_xll.meLWOSwapPV($BW22,Q22))</f>
        <v>-70107.231048803951</v>
      </c>
      <c r="BZ22" s="921">
        <f ca="1">IF(OR($D22="",$D22=0),"",_xll.meLWOSwapPV01($BW22,Q22))</f>
        <v>3116.394116938081</v>
      </c>
      <c r="CA22" t="s">
        <v>12</v>
      </c>
    </row>
    <row r="23" spans="1:79">
      <c r="A23" s="203">
        <v>18</v>
      </c>
      <c r="B23" s="456">
        <f ca="1">IF(OR(D23="",D23=0),"",_xll.meDateFromTenor(COB,C23,$AI23,$AJ23))</f>
        <v>43224</v>
      </c>
      <c r="C23" s="926" t="s">
        <v>356</v>
      </c>
      <c r="D23" s="362">
        <v>1000000</v>
      </c>
      <c r="E23" s="362" t="s">
        <v>187</v>
      </c>
      <c r="F23" s="365" t="s">
        <v>1753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2060</v>
      </c>
      <c r="N23" s="897">
        <f t="shared" si="0"/>
        <v>1000000</v>
      </c>
      <c r="O23" s="898" t="s">
        <v>1992</v>
      </c>
      <c r="P23" s="898" t="str">
        <f t="shared" si="1"/>
        <v>RECEIVE</v>
      </c>
      <c r="Q23" s="898" t="str">
        <f t="shared" si="2"/>
        <v>GBPYC</v>
      </c>
      <c r="R23" s="898"/>
      <c r="S23" s="898" t="str">
        <f t="shared" si="3"/>
        <v>GBPOIS</v>
      </c>
      <c r="T23" s="897" t="str">
        <f t="shared" si="4"/>
        <v>GBP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43224</v>
      </c>
      <c r="AB23" s="901" t="str">
        <f t="shared" si="7"/>
        <v>50Y</v>
      </c>
      <c r="AC23" s="900" t="s">
        <v>2030</v>
      </c>
      <c r="AD23" s="898" t="str">
        <f t="shared" si="8"/>
        <v>ACT/365</v>
      </c>
      <c r="AE23" s="898" t="s">
        <v>38</v>
      </c>
      <c r="AF23" s="898" t="s">
        <v>185</v>
      </c>
      <c r="AG23" s="898" t="s">
        <v>38</v>
      </c>
      <c r="AH23" s="898" t="s">
        <v>185</v>
      </c>
      <c r="AI23" s="898" t="s">
        <v>38</v>
      </c>
      <c r="AJ23" s="898" t="s">
        <v>185</v>
      </c>
      <c r="AK23" s="898"/>
      <c r="AL23" s="898"/>
      <c r="AM23" s="898">
        <f t="shared" ca="1" si="9"/>
        <v>4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1993</v>
      </c>
      <c r="AS23" s="897">
        <f t="shared" si="10"/>
        <v>1000000</v>
      </c>
      <c r="AT23" s="898" t="s">
        <v>1992</v>
      </c>
      <c r="AU23" s="898" t="str">
        <f t="shared" si="11"/>
        <v>PAY</v>
      </c>
      <c r="AV23" s="898" t="str">
        <f t="shared" si="12"/>
        <v>GBPYC</v>
      </c>
      <c r="AW23" s="898" t="str">
        <f t="shared" si="13"/>
        <v>GBPOIS</v>
      </c>
      <c r="AX23" s="898" t="str">
        <f t="shared" si="13"/>
        <v>GBPOIS</v>
      </c>
      <c r="AY23" s="897" t="str">
        <f t="shared" si="14"/>
        <v>GBP</v>
      </c>
      <c r="AZ23" s="898" t="s">
        <v>2078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43224</v>
      </c>
      <c r="BG23" s="901" t="str">
        <f t="shared" si="17"/>
        <v>50Y</v>
      </c>
      <c r="BH23" s="900" t="s">
        <v>2030</v>
      </c>
      <c r="BI23" s="898" t="s">
        <v>3</v>
      </c>
      <c r="BJ23" s="898" t="s">
        <v>38</v>
      </c>
      <c r="BK23" s="898" t="s">
        <v>185</v>
      </c>
      <c r="BL23" s="898" t="s">
        <v>38</v>
      </c>
      <c r="BM23" s="898" t="s">
        <v>185</v>
      </c>
      <c r="BN23" s="898" t="s">
        <v>38</v>
      </c>
      <c r="BO23" s="898" t="s">
        <v>185</v>
      </c>
      <c r="BP23" s="898"/>
      <c r="BQ23" s="898"/>
      <c r="BR23" s="898">
        <f t="shared" ca="1" si="18"/>
        <v>4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GBPOIS18@14:0</v>
      </c>
      <c r="BX23" s="928">
        <f ca="1">IF(OR($D23="",$D23=0),"",_xll.meLWOSwapParRate($BW23,Q23))</f>
        <v>1.1729687348905575E-2</v>
      </c>
      <c r="BY23" s="897">
        <f ca="1">IF(OR($D23="",$D23=0),"",_xll.meLWOSwapPV($BW23,Q23))</f>
        <v>-64044.991453154304</v>
      </c>
      <c r="BZ23" s="921">
        <f ca="1">IF(OR($D23="",$D23=0),"",_xll.meLWOSwapPV01($BW23,Q23))</f>
        <v>3702.691789569807</v>
      </c>
      <c r="CA23" t="s">
        <v>12</v>
      </c>
    </row>
    <row r="24" spans="1:79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2060</v>
      </c>
      <c r="N24" s="897">
        <f t="shared" si="0"/>
        <v>0</v>
      </c>
      <c r="O24" s="898" t="s">
        <v>1992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2030</v>
      </c>
      <c r="AD24" s="898">
        <f t="shared" si="8"/>
        <v>0</v>
      </c>
      <c r="AE24" s="898" t="s">
        <v>38</v>
      </c>
      <c r="AF24" s="898" t="s">
        <v>185</v>
      </c>
      <c r="AG24" s="898" t="s">
        <v>38</v>
      </c>
      <c r="AH24" s="898" t="s">
        <v>185</v>
      </c>
      <c r="AI24" s="898" t="s">
        <v>38</v>
      </c>
      <c r="AJ24" s="898" t="s">
        <v>185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1993</v>
      </c>
      <c r="AS24" s="897">
        <f t="shared" si="10"/>
        <v>0</v>
      </c>
      <c r="AT24" s="898" t="s">
        <v>1992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2078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2030</v>
      </c>
      <c r="BI24" s="898" t="s">
        <v>3</v>
      </c>
      <c r="BJ24" s="898" t="s">
        <v>38</v>
      </c>
      <c r="BK24" s="898" t="s">
        <v>185</v>
      </c>
      <c r="BL24" s="898" t="s">
        <v>38</v>
      </c>
      <c r="BM24" s="898" t="s">
        <v>185</v>
      </c>
      <c r="BN24" s="898" t="s">
        <v>38</v>
      </c>
      <c r="BO24" s="898" t="s">
        <v>185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28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</row>
    <row r="25" spans="1:79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2060</v>
      </c>
      <c r="N25" s="904">
        <f t="shared" si="0"/>
        <v>0</v>
      </c>
      <c r="O25" s="905" t="s">
        <v>1992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2030</v>
      </c>
      <c r="AD25" s="905">
        <f t="shared" si="8"/>
        <v>0</v>
      </c>
      <c r="AE25" s="905" t="s">
        <v>38</v>
      </c>
      <c r="AF25" s="905" t="s">
        <v>185</v>
      </c>
      <c r="AG25" s="905" t="s">
        <v>38</v>
      </c>
      <c r="AH25" s="905" t="s">
        <v>185</v>
      </c>
      <c r="AI25" s="905" t="s">
        <v>38</v>
      </c>
      <c r="AJ25" s="905" t="s">
        <v>185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1993</v>
      </c>
      <c r="AS25" s="904">
        <f t="shared" si="10"/>
        <v>0</v>
      </c>
      <c r="AT25" s="905" t="s">
        <v>1992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2078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2030</v>
      </c>
      <c r="BI25" s="905" t="s">
        <v>3</v>
      </c>
      <c r="BJ25" s="905" t="s">
        <v>38</v>
      </c>
      <c r="BK25" s="905" t="s">
        <v>185</v>
      </c>
      <c r="BL25" s="905" t="s">
        <v>38</v>
      </c>
      <c r="BM25" s="905" t="s">
        <v>185</v>
      </c>
      <c r="BN25" s="905" t="s">
        <v>38</v>
      </c>
      <c r="BO25" s="905" t="s">
        <v>185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2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</row>
    <row r="26" spans="1:79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9" tint="0.39997558519241921"/>
  </sheetPr>
  <dimension ref="A1:CD26"/>
  <sheetViews>
    <sheetView showGridLines="0" workbookViewId="0"/>
  </sheetViews>
  <sheetFormatPr defaultRowHeight="15" outlineLevelCol="1"/>
  <cols>
    <col min="2" max="2" width="18.5703125" customWidth="1"/>
    <col min="3" max="3" width="11.7109375" bestFit="1" customWidth="1"/>
    <col min="4" max="4" width="13.7109375" customWidth="1"/>
    <col min="5" max="5" width="10.7109375" customWidth="1"/>
    <col min="6" max="7" width="14.42578125" customWidth="1"/>
    <col min="8" max="8" width="14.42578125" style="995" customWidth="1"/>
    <col min="9" max="9" width="12.140625" customWidth="1"/>
    <col min="10" max="10" width="16.28515625" customWidth="1"/>
    <col min="11" max="12" width="4.7109375" hidden="1" customWidth="1" outlineLevel="1"/>
    <col min="13" max="30" width="18.5703125" hidden="1" customWidth="1" outlineLevel="1"/>
    <col min="31" max="31" width="39.85546875" hidden="1" customWidth="1" outlineLevel="1"/>
    <col min="32" max="32" width="18.5703125" hidden="1" customWidth="1" outlineLevel="1"/>
    <col min="33" max="33" width="31.85546875" hidden="1" customWidth="1" outlineLevel="1"/>
    <col min="34" max="34" width="18.5703125" hidden="1" customWidth="1" outlineLevel="1"/>
    <col min="35" max="35" width="38.5703125" hidden="1" customWidth="1" outlineLevel="1"/>
    <col min="36" max="42" width="18.5703125" hidden="1" customWidth="1" outlineLevel="1"/>
    <col min="43" max="43" width="9.140625" hidden="1" customWidth="1" outlineLevel="1"/>
    <col min="44" max="61" width="18.5703125" hidden="1" customWidth="1" outlineLevel="1"/>
    <col min="62" max="62" width="39.85546875" hidden="1" customWidth="1" outlineLevel="1"/>
    <col min="63" max="63" width="18.5703125" hidden="1" customWidth="1" outlineLevel="1"/>
    <col min="64" max="64" width="31.85546875" hidden="1" customWidth="1" outlineLevel="1"/>
    <col min="65" max="65" width="18.5703125" hidden="1" customWidth="1" outlineLevel="1"/>
    <col min="66" max="66" width="38.5703125" hidden="1" customWidth="1" outlineLevel="1"/>
    <col min="67" max="73" width="18.5703125" hidden="1" customWidth="1" outlineLevel="1"/>
    <col min="74" max="74" width="9.140625" collapsed="1"/>
    <col min="75" max="75" width="14.42578125" customWidth="1"/>
    <col min="76" max="78" width="12.7109375" customWidth="1"/>
    <col min="81" max="81" width="9.85546875" style="877" bestFit="1" customWidth="1"/>
  </cols>
  <sheetData>
    <row r="1" spans="1:82">
      <c r="BV1" s="424" t="s">
        <v>2108</v>
      </c>
    </row>
    <row r="2" spans="1:82" ht="23.25">
      <c r="B2" s="126" t="s">
        <v>2117</v>
      </c>
      <c r="C2" s="234"/>
      <c r="D2" s="234"/>
      <c r="E2" s="234"/>
      <c r="F2" s="234"/>
      <c r="G2" s="234"/>
      <c r="H2" s="998"/>
      <c r="I2" s="234"/>
      <c r="M2" s="234" t="s">
        <v>2060</v>
      </c>
      <c r="AR2" s="234" t="s">
        <v>1993</v>
      </c>
    </row>
    <row r="3" spans="1:82">
      <c r="B3" s="234"/>
      <c r="C3" s="234"/>
      <c r="D3" s="234"/>
      <c r="E3" s="234"/>
      <c r="F3" s="234"/>
      <c r="G3" s="234"/>
      <c r="H3" s="998"/>
      <c r="I3" s="234"/>
      <c r="M3" s="234"/>
      <c r="AR3" s="234"/>
    </row>
    <row r="4" spans="1:82">
      <c r="B4" s="234"/>
      <c r="C4" s="234"/>
      <c r="D4" s="234"/>
      <c r="E4" s="234"/>
      <c r="F4" s="234"/>
      <c r="G4" s="234"/>
      <c r="H4" s="998"/>
      <c r="I4" s="234"/>
      <c r="M4" s="234"/>
      <c r="AR4" s="234"/>
      <c r="BX4" s="877"/>
      <c r="BY4" s="338" t="str">
        <f t="array" ref="BY4">IF(OR($D4="",$D4=0),"",_xll.meLWOSwapPV($BW4))</f>
        <v/>
      </c>
    </row>
    <row r="5" spans="1:82">
      <c r="A5" t="s">
        <v>12</v>
      </c>
      <c r="B5" s="467" t="s">
        <v>1768</v>
      </c>
      <c r="C5" s="468" t="s">
        <v>1802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1773</v>
      </c>
      <c r="I5" s="468" t="s">
        <v>1772</v>
      </c>
      <c r="J5" s="469" t="s">
        <v>1784</v>
      </c>
      <c r="L5" t="s">
        <v>12</v>
      </c>
      <c r="M5" s="885" t="s">
        <v>2017</v>
      </c>
      <c r="N5" s="886" t="s">
        <v>354</v>
      </c>
      <c r="O5" s="886" t="s">
        <v>2016</v>
      </c>
      <c r="P5" s="886" t="s">
        <v>1803</v>
      </c>
      <c r="Q5" s="886" t="s">
        <v>1770</v>
      </c>
      <c r="R5" s="886" t="s">
        <v>1443</v>
      </c>
      <c r="S5" s="886" t="s">
        <v>1444</v>
      </c>
      <c r="T5" s="886" t="s">
        <v>156</v>
      </c>
      <c r="U5" s="887" t="s">
        <v>2107</v>
      </c>
      <c r="V5" s="886" t="s">
        <v>2015</v>
      </c>
      <c r="W5" s="886" t="s">
        <v>1772</v>
      </c>
      <c r="X5" s="886" t="s">
        <v>2003</v>
      </c>
      <c r="Y5" s="886" t="s">
        <v>2002</v>
      </c>
      <c r="Z5" s="886" t="s">
        <v>1784</v>
      </c>
      <c r="AA5" s="886" t="s">
        <v>1768</v>
      </c>
      <c r="AB5" s="886" t="s">
        <v>1769</v>
      </c>
      <c r="AC5" s="886" t="s">
        <v>1</v>
      </c>
      <c r="AD5" s="886" t="s">
        <v>120</v>
      </c>
      <c r="AE5" s="886" t="s">
        <v>2012</v>
      </c>
      <c r="AF5" s="886" t="s">
        <v>2011</v>
      </c>
      <c r="AG5" s="886" t="s">
        <v>2014</v>
      </c>
      <c r="AH5" s="886" t="s">
        <v>2013</v>
      </c>
      <c r="AI5" s="886" t="s">
        <v>2009</v>
      </c>
      <c r="AJ5" s="886" t="s">
        <v>2008</v>
      </c>
      <c r="AK5" s="886" t="s">
        <v>2005</v>
      </c>
      <c r="AL5" s="886" t="s">
        <v>2004</v>
      </c>
      <c r="AM5" s="886" t="s">
        <v>2006</v>
      </c>
      <c r="AN5" s="886" t="s">
        <v>2010</v>
      </c>
      <c r="AO5" s="886" t="s">
        <v>2007</v>
      </c>
      <c r="AP5" s="888" t="s">
        <v>2001</v>
      </c>
      <c r="AQ5" t="s">
        <v>12</v>
      </c>
      <c r="AR5" s="879" t="s">
        <v>2017</v>
      </c>
      <c r="AS5" s="880" t="s">
        <v>354</v>
      </c>
      <c r="AT5" s="880" t="s">
        <v>2016</v>
      </c>
      <c r="AU5" s="880" t="s">
        <v>1803</v>
      </c>
      <c r="AV5" s="880" t="s">
        <v>1770</v>
      </c>
      <c r="AW5" s="880" t="s">
        <v>1443</v>
      </c>
      <c r="AX5" s="880" t="s">
        <v>1444</v>
      </c>
      <c r="AY5" s="880" t="s">
        <v>156</v>
      </c>
      <c r="AZ5" s="881" t="s">
        <v>2107</v>
      </c>
      <c r="BA5" s="880" t="s">
        <v>2015</v>
      </c>
      <c r="BB5" s="880" t="s">
        <v>1772</v>
      </c>
      <c r="BC5" s="880" t="s">
        <v>2003</v>
      </c>
      <c r="BD5" s="880" t="s">
        <v>2002</v>
      </c>
      <c r="BE5" s="880" t="s">
        <v>1784</v>
      </c>
      <c r="BF5" s="880" t="s">
        <v>1768</v>
      </c>
      <c r="BG5" s="880" t="s">
        <v>1769</v>
      </c>
      <c r="BH5" s="880" t="s">
        <v>1</v>
      </c>
      <c r="BI5" s="880" t="s">
        <v>120</v>
      </c>
      <c r="BJ5" s="880" t="s">
        <v>2012</v>
      </c>
      <c r="BK5" s="880" t="s">
        <v>2011</v>
      </c>
      <c r="BL5" s="880" t="s">
        <v>2014</v>
      </c>
      <c r="BM5" s="880" t="s">
        <v>2013</v>
      </c>
      <c r="BN5" s="880" t="s">
        <v>2009</v>
      </c>
      <c r="BO5" s="880" t="s">
        <v>2008</v>
      </c>
      <c r="BP5" s="880" t="s">
        <v>2005</v>
      </c>
      <c r="BQ5" s="880" t="s">
        <v>2004</v>
      </c>
      <c r="BR5" s="880" t="s">
        <v>2006</v>
      </c>
      <c r="BS5" s="880" t="s">
        <v>2010</v>
      </c>
      <c r="BT5" s="880" t="s">
        <v>2007</v>
      </c>
      <c r="BU5" s="882" t="s">
        <v>2001</v>
      </c>
      <c r="BV5" t="s">
        <v>12</v>
      </c>
      <c r="BW5" s="914" t="s">
        <v>2000</v>
      </c>
      <c r="BX5" s="915" t="s">
        <v>1805</v>
      </c>
      <c r="BY5" s="915" t="s">
        <v>1806</v>
      </c>
      <c r="BZ5" s="916" t="s">
        <v>1077</v>
      </c>
      <c r="CA5" t="s">
        <v>12</v>
      </c>
    </row>
    <row r="6" spans="1:82">
      <c r="A6" s="203">
        <v>1</v>
      </c>
      <c r="B6" s="455">
        <f ca="1">IF(OR(D6="",D6=0),"",_xll.meDateFromTenor(COB,C6,$AI6,$AJ6))</f>
        <v>43228</v>
      </c>
      <c r="C6" s="400" t="s">
        <v>361</v>
      </c>
      <c r="D6" s="361">
        <v>1000000</v>
      </c>
      <c r="E6" s="361" t="s">
        <v>188</v>
      </c>
      <c r="F6" s="342" t="s">
        <v>1753</v>
      </c>
      <c r="G6" s="346" t="s">
        <v>154</v>
      </c>
      <c r="H6" s="1116" t="s">
        <v>186</v>
      </c>
      <c r="I6" s="344">
        <v>0.01</v>
      </c>
      <c r="J6" s="883">
        <v>0</v>
      </c>
      <c r="L6" s="203">
        <v>1</v>
      </c>
      <c r="M6" s="889" t="s">
        <v>2060</v>
      </c>
      <c r="N6" s="890">
        <f t="shared" ref="N6:N25" si="0">$D6</f>
        <v>1000000</v>
      </c>
      <c r="O6" s="891" t="s">
        <v>1992</v>
      </c>
      <c r="P6" s="891" t="str">
        <f t="shared" ref="P6:P25" si="1">IF($F6="PAYER","PAY","RECEIVE")</f>
        <v>RECEIVE</v>
      </c>
      <c r="Q6" s="891" t="str">
        <f t="shared" ref="Q6:Q25" si="2">$E6&amp;"YC"</f>
        <v>JPYYC</v>
      </c>
      <c r="R6" s="891"/>
      <c r="S6" s="891" t="str">
        <f t="shared" ref="S6:S25" si="3">$E6&amp;"OIS"</f>
        <v>JPYOIS</v>
      </c>
      <c r="T6" s="890" t="str">
        <f t="shared" ref="T6:T25" si="4">$E6</f>
        <v>JPY</v>
      </c>
      <c r="U6" s="891"/>
      <c r="V6" s="892">
        <v>1</v>
      </c>
      <c r="W6" s="893">
        <f t="shared" ref="W6:W25" si="5">$I6</f>
        <v>0.01</v>
      </c>
      <c r="X6" s="891"/>
      <c r="Y6" s="891"/>
      <c r="Z6" s="891"/>
      <c r="AA6" s="894">
        <f t="shared" ref="AA6:AA25" ca="1" si="6">$B6</f>
        <v>43228</v>
      </c>
      <c r="AB6" s="894" t="str">
        <f t="shared" ref="AB6:AB25" si="7">$G6</f>
        <v>1Y</v>
      </c>
      <c r="AC6" s="893" t="s">
        <v>2030</v>
      </c>
      <c r="AD6" s="891" t="str">
        <f t="shared" ref="AD6:AD25" si="8">$H6</f>
        <v>ACT/365</v>
      </c>
      <c r="AE6" s="891" t="s">
        <v>38</v>
      </c>
      <c r="AF6" s="891" t="s">
        <v>200</v>
      </c>
      <c r="AG6" s="891" t="s">
        <v>38</v>
      </c>
      <c r="AH6" s="891" t="s">
        <v>200</v>
      </c>
      <c r="AI6" s="891" t="s">
        <v>38</v>
      </c>
      <c r="AJ6" s="891" t="s">
        <v>200</v>
      </c>
      <c r="AK6" s="891"/>
      <c r="AL6" s="891"/>
      <c r="AM6" s="891">
        <f t="shared" ref="AM6:AM25" ca="1" si="9">DAY($B6)</f>
        <v>8</v>
      </c>
      <c r="AN6" s="891" t="s">
        <v>356</v>
      </c>
      <c r="AO6" s="891" t="s">
        <v>356</v>
      </c>
      <c r="AP6" s="895" t="s">
        <v>358</v>
      </c>
      <c r="AQ6" s="203">
        <v>1</v>
      </c>
      <c r="AR6" s="889" t="s">
        <v>1993</v>
      </c>
      <c r="AS6" s="890">
        <f t="shared" ref="AS6:AS25" si="10">$D6</f>
        <v>1000000</v>
      </c>
      <c r="AT6" s="891" t="s">
        <v>1992</v>
      </c>
      <c r="AU6" s="891" t="str">
        <f t="shared" ref="AU6:AU25" si="11">IF($F6="PAYER","RECEIVE","PAY")</f>
        <v>PAY</v>
      </c>
      <c r="AV6" s="891" t="str">
        <f t="shared" ref="AV6:AV25" si="12">$E6&amp;"YC"</f>
        <v>JPYYC</v>
      </c>
      <c r="AW6" s="891" t="str">
        <f t="shared" ref="AW6:AX25" si="13">$E6&amp;"OIS"</f>
        <v>JPYOIS</v>
      </c>
      <c r="AX6" s="891" t="str">
        <f t="shared" si="13"/>
        <v>JPYOIS</v>
      </c>
      <c r="AY6" s="890" t="str">
        <f t="shared" ref="AY6:AY25" si="14">$E6</f>
        <v>JPY</v>
      </c>
      <c r="AZ6" s="891" t="s">
        <v>2078</v>
      </c>
      <c r="BA6" s="892">
        <v>1</v>
      </c>
      <c r="BB6" s="893"/>
      <c r="BC6" s="891"/>
      <c r="BD6" s="891"/>
      <c r="BE6" s="911">
        <f t="shared" ref="BE6:BE25" si="15">$J6</f>
        <v>0</v>
      </c>
      <c r="BF6" s="894">
        <f t="shared" ref="BF6:BF25" ca="1" si="16">$B6</f>
        <v>43228</v>
      </c>
      <c r="BG6" s="894" t="str">
        <f t="shared" ref="BG6:BG25" si="17">$G6</f>
        <v>1Y</v>
      </c>
      <c r="BH6" s="893" t="s">
        <v>2030</v>
      </c>
      <c r="BI6" s="891" t="s">
        <v>3</v>
      </c>
      <c r="BJ6" s="891" t="s">
        <v>38</v>
      </c>
      <c r="BK6" s="891" t="s">
        <v>200</v>
      </c>
      <c r="BL6" s="891" t="s">
        <v>38</v>
      </c>
      <c r="BM6" s="891" t="s">
        <v>200</v>
      </c>
      <c r="BN6" s="891" t="s">
        <v>38</v>
      </c>
      <c r="BO6" s="891" t="s">
        <v>200</v>
      </c>
      <c r="BP6" s="891"/>
      <c r="BQ6" s="891"/>
      <c r="BR6" s="891">
        <f t="shared" ref="BR6:BR25" ca="1" si="18">DAY($B6)</f>
        <v>8</v>
      </c>
      <c r="BS6" s="891" t="s">
        <v>356</v>
      </c>
      <c r="BT6" s="891" t="s">
        <v>356</v>
      </c>
      <c r="BU6" s="895" t="s">
        <v>358</v>
      </c>
      <c r="BV6" t="s">
        <v>12</v>
      </c>
      <c r="BW6" s="878" t="str">
        <f ca="1">IF(OR($D6="",$D6=0),"",_xll.meLWOSwapCreateFromLegLVBs($E6&amp;"OIS"&amp;$A6,_xll.meUtilityLVBFromKeysValues($M$5:$AP$5,$M6:$AP6),_xll.meUtilityLVBFromKeysValues($AR$5:$BU$5,$AR6:$BU6),FALSE))</f>
        <v>JPYOIS1@22:0</v>
      </c>
      <c r="BX6" s="917">
        <f ca="1">IF(OR($D6="",$D6=0),"",_xll.meLWOSwapParRate($BW6,Q6))</f>
        <v>-3.5000011490671256E-4</v>
      </c>
      <c r="BY6" s="918">
        <f ca="1">IF(OR($D6="",$D6=0),"",_xll.meLWOSwapPV($BW6,Q6))</f>
        <v>10353.700410499538</v>
      </c>
      <c r="BZ6" s="923">
        <f ca="1">IF(OR($D6="",$D6=0),"",_xll.meLWOSwapPV01($BW6,Q6))</f>
        <v>100.03575164784294</v>
      </c>
      <c r="CA6" t="s">
        <v>12</v>
      </c>
    </row>
    <row r="7" spans="1:82">
      <c r="A7" s="203">
        <v>2</v>
      </c>
      <c r="B7" s="456">
        <f ca="1">IF(OR(D7="",D7=0),"",_xll.meDateFromTenor(COB,C7,$AI7,$AJ7))</f>
        <v>43228</v>
      </c>
      <c r="C7" s="401" t="s">
        <v>361</v>
      </c>
      <c r="D7" s="362">
        <v>1000000</v>
      </c>
      <c r="E7" s="362" t="s">
        <v>188</v>
      </c>
      <c r="F7" s="365" t="s">
        <v>1753</v>
      </c>
      <c r="G7" s="397" t="s">
        <v>40</v>
      </c>
      <c r="H7" s="1117" t="s">
        <v>186</v>
      </c>
      <c r="I7" s="363">
        <v>0.01</v>
      </c>
      <c r="J7" s="883">
        <v>0</v>
      </c>
      <c r="L7" s="203">
        <v>2</v>
      </c>
      <c r="M7" s="896" t="s">
        <v>2060</v>
      </c>
      <c r="N7" s="897">
        <f t="shared" si="0"/>
        <v>1000000</v>
      </c>
      <c r="O7" s="898" t="s">
        <v>1992</v>
      </c>
      <c r="P7" s="898" t="str">
        <f t="shared" si="1"/>
        <v>RECEIVE</v>
      </c>
      <c r="Q7" s="898" t="str">
        <f t="shared" si="2"/>
        <v>JPYYC</v>
      </c>
      <c r="R7" s="898"/>
      <c r="S7" s="898" t="str">
        <f t="shared" si="3"/>
        <v>JPYOIS</v>
      </c>
      <c r="T7" s="897" t="str">
        <f t="shared" si="4"/>
        <v>JPY</v>
      </c>
      <c r="U7" s="898"/>
      <c r="V7" s="899">
        <v>1</v>
      </c>
      <c r="W7" s="900">
        <f t="shared" si="5"/>
        <v>0.01</v>
      </c>
      <c r="X7" s="898"/>
      <c r="Y7" s="898"/>
      <c r="Z7" s="898"/>
      <c r="AA7" s="901">
        <f t="shared" ca="1" si="6"/>
        <v>43228</v>
      </c>
      <c r="AB7" s="901" t="str">
        <f t="shared" si="7"/>
        <v>2Y</v>
      </c>
      <c r="AC7" s="900" t="s">
        <v>2030</v>
      </c>
      <c r="AD7" s="898" t="str">
        <f t="shared" si="8"/>
        <v>ACT/365</v>
      </c>
      <c r="AE7" s="898" t="s">
        <v>38</v>
      </c>
      <c r="AF7" s="898" t="s">
        <v>200</v>
      </c>
      <c r="AG7" s="898" t="s">
        <v>38</v>
      </c>
      <c r="AH7" s="898" t="s">
        <v>200</v>
      </c>
      <c r="AI7" s="898" t="s">
        <v>38</v>
      </c>
      <c r="AJ7" s="898" t="s">
        <v>200</v>
      </c>
      <c r="AK7" s="898"/>
      <c r="AL7" s="898"/>
      <c r="AM7" s="898">
        <f t="shared" ca="1" si="9"/>
        <v>8</v>
      </c>
      <c r="AN7" s="898" t="s">
        <v>356</v>
      </c>
      <c r="AO7" s="898" t="s">
        <v>356</v>
      </c>
      <c r="AP7" s="902" t="s">
        <v>358</v>
      </c>
      <c r="AQ7" s="203">
        <v>2</v>
      </c>
      <c r="AR7" s="896" t="s">
        <v>1993</v>
      </c>
      <c r="AS7" s="897">
        <f t="shared" si="10"/>
        <v>1000000</v>
      </c>
      <c r="AT7" s="898" t="s">
        <v>1992</v>
      </c>
      <c r="AU7" s="898" t="str">
        <f t="shared" si="11"/>
        <v>PAY</v>
      </c>
      <c r="AV7" s="898" t="str">
        <f t="shared" si="12"/>
        <v>JPYYC</v>
      </c>
      <c r="AW7" s="898" t="str">
        <f t="shared" si="13"/>
        <v>JPYOIS</v>
      </c>
      <c r="AX7" s="898" t="str">
        <f t="shared" si="13"/>
        <v>JPYOIS</v>
      </c>
      <c r="AY7" s="897" t="str">
        <f t="shared" si="14"/>
        <v>JPY</v>
      </c>
      <c r="AZ7" s="898" t="s">
        <v>2078</v>
      </c>
      <c r="BA7" s="899">
        <v>1</v>
      </c>
      <c r="BB7" s="900"/>
      <c r="BC7" s="898"/>
      <c r="BD7" s="898"/>
      <c r="BE7" s="912">
        <f t="shared" si="15"/>
        <v>0</v>
      </c>
      <c r="BF7" s="901">
        <f t="shared" ca="1" si="16"/>
        <v>43228</v>
      </c>
      <c r="BG7" s="901" t="str">
        <f t="shared" si="17"/>
        <v>2Y</v>
      </c>
      <c r="BH7" s="900" t="s">
        <v>2030</v>
      </c>
      <c r="BI7" s="898" t="s">
        <v>3</v>
      </c>
      <c r="BJ7" s="898" t="s">
        <v>38</v>
      </c>
      <c r="BK7" s="898" t="s">
        <v>200</v>
      </c>
      <c r="BL7" s="898" t="s">
        <v>38</v>
      </c>
      <c r="BM7" s="898" t="s">
        <v>200</v>
      </c>
      <c r="BN7" s="898" t="s">
        <v>38</v>
      </c>
      <c r="BO7" s="898" t="s">
        <v>200</v>
      </c>
      <c r="BP7" s="898"/>
      <c r="BQ7" s="898"/>
      <c r="BR7" s="898">
        <f t="shared" ca="1" si="18"/>
        <v>8</v>
      </c>
      <c r="BS7" s="898" t="s">
        <v>356</v>
      </c>
      <c r="BT7" s="898" t="s">
        <v>356</v>
      </c>
      <c r="BU7" s="902" t="s">
        <v>358</v>
      </c>
      <c r="BV7" t="s">
        <v>12</v>
      </c>
      <c r="BW7" s="476" t="str">
        <f ca="1">IF(OR($D7="",$D7=0),"",_xll.meLWOSwapCreateFromLegLVBs($E7&amp;"OIS"&amp;$A7,_xll.meUtilityLVBFromKeysValues($M$5:$AP$5,$M7:$AP7),_xll.meUtilityLVBFromKeysValues($AR$5:$BU$5,$AR7:$BU7),FALSE))</f>
        <v>JPYOIS2@71:0</v>
      </c>
      <c r="BX7" s="900">
        <f ca="1">IF(OR($D7="",$D7=0),"",_xll.meLWOSwapParRate($BW7,Q7))</f>
        <v>-1.6250005007069655E-4</v>
      </c>
      <c r="BY7" s="897">
        <f ca="1">IF(OR($D7="",$D7=0),"",_xll.meLWOSwapPV($BW7,Q7))</f>
        <v>20359.868687565326</v>
      </c>
      <c r="BZ7" s="921">
        <f ca="1">IF(OR($D7="",$D7=0),"",_xll.meLWOSwapPV01($BW7,Q7))</f>
        <v>200.34311032966428</v>
      </c>
      <c r="CA7" t="s">
        <v>12</v>
      </c>
    </row>
    <row r="8" spans="1:82">
      <c r="A8" s="203">
        <v>3</v>
      </c>
      <c r="B8" s="456">
        <f ca="1">IF(OR(D8="",D8=0),"",_xll.meDateFromTenor(COB,C8,$AI8,$AJ8))</f>
        <v>43228</v>
      </c>
      <c r="C8" s="401" t="s">
        <v>361</v>
      </c>
      <c r="D8" s="362">
        <v>1000000</v>
      </c>
      <c r="E8" s="362" t="s">
        <v>188</v>
      </c>
      <c r="F8" s="365" t="s">
        <v>1753</v>
      </c>
      <c r="G8" s="397" t="s">
        <v>37</v>
      </c>
      <c r="H8" s="1117" t="s">
        <v>186</v>
      </c>
      <c r="I8" s="363">
        <v>0.01</v>
      </c>
      <c r="J8" s="883">
        <v>0</v>
      </c>
      <c r="L8" s="203">
        <v>3</v>
      </c>
      <c r="M8" s="896" t="s">
        <v>2060</v>
      </c>
      <c r="N8" s="897">
        <f t="shared" si="0"/>
        <v>1000000</v>
      </c>
      <c r="O8" s="898" t="s">
        <v>1992</v>
      </c>
      <c r="P8" s="898" t="str">
        <f t="shared" si="1"/>
        <v>RECEIVE</v>
      </c>
      <c r="Q8" s="898" t="str">
        <f t="shared" si="2"/>
        <v>JPYYC</v>
      </c>
      <c r="R8" s="898"/>
      <c r="S8" s="898" t="str">
        <f t="shared" si="3"/>
        <v>JPYOIS</v>
      </c>
      <c r="T8" s="897" t="str">
        <f t="shared" si="4"/>
        <v>JPY</v>
      </c>
      <c r="U8" s="898"/>
      <c r="V8" s="899">
        <v>1</v>
      </c>
      <c r="W8" s="900">
        <f t="shared" si="5"/>
        <v>0.01</v>
      </c>
      <c r="X8" s="898"/>
      <c r="Y8" s="898"/>
      <c r="Z8" s="898"/>
      <c r="AA8" s="901">
        <f t="shared" ca="1" si="6"/>
        <v>43228</v>
      </c>
      <c r="AB8" s="901" t="str">
        <f t="shared" si="7"/>
        <v>3Y</v>
      </c>
      <c r="AC8" s="900" t="s">
        <v>2030</v>
      </c>
      <c r="AD8" s="898" t="str">
        <f t="shared" si="8"/>
        <v>ACT/365</v>
      </c>
      <c r="AE8" s="898" t="s">
        <v>38</v>
      </c>
      <c r="AF8" s="898" t="s">
        <v>200</v>
      </c>
      <c r="AG8" s="898" t="s">
        <v>38</v>
      </c>
      <c r="AH8" s="898" t="s">
        <v>200</v>
      </c>
      <c r="AI8" s="898" t="s">
        <v>38</v>
      </c>
      <c r="AJ8" s="898" t="s">
        <v>200</v>
      </c>
      <c r="AK8" s="898"/>
      <c r="AL8" s="898"/>
      <c r="AM8" s="898">
        <f t="shared" ca="1" si="9"/>
        <v>8</v>
      </c>
      <c r="AN8" s="898" t="s">
        <v>356</v>
      </c>
      <c r="AO8" s="898" t="s">
        <v>356</v>
      </c>
      <c r="AP8" s="902" t="s">
        <v>358</v>
      </c>
      <c r="AQ8" s="203">
        <v>3</v>
      </c>
      <c r="AR8" s="896" t="s">
        <v>1993</v>
      </c>
      <c r="AS8" s="897">
        <f t="shared" si="10"/>
        <v>1000000</v>
      </c>
      <c r="AT8" s="898" t="s">
        <v>1992</v>
      </c>
      <c r="AU8" s="898" t="str">
        <f t="shared" si="11"/>
        <v>PAY</v>
      </c>
      <c r="AV8" s="898" t="str">
        <f t="shared" si="12"/>
        <v>JPYYC</v>
      </c>
      <c r="AW8" s="898" t="str">
        <f t="shared" si="13"/>
        <v>JPYOIS</v>
      </c>
      <c r="AX8" s="898" t="str">
        <f t="shared" si="13"/>
        <v>JPYOIS</v>
      </c>
      <c r="AY8" s="897" t="str">
        <f t="shared" si="14"/>
        <v>JPY</v>
      </c>
      <c r="AZ8" s="898" t="s">
        <v>2078</v>
      </c>
      <c r="BA8" s="899">
        <v>1</v>
      </c>
      <c r="BB8" s="900"/>
      <c r="BC8" s="898"/>
      <c r="BD8" s="898"/>
      <c r="BE8" s="912">
        <f t="shared" si="15"/>
        <v>0</v>
      </c>
      <c r="BF8" s="901">
        <f t="shared" ca="1" si="16"/>
        <v>43228</v>
      </c>
      <c r="BG8" s="901" t="str">
        <f t="shared" si="17"/>
        <v>3Y</v>
      </c>
      <c r="BH8" s="900" t="s">
        <v>2030</v>
      </c>
      <c r="BI8" s="898" t="s">
        <v>3</v>
      </c>
      <c r="BJ8" s="898" t="s">
        <v>38</v>
      </c>
      <c r="BK8" s="898" t="s">
        <v>200</v>
      </c>
      <c r="BL8" s="898" t="s">
        <v>38</v>
      </c>
      <c r="BM8" s="898" t="s">
        <v>200</v>
      </c>
      <c r="BN8" s="898" t="s">
        <v>38</v>
      </c>
      <c r="BO8" s="898" t="s">
        <v>200</v>
      </c>
      <c r="BP8" s="898"/>
      <c r="BQ8" s="898"/>
      <c r="BR8" s="898">
        <f t="shared" ca="1" si="18"/>
        <v>8</v>
      </c>
      <c r="BS8" s="898" t="s">
        <v>356</v>
      </c>
      <c r="BT8" s="898" t="s">
        <v>356</v>
      </c>
      <c r="BU8" s="902" t="s">
        <v>358</v>
      </c>
      <c r="BV8" t="s">
        <v>12</v>
      </c>
      <c r="BW8" s="476" t="str">
        <f ca="1">IF(OR($D8="",$D8=0),"",_xll.meLWOSwapCreateFromLegLVBs($E8&amp;"OIS"&amp;$A8,_xll.meUtilityLVBFromKeysValues($M$5:$AP$5,$M8:$AP8),_xll.meUtilityLVBFromKeysValues($AR$5:$BU$5,$AR8:$BU8),FALSE))</f>
        <v>JPYOIS3@127:0</v>
      </c>
      <c r="BX8" s="900">
        <f ca="1">IF(OR($D8="",$D8=0),"",_xll.meLWOSwapParRate($BW8,Q8))</f>
        <v>-3.7500038753098715E-5</v>
      </c>
      <c r="BY8" s="897">
        <f ca="1">IF(OR($D8="",$D8=0),"",_xll.meLWOSwapPV($BW8,Q8))</f>
        <v>30203.153007768553</v>
      </c>
      <c r="BZ8" s="921">
        <f ca="1">IF(OR($D8="",$D8=0),"",_xll.meLWOSwapPV01($BW8,Q8))</f>
        <v>300.90314212861028</v>
      </c>
      <c r="CA8" t="s">
        <v>12</v>
      </c>
    </row>
    <row r="9" spans="1:82">
      <c r="A9" s="203">
        <v>4</v>
      </c>
      <c r="B9" s="456">
        <f ca="1">IF(OR(D9="",D9=0),"",_xll.meDateFromTenor(COB,C9,$AI9,$AJ9))</f>
        <v>43228</v>
      </c>
      <c r="C9" s="4" t="s">
        <v>361</v>
      </c>
      <c r="D9" s="362">
        <v>1000000</v>
      </c>
      <c r="E9" s="362" t="s">
        <v>188</v>
      </c>
      <c r="F9" s="365" t="s">
        <v>1753</v>
      </c>
      <c r="G9" s="397" t="s">
        <v>33</v>
      </c>
      <c r="H9" s="1117" t="s">
        <v>186</v>
      </c>
      <c r="I9" s="363">
        <v>0.01</v>
      </c>
      <c r="J9" s="883">
        <v>0</v>
      </c>
      <c r="L9" s="203">
        <v>4</v>
      </c>
      <c r="M9" s="896" t="s">
        <v>2060</v>
      </c>
      <c r="N9" s="897">
        <f t="shared" si="0"/>
        <v>1000000</v>
      </c>
      <c r="O9" s="898" t="s">
        <v>1992</v>
      </c>
      <c r="P9" s="898" t="str">
        <f t="shared" si="1"/>
        <v>RECEIVE</v>
      </c>
      <c r="Q9" s="898" t="str">
        <f t="shared" si="2"/>
        <v>JPYYC</v>
      </c>
      <c r="R9" s="898"/>
      <c r="S9" s="898" t="str">
        <f t="shared" si="3"/>
        <v>JPYOIS</v>
      </c>
      <c r="T9" s="897" t="str">
        <f t="shared" si="4"/>
        <v>JPY</v>
      </c>
      <c r="U9" s="898"/>
      <c r="V9" s="899">
        <v>1</v>
      </c>
      <c r="W9" s="900">
        <f t="shared" si="5"/>
        <v>0.01</v>
      </c>
      <c r="X9" s="898"/>
      <c r="Y9" s="898"/>
      <c r="Z9" s="898"/>
      <c r="AA9" s="901">
        <f t="shared" ca="1" si="6"/>
        <v>43228</v>
      </c>
      <c r="AB9" s="901" t="str">
        <f t="shared" si="7"/>
        <v>4Y</v>
      </c>
      <c r="AC9" s="900" t="s">
        <v>2030</v>
      </c>
      <c r="AD9" s="898" t="str">
        <f t="shared" si="8"/>
        <v>ACT/365</v>
      </c>
      <c r="AE9" s="898" t="s">
        <v>38</v>
      </c>
      <c r="AF9" s="898" t="s">
        <v>200</v>
      </c>
      <c r="AG9" s="898" t="s">
        <v>38</v>
      </c>
      <c r="AH9" s="898" t="s">
        <v>200</v>
      </c>
      <c r="AI9" s="898" t="s">
        <v>38</v>
      </c>
      <c r="AJ9" s="898" t="s">
        <v>200</v>
      </c>
      <c r="AK9" s="898"/>
      <c r="AL9" s="898"/>
      <c r="AM9" s="898">
        <f t="shared" ca="1" si="9"/>
        <v>8</v>
      </c>
      <c r="AN9" s="898" t="s">
        <v>356</v>
      </c>
      <c r="AO9" s="898" t="s">
        <v>356</v>
      </c>
      <c r="AP9" s="902" t="s">
        <v>358</v>
      </c>
      <c r="AQ9" s="203">
        <v>4</v>
      </c>
      <c r="AR9" s="896" t="s">
        <v>1993</v>
      </c>
      <c r="AS9" s="897">
        <f t="shared" si="10"/>
        <v>1000000</v>
      </c>
      <c r="AT9" s="898" t="s">
        <v>1992</v>
      </c>
      <c r="AU9" s="898" t="str">
        <f t="shared" si="11"/>
        <v>PAY</v>
      </c>
      <c r="AV9" s="898" t="str">
        <f t="shared" si="12"/>
        <v>JPYYC</v>
      </c>
      <c r="AW9" s="898" t="str">
        <f t="shared" si="13"/>
        <v>JPYOIS</v>
      </c>
      <c r="AX9" s="898" t="str">
        <f t="shared" si="13"/>
        <v>JPYOIS</v>
      </c>
      <c r="AY9" s="897" t="str">
        <f t="shared" si="14"/>
        <v>JPY</v>
      </c>
      <c r="AZ9" s="898" t="s">
        <v>2078</v>
      </c>
      <c r="BA9" s="899">
        <v>1</v>
      </c>
      <c r="BB9" s="900"/>
      <c r="BC9" s="898"/>
      <c r="BD9" s="898"/>
      <c r="BE9" s="912">
        <f t="shared" si="15"/>
        <v>0</v>
      </c>
      <c r="BF9" s="901">
        <f t="shared" ca="1" si="16"/>
        <v>43228</v>
      </c>
      <c r="BG9" s="901" t="str">
        <f t="shared" si="17"/>
        <v>4Y</v>
      </c>
      <c r="BH9" s="900" t="s">
        <v>2030</v>
      </c>
      <c r="BI9" s="898" t="s">
        <v>3</v>
      </c>
      <c r="BJ9" s="898" t="s">
        <v>38</v>
      </c>
      <c r="BK9" s="898" t="s">
        <v>200</v>
      </c>
      <c r="BL9" s="898" t="s">
        <v>38</v>
      </c>
      <c r="BM9" s="898" t="s">
        <v>200</v>
      </c>
      <c r="BN9" s="898" t="s">
        <v>38</v>
      </c>
      <c r="BO9" s="898" t="s">
        <v>200</v>
      </c>
      <c r="BP9" s="898"/>
      <c r="BQ9" s="898"/>
      <c r="BR9" s="898">
        <f t="shared" ca="1" si="18"/>
        <v>8</v>
      </c>
      <c r="BS9" s="898" t="s">
        <v>356</v>
      </c>
      <c r="BT9" s="898" t="s">
        <v>356</v>
      </c>
      <c r="BU9" s="902" t="s">
        <v>358</v>
      </c>
      <c r="BV9" t="s">
        <v>12</v>
      </c>
      <c r="BW9" s="476" t="str">
        <f ca="1">IF(OR($D9="",$D9=0),"",_xll.meLWOSwapCreateFromLegLVBs($E9&amp;"OIS"&amp;$A9,_xll.meUtilityLVBFromKeysValues($M$5:$AP$5,$M9:$AP9),_xll.meUtilityLVBFromKeysValues($AR$5:$BU$5,$AR9:$BU9),FALSE))</f>
        <v>JPYOIS4@23:0</v>
      </c>
      <c r="BX9" s="900">
        <f ca="1">IF(OR($D9="",$D9=0),"",_xll.meLWOSwapParRate($BW9,Q9))</f>
        <v>9.9999973392507591E-5</v>
      </c>
      <c r="BY9" s="897">
        <f ca="1">IF(OR($D9="",$D9=0),"",_xll.meLWOSwapPV($BW9,Q9))</f>
        <v>39658.404369549084</v>
      </c>
      <c r="BZ9" s="921">
        <f ca="1">IF(OR($D9="",$D9=0),"",_xll.meLWOSwapPV01($BW9,Q9))</f>
        <v>400.58994205012266</v>
      </c>
      <c r="CA9" t="s">
        <v>12</v>
      </c>
    </row>
    <row r="10" spans="1:82">
      <c r="A10" s="203">
        <v>5</v>
      </c>
      <c r="B10" s="456">
        <f ca="1">IF(OR(D10="",D10=0),"",_xll.meDateFromTenor(COB,C10,$AI10,$AJ10))</f>
        <v>43228</v>
      </c>
      <c r="C10" s="4" t="s">
        <v>361</v>
      </c>
      <c r="D10" s="362">
        <v>1000000</v>
      </c>
      <c r="E10" s="362" t="s">
        <v>188</v>
      </c>
      <c r="F10" s="365" t="s">
        <v>1753</v>
      </c>
      <c r="G10" s="397" t="s">
        <v>31</v>
      </c>
      <c r="H10" s="1117" t="s">
        <v>186</v>
      </c>
      <c r="I10" s="363">
        <v>0.01</v>
      </c>
      <c r="J10" s="883">
        <v>0</v>
      </c>
      <c r="L10" s="203">
        <v>5</v>
      </c>
      <c r="M10" s="896" t="s">
        <v>2060</v>
      </c>
      <c r="N10" s="897">
        <f t="shared" si="0"/>
        <v>1000000</v>
      </c>
      <c r="O10" s="898" t="s">
        <v>1992</v>
      </c>
      <c r="P10" s="898" t="str">
        <f t="shared" si="1"/>
        <v>RECEIVE</v>
      </c>
      <c r="Q10" s="898" t="str">
        <f t="shared" si="2"/>
        <v>JPYYC</v>
      </c>
      <c r="R10" s="898"/>
      <c r="S10" s="898" t="str">
        <f t="shared" si="3"/>
        <v>JPYOIS</v>
      </c>
      <c r="T10" s="897" t="str">
        <f t="shared" si="4"/>
        <v>JPY</v>
      </c>
      <c r="U10" s="898"/>
      <c r="V10" s="899">
        <v>1</v>
      </c>
      <c r="W10" s="900">
        <f t="shared" si="5"/>
        <v>0.01</v>
      </c>
      <c r="X10" s="898"/>
      <c r="Y10" s="898"/>
      <c r="Z10" s="898"/>
      <c r="AA10" s="901">
        <f t="shared" ca="1" si="6"/>
        <v>43228</v>
      </c>
      <c r="AB10" s="901" t="str">
        <f t="shared" si="7"/>
        <v>5Y</v>
      </c>
      <c r="AC10" s="900" t="s">
        <v>2030</v>
      </c>
      <c r="AD10" s="898" t="str">
        <f t="shared" si="8"/>
        <v>ACT/365</v>
      </c>
      <c r="AE10" s="898" t="s">
        <v>38</v>
      </c>
      <c r="AF10" s="898" t="s">
        <v>200</v>
      </c>
      <c r="AG10" s="898" t="s">
        <v>38</v>
      </c>
      <c r="AH10" s="898" t="s">
        <v>200</v>
      </c>
      <c r="AI10" s="898" t="s">
        <v>38</v>
      </c>
      <c r="AJ10" s="898" t="s">
        <v>200</v>
      </c>
      <c r="AK10" s="898"/>
      <c r="AL10" s="898"/>
      <c r="AM10" s="898">
        <f t="shared" ca="1" si="9"/>
        <v>8</v>
      </c>
      <c r="AN10" s="898" t="s">
        <v>356</v>
      </c>
      <c r="AO10" s="898" t="s">
        <v>356</v>
      </c>
      <c r="AP10" s="902" t="s">
        <v>358</v>
      </c>
      <c r="AQ10" s="203">
        <v>5</v>
      </c>
      <c r="AR10" s="896" t="s">
        <v>1993</v>
      </c>
      <c r="AS10" s="897">
        <f t="shared" si="10"/>
        <v>1000000</v>
      </c>
      <c r="AT10" s="898" t="s">
        <v>1992</v>
      </c>
      <c r="AU10" s="898" t="str">
        <f t="shared" si="11"/>
        <v>PAY</v>
      </c>
      <c r="AV10" s="898" t="str">
        <f t="shared" si="12"/>
        <v>JPYYC</v>
      </c>
      <c r="AW10" s="898" t="str">
        <f t="shared" si="13"/>
        <v>JPYOIS</v>
      </c>
      <c r="AX10" s="898" t="str">
        <f t="shared" si="13"/>
        <v>JPYOIS</v>
      </c>
      <c r="AY10" s="897" t="str">
        <f t="shared" si="14"/>
        <v>JPY</v>
      </c>
      <c r="AZ10" s="898" t="s">
        <v>2078</v>
      </c>
      <c r="BA10" s="899">
        <v>1</v>
      </c>
      <c r="BB10" s="900"/>
      <c r="BC10" s="898"/>
      <c r="BD10" s="898"/>
      <c r="BE10" s="912">
        <f t="shared" si="15"/>
        <v>0</v>
      </c>
      <c r="BF10" s="901">
        <f t="shared" ca="1" si="16"/>
        <v>43228</v>
      </c>
      <c r="BG10" s="901" t="str">
        <f t="shared" si="17"/>
        <v>5Y</v>
      </c>
      <c r="BH10" s="900" t="s">
        <v>2030</v>
      </c>
      <c r="BI10" s="898" t="s">
        <v>3</v>
      </c>
      <c r="BJ10" s="898" t="s">
        <v>38</v>
      </c>
      <c r="BK10" s="898" t="s">
        <v>200</v>
      </c>
      <c r="BL10" s="898" t="s">
        <v>38</v>
      </c>
      <c r="BM10" s="898" t="s">
        <v>200</v>
      </c>
      <c r="BN10" s="898" t="s">
        <v>38</v>
      </c>
      <c r="BO10" s="898" t="s">
        <v>200</v>
      </c>
      <c r="BP10" s="898"/>
      <c r="BQ10" s="898"/>
      <c r="BR10" s="898">
        <f t="shared" ca="1" si="18"/>
        <v>8</v>
      </c>
      <c r="BS10" s="898" t="s">
        <v>356</v>
      </c>
      <c r="BT10" s="898" t="s">
        <v>356</v>
      </c>
      <c r="BU10" s="902" t="s">
        <v>358</v>
      </c>
      <c r="BV10" t="s">
        <v>12</v>
      </c>
      <c r="BW10" s="476" t="str">
        <f ca="1">IF(OR($D10="",$D10=0),"",_xll.meLWOSwapCreateFromLegLVBs($E10&amp;"OIS"&amp;$A10,_xll.meUtilityLVBFromKeysValues($M$5:$AP$5,$M10:$AP10),_xll.meUtilityLVBFromKeysValues($AR$5:$BU$5,$AR10:$BU10),FALSE))</f>
        <v>JPYOIS5@89:0</v>
      </c>
      <c r="BX10" s="900">
        <f ca="1">IF(OR($D10="",$D10=0),"",_xll.meLWOSwapParRate($BW10,Q10))</f>
        <v>2.7499997756060788E-4</v>
      </c>
      <c r="BY10" s="897">
        <f ca="1">IF(OR($D10="",$D10=0),"",_xll.meLWOSwapPV($BW10,Q10))</f>
        <v>48642.453717435397</v>
      </c>
      <c r="BZ10" s="921">
        <f ca="1">IF(OR($D10="",$D10=0),"",_xll.meLWOSwapPV01($BW10,Q10))</f>
        <v>500.17947151874705</v>
      </c>
      <c r="CA10" t="s">
        <v>12</v>
      </c>
      <c r="CD10" s="149"/>
    </row>
    <row r="11" spans="1:82">
      <c r="A11" s="203">
        <v>6</v>
      </c>
      <c r="B11" s="456">
        <f ca="1">IF(OR(D11="",D11=0),"",_xll.meDateFromTenor(COB,C11,$AI11,$AJ11))</f>
        <v>43228</v>
      </c>
      <c r="C11" s="4" t="s">
        <v>361</v>
      </c>
      <c r="D11" s="362">
        <v>1000000</v>
      </c>
      <c r="E11" s="362" t="s">
        <v>188</v>
      </c>
      <c r="F11" s="365" t="s">
        <v>1753</v>
      </c>
      <c r="G11" s="397" t="s">
        <v>127</v>
      </c>
      <c r="H11" s="1117" t="s">
        <v>186</v>
      </c>
      <c r="I11" s="363">
        <v>0.01</v>
      </c>
      <c r="J11" s="883">
        <v>0</v>
      </c>
      <c r="L11" s="203">
        <v>6</v>
      </c>
      <c r="M11" s="896" t="s">
        <v>2060</v>
      </c>
      <c r="N11" s="897">
        <f t="shared" si="0"/>
        <v>1000000</v>
      </c>
      <c r="O11" s="898" t="s">
        <v>1992</v>
      </c>
      <c r="P11" s="898" t="str">
        <f t="shared" si="1"/>
        <v>RECEIVE</v>
      </c>
      <c r="Q11" s="898" t="str">
        <f t="shared" si="2"/>
        <v>JPYYC</v>
      </c>
      <c r="R11" s="898"/>
      <c r="S11" s="898" t="str">
        <f t="shared" si="3"/>
        <v>JPYOIS</v>
      </c>
      <c r="T11" s="897" t="str">
        <f t="shared" si="4"/>
        <v>JPY</v>
      </c>
      <c r="U11" s="898"/>
      <c r="V11" s="899">
        <v>1</v>
      </c>
      <c r="W11" s="900">
        <f t="shared" si="5"/>
        <v>0.01</v>
      </c>
      <c r="X11" s="898"/>
      <c r="Y11" s="898"/>
      <c r="Z11" s="898"/>
      <c r="AA11" s="901">
        <f t="shared" ca="1" si="6"/>
        <v>43228</v>
      </c>
      <c r="AB11" s="901" t="str">
        <f t="shared" si="7"/>
        <v>6Y</v>
      </c>
      <c r="AC11" s="900" t="s">
        <v>2030</v>
      </c>
      <c r="AD11" s="898" t="str">
        <f t="shared" si="8"/>
        <v>ACT/365</v>
      </c>
      <c r="AE11" s="898" t="s">
        <v>38</v>
      </c>
      <c r="AF11" s="898" t="s">
        <v>200</v>
      </c>
      <c r="AG11" s="898" t="s">
        <v>38</v>
      </c>
      <c r="AH11" s="898" t="s">
        <v>200</v>
      </c>
      <c r="AI11" s="898" t="s">
        <v>38</v>
      </c>
      <c r="AJ11" s="898" t="s">
        <v>200</v>
      </c>
      <c r="AK11" s="898"/>
      <c r="AL11" s="898"/>
      <c r="AM11" s="898">
        <f t="shared" ca="1" si="9"/>
        <v>8</v>
      </c>
      <c r="AN11" s="898" t="s">
        <v>356</v>
      </c>
      <c r="AO11" s="898" t="s">
        <v>356</v>
      </c>
      <c r="AP11" s="902" t="s">
        <v>358</v>
      </c>
      <c r="AQ11" s="203">
        <v>6</v>
      </c>
      <c r="AR11" s="896" t="s">
        <v>1993</v>
      </c>
      <c r="AS11" s="897">
        <f t="shared" si="10"/>
        <v>1000000</v>
      </c>
      <c r="AT11" s="898" t="s">
        <v>1992</v>
      </c>
      <c r="AU11" s="898" t="str">
        <f t="shared" si="11"/>
        <v>PAY</v>
      </c>
      <c r="AV11" s="898" t="str">
        <f t="shared" si="12"/>
        <v>JPYYC</v>
      </c>
      <c r="AW11" s="898" t="str">
        <f t="shared" si="13"/>
        <v>JPYOIS</v>
      </c>
      <c r="AX11" s="898" t="str">
        <f t="shared" si="13"/>
        <v>JPYOIS</v>
      </c>
      <c r="AY11" s="897" t="str">
        <f t="shared" si="14"/>
        <v>JPY</v>
      </c>
      <c r="AZ11" s="898" t="s">
        <v>2078</v>
      </c>
      <c r="BA11" s="899">
        <v>1</v>
      </c>
      <c r="BB11" s="900"/>
      <c r="BC11" s="898"/>
      <c r="BD11" s="898"/>
      <c r="BE11" s="912">
        <f t="shared" si="15"/>
        <v>0</v>
      </c>
      <c r="BF11" s="901">
        <f t="shared" ca="1" si="16"/>
        <v>43228</v>
      </c>
      <c r="BG11" s="901" t="str">
        <f t="shared" si="17"/>
        <v>6Y</v>
      </c>
      <c r="BH11" s="900" t="s">
        <v>2030</v>
      </c>
      <c r="BI11" s="898" t="s">
        <v>3</v>
      </c>
      <c r="BJ11" s="898" t="s">
        <v>38</v>
      </c>
      <c r="BK11" s="898" t="s">
        <v>200</v>
      </c>
      <c r="BL11" s="898" t="s">
        <v>38</v>
      </c>
      <c r="BM11" s="898" t="s">
        <v>200</v>
      </c>
      <c r="BN11" s="898" t="s">
        <v>38</v>
      </c>
      <c r="BO11" s="898" t="s">
        <v>200</v>
      </c>
      <c r="BP11" s="898"/>
      <c r="BQ11" s="898"/>
      <c r="BR11" s="898">
        <f t="shared" ca="1" si="18"/>
        <v>8</v>
      </c>
      <c r="BS11" s="898" t="s">
        <v>356</v>
      </c>
      <c r="BT11" s="898" t="s">
        <v>356</v>
      </c>
      <c r="BU11" s="902" t="s">
        <v>358</v>
      </c>
      <c r="BV11" t="s">
        <v>12</v>
      </c>
      <c r="BW11" s="476" t="str">
        <f ca="1">IF(OR($D11="",$D11=0),"",_xll.meLWOSwapCreateFromLegLVBs($E11&amp;"OIS"&amp;$A11,_xll.meUtilityLVBFromKeysValues($M$5:$AP$5,$M11:$AP11),_xll.meUtilityLVBFromKeysValues($AR$5:$BU$5,$AR11:$BU11),FALSE))</f>
        <v>JPYOIS6@51:0</v>
      </c>
      <c r="BX11" s="900">
        <f ca="1">IF(OR($D11="",$D11=0),"",_xll.meLWOSwapParRate($BW11,Q11))</f>
        <v>4.8749998229346875E-4</v>
      </c>
      <c r="BY11" s="897">
        <f ca="1">IF(OR($D11="",$D11=0),"",_xll.meLWOSwapPV($BW11,Q11))</f>
        <v>57090.279304711636</v>
      </c>
      <c r="BZ11" s="921">
        <f ca="1">IF(OR($D11="",$D11=0),"",_xll.meLWOSwapPV01($BW11,Q11))</f>
        <v>600.16062232267018</v>
      </c>
      <c r="CA11" t="s">
        <v>12</v>
      </c>
      <c r="CD11" s="149"/>
    </row>
    <row r="12" spans="1:82">
      <c r="A12" s="203">
        <v>7</v>
      </c>
      <c r="B12" s="456">
        <f ca="1">IF(OR(D12="",D12=0),"",_xll.meDateFromTenor(COB,C12,$AI12,$AJ12))</f>
        <v>43228</v>
      </c>
      <c r="C12" s="4" t="s">
        <v>361</v>
      </c>
      <c r="D12" s="362">
        <v>1000000</v>
      </c>
      <c r="E12" s="362" t="s">
        <v>188</v>
      </c>
      <c r="F12" s="365" t="s">
        <v>1753</v>
      </c>
      <c r="G12" s="397" t="s">
        <v>29</v>
      </c>
      <c r="H12" s="1117" t="s">
        <v>186</v>
      </c>
      <c r="I12" s="363">
        <v>0.01</v>
      </c>
      <c r="J12" s="883">
        <v>0</v>
      </c>
      <c r="L12" s="203">
        <v>7</v>
      </c>
      <c r="M12" s="896" t="s">
        <v>2060</v>
      </c>
      <c r="N12" s="897">
        <f t="shared" si="0"/>
        <v>1000000</v>
      </c>
      <c r="O12" s="898" t="s">
        <v>1992</v>
      </c>
      <c r="P12" s="898" t="str">
        <f t="shared" si="1"/>
        <v>RECEIVE</v>
      </c>
      <c r="Q12" s="898" t="str">
        <f t="shared" si="2"/>
        <v>JPYYC</v>
      </c>
      <c r="R12" s="898"/>
      <c r="S12" s="898" t="str">
        <f t="shared" si="3"/>
        <v>JPYOIS</v>
      </c>
      <c r="T12" s="897" t="str">
        <f t="shared" si="4"/>
        <v>JPY</v>
      </c>
      <c r="U12" s="898"/>
      <c r="V12" s="899">
        <v>1</v>
      </c>
      <c r="W12" s="900">
        <f t="shared" si="5"/>
        <v>0.01</v>
      </c>
      <c r="X12" s="898"/>
      <c r="Y12" s="898"/>
      <c r="Z12" s="898"/>
      <c r="AA12" s="901">
        <f t="shared" ca="1" si="6"/>
        <v>43228</v>
      </c>
      <c r="AB12" s="901" t="str">
        <f t="shared" si="7"/>
        <v>7Y</v>
      </c>
      <c r="AC12" s="900" t="s">
        <v>2030</v>
      </c>
      <c r="AD12" s="898" t="str">
        <f t="shared" si="8"/>
        <v>ACT/365</v>
      </c>
      <c r="AE12" s="898" t="s">
        <v>38</v>
      </c>
      <c r="AF12" s="898" t="s">
        <v>200</v>
      </c>
      <c r="AG12" s="898" t="s">
        <v>38</v>
      </c>
      <c r="AH12" s="898" t="s">
        <v>200</v>
      </c>
      <c r="AI12" s="898" t="s">
        <v>38</v>
      </c>
      <c r="AJ12" s="898" t="s">
        <v>200</v>
      </c>
      <c r="AK12" s="898"/>
      <c r="AL12" s="898"/>
      <c r="AM12" s="898">
        <f t="shared" ca="1" si="9"/>
        <v>8</v>
      </c>
      <c r="AN12" s="898" t="s">
        <v>356</v>
      </c>
      <c r="AO12" s="898" t="s">
        <v>356</v>
      </c>
      <c r="AP12" s="902" t="s">
        <v>358</v>
      </c>
      <c r="AQ12" s="203">
        <v>7</v>
      </c>
      <c r="AR12" s="896" t="s">
        <v>1993</v>
      </c>
      <c r="AS12" s="897">
        <f t="shared" si="10"/>
        <v>1000000</v>
      </c>
      <c r="AT12" s="898" t="s">
        <v>1992</v>
      </c>
      <c r="AU12" s="898" t="str">
        <f t="shared" si="11"/>
        <v>PAY</v>
      </c>
      <c r="AV12" s="898" t="str">
        <f t="shared" si="12"/>
        <v>JPYYC</v>
      </c>
      <c r="AW12" s="898" t="str">
        <f t="shared" si="13"/>
        <v>JPYOIS</v>
      </c>
      <c r="AX12" s="898" t="str">
        <f t="shared" si="13"/>
        <v>JPYOIS</v>
      </c>
      <c r="AY12" s="897" t="str">
        <f t="shared" si="14"/>
        <v>JPY</v>
      </c>
      <c r="AZ12" s="898" t="s">
        <v>2078</v>
      </c>
      <c r="BA12" s="899">
        <v>1</v>
      </c>
      <c r="BB12" s="900"/>
      <c r="BC12" s="898"/>
      <c r="BD12" s="898"/>
      <c r="BE12" s="912">
        <f t="shared" si="15"/>
        <v>0</v>
      </c>
      <c r="BF12" s="901">
        <f t="shared" ca="1" si="16"/>
        <v>43228</v>
      </c>
      <c r="BG12" s="901" t="str">
        <f t="shared" si="17"/>
        <v>7Y</v>
      </c>
      <c r="BH12" s="900" t="s">
        <v>2030</v>
      </c>
      <c r="BI12" s="898" t="s">
        <v>3</v>
      </c>
      <c r="BJ12" s="898" t="s">
        <v>38</v>
      </c>
      <c r="BK12" s="898" t="s">
        <v>200</v>
      </c>
      <c r="BL12" s="898" t="s">
        <v>38</v>
      </c>
      <c r="BM12" s="898" t="s">
        <v>200</v>
      </c>
      <c r="BN12" s="898" t="s">
        <v>38</v>
      </c>
      <c r="BO12" s="898" t="s">
        <v>200</v>
      </c>
      <c r="BP12" s="898"/>
      <c r="BQ12" s="898"/>
      <c r="BR12" s="898">
        <f t="shared" ca="1" si="18"/>
        <v>8</v>
      </c>
      <c r="BS12" s="898" t="s">
        <v>356</v>
      </c>
      <c r="BT12" s="898" t="s">
        <v>356</v>
      </c>
      <c r="BU12" s="902" t="s">
        <v>358</v>
      </c>
      <c r="BV12" t="s">
        <v>12</v>
      </c>
      <c r="BW12" s="476" t="str">
        <f ca="1">IF(OR($D12="",$D12=0),"",_xll.meLWOSwapCreateFromLegLVBs($E12&amp;"OIS"&amp;$A12,_xll.meUtilityLVBFromKeysValues($M$5:$AP$5,$M12:$AP12),_xll.meUtilityLVBFromKeysValues($AR$5:$BU$5,$AR12:$BU12),FALSE))</f>
        <v>JPYOIS7@28:0</v>
      </c>
      <c r="BX12" s="900">
        <f ca="1">IF(OR($D12="",$D12=0),"",_xll.meLWOSwapParRate($BW12,Q12))</f>
        <v>7.2499998411917996E-4</v>
      </c>
      <c r="BY12" s="897">
        <f ca="1">IF(OR($D12="",$D12=0),"",_xll.meLWOSwapPV($BW12,Q12))</f>
        <v>64892.880746657247</v>
      </c>
      <c r="BZ12" s="921">
        <f ca="1">IF(OR($D12="",$D12=0),"",_xll.meLWOSwapPV01($BW12,Q12))</f>
        <v>699.65369957462531</v>
      </c>
      <c r="CA12" t="s">
        <v>12</v>
      </c>
      <c r="CD12" s="149"/>
    </row>
    <row r="13" spans="1:82">
      <c r="A13" s="203">
        <v>8</v>
      </c>
      <c r="B13" s="456">
        <f ca="1">IF(OR(D13="",D13=0),"",_xll.meDateFromTenor(COB,C13,$AI13,$AJ13))</f>
        <v>43228</v>
      </c>
      <c r="C13" s="4" t="s">
        <v>361</v>
      </c>
      <c r="D13" s="362">
        <v>1000000</v>
      </c>
      <c r="E13" s="362" t="s">
        <v>188</v>
      </c>
      <c r="F13" s="365" t="s">
        <v>1753</v>
      </c>
      <c r="G13" s="397" t="s">
        <v>115</v>
      </c>
      <c r="H13" s="1117" t="s">
        <v>186</v>
      </c>
      <c r="I13" s="363">
        <v>0.01</v>
      </c>
      <c r="J13" s="883">
        <v>0</v>
      </c>
      <c r="L13" s="203">
        <v>8</v>
      </c>
      <c r="M13" s="896" t="s">
        <v>2060</v>
      </c>
      <c r="N13" s="897">
        <f t="shared" si="0"/>
        <v>1000000</v>
      </c>
      <c r="O13" s="898" t="s">
        <v>1992</v>
      </c>
      <c r="P13" s="898" t="str">
        <f t="shared" si="1"/>
        <v>RECEIVE</v>
      </c>
      <c r="Q13" s="898" t="str">
        <f t="shared" si="2"/>
        <v>JPYYC</v>
      </c>
      <c r="R13" s="898"/>
      <c r="S13" s="898" t="str">
        <f t="shared" si="3"/>
        <v>JPYOIS</v>
      </c>
      <c r="T13" s="897" t="str">
        <f t="shared" si="4"/>
        <v>JPY</v>
      </c>
      <c r="U13" s="898"/>
      <c r="V13" s="899">
        <v>1</v>
      </c>
      <c r="W13" s="900">
        <f t="shared" si="5"/>
        <v>0.01</v>
      </c>
      <c r="X13" s="898"/>
      <c r="Y13" s="898"/>
      <c r="Z13" s="898"/>
      <c r="AA13" s="901">
        <f t="shared" ca="1" si="6"/>
        <v>43228</v>
      </c>
      <c r="AB13" s="901" t="str">
        <f t="shared" si="7"/>
        <v>8Y</v>
      </c>
      <c r="AC13" s="900" t="s">
        <v>2030</v>
      </c>
      <c r="AD13" s="898" t="str">
        <f t="shared" si="8"/>
        <v>ACT/365</v>
      </c>
      <c r="AE13" s="898" t="s">
        <v>38</v>
      </c>
      <c r="AF13" s="898" t="s">
        <v>200</v>
      </c>
      <c r="AG13" s="898" t="s">
        <v>38</v>
      </c>
      <c r="AH13" s="898" t="s">
        <v>200</v>
      </c>
      <c r="AI13" s="898" t="s">
        <v>38</v>
      </c>
      <c r="AJ13" s="898" t="s">
        <v>200</v>
      </c>
      <c r="AK13" s="898"/>
      <c r="AL13" s="898"/>
      <c r="AM13" s="898">
        <f t="shared" ca="1" si="9"/>
        <v>8</v>
      </c>
      <c r="AN13" s="898" t="s">
        <v>356</v>
      </c>
      <c r="AO13" s="898" t="s">
        <v>356</v>
      </c>
      <c r="AP13" s="902" t="s">
        <v>358</v>
      </c>
      <c r="AQ13" s="203">
        <v>8</v>
      </c>
      <c r="AR13" s="896" t="s">
        <v>1993</v>
      </c>
      <c r="AS13" s="897">
        <f t="shared" si="10"/>
        <v>1000000</v>
      </c>
      <c r="AT13" s="898" t="s">
        <v>1992</v>
      </c>
      <c r="AU13" s="898" t="str">
        <f t="shared" si="11"/>
        <v>PAY</v>
      </c>
      <c r="AV13" s="898" t="str">
        <f t="shared" si="12"/>
        <v>JPYYC</v>
      </c>
      <c r="AW13" s="898" t="str">
        <f t="shared" si="13"/>
        <v>JPYOIS</v>
      </c>
      <c r="AX13" s="898" t="str">
        <f t="shared" si="13"/>
        <v>JPYOIS</v>
      </c>
      <c r="AY13" s="897" t="str">
        <f t="shared" si="14"/>
        <v>JPY</v>
      </c>
      <c r="AZ13" s="898" t="s">
        <v>2078</v>
      </c>
      <c r="BA13" s="899">
        <v>1</v>
      </c>
      <c r="BB13" s="900"/>
      <c r="BC13" s="898"/>
      <c r="BD13" s="898"/>
      <c r="BE13" s="912">
        <f t="shared" si="15"/>
        <v>0</v>
      </c>
      <c r="BF13" s="901">
        <f t="shared" ca="1" si="16"/>
        <v>43228</v>
      </c>
      <c r="BG13" s="901" t="str">
        <f t="shared" si="17"/>
        <v>8Y</v>
      </c>
      <c r="BH13" s="900" t="s">
        <v>2030</v>
      </c>
      <c r="BI13" s="898" t="s">
        <v>3</v>
      </c>
      <c r="BJ13" s="898" t="s">
        <v>38</v>
      </c>
      <c r="BK13" s="898" t="s">
        <v>200</v>
      </c>
      <c r="BL13" s="898" t="s">
        <v>38</v>
      </c>
      <c r="BM13" s="898" t="s">
        <v>200</v>
      </c>
      <c r="BN13" s="898" t="s">
        <v>38</v>
      </c>
      <c r="BO13" s="898" t="s">
        <v>200</v>
      </c>
      <c r="BP13" s="898"/>
      <c r="BQ13" s="898"/>
      <c r="BR13" s="898">
        <f t="shared" ca="1" si="18"/>
        <v>8</v>
      </c>
      <c r="BS13" s="898" t="s">
        <v>356</v>
      </c>
      <c r="BT13" s="898" t="s">
        <v>356</v>
      </c>
      <c r="BU13" s="902" t="s">
        <v>358</v>
      </c>
      <c r="BV13" t="s">
        <v>12</v>
      </c>
      <c r="BW13" s="476" t="str">
        <f ca="1">IF(OR($D13="",$D13=0),"",_xll.meLWOSwapCreateFromLegLVBs($E13&amp;"OIS"&amp;$A13,_xll.meUtilityLVBFromKeysValues($M$5:$AP$5,$M13:$AP13),_xll.meUtilityLVBFromKeysValues($AR$5:$BU$5,$AR13:$BU13),FALSE))</f>
        <v>JPYOIS8@134:0</v>
      </c>
      <c r="BX13" s="900">
        <f ca="1">IF(OR($D13="",$D13=0),"",_xll.meLWOSwapParRate($BW13,Q13))</f>
        <v>9.6249998755650826E-4</v>
      </c>
      <c r="BY13" s="897">
        <f ca="1">IF(OR($D13="",$D13=0),"",_xll.meLWOSwapPV($BW13,Q13))</f>
        <v>72199.209914938925</v>
      </c>
      <c r="BZ13" s="921">
        <f ca="1">IF(OR($D13="",$D13=0),"",_xll.meLWOSwapPV01($BW13,Q13))</f>
        <v>798.88475591180941</v>
      </c>
      <c r="CA13" t="s">
        <v>12</v>
      </c>
      <c r="CD13" s="149"/>
    </row>
    <row r="14" spans="1:82">
      <c r="A14" s="203">
        <v>9</v>
      </c>
      <c r="B14" s="456">
        <f ca="1">IF(OR(D14="",D14=0),"",_xll.meDateFromTenor(COB,C14,$AI14,$AJ14))</f>
        <v>43228</v>
      </c>
      <c r="C14" s="4" t="s">
        <v>361</v>
      </c>
      <c r="D14" s="362">
        <v>1000000</v>
      </c>
      <c r="E14" s="362" t="s">
        <v>188</v>
      </c>
      <c r="F14" s="365" t="s">
        <v>1753</v>
      </c>
      <c r="G14" s="397" t="s">
        <v>109</v>
      </c>
      <c r="H14" s="1117" t="s">
        <v>186</v>
      </c>
      <c r="I14" s="363">
        <v>0.01</v>
      </c>
      <c r="J14" s="883">
        <v>0</v>
      </c>
      <c r="L14" s="203">
        <v>9</v>
      </c>
      <c r="M14" s="896" t="s">
        <v>2060</v>
      </c>
      <c r="N14" s="897">
        <f t="shared" si="0"/>
        <v>1000000</v>
      </c>
      <c r="O14" s="898" t="s">
        <v>1992</v>
      </c>
      <c r="P14" s="898" t="str">
        <f t="shared" si="1"/>
        <v>RECEIVE</v>
      </c>
      <c r="Q14" s="898" t="str">
        <f t="shared" si="2"/>
        <v>JPYYC</v>
      </c>
      <c r="R14" s="898"/>
      <c r="S14" s="898" t="str">
        <f t="shared" si="3"/>
        <v>JPYOIS</v>
      </c>
      <c r="T14" s="897" t="str">
        <f t="shared" si="4"/>
        <v>JPY</v>
      </c>
      <c r="U14" s="898"/>
      <c r="V14" s="899">
        <v>1</v>
      </c>
      <c r="W14" s="900">
        <f t="shared" si="5"/>
        <v>0.01</v>
      </c>
      <c r="X14" s="898"/>
      <c r="Y14" s="898"/>
      <c r="Z14" s="898"/>
      <c r="AA14" s="901">
        <f t="shared" ca="1" si="6"/>
        <v>43228</v>
      </c>
      <c r="AB14" s="901" t="str">
        <f t="shared" si="7"/>
        <v>9Y</v>
      </c>
      <c r="AC14" s="900" t="s">
        <v>2030</v>
      </c>
      <c r="AD14" s="898" t="str">
        <f t="shared" si="8"/>
        <v>ACT/365</v>
      </c>
      <c r="AE14" s="898" t="s">
        <v>38</v>
      </c>
      <c r="AF14" s="898" t="s">
        <v>200</v>
      </c>
      <c r="AG14" s="898" t="s">
        <v>38</v>
      </c>
      <c r="AH14" s="898" t="s">
        <v>200</v>
      </c>
      <c r="AI14" s="898" t="s">
        <v>38</v>
      </c>
      <c r="AJ14" s="898" t="s">
        <v>200</v>
      </c>
      <c r="AK14" s="898"/>
      <c r="AL14" s="898"/>
      <c r="AM14" s="898">
        <f t="shared" ca="1" si="9"/>
        <v>8</v>
      </c>
      <c r="AN14" s="898" t="s">
        <v>356</v>
      </c>
      <c r="AO14" s="898" t="s">
        <v>356</v>
      </c>
      <c r="AP14" s="902" t="s">
        <v>358</v>
      </c>
      <c r="AQ14" s="203">
        <v>9</v>
      </c>
      <c r="AR14" s="896" t="s">
        <v>1993</v>
      </c>
      <c r="AS14" s="897">
        <f t="shared" si="10"/>
        <v>1000000</v>
      </c>
      <c r="AT14" s="898" t="s">
        <v>1992</v>
      </c>
      <c r="AU14" s="898" t="str">
        <f t="shared" si="11"/>
        <v>PAY</v>
      </c>
      <c r="AV14" s="898" t="str">
        <f t="shared" si="12"/>
        <v>JPYYC</v>
      </c>
      <c r="AW14" s="898" t="str">
        <f t="shared" si="13"/>
        <v>JPYOIS</v>
      </c>
      <c r="AX14" s="898" t="str">
        <f t="shared" si="13"/>
        <v>JPYOIS</v>
      </c>
      <c r="AY14" s="897" t="str">
        <f t="shared" si="14"/>
        <v>JPY</v>
      </c>
      <c r="AZ14" s="898" t="s">
        <v>2078</v>
      </c>
      <c r="BA14" s="899">
        <v>1</v>
      </c>
      <c r="BB14" s="900"/>
      <c r="BC14" s="898"/>
      <c r="BD14" s="898"/>
      <c r="BE14" s="912">
        <f t="shared" si="15"/>
        <v>0</v>
      </c>
      <c r="BF14" s="901">
        <f t="shared" ca="1" si="16"/>
        <v>43228</v>
      </c>
      <c r="BG14" s="901" t="str">
        <f t="shared" si="17"/>
        <v>9Y</v>
      </c>
      <c r="BH14" s="900" t="s">
        <v>2030</v>
      </c>
      <c r="BI14" s="898" t="s">
        <v>3</v>
      </c>
      <c r="BJ14" s="898" t="s">
        <v>38</v>
      </c>
      <c r="BK14" s="898" t="s">
        <v>200</v>
      </c>
      <c r="BL14" s="898" t="s">
        <v>38</v>
      </c>
      <c r="BM14" s="898" t="s">
        <v>200</v>
      </c>
      <c r="BN14" s="898" t="s">
        <v>38</v>
      </c>
      <c r="BO14" s="898" t="s">
        <v>200</v>
      </c>
      <c r="BP14" s="898"/>
      <c r="BQ14" s="898"/>
      <c r="BR14" s="898">
        <f t="shared" ca="1" si="18"/>
        <v>8</v>
      </c>
      <c r="BS14" s="898" t="s">
        <v>356</v>
      </c>
      <c r="BT14" s="898" t="s">
        <v>356</v>
      </c>
      <c r="BU14" s="902" t="s">
        <v>358</v>
      </c>
      <c r="BV14" t="s">
        <v>12</v>
      </c>
      <c r="BW14" s="476" t="str">
        <f ca="1">IF(OR($D14="",$D14=0),"",_xll.meLWOSwapCreateFromLegLVBs($E14&amp;"OIS"&amp;$A14,_xll.meUtilityLVBFromKeysValues($M$5:$AP$5,$M14:$AP14),_xll.meUtilityLVBFromKeysValues($AR$5:$BU$5,$AR14:$BU14),FALSE))</f>
        <v>JPYOIS9@148:0</v>
      </c>
      <c r="BX14" s="900">
        <f ca="1">IF(OR($D14="",$D14=0),"",_xll.meLWOSwapParRate($BW14,Q14))</f>
        <v>1.2249999883859343E-3</v>
      </c>
      <c r="BY14" s="897">
        <f ca="1">IF(OR($D14="",$D14=0),"",_xll.meLWOSwapPV($BW14,Q14))</f>
        <v>78828.075817580466</v>
      </c>
      <c r="BZ14" s="921">
        <f ca="1">IF(OR($D14="",$D14=0),"",_xll.meLWOSwapPV01($BW14,Q14))</f>
        <v>898.32564915382716</v>
      </c>
      <c r="CA14" t="s">
        <v>12</v>
      </c>
      <c r="CD14" s="149"/>
    </row>
    <row r="15" spans="1:82">
      <c r="A15" s="203">
        <v>10</v>
      </c>
      <c r="B15" s="456">
        <f ca="1">IF(OR(D15="",D15=0),"",_xll.meDateFromTenor(COB,C15,$AI15,$AJ15))</f>
        <v>43228</v>
      </c>
      <c r="C15" s="4" t="s">
        <v>361</v>
      </c>
      <c r="D15" s="362">
        <v>1000000</v>
      </c>
      <c r="E15" s="362" t="s">
        <v>188</v>
      </c>
      <c r="F15" s="365" t="s">
        <v>1753</v>
      </c>
      <c r="G15" s="397" t="s">
        <v>27</v>
      </c>
      <c r="H15" s="1117" t="s">
        <v>186</v>
      </c>
      <c r="I15" s="363">
        <v>0.01</v>
      </c>
      <c r="J15" s="883">
        <v>0</v>
      </c>
      <c r="L15" s="203">
        <v>10</v>
      </c>
      <c r="M15" s="896" t="s">
        <v>2060</v>
      </c>
      <c r="N15" s="897">
        <f t="shared" si="0"/>
        <v>1000000</v>
      </c>
      <c r="O15" s="898" t="s">
        <v>1992</v>
      </c>
      <c r="P15" s="898" t="str">
        <f t="shared" si="1"/>
        <v>RECEIVE</v>
      </c>
      <c r="Q15" s="898" t="str">
        <f t="shared" si="2"/>
        <v>JPYYC</v>
      </c>
      <c r="R15" s="898"/>
      <c r="S15" s="898" t="str">
        <f t="shared" si="3"/>
        <v>JPYOIS</v>
      </c>
      <c r="T15" s="897" t="str">
        <f t="shared" si="4"/>
        <v>JPY</v>
      </c>
      <c r="U15" s="898"/>
      <c r="V15" s="899">
        <v>1</v>
      </c>
      <c r="W15" s="900">
        <f t="shared" si="5"/>
        <v>0.01</v>
      </c>
      <c r="X15" s="898"/>
      <c r="Y15" s="898"/>
      <c r="Z15" s="898"/>
      <c r="AA15" s="901">
        <f t="shared" ca="1" si="6"/>
        <v>43228</v>
      </c>
      <c r="AB15" s="901" t="str">
        <f t="shared" si="7"/>
        <v>10Y</v>
      </c>
      <c r="AC15" s="900" t="s">
        <v>2030</v>
      </c>
      <c r="AD15" s="898" t="str">
        <f t="shared" si="8"/>
        <v>ACT/365</v>
      </c>
      <c r="AE15" s="898" t="s">
        <v>38</v>
      </c>
      <c r="AF15" s="898" t="s">
        <v>200</v>
      </c>
      <c r="AG15" s="898" t="s">
        <v>38</v>
      </c>
      <c r="AH15" s="898" t="s">
        <v>200</v>
      </c>
      <c r="AI15" s="898" t="s">
        <v>38</v>
      </c>
      <c r="AJ15" s="898" t="s">
        <v>200</v>
      </c>
      <c r="AK15" s="898"/>
      <c r="AL15" s="898"/>
      <c r="AM15" s="898">
        <f t="shared" ca="1" si="9"/>
        <v>8</v>
      </c>
      <c r="AN15" s="898" t="s">
        <v>356</v>
      </c>
      <c r="AO15" s="898" t="s">
        <v>356</v>
      </c>
      <c r="AP15" s="902" t="s">
        <v>358</v>
      </c>
      <c r="AQ15" s="203">
        <v>10</v>
      </c>
      <c r="AR15" s="896" t="s">
        <v>1993</v>
      </c>
      <c r="AS15" s="897">
        <f t="shared" si="10"/>
        <v>1000000</v>
      </c>
      <c r="AT15" s="898" t="s">
        <v>1992</v>
      </c>
      <c r="AU15" s="898" t="str">
        <f t="shared" si="11"/>
        <v>PAY</v>
      </c>
      <c r="AV15" s="898" t="str">
        <f t="shared" si="12"/>
        <v>JPYYC</v>
      </c>
      <c r="AW15" s="898" t="str">
        <f t="shared" si="13"/>
        <v>JPYOIS</v>
      </c>
      <c r="AX15" s="898" t="str">
        <f t="shared" si="13"/>
        <v>JPYOIS</v>
      </c>
      <c r="AY15" s="897" t="str">
        <f t="shared" si="14"/>
        <v>JPY</v>
      </c>
      <c r="AZ15" s="898" t="s">
        <v>2078</v>
      </c>
      <c r="BA15" s="899">
        <v>1</v>
      </c>
      <c r="BB15" s="900"/>
      <c r="BC15" s="898"/>
      <c r="BD15" s="898"/>
      <c r="BE15" s="912">
        <f t="shared" si="15"/>
        <v>0</v>
      </c>
      <c r="BF15" s="901">
        <f t="shared" ca="1" si="16"/>
        <v>43228</v>
      </c>
      <c r="BG15" s="901" t="str">
        <f t="shared" si="17"/>
        <v>10Y</v>
      </c>
      <c r="BH15" s="900" t="s">
        <v>2030</v>
      </c>
      <c r="BI15" s="898" t="s">
        <v>3</v>
      </c>
      <c r="BJ15" s="898" t="s">
        <v>38</v>
      </c>
      <c r="BK15" s="898" t="s">
        <v>200</v>
      </c>
      <c r="BL15" s="898" t="s">
        <v>38</v>
      </c>
      <c r="BM15" s="898" t="s">
        <v>200</v>
      </c>
      <c r="BN15" s="898" t="s">
        <v>38</v>
      </c>
      <c r="BO15" s="898" t="s">
        <v>200</v>
      </c>
      <c r="BP15" s="898"/>
      <c r="BQ15" s="898"/>
      <c r="BR15" s="898">
        <f t="shared" ca="1" si="18"/>
        <v>8</v>
      </c>
      <c r="BS15" s="898" t="s">
        <v>356</v>
      </c>
      <c r="BT15" s="898" t="s">
        <v>356</v>
      </c>
      <c r="BU15" s="902" t="s">
        <v>358</v>
      </c>
      <c r="BV15" t="s">
        <v>12</v>
      </c>
      <c r="BW15" s="476" t="str">
        <f ca="1">IF(OR($D15="",$D15=0),"",_xll.meLWOSwapCreateFromLegLVBs($E15&amp;"OIS"&amp;$A15,_xll.meUtilityLVBFromKeysValues($M$5:$AP$5,$M15:$AP15),_xll.meUtilityLVBFromKeysValues($AR$5:$BU$5,$AR15:$BU15),FALSE))</f>
        <v>JPYOIS10@39:0</v>
      </c>
      <c r="BX15" s="900">
        <f ca="1">IF(OR($D15="",$D15=0),"",_xll.meLWOSwapParRate($BW15,Q15))</f>
        <v>1.5124999920232494E-3</v>
      </c>
      <c r="BY15" s="897">
        <f ca="1">IF(OR($D15="",$D15=0),"",_xll.meLWOSwapPV($BW15,Q15))</f>
        <v>84581.937387477345</v>
      </c>
      <c r="BZ15" s="921">
        <f ca="1">IF(OR($D15="",$D15=0),"",_xll.meLWOSwapPV01($BW15,Q15))</f>
        <v>996.54712586727851</v>
      </c>
      <c r="CA15" t="s">
        <v>12</v>
      </c>
      <c r="CD15" s="149"/>
    </row>
    <row r="16" spans="1:82">
      <c r="A16" s="203">
        <v>11</v>
      </c>
      <c r="B16" s="456">
        <f ca="1">IF(OR(D16="",D16=0),"",_xll.meDateFromTenor(COB,C16,$AI16,$AJ16))</f>
        <v>43228</v>
      </c>
      <c r="C16" s="4" t="s">
        <v>361</v>
      </c>
      <c r="D16" s="362">
        <v>1000000</v>
      </c>
      <c r="E16" s="362" t="s">
        <v>188</v>
      </c>
      <c r="F16" s="365" t="s">
        <v>1753</v>
      </c>
      <c r="G16" s="397" t="s">
        <v>318</v>
      </c>
      <c r="H16" s="1117" t="s">
        <v>186</v>
      </c>
      <c r="I16" s="363">
        <v>0.01</v>
      </c>
      <c r="J16" s="883">
        <v>0</v>
      </c>
      <c r="L16" s="203">
        <v>11</v>
      </c>
      <c r="M16" s="896" t="s">
        <v>2060</v>
      </c>
      <c r="N16" s="897">
        <f t="shared" si="0"/>
        <v>1000000</v>
      </c>
      <c r="O16" s="898" t="s">
        <v>1992</v>
      </c>
      <c r="P16" s="898" t="str">
        <f t="shared" si="1"/>
        <v>RECEIVE</v>
      </c>
      <c r="Q16" s="898" t="str">
        <f t="shared" si="2"/>
        <v>JPYYC</v>
      </c>
      <c r="R16" s="898"/>
      <c r="S16" s="898" t="str">
        <f t="shared" si="3"/>
        <v>JPYOIS</v>
      </c>
      <c r="T16" s="897" t="str">
        <f t="shared" si="4"/>
        <v>JPY</v>
      </c>
      <c r="U16" s="898"/>
      <c r="V16" s="899">
        <v>1</v>
      </c>
      <c r="W16" s="900">
        <f t="shared" si="5"/>
        <v>0.01</v>
      </c>
      <c r="X16" s="898"/>
      <c r="Y16" s="898"/>
      <c r="Z16" s="898"/>
      <c r="AA16" s="901">
        <f t="shared" ca="1" si="6"/>
        <v>43228</v>
      </c>
      <c r="AB16" s="901" t="str">
        <f t="shared" si="7"/>
        <v>11Y</v>
      </c>
      <c r="AC16" s="900" t="s">
        <v>2030</v>
      </c>
      <c r="AD16" s="898" t="str">
        <f t="shared" si="8"/>
        <v>ACT/365</v>
      </c>
      <c r="AE16" s="898" t="s">
        <v>38</v>
      </c>
      <c r="AF16" s="898" t="s">
        <v>200</v>
      </c>
      <c r="AG16" s="898" t="s">
        <v>38</v>
      </c>
      <c r="AH16" s="898" t="s">
        <v>200</v>
      </c>
      <c r="AI16" s="898" t="s">
        <v>38</v>
      </c>
      <c r="AJ16" s="898" t="s">
        <v>200</v>
      </c>
      <c r="AK16" s="898"/>
      <c r="AL16" s="898"/>
      <c r="AM16" s="898">
        <f t="shared" ca="1" si="9"/>
        <v>8</v>
      </c>
      <c r="AN16" s="898" t="s">
        <v>356</v>
      </c>
      <c r="AO16" s="898" t="s">
        <v>356</v>
      </c>
      <c r="AP16" s="902" t="s">
        <v>358</v>
      </c>
      <c r="AQ16" s="203">
        <v>11</v>
      </c>
      <c r="AR16" s="896" t="s">
        <v>1993</v>
      </c>
      <c r="AS16" s="897">
        <f t="shared" si="10"/>
        <v>1000000</v>
      </c>
      <c r="AT16" s="898" t="s">
        <v>1992</v>
      </c>
      <c r="AU16" s="898" t="str">
        <f t="shared" si="11"/>
        <v>PAY</v>
      </c>
      <c r="AV16" s="898" t="str">
        <f t="shared" si="12"/>
        <v>JPYYC</v>
      </c>
      <c r="AW16" s="898" t="str">
        <f t="shared" si="13"/>
        <v>JPYOIS</v>
      </c>
      <c r="AX16" s="898" t="str">
        <f t="shared" si="13"/>
        <v>JPYOIS</v>
      </c>
      <c r="AY16" s="897" t="str">
        <f t="shared" si="14"/>
        <v>JPY</v>
      </c>
      <c r="AZ16" s="898" t="s">
        <v>2078</v>
      </c>
      <c r="BA16" s="899">
        <v>1</v>
      </c>
      <c r="BB16" s="900"/>
      <c r="BC16" s="898"/>
      <c r="BD16" s="898"/>
      <c r="BE16" s="912">
        <f t="shared" si="15"/>
        <v>0</v>
      </c>
      <c r="BF16" s="901">
        <f t="shared" ca="1" si="16"/>
        <v>43228</v>
      </c>
      <c r="BG16" s="901" t="str">
        <f t="shared" si="17"/>
        <v>11Y</v>
      </c>
      <c r="BH16" s="900" t="s">
        <v>2030</v>
      </c>
      <c r="BI16" s="898" t="s">
        <v>3</v>
      </c>
      <c r="BJ16" s="898" t="s">
        <v>38</v>
      </c>
      <c r="BK16" s="898" t="s">
        <v>200</v>
      </c>
      <c r="BL16" s="898" t="s">
        <v>38</v>
      </c>
      <c r="BM16" s="898" t="s">
        <v>200</v>
      </c>
      <c r="BN16" s="898" t="s">
        <v>38</v>
      </c>
      <c r="BO16" s="898" t="s">
        <v>200</v>
      </c>
      <c r="BP16" s="898"/>
      <c r="BQ16" s="898"/>
      <c r="BR16" s="898">
        <f t="shared" ca="1" si="18"/>
        <v>8</v>
      </c>
      <c r="BS16" s="898" t="s">
        <v>356</v>
      </c>
      <c r="BT16" s="898" t="s">
        <v>356</v>
      </c>
      <c r="BU16" s="902" t="s">
        <v>358</v>
      </c>
      <c r="BV16" t="s">
        <v>12</v>
      </c>
      <c r="BW16" s="476" t="str">
        <f ca="1">IF(OR($D16="",$D16=0),"",_xll.meLWOSwapCreateFromLegLVBs($E16&amp;"OIS"&amp;$A16,_xll.meUtilityLVBFromKeysValues($M$5:$AP$5,$M16:$AP16),_xll.meUtilityLVBFromKeysValues($AR$5:$BU$5,$AR16:$BU16),FALSE))</f>
        <v>JPYOIS11@24:0</v>
      </c>
      <c r="BX16" s="900">
        <f ca="1">IF(OR($D16="",$D16=0),"",_xll.meLWOSwapParRate($BW16,Q16))</f>
        <v>1.8374999907868096E-3</v>
      </c>
      <c r="BY16" s="897">
        <f ca="1">IF(OR($D16="",$D16=0),"",_xll.meLWOSwapPV($BW16,Q16))</f>
        <v>89341.274525197456</v>
      </c>
      <c r="BZ16" s="921">
        <f ca="1">IF(OR($D16="",$D16=0),"",_xll.meLWOSwapPV01($BW16,Q16))</f>
        <v>1094.533224188129</v>
      </c>
      <c r="CA16" t="s">
        <v>12</v>
      </c>
      <c r="CD16" s="149"/>
    </row>
    <row r="17" spans="1:82">
      <c r="A17" s="203">
        <v>12</v>
      </c>
      <c r="B17" s="456">
        <f ca="1">IF(OR(D17="",D17=0),"",_xll.meDateFromTenor(COB,C17,$AI17,$AJ17))</f>
        <v>43228</v>
      </c>
      <c r="C17" s="4" t="s">
        <v>361</v>
      </c>
      <c r="D17" s="362">
        <v>1000000</v>
      </c>
      <c r="E17" s="362" t="s">
        <v>188</v>
      </c>
      <c r="F17" s="365" t="s">
        <v>1753</v>
      </c>
      <c r="G17" s="397" t="s">
        <v>25</v>
      </c>
      <c r="H17" s="1117" t="s">
        <v>186</v>
      </c>
      <c r="I17" s="363">
        <v>0.01</v>
      </c>
      <c r="J17" s="883">
        <v>0</v>
      </c>
      <c r="L17" s="203">
        <v>12</v>
      </c>
      <c r="M17" s="896" t="s">
        <v>2060</v>
      </c>
      <c r="N17" s="897">
        <f t="shared" si="0"/>
        <v>1000000</v>
      </c>
      <c r="O17" s="898" t="s">
        <v>1992</v>
      </c>
      <c r="P17" s="898" t="str">
        <f t="shared" si="1"/>
        <v>RECEIVE</v>
      </c>
      <c r="Q17" s="898" t="str">
        <f t="shared" si="2"/>
        <v>JPYYC</v>
      </c>
      <c r="R17" s="898"/>
      <c r="S17" s="898" t="str">
        <f t="shared" si="3"/>
        <v>JPYOIS</v>
      </c>
      <c r="T17" s="897" t="str">
        <f t="shared" si="4"/>
        <v>JPY</v>
      </c>
      <c r="U17" s="898"/>
      <c r="V17" s="899">
        <v>1</v>
      </c>
      <c r="W17" s="900">
        <f t="shared" si="5"/>
        <v>0.01</v>
      </c>
      <c r="X17" s="898"/>
      <c r="Y17" s="898"/>
      <c r="Z17" s="898"/>
      <c r="AA17" s="901">
        <f t="shared" ca="1" si="6"/>
        <v>43228</v>
      </c>
      <c r="AB17" s="901" t="str">
        <f t="shared" si="7"/>
        <v>12Y</v>
      </c>
      <c r="AC17" s="900" t="s">
        <v>2030</v>
      </c>
      <c r="AD17" s="898" t="str">
        <f t="shared" si="8"/>
        <v>ACT/365</v>
      </c>
      <c r="AE17" s="898" t="s">
        <v>38</v>
      </c>
      <c r="AF17" s="898" t="s">
        <v>200</v>
      </c>
      <c r="AG17" s="898" t="s">
        <v>38</v>
      </c>
      <c r="AH17" s="898" t="s">
        <v>200</v>
      </c>
      <c r="AI17" s="898" t="s">
        <v>38</v>
      </c>
      <c r="AJ17" s="898" t="s">
        <v>200</v>
      </c>
      <c r="AK17" s="898"/>
      <c r="AL17" s="898"/>
      <c r="AM17" s="898">
        <f t="shared" ca="1" si="9"/>
        <v>8</v>
      </c>
      <c r="AN17" s="898" t="s">
        <v>356</v>
      </c>
      <c r="AO17" s="898" t="s">
        <v>356</v>
      </c>
      <c r="AP17" s="902" t="s">
        <v>358</v>
      </c>
      <c r="AQ17" s="203">
        <v>12</v>
      </c>
      <c r="AR17" s="896" t="s">
        <v>1993</v>
      </c>
      <c r="AS17" s="897">
        <f t="shared" si="10"/>
        <v>1000000</v>
      </c>
      <c r="AT17" s="898" t="s">
        <v>1992</v>
      </c>
      <c r="AU17" s="898" t="str">
        <f t="shared" si="11"/>
        <v>PAY</v>
      </c>
      <c r="AV17" s="898" t="str">
        <f t="shared" si="12"/>
        <v>JPYYC</v>
      </c>
      <c r="AW17" s="898" t="str">
        <f t="shared" si="13"/>
        <v>JPYOIS</v>
      </c>
      <c r="AX17" s="898" t="str">
        <f t="shared" si="13"/>
        <v>JPYOIS</v>
      </c>
      <c r="AY17" s="897" t="str">
        <f t="shared" si="14"/>
        <v>JPY</v>
      </c>
      <c r="AZ17" s="898" t="s">
        <v>2078</v>
      </c>
      <c r="BA17" s="899">
        <v>1</v>
      </c>
      <c r="BB17" s="900"/>
      <c r="BC17" s="898"/>
      <c r="BD17" s="898"/>
      <c r="BE17" s="912">
        <f t="shared" si="15"/>
        <v>0</v>
      </c>
      <c r="BF17" s="901">
        <f t="shared" ca="1" si="16"/>
        <v>43228</v>
      </c>
      <c r="BG17" s="901" t="str">
        <f t="shared" si="17"/>
        <v>12Y</v>
      </c>
      <c r="BH17" s="900" t="s">
        <v>2030</v>
      </c>
      <c r="BI17" s="898" t="s">
        <v>3</v>
      </c>
      <c r="BJ17" s="898" t="s">
        <v>38</v>
      </c>
      <c r="BK17" s="898" t="s">
        <v>200</v>
      </c>
      <c r="BL17" s="898" t="s">
        <v>38</v>
      </c>
      <c r="BM17" s="898" t="s">
        <v>200</v>
      </c>
      <c r="BN17" s="898" t="s">
        <v>38</v>
      </c>
      <c r="BO17" s="898" t="s">
        <v>200</v>
      </c>
      <c r="BP17" s="898"/>
      <c r="BQ17" s="898"/>
      <c r="BR17" s="898">
        <f t="shared" ca="1" si="18"/>
        <v>8</v>
      </c>
      <c r="BS17" s="898" t="s">
        <v>356</v>
      </c>
      <c r="BT17" s="898" t="s">
        <v>356</v>
      </c>
      <c r="BU17" s="902" t="s">
        <v>358</v>
      </c>
      <c r="BV17" t="s">
        <v>12</v>
      </c>
      <c r="BW17" s="476" t="str">
        <f ca="1">IF(OR($D17="",$D17=0),"",_xll.meLWOSwapCreateFromLegLVBs($E17&amp;"OIS"&amp;$A17,_xll.meUtilityLVBFromKeysValues($M$5:$AP$5,$M17:$AP17),_xll.meUtilityLVBFromKeysValues($AR$5:$BU$5,$AR17:$BU17),FALSE))</f>
        <v>JPYOIS12@105:0</v>
      </c>
      <c r="BX17" s="900">
        <f ca="1">IF(OR($D17="",$D17=0),"",_xll.meLWOSwapParRate($BW17,Q17))</f>
        <v>2.1749999943548389E-3</v>
      </c>
      <c r="BY17" s="897">
        <f ca="1">IF(OR($D17="",$D17=0),"",_xll.meLWOSwapPV($BW17,Q17))</f>
        <v>93269.018533559865</v>
      </c>
      <c r="BZ17" s="921">
        <f ca="1">IF(OR($D17="",$D17=0),"",_xll.meLWOSwapPV01($BW17,Q17))</f>
        <v>1191.9363382271329</v>
      </c>
      <c r="CA17" t="s">
        <v>12</v>
      </c>
      <c r="CD17" s="149"/>
    </row>
    <row r="18" spans="1:82">
      <c r="A18" s="203">
        <v>13</v>
      </c>
      <c r="B18" s="456">
        <f ca="1">IF(OR(D18="",D18=0),"",_xll.meDateFromTenor(COB,C18,$AI18,$AJ18))</f>
        <v>43228</v>
      </c>
      <c r="C18" s="4" t="s">
        <v>361</v>
      </c>
      <c r="D18" s="362">
        <v>1000000</v>
      </c>
      <c r="E18" s="362" t="s">
        <v>188</v>
      </c>
      <c r="F18" s="365" t="s">
        <v>1753</v>
      </c>
      <c r="G18" s="397" t="s">
        <v>23</v>
      </c>
      <c r="H18" s="1117" t="s">
        <v>186</v>
      </c>
      <c r="I18" s="363">
        <v>0.01</v>
      </c>
      <c r="J18" s="883">
        <v>0</v>
      </c>
      <c r="L18" s="203">
        <v>13</v>
      </c>
      <c r="M18" s="896" t="s">
        <v>2060</v>
      </c>
      <c r="N18" s="897">
        <f t="shared" si="0"/>
        <v>1000000</v>
      </c>
      <c r="O18" s="898" t="s">
        <v>1992</v>
      </c>
      <c r="P18" s="898" t="str">
        <f t="shared" si="1"/>
        <v>RECEIVE</v>
      </c>
      <c r="Q18" s="898" t="str">
        <f t="shared" si="2"/>
        <v>JPYYC</v>
      </c>
      <c r="R18" s="898"/>
      <c r="S18" s="898" t="str">
        <f t="shared" si="3"/>
        <v>JPYOIS</v>
      </c>
      <c r="T18" s="897" t="str">
        <f t="shared" si="4"/>
        <v>JPY</v>
      </c>
      <c r="U18" s="898"/>
      <c r="V18" s="899">
        <v>1</v>
      </c>
      <c r="W18" s="900">
        <f t="shared" si="5"/>
        <v>0.01</v>
      </c>
      <c r="X18" s="898"/>
      <c r="Y18" s="898"/>
      <c r="Z18" s="898"/>
      <c r="AA18" s="901">
        <f t="shared" ca="1" si="6"/>
        <v>43228</v>
      </c>
      <c r="AB18" s="901" t="str">
        <f t="shared" si="7"/>
        <v>15Y</v>
      </c>
      <c r="AC18" s="900" t="s">
        <v>2030</v>
      </c>
      <c r="AD18" s="898" t="str">
        <f t="shared" si="8"/>
        <v>ACT/365</v>
      </c>
      <c r="AE18" s="898" t="s">
        <v>38</v>
      </c>
      <c r="AF18" s="898" t="s">
        <v>200</v>
      </c>
      <c r="AG18" s="898" t="s">
        <v>38</v>
      </c>
      <c r="AH18" s="898" t="s">
        <v>200</v>
      </c>
      <c r="AI18" s="898" t="s">
        <v>38</v>
      </c>
      <c r="AJ18" s="898" t="s">
        <v>200</v>
      </c>
      <c r="AK18" s="898"/>
      <c r="AL18" s="898"/>
      <c r="AM18" s="898">
        <f t="shared" ca="1" si="9"/>
        <v>8</v>
      </c>
      <c r="AN18" s="898" t="s">
        <v>356</v>
      </c>
      <c r="AO18" s="898" t="s">
        <v>356</v>
      </c>
      <c r="AP18" s="902" t="s">
        <v>358</v>
      </c>
      <c r="AQ18" s="203">
        <v>13</v>
      </c>
      <c r="AR18" s="896" t="s">
        <v>1993</v>
      </c>
      <c r="AS18" s="897">
        <f t="shared" si="10"/>
        <v>1000000</v>
      </c>
      <c r="AT18" s="898" t="s">
        <v>1992</v>
      </c>
      <c r="AU18" s="898" t="str">
        <f t="shared" si="11"/>
        <v>PAY</v>
      </c>
      <c r="AV18" s="898" t="str">
        <f t="shared" si="12"/>
        <v>JPYYC</v>
      </c>
      <c r="AW18" s="898" t="str">
        <f t="shared" si="13"/>
        <v>JPYOIS</v>
      </c>
      <c r="AX18" s="898" t="str">
        <f t="shared" si="13"/>
        <v>JPYOIS</v>
      </c>
      <c r="AY18" s="897" t="str">
        <f t="shared" si="14"/>
        <v>JPY</v>
      </c>
      <c r="AZ18" s="898" t="s">
        <v>2078</v>
      </c>
      <c r="BA18" s="899">
        <v>1</v>
      </c>
      <c r="BB18" s="900"/>
      <c r="BC18" s="898"/>
      <c r="BD18" s="898"/>
      <c r="BE18" s="912">
        <f t="shared" si="15"/>
        <v>0</v>
      </c>
      <c r="BF18" s="901">
        <f t="shared" ca="1" si="16"/>
        <v>43228</v>
      </c>
      <c r="BG18" s="901" t="str">
        <f t="shared" si="17"/>
        <v>15Y</v>
      </c>
      <c r="BH18" s="900" t="s">
        <v>2030</v>
      </c>
      <c r="BI18" s="898" t="s">
        <v>3</v>
      </c>
      <c r="BJ18" s="898" t="s">
        <v>38</v>
      </c>
      <c r="BK18" s="898" t="s">
        <v>200</v>
      </c>
      <c r="BL18" s="898" t="s">
        <v>38</v>
      </c>
      <c r="BM18" s="898" t="s">
        <v>200</v>
      </c>
      <c r="BN18" s="898" t="s">
        <v>38</v>
      </c>
      <c r="BO18" s="898" t="s">
        <v>200</v>
      </c>
      <c r="BP18" s="898"/>
      <c r="BQ18" s="898"/>
      <c r="BR18" s="898">
        <f t="shared" ca="1" si="18"/>
        <v>8</v>
      </c>
      <c r="BS18" s="898" t="s">
        <v>356</v>
      </c>
      <c r="BT18" s="898" t="s">
        <v>356</v>
      </c>
      <c r="BU18" s="902" t="s">
        <v>358</v>
      </c>
      <c r="BV18" t="s">
        <v>12</v>
      </c>
      <c r="BW18" s="476" t="str">
        <f ca="1">IF(OR($D18="",$D18=0),"",_xll.meLWOSwapCreateFromLegLVBs($E18&amp;"OIS"&amp;$A18,_xll.meUtilityLVBFromKeysValues($M$5:$AP$5,$M18:$AP18),_xll.meUtilityLVBFromKeysValues($AR$5:$BU$5,$AR18:$BU18),FALSE))</f>
        <v>JPYOIS13@155:0</v>
      </c>
      <c r="BX18" s="900">
        <f ca="1">IF(OR($D18="",$D18=0),"",_xll.meLWOSwapParRate($BW18,Q18))</f>
        <v>3.2624999966222911E-3</v>
      </c>
      <c r="BY18" s="897">
        <f ca="1">IF(OR($D18="",$D18=0),"",_xll.meLWOSwapPV($BW18,Q18))</f>
        <v>99737.080668785857</v>
      </c>
      <c r="BZ18" s="921">
        <f ca="1">IF(OR($D18="",$D18=0),"",_xll.meLWOSwapPV01($BW18,Q18))</f>
        <v>1480.327727180478</v>
      </c>
      <c r="CA18" t="s">
        <v>12</v>
      </c>
      <c r="CD18" s="149"/>
    </row>
    <row r="19" spans="1:82">
      <c r="A19" s="203">
        <v>14</v>
      </c>
      <c r="B19" s="456">
        <f ca="1">IF(OR(D19="",D19=0),"",_xll.meDateFromTenor(COB,C19,$AI19,$AJ19))</f>
        <v>43228</v>
      </c>
      <c r="C19" s="4" t="s">
        <v>361</v>
      </c>
      <c r="D19" s="362">
        <v>1000000</v>
      </c>
      <c r="E19" s="362" t="s">
        <v>188</v>
      </c>
      <c r="F19" s="365" t="s">
        <v>1753</v>
      </c>
      <c r="G19" s="397" t="s">
        <v>19</v>
      </c>
      <c r="H19" s="1117" t="s">
        <v>186</v>
      </c>
      <c r="I19" s="363">
        <v>0.01</v>
      </c>
      <c r="J19" s="883">
        <v>0</v>
      </c>
      <c r="L19" s="203">
        <v>14</v>
      </c>
      <c r="M19" s="896" t="s">
        <v>2060</v>
      </c>
      <c r="N19" s="897">
        <f t="shared" si="0"/>
        <v>1000000</v>
      </c>
      <c r="O19" s="898" t="s">
        <v>1992</v>
      </c>
      <c r="P19" s="898" t="str">
        <f t="shared" si="1"/>
        <v>RECEIVE</v>
      </c>
      <c r="Q19" s="898" t="str">
        <f t="shared" si="2"/>
        <v>JPYYC</v>
      </c>
      <c r="R19" s="898"/>
      <c r="S19" s="898" t="str">
        <f t="shared" si="3"/>
        <v>JPYOIS</v>
      </c>
      <c r="T19" s="897" t="str">
        <f t="shared" si="4"/>
        <v>JPY</v>
      </c>
      <c r="U19" s="898"/>
      <c r="V19" s="899">
        <v>1</v>
      </c>
      <c r="W19" s="900">
        <f t="shared" si="5"/>
        <v>0.01</v>
      </c>
      <c r="X19" s="898"/>
      <c r="Y19" s="898"/>
      <c r="Z19" s="898"/>
      <c r="AA19" s="901">
        <f t="shared" ca="1" si="6"/>
        <v>43228</v>
      </c>
      <c r="AB19" s="901" t="str">
        <f t="shared" si="7"/>
        <v>20Y</v>
      </c>
      <c r="AC19" s="900" t="s">
        <v>2030</v>
      </c>
      <c r="AD19" s="898" t="str">
        <f t="shared" si="8"/>
        <v>ACT/365</v>
      </c>
      <c r="AE19" s="898" t="s">
        <v>38</v>
      </c>
      <c r="AF19" s="898" t="s">
        <v>200</v>
      </c>
      <c r="AG19" s="898" t="s">
        <v>38</v>
      </c>
      <c r="AH19" s="898" t="s">
        <v>200</v>
      </c>
      <c r="AI19" s="898" t="s">
        <v>38</v>
      </c>
      <c r="AJ19" s="898" t="s">
        <v>200</v>
      </c>
      <c r="AK19" s="898"/>
      <c r="AL19" s="898"/>
      <c r="AM19" s="898">
        <f t="shared" ca="1" si="9"/>
        <v>8</v>
      </c>
      <c r="AN19" s="898" t="s">
        <v>356</v>
      </c>
      <c r="AO19" s="898" t="s">
        <v>356</v>
      </c>
      <c r="AP19" s="902" t="s">
        <v>358</v>
      </c>
      <c r="AQ19" s="203">
        <v>14</v>
      </c>
      <c r="AR19" s="896" t="s">
        <v>1993</v>
      </c>
      <c r="AS19" s="897">
        <f t="shared" si="10"/>
        <v>1000000</v>
      </c>
      <c r="AT19" s="898" t="s">
        <v>1992</v>
      </c>
      <c r="AU19" s="898" t="str">
        <f t="shared" si="11"/>
        <v>PAY</v>
      </c>
      <c r="AV19" s="898" t="str">
        <f t="shared" si="12"/>
        <v>JPYYC</v>
      </c>
      <c r="AW19" s="898" t="str">
        <f t="shared" si="13"/>
        <v>JPYOIS</v>
      </c>
      <c r="AX19" s="898" t="str">
        <f t="shared" si="13"/>
        <v>JPYOIS</v>
      </c>
      <c r="AY19" s="897" t="str">
        <f t="shared" si="14"/>
        <v>JPY</v>
      </c>
      <c r="AZ19" s="898" t="s">
        <v>2078</v>
      </c>
      <c r="BA19" s="899">
        <v>1</v>
      </c>
      <c r="BB19" s="900"/>
      <c r="BC19" s="898"/>
      <c r="BD19" s="898"/>
      <c r="BE19" s="912">
        <f t="shared" si="15"/>
        <v>0</v>
      </c>
      <c r="BF19" s="901">
        <f t="shared" ca="1" si="16"/>
        <v>43228</v>
      </c>
      <c r="BG19" s="901" t="str">
        <f t="shared" si="17"/>
        <v>20Y</v>
      </c>
      <c r="BH19" s="900" t="s">
        <v>2030</v>
      </c>
      <c r="BI19" s="898" t="s">
        <v>3</v>
      </c>
      <c r="BJ19" s="898" t="s">
        <v>38</v>
      </c>
      <c r="BK19" s="898" t="s">
        <v>200</v>
      </c>
      <c r="BL19" s="898" t="s">
        <v>38</v>
      </c>
      <c r="BM19" s="898" t="s">
        <v>200</v>
      </c>
      <c r="BN19" s="898" t="s">
        <v>38</v>
      </c>
      <c r="BO19" s="898" t="s">
        <v>200</v>
      </c>
      <c r="BP19" s="898"/>
      <c r="BQ19" s="898"/>
      <c r="BR19" s="898">
        <f t="shared" ca="1" si="18"/>
        <v>8</v>
      </c>
      <c r="BS19" s="898" t="s">
        <v>356</v>
      </c>
      <c r="BT19" s="898" t="s">
        <v>356</v>
      </c>
      <c r="BU19" s="902" t="s">
        <v>358</v>
      </c>
      <c r="BV19" t="s">
        <v>12</v>
      </c>
      <c r="BW19" s="476" t="str">
        <f ca="1">IF(OR($D19="",$D19=0),"",_xll.meLWOSwapCreateFromLegLVBs($E19&amp;"OIS"&amp;$A19,_xll.meUtilityLVBFromKeysValues($M$5:$AP$5,$M19:$AP19),_xll.meUtilityLVBFromKeysValues($AR$5:$BU$5,$AR19:$BU19),FALSE))</f>
        <v>JPYOIS14@35:0</v>
      </c>
      <c r="BX19" s="900">
        <f ca="1">IF(OR($D19="",$D19=0),"",_xll.meLWOSwapParRate($BW19,Q19))</f>
        <v>4.8374669294224733E-3</v>
      </c>
      <c r="BY19" s="897">
        <f ca="1">IF(OR($D19="",$D19=0),"",_xll.meLWOSwapPV($BW19,Q19))</f>
        <v>100310.19206080528</v>
      </c>
      <c r="BZ19" s="921">
        <f ca="1">IF(OR($D19="",$D19=0),"",_xll.meLWOSwapPV01($BW19,Q19))</f>
        <v>1943.0421207855566</v>
      </c>
      <c r="CA19" t="s">
        <v>12</v>
      </c>
      <c r="CD19" s="149"/>
    </row>
    <row r="20" spans="1:82">
      <c r="A20" s="203">
        <v>15</v>
      </c>
      <c r="B20" s="456">
        <f ca="1">IF(OR(D20="",D20=0),"",_xll.meDateFromTenor(COB,C20,$AI20,$AJ20))</f>
        <v>43228</v>
      </c>
      <c r="C20" s="4" t="s">
        <v>361</v>
      </c>
      <c r="D20" s="362">
        <v>1000000</v>
      </c>
      <c r="E20" s="362" t="s">
        <v>188</v>
      </c>
      <c r="F20" s="365" t="s">
        <v>1753</v>
      </c>
      <c r="G20" s="397" t="s">
        <v>17</v>
      </c>
      <c r="H20" s="1117" t="s">
        <v>186</v>
      </c>
      <c r="I20" s="363">
        <v>0.01</v>
      </c>
      <c r="J20" s="883">
        <v>0</v>
      </c>
      <c r="L20" s="203">
        <v>15</v>
      </c>
      <c r="M20" s="896" t="s">
        <v>2060</v>
      </c>
      <c r="N20" s="897">
        <f t="shared" si="0"/>
        <v>1000000</v>
      </c>
      <c r="O20" s="898" t="s">
        <v>1992</v>
      </c>
      <c r="P20" s="898" t="str">
        <f t="shared" si="1"/>
        <v>RECEIVE</v>
      </c>
      <c r="Q20" s="898" t="str">
        <f t="shared" si="2"/>
        <v>JPYYC</v>
      </c>
      <c r="R20" s="898"/>
      <c r="S20" s="898" t="str">
        <f t="shared" si="3"/>
        <v>JPYOIS</v>
      </c>
      <c r="T20" s="897" t="str">
        <f t="shared" si="4"/>
        <v>JPY</v>
      </c>
      <c r="U20" s="898"/>
      <c r="V20" s="899">
        <v>1</v>
      </c>
      <c r="W20" s="900">
        <f t="shared" si="5"/>
        <v>0.01</v>
      </c>
      <c r="X20" s="898"/>
      <c r="Y20" s="898"/>
      <c r="Z20" s="898"/>
      <c r="AA20" s="901">
        <f t="shared" ca="1" si="6"/>
        <v>43228</v>
      </c>
      <c r="AB20" s="901" t="str">
        <f t="shared" si="7"/>
        <v>25Y</v>
      </c>
      <c r="AC20" s="900" t="s">
        <v>2030</v>
      </c>
      <c r="AD20" s="898" t="str">
        <f t="shared" si="8"/>
        <v>ACT/365</v>
      </c>
      <c r="AE20" s="898" t="s">
        <v>38</v>
      </c>
      <c r="AF20" s="898" t="s">
        <v>200</v>
      </c>
      <c r="AG20" s="898" t="s">
        <v>38</v>
      </c>
      <c r="AH20" s="898" t="s">
        <v>200</v>
      </c>
      <c r="AI20" s="898" t="s">
        <v>38</v>
      </c>
      <c r="AJ20" s="898" t="s">
        <v>200</v>
      </c>
      <c r="AK20" s="898"/>
      <c r="AL20" s="898"/>
      <c r="AM20" s="898">
        <f t="shared" ca="1" si="9"/>
        <v>8</v>
      </c>
      <c r="AN20" s="898" t="s">
        <v>356</v>
      </c>
      <c r="AO20" s="898" t="s">
        <v>356</v>
      </c>
      <c r="AP20" s="902" t="s">
        <v>358</v>
      </c>
      <c r="AQ20" s="203">
        <v>15</v>
      </c>
      <c r="AR20" s="896" t="s">
        <v>1993</v>
      </c>
      <c r="AS20" s="897">
        <f t="shared" si="10"/>
        <v>1000000</v>
      </c>
      <c r="AT20" s="898" t="s">
        <v>1992</v>
      </c>
      <c r="AU20" s="898" t="str">
        <f t="shared" si="11"/>
        <v>PAY</v>
      </c>
      <c r="AV20" s="898" t="str">
        <f t="shared" si="12"/>
        <v>JPYYC</v>
      </c>
      <c r="AW20" s="898" t="str">
        <f t="shared" si="13"/>
        <v>JPYOIS</v>
      </c>
      <c r="AX20" s="898" t="str">
        <f t="shared" si="13"/>
        <v>JPYOIS</v>
      </c>
      <c r="AY20" s="897" t="str">
        <f t="shared" si="14"/>
        <v>JPY</v>
      </c>
      <c r="AZ20" s="898" t="s">
        <v>2078</v>
      </c>
      <c r="BA20" s="899">
        <v>1</v>
      </c>
      <c r="BB20" s="900"/>
      <c r="BC20" s="898"/>
      <c r="BD20" s="898"/>
      <c r="BE20" s="912">
        <f t="shared" si="15"/>
        <v>0</v>
      </c>
      <c r="BF20" s="901">
        <f t="shared" ca="1" si="16"/>
        <v>43228</v>
      </c>
      <c r="BG20" s="901" t="str">
        <f t="shared" si="17"/>
        <v>25Y</v>
      </c>
      <c r="BH20" s="900" t="s">
        <v>2030</v>
      </c>
      <c r="BI20" s="898" t="s">
        <v>3</v>
      </c>
      <c r="BJ20" s="898" t="s">
        <v>38</v>
      </c>
      <c r="BK20" s="898" t="s">
        <v>200</v>
      </c>
      <c r="BL20" s="898" t="s">
        <v>38</v>
      </c>
      <c r="BM20" s="898" t="s">
        <v>200</v>
      </c>
      <c r="BN20" s="898" t="s">
        <v>38</v>
      </c>
      <c r="BO20" s="898" t="s">
        <v>200</v>
      </c>
      <c r="BP20" s="898"/>
      <c r="BQ20" s="898"/>
      <c r="BR20" s="898">
        <f t="shared" ca="1" si="18"/>
        <v>8</v>
      </c>
      <c r="BS20" s="898" t="s">
        <v>356</v>
      </c>
      <c r="BT20" s="898" t="s">
        <v>356</v>
      </c>
      <c r="BU20" s="902" t="s">
        <v>358</v>
      </c>
      <c r="BV20" t="s">
        <v>12</v>
      </c>
      <c r="BW20" s="476" t="str">
        <f ca="1">IF(OR($D20="",$D20=0),"",_xll.meLWOSwapCreateFromLegLVBs($E20&amp;"OIS"&amp;$A20,_xll.meUtilityLVBFromKeysValues($M$5:$AP$5,$M20:$AP20),_xll.meUtilityLVBFromKeysValues($AR$5:$BU$5,$AR20:$BU20),FALSE))</f>
        <v>JPYOIS15@135:0</v>
      </c>
      <c r="BX20" s="900">
        <f ca="1">IF(OR($D20="",$D20=0),"",_xll.meLWOSwapParRate($BW20,Q20))</f>
        <v>5.8499776863638227E-3</v>
      </c>
      <c r="BY20" s="897">
        <f ca="1">IF(OR($D20="",$D20=0),"",_xll.meLWOSwapPV($BW20,Q20))</f>
        <v>98845.56514757438</v>
      </c>
      <c r="BZ20" s="921">
        <f ca="1">IF(OR($D20="",$D20=0),"",_xll.meLWOSwapPV01($BW20,Q20))</f>
        <v>2381.8080404721386</v>
      </c>
      <c r="CA20" t="s">
        <v>12</v>
      </c>
      <c r="CD20" s="149"/>
    </row>
    <row r="21" spans="1:82">
      <c r="A21" s="203">
        <v>16</v>
      </c>
      <c r="B21" s="456">
        <f ca="1">IF(OR(D21="",D21=0),"",_xll.meDateFromTenor(COB,C21,$AI21,$AJ21))</f>
        <v>43228</v>
      </c>
      <c r="C21" s="4" t="s">
        <v>361</v>
      </c>
      <c r="D21" s="362">
        <v>1000000</v>
      </c>
      <c r="E21" s="362" t="s">
        <v>188</v>
      </c>
      <c r="F21" s="365" t="s">
        <v>1753</v>
      </c>
      <c r="G21" s="397" t="s">
        <v>16</v>
      </c>
      <c r="H21" s="1117" t="s">
        <v>186</v>
      </c>
      <c r="I21" s="363">
        <v>0.01</v>
      </c>
      <c r="J21" s="883">
        <v>0</v>
      </c>
      <c r="L21" s="203">
        <v>16</v>
      </c>
      <c r="M21" s="896" t="s">
        <v>2060</v>
      </c>
      <c r="N21" s="897">
        <f t="shared" si="0"/>
        <v>1000000</v>
      </c>
      <c r="O21" s="898" t="s">
        <v>1992</v>
      </c>
      <c r="P21" s="898" t="str">
        <f t="shared" si="1"/>
        <v>RECEIVE</v>
      </c>
      <c r="Q21" s="898" t="str">
        <f t="shared" si="2"/>
        <v>JPYYC</v>
      </c>
      <c r="R21" s="898"/>
      <c r="S21" s="898" t="str">
        <f t="shared" si="3"/>
        <v>JPYOIS</v>
      </c>
      <c r="T21" s="897" t="str">
        <f t="shared" si="4"/>
        <v>JPY</v>
      </c>
      <c r="U21" s="898"/>
      <c r="V21" s="899">
        <v>1</v>
      </c>
      <c r="W21" s="900">
        <f t="shared" si="5"/>
        <v>0.01</v>
      </c>
      <c r="X21" s="898"/>
      <c r="Y21" s="898"/>
      <c r="Z21" s="898"/>
      <c r="AA21" s="901">
        <f t="shared" ca="1" si="6"/>
        <v>43228</v>
      </c>
      <c r="AB21" s="901" t="str">
        <f t="shared" si="7"/>
        <v>30Y</v>
      </c>
      <c r="AC21" s="900" t="s">
        <v>2030</v>
      </c>
      <c r="AD21" s="898" t="str">
        <f t="shared" si="8"/>
        <v>ACT/365</v>
      </c>
      <c r="AE21" s="898" t="s">
        <v>38</v>
      </c>
      <c r="AF21" s="898" t="s">
        <v>200</v>
      </c>
      <c r="AG21" s="898" t="s">
        <v>38</v>
      </c>
      <c r="AH21" s="898" t="s">
        <v>200</v>
      </c>
      <c r="AI21" s="898" t="s">
        <v>38</v>
      </c>
      <c r="AJ21" s="898" t="s">
        <v>200</v>
      </c>
      <c r="AK21" s="898"/>
      <c r="AL21" s="898"/>
      <c r="AM21" s="898">
        <f t="shared" ca="1" si="9"/>
        <v>8</v>
      </c>
      <c r="AN21" s="898" t="s">
        <v>356</v>
      </c>
      <c r="AO21" s="898" t="s">
        <v>356</v>
      </c>
      <c r="AP21" s="902" t="s">
        <v>358</v>
      </c>
      <c r="AQ21" s="203">
        <v>16</v>
      </c>
      <c r="AR21" s="896" t="s">
        <v>1993</v>
      </c>
      <c r="AS21" s="897">
        <f t="shared" si="10"/>
        <v>1000000</v>
      </c>
      <c r="AT21" s="898" t="s">
        <v>1992</v>
      </c>
      <c r="AU21" s="898" t="str">
        <f t="shared" si="11"/>
        <v>PAY</v>
      </c>
      <c r="AV21" s="898" t="str">
        <f t="shared" si="12"/>
        <v>JPYYC</v>
      </c>
      <c r="AW21" s="898" t="str">
        <f t="shared" si="13"/>
        <v>JPYOIS</v>
      </c>
      <c r="AX21" s="898" t="str">
        <f t="shared" si="13"/>
        <v>JPYOIS</v>
      </c>
      <c r="AY21" s="897" t="str">
        <f t="shared" si="14"/>
        <v>JPY</v>
      </c>
      <c r="AZ21" s="898" t="s">
        <v>2078</v>
      </c>
      <c r="BA21" s="899">
        <v>1</v>
      </c>
      <c r="BB21" s="900"/>
      <c r="BC21" s="898"/>
      <c r="BD21" s="898"/>
      <c r="BE21" s="912">
        <f t="shared" si="15"/>
        <v>0</v>
      </c>
      <c r="BF21" s="901">
        <f t="shared" ca="1" si="16"/>
        <v>43228</v>
      </c>
      <c r="BG21" s="901" t="str">
        <f t="shared" si="17"/>
        <v>30Y</v>
      </c>
      <c r="BH21" s="900" t="s">
        <v>2030</v>
      </c>
      <c r="BI21" s="898" t="s">
        <v>3</v>
      </c>
      <c r="BJ21" s="898" t="s">
        <v>38</v>
      </c>
      <c r="BK21" s="898" t="s">
        <v>200</v>
      </c>
      <c r="BL21" s="898" t="s">
        <v>38</v>
      </c>
      <c r="BM21" s="898" t="s">
        <v>200</v>
      </c>
      <c r="BN21" s="898" t="s">
        <v>38</v>
      </c>
      <c r="BO21" s="898" t="s">
        <v>200</v>
      </c>
      <c r="BP21" s="898"/>
      <c r="BQ21" s="898"/>
      <c r="BR21" s="898">
        <f t="shared" ca="1" si="18"/>
        <v>8</v>
      </c>
      <c r="BS21" s="898" t="s">
        <v>356</v>
      </c>
      <c r="BT21" s="898" t="s">
        <v>356</v>
      </c>
      <c r="BU21" s="902" t="s">
        <v>358</v>
      </c>
      <c r="BV21" t="s">
        <v>12</v>
      </c>
      <c r="BW21" s="476" t="str">
        <f ca="1">IF(OR($D21="",$D21=0),"",_xll.meLWOSwapCreateFromLegLVBs($E21&amp;"OIS"&amp;$A21,_xll.meUtilityLVBFromKeysValues($M$5:$AP$5,$M21:$AP21),_xll.meUtilityLVBFromKeysValues($AR$5:$BU$5,$AR21:$BU21),FALSE))</f>
        <v>JPYOIS16@50:0</v>
      </c>
      <c r="BX21" s="900">
        <f ca="1">IF(OR($D21="",$D21=0),"",_xll.meLWOSwapParRate($BW21,Q21))</f>
        <v>6.487480291292225E-3</v>
      </c>
      <c r="BY21" s="897">
        <f ca="1">IF(OR($D21="",$D21=0),"",_xll.meLWOSwapPV($BW21,Q21))</f>
        <v>98333.111462854606</v>
      </c>
      <c r="BZ21" s="921">
        <f ca="1">IF(OR($D21="",$D21=0),"",_xll.meLWOSwapPV01($BW21,Q21))</f>
        <v>2799.5034794845456</v>
      </c>
      <c r="CA21" t="s">
        <v>12</v>
      </c>
      <c r="CD21" s="149"/>
    </row>
    <row r="22" spans="1:82">
      <c r="A22" s="203">
        <v>17</v>
      </c>
      <c r="B22" s="456">
        <f ca="1">IF(OR(D22="",D22=0),"",_xll.meDateFromTenor(COB,C22,$AI22,$AJ22))</f>
        <v>43228</v>
      </c>
      <c r="C22" s="4" t="s">
        <v>361</v>
      </c>
      <c r="D22" s="362">
        <v>1000000</v>
      </c>
      <c r="E22" s="362" t="s">
        <v>188</v>
      </c>
      <c r="F22" s="365" t="s">
        <v>1753</v>
      </c>
      <c r="G22" s="397" t="s">
        <v>14</v>
      </c>
      <c r="H22" s="1117" t="s">
        <v>186</v>
      </c>
      <c r="I22" s="363">
        <v>0.01</v>
      </c>
      <c r="J22" s="883">
        <v>0</v>
      </c>
      <c r="L22" s="203">
        <v>17</v>
      </c>
      <c r="M22" s="896" t="s">
        <v>2060</v>
      </c>
      <c r="N22" s="897">
        <f t="shared" si="0"/>
        <v>1000000</v>
      </c>
      <c r="O22" s="898" t="s">
        <v>1992</v>
      </c>
      <c r="P22" s="898" t="str">
        <f t="shared" si="1"/>
        <v>RECEIVE</v>
      </c>
      <c r="Q22" s="898" t="str">
        <f t="shared" si="2"/>
        <v>JPYYC</v>
      </c>
      <c r="R22" s="898"/>
      <c r="S22" s="898" t="str">
        <f t="shared" si="3"/>
        <v>JPYOIS</v>
      </c>
      <c r="T22" s="897" t="str">
        <f t="shared" si="4"/>
        <v>JPY</v>
      </c>
      <c r="U22" s="898"/>
      <c r="V22" s="899">
        <v>1</v>
      </c>
      <c r="W22" s="900">
        <f t="shared" si="5"/>
        <v>0.01</v>
      </c>
      <c r="X22" s="898"/>
      <c r="Y22" s="898"/>
      <c r="Z22" s="898"/>
      <c r="AA22" s="901">
        <f t="shared" ca="1" si="6"/>
        <v>43228</v>
      </c>
      <c r="AB22" s="901" t="str">
        <f t="shared" si="7"/>
        <v>40Y</v>
      </c>
      <c r="AC22" s="900" t="s">
        <v>2030</v>
      </c>
      <c r="AD22" s="898" t="str">
        <f t="shared" si="8"/>
        <v>ACT/365</v>
      </c>
      <c r="AE22" s="898" t="s">
        <v>38</v>
      </c>
      <c r="AF22" s="898" t="s">
        <v>200</v>
      </c>
      <c r="AG22" s="898" t="s">
        <v>38</v>
      </c>
      <c r="AH22" s="898" t="s">
        <v>200</v>
      </c>
      <c r="AI22" s="898" t="s">
        <v>38</v>
      </c>
      <c r="AJ22" s="898" t="s">
        <v>200</v>
      </c>
      <c r="AK22" s="898"/>
      <c r="AL22" s="898"/>
      <c r="AM22" s="898">
        <f t="shared" ca="1" si="9"/>
        <v>8</v>
      </c>
      <c r="AN22" s="898" t="s">
        <v>356</v>
      </c>
      <c r="AO22" s="898" t="s">
        <v>356</v>
      </c>
      <c r="AP22" s="902" t="s">
        <v>358</v>
      </c>
      <c r="AQ22" s="203">
        <v>17</v>
      </c>
      <c r="AR22" s="896" t="s">
        <v>1993</v>
      </c>
      <c r="AS22" s="897">
        <f t="shared" si="10"/>
        <v>1000000</v>
      </c>
      <c r="AT22" s="898" t="s">
        <v>1992</v>
      </c>
      <c r="AU22" s="898" t="str">
        <f t="shared" si="11"/>
        <v>PAY</v>
      </c>
      <c r="AV22" s="898" t="str">
        <f t="shared" si="12"/>
        <v>JPYYC</v>
      </c>
      <c r="AW22" s="898" t="str">
        <f t="shared" si="13"/>
        <v>JPYOIS</v>
      </c>
      <c r="AX22" s="898" t="str">
        <f t="shared" si="13"/>
        <v>JPYOIS</v>
      </c>
      <c r="AY22" s="897" t="str">
        <f t="shared" si="14"/>
        <v>JPY</v>
      </c>
      <c r="AZ22" s="898" t="s">
        <v>2078</v>
      </c>
      <c r="BA22" s="899">
        <v>1</v>
      </c>
      <c r="BB22" s="900"/>
      <c r="BC22" s="898"/>
      <c r="BD22" s="898"/>
      <c r="BE22" s="912">
        <f t="shared" si="15"/>
        <v>0</v>
      </c>
      <c r="BF22" s="901">
        <f t="shared" ca="1" si="16"/>
        <v>43228</v>
      </c>
      <c r="BG22" s="901" t="str">
        <f t="shared" si="17"/>
        <v>40Y</v>
      </c>
      <c r="BH22" s="900" t="s">
        <v>2030</v>
      </c>
      <c r="BI22" s="898" t="s">
        <v>3</v>
      </c>
      <c r="BJ22" s="898" t="s">
        <v>38</v>
      </c>
      <c r="BK22" s="898" t="s">
        <v>200</v>
      </c>
      <c r="BL22" s="898" t="s">
        <v>38</v>
      </c>
      <c r="BM22" s="898" t="s">
        <v>200</v>
      </c>
      <c r="BN22" s="898" t="s">
        <v>38</v>
      </c>
      <c r="BO22" s="898" t="s">
        <v>200</v>
      </c>
      <c r="BP22" s="898"/>
      <c r="BQ22" s="898"/>
      <c r="BR22" s="898">
        <f t="shared" ca="1" si="18"/>
        <v>8</v>
      </c>
      <c r="BS22" s="898" t="s">
        <v>356</v>
      </c>
      <c r="BT22" s="898" t="s">
        <v>356</v>
      </c>
      <c r="BU22" s="902" t="s">
        <v>358</v>
      </c>
      <c r="BV22" t="s">
        <v>12</v>
      </c>
      <c r="BW22" s="476" t="str">
        <f ca="1">IF(OR($D22="",$D22=0),"",_xll.meLWOSwapCreateFromLegLVBs($E22&amp;"OIS"&amp;$A22,_xll.meUtilityLVBFromKeysValues($M$5:$AP$5,$M22:$AP22),_xll.meUtilityLVBFromKeysValues($AR$5:$BU$5,$AR22:$BU22),FALSE))</f>
        <v>JPYOIS17@150:0</v>
      </c>
      <c r="BX22" s="900">
        <f ca="1">IF(OR($D22="",$D22=0),"",_xll.meLWOSwapParRate($BW22,Q22))</f>
        <v>7.1251915866544441E-3</v>
      </c>
      <c r="BY22" s="897">
        <f ca="1">IF(OR($D22="",$D22=0),"",_xll.meLWOSwapPV($BW22,Q22))</f>
        <v>102755.95082604693</v>
      </c>
      <c r="BZ22" s="921">
        <f ca="1">IF(OR($D22="",$D22=0),"",_xll.meLWOSwapPV01($BW22,Q22))</f>
        <v>3574.3582198044569</v>
      </c>
      <c r="CA22" t="s">
        <v>12</v>
      </c>
      <c r="CD22" s="149"/>
    </row>
    <row r="23" spans="1:82">
      <c r="A23" s="203">
        <v>18</v>
      </c>
      <c r="B23" s="456">
        <f ca="1">IF(OR(D23="",D23=0),"",_xll.meDateFromTenor(COB,C23,$AI23,$AJ23))</f>
        <v>43228</v>
      </c>
      <c r="C23" s="4" t="s">
        <v>361</v>
      </c>
      <c r="D23" s="362">
        <v>1000000</v>
      </c>
      <c r="E23" s="362" t="s">
        <v>188</v>
      </c>
      <c r="F23" s="365" t="s">
        <v>1753</v>
      </c>
      <c r="G23" s="397" t="s">
        <v>13</v>
      </c>
      <c r="H23" s="1117" t="s">
        <v>186</v>
      </c>
      <c r="I23" s="363">
        <v>0.01</v>
      </c>
      <c r="J23" s="883">
        <v>0</v>
      </c>
      <c r="L23" s="203">
        <v>18</v>
      </c>
      <c r="M23" s="896" t="s">
        <v>2060</v>
      </c>
      <c r="N23" s="897">
        <f t="shared" si="0"/>
        <v>1000000</v>
      </c>
      <c r="O23" s="898" t="s">
        <v>1992</v>
      </c>
      <c r="P23" s="898" t="str">
        <f t="shared" si="1"/>
        <v>RECEIVE</v>
      </c>
      <c r="Q23" s="898" t="str">
        <f t="shared" si="2"/>
        <v>JPYYC</v>
      </c>
      <c r="R23" s="898"/>
      <c r="S23" s="898" t="str">
        <f t="shared" si="3"/>
        <v>JPYOIS</v>
      </c>
      <c r="T23" s="897" t="str">
        <f t="shared" si="4"/>
        <v>JPY</v>
      </c>
      <c r="U23" s="898"/>
      <c r="V23" s="899">
        <v>1</v>
      </c>
      <c r="W23" s="900">
        <f t="shared" si="5"/>
        <v>0.01</v>
      </c>
      <c r="X23" s="898"/>
      <c r="Y23" s="898"/>
      <c r="Z23" s="898"/>
      <c r="AA23" s="901">
        <f t="shared" ca="1" si="6"/>
        <v>43228</v>
      </c>
      <c r="AB23" s="901" t="str">
        <f t="shared" si="7"/>
        <v>50Y</v>
      </c>
      <c r="AC23" s="900" t="s">
        <v>2030</v>
      </c>
      <c r="AD23" s="898" t="str">
        <f t="shared" si="8"/>
        <v>ACT/365</v>
      </c>
      <c r="AE23" s="898" t="s">
        <v>38</v>
      </c>
      <c r="AF23" s="898" t="s">
        <v>200</v>
      </c>
      <c r="AG23" s="898" t="s">
        <v>38</v>
      </c>
      <c r="AH23" s="898" t="s">
        <v>200</v>
      </c>
      <c r="AI23" s="898" t="s">
        <v>38</v>
      </c>
      <c r="AJ23" s="898" t="s">
        <v>200</v>
      </c>
      <c r="AK23" s="898"/>
      <c r="AL23" s="898"/>
      <c r="AM23" s="898">
        <f t="shared" ca="1" si="9"/>
        <v>8</v>
      </c>
      <c r="AN23" s="898" t="s">
        <v>356</v>
      </c>
      <c r="AO23" s="898" t="s">
        <v>356</v>
      </c>
      <c r="AP23" s="902" t="s">
        <v>358</v>
      </c>
      <c r="AQ23" s="203">
        <v>18</v>
      </c>
      <c r="AR23" s="896" t="s">
        <v>1993</v>
      </c>
      <c r="AS23" s="897">
        <f t="shared" si="10"/>
        <v>1000000</v>
      </c>
      <c r="AT23" s="898" t="s">
        <v>1992</v>
      </c>
      <c r="AU23" s="898" t="str">
        <f t="shared" si="11"/>
        <v>PAY</v>
      </c>
      <c r="AV23" s="898" t="str">
        <f t="shared" si="12"/>
        <v>JPYYC</v>
      </c>
      <c r="AW23" s="898" t="str">
        <f t="shared" si="13"/>
        <v>JPYOIS</v>
      </c>
      <c r="AX23" s="898" t="str">
        <f t="shared" si="13"/>
        <v>JPYOIS</v>
      </c>
      <c r="AY23" s="897" t="str">
        <f t="shared" si="14"/>
        <v>JPY</v>
      </c>
      <c r="AZ23" s="898" t="s">
        <v>2078</v>
      </c>
      <c r="BA23" s="899">
        <v>1</v>
      </c>
      <c r="BB23" s="900"/>
      <c r="BC23" s="898"/>
      <c r="BD23" s="898"/>
      <c r="BE23" s="912">
        <f t="shared" si="15"/>
        <v>0</v>
      </c>
      <c r="BF23" s="901">
        <f t="shared" ca="1" si="16"/>
        <v>43228</v>
      </c>
      <c r="BG23" s="901" t="str">
        <f t="shared" si="17"/>
        <v>50Y</v>
      </c>
      <c r="BH23" s="900" t="s">
        <v>2030</v>
      </c>
      <c r="BI23" s="898" t="s">
        <v>3</v>
      </c>
      <c r="BJ23" s="898" t="s">
        <v>38</v>
      </c>
      <c r="BK23" s="898" t="s">
        <v>200</v>
      </c>
      <c r="BL23" s="898" t="s">
        <v>38</v>
      </c>
      <c r="BM23" s="898" t="s">
        <v>200</v>
      </c>
      <c r="BN23" s="898" t="s">
        <v>38</v>
      </c>
      <c r="BO23" s="898" t="s">
        <v>200</v>
      </c>
      <c r="BP23" s="898"/>
      <c r="BQ23" s="898"/>
      <c r="BR23" s="898">
        <f t="shared" ca="1" si="18"/>
        <v>8</v>
      </c>
      <c r="BS23" s="898" t="s">
        <v>356</v>
      </c>
      <c r="BT23" s="898" t="s">
        <v>356</v>
      </c>
      <c r="BU23" s="902" t="s">
        <v>358</v>
      </c>
      <c r="BV23" t="s">
        <v>12</v>
      </c>
      <c r="BW23" s="476" t="str">
        <f ca="1">IF(OR($D23="",$D23=0),"",_xll.meLWOSwapCreateFromLegLVBs($E23&amp;"OIS"&amp;$A23,_xll.meUtilityLVBFromKeysValues($M$5:$AP$5,$M23:$AP23),_xll.meUtilityLVBFromKeysValues($AR$5:$BU$5,$AR23:$BU23),FALSE))</f>
        <v>JPYOIS18@119:0</v>
      </c>
      <c r="BX23" s="900">
        <f ca="1">IF(OR($D23="",$D23=0),"",_xll.meLWOSwapParRate($BW23,Q23))</f>
        <v>6.0544542214747508E-3</v>
      </c>
      <c r="BY23" s="897">
        <f ca="1">IF(OR($D23="",$D23=0),"",_xll.meLWOSwapPV($BW23,Q23))</f>
        <v>169950.74030210398</v>
      </c>
      <c r="BZ23" s="921">
        <f ca="1">IF(OR($D23="",$D23=0),"",_xll.meLWOSwapPV01($BW23,Q23))</f>
        <v>4307.4076399546302</v>
      </c>
      <c r="CA23" t="s">
        <v>12</v>
      </c>
      <c r="CD23" s="149"/>
    </row>
    <row r="24" spans="1:82">
      <c r="A24" s="203">
        <v>19</v>
      </c>
      <c r="B24" s="456" t="str">
        <f>IF(OR(D24="",D24=0),"",_xll.meDateFromTenor(COB,C24,$AI24,$AJ24))</f>
        <v/>
      </c>
      <c r="C24" s="4"/>
      <c r="D24" s="362"/>
      <c r="E24" s="362"/>
      <c r="F24" s="365"/>
      <c r="G24" s="397"/>
      <c r="H24" s="1117"/>
      <c r="I24" s="363"/>
      <c r="J24" s="883"/>
      <c r="L24" s="203">
        <v>19</v>
      </c>
      <c r="M24" s="896" t="s">
        <v>2060</v>
      </c>
      <c r="N24" s="897">
        <f t="shared" si="0"/>
        <v>0</v>
      </c>
      <c r="O24" s="898" t="s">
        <v>1992</v>
      </c>
      <c r="P24" s="898" t="str">
        <f t="shared" si="1"/>
        <v>RECEIVE</v>
      </c>
      <c r="Q24" s="898" t="str">
        <f t="shared" si="2"/>
        <v>YC</v>
      </c>
      <c r="R24" s="898"/>
      <c r="S24" s="898" t="str">
        <f t="shared" si="3"/>
        <v>OIS</v>
      </c>
      <c r="T24" s="897">
        <f t="shared" si="4"/>
        <v>0</v>
      </c>
      <c r="U24" s="898"/>
      <c r="V24" s="899">
        <v>1</v>
      </c>
      <c r="W24" s="900">
        <f t="shared" si="5"/>
        <v>0</v>
      </c>
      <c r="X24" s="898"/>
      <c r="Y24" s="898"/>
      <c r="Z24" s="898"/>
      <c r="AA24" s="901" t="str">
        <f t="shared" si="6"/>
        <v/>
      </c>
      <c r="AB24" s="901">
        <f t="shared" si="7"/>
        <v>0</v>
      </c>
      <c r="AC24" s="900" t="s">
        <v>2030</v>
      </c>
      <c r="AD24" s="898">
        <f t="shared" si="8"/>
        <v>0</v>
      </c>
      <c r="AE24" s="898" t="s">
        <v>38</v>
      </c>
      <c r="AF24" s="898" t="s">
        <v>200</v>
      </c>
      <c r="AG24" s="898" t="s">
        <v>38</v>
      </c>
      <c r="AH24" s="898" t="s">
        <v>200</v>
      </c>
      <c r="AI24" s="898" t="s">
        <v>38</v>
      </c>
      <c r="AJ24" s="898" t="s">
        <v>200</v>
      </c>
      <c r="AK24" s="898"/>
      <c r="AL24" s="898"/>
      <c r="AM24" s="898" t="e">
        <f t="shared" si="9"/>
        <v>#VALUE!</v>
      </c>
      <c r="AN24" s="898" t="s">
        <v>356</v>
      </c>
      <c r="AO24" s="898" t="s">
        <v>356</v>
      </c>
      <c r="AP24" s="902" t="s">
        <v>358</v>
      </c>
      <c r="AQ24" s="203">
        <v>19</v>
      </c>
      <c r="AR24" s="896" t="s">
        <v>1993</v>
      </c>
      <c r="AS24" s="897">
        <f t="shared" si="10"/>
        <v>0</v>
      </c>
      <c r="AT24" s="898" t="s">
        <v>1992</v>
      </c>
      <c r="AU24" s="898" t="str">
        <f t="shared" si="11"/>
        <v>PAY</v>
      </c>
      <c r="AV24" s="898" t="str">
        <f t="shared" si="12"/>
        <v>YC</v>
      </c>
      <c r="AW24" s="898" t="str">
        <f t="shared" si="13"/>
        <v>OIS</v>
      </c>
      <c r="AX24" s="898" t="str">
        <f t="shared" si="13"/>
        <v>OIS</v>
      </c>
      <c r="AY24" s="897">
        <f t="shared" si="14"/>
        <v>0</v>
      </c>
      <c r="AZ24" s="898" t="s">
        <v>2078</v>
      </c>
      <c r="BA24" s="899">
        <v>1</v>
      </c>
      <c r="BB24" s="900"/>
      <c r="BC24" s="898"/>
      <c r="BD24" s="898"/>
      <c r="BE24" s="912">
        <f t="shared" si="15"/>
        <v>0</v>
      </c>
      <c r="BF24" s="901" t="str">
        <f t="shared" si="16"/>
        <v/>
      </c>
      <c r="BG24" s="901">
        <f t="shared" si="17"/>
        <v>0</v>
      </c>
      <c r="BH24" s="900" t="s">
        <v>2030</v>
      </c>
      <c r="BI24" s="898" t="s">
        <v>3</v>
      </c>
      <c r="BJ24" s="898" t="s">
        <v>38</v>
      </c>
      <c r="BK24" s="898" t="s">
        <v>200</v>
      </c>
      <c r="BL24" s="898" t="s">
        <v>38</v>
      </c>
      <c r="BM24" s="898" t="s">
        <v>200</v>
      </c>
      <c r="BN24" s="898" t="s">
        <v>38</v>
      </c>
      <c r="BO24" s="898" t="s">
        <v>200</v>
      </c>
      <c r="BP24" s="898"/>
      <c r="BQ24" s="898"/>
      <c r="BR24" s="898" t="e">
        <f t="shared" si="18"/>
        <v>#VALUE!</v>
      </c>
      <c r="BS24" s="898" t="s">
        <v>356</v>
      </c>
      <c r="BT24" s="898" t="s">
        <v>356</v>
      </c>
      <c r="BU24" s="902" t="s">
        <v>358</v>
      </c>
      <c r="BV24" t="s">
        <v>12</v>
      </c>
      <c r="BW24" s="476" t="str">
        <f>IF(OR($D24="",$D24=0),"",_xll.meLWOSwapCreateFromLegLVBs($E24&amp;"OIS"&amp;$A24,_xll.meUtilityLVBFromKeysValues($M$5:$AP$5,$M24:$AP24),_xll.meUtilityLVBFromKeysValues($AR$5:$BU$5,$AR24:$BU24),FALSE))</f>
        <v/>
      </c>
      <c r="BX24" s="900" t="str">
        <f>IF(OR($D24="",$D24=0),"",_xll.meLWOSwapParRate($BW24,Q24))</f>
        <v/>
      </c>
      <c r="BY24" s="897" t="str">
        <f>IF(OR($D24="",$D24=0),"",_xll.meLWOSwapPV($BW24,Q24))</f>
        <v/>
      </c>
      <c r="BZ24" s="921" t="str">
        <f>IF(OR($D24="",$D24=0),"",_xll.meLWOSwapPV01($BW24,Q24))</f>
        <v/>
      </c>
      <c r="CA24" t="s">
        <v>12</v>
      </c>
      <c r="CD24" s="149"/>
    </row>
    <row r="25" spans="1:82">
      <c r="A25" s="203">
        <v>20</v>
      </c>
      <c r="B25" s="457" t="str">
        <f>IF(OR(D25="",D25=0),"",_xll.meDateFromTenor(COB,C25,$AI25,$AJ25))</f>
        <v/>
      </c>
      <c r="C25" s="396"/>
      <c r="D25" s="366"/>
      <c r="E25" s="366"/>
      <c r="F25" s="369"/>
      <c r="G25" s="398"/>
      <c r="H25" s="1118"/>
      <c r="I25" s="367"/>
      <c r="J25" s="884"/>
      <c r="L25" s="203">
        <v>20</v>
      </c>
      <c r="M25" s="903" t="s">
        <v>2060</v>
      </c>
      <c r="N25" s="904">
        <f t="shared" si="0"/>
        <v>0</v>
      </c>
      <c r="O25" s="905" t="s">
        <v>1992</v>
      </c>
      <c r="P25" s="905" t="str">
        <f t="shared" si="1"/>
        <v>RECEIVE</v>
      </c>
      <c r="Q25" s="905" t="str">
        <f t="shared" si="2"/>
        <v>YC</v>
      </c>
      <c r="R25" s="905"/>
      <c r="S25" s="905" t="str">
        <f t="shared" si="3"/>
        <v>OIS</v>
      </c>
      <c r="T25" s="904">
        <f t="shared" si="4"/>
        <v>0</v>
      </c>
      <c r="U25" s="906"/>
      <c r="V25" s="907">
        <v>1</v>
      </c>
      <c r="W25" s="908">
        <f t="shared" si="5"/>
        <v>0</v>
      </c>
      <c r="X25" s="905"/>
      <c r="Y25" s="905"/>
      <c r="Z25" s="905"/>
      <c r="AA25" s="909" t="str">
        <f t="shared" si="6"/>
        <v/>
      </c>
      <c r="AB25" s="909">
        <f t="shared" si="7"/>
        <v>0</v>
      </c>
      <c r="AC25" s="908" t="s">
        <v>2030</v>
      </c>
      <c r="AD25" s="905">
        <f t="shared" si="8"/>
        <v>0</v>
      </c>
      <c r="AE25" s="905" t="s">
        <v>38</v>
      </c>
      <c r="AF25" s="905" t="s">
        <v>200</v>
      </c>
      <c r="AG25" s="905" t="s">
        <v>38</v>
      </c>
      <c r="AH25" s="905" t="s">
        <v>200</v>
      </c>
      <c r="AI25" s="905" t="s">
        <v>38</v>
      </c>
      <c r="AJ25" s="905" t="s">
        <v>200</v>
      </c>
      <c r="AK25" s="905"/>
      <c r="AL25" s="905"/>
      <c r="AM25" s="905" t="e">
        <f t="shared" si="9"/>
        <v>#VALUE!</v>
      </c>
      <c r="AN25" s="905" t="s">
        <v>356</v>
      </c>
      <c r="AO25" s="905" t="s">
        <v>356</v>
      </c>
      <c r="AP25" s="910" t="s">
        <v>358</v>
      </c>
      <c r="AQ25" s="203">
        <v>20</v>
      </c>
      <c r="AR25" s="903" t="s">
        <v>1993</v>
      </c>
      <c r="AS25" s="904">
        <f t="shared" si="10"/>
        <v>0</v>
      </c>
      <c r="AT25" s="905" t="s">
        <v>1992</v>
      </c>
      <c r="AU25" s="905" t="str">
        <f t="shared" si="11"/>
        <v>PAY</v>
      </c>
      <c r="AV25" s="905" t="str">
        <f t="shared" si="12"/>
        <v>YC</v>
      </c>
      <c r="AW25" s="905" t="str">
        <f t="shared" si="13"/>
        <v>OIS</v>
      </c>
      <c r="AX25" s="905" t="str">
        <f t="shared" si="13"/>
        <v>OIS</v>
      </c>
      <c r="AY25" s="904">
        <f t="shared" si="14"/>
        <v>0</v>
      </c>
      <c r="AZ25" s="906" t="s">
        <v>2078</v>
      </c>
      <c r="BA25" s="907">
        <v>1</v>
      </c>
      <c r="BB25" s="908"/>
      <c r="BC25" s="905"/>
      <c r="BD25" s="905"/>
      <c r="BE25" s="913">
        <f t="shared" si="15"/>
        <v>0</v>
      </c>
      <c r="BF25" s="909" t="str">
        <f t="shared" si="16"/>
        <v/>
      </c>
      <c r="BG25" s="909">
        <f t="shared" si="17"/>
        <v>0</v>
      </c>
      <c r="BH25" s="908" t="s">
        <v>2030</v>
      </c>
      <c r="BI25" s="905" t="s">
        <v>3</v>
      </c>
      <c r="BJ25" s="905" t="s">
        <v>38</v>
      </c>
      <c r="BK25" s="905" t="s">
        <v>200</v>
      </c>
      <c r="BL25" s="905" t="s">
        <v>38</v>
      </c>
      <c r="BM25" s="905" t="s">
        <v>200</v>
      </c>
      <c r="BN25" s="905" t="s">
        <v>38</v>
      </c>
      <c r="BO25" s="905" t="s">
        <v>200</v>
      </c>
      <c r="BP25" s="905"/>
      <c r="BQ25" s="905"/>
      <c r="BR25" s="905" t="e">
        <f t="shared" si="18"/>
        <v>#VALUE!</v>
      </c>
      <c r="BS25" s="905" t="s">
        <v>356</v>
      </c>
      <c r="BT25" s="905" t="s">
        <v>356</v>
      </c>
      <c r="BU25" s="910" t="s">
        <v>358</v>
      </c>
      <c r="BV25" t="s">
        <v>12</v>
      </c>
      <c r="BW25" s="478" t="str">
        <f>IF(OR($D25="",$D25=0),"",_xll.meLWOSwapCreateFromLegLVBs($E25&amp;"OIS"&amp;$A25,_xll.meUtilityLVBFromKeysValues($M$5:$AP$5,$M25:$AP25),_xll.meUtilityLVBFromKeysValues($AR$5:$BU$5,$AR25:$BU25),FALSE))</f>
        <v/>
      </c>
      <c r="BX25" s="919" t="str">
        <f>IF(OR($D25="",$D25=0),"",_xll.meLWOSwapParRate($BW25,Q25))</f>
        <v/>
      </c>
      <c r="BY25" s="920" t="str">
        <f>IF(OR($D25="",$D25=0),"",_xll.meLWOSwapPV($BW25,Q25))</f>
        <v/>
      </c>
      <c r="BZ25" s="922" t="str">
        <f>IF(OR($D25="",$D25=0),"",_xll.meLWOSwapPV01($BW25,Q25))</f>
        <v/>
      </c>
      <c r="CA25" t="s">
        <v>12</v>
      </c>
      <c r="CD25" s="149"/>
    </row>
    <row r="26" spans="1:82">
      <c r="A26" t="s">
        <v>12</v>
      </c>
      <c r="J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</row>
  </sheetData>
  <dataValidations count="2">
    <dataValidation type="list" allowBlank="1" showInputMessage="1" showErrorMessage="1" sqref="F6:F25">
      <formula1>"PAYER,RECEIVER"</formula1>
    </dataValidation>
    <dataValidation type="list" allowBlank="1" showInputMessage="1" showErrorMessage="1" sqref="H6:H25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C00000"/>
  </sheetPr>
  <dimension ref="A2:AL69"/>
  <sheetViews>
    <sheetView showGridLines="0" workbookViewId="0"/>
  </sheetViews>
  <sheetFormatPr defaultRowHeight="15"/>
  <cols>
    <col min="2" max="2" width="25.28515625" style="995" bestFit="1" customWidth="1"/>
    <col min="3" max="3" width="35.5703125" style="995" customWidth="1"/>
    <col min="4" max="4" width="9.140625" style="995"/>
    <col min="6" max="6" width="9.85546875" bestFit="1" customWidth="1"/>
    <col min="15" max="15" width="10.42578125" customWidth="1"/>
    <col min="18" max="18" width="18.42578125" bestFit="1" customWidth="1"/>
    <col min="20" max="20" width="12.85546875" bestFit="1" customWidth="1"/>
    <col min="21" max="21" width="19.140625" bestFit="1" customWidth="1"/>
    <col min="25" max="25" width="20.5703125" bestFit="1" customWidth="1"/>
    <col min="27" max="28" width="12.7109375" customWidth="1"/>
    <col min="30" max="30" width="21" bestFit="1" customWidth="1"/>
    <col min="32" max="33" width="12.7109375" customWidth="1"/>
    <col min="35" max="35" width="20.42578125" bestFit="1" customWidth="1"/>
    <col min="37" max="38" width="12.7109375" customWidth="1"/>
  </cols>
  <sheetData>
    <row r="2" spans="1:38">
      <c r="A2" t="s">
        <v>12</v>
      </c>
      <c r="B2" s="1334" t="s">
        <v>2530</v>
      </c>
      <c r="C2" s="1303"/>
      <c r="D2" s="995" t="s">
        <v>12</v>
      </c>
      <c r="E2" s="1271" t="s">
        <v>189</v>
      </c>
      <c r="F2" s="1272"/>
      <c r="G2" s="1272"/>
      <c r="H2" s="1272"/>
      <c r="I2" s="1272"/>
      <c r="J2" s="1272"/>
      <c r="K2" s="1271" t="s">
        <v>2517</v>
      </c>
      <c r="L2" s="1271"/>
      <c r="M2" s="1272"/>
      <c r="N2" s="1271" t="s">
        <v>2518</v>
      </c>
      <c r="O2" s="1271"/>
      <c r="P2" s="1272"/>
      <c r="Q2" s="1271" t="s">
        <v>2519</v>
      </c>
      <c r="R2" s="1273" t="s">
        <v>2520</v>
      </c>
      <c r="S2" s="1274"/>
      <c r="T2" s="1274"/>
      <c r="U2" s="1274"/>
      <c r="V2" s="6" t="s">
        <v>12</v>
      </c>
      <c r="Y2" s="998" t="s">
        <v>2117</v>
      </c>
      <c r="Z2" s="996"/>
      <c r="AA2" s="526"/>
      <c r="AB2" s="996"/>
      <c r="AC2" s="995"/>
      <c r="AD2" s="998" t="s">
        <v>2557</v>
      </c>
      <c r="AE2" s="996"/>
      <c r="AF2" s="526"/>
      <c r="AG2" s="996"/>
      <c r="AH2" s="995"/>
      <c r="AI2" s="998" t="s">
        <v>2558</v>
      </c>
      <c r="AJ2" s="996"/>
      <c r="AK2" s="526"/>
      <c r="AL2" s="996"/>
    </row>
    <row r="3" spans="1:38" ht="15.75" thickBot="1">
      <c r="A3" s="995" t="s">
        <v>12</v>
      </c>
      <c r="B3" s="1303"/>
      <c r="C3" s="1303"/>
      <c r="D3" s="995" t="s">
        <v>12</v>
      </c>
      <c r="E3" s="711" t="s">
        <v>74</v>
      </c>
      <c r="F3" s="711" t="s">
        <v>73</v>
      </c>
      <c r="G3" s="711" t="s">
        <v>134</v>
      </c>
      <c r="H3" s="711" t="s">
        <v>133</v>
      </c>
      <c r="I3" s="711" t="s">
        <v>379</v>
      </c>
      <c r="J3" s="493"/>
      <c r="K3" s="711" t="s">
        <v>166</v>
      </c>
      <c r="L3" s="711" t="s">
        <v>73</v>
      </c>
      <c r="M3" s="493"/>
      <c r="N3" s="711" t="s">
        <v>74</v>
      </c>
      <c r="O3" s="711" t="s">
        <v>73</v>
      </c>
      <c r="P3" s="493"/>
      <c r="Q3" s="711" t="s">
        <v>74</v>
      </c>
      <c r="R3" s="711" t="s">
        <v>73</v>
      </c>
      <c r="S3" s="1274"/>
      <c r="T3" s="1171" t="s">
        <v>2521</v>
      </c>
      <c r="U3" s="1171" t="s">
        <v>2522</v>
      </c>
      <c r="V3" s="6" t="s">
        <v>12</v>
      </c>
      <c r="Y3" s="996"/>
      <c r="Z3" s="996"/>
      <c r="AA3" s="996"/>
      <c r="AB3" s="996"/>
      <c r="AC3" s="995"/>
      <c r="AD3" s="996"/>
      <c r="AE3" s="996"/>
      <c r="AF3" s="996"/>
      <c r="AG3" s="996"/>
      <c r="AH3" s="995"/>
      <c r="AI3" s="996"/>
      <c r="AJ3" s="996"/>
      <c r="AK3" s="996"/>
      <c r="AL3" s="996"/>
    </row>
    <row r="4" spans="1:38" ht="15.75" thickTop="1">
      <c r="A4" s="995" t="s">
        <v>12</v>
      </c>
      <c r="B4" s="1335" t="s">
        <v>156</v>
      </c>
      <c r="C4" s="1336" t="s">
        <v>188</v>
      </c>
      <c r="D4" s="995" t="s">
        <v>12</v>
      </c>
      <c r="E4" s="1275" t="s">
        <v>70</v>
      </c>
      <c r="F4" s="1276" t="e">
        <f ca="1">AB6</f>
        <v>#VALUE!</v>
      </c>
      <c r="G4" s="1277"/>
      <c r="H4" s="1278"/>
      <c r="I4" s="1279" t="b">
        <v>1</v>
      </c>
      <c r="J4" s="1272"/>
      <c r="K4" s="1280"/>
      <c r="L4" s="1281"/>
      <c r="M4" s="1272"/>
      <c r="N4" s="1282" t="s">
        <v>154</v>
      </c>
      <c r="O4" s="1283" t="e">
        <f ca="1">AB33</f>
        <v>#VALUE!</v>
      </c>
      <c r="P4" s="1284"/>
      <c r="Q4" s="1275" t="s">
        <v>154</v>
      </c>
      <c r="R4" s="1401" t="e">
        <f ca="1">T4+U4</f>
        <v>#VALUE!</v>
      </c>
      <c r="S4" s="1274"/>
      <c r="T4" s="1285" t="e">
        <f t="shared" ref="T4:T21" ca="1" si="0">AG12</f>
        <v>#VALUE!</v>
      </c>
      <c r="U4" s="1286" t="e">
        <f ca="1">AL12</f>
        <v>#VALUE!</v>
      </c>
      <c r="V4" s="6" t="s">
        <v>12</v>
      </c>
      <c r="Y4" s="996"/>
      <c r="Z4" s="996"/>
      <c r="AA4" s="996"/>
      <c r="AB4" s="996"/>
      <c r="AC4" s="995"/>
      <c r="AD4" s="996"/>
      <c r="AE4" s="996"/>
      <c r="AF4" s="996"/>
      <c r="AG4" s="996"/>
      <c r="AH4" s="995"/>
      <c r="AI4" s="996"/>
      <c r="AJ4" s="996"/>
      <c r="AK4" s="996"/>
      <c r="AL4" s="996"/>
    </row>
    <row r="5" spans="1:38">
      <c r="A5" s="995" t="s">
        <v>12</v>
      </c>
      <c r="B5" s="1337" t="s">
        <v>2531</v>
      </c>
      <c r="C5" s="1338" t="s">
        <v>189</v>
      </c>
      <c r="D5" s="995" t="s">
        <v>12</v>
      </c>
      <c r="E5" s="1282" t="s">
        <v>94</v>
      </c>
      <c r="F5" s="1287" t="e">
        <f t="shared" ref="F5:F30" ca="1" si="1">AB7</f>
        <v>#VALUE!</v>
      </c>
      <c r="G5" s="1278"/>
      <c r="H5" s="1278"/>
      <c r="I5" s="1279" t="b">
        <v>1</v>
      </c>
      <c r="J5" s="1272"/>
      <c r="K5" s="1280"/>
      <c r="L5" s="1281"/>
      <c r="M5" s="1272"/>
      <c r="N5" s="1282" t="s">
        <v>43</v>
      </c>
      <c r="O5" s="1283" t="e">
        <f t="shared" ref="O5:O21" ca="1" si="2">AB34</f>
        <v>#VALUE!</v>
      </c>
      <c r="P5" s="1284"/>
      <c r="Q5" s="1282" t="s">
        <v>43</v>
      </c>
      <c r="R5" s="1401" t="e">
        <f t="shared" ref="R5:R21" ca="1" si="3">T5+U5</f>
        <v>#VALUE!</v>
      </c>
      <c r="S5" s="1274"/>
      <c r="T5" s="1288" t="e">
        <f t="shared" ca="1" si="0"/>
        <v>#VALUE!</v>
      </c>
      <c r="U5" s="1289" t="e">
        <f t="shared" ref="U5:U21" ca="1" si="4">AL13</f>
        <v>#VALUE!</v>
      </c>
      <c r="V5" s="6" t="s">
        <v>12</v>
      </c>
      <c r="Y5" s="526" t="s">
        <v>382</v>
      </c>
      <c r="Z5" s="526" t="s">
        <v>2559</v>
      </c>
      <c r="AA5" s="526" t="s">
        <v>2560</v>
      </c>
      <c r="AB5" s="526" t="s">
        <v>955</v>
      </c>
      <c r="AC5" s="995"/>
      <c r="AD5" s="526" t="s">
        <v>382</v>
      </c>
      <c r="AE5" s="526" t="s">
        <v>2559</v>
      </c>
      <c r="AF5" s="526" t="s">
        <v>2560</v>
      </c>
      <c r="AG5" s="526" t="s">
        <v>955</v>
      </c>
      <c r="AH5" s="995"/>
      <c r="AI5" s="526" t="s">
        <v>382</v>
      </c>
      <c r="AJ5" s="526" t="s">
        <v>2559</v>
      </c>
      <c r="AK5" s="526" t="s">
        <v>2560</v>
      </c>
      <c r="AL5" s="526" t="s">
        <v>955</v>
      </c>
    </row>
    <row r="6" spans="1:38">
      <c r="A6" s="995" t="s">
        <v>12</v>
      </c>
      <c r="B6" s="1337" t="s">
        <v>2532</v>
      </c>
      <c r="C6" s="1338" t="s">
        <v>2533</v>
      </c>
      <c r="D6" s="995" t="s">
        <v>12</v>
      </c>
      <c r="E6" s="1282" t="s">
        <v>20</v>
      </c>
      <c r="F6" s="1287" t="e">
        <f t="shared" ca="1" si="1"/>
        <v>#VALUE!</v>
      </c>
      <c r="G6" s="1278"/>
      <c r="H6" s="1278"/>
      <c r="I6" s="1279" t="b">
        <v>1</v>
      </c>
      <c r="J6" s="1272"/>
      <c r="K6" s="1280"/>
      <c r="L6" s="1281"/>
      <c r="M6" s="1272"/>
      <c r="N6" s="1282" t="s">
        <v>40</v>
      </c>
      <c r="O6" s="1283" t="e">
        <f t="shared" ca="1" si="2"/>
        <v>#VALUE!</v>
      </c>
      <c r="P6" s="1284"/>
      <c r="Q6" s="1282" t="s">
        <v>40</v>
      </c>
      <c r="R6" s="1401" t="e">
        <f t="shared" ca="1" si="3"/>
        <v>#VALUE!</v>
      </c>
      <c r="S6" s="1274"/>
      <c r="T6" s="1288" t="e">
        <f t="shared" ca="1" si="0"/>
        <v>#VALUE!</v>
      </c>
      <c r="U6" s="1289" t="e">
        <f t="shared" ca="1" si="4"/>
        <v>#VALUE!</v>
      </c>
      <c r="V6" s="6" t="s">
        <v>12</v>
      </c>
      <c r="Y6" s="1380" t="s">
        <v>2561</v>
      </c>
      <c r="Z6" s="1381" t="s">
        <v>70</v>
      </c>
      <c r="AA6" s="1382" t="str">
        <f ca="1">IF(Y6="","",IF(COB=TODAY(),_xll.BDP(Y6,"LAST_PRICE"),_xll.BDH(Y6,"LAST_PRICE",COB,COB)))</f>
        <v>#N/A Requesting Data...</v>
      </c>
      <c r="AB6" s="1390" t="e">
        <f ca="1">AA6/100</f>
        <v>#VALUE!</v>
      </c>
      <c r="AC6" s="995"/>
      <c r="AD6" s="1380" t="s">
        <v>2620</v>
      </c>
      <c r="AE6" s="1381" t="s">
        <v>20</v>
      </c>
      <c r="AF6" s="1111" t="str">
        <f ca="1">IF(TODAY(),IF(AD6="","",IF(COB=TODAY(),_xll.BDP(AD6,"LAST_PRICE"),_xll.BDH(AD6,"LAST_PRICE",COB,COB))),"#ERROR")</f>
        <v>#N/A Requesting Data...</v>
      </c>
      <c r="AG6" s="1390" t="e">
        <f t="shared" ref="AG6:AG7" ca="1" si="5">AF6/100</f>
        <v>#VALUE!</v>
      </c>
      <c r="AH6" s="995"/>
      <c r="AI6" s="1380" t="s">
        <v>2620</v>
      </c>
      <c r="AJ6" s="1381" t="s">
        <v>20</v>
      </c>
      <c r="AK6" s="1111" t="e">
        <f ca="1">IF(TODAY(),IF(AI6="","",IF(COB=TODAY(),_xll.BDP(AI6,"PX_LAST"),_xll.BDH(AI6,"PX_LAST",COB,COB))),"#ERROR")</f>
        <v>#N/A</v>
      </c>
      <c r="AL6" s="1393" t="e">
        <f t="shared" ref="AL6:AL11" ca="1" si="6">AK6/100</f>
        <v>#N/A</v>
      </c>
    </row>
    <row r="7" spans="1:38">
      <c r="A7" s="995" t="s">
        <v>12</v>
      </c>
      <c r="B7" s="1339" t="s">
        <v>164</v>
      </c>
      <c r="C7" s="1340">
        <f ca="1">COB</f>
        <v>43224</v>
      </c>
      <c r="D7" s="995" t="s">
        <v>12</v>
      </c>
      <c r="E7" s="1282" t="s">
        <v>57</v>
      </c>
      <c r="F7" s="1287" t="e">
        <f t="shared" ca="1" si="1"/>
        <v>#VALUE!</v>
      </c>
      <c r="G7" s="1278"/>
      <c r="H7" s="1278"/>
      <c r="I7" s="1279" t="b">
        <v>1</v>
      </c>
      <c r="J7" s="1272"/>
      <c r="K7" s="1280"/>
      <c r="L7" s="1281"/>
      <c r="M7" s="1272"/>
      <c r="N7" s="1282" t="s">
        <v>37</v>
      </c>
      <c r="O7" s="1283" t="e">
        <f t="shared" ca="1" si="2"/>
        <v>#VALUE!</v>
      </c>
      <c r="P7" s="1284"/>
      <c r="Q7" s="1282" t="s">
        <v>37</v>
      </c>
      <c r="R7" s="1401" t="e">
        <f t="shared" ca="1" si="3"/>
        <v>#VALUE!</v>
      </c>
      <c r="S7" s="1274"/>
      <c r="T7" s="1288" t="e">
        <f t="shared" ca="1" si="0"/>
        <v>#VALUE!</v>
      </c>
      <c r="U7" s="1289" t="e">
        <f t="shared" ca="1" si="4"/>
        <v>#VALUE!</v>
      </c>
      <c r="V7" s="6" t="s">
        <v>12</v>
      </c>
      <c r="Y7" s="1383" t="s">
        <v>2562</v>
      </c>
      <c r="Z7" s="1384" t="s">
        <v>94</v>
      </c>
      <c r="AA7" s="1385" t="str">
        <f ca="1">IF(Y7="","",IF(COB=TODAY(),_xll.BDP(Y7,"LAST_PRICE"),_xll.BDH(Y7,"LAST_PRICE",COB,COB)))</f>
        <v>#N/A Requesting Data...</v>
      </c>
      <c r="AB7" s="1391" t="e">
        <f t="shared" ref="AB7:AB28" ca="1" si="7">AA7/100</f>
        <v>#VALUE!</v>
      </c>
      <c r="AC7" s="995"/>
      <c r="AD7" s="1383" t="s">
        <v>2621</v>
      </c>
      <c r="AE7" s="1384" t="s">
        <v>51</v>
      </c>
      <c r="AF7" s="1019" t="str">
        <f ca="1">IF(TODAY(),IF(AD7="","",IF(COB=TODAY(),_xll.BDP(AD7,"LAST_PRICE"),_xll.BDH(AD7,"LAST_PRICE",COB,COB))),"#ERROR")</f>
        <v>#N/A Requesting Data...</v>
      </c>
      <c r="AG7" s="1391" t="e">
        <f t="shared" ca="1" si="5"/>
        <v>#VALUE!</v>
      </c>
      <c r="AH7" s="995"/>
      <c r="AI7" s="1383" t="s">
        <v>2621</v>
      </c>
      <c r="AJ7" s="1384" t="s">
        <v>51</v>
      </c>
      <c r="AK7" s="1019" t="e">
        <f ca="1">IF(TODAY(),IF(AI7="","",IF(COB=TODAY(),_xll.BDP(AI7,"PX_LAST"),_xll.BDH(AI7,"PX_LAST",COB,COB))),"#ERROR")</f>
        <v>#N/A</v>
      </c>
      <c r="AL7" s="1392" t="e">
        <f t="shared" ca="1" si="6"/>
        <v>#N/A</v>
      </c>
    </row>
    <row r="8" spans="1:38">
      <c r="A8" s="995" t="s">
        <v>12</v>
      </c>
      <c r="B8" s="1303"/>
      <c r="C8" s="1303"/>
      <c r="D8" s="995" t="s">
        <v>12</v>
      </c>
      <c r="E8" s="1282" t="s">
        <v>51</v>
      </c>
      <c r="F8" s="1287" t="e">
        <f t="shared" ca="1" si="1"/>
        <v>#VALUE!</v>
      </c>
      <c r="G8" s="1278"/>
      <c r="H8" s="1278"/>
      <c r="I8" s="1279" t="b">
        <v>1</v>
      </c>
      <c r="J8" s="1272"/>
      <c r="K8" s="1280"/>
      <c r="L8" s="1281"/>
      <c r="M8" s="1272"/>
      <c r="N8" s="1282" t="s">
        <v>33</v>
      </c>
      <c r="O8" s="1283" t="e">
        <f t="shared" ca="1" si="2"/>
        <v>#VALUE!</v>
      </c>
      <c r="P8" s="1284"/>
      <c r="Q8" s="1282" t="s">
        <v>33</v>
      </c>
      <c r="R8" s="1401" t="e">
        <f t="shared" ca="1" si="3"/>
        <v>#VALUE!</v>
      </c>
      <c r="S8" s="1274"/>
      <c r="T8" s="1288" t="e">
        <f t="shared" ca="1" si="0"/>
        <v>#VALUE!</v>
      </c>
      <c r="U8" s="1289" t="e">
        <f t="shared" ca="1" si="4"/>
        <v>#VALUE!</v>
      </c>
      <c r="V8" s="6" t="s">
        <v>12</v>
      </c>
      <c r="Y8" s="1383" t="s">
        <v>2288</v>
      </c>
      <c r="Z8" s="1384" t="s">
        <v>20</v>
      </c>
      <c r="AA8" s="1385" t="str">
        <f ca="1">IF(Y8="","",IF(COB=TODAY(),_xll.BDP(Y8,"LAST_PRICE"),_xll.BDH(Y8,"LAST_PRICE",COB,COB)))</f>
        <v>#N/A Requesting Data...</v>
      </c>
      <c r="AB8" s="1391" t="e">
        <f t="shared" ca="1" si="7"/>
        <v>#VALUE!</v>
      </c>
      <c r="AC8" s="995"/>
      <c r="AD8" s="1383" t="s">
        <v>2622</v>
      </c>
      <c r="AE8" s="1384" t="s">
        <v>22</v>
      </c>
      <c r="AF8" s="1019" t="str">
        <f ca="1">IF(TODAY(),IF(AD8="","",IF(COB=TODAY(),_xll.BDP(AD8,"LAST_PRICE"),_xll.BDH(AD8,"LAST_PRICE",COB,COB))),"#ERROR")</f>
        <v>#N/A Requesting Data...</v>
      </c>
      <c r="AG8" s="1391" t="e">
        <f t="shared" ref="AG8:AG29" ca="1" si="8">AF8/100</f>
        <v>#VALUE!</v>
      </c>
      <c r="AH8" s="995"/>
      <c r="AI8" s="1383" t="s">
        <v>2622</v>
      </c>
      <c r="AJ8" s="1384" t="s">
        <v>22</v>
      </c>
      <c r="AK8" s="1019" t="e">
        <f ca="1">IF(TODAY(),IF(AI8="","",IF(COB=TODAY(),_xll.BDP(AI8,"PX_LAST"),_xll.BDH(AI8,"PX_LAST",COB,COB))),"#ERROR")</f>
        <v>#N/A</v>
      </c>
      <c r="AL8" s="1392" t="e">
        <f t="shared" ca="1" si="6"/>
        <v>#N/A</v>
      </c>
    </row>
    <row r="9" spans="1:38">
      <c r="A9" s="995" t="s">
        <v>12</v>
      </c>
      <c r="B9" s="493"/>
      <c r="C9" s="493"/>
      <c r="D9" s="995" t="s">
        <v>12</v>
      </c>
      <c r="E9" s="1282" t="s">
        <v>72</v>
      </c>
      <c r="F9" s="1287" t="e">
        <f t="shared" ca="1" si="1"/>
        <v>#VALUE!</v>
      </c>
      <c r="G9" s="1278"/>
      <c r="H9" s="1278"/>
      <c r="I9" s="1279" t="b">
        <v>1</v>
      </c>
      <c r="J9" s="1272"/>
      <c r="K9" s="1280"/>
      <c r="L9" s="1281"/>
      <c r="M9" s="1272"/>
      <c r="N9" s="1282" t="s">
        <v>31</v>
      </c>
      <c r="O9" s="1283" t="e">
        <f t="shared" ca="1" si="2"/>
        <v>#VALUE!</v>
      </c>
      <c r="P9" s="1284"/>
      <c r="Q9" s="1282" t="s">
        <v>31</v>
      </c>
      <c r="R9" s="1401" t="e">
        <f t="shared" ca="1" si="3"/>
        <v>#VALUE!</v>
      </c>
      <c r="S9" s="1274"/>
      <c r="T9" s="1288" t="e">
        <f t="shared" ca="1" si="0"/>
        <v>#VALUE!</v>
      </c>
      <c r="U9" s="1289" t="e">
        <f t="shared" ca="1" si="4"/>
        <v>#VALUE!</v>
      </c>
      <c r="V9" s="6" t="s">
        <v>12</v>
      </c>
      <c r="Y9" s="1383" t="s">
        <v>2563</v>
      </c>
      <c r="Z9" s="1384" t="s">
        <v>57</v>
      </c>
      <c r="AA9" s="1385" t="str">
        <f ca="1">IF(Y9="","",IF(COB=TODAY(),_xll.BDP(Y9,"LAST_PRICE"),_xll.BDH(Y9,"LAST_PRICE",COB,COB)))</f>
        <v>#N/A Requesting Data...</v>
      </c>
      <c r="AB9" s="1391" t="e">
        <f t="shared" ca="1" si="7"/>
        <v>#VALUE!</v>
      </c>
      <c r="AC9" s="995"/>
      <c r="AD9" s="1383" t="s">
        <v>2564</v>
      </c>
      <c r="AE9" s="1384" t="s">
        <v>2527</v>
      </c>
      <c r="AF9" s="1019" t="str">
        <f ca="1">IF(AD9="","",IF(COB=TODAY(),_xll.BDP(AD9,"LAST_PRICE"),_xll.BDH(AD9,"LAST_PRICE",COB,COB)))</f>
        <v>#N/A Requesting Data...</v>
      </c>
      <c r="AG9" s="1391" t="e">
        <f t="shared" ca="1" si="8"/>
        <v>#VALUE!</v>
      </c>
      <c r="AH9" s="995"/>
      <c r="AI9" s="1383" t="s">
        <v>2564</v>
      </c>
      <c r="AJ9" s="1384" t="s">
        <v>2527</v>
      </c>
      <c r="AK9" s="1019" t="str">
        <f ca="1">IF(AI9="","",IF(COB=TODAY(),_xll.BDP(AI9,"LAST_PRICE"),_xll.BDH(AI9,"LAST_PRICE",COB,COB)))</f>
        <v>#N/A Requesting Data...</v>
      </c>
      <c r="AL9" s="1392" t="e">
        <f t="shared" ca="1" si="6"/>
        <v>#VALUE!</v>
      </c>
    </row>
    <row r="10" spans="1:38">
      <c r="A10" s="995" t="s">
        <v>12</v>
      </c>
      <c r="B10" s="1341" t="s">
        <v>2534</v>
      </c>
      <c r="C10" s="1303"/>
      <c r="D10" s="995" t="s">
        <v>12</v>
      </c>
      <c r="E10" s="1282" t="s">
        <v>68</v>
      </c>
      <c r="F10" s="1287" t="e">
        <f t="shared" ca="1" si="1"/>
        <v>#VALUE!</v>
      </c>
      <c r="G10" s="1278"/>
      <c r="H10" s="1278"/>
      <c r="I10" s="1279" t="b">
        <v>1</v>
      </c>
      <c r="J10" s="1272"/>
      <c r="K10" s="1280"/>
      <c r="L10" s="1281"/>
      <c r="M10" s="1272"/>
      <c r="N10" s="1282" t="s">
        <v>127</v>
      </c>
      <c r="O10" s="1283" t="e">
        <f t="shared" ca="1" si="2"/>
        <v>#VALUE!</v>
      </c>
      <c r="P10" s="1284"/>
      <c r="Q10" s="1282" t="s">
        <v>127</v>
      </c>
      <c r="R10" s="1401" t="e">
        <f t="shared" ca="1" si="3"/>
        <v>#VALUE!</v>
      </c>
      <c r="S10" s="1274"/>
      <c r="T10" s="1288" t="e">
        <f t="shared" ca="1" si="0"/>
        <v>#VALUE!</v>
      </c>
      <c r="U10" s="1289" t="e">
        <f t="shared" ca="1" si="4"/>
        <v>#VALUE!</v>
      </c>
      <c r="V10" s="6" t="s">
        <v>12</v>
      </c>
      <c r="Y10" s="1383" t="s">
        <v>2289</v>
      </c>
      <c r="Z10" s="1384" t="s">
        <v>51</v>
      </c>
      <c r="AA10" s="1385" t="str">
        <f ca="1">IF(Y10="","",IF(COB=TODAY(),_xll.BDP(Y10,"LAST_PRICE"),_xll.BDH(Y10,"LAST_PRICE",COB,COB)))</f>
        <v>#N/A Requesting Data...</v>
      </c>
      <c r="AB10" s="1391" t="e">
        <f t="shared" ca="1" si="7"/>
        <v>#VALUE!</v>
      </c>
      <c r="AC10" s="995"/>
      <c r="AD10" s="1383" t="s">
        <v>2298</v>
      </c>
      <c r="AE10" s="1384" t="s">
        <v>2528</v>
      </c>
      <c r="AF10" s="1019" t="str">
        <f ca="1">IF(AD10="","",IF(COB=TODAY(),_xll.BDP(AD10,"LAST_PRICE"),_xll.BDH(AD10,"LAST_PRICE",COB,COB)))</f>
        <v>#N/A Requesting Data...</v>
      </c>
      <c r="AG10" s="1391" t="e">
        <f t="shared" ca="1" si="8"/>
        <v>#VALUE!</v>
      </c>
      <c r="AH10" s="995"/>
      <c r="AI10" s="1383" t="s">
        <v>2298</v>
      </c>
      <c r="AJ10" s="1384" t="s">
        <v>2528</v>
      </c>
      <c r="AK10" s="1019" t="str">
        <f ca="1">IF(AI10="","",IF(COB=TODAY(),_xll.BDP(AI10,"LAST_PRICE"),_xll.BDH(AI10,"LAST_PRICE",COB,COB)))</f>
        <v>#N/A Requesting Data...</v>
      </c>
      <c r="AL10" s="1392" t="e">
        <f t="shared" ca="1" si="6"/>
        <v>#VALUE!</v>
      </c>
    </row>
    <row r="11" spans="1:38">
      <c r="A11" s="995" t="s">
        <v>12</v>
      </c>
      <c r="B11" s="1342" t="s">
        <v>2535</v>
      </c>
      <c r="C11" s="986" t="s">
        <v>2550</v>
      </c>
      <c r="D11" s="995" t="s">
        <v>12</v>
      </c>
      <c r="E11" s="1282" t="s">
        <v>22</v>
      </c>
      <c r="F11" s="1287" t="e">
        <f t="shared" ca="1" si="1"/>
        <v>#VALUE!</v>
      </c>
      <c r="G11" s="1278"/>
      <c r="H11" s="1278"/>
      <c r="I11" s="1279" t="b">
        <v>1</v>
      </c>
      <c r="J11" s="1272"/>
      <c r="K11" s="1280"/>
      <c r="L11" s="1281"/>
      <c r="M11" s="1272"/>
      <c r="N11" s="1282" t="s">
        <v>29</v>
      </c>
      <c r="O11" s="1283" t="e">
        <f t="shared" ca="1" si="2"/>
        <v>#VALUE!</v>
      </c>
      <c r="P11" s="1284"/>
      <c r="Q11" s="1282" t="s">
        <v>29</v>
      </c>
      <c r="R11" s="1401" t="e">
        <f t="shared" ca="1" si="3"/>
        <v>#VALUE!</v>
      </c>
      <c r="S11" s="1274"/>
      <c r="T11" s="1288" t="e">
        <f t="shared" ca="1" si="0"/>
        <v>#VALUE!</v>
      </c>
      <c r="U11" s="1289" t="e">
        <f t="shared" ca="1" si="4"/>
        <v>#VALUE!</v>
      </c>
      <c r="V11" s="6" t="s">
        <v>12</v>
      </c>
      <c r="Y11" s="1383" t="s">
        <v>2565</v>
      </c>
      <c r="Z11" s="1384" t="s">
        <v>72</v>
      </c>
      <c r="AA11" s="1385" t="str">
        <f ca="1">IF(Y11="","",IF(COB=TODAY(),_xll.BDP(Y11,"LAST_PRICE"),_xll.BDH(Y11,"LAST_PRICE",COB,COB)))</f>
        <v>#N/A Requesting Data...</v>
      </c>
      <c r="AB11" s="1391" t="e">
        <f t="shared" ca="1" si="7"/>
        <v>#VALUE!</v>
      </c>
      <c r="AC11" s="995"/>
      <c r="AD11" s="1383" t="s">
        <v>2299</v>
      </c>
      <c r="AE11" s="1384" t="s">
        <v>2529</v>
      </c>
      <c r="AF11" s="1019" t="str">
        <f ca="1">IF(AD11="","",IF(COB=TODAY(),_xll.BDP(AD11,"LAST_PRICE"),_xll.BDH(AD11,"LAST_PRICE",COB,COB)))</f>
        <v>#N/A Requesting Data...</v>
      </c>
      <c r="AG11" s="1391" t="e">
        <f t="shared" ca="1" si="8"/>
        <v>#VALUE!</v>
      </c>
      <c r="AH11" s="995"/>
      <c r="AI11" s="1383" t="s">
        <v>2299</v>
      </c>
      <c r="AJ11" s="1384" t="s">
        <v>2529</v>
      </c>
      <c r="AK11" s="1019" t="str">
        <f ca="1">IF(AI11="","",IF(COB=TODAY(),_xll.BDP(AI11,"LAST_PRICE"),_xll.BDH(AI11,"LAST_PRICE",COB,COB)))</f>
        <v>#N/A Requesting Data...</v>
      </c>
      <c r="AL11" s="1392" t="e">
        <f t="shared" ca="1" si="6"/>
        <v>#VALUE!</v>
      </c>
    </row>
    <row r="12" spans="1:38">
      <c r="A12" s="995" t="s">
        <v>12</v>
      </c>
      <c r="B12" s="1343" t="s">
        <v>2536</v>
      </c>
      <c r="C12" s="1344" t="str">
        <f ca="1">_xll.meLWOCurveMarketDataCreate(C11,B2,B4:C7,E2,E4:I31,K2,K4:L31,N2,N4:O31,Q2,Q4:R31)</f>
        <v>JPY_LCH_OIS_MKTDATA@196:0</v>
      </c>
      <c r="D12" s="995" t="s">
        <v>12</v>
      </c>
      <c r="E12" s="1282" t="s">
        <v>55</v>
      </c>
      <c r="F12" s="1287" t="e">
        <f t="shared" ca="1" si="1"/>
        <v>#VALUE!</v>
      </c>
      <c r="G12" s="1278"/>
      <c r="H12" s="1278"/>
      <c r="I12" s="1279" t="b">
        <v>1</v>
      </c>
      <c r="J12" s="1272"/>
      <c r="K12" s="1280"/>
      <c r="L12" s="1281"/>
      <c r="M12" s="1272"/>
      <c r="N12" s="1282" t="s">
        <v>115</v>
      </c>
      <c r="O12" s="1283" t="e">
        <f t="shared" ca="1" si="2"/>
        <v>#VALUE!</v>
      </c>
      <c r="P12" s="1284"/>
      <c r="Q12" s="1282" t="s">
        <v>115</v>
      </c>
      <c r="R12" s="1401" t="e">
        <f t="shared" ca="1" si="3"/>
        <v>#VALUE!</v>
      </c>
      <c r="S12" s="1274"/>
      <c r="T12" s="1288" t="e">
        <f t="shared" ca="1" si="0"/>
        <v>#VALUE!</v>
      </c>
      <c r="U12" s="1289" t="e">
        <f t="shared" ca="1" si="4"/>
        <v>#VALUE!</v>
      </c>
      <c r="V12" s="6" t="s">
        <v>12</v>
      </c>
      <c r="Y12" s="1383" t="s">
        <v>2566</v>
      </c>
      <c r="Z12" s="1384" t="s">
        <v>68</v>
      </c>
      <c r="AA12" s="1385" t="str">
        <f ca="1">IF(Y12="","",IF(COB=TODAY(),_xll.BDP(Y12,"LAST_PRICE"),_xll.BDH(Y12,"LAST_PRICE",COB,COB)))</f>
        <v>#N/A Requesting Data...</v>
      </c>
      <c r="AB12" s="1391" t="e">
        <f t="shared" ca="1" si="7"/>
        <v>#VALUE!</v>
      </c>
      <c r="AC12" s="995"/>
      <c r="AD12" s="1383" t="s">
        <v>2568</v>
      </c>
      <c r="AE12" s="1384" t="s">
        <v>154</v>
      </c>
      <c r="AF12" s="1019" t="str">
        <f ca="1">IF(AD12="","",IF(COB=TODAY(),_xll.BDP(AD12,"LAST_PRICE"),_xll.BDH(AD12,"LAST_PRICE",COB,COB)))</f>
        <v>#N/A Requesting Data...</v>
      </c>
      <c r="AG12" s="1391" t="e">
        <f t="shared" ca="1" si="8"/>
        <v>#VALUE!</v>
      </c>
      <c r="AH12" s="995"/>
      <c r="AI12" s="1383" t="s">
        <v>2567</v>
      </c>
      <c r="AJ12" s="1384" t="s">
        <v>154</v>
      </c>
      <c r="AK12" s="1019" t="str">
        <f ca="1">IF(AI12="","",IF(COB=TODAY(),_xll.BDP(AI12,"LAST_PRICE"),_xll.BDH(AI12,"LAST_PRICE",COB,COB)))</f>
        <v>#N/A Requesting Data...</v>
      </c>
      <c r="AL12" s="1391" t="e">
        <f ca="1">AK12/10000</f>
        <v>#VALUE!</v>
      </c>
    </row>
    <row r="13" spans="1:38">
      <c r="A13" s="995" t="s">
        <v>12</v>
      </c>
      <c r="B13" s="1304"/>
      <c r="C13" s="1303"/>
      <c r="D13" s="995" t="s">
        <v>12</v>
      </c>
      <c r="E13" s="1282" t="s">
        <v>154</v>
      </c>
      <c r="F13" s="1287" t="e">
        <f t="shared" ca="1" si="1"/>
        <v>#VALUE!</v>
      </c>
      <c r="G13" s="1278"/>
      <c r="H13" s="1278"/>
      <c r="I13" s="1279" t="b">
        <v>1</v>
      </c>
      <c r="J13" s="1272"/>
      <c r="K13" s="1280"/>
      <c r="L13" s="1281"/>
      <c r="M13" s="1272"/>
      <c r="N13" s="1282" t="s">
        <v>109</v>
      </c>
      <c r="O13" s="1283" t="e">
        <f t="shared" ca="1" si="2"/>
        <v>#VALUE!</v>
      </c>
      <c r="P13" s="1284"/>
      <c r="Q13" s="1282" t="s">
        <v>109</v>
      </c>
      <c r="R13" s="1401" t="e">
        <f t="shared" ca="1" si="3"/>
        <v>#VALUE!</v>
      </c>
      <c r="S13" s="1274"/>
      <c r="T13" s="1288" t="e">
        <f t="shared" ca="1" si="0"/>
        <v>#VALUE!</v>
      </c>
      <c r="U13" s="1289" t="e">
        <f t="shared" ca="1" si="4"/>
        <v>#VALUE!</v>
      </c>
      <c r="V13" s="6" t="s">
        <v>12</v>
      </c>
      <c r="Y13" s="1383" t="s">
        <v>2290</v>
      </c>
      <c r="Z13" s="1384" t="s">
        <v>22</v>
      </c>
      <c r="AA13" s="1385" t="str">
        <f ca="1">IF(Y13="","",IF(COB=TODAY(),_xll.BDP(Y13,"LAST_PRICE"),_xll.BDH(Y13,"LAST_PRICE",COB,COB)))</f>
        <v>#N/A Requesting Data...</v>
      </c>
      <c r="AB13" s="1391" t="e">
        <f ca="1">AA13/100</f>
        <v>#VALUE!</v>
      </c>
      <c r="AC13" s="995"/>
      <c r="AD13" s="1383" t="s">
        <v>2571</v>
      </c>
      <c r="AE13" s="1384" t="s">
        <v>43</v>
      </c>
      <c r="AF13" s="1019" t="str">
        <f ca="1">IF(AD13="","",IF(COB=TODAY(),_xll.BDP(AD13,"LAST_PRICE"),_xll.BDH(AD13,"LAST_PRICE",COB,COB)))</f>
        <v>#N/A Requesting Data...</v>
      </c>
      <c r="AG13" s="1391" t="e">
        <f t="shared" ca="1" si="8"/>
        <v>#VALUE!</v>
      </c>
      <c r="AH13" s="995"/>
      <c r="AI13" s="1383" t="s">
        <v>2569</v>
      </c>
      <c r="AJ13" s="1384" t="s">
        <v>43</v>
      </c>
      <c r="AK13" s="1019" t="str">
        <f ca="1">IF(AI13="","",IF(COB=TODAY(),_xll.BDP(AI13,"LAST_PRICE"),_xll.BDH(AI13,"LAST_PRICE",COB,COB)))</f>
        <v>#N/A Requesting Data...</v>
      </c>
      <c r="AL13" s="1391" t="e">
        <f t="shared" ref="AL13:AL29" ca="1" si="9">AK13/10000</f>
        <v>#VALUE!</v>
      </c>
    </row>
    <row r="14" spans="1:38">
      <c r="A14" s="995" t="s">
        <v>12</v>
      </c>
      <c r="B14" s="1304"/>
      <c r="C14" s="1303"/>
      <c r="D14" s="995" t="s">
        <v>12</v>
      </c>
      <c r="E14" s="1282" t="s">
        <v>43</v>
      </c>
      <c r="F14" s="1287" t="e">
        <f t="shared" ca="1" si="1"/>
        <v>#VALUE!</v>
      </c>
      <c r="G14" s="1278"/>
      <c r="H14" s="1278"/>
      <c r="I14" s="1279" t="b">
        <v>1</v>
      </c>
      <c r="J14" s="1272"/>
      <c r="K14" s="1280"/>
      <c r="L14" s="1281"/>
      <c r="M14" s="1272"/>
      <c r="N14" s="1282" t="s">
        <v>27</v>
      </c>
      <c r="O14" s="1283" t="e">
        <f t="shared" ca="1" si="2"/>
        <v>#VALUE!</v>
      </c>
      <c r="P14" s="1284"/>
      <c r="Q14" s="1282" t="s">
        <v>27</v>
      </c>
      <c r="R14" s="1401" t="e">
        <f t="shared" ca="1" si="3"/>
        <v>#VALUE!</v>
      </c>
      <c r="S14" s="1274"/>
      <c r="T14" s="1288" t="e">
        <f t="shared" ca="1" si="0"/>
        <v>#VALUE!</v>
      </c>
      <c r="U14" s="1289" t="e">
        <f t="shared" ca="1" si="4"/>
        <v>#VALUE!</v>
      </c>
      <c r="V14" s="6" t="s">
        <v>12</v>
      </c>
      <c r="Y14" s="1383" t="s">
        <v>2570</v>
      </c>
      <c r="Z14" s="1384" t="s">
        <v>55</v>
      </c>
      <c r="AA14" s="1385" t="str">
        <f ca="1">IF(Y14="","",IF(COB=TODAY(),_xll.BDP(Y14,"LAST_PRICE"),_xll.BDH(Y14,"LAST_PRICE",COB,COB)))</f>
        <v>#N/A Requesting Data...</v>
      </c>
      <c r="AB14" s="1391" t="e">
        <f t="shared" ca="1" si="7"/>
        <v>#VALUE!</v>
      </c>
      <c r="AC14" s="995"/>
      <c r="AD14" s="1383" t="s">
        <v>2573</v>
      </c>
      <c r="AE14" s="1384" t="s">
        <v>40</v>
      </c>
      <c r="AF14" s="1019" t="str">
        <f ca="1">IF(AD14="","",IF(COB=TODAY(),_xll.BDP(AD14,"LAST_PRICE"),_xll.BDH(AD14,"LAST_PRICE",COB,COB)))</f>
        <v>#N/A Requesting Data...</v>
      </c>
      <c r="AG14" s="1391" t="e">
        <f t="shared" ca="1" si="8"/>
        <v>#VALUE!</v>
      </c>
      <c r="AH14" s="995"/>
      <c r="AI14" s="1383" t="s">
        <v>2572</v>
      </c>
      <c r="AJ14" s="1384" t="s">
        <v>40</v>
      </c>
      <c r="AK14" s="1019" t="str">
        <f ca="1">IF(AI14="","",IF(COB=TODAY(),_xll.BDP(AI14,"LAST_PRICE"),_xll.BDH(AI14,"LAST_PRICE",COB,COB)))</f>
        <v>#N/A Requesting Data...</v>
      </c>
      <c r="AL14" s="1391" t="e">
        <f t="shared" ca="1" si="9"/>
        <v>#VALUE!</v>
      </c>
    </row>
    <row r="15" spans="1:38">
      <c r="A15" s="995" t="s">
        <v>12</v>
      </c>
      <c r="B15" s="1304"/>
      <c r="C15" s="1303"/>
      <c r="D15" s="995" t="s">
        <v>12</v>
      </c>
      <c r="E15" s="1282" t="s">
        <v>40</v>
      </c>
      <c r="F15" s="1287" t="e">
        <f t="shared" ca="1" si="1"/>
        <v>#VALUE!</v>
      </c>
      <c r="G15" s="1278"/>
      <c r="H15" s="1278"/>
      <c r="I15" s="1279" t="b">
        <v>1</v>
      </c>
      <c r="J15" s="1272"/>
      <c r="K15" s="1280"/>
      <c r="L15" s="1281"/>
      <c r="M15" s="1272"/>
      <c r="N15" s="1282" t="s">
        <v>25</v>
      </c>
      <c r="O15" s="1283" t="e">
        <f t="shared" ca="1" si="2"/>
        <v>#VALUE!</v>
      </c>
      <c r="P15" s="1284"/>
      <c r="Q15" s="1282" t="s">
        <v>25</v>
      </c>
      <c r="R15" s="1401" t="e">
        <f t="shared" ca="1" si="3"/>
        <v>#VALUE!</v>
      </c>
      <c r="S15" s="1274"/>
      <c r="T15" s="1288" t="e">
        <f t="shared" ca="1" si="0"/>
        <v>#VALUE!</v>
      </c>
      <c r="U15" s="1289" t="e">
        <f t="shared" ca="1" si="4"/>
        <v>#VALUE!</v>
      </c>
      <c r="V15" s="6" t="s">
        <v>12</v>
      </c>
      <c r="Y15" s="1383" t="s">
        <v>2291</v>
      </c>
      <c r="Z15" s="1384" t="s">
        <v>154</v>
      </c>
      <c r="AA15" s="1385" t="str">
        <f ca="1">IF(Y15="","",IF(COB=TODAY(),_xll.BDP(Y15,"LAST_PRICE"),_xll.BDH(Y15,"LAST_PRICE",COB,COB)))</f>
        <v>#N/A Requesting Data...</v>
      </c>
      <c r="AB15" s="1391" t="e">
        <f t="shared" ca="1" si="7"/>
        <v>#VALUE!</v>
      </c>
      <c r="AC15" s="995"/>
      <c r="AD15" s="1383" t="s">
        <v>2576</v>
      </c>
      <c r="AE15" s="1384" t="s">
        <v>37</v>
      </c>
      <c r="AF15" s="1019" t="str">
        <f ca="1">IF(AD15="","",IF(COB=TODAY(),_xll.BDP(AD15,"LAST_PRICE"),_xll.BDH(AD15,"LAST_PRICE",COB,COB)))</f>
        <v>#N/A Requesting Data...</v>
      </c>
      <c r="AG15" s="1391" t="e">
        <f t="shared" ca="1" si="8"/>
        <v>#VALUE!</v>
      </c>
      <c r="AH15" s="995"/>
      <c r="AI15" s="1383" t="s">
        <v>2574</v>
      </c>
      <c r="AJ15" s="1384" t="s">
        <v>37</v>
      </c>
      <c r="AK15" s="1019" t="str">
        <f ca="1">IF(AI15="","",IF(COB=TODAY(),_xll.BDP(AI15,"LAST_PRICE"),_xll.BDH(AI15,"LAST_PRICE",COB,COB)))</f>
        <v>#N/A Requesting Data...</v>
      </c>
      <c r="AL15" s="1391" t="e">
        <f t="shared" ca="1" si="9"/>
        <v>#VALUE!</v>
      </c>
    </row>
    <row r="16" spans="1:38">
      <c r="A16" s="995" t="s">
        <v>12</v>
      </c>
      <c r="B16" s="1304"/>
      <c r="C16" s="1303"/>
      <c r="D16" s="995" t="s">
        <v>12</v>
      </c>
      <c r="E16" s="1282" t="s">
        <v>37</v>
      </c>
      <c r="F16" s="1287" t="e">
        <f t="shared" ca="1" si="1"/>
        <v>#VALUE!</v>
      </c>
      <c r="G16" s="1278"/>
      <c r="H16" s="1278"/>
      <c r="I16" s="1279" t="b">
        <v>1</v>
      </c>
      <c r="J16" s="1272"/>
      <c r="K16" s="1280"/>
      <c r="L16" s="1281"/>
      <c r="M16" s="1272"/>
      <c r="N16" s="1282" t="s">
        <v>23</v>
      </c>
      <c r="O16" s="1283" t="e">
        <f t="shared" ca="1" si="2"/>
        <v>#VALUE!</v>
      </c>
      <c r="P16" s="1284"/>
      <c r="Q16" s="1282" t="s">
        <v>23</v>
      </c>
      <c r="R16" s="1401" t="e">
        <f t="shared" ca="1" si="3"/>
        <v>#VALUE!</v>
      </c>
      <c r="S16" s="1274"/>
      <c r="T16" s="1288" t="e">
        <f t="shared" ca="1" si="0"/>
        <v>#VALUE!</v>
      </c>
      <c r="U16" s="1289" t="e">
        <f t="shared" ca="1" si="4"/>
        <v>#VALUE!</v>
      </c>
      <c r="V16" s="6" t="s">
        <v>12</v>
      </c>
      <c r="Y16" s="1383" t="s">
        <v>2575</v>
      </c>
      <c r="Z16" s="1384" t="s">
        <v>43</v>
      </c>
      <c r="AA16" s="1385" t="str">
        <f ca="1">IF(Y16="","",IF(COB=TODAY(),_xll.BDP(Y16,"LAST_PRICE"),_xll.BDH(Y16,"LAST_PRICE",COB,COB)))</f>
        <v>#N/A Requesting Data...</v>
      </c>
      <c r="AB16" s="1391" t="e">
        <f t="shared" ca="1" si="7"/>
        <v>#VALUE!</v>
      </c>
      <c r="AC16" s="995"/>
      <c r="AD16" s="1383" t="s">
        <v>2578</v>
      </c>
      <c r="AE16" s="1384" t="s">
        <v>33</v>
      </c>
      <c r="AF16" s="1019" t="str">
        <f ca="1">IF(AD16="","",IF(COB=TODAY(),_xll.BDP(AD16,"LAST_PRICE"),_xll.BDH(AD16,"LAST_PRICE",COB,COB)))</f>
        <v>#N/A Requesting Data...</v>
      </c>
      <c r="AG16" s="1391" t="e">
        <f t="shared" ca="1" si="8"/>
        <v>#VALUE!</v>
      </c>
      <c r="AH16" s="995"/>
      <c r="AI16" s="1383" t="s">
        <v>2577</v>
      </c>
      <c r="AJ16" s="1384" t="s">
        <v>33</v>
      </c>
      <c r="AK16" s="1019" t="str">
        <f ca="1">IF(AI16="","",IF(COB=TODAY(),_xll.BDP(AI16,"LAST_PRICE"),_xll.BDH(AI16,"LAST_PRICE",COB,COB)))</f>
        <v>#N/A Requesting Data...</v>
      </c>
      <c r="AL16" s="1391" t="e">
        <f t="shared" ca="1" si="9"/>
        <v>#VALUE!</v>
      </c>
    </row>
    <row r="17" spans="1:38">
      <c r="A17" s="995" t="s">
        <v>12</v>
      </c>
      <c r="B17" s="1304"/>
      <c r="C17" s="1303"/>
      <c r="D17" s="995" t="s">
        <v>12</v>
      </c>
      <c r="E17" s="1282" t="s">
        <v>33</v>
      </c>
      <c r="F17" s="1287" t="e">
        <f t="shared" ca="1" si="1"/>
        <v>#VALUE!</v>
      </c>
      <c r="G17" s="1278"/>
      <c r="H17" s="1278"/>
      <c r="I17" s="1279" t="b">
        <v>1</v>
      </c>
      <c r="J17" s="1272"/>
      <c r="K17" s="1280"/>
      <c r="L17" s="1281"/>
      <c r="M17" s="1272"/>
      <c r="N17" s="1282" t="s">
        <v>19</v>
      </c>
      <c r="O17" s="1283" t="e">
        <f t="shared" ca="1" si="2"/>
        <v>#VALUE!</v>
      </c>
      <c r="P17" s="1284"/>
      <c r="Q17" s="1282" t="s">
        <v>19</v>
      </c>
      <c r="R17" s="1401" t="e">
        <f t="shared" ca="1" si="3"/>
        <v>#VALUE!</v>
      </c>
      <c r="S17" s="1274"/>
      <c r="T17" s="1288" t="e">
        <f t="shared" ca="1" si="0"/>
        <v>#VALUE!</v>
      </c>
      <c r="U17" s="1289" t="e">
        <f t="shared" ca="1" si="4"/>
        <v>#VALUE!</v>
      </c>
      <c r="V17" s="6" t="s">
        <v>12</v>
      </c>
      <c r="Y17" s="1383" t="s">
        <v>2292</v>
      </c>
      <c r="Z17" s="1384" t="s">
        <v>40</v>
      </c>
      <c r="AA17" s="1385" t="str">
        <f ca="1">IF(Y17="","",IF(COB=TODAY(),_xll.BDP(Y17,"LAST_PRICE"),_xll.BDH(Y17,"LAST_PRICE",COB,COB)))</f>
        <v>#N/A Requesting Data...</v>
      </c>
      <c r="AB17" s="1391" t="e">
        <f t="shared" ca="1" si="7"/>
        <v>#VALUE!</v>
      </c>
      <c r="AC17" s="995"/>
      <c r="AD17" s="1383" t="s">
        <v>2580</v>
      </c>
      <c r="AE17" s="1384" t="s">
        <v>31</v>
      </c>
      <c r="AF17" s="1019" t="str">
        <f ca="1">IF(AD17="","",IF(COB=TODAY(),_xll.BDP(AD17,"LAST_PRICE"),_xll.BDH(AD17,"LAST_PRICE",COB,COB)))</f>
        <v>#N/A Requesting Data...</v>
      </c>
      <c r="AG17" s="1391" t="e">
        <f t="shared" ca="1" si="8"/>
        <v>#VALUE!</v>
      </c>
      <c r="AH17" s="995"/>
      <c r="AI17" s="1383" t="s">
        <v>2579</v>
      </c>
      <c r="AJ17" s="1384" t="s">
        <v>31</v>
      </c>
      <c r="AK17" s="1019" t="str">
        <f ca="1">IF(AI17="","",IF(COB=TODAY(),_xll.BDP(AI17,"LAST_PRICE"),_xll.BDH(AI17,"LAST_PRICE",COB,COB)))</f>
        <v>#N/A Requesting Data...</v>
      </c>
      <c r="AL17" s="1391" t="e">
        <f t="shared" ca="1" si="9"/>
        <v>#VALUE!</v>
      </c>
    </row>
    <row r="18" spans="1:38">
      <c r="A18" s="995" t="s">
        <v>12</v>
      </c>
      <c r="B18" s="1304"/>
      <c r="C18" s="1303"/>
      <c r="D18" s="995" t="s">
        <v>12</v>
      </c>
      <c r="E18" s="1282" t="s">
        <v>31</v>
      </c>
      <c r="F18" s="1287" t="e">
        <f t="shared" ca="1" si="1"/>
        <v>#VALUE!</v>
      </c>
      <c r="G18" s="1278"/>
      <c r="H18" s="1278"/>
      <c r="I18" s="1279" t="b">
        <v>1</v>
      </c>
      <c r="J18" s="1272"/>
      <c r="K18" s="1280"/>
      <c r="L18" s="1281"/>
      <c r="M18" s="1272"/>
      <c r="N18" s="1282" t="s">
        <v>17</v>
      </c>
      <c r="O18" s="1283" t="e">
        <f t="shared" ca="1" si="2"/>
        <v>#VALUE!</v>
      </c>
      <c r="P18" s="1284"/>
      <c r="Q18" s="1282" t="s">
        <v>17</v>
      </c>
      <c r="R18" s="1401" t="e">
        <f t="shared" ca="1" si="3"/>
        <v>#VALUE!</v>
      </c>
      <c r="S18" s="1274"/>
      <c r="T18" s="1288" t="e">
        <f t="shared" ca="1" si="0"/>
        <v>#VALUE!</v>
      </c>
      <c r="U18" s="1289" t="e">
        <f t="shared" ca="1" si="4"/>
        <v>#VALUE!</v>
      </c>
      <c r="V18" s="6" t="s">
        <v>12</v>
      </c>
      <c r="Y18" s="1383" t="s">
        <v>2293</v>
      </c>
      <c r="Z18" s="1384" t="s">
        <v>37</v>
      </c>
      <c r="AA18" s="1385" t="str">
        <f ca="1">IF(Y18="","",IF(COB=TODAY(),_xll.BDP(Y18,"LAST_PRICE"),_xll.BDH(Y18,"LAST_PRICE",COB,COB)))</f>
        <v>#N/A Requesting Data...</v>
      </c>
      <c r="AB18" s="1391" t="e">
        <f t="shared" ca="1" si="7"/>
        <v>#VALUE!</v>
      </c>
      <c r="AC18" s="995"/>
      <c r="AD18" s="1383" t="s">
        <v>2582</v>
      </c>
      <c r="AE18" s="1384" t="s">
        <v>127</v>
      </c>
      <c r="AF18" s="1019" t="str">
        <f ca="1">IF(AD18="","",IF(COB=TODAY(),_xll.BDP(AD18,"LAST_PRICE"),_xll.BDH(AD18,"LAST_PRICE",COB,COB)))</f>
        <v>#N/A Requesting Data...</v>
      </c>
      <c r="AG18" s="1391" t="e">
        <f t="shared" ca="1" si="8"/>
        <v>#VALUE!</v>
      </c>
      <c r="AH18" s="995"/>
      <c r="AI18" s="1383" t="s">
        <v>2581</v>
      </c>
      <c r="AJ18" s="1384" t="s">
        <v>127</v>
      </c>
      <c r="AK18" s="1019" t="str">
        <f ca="1">IF(AI18="","",IF(COB=TODAY(),_xll.BDP(AI18,"LAST_PRICE"),_xll.BDH(AI18,"LAST_PRICE",COB,COB)))</f>
        <v>#N/A Requesting Data...</v>
      </c>
      <c r="AL18" s="1391" t="e">
        <f t="shared" ca="1" si="9"/>
        <v>#VALUE!</v>
      </c>
    </row>
    <row r="19" spans="1:38">
      <c r="A19" s="995" t="s">
        <v>12</v>
      </c>
      <c r="B19" s="1304"/>
      <c r="C19" s="1303"/>
      <c r="D19" s="995" t="s">
        <v>12</v>
      </c>
      <c r="E19" s="1282" t="s">
        <v>127</v>
      </c>
      <c r="F19" s="1287" t="e">
        <f t="shared" ca="1" si="1"/>
        <v>#VALUE!</v>
      </c>
      <c r="G19" s="1278"/>
      <c r="H19" s="1278"/>
      <c r="I19" s="1279" t="b">
        <v>1</v>
      </c>
      <c r="J19" s="1272"/>
      <c r="K19" s="1280"/>
      <c r="L19" s="1281"/>
      <c r="M19" s="1272"/>
      <c r="N19" s="1282" t="s">
        <v>16</v>
      </c>
      <c r="O19" s="1283" t="e">
        <f t="shared" ca="1" si="2"/>
        <v>#VALUE!</v>
      </c>
      <c r="P19" s="1284"/>
      <c r="Q19" s="1282" t="s">
        <v>16</v>
      </c>
      <c r="R19" s="1401" t="e">
        <f t="shared" ca="1" si="3"/>
        <v>#VALUE!</v>
      </c>
      <c r="S19" s="1274"/>
      <c r="T19" s="1288" t="e">
        <f t="shared" ca="1" si="0"/>
        <v>#VALUE!</v>
      </c>
      <c r="U19" s="1289" t="e">
        <f t="shared" ca="1" si="4"/>
        <v>#VALUE!</v>
      </c>
      <c r="V19" s="6" t="s">
        <v>12</v>
      </c>
      <c r="Y19" s="1383" t="s">
        <v>2294</v>
      </c>
      <c r="Z19" s="1384" t="s">
        <v>33</v>
      </c>
      <c r="AA19" s="1385" t="str">
        <f ca="1">IF(Y19="","",IF(COB=TODAY(),_xll.BDP(Y19,"LAST_PRICE"),_xll.BDH(Y19,"LAST_PRICE",COB,COB)))</f>
        <v>#N/A Requesting Data...</v>
      </c>
      <c r="AB19" s="1391" t="e">
        <f t="shared" ca="1" si="7"/>
        <v>#VALUE!</v>
      </c>
      <c r="AC19" s="995"/>
      <c r="AD19" s="1383" t="s">
        <v>2584</v>
      </c>
      <c r="AE19" s="1384" t="s">
        <v>29</v>
      </c>
      <c r="AF19" s="1019" t="str">
        <f ca="1">IF(AD19="","",IF(COB=TODAY(),_xll.BDP(AD19,"LAST_PRICE"),_xll.BDH(AD19,"LAST_PRICE",COB,COB)))</f>
        <v>#N/A Requesting Data...</v>
      </c>
      <c r="AG19" s="1391" t="e">
        <f t="shared" ca="1" si="8"/>
        <v>#VALUE!</v>
      </c>
      <c r="AH19" s="995"/>
      <c r="AI19" s="1383" t="s">
        <v>2583</v>
      </c>
      <c r="AJ19" s="1384" t="s">
        <v>29</v>
      </c>
      <c r="AK19" s="1019" t="str">
        <f ca="1">IF(AI19="","",IF(COB=TODAY(),_xll.BDP(AI19,"LAST_PRICE"),_xll.BDH(AI19,"LAST_PRICE",COB,COB)))</f>
        <v>#N/A Requesting Data...</v>
      </c>
      <c r="AL19" s="1391" t="e">
        <f t="shared" ca="1" si="9"/>
        <v>#VALUE!</v>
      </c>
    </row>
    <row r="20" spans="1:38">
      <c r="A20" s="995" t="s">
        <v>12</v>
      </c>
      <c r="B20" s="925" t="s">
        <v>2537</v>
      </c>
      <c r="C20" s="1303"/>
      <c r="D20" s="995" t="s">
        <v>12</v>
      </c>
      <c r="E20" s="1282" t="s">
        <v>29</v>
      </c>
      <c r="F20" s="1287" t="e">
        <f t="shared" ca="1" si="1"/>
        <v>#VALUE!</v>
      </c>
      <c r="G20" s="1278"/>
      <c r="H20" s="1278"/>
      <c r="I20" s="1279" t="b">
        <v>1</v>
      </c>
      <c r="J20" s="1272"/>
      <c r="K20" s="1280"/>
      <c r="L20" s="1281"/>
      <c r="M20" s="1272"/>
      <c r="N20" s="1282" t="s">
        <v>15</v>
      </c>
      <c r="O20" s="1283" t="e">
        <f t="shared" ca="1" si="2"/>
        <v>#VALUE!</v>
      </c>
      <c r="P20" s="1284"/>
      <c r="Q20" s="1282" t="s">
        <v>15</v>
      </c>
      <c r="R20" s="1401" t="e">
        <f t="shared" ca="1" si="3"/>
        <v>#VALUE!</v>
      </c>
      <c r="S20" s="1274"/>
      <c r="T20" s="1288" t="e">
        <f t="shared" ca="1" si="0"/>
        <v>#VALUE!</v>
      </c>
      <c r="U20" s="1289" t="e">
        <f t="shared" ca="1" si="4"/>
        <v>#VALUE!</v>
      </c>
      <c r="V20" s="6" t="s">
        <v>12</v>
      </c>
      <c r="Y20" s="1383" t="s">
        <v>2295</v>
      </c>
      <c r="Z20" s="1384" t="s">
        <v>31</v>
      </c>
      <c r="AA20" s="1385" t="str">
        <f ca="1">IF(Y20="","",IF(COB=TODAY(),_xll.BDP(Y20,"LAST_PRICE"),_xll.BDH(Y20,"LAST_PRICE",COB,COB)))</f>
        <v>#N/A Requesting Data...</v>
      </c>
      <c r="AB20" s="1391" t="e">
        <f t="shared" ca="1" si="7"/>
        <v>#VALUE!</v>
      </c>
      <c r="AC20" s="995"/>
      <c r="AD20" s="1383" t="s">
        <v>2586</v>
      </c>
      <c r="AE20" s="1384" t="s">
        <v>115</v>
      </c>
      <c r="AF20" s="1019" t="str">
        <f ca="1">IF(AD20="","",IF(COB=TODAY(),_xll.BDP(AD20,"LAST_PRICE"),_xll.BDH(AD20,"LAST_PRICE",COB,COB)))</f>
        <v>#N/A Requesting Data...</v>
      </c>
      <c r="AG20" s="1391" t="e">
        <f t="shared" ca="1" si="8"/>
        <v>#VALUE!</v>
      </c>
      <c r="AH20" s="995"/>
      <c r="AI20" s="1383" t="s">
        <v>2585</v>
      </c>
      <c r="AJ20" s="1384" t="s">
        <v>115</v>
      </c>
      <c r="AK20" s="1019" t="str">
        <f ca="1">IF(AI20="","",IF(COB=TODAY(),_xll.BDP(AI20,"LAST_PRICE"),_xll.BDH(AI20,"LAST_PRICE",COB,COB)))</f>
        <v>#N/A Requesting Data...</v>
      </c>
      <c r="AL20" s="1391" t="e">
        <f t="shared" ca="1" si="9"/>
        <v>#VALUE!</v>
      </c>
    </row>
    <row r="21" spans="1:38">
      <c r="A21" s="995" t="s">
        <v>12</v>
      </c>
      <c r="B21" s="1345" t="s">
        <v>2535</v>
      </c>
      <c r="C21" s="1346" t="s">
        <v>2538</v>
      </c>
      <c r="D21" s="995" t="s">
        <v>12</v>
      </c>
      <c r="E21" s="1282" t="s">
        <v>115</v>
      </c>
      <c r="F21" s="1287" t="e">
        <f t="shared" ca="1" si="1"/>
        <v>#VALUE!</v>
      </c>
      <c r="G21" s="1278"/>
      <c r="H21" s="1278"/>
      <c r="I21" s="1279" t="b">
        <v>1</v>
      </c>
      <c r="J21" s="1272"/>
      <c r="K21" s="1280"/>
      <c r="L21" s="1281"/>
      <c r="M21" s="1272"/>
      <c r="N21" s="1282" t="s">
        <v>14</v>
      </c>
      <c r="O21" s="1283" t="e">
        <f t="shared" ca="1" si="2"/>
        <v>#VALUE!</v>
      </c>
      <c r="P21" s="1284"/>
      <c r="Q21" s="1282" t="s">
        <v>14</v>
      </c>
      <c r="R21" s="1401" t="e">
        <f t="shared" ca="1" si="3"/>
        <v>#VALUE!</v>
      </c>
      <c r="S21" s="1274"/>
      <c r="T21" s="1288" t="e">
        <f t="shared" ca="1" si="0"/>
        <v>#VALUE!</v>
      </c>
      <c r="U21" s="1289" t="e">
        <f t="shared" ca="1" si="4"/>
        <v>#VALUE!</v>
      </c>
      <c r="V21" s="6" t="s">
        <v>12</v>
      </c>
      <c r="Y21" s="1383" t="s">
        <v>2296</v>
      </c>
      <c r="Z21" s="1384" t="s">
        <v>127</v>
      </c>
      <c r="AA21" s="1385" t="str">
        <f ca="1">IF(Y21="","",IF(COB=TODAY(),_xll.BDP(Y21,"LAST_PRICE"),_xll.BDH(Y21,"LAST_PRICE",COB,COB)))</f>
        <v>#N/A Requesting Data...</v>
      </c>
      <c r="AB21" s="1391" t="e">
        <f t="shared" ca="1" si="7"/>
        <v>#VALUE!</v>
      </c>
      <c r="AC21" s="995"/>
      <c r="AD21" s="1383" t="s">
        <v>2588</v>
      </c>
      <c r="AE21" s="1384" t="s">
        <v>109</v>
      </c>
      <c r="AF21" s="1019" t="str">
        <f ca="1">IF(AD21="","",IF(COB=TODAY(),_xll.BDP(AD21,"LAST_PRICE"),_xll.BDH(AD21,"LAST_PRICE",COB,COB)))</f>
        <v>#N/A Requesting Data...</v>
      </c>
      <c r="AG21" s="1391" t="e">
        <f t="shared" ca="1" si="8"/>
        <v>#VALUE!</v>
      </c>
      <c r="AH21" s="995"/>
      <c r="AI21" s="1383" t="s">
        <v>2587</v>
      </c>
      <c r="AJ21" s="1384" t="s">
        <v>109</v>
      </c>
      <c r="AK21" s="1019" t="str">
        <f ca="1">IF(AI21="","",IF(COB=TODAY(),_xll.BDP(AI21,"LAST_PRICE"),_xll.BDH(AI21,"LAST_PRICE",COB,COB)))</f>
        <v>#N/A Requesting Data...</v>
      </c>
      <c r="AL21" s="1391" t="e">
        <f t="shared" ca="1" si="9"/>
        <v>#VALUE!</v>
      </c>
    </row>
    <row r="22" spans="1:38">
      <c r="A22" s="995" t="s">
        <v>12</v>
      </c>
      <c r="B22" s="1347" t="s">
        <v>2539</v>
      </c>
      <c r="C22" s="1348" t="s">
        <v>2540</v>
      </c>
      <c r="D22" s="995" t="s">
        <v>12</v>
      </c>
      <c r="E22" s="1282" t="s">
        <v>109</v>
      </c>
      <c r="F22" s="1287" t="e">
        <f t="shared" ca="1" si="1"/>
        <v>#VALUE!</v>
      </c>
      <c r="G22" s="1278"/>
      <c r="H22" s="1278"/>
      <c r="I22" s="1279" t="b">
        <v>1</v>
      </c>
      <c r="J22" s="1272"/>
      <c r="K22" s="1280"/>
      <c r="L22" s="1281"/>
      <c r="M22" s="1272"/>
      <c r="N22" s="1282"/>
      <c r="O22" s="1283"/>
      <c r="P22" s="1284"/>
      <c r="Q22" s="1282"/>
      <c r="R22" s="1401"/>
      <c r="S22" s="1274"/>
      <c r="T22" s="1290"/>
      <c r="U22" s="1291"/>
      <c r="V22" s="6" t="s">
        <v>12</v>
      </c>
      <c r="Y22" s="1383" t="s">
        <v>2267</v>
      </c>
      <c r="Z22" s="1384" t="s">
        <v>29</v>
      </c>
      <c r="AA22" s="1385" t="str">
        <f ca="1">IF(Y22="","",IF(COB=TODAY(),_xll.BDP(Y22,"LAST_PRICE"),_xll.BDH(Y22,"LAST_PRICE",COB,COB)))</f>
        <v>#N/A Requesting Data...</v>
      </c>
      <c r="AB22" s="1391" t="e">
        <f t="shared" ca="1" si="7"/>
        <v>#VALUE!</v>
      </c>
      <c r="AC22" s="995"/>
      <c r="AD22" s="1383" t="s">
        <v>2590</v>
      </c>
      <c r="AE22" s="1384" t="s">
        <v>27</v>
      </c>
      <c r="AF22" s="1019" t="str">
        <f ca="1">IF(AD22="","",IF(COB=TODAY(),_xll.BDP(AD22,"LAST_PRICE"),_xll.BDH(AD22,"LAST_PRICE",COB,COB)))</f>
        <v>#N/A Requesting Data...</v>
      </c>
      <c r="AG22" s="1391" t="e">
        <f t="shared" ca="1" si="8"/>
        <v>#VALUE!</v>
      </c>
      <c r="AH22" s="995"/>
      <c r="AI22" s="1383" t="s">
        <v>2589</v>
      </c>
      <c r="AJ22" s="1384" t="s">
        <v>27</v>
      </c>
      <c r="AK22" s="1019" t="str">
        <f ca="1">IF(AI22="","",IF(COB=TODAY(),_xll.BDP(AI22,"LAST_PRICE"),_xll.BDH(AI22,"LAST_PRICE",COB,COB)))</f>
        <v>#N/A Requesting Data...</v>
      </c>
      <c r="AL22" s="1391" t="e">
        <f t="shared" ca="1" si="9"/>
        <v>#VALUE!</v>
      </c>
    </row>
    <row r="23" spans="1:38">
      <c r="A23" s="995" t="s">
        <v>12</v>
      </c>
      <c r="B23" s="1347" t="s">
        <v>2541</v>
      </c>
      <c r="C23" s="1348" t="s">
        <v>2542</v>
      </c>
      <c r="D23" s="995" t="s">
        <v>12</v>
      </c>
      <c r="E23" s="1282" t="s">
        <v>27</v>
      </c>
      <c r="F23" s="1287" t="e">
        <f t="shared" ca="1" si="1"/>
        <v>#VALUE!</v>
      </c>
      <c r="G23" s="1278"/>
      <c r="H23" s="1278"/>
      <c r="I23" s="1279" t="b">
        <v>1</v>
      </c>
      <c r="J23" s="1272"/>
      <c r="K23" s="1280"/>
      <c r="L23" s="1281"/>
      <c r="M23" s="1272"/>
      <c r="N23" s="1282"/>
      <c r="O23" s="1283"/>
      <c r="P23" s="1284"/>
      <c r="Q23" s="1282"/>
      <c r="R23" s="1401"/>
      <c r="S23" s="1274"/>
      <c r="T23" s="1290"/>
      <c r="U23" s="1291"/>
      <c r="V23" s="6" t="s">
        <v>12</v>
      </c>
      <c r="Y23" s="1383" t="s">
        <v>2268</v>
      </c>
      <c r="Z23" s="1384" t="s">
        <v>115</v>
      </c>
      <c r="AA23" s="1385" t="str">
        <f ca="1">IF(Y23="","",IF(COB=TODAY(),_xll.BDP(Y23,"LAST_PRICE"),_xll.BDH(Y23,"LAST_PRICE",COB,COB)))</f>
        <v>#N/A Requesting Data...</v>
      </c>
      <c r="AB23" s="1391" t="e">
        <f t="shared" ca="1" si="7"/>
        <v>#VALUE!</v>
      </c>
      <c r="AC23" s="995"/>
      <c r="AD23" s="1383" t="s">
        <v>2592</v>
      </c>
      <c r="AE23" s="1384" t="s">
        <v>25</v>
      </c>
      <c r="AF23" s="1019" t="str">
        <f ca="1">IF(AD23="","",IF(COB=TODAY(),_xll.BDP(AD23,"LAST_PRICE"),_xll.BDH(AD23,"LAST_PRICE",COB,COB)))</f>
        <v>#N/A Requesting Data...</v>
      </c>
      <c r="AG23" s="1391" t="e">
        <f t="shared" ca="1" si="8"/>
        <v>#VALUE!</v>
      </c>
      <c r="AH23" s="995"/>
      <c r="AI23" s="1383" t="s">
        <v>2591</v>
      </c>
      <c r="AJ23" s="1384" t="s">
        <v>25</v>
      </c>
      <c r="AK23" s="1019" t="str">
        <f ca="1">IF(AI23="","",IF(COB=TODAY(),_xll.BDP(AI23,"LAST_PRICE"),_xll.BDH(AI23,"LAST_PRICE",COB,COB)))</f>
        <v>#N/A Requesting Data...</v>
      </c>
      <c r="AL23" s="1391" t="e">
        <f t="shared" ca="1" si="9"/>
        <v>#VALUE!</v>
      </c>
    </row>
    <row r="24" spans="1:38">
      <c r="A24" s="995" t="s">
        <v>12</v>
      </c>
      <c r="B24" s="1349" t="s">
        <v>2543</v>
      </c>
      <c r="C24" s="1350"/>
      <c r="D24" s="995" t="s">
        <v>12</v>
      </c>
      <c r="E24" s="1282" t="s">
        <v>25</v>
      </c>
      <c r="F24" s="1287" t="e">
        <f t="shared" ca="1" si="1"/>
        <v>#VALUE!</v>
      </c>
      <c r="G24" s="1278"/>
      <c r="H24" s="1278"/>
      <c r="I24" s="1279" t="b">
        <v>1</v>
      </c>
      <c r="J24" s="1272"/>
      <c r="K24" s="1280"/>
      <c r="L24" s="1281"/>
      <c r="M24" s="1272"/>
      <c r="N24" s="1282"/>
      <c r="O24" s="1283"/>
      <c r="P24" s="1284"/>
      <c r="Q24" s="1282"/>
      <c r="R24" s="1401"/>
      <c r="S24" s="1274"/>
      <c r="T24" s="1290"/>
      <c r="U24" s="1291"/>
      <c r="V24" s="6" t="s">
        <v>12</v>
      </c>
      <c r="Y24" s="1383" t="s">
        <v>2269</v>
      </c>
      <c r="Z24" s="1384" t="s">
        <v>109</v>
      </c>
      <c r="AA24" s="1385" t="str">
        <f ca="1">IF(Y24="","",IF(COB=TODAY(),_xll.BDP(Y24,"LAST_PRICE"),_xll.BDH(Y24,"LAST_PRICE",COB,COB)))</f>
        <v>#N/A Requesting Data...</v>
      </c>
      <c r="AB24" s="1391" t="e">
        <f t="shared" ca="1" si="7"/>
        <v>#VALUE!</v>
      </c>
      <c r="AC24" s="995"/>
      <c r="AD24" s="1383" t="s">
        <v>2283</v>
      </c>
      <c r="AE24" s="1384" t="s">
        <v>23</v>
      </c>
      <c r="AF24" s="1019" t="str">
        <f ca="1">IF(AD24="","",IF(COB=TODAY(),_xll.BDP(AD24,"LAST_PRICE"),_xll.BDH(AD24,"LAST_PRICE",COB,COB)))</f>
        <v>#N/A Requesting Data...</v>
      </c>
      <c r="AG24" s="1391" t="e">
        <f t="shared" ca="1" si="8"/>
        <v>#VALUE!</v>
      </c>
      <c r="AH24" s="995"/>
      <c r="AI24" s="1383" t="s">
        <v>2593</v>
      </c>
      <c r="AJ24" s="1384" t="s">
        <v>23</v>
      </c>
      <c r="AK24" s="1019" t="str">
        <f ca="1">IF(AI24="","",IF(COB=TODAY(),_xll.BDP(AI24,"LAST_PRICE"),_xll.BDH(AI24,"LAST_PRICE",COB,COB)))</f>
        <v>#N/A Requesting Data...</v>
      </c>
      <c r="AL24" s="1391" t="e">
        <f t="shared" ca="1" si="9"/>
        <v>#VALUE!</v>
      </c>
    </row>
    <row r="25" spans="1:38">
      <c r="A25" s="995" t="s">
        <v>12</v>
      </c>
      <c r="B25" s="493"/>
      <c r="C25" s="493"/>
      <c r="D25" s="995" t="s">
        <v>12</v>
      </c>
      <c r="E25" s="1282" t="s">
        <v>23</v>
      </c>
      <c r="F25" s="1287" t="e">
        <f t="shared" ca="1" si="1"/>
        <v>#VALUE!</v>
      </c>
      <c r="G25" s="1278"/>
      <c r="H25" s="1278"/>
      <c r="I25" s="1279" t="b">
        <v>1</v>
      </c>
      <c r="J25" s="1272"/>
      <c r="K25" s="1280"/>
      <c r="L25" s="1281"/>
      <c r="M25" s="1272"/>
      <c r="N25" s="1282"/>
      <c r="O25" s="1283"/>
      <c r="P25" s="1284"/>
      <c r="Q25" s="1282"/>
      <c r="R25" s="1401"/>
      <c r="S25" s="1274"/>
      <c r="T25" s="1290"/>
      <c r="U25" s="1291"/>
      <c r="V25" s="6" t="s">
        <v>12</v>
      </c>
      <c r="Y25" s="1383" t="s">
        <v>2270</v>
      </c>
      <c r="Z25" s="1384" t="s">
        <v>27</v>
      </c>
      <c r="AA25" s="1385" t="str">
        <f ca="1">IF(Y25="","",IF(COB=TODAY(),_xll.BDP(Y25,"LAST_PRICE"),_xll.BDH(Y25,"LAST_PRICE",COB,COB)))</f>
        <v>#N/A Requesting Data...</v>
      </c>
      <c r="AB25" s="1391" t="e">
        <f t="shared" ca="1" si="7"/>
        <v>#VALUE!</v>
      </c>
      <c r="AC25" s="995"/>
      <c r="AD25" s="1383" t="s">
        <v>2284</v>
      </c>
      <c r="AE25" s="1384" t="s">
        <v>19</v>
      </c>
      <c r="AF25" s="1019" t="str">
        <f ca="1">IF(AD25="","",IF(COB=TODAY(),_xll.BDP(AD25,"LAST_PRICE"),_xll.BDH(AD25,"LAST_PRICE",COB,COB)))</f>
        <v>#N/A Requesting Data...</v>
      </c>
      <c r="AG25" s="1391" t="e">
        <f t="shared" ca="1" si="8"/>
        <v>#VALUE!</v>
      </c>
      <c r="AH25" s="995"/>
      <c r="AI25" s="1383" t="s">
        <v>2594</v>
      </c>
      <c r="AJ25" s="1384" t="s">
        <v>19</v>
      </c>
      <c r="AK25" s="1019" t="str">
        <f ca="1">IF(AI25="","",IF(COB=TODAY(),_xll.BDP(AI25,"LAST_PRICE"),_xll.BDH(AI25,"LAST_PRICE",COB,COB)))</f>
        <v>#N/A Requesting Data...</v>
      </c>
      <c r="AL25" s="1391" t="e">
        <f t="shared" ca="1" si="9"/>
        <v>#VALUE!</v>
      </c>
    </row>
    <row r="26" spans="1:38">
      <c r="A26" s="995" t="s">
        <v>12</v>
      </c>
      <c r="B26" s="493"/>
      <c r="C26" s="493"/>
      <c r="D26" s="995" t="s">
        <v>12</v>
      </c>
      <c r="E26" s="1282" t="s">
        <v>19</v>
      </c>
      <c r="F26" s="1287" t="e">
        <f t="shared" ca="1" si="1"/>
        <v>#VALUE!</v>
      </c>
      <c r="G26" s="1278"/>
      <c r="H26" s="1278"/>
      <c r="I26" s="1279" t="b">
        <v>1</v>
      </c>
      <c r="J26" s="1272"/>
      <c r="K26" s="1280"/>
      <c r="L26" s="1281"/>
      <c r="M26" s="1272"/>
      <c r="N26" s="1282"/>
      <c r="O26" s="1283"/>
      <c r="P26" s="1284"/>
      <c r="Q26" s="1282"/>
      <c r="R26" s="1401"/>
      <c r="S26" s="1274"/>
      <c r="T26" s="1290"/>
      <c r="U26" s="1291"/>
      <c r="V26" s="6" t="s">
        <v>12</v>
      </c>
      <c r="Y26" s="1383" t="s">
        <v>2272</v>
      </c>
      <c r="Z26" s="1384" t="s">
        <v>25</v>
      </c>
      <c r="AA26" s="1385" t="str">
        <f ca="1">IF(Y26="","",IF(COB=TODAY(),_xll.BDP(Y26,"LAST_PRICE"),_xll.BDH(Y26,"LAST_PRICE",COB,COB)))</f>
        <v>#N/A Requesting Data...</v>
      </c>
      <c r="AB26" s="1391" t="e">
        <f t="shared" ca="1" si="7"/>
        <v>#VALUE!</v>
      </c>
      <c r="AC26" s="995"/>
      <c r="AD26" s="1383" t="s">
        <v>2285</v>
      </c>
      <c r="AE26" s="1384" t="s">
        <v>17</v>
      </c>
      <c r="AF26" s="1019" t="str">
        <f ca="1">IF(AD26="","",IF(COB=TODAY(),_xll.BDP(AD26,"LAST_PRICE"),_xll.BDH(AD26,"LAST_PRICE",COB,COB)))</f>
        <v>#N/A Requesting Data...</v>
      </c>
      <c r="AG26" s="1391" t="e">
        <f t="shared" ca="1" si="8"/>
        <v>#VALUE!</v>
      </c>
      <c r="AH26" s="995"/>
      <c r="AI26" s="1383" t="s">
        <v>2595</v>
      </c>
      <c r="AJ26" s="1384" t="s">
        <v>17</v>
      </c>
      <c r="AK26" s="1019" t="str">
        <f ca="1">IF(AI26="","",IF(COB=TODAY(),_xll.BDP(AI26,"LAST_PRICE"),_xll.BDH(AI26,"LAST_PRICE",COB,COB)))</f>
        <v>#N/A Requesting Data...</v>
      </c>
      <c r="AL26" s="1391" t="e">
        <f t="shared" ca="1" si="9"/>
        <v>#VALUE!</v>
      </c>
    </row>
    <row r="27" spans="1:38">
      <c r="A27" s="995" t="s">
        <v>12</v>
      </c>
      <c r="B27" s="925" t="s">
        <v>2544</v>
      </c>
      <c r="C27" s="1394" t="b">
        <f ca="1">LEFT(C28,3)=LEFT(C21,3)</f>
        <v>1</v>
      </c>
      <c r="D27" s="995" t="s">
        <v>12</v>
      </c>
      <c r="E27" s="1282" t="s">
        <v>17</v>
      </c>
      <c r="F27" s="1287" t="e">
        <f t="shared" ca="1" si="1"/>
        <v>#VALUE!</v>
      </c>
      <c r="G27" s="1278"/>
      <c r="H27" s="1278"/>
      <c r="I27" s="1279" t="b">
        <v>1</v>
      </c>
      <c r="J27" s="1272"/>
      <c r="K27" s="1280"/>
      <c r="L27" s="1281"/>
      <c r="M27" s="1272"/>
      <c r="N27" s="1282"/>
      <c r="O27" s="1283"/>
      <c r="P27" s="1284"/>
      <c r="Q27" s="1282"/>
      <c r="R27" s="1401"/>
      <c r="S27" s="1274"/>
      <c r="T27" s="1290"/>
      <c r="U27" s="1291"/>
      <c r="V27" s="6" t="s">
        <v>12</v>
      </c>
      <c r="Y27" s="1383" t="s">
        <v>2273</v>
      </c>
      <c r="Z27" s="1384" t="s">
        <v>23</v>
      </c>
      <c r="AA27" s="1385" t="str">
        <f ca="1">IF(Y27="","",IF(COB=TODAY(),_xll.BDP(Y27,"LAST_PRICE"),_xll.BDH(Y27,"LAST_PRICE",COB,COB)))</f>
        <v>#N/A Requesting Data...</v>
      </c>
      <c r="AB27" s="1391" t="e">
        <f t="shared" ca="1" si="7"/>
        <v>#VALUE!</v>
      </c>
      <c r="AC27" s="995"/>
      <c r="AD27" s="1383" t="s">
        <v>2286</v>
      </c>
      <c r="AE27" s="1384" t="s">
        <v>16</v>
      </c>
      <c r="AF27" s="1019" t="str">
        <f ca="1">IF(AD27="","",IF(COB=TODAY(),_xll.BDP(AD27,"LAST_PRICE"),_xll.BDH(AD27,"LAST_PRICE",COB,COB)))</f>
        <v>#N/A Requesting Data...</v>
      </c>
      <c r="AG27" s="1391" t="e">
        <f t="shared" ca="1" si="8"/>
        <v>#VALUE!</v>
      </c>
      <c r="AH27" s="995"/>
      <c r="AI27" s="1383" t="s">
        <v>2596</v>
      </c>
      <c r="AJ27" s="1384" t="s">
        <v>16</v>
      </c>
      <c r="AK27" s="1019" t="str">
        <f ca="1">IF(AI27="","",IF(COB=TODAY(),_xll.BDP(AI27,"LAST_PRICE"),_xll.BDH(AI27,"LAST_PRICE",COB,COB)))</f>
        <v>#N/A Requesting Data...</v>
      </c>
      <c r="AL27" s="1391" t="e">
        <f t="shared" ca="1" si="9"/>
        <v>#VALUE!</v>
      </c>
    </row>
    <row r="28" spans="1:38">
      <c r="A28" s="995" t="s">
        <v>12</v>
      </c>
      <c r="B28" s="1351" t="s">
        <v>2535</v>
      </c>
      <c r="C28" s="1352" t="str">
        <f t="array" aca="1" ref="C28:C31" ca="1">_xll.meLWOCurveCalibrate(C21,C22,C12,C23,C24)</f>
        <v>JPY_LCH_OIS_CURVE@198:0</v>
      </c>
      <c r="D28" s="995" t="s">
        <v>12</v>
      </c>
      <c r="E28" s="1282" t="s">
        <v>16</v>
      </c>
      <c r="F28" s="1287" t="e">
        <f t="shared" ca="1" si="1"/>
        <v>#VALUE!</v>
      </c>
      <c r="G28" s="1278"/>
      <c r="H28" s="1278"/>
      <c r="I28" s="1279" t="b">
        <v>1</v>
      </c>
      <c r="J28" s="1272"/>
      <c r="K28" s="1280"/>
      <c r="L28" s="1281"/>
      <c r="M28" s="1272"/>
      <c r="N28" s="1282"/>
      <c r="O28" s="1283"/>
      <c r="P28" s="1284"/>
      <c r="Q28" s="1282"/>
      <c r="R28" s="1401"/>
      <c r="S28" s="1274"/>
      <c r="T28" s="1290"/>
      <c r="U28" s="1291"/>
      <c r="V28" s="6" t="s">
        <v>12</v>
      </c>
      <c r="Y28" s="1383" t="s">
        <v>2274</v>
      </c>
      <c r="Z28" s="1384" t="s">
        <v>19</v>
      </c>
      <c r="AA28" s="1385" t="str">
        <f ca="1">IF(Y28="","",IF(COB=TODAY(),_xll.BDP(Y28,"LAST_PRICE"),_xll.BDH(Y28,"LAST_PRICE",COB,COB)))</f>
        <v>#N/A Requesting Data...</v>
      </c>
      <c r="AB28" s="1391" t="e">
        <f t="shared" ca="1" si="7"/>
        <v>#VALUE!</v>
      </c>
      <c r="AC28" s="995"/>
      <c r="AD28" s="1383" t="s">
        <v>2265</v>
      </c>
      <c r="AE28" s="1384" t="s">
        <v>15</v>
      </c>
      <c r="AF28" s="1019" t="str">
        <f ca="1">IF(AD28="","",IF(COB=TODAY(),_xll.BDP(AD28,"LAST_PRICE"),_xll.BDH(AD28,"LAST_PRICE",COB,COB)))</f>
        <v>#N/A Requesting Data...</v>
      </c>
      <c r="AG28" s="1391" t="e">
        <f t="shared" ca="1" si="8"/>
        <v>#VALUE!</v>
      </c>
      <c r="AH28" s="995"/>
      <c r="AI28" s="1383" t="s">
        <v>2597</v>
      </c>
      <c r="AJ28" s="1384" t="s">
        <v>15</v>
      </c>
      <c r="AK28" s="1019" t="str">
        <f ca="1">IF(AI28="","",IF(COB=TODAY(),_xll.BDP(AI28,"LAST_PRICE"),_xll.BDH(AI28,"LAST_PRICE",COB,COB)))</f>
        <v>#N/A Requesting Data...</v>
      </c>
      <c r="AL28" s="1391" t="e">
        <f t="shared" ca="1" si="9"/>
        <v>#VALUE!</v>
      </c>
    </row>
    <row r="29" spans="1:38">
      <c r="A29" s="995" t="s">
        <v>12</v>
      </c>
      <c r="B29" s="671" t="s">
        <v>2545</v>
      </c>
      <c r="C29" s="1353" t="str">
        <f ca="1"/>
        <v>JPYYC_LCH</v>
      </c>
      <c r="D29" s="995" t="s">
        <v>12</v>
      </c>
      <c r="E29" s="1282" t="s">
        <v>15</v>
      </c>
      <c r="F29" s="1287" t="e">
        <f t="shared" ca="1" si="1"/>
        <v>#VALUE!</v>
      </c>
      <c r="G29" s="1278"/>
      <c r="H29" s="1278"/>
      <c r="I29" s="1279" t="b">
        <v>1</v>
      </c>
      <c r="J29" s="1272"/>
      <c r="K29" s="1280"/>
      <c r="L29" s="1281"/>
      <c r="M29" s="1272"/>
      <c r="N29" s="1282"/>
      <c r="O29" s="1283"/>
      <c r="P29" s="1284"/>
      <c r="Q29" s="1282"/>
      <c r="R29" s="1401"/>
      <c r="S29" s="1274"/>
      <c r="T29" s="1290"/>
      <c r="U29" s="1291"/>
      <c r="V29" s="6" t="s">
        <v>12</v>
      </c>
      <c r="Y29" s="1383" t="s">
        <v>2275</v>
      </c>
      <c r="Z29" s="1384" t="s">
        <v>17</v>
      </c>
      <c r="AA29" s="1385" t="str">
        <f ca="1">IF(Y29="","",IF(COB=TODAY(),_xll.BDP(Y29,"LAST_PRICE"),_xll.BDH(Y29,"LAST_PRICE",COB,COB)))</f>
        <v>#N/A Requesting Data...</v>
      </c>
      <c r="AB29" s="1391" t="e">
        <f ca="1">AA29/100</f>
        <v>#VALUE!</v>
      </c>
      <c r="AC29" s="995"/>
      <c r="AD29" s="1383" t="s">
        <v>2266</v>
      </c>
      <c r="AE29" s="1384" t="s">
        <v>14</v>
      </c>
      <c r="AF29" s="1019" t="str">
        <f ca="1">IF(AD29="","",IF(COB=TODAY(),_xll.BDP(AD29,"LAST_PRICE"),_xll.BDH(AD29,"LAST_PRICE",COB,COB)))</f>
        <v>#N/A Requesting Data...</v>
      </c>
      <c r="AG29" s="1391" t="e">
        <f t="shared" ca="1" si="8"/>
        <v>#VALUE!</v>
      </c>
      <c r="AH29" s="995"/>
      <c r="AI29" s="1383" t="s">
        <v>2598</v>
      </c>
      <c r="AJ29" s="1384" t="s">
        <v>14</v>
      </c>
      <c r="AK29" s="1019" t="str">
        <f ca="1">IF(AI29="","",IF(COB=TODAY(),_xll.BDP(AI29,"LAST_PRICE"),_xll.BDH(AI29,"LAST_PRICE",COB,COB)))</f>
        <v>#N/A Requesting Data...</v>
      </c>
      <c r="AL29" s="1391" t="e">
        <f t="shared" ca="1" si="9"/>
        <v>#VALUE!</v>
      </c>
    </row>
    <row r="30" spans="1:38">
      <c r="A30" s="995" t="s">
        <v>12</v>
      </c>
      <c r="B30" s="671" t="s">
        <v>2546</v>
      </c>
      <c r="C30" s="1353" t="str">
        <f ca="1"/>
        <v>OIS:JPYOIS:JPYDF:JPYDF_JPYCSA:JPYDF_NOCSA</v>
      </c>
      <c r="D30" s="995" t="s">
        <v>12</v>
      </c>
      <c r="E30" s="1282" t="s">
        <v>14</v>
      </c>
      <c r="F30" s="1287" t="e">
        <f t="shared" ca="1" si="1"/>
        <v>#VALUE!</v>
      </c>
      <c r="G30" s="1278"/>
      <c r="H30" s="1278"/>
      <c r="I30" s="1279" t="b">
        <v>1</v>
      </c>
      <c r="J30" s="1272"/>
      <c r="K30" s="1280"/>
      <c r="L30" s="1281"/>
      <c r="M30" s="1272"/>
      <c r="N30" s="1282"/>
      <c r="O30" s="1283"/>
      <c r="P30" s="1284"/>
      <c r="Q30" s="1282"/>
      <c r="R30" s="1401"/>
      <c r="S30" s="1274"/>
      <c r="T30" s="1290"/>
      <c r="U30" s="1291"/>
      <c r="V30" s="6" t="s">
        <v>12</v>
      </c>
      <c r="Y30" s="1383" t="s">
        <v>2276</v>
      </c>
      <c r="Z30" s="1384" t="s">
        <v>16</v>
      </c>
      <c r="AA30" s="1385" t="str">
        <f ca="1">IF(Y30="","",IF(COB=TODAY(),_xll.BDP(Y30,"LAST_PRICE"),_xll.BDH(Y30,"LAST_PRICE",COB,COB)))</f>
        <v>#N/A Requesting Data...</v>
      </c>
      <c r="AB30" s="1391" t="e">
        <f ca="1">AA30/100</f>
        <v>#VALUE!</v>
      </c>
      <c r="AC30" s="995"/>
      <c r="AD30" s="1383"/>
      <c r="AE30" s="1384"/>
      <c r="AF30" s="1019"/>
      <c r="AG30" s="1391"/>
      <c r="AH30" s="995"/>
      <c r="AI30" s="1383"/>
      <c r="AJ30" s="1384"/>
      <c r="AK30" s="1019"/>
      <c r="AL30" s="659"/>
    </row>
    <row r="31" spans="1:38" ht="15.75" thickBot="1">
      <c r="A31" s="995" t="s">
        <v>12</v>
      </c>
      <c r="B31" s="1355" t="s">
        <v>2547</v>
      </c>
      <c r="C31" s="1354" t="str">
        <f ca="1"/>
        <v>0.01000 sec</v>
      </c>
      <c r="D31" s="995" t="s">
        <v>12</v>
      </c>
      <c r="E31" s="1292"/>
      <c r="F31" s="1293"/>
      <c r="G31" s="1294"/>
      <c r="H31" s="1294"/>
      <c r="I31" s="1295"/>
      <c r="J31" s="1272"/>
      <c r="K31" s="1296"/>
      <c r="L31" s="1297"/>
      <c r="M31" s="1272"/>
      <c r="N31" s="1292"/>
      <c r="O31" s="1298"/>
      <c r="P31" s="1284"/>
      <c r="Q31" s="1292"/>
      <c r="R31" s="1402"/>
      <c r="S31" s="1274"/>
      <c r="T31" s="1299"/>
      <c r="U31" s="1300"/>
      <c r="V31" s="6" t="s">
        <v>12</v>
      </c>
      <c r="Y31" s="1383" t="s">
        <v>2599</v>
      </c>
      <c r="Z31" s="1384" t="s">
        <v>15</v>
      </c>
      <c r="AA31" s="1385" t="str">
        <f ca="1">IF(Y31="","",IF(COB=TODAY(),_xll.BDP(Y31,"LAST_PRICE"),_xll.BDH(Y31,"LAST_PRICE",COB,COB)))</f>
        <v>#N/A Requesting Data...</v>
      </c>
      <c r="AB31" s="1391" t="e">
        <f ca="1">AA31/100</f>
        <v>#VALUE!</v>
      </c>
      <c r="AC31" s="995"/>
      <c r="AD31" s="1383"/>
      <c r="AE31" s="1384"/>
      <c r="AF31" s="1019"/>
      <c r="AG31" s="659"/>
      <c r="AH31" s="995"/>
      <c r="AI31" s="1383"/>
      <c r="AJ31" s="1384"/>
      <c r="AK31" s="1019"/>
      <c r="AL31" s="659"/>
    </row>
    <row r="32" spans="1:38" ht="15.75" thickTop="1">
      <c r="A32" s="995" t="s">
        <v>12</v>
      </c>
      <c r="D32" s="995" t="s">
        <v>12</v>
      </c>
      <c r="V32" s="6" t="s">
        <v>12</v>
      </c>
      <c r="Y32" s="1383" t="s">
        <v>2600</v>
      </c>
      <c r="Z32" s="1384" t="s">
        <v>14</v>
      </c>
      <c r="AA32" s="1385" t="str">
        <f ca="1">IF(Y32="","",IF(COB=TODAY(),_xll.BDP(Y32,"LAST_PRICE"),_xll.BDH(Y32,"LAST_PRICE",COB,COB)))</f>
        <v>#N/A Requesting Data...</v>
      </c>
      <c r="AB32" s="1391" t="e">
        <f ca="1">AA32/100</f>
        <v>#VALUE!</v>
      </c>
      <c r="AC32" s="995"/>
      <c r="AD32" s="1383"/>
      <c r="AE32" s="1384"/>
      <c r="AF32" s="1019"/>
      <c r="AG32" s="659"/>
      <c r="AH32" s="995"/>
      <c r="AI32" s="1383"/>
      <c r="AJ32" s="1384"/>
      <c r="AK32" s="1019"/>
      <c r="AL32" s="659"/>
    </row>
    <row r="33" spans="1:38">
      <c r="A33" s="995" t="s">
        <v>12</v>
      </c>
      <c r="D33" s="995" t="s">
        <v>12</v>
      </c>
      <c r="V33" s="6" t="s">
        <v>12</v>
      </c>
      <c r="Y33" s="1383" t="s">
        <v>2601</v>
      </c>
      <c r="Z33" s="1384" t="s">
        <v>154</v>
      </c>
      <c r="AA33" s="1385" t="str">
        <f ca="1">IF(Y33="","",IF(COB=TODAY(),_xll.BDP(Y33,"LAST_PRICE"),_xll.BDH(Y33,"LAST_PRICE",COB,COB)))</f>
        <v>#N/A Requesting Data...</v>
      </c>
      <c r="AB33" s="1392" t="e">
        <f t="shared" ref="AB33:AB50" ca="1" si="10">AA33/10000</f>
        <v>#VALUE!</v>
      </c>
      <c r="AC33" s="995"/>
      <c r="AD33" s="1383"/>
      <c r="AE33" s="1384"/>
      <c r="AF33" s="1019"/>
      <c r="AG33" s="659"/>
      <c r="AH33" s="995"/>
      <c r="AI33" s="1383"/>
      <c r="AJ33" s="1384"/>
      <c r="AK33" s="1019"/>
      <c r="AL33" s="659"/>
    </row>
    <row r="34" spans="1:38">
      <c r="A34" s="995" t="s">
        <v>12</v>
      </c>
      <c r="D34" s="995" t="s">
        <v>12</v>
      </c>
      <c r="V34" s="6" t="s">
        <v>12</v>
      </c>
      <c r="Y34" s="1383" t="s">
        <v>2602</v>
      </c>
      <c r="Z34" s="1384" t="s">
        <v>43</v>
      </c>
      <c r="AA34" s="1385" t="str">
        <f ca="1">IF(Y34="","",IF(COB=TODAY(),_xll.BDP(Y34,"LAST_PRICE"),_xll.BDH(Y34,"LAST_PRICE",COB,COB)))</f>
        <v>#N/A Requesting Data...</v>
      </c>
      <c r="AB34" s="1392" t="e">
        <f t="shared" ca="1" si="10"/>
        <v>#VALUE!</v>
      </c>
      <c r="AC34" s="995"/>
      <c r="AD34" s="1383"/>
      <c r="AE34" s="1384"/>
      <c r="AF34" s="1019"/>
      <c r="AG34" s="659"/>
      <c r="AH34" s="995"/>
      <c r="AI34" s="1383"/>
      <c r="AJ34" s="1384"/>
      <c r="AK34" s="1019"/>
      <c r="AL34" s="659"/>
    </row>
    <row r="35" spans="1:38">
      <c r="A35" s="995" t="s">
        <v>12</v>
      </c>
      <c r="D35" s="995" t="s">
        <v>12</v>
      </c>
      <c r="V35" s="6" t="s">
        <v>12</v>
      </c>
      <c r="Y35" s="1383" t="s">
        <v>2603</v>
      </c>
      <c r="Z35" s="1384" t="s">
        <v>40</v>
      </c>
      <c r="AA35" s="1385" t="str">
        <f ca="1">IF(Y35="","",IF(COB=TODAY(),_xll.BDP(Y35,"LAST_PRICE"),_xll.BDH(Y35,"LAST_PRICE",COB,COB)))</f>
        <v>#N/A Requesting Data...</v>
      </c>
      <c r="AB35" s="1392" t="e">
        <f t="shared" ca="1" si="10"/>
        <v>#VALUE!</v>
      </c>
      <c r="AC35" s="995"/>
      <c r="AD35" s="1383"/>
      <c r="AE35" s="1384"/>
      <c r="AF35" s="1019"/>
      <c r="AG35" s="659"/>
      <c r="AH35" s="995"/>
      <c r="AI35" s="1383"/>
      <c r="AJ35" s="1384"/>
      <c r="AK35" s="1019"/>
      <c r="AL35" s="659"/>
    </row>
    <row r="36" spans="1:38">
      <c r="A36" s="995" t="s">
        <v>12</v>
      </c>
      <c r="B36" s="1271" t="s">
        <v>2530</v>
      </c>
      <c r="C36" s="1272"/>
      <c r="D36" s="995" t="s">
        <v>12</v>
      </c>
      <c r="E36" s="1271" t="s">
        <v>2523</v>
      </c>
      <c r="F36" s="1272"/>
      <c r="G36" s="493"/>
      <c r="H36" s="1271" t="s">
        <v>2524</v>
      </c>
      <c r="I36" s="1272"/>
      <c r="J36" s="493"/>
      <c r="K36" s="1271" t="s">
        <v>2525</v>
      </c>
      <c r="L36" s="351"/>
      <c r="M36" s="1272"/>
      <c r="N36" s="1272"/>
      <c r="O36" s="1272"/>
      <c r="P36" s="493"/>
      <c r="Q36" s="1271" t="s">
        <v>2519</v>
      </c>
      <c r="R36" s="602" t="s">
        <v>2520</v>
      </c>
      <c r="S36" s="1274"/>
      <c r="T36" s="1301"/>
      <c r="U36" s="1302"/>
      <c r="V36" s="6" t="s">
        <v>12</v>
      </c>
      <c r="Y36" s="1383" t="s">
        <v>2604</v>
      </c>
      <c r="Z36" s="1384" t="s">
        <v>37</v>
      </c>
      <c r="AA36" s="1385" t="str">
        <f ca="1">IF(Y36="","",IF(COB=TODAY(),_xll.BDP(Y36,"LAST_PRICE"),_xll.BDH(Y36,"LAST_PRICE",COB,COB)))</f>
        <v>#N/A Requesting Data...</v>
      </c>
      <c r="AB36" s="1392" t="e">
        <f t="shared" ca="1" si="10"/>
        <v>#VALUE!</v>
      </c>
      <c r="AC36" s="995"/>
      <c r="AD36" s="1383"/>
      <c r="AE36" s="1384"/>
      <c r="AF36" s="1019"/>
      <c r="AG36" s="659"/>
      <c r="AH36" s="995"/>
      <c r="AI36" s="1383"/>
      <c r="AJ36" s="1384"/>
      <c r="AK36" s="1019"/>
      <c r="AL36" s="659"/>
    </row>
    <row r="37" spans="1:38" ht="15.75" thickBot="1">
      <c r="A37" s="995" t="s">
        <v>12</v>
      </c>
      <c r="B37" s="1356" t="s">
        <v>156</v>
      </c>
      <c r="C37" s="1357" t="s">
        <v>188</v>
      </c>
      <c r="D37" s="995" t="s">
        <v>12</v>
      </c>
      <c r="E37" s="1303" t="s">
        <v>74</v>
      </c>
      <c r="F37" s="1303" t="s">
        <v>73</v>
      </c>
      <c r="G37" s="1304"/>
      <c r="H37" s="1303" t="s">
        <v>74</v>
      </c>
      <c r="I37" s="1303" t="s">
        <v>73</v>
      </c>
      <c r="J37" s="1304"/>
      <c r="K37" s="713" t="s">
        <v>74</v>
      </c>
      <c r="L37" s="713" t="s">
        <v>134</v>
      </c>
      <c r="M37" s="713" t="s">
        <v>133</v>
      </c>
      <c r="N37" s="713" t="s">
        <v>73</v>
      </c>
      <c r="O37" s="713" t="s">
        <v>132</v>
      </c>
      <c r="P37" s="1304"/>
      <c r="Q37" s="1171" t="s">
        <v>74</v>
      </c>
      <c r="R37" s="1171" t="s">
        <v>73</v>
      </c>
      <c r="S37" s="1171" t="s">
        <v>379</v>
      </c>
      <c r="T37" s="1171" t="s">
        <v>2521</v>
      </c>
      <c r="U37" s="1171" t="s">
        <v>2522</v>
      </c>
      <c r="V37" s="6" t="s">
        <v>12</v>
      </c>
      <c r="Y37" s="1383" t="s">
        <v>2605</v>
      </c>
      <c r="Z37" s="1384" t="s">
        <v>33</v>
      </c>
      <c r="AA37" s="1385" t="str">
        <f ca="1">IF(Y37="","",IF(COB=TODAY(),_xll.BDP(Y37,"LAST_PRICE"),_xll.BDH(Y37,"LAST_PRICE",COB,COB)))</f>
        <v>#N/A Requesting Data...</v>
      </c>
      <c r="AB37" s="1392" t="e">
        <f t="shared" ca="1" si="10"/>
        <v>#VALUE!</v>
      </c>
      <c r="AC37" s="995"/>
      <c r="AD37" s="1383"/>
      <c r="AE37" s="1384"/>
      <c r="AF37" s="1019"/>
      <c r="AG37" s="659"/>
      <c r="AH37" s="995"/>
      <c r="AI37" s="1383"/>
      <c r="AJ37" s="1384"/>
      <c r="AK37" s="1019"/>
      <c r="AL37" s="659"/>
    </row>
    <row r="38" spans="1:38" ht="15.75" thickTop="1">
      <c r="A38" s="995" t="s">
        <v>12</v>
      </c>
      <c r="B38" s="1358" t="s">
        <v>2531</v>
      </c>
      <c r="C38" s="1359" t="s">
        <v>472</v>
      </c>
      <c r="D38" s="995" t="s">
        <v>12</v>
      </c>
      <c r="E38" s="1275" t="s">
        <v>20</v>
      </c>
      <c r="F38" s="1405" t="e">
        <f ca="1">AG6</f>
        <v>#VALUE!</v>
      </c>
      <c r="G38" s="493"/>
      <c r="H38" s="1305" t="s">
        <v>2527</v>
      </c>
      <c r="I38" s="1406" t="e">
        <f ca="1">AL9</f>
        <v>#VALUE!</v>
      </c>
      <c r="J38" s="493"/>
      <c r="K38" s="1306"/>
      <c r="L38" s="1307"/>
      <c r="M38" s="1307"/>
      <c r="N38" s="1308"/>
      <c r="O38" s="1309"/>
      <c r="P38" s="493"/>
      <c r="Q38" s="1397" t="s">
        <v>154</v>
      </c>
      <c r="R38" s="1403" t="e">
        <f ca="1">T38+U38</f>
        <v>#VALUE!</v>
      </c>
      <c r="S38" s="1398" t="s">
        <v>2526</v>
      </c>
      <c r="T38" s="1285" t="e">
        <f ca="1">AG12</f>
        <v>#VALUE!</v>
      </c>
      <c r="U38" s="1286" t="e">
        <f ca="1">AL12</f>
        <v>#VALUE!</v>
      </c>
      <c r="V38" s="6" t="s">
        <v>12</v>
      </c>
      <c r="Y38" s="1383" t="s">
        <v>2606</v>
      </c>
      <c r="Z38" s="1384" t="s">
        <v>31</v>
      </c>
      <c r="AA38" s="1385" t="str">
        <f ca="1">IF(Y38="","",IF(COB=TODAY(),_xll.BDP(Y38,"LAST_PRICE"),_xll.BDH(Y38,"LAST_PRICE",COB,COB)))</f>
        <v>#N/A Requesting Data...</v>
      </c>
      <c r="AB38" s="1392" t="e">
        <f t="shared" ca="1" si="10"/>
        <v>#VALUE!</v>
      </c>
      <c r="AC38" s="995"/>
      <c r="AD38" s="1383"/>
      <c r="AE38" s="1384"/>
      <c r="AF38" s="1019"/>
      <c r="AG38" s="659"/>
      <c r="AH38" s="995"/>
      <c r="AI38" s="1383"/>
      <c r="AJ38" s="1384"/>
      <c r="AK38" s="1019"/>
      <c r="AL38" s="659"/>
    </row>
    <row r="39" spans="1:38">
      <c r="A39" s="995" t="s">
        <v>12</v>
      </c>
      <c r="B39" s="1358" t="s">
        <v>2532</v>
      </c>
      <c r="C39" s="1359" t="s">
        <v>995</v>
      </c>
      <c r="D39" s="995" t="s">
        <v>12</v>
      </c>
      <c r="E39" s="1282" t="s">
        <v>51</v>
      </c>
      <c r="F39" s="1283" t="e">
        <f t="shared" ref="F39:F40" ca="1" si="11">AG7</f>
        <v>#VALUE!</v>
      </c>
      <c r="G39" s="493"/>
      <c r="H39" s="1311" t="s">
        <v>2528</v>
      </c>
      <c r="I39" s="1407" t="e">
        <f t="shared" ref="I39:I40" ca="1" si="12">AL10</f>
        <v>#VALUE!</v>
      </c>
      <c r="J39" s="493"/>
      <c r="K39" s="1311"/>
      <c r="L39" s="1313"/>
      <c r="M39" s="1313"/>
      <c r="N39" s="1314"/>
      <c r="O39" s="1315"/>
      <c r="P39" s="493"/>
      <c r="Q39" s="1399" t="s">
        <v>43</v>
      </c>
      <c r="R39" s="1404" t="e">
        <f t="shared" ref="R39:R55" ca="1" si="13">T39+U39</f>
        <v>#VALUE!</v>
      </c>
      <c r="S39" s="1400" t="s">
        <v>2526</v>
      </c>
      <c r="T39" s="1288" t="e">
        <f t="shared" ref="T39:T55" ca="1" si="14">AG13</f>
        <v>#VALUE!</v>
      </c>
      <c r="U39" s="1289" t="e">
        <f t="shared" ref="U39:U55" ca="1" si="15">AL13</f>
        <v>#VALUE!</v>
      </c>
      <c r="V39" s="6" t="s">
        <v>12</v>
      </c>
      <c r="Y39" s="1383" t="s">
        <v>2607</v>
      </c>
      <c r="Z39" s="1384" t="s">
        <v>127</v>
      </c>
      <c r="AA39" s="1385" t="str">
        <f ca="1">IF(Y39="","",IF(COB=TODAY(),_xll.BDP(Y39,"LAST_PRICE"),_xll.BDH(Y39,"LAST_PRICE",COB,COB)))</f>
        <v>#N/A Requesting Data...</v>
      </c>
      <c r="AB39" s="1392" t="e">
        <f t="shared" ca="1" si="10"/>
        <v>#VALUE!</v>
      </c>
      <c r="AC39" s="995"/>
      <c r="AD39" s="1383"/>
      <c r="AE39" s="1384"/>
      <c r="AF39" s="1019"/>
      <c r="AG39" s="659"/>
      <c r="AH39" s="995"/>
      <c r="AI39" s="1383"/>
      <c r="AJ39" s="1384"/>
      <c r="AK39" s="1019"/>
      <c r="AL39" s="659"/>
    </row>
    <row r="40" spans="1:38">
      <c r="A40" s="995" t="s">
        <v>12</v>
      </c>
      <c r="B40" s="1358" t="s">
        <v>164</v>
      </c>
      <c r="C40" s="1360">
        <f ca="1">COB</f>
        <v>43224</v>
      </c>
      <c r="D40" s="995" t="s">
        <v>12</v>
      </c>
      <c r="E40" s="1282" t="s">
        <v>22</v>
      </c>
      <c r="F40" s="1283" t="e">
        <f t="shared" ca="1" si="11"/>
        <v>#VALUE!</v>
      </c>
      <c r="G40" s="493"/>
      <c r="H40" s="1311" t="s">
        <v>2529</v>
      </c>
      <c r="I40" s="1407" t="e">
        <f t="shared" ca="1" si="12"/>
        <v>#VALUE!</v>
      </c>
      <c r="J40" s="493"/>
      <c r="K40" s="1311"/>
      <c r="L40" s="1321"/>
      <c r="M40" s="1321"/>
      <c r="N40" s="1314"/>
      <c r="O40" s="1322"/>
      <c r="P40" s="493"/>
      <c r="Q40" s="1399" t="s">
        <v>40</v>
      </c>
      <c r="R40" s="1404" t="e">
        <f t="shared" ca="1" si="13"/>
        <v>#VALUE!</v>
      </c>
      <c r="S40" s="1400" t="s">
        <v>2526</v>
      </c>
      <c r="T40" s="1288" t="e">
        <f t="shared" ca="1" si="14"/>
        <v>#VALUE!</v>
      </c>
      <c r="U40" s="1289" t="e">
        <f t="shared" ca="1" si="15"/>
        <v>#VALUE!</v>
      </c>
      <c r="V40" s="6" t="s">
        <v>12</v>
      </c>
      <c r="Y40" s="1383" t="s">
        <v>2608</v>
      </c>
      <c r="Z40" s="1384" t="s">
        <v>29</v>
      </c>
      <c r="AA40" s="1385" t="str">
        <f ca="1">IF(Y40="","",IF(COB=TODAY(),_xll.BDP(Y40,"LAST_PRICE"),_xll.BDH(Y40,"LAST_PRICE",COB,COB)))</f>
        <v>#N/A Requesting Data...</v>
      </c>
      <c r="AB40" s="1392" t="e">
        <f t="shared" ca="1" si="10"/>
        <v>#VALUE!</v>
      </c>
      <c r="AC40" s="995"/>
      <c r="AD40" s="1383"/>
      <c r="AE40" s="1384"/>
      <c r="AF40" s="1019"/>
      <c r="AG40" s="659"/>
      <c r="AH40" s="995"/>
      <c r="AI40" s="1383"/>
      <c r="AJ40" s="1384"/>
      <c r="AK40" s="1019"/>
      <c r="AL40" s="659"/>
    </row>
    <row r="41" spans="1:38">
      <c r="A41" s="995" t="s">
        <v>12</v>
      </c>
      <c r="B41" s="1361"/>
      <c r="C41" s="1362"/>
      <c r="D41" s="995" t="s">
        <v>12</v>
      </c>
      <c r="E41" s="1282"/>
      <c r="F41" s="1310"/>
      <c r="G41" s="493"/>
      <c r="H41" s="1311"/>
      <c r="I41" s="1407"/>
      <c r="J41" s="493"/>
      <c r="K41" s="1311"/>
      <c r="L41" s="1321"/>
      <c r="M41" s="1321"/>
      <c r="N41" s="1314"/>
      <c r="O41" s="1322"/>
      <c r="P41" s="493"/>
      <c r="Q41" s="1399" t="s">
        <v>37</v>
      </c>
      <c r="R41" s="1404" t="e">
        <f t="shared" ca="1" si="13"/>
        <v>#VALUE!</v>
      </c>
      <c r="S41" s="1400" t="s">
        <v>2526</v>
      </c>
      <c r="T41" s="1288" t="e">
        <f t="shared" ca="1" si="14"/>
        <v>#VALUE!</v>
      </c>
      <c r="U41" s="1289" t="e">
        <f t="shared" ca="1" si="15"/>
        <v>#VALUE!</v>
      </c>
      <c r="V41" s="6" t="s">
        <v>12</v>
      </c>
      <c r="Y41" s="1383" t="s">
        <v>2609</v>
      </c>
      <c r="Z41" s="1384" t="s">
        <v>115</v>
      </c>
      <c r="AA41" s="1385" t="str">
        <f ca="1">IF(Y41="","",IF(COB=TODAY(),_xll.BDP(Y41,"LAST_PRICE"),_xll.BDH(Y41,"LAST_PRICE",COB,COB)))</f>
        <v>#N/A Requesting Data...</v>
      </c>
      <c r="AB41" s="1392" t="e">
        <f t="shared" ca="1" si="10"/>
        <v>#VALUE!</v>
      </c>
      <c r="AC41" s="995"/>
      <c r="AD41" s="1383"/>
      <c r="AE41" s="1384"/>
      <c r="AF41" s="1019"/>
      <c r="AG41" s="659"/>
      <c r="AH41" s="995"/>
      <c r="AI41" s="1383"/>
      <c r="AJ41" s="1384"/>
      <c r="AK41" s="1019"/>
      <c r="AL41" s="659"/>
    </row>
    <row r="42" spans="1:38">
      <c r="A42" s="995" t="s">
        <v>12</v>
      </c>
      <c r="B42" s="1343"/>
      <c r="C42" s="1363"/>
      <c r="D42" s="995" t="s">
        <v>12</v>
      </c>
      <c r="E42" s="1323"/>
      <c r="F42" s="1298"/>
      <c r="G42" s="493"/>
      <c r="H42" s="1311"/>
      <c r="I42" s="1407"/>
      <c r="J42" s="493"/>
      <c r="K42" s="1311"/>
      <c r="L42" s="1321"/>
      <c r="M42" s="1321"/>
      <c r="N42" s="1314"/>
      <c r="O42" s="1322"/>
      <c r="P42" s="493"/>
      <c r="Q42" s="1399" t="s">
        <v>33</v>
      </c>
      <c r="R42" s="1404" t="e">
        <f t="shared" ca="1" si="13"/>
        <v>#VALUE!</v>
      </c>
      <c r="S42" s="1400" t="s">
        <v>2526</v>
      </c>
      <c r="T42" s="1288" t="e">
        <f t="shared" ca="1" si="14"/>
        <v>#VALUE!</v>
      </c>
      <c r="U42" s="1289" t="e">
        <f t="shared" ca="1" si="15"/>
        <v>#VALUE!</v>
      </c>
      <c r="V42" s="6" t="s">
        <v>12</v>
      </c>
      <c r="Y42" s="1383" t="s">
        <v>2610</v>
      </c>
      <c r="Z42" s="1384" t="s">
        <v>109</v>
      </c>
      <c r="AA42" s="1385" t="str">
        <f ca="1">IF(Y42="","",IF(COB=TODAY(),_xll.BDP(Y42,"LAST_PRICE"),_xll.BDH(Y42,"LAST_PRICE",COB,COB)))</f>
        <v>#N/A Requesting Data...</v>
      </c>
      <c r="AB42" s="1392" t="e">
        <f t="shared" ca="1" si="10"/>
        <v>#VALUE!</v>
      </c>
      <c r="AC42" s="995"/>
      <c r="AD42" s="1383"/>
      <c r="AE42" s="1384"/>
      <c r="AF42" s="1019"/>
      <c r="AG42" s="659"/>
      <c r="AH42" s="995"/>
      <c r="AI42" s="1383"/>
      <c r="AJ42" s="1384"/>
      <c r="AK42" s="1019"/>
      <c r="AL42" s="659"/>
    </row>
    <row r="43" spans="1:38">
      <c r="A43" s="995" t="s">
        <v>12</v>
      </c>
      <c r="B43" s="493"/>
      <c r="C43" s="493"/>
      <c r="D43" s="995" t="s">
        <v>12</v>
      </c>
      <c r="E43" s="493"/>
      <c r="F43" s="493"/>
      <c r="G43" s="493"/>
      <c r="H43" s="1311"/>
      <c r="I43" s="1407"/>
      <c r="J43" s="493"/>
      <c r="K43" s="1311"/>
      <c r="L43" s="1321"/>
      <c r="M43" s="1321"/>
      <c r="N43" s="1314"/>
      <c r="O43" s="1322"/>
      <c r="P43" s="493"/>
      <c r="Q43" s="1399" t="s">
        <v>31</v>
      </c>
      <c r="R43" s="1404" t="e">
        <f t="shared" ca="1" si="13"/>
        <v>#VALUE!</v>
      </c>
      <c r="S43" s="1400" t="s">
        <v>2526</v>
      </c>
      <c r="T43" s="1288" t="e">
        <f t="shared" ca="1" si="14"/>
        <v>#VALUE!</v>
      </c>
      <c r="U43" s="1289" t="e">
        <f t="shared" ca="1" si="15"/>
        <v>#VALUE!</v>
      </c>
      <c r="V43" s="6" t="s">
        <v>12</v>
      </c>
      <c r="Y43" s="1383" t="s">
        <v>2611</v>
      </c>
      <c r="Z43" s="1384" t="s">
        <v>27</v>
      </c>
      <c r="AA43" s="1385" t="str">
        <f ca="1">IF(Y43="","",IF(COB=TODAY(),_xll.BDP(Y43,"LAST_PRICE"),_xll.BDH(Y43,"LAST_PRICE",COB,COB)))</f>
        <v>#N/A Requesting Data...</v>
      </c>
      <c r="AB43" s="1392" t="e">
        <f t="shared" ca="1" si="10"/>
        <v>#VALUE!</v>
      </c>
      <c r="AC43" s="995"/>
      <c r="AD43" s="1383"/>
      <c r="AE43" s="1384"/>
      <c r="AF43" s="1019"/>
      <c r="AG43" s="659"/>
      <c r="AH43" s="995"/>
      <c r="AI43" s="1383"/>
      <c r="AJ43" s="1384"/>
      <c r="AK43" s="1019"/>
      <c r="AL43" s="659"/>
    </row>
    <row r="44" spans="1:38">
      <c r="A44" s="995" t="s">
        <v>12</v>
      </c>
      <c r="B44" s="1341" t="s">
        <v>2534</v>
      </c>
      <c r="C44" s="1303"/>
      <c r="D44" s="995" t="s">
        <v>12</v>
      </c>
      <c r="E44" s="493"/>
      <c r="F44" s="493"/>
      <c r="G44" s="493"/>
      <c r="H44" s="1311"/>
      <c r="I44" s="1407"/>
      <c r="J44" s="493"/>
      <c r="K44" s="1311"/>
      <c r="L44" s="1321"/>
      <c r="M44" s="1321"/>
      <c r="N44" s="1314"/>
      <c r="O44" s="1322"/>
      <c r="P44" s="493"/>
      <c r="Q44" s="1399" t="s">
        <v>127</v>
      </c>
      <c r="R44" s="1404" t="e">
        <f t="shared" ca="1" si="13"/>
        <v>#VALUE!</v>
      </c>
      <c r="S44" s="1400" t="s">
        <v>2526</v>
      </c>
      <c r="T44" s="1288" t="e">
        <f t="shared" ca="1" si="14"/>
        <v>#VALUE!</v>
      </c>
      <c r="U44" s="1289" t="e">
        <f t="shared" ca="1" si="15"/>
        <v>#VALUE!</v>
      </c>
      <c r="V44" s="6" t="s">
        <v>12</v>
      </c>
      <c r="Y44" s="1383" t="s">
        <v>2612</v>
      </c>
      <c r="Z44" s="1384" t="s">
        <v>25</v>
      </c>
      <c r="AA44" s="1385" t="str">
        <f ca="1">IF(Y44="","",IF(COB=TODAY(),_xll.BDP(Y44,"LAST_PRICE"),_xll.BDH(Y44,"LAST_PRICE",COB,COB)))</f>
        <v>#N/A Requesting Data...</v>
      </c>
      <c r="AB44" s="1392" t="e">
        <f t="shared" ca="1" si="10"/>
        <v>#VALUE!</v>
      </c>
      <c r="AC44" s="995"/>
      <c r="AD44" s="1383"/>
      <c r="AE44" s="1384"/>
      <c r="AF44" s="1019"/>
      <c r="AG44" s="659"/>
      <c r="AH44" s="995"/>
      <c r="AI44" s="1383"/>
      <c r="AJ44" s="1384"/>
      <c r="AK44" s="1019"/>
      <c r="AL44" s="659"/>
    </row>
    <row r="45" spans="1:38">
      <c r="A45" s="995" t="s">
        <v>12</v>
      </c>
      <c r="B45" s="1342" t="s">
        <v>2535</v>
      </c>
      <c r="C45" s="986" t="s">
        <v>2551</v>
      </c>
      <c r="D45" s="995" t="s">
        <v>12</v>
      </c>
      <c r="E45" s="493"/>
      <c r="F45" s="493"/>
      <c r="G45" s="493"/>
      <c r="H45" s="1311"/>
      <c r="I45" s="1312"/>
      <c r="J45" s="493"/>
      <c r="K45" s="1311"/>
      <c r="L45" s="1321"/>
      <c r="M45" s="1321"/>
      <c r="N45" s="1314"/>
      <c r="O45" s="1322"/>
      <c r="P45" s="493"/>
      <c r="Q45" s="1399" t="s">
        <v>29</v>
      </c>
      <c r="R45" s="1404" t="e">
        <f t="shared" ca="1" si="13"/>
        <v>#VALUE!</v>
      </c>
      <c r="S45" s="1400" t="s">
        <v>2526</v>
      </c>
      <c r="T45" s="1288" t="e">
        <f t="shared" ca="1" si="14"/>
        <v>#VALUE!</v>
      </c>
      <c r="U45" s="1289" t="e">
        <f t="shared" ca="1" si="15"/>
        <v>#VALUE!</v>
      </c>
      <c r="V45" s="6" t="s">
        <v>12</v>
      </c>
      <c r="Y45" s="1383" t="s">
        <v>2613</v>
      </c>
      <c r="Z45" s="1384" t="s">
        <v>23</v>
      </c>
      <c r="AA45" s="1385" t="str">
        <f ca="1">IF(Y45="","",IF(COB=TODAY(),_xll.BDP(Y45,"LAST_PRICE"),_xll.BDH(Y45,"LAST_PRICE",COB,COB)))</f>
        <v>#N/A Requesting Data...</v>
      </c>
      <c r="AB45" s="1392" t="e">
        <f t="shared" ca="1" si="10"/>
        <v>#VALUE!</v>
      </c>
      <c r="AC45" s="995"/>
      <c r="AD45" s="1383"/>
      <c r="AE45" s="1384"/>
      <c r="AF45" s="1019"/>
      <c r="AG45" s="659"/>
      <c r="AH45" s="995"/>
      <c r="AI45" s="1383"/>
      <c r="AJ45" s="1384"/>
      <c r="AK45" s="1019"/>
      <c r="AL45" s="659"/>
    </row>
    <row r="46" spans="1:38">
      <c r="A46" s="995" t="s">
        <v>12</v>
      </c>
      <c r="B46" s="1343" t="s">
        <v>2536</v>
      </c>
      <c r="C46" s="1344" t="str">
        <f ca="1">_xll.meLWOCurveMarketDataCreate(C45,B36,B37:C42,E36,E38:F42,H36,H38:I63,K36,K38:O63,Q36,Q38:S63)</f>
        <v>JPY_LCH_SWAP6M_MKTDATA@188:0</v>
      </c>
      <c r="D46" s="995" t="s">
        <v>12</v>
      </c>
      <c r="E46" s="493"/>
      <c r="F46" s="493"/>
      <c r="G46" s="493"/>
      <c r="H46" s="1311"/>
      <c r="I46" s="1312"/>
      <c r="J46" s="493"/>
      <c r="K46" s="1311"/>
      <c r="L46" s="1321"/>
      <c r="M46" s="1321"/>
      <c r="N46" s="1314"/>
      <c r="O46" s="1322"/>
      <c r="P46" s="493"/>
      <c r="Q46" s="1399" t="s">
        <v>115</v>
      </c>
      <c r="R46" s="1404" t="e">
        <f t="shared" ca="1" si="13"/>
        <v>#VALUE!</v>
      </c>
      <c r="S46" s="1400" t="s">
        <v>2526</v>
      </c>
      <c r="T46" s="1288" t="e">
        <f t="shared" ca="1" si="14"/>
        <v>#VALUE!</v>
      </c>
      <c r="U46" s="1289" t="e">
        <f t="shared" ca="1" si="15"/>
        <v>#VALUE!</v>
      </c>
      <c r="V46" s="6" t="s">
        <v>12</v>
      </c>
      <c r="Y46" s="1383" t="s">
        <v>2614</v>
      </c>
      <c r="Z46" s="1384" t="s">
        <v>19</v>
      </c>
      <c r="AA46" s="1385" t="str">
        <f ca="1">IF(Y46="","",IF(COB=TODAY(),_xll.BDP(Y46,"LAST_PRICE"),_xll.BDH(Y46,"LAST_PRICE",COB,COB)))</f>
        <v>#N/A Requesting Data...</v>
      </c>
      <c r="AB46" s="1392" t="e">
        <f t="shared" ca="1" si="10"/>
        <v>#VALUE!</v>
      </c>
      <c r="AC46" s="995"/>
      <c r="AD46" s="1383"/>
      <c r="AE46" s="1384"/>
      <c r="AF46" s="1019"/>
      <c r="AG46" s="659"/>
      <c r="AH46" s="995"/>
      <c r="AI46" s="1383"/>
      <c r="AJ46" s="1384"/>
      <c r="AK46" s="1019"/>
      <c r="AL46" s="659"/>
    </row>
    <row r="47" spans="1:38">
      <c r="A47" s="995" t="s">
        <v>12</v>
      </c>
      <c r="B47" s="493"/>
      <c r="C47" s="493"/>
      <c r="D47" s="995" t="s">
        <v>12</v>
      </c>
      <c r="E47" s="493"/>
      <c r="F47" s="493"/>
      <c r="G47" s="493"/>
      <c r="H47" s="1311"/>
      <c r="I47" s="1312"/>
      <c r="J47" s="493"/>
      <c r="K47" s="1311"/>
      <c r="L47" s="1321"/>
      <c r="M47" s="1321"/>
      <c r="N47" s="1314"/>
      <c r="O47" s="1322"/>
      <c r="P47" s="493"/>
      <c r="Q47" s="1399" t="s">
        <v>109</v>
      </c>
      <c r="R47" s="1404" t="e">
        <f t="shared" ca="1" si="13"/>
        <v>#VALUE!</v>
      </c>
      <c r="S47" s="1400" t="s">
        <v>2526</v>
      </c>
      <c r="T47" s="1288" t="e">
        <f t="shared" ca="1" si="14"/>
        <v>#VALUE!</v>
      </c>
      <c r="U47" s="1289" t="e">
        <f t="shared" ca="1" si="15"/>
        <v>#VALUE!</v>
      </c>
      <c r="V47" s="6" t="s">
        <v>12</v>
      </c>
      <c r="Y47" s="1383" t="s">
        <v>2615</v>
      </c>
      <c r="Z47" s="1384" t="s">
        <v>17</v>
      </c>
      <c r="AA47" s="1385" t="str">
        <f ca="1">IF(Y47="","",IF(COB=TODAY(),_xll.BDP(Y47,"LAST_PRICE"),_xll.BDH(Y47,"LAST_PRICE",COB,COB)))</f>
        <v>#N/A Requesting Data...</v>
      </c>
      <c r="AB47" s="1392" t="e">
        <f t="shared" ca="1" si="10"/>
        <v>#VALUE!</v>
      </c>
      <c r="AC47" s="995"/>
      <c r="AD47" s="1383"/>
      <c r="AE47" s="1384"/>
      <c r="AF47" s="1019"/>
      <c r="AG47" s="659"/>
      <c r="AH47" s="995"/>
      <c r="AI47" s="1383"/>
      <c r="AJ47" s="1384"/>
      <c r="AK47" s="1019"/>
      <c r="AL47" s="659"/>
    </row>
    <row r="48" spans="1:38">
      <c r="A48" s="995" t="s">
        <v>12</v>
      </c>
      <c r="B48" s="493"/>
      <c r="C48" s="493"/>
      <c r="D48" s="995" t="s">
        <v>12</v>
      </c>
      <c r="E48" s="493"/>
      <c r="F48" s="493"/>
      <c r="G48" s="493"/>
      <c r="H48" s="1311"/>
      <c r="I48" s="1312"/>
      <c r="J48" s="493"/>
      <c r="K48" s="1311"/>
      <c r="L48" s="1321"/>
      <c r="M48" s="1321"/>
      <c r="N48" s="1314"/>
      <c r="O48" s="1322"/>
      <c r="P48" s="493"/>
      <c r="Q48" s="1399" t="s">
        <v>27</v>
      </c>
      <c r="R48" s="1404" t="e">
        <f t="shared" ca="1" si="13"/>
        <v>#VALUE!</v>
      </c>
      <c r="S48" s="1400" t="s">
        <v>2526</v>
      </c>
      <c r="T48" s="1288" t="e">
        <f t="shared" ca="1" si="14"/>
        <v>#VALUE!</v>
      </c>
      <c r="U48" s="1289" t="e">
        <f t="shared" ca="1" si="15"/>
        <v>#VALUE!</v>
      </c>
      <c r="V48" s="6" t="s">
        <v>12</v>
      </c>
      <c r="Y48" s="1383" t="s">
        <v>2616</v>
      </c>
      <c r="Z48" s="1384" t="s">
        <v>16</v>
      </c>
      <c r="AA48" s="1385" t="str">
        <f ca="1">IF(Y48="","",IF(COB=TODAY(),_xll.BDP(Y48,"LAST_PRICE"),_xll.BDH(Y48,"LAST_PRICE",COB,COB)))</f>
        <v>#N/A Requesting Data...</v>
      </c>
      <c r="AB48" s="1392" t="e">
        <f t="shared" ca="1" si="10"/>
        <v>#VALUE!</v>
      </c>
      <c r="AC48" s="995"/>
      <c r="AD48" s="1383"/>
      <c r="AE48" s="1384"/>
      <c r="AF48" s="1019"/>
      <c r="AG48" s="659"/>
      <c r="AH48" s="995"/>
      <c r="AI48" s="1383"/>
      <c r="AJ48" s="1384"/>
      <c r="AK48" s="1019"/>
      <c r="AL48" s="659"/>
    </row>
    <row r="49" spans="1:38">
      <c r="A49" s="995" t="s">
        <v>12</v>
      </c>
      <c r="B49" s="493"/>
      <c r="C49" s="493"/>
      <c r="D49" s="995" t="s">
        <v>12</v>
      </c>
      <c r="E49" s="493"/>
      <c r="F49" s="493"/>
      <c r="G49" s="493"/>
      <c r="H49" s="1311"/>
      <c r="I49" s="1312"/>
      <c r="J49" s="493"/>
      <c r="K49" s="1311"/>
      <c r="L49" s="1321"/>
      <c r="M49" s="1321"/>
      <c r="N49" s="1314"/>
      <c r="O49" s="1322"/>
      <c r="P49" s="493"/>
      <c r="Q49" s="1399" t="s">
        <v>25</v>
      </c>
      <c r="R49" s="1404" t="e">
        <f t="shared" ca="1" si="13"/>
        <v>#VALUE!</v>
      </c>
      <c r="S49" s="1400" t="s">
        <v>2526</v>
      </c>
      <c r="T49" s="1288" t="e">
        <f t="shared" ca="1" si="14"/>
        <v>#VALUE!</v>
      </c>
      <c r="U49" s="1289" t="e">
        <f t="shared" ca="1" si="15"/>
        <v>#VALUE!</v>
      </c>
      <c r="V49" s="6" t="s">
        <v>12</v>
      </c>
      <c r="Y49" s="1383" t="s">
        <v>2617</v>
      </c>
      <c r="Z49" s="1384" t="s">
        <v>15</v>
      </c>
      <c r="AA49" s="1385" t="str">
        <f ca="1">IF(Y49="","",IF(COB=TODAY(),_xll.BDP(Y49,"LAST_PRICE"),_xll.BDH(Y49,"LAST_PRICE",COB,COB)))</f>
        <v>#N/A Requesting Data...</v>
      </c>
      <c r="AB49" s="1392" t="e">
        <f t="shared" ca="1" si="10"/>
        <v>#VALUE!</v>
      </c>
      <c r="AC49" s="995"/>
      <c r="AD49" s="1383"/>
      <c r="AE49" s="1384"/>
      <c r="AF49" s="1019"/>
      <c r="AG49" s="659"/>
      <c r="AH49" s="995"/>
      <c r="AI49" s="1383"/>
      <c r="AJ49" s="1384"/>
      <c r="AK49" s="1019"/>
      <c r="AL49" s="659"/>
    </row>
    <row r="50" spans="1:38">
      <c r="A50" s="995" t="s">
        <v>12</v>
      </c>
      <c r="B50" s="493"/>
      <c r="C50" s="493"/>
      <c r="D50" s="995" t="s">
        <v>12</v>
      </c>
      <c r="E50" s="493"/>
      <c r="F50" s="493"/>
      <c r="G50" s="493"/>
      <c r="H50" s="1311"/>
      <c r="I50" s="1312"/>
      <c r="J50" s="493"/>
      <c r="K50" s="1311"/>
      <c r="L50" s="1321"/>
      <c r="M50" s="1321"/>
      <c r="N50" s="1314"/>
      <c r="O50" s="1322"/>
      <c r="P50" s="493"/>
      <c r="Q50" s="1399" t="s">
        <v>23</v>
      </c>
      <c r="R50" s="1404" t="e">
        <f t="shared" ca="1" si="13"/>
        <v>#VALUE!</v>
      </c>
      <c r="S50" s="1400" t="s">
        <v>2526</v>
      </c>
      <c r="T50" s="1288" t="e">
        <f t="shared" ca="1" si="14"/>
        <v>#VALUE!</v>
      </c>
      <c r="U50" s="1289" t="e">
        <f t="shared" ca="1" si="15"/>
        <v>#VALUE!</v>
      </c>
      <c r="V50" s="6" t="s">
        <v>12</v>
      </c>
      <c r="Y50" s="1383" t="s">
        <v>2618</v>
      </c>
      <c r="Z50" s="1384" t="s">
        <v>14</v>
      </c>
      <c r="AA50" s="1385" t="str">
        <f ca="1">IF(Y50="","",IF(COB=TODAY(),_xll.BDP(Y50,"LAST_PRICE"),_xll.BDH(Y50,"LAST_PRICE",COB,COB)))</f>
        <v>#N/A Requesting Data...</v>
      </c>
      <c r="AB50" s="1392" t="e">
        <f t="shared" ca="1" si="10"/>
        <v>#VALUE!</v>
      </c>
      <c r="AC50" s="995"/>
      <c r="AD50" s="1383"/>
      <c r="AE50" s="1384"/>
      <c r="AF50" s="1019"/>
      <c r="AG50" s="659"/>
      <c r="AH50" s="995"/>
      <c r="AI50" s="1383"/>
      <c r="AJ50" s="1384"/>
      <c r="AK50" s="1019"/>
      <c r="AL50" s="659"/>
    </row>
    <row r="51" spans="1:38">
      <c r="A51" s="995" t="s">
        <v>12</v>
      </c>
      <c r="B51" s="493"/>
      <c r="C51" s="493"/>
      <c r="D51" s="995" t="s">
        <v>12</v>
      </c>
      <c r="E51" s="493"/>
      <c r="F51" s="493"/>
      <c r="G51" s="493"/>
      <c r="H51" s="1311"/>
      <c r="I51" s="1312"/>
      <c r="J51" s="493"/>
      <c r="K51" s="1311"/>
      <c r="L51" s="1321"/>
      <c r="M51" s="1321"/>
      <c r="N51" s="1314"/>
      <c r="O51" s="1322"/>
      <c r="P51" s="493"/>
      <c r="Q51" s="1399" t="s">
        <v>19</v>
      </c>
      <c r="R51" s="1404" t="e">
        <f t="shared" ca="1" si="13"/>
        <v>#VALUE!</v>
      </c>
      <c r="S51" s="1400" t="s">
        <v>2526</v>
      </c>
      <c r="T51" s="1288" t="e">
        <f t="shared" ca="1" si="14"/>
        <v>#VALUE!</v>
      </c>
      <c r="U51" s="1289" t="e">
        <f t="shared" ca="1" si="15"/>
        <v>#VALUE!</v>
      </c>
      <c r="V51" s="6" t="s">
        <v>12</v>
      </c>
      <c r="Y51" s="1383" t="s">
        <v>2568</v>
      </c>
      <c r="Z51" s="1384" t="s">
        <v>154</v>
      </c>
      <c r="AA51" s="1385" t="str">
        <f ca="1">IF(Y51="","",IF(COB=TODAY(),_xll.BDP(Y51,"LAST_PRICE"),_xll.BDH(Y51,"LAST_PRICE",COB,COB)))</f>
        <v>#N/A Requesting Data...</v>
      </c>
      <c r="AB51" s="1391" t="e">
        <f t="shared" ref="AB51:AB68" ca="1" si="16">AA51/100</f>
        <v>#VALUE!</v>
      </c>
      <c r="AC51" s="995"/>
      <c r="AD51" s="1383"/>
      <c r="AE51" s="1384"/>
      <c r="AF51" s="1019"/>
      <c r="AG51" s="659"/>
      <c r="AH51" s="995"/>
      <c r="AI51" s="1383"/>
      <c r="AJ51" s="1384"/>
      <c r="AK51" s="1019"/>
      <c r="AL51" s="659"/>
    </row>
    <row r="52" spans="1:38">
      <c r="A52" s="995" t="s">
        <v>12</v>
      </c>
      <c r="B52" s="925" t="s">
        <v>2537</v>
      </c>
      <c r="C52" s="1364"/>
      <c r="D52" s="995" t="s">
        <v>12</v>
      </c>
      <c r="E52" s="493"/>
      <c r="F52" s="493"/>
      <c r="G52" s="493"/>
      <c r="H52" s="1311"/>
      <c r="I52" s="1312"/>
      <c r="J52" s="493"/>
      <c r="K52" s="1311"/>
      <c r="L52" s="1321"/>
      <c r="M52" s="1321"/>
      <c r="N52" s="1314"/>
      <c r="O52" s="1322"/>
      <c r="P52" s="493"/>
      <c r="Q52" s="1399" t="s">
        <v>17</v>
      </c>
      <c r="R52" s="1404" t="e">
        <f t="shared" ca="1" si="13"/>
        <v>#VALUE!</v>
      </c>
      <c r="S52" s="1400" t="s">
        <v>2526</v>
      </c>
      <c r="T52" s="1288" t="e">
        <f t="shared" ca="1" si="14"/>
        <v>#VALUE!</v>
      </c>
      <c r="U52" s="1289" t="e">
        <f t="shared" ca="1" si="15"/>
        <v>#VALUE!</v>
      </c>
      <c r="V52" s="6" t="s">
        <v>12</v>
      </c>
      <c r="Y52" s="1383" t="s">
        <v>2571</v>
      </c>
      <c r="Z52" s="1384" t="s">
        <v>43</v>
      </c>
      <c r="AA52" s="1385" t="str">
        <f ca="1">IF(Y52="","",IF(COB=TODAY(),_xll.BDP(Y52,"LAST_PRICE"),_xll.BDH(Y52,"LAST_PRICE",COB,COB)))</f>
        <v>#N/A Requesting Data...</v>
      </c>
      <c r="AB52" s="1391" t="e">
        <f t="shared" ca="1" si="16"/>
        <v>#VALUE!</v>
      </c>
      <c r="AC52" s="995"/>
      <c r="AD52" s="1383"/>
      <c r="AE52" s="1384"/>
      <c r="AF52" s="1019"/>
      <c r="AG52" s="659"/>
      <c r="AH52" s="995"/>
      <c r="AI52" s="1383"/>
      <c r="AJ52" s="1384"/>
      <c r="AK52" s="1019"/>
      <c r="AL52" s="659"/>
    </row>
    <row r="53" spans="1:38">
      <c r="A53" s="995" t="s">
        <v>12</v>
      </c>
      <c r="B53" s="1345" t="s">
        <v>2535</v>
      </c>
      <c r="C53" s="1346" t="s">
        <v>2548</v>
      </c>
      <c r="D53" s="995" t="s">
        <v>12</v>
      </c>
      <c r="E53" s="493"/>
      <c r="F53" s="493"/>
      <c r="G53" s="493"/>
      <c r="H53" s="1311"/>
      <c r="I53" s="1312"/>
      <c r="J53" s="493"/>
      <c r="K53" s="1311"/>
      <c r="L53" s="1321"/>
      <c r="M53" s="1321"/>
      <c r="N53" s="1314"/>
      <c r="O53" s="1322"/>
      <c r="P53" s="493"/>
      <c r="Q53" s="1399" t="s">
        <v>16</v>
      </c>
      <c r="R53" s="1404" t="e">
        <f t="shared" ca="1" si="13"/>
        <v>#VALUE!</v>
      </c>
      <c r="S53" s="1400" t="s">
        <v>2526</v>
      </c>
      <c r="T53" s="1288" t="e">
        <f t="shared" ca="1" si="14"/>
        <v>#VALUE!</v>
      </c>
      <c r="U53" s="1289" t="e">
        <f t="shared" ca="1" si="15"/>
        <v>#VALUE!</v>
      </c>
      <c r="V53" s="6" t="s">
        <v>12</v>
      </c>
      <c r="Y53" s="1383" t="s">
        <v>2573</v>
      </c>
      <c r="Z53" s="1384" t="s">
        <v>40</v>
      </c>
      <c r="AA53" s="1385" t="str">
        <f ca="1">IF(Y53="","",IF(COB=TODAY(),_xll.BDP(Y53,"LAST_PRICE"),_xll.BDH(Y53,"LAST_PRICE",COB,COB)))</f>
        <v>#N/A Requesting Data...</v>
      </c>
      <c r="AB53" s="1391" t="e">
        <f t="shared" ca="1" si="16"/>
        <v>#VALUE!</v>
      </c>
      <c r="AC53" s="995"/>
      <c r="AD53" s="1383"/>
      <c r="AE53" s="1384"/>
      <c r="AF53" s="1019"/>
      <c r="AG53" s="659"/>
      <c r="AH53" s="995"/>
      <c r="AI53" s="1383"/>
      <c r="AJ53" s="1384"/>
      <c r="AK53" s="1019"/>
      <c r="AL53" s="659"/>
    </row>
    <row r="54" spans="1:38">
      <c r="A54" s="995" t="s">
        <v>12</v>
      </c>
      <c r="B54" s="1347" t="s">
        <v>2539</v>
      </c>
      <c r="C54" s="671" t="s">
        <v>2549</v>
      </c>
      <c r="D54" s="995" t="s">
        <v>12</v>
      </c>
      <c r="E54" s="493"/>
      <c r="F54" s="493"/>
      <c r="G54" s="493"/>
      <c r="H54" s="1311"/>
      <c r="I54" s="1312"/>
      <c r="J54" s="493"/>
      <c r="K54" s="1311"/>
      <c r="L54" s="1321"/>
      <c r="M54" s="1321"/>
      <c r="N54" s="1314"/>
      <c r="O54" s="1322"/>
      <c r="P54" s="493"/>
      <c r="Q54" s="1399" t="s">
        <v>15</v>
      </c>
      <c r="R54" s="1404" t="e">
        <f t="shared" ca="1" si="13"/>
        <v>#VALUE!</v>
      </c>
      <c r="S54" s="1400" t="s">
        <v>2526</v>
      </c>
      <c r="T54" s="1288" t="e">
        <f t="shared" ca="1" si="14"/>
        <v>#VALUE!</v>
      </c>
      <c r="U54" s="1289" t="e">
        <f t="shared" ca="1" si="15"/>
        <v>#VALUE!</v>
      </c>
      <c r="V54" s="6" t="s">
        <v>12</v>
      </c>
      <c r="Y54" s="1383" t="s">
        <v>2576</v>
      </c>
      <c r="Z54" s="1384" t="s">
        <v>37</v>
      </c>
      <c r="AA54" s="1385" t="str">
        <f ca="1">IF(Y54="","",IF(COB=TODAY(),_xll.BDP(Y54,"LAST_PRICE"),_xll.BDH(Y54,"LAST_PRICE",COB,COB)))</f>
        <v>#N/A Requesting Data...</v>
      </c>
      <c r="AB54" s="1391" t="e">
        <f t="shared" ca="1" si="16"/>
        <v>#VALUE!</v>
      </c>
      <c r="AC54" s="995"/>
      <c r="AD54" s="1383"/>
      <c r="AE54" s="1384"/>
      <c r="AF54" s="1019"/>
      <c r="AG54" s="659"/>
      <c r="AH54" s="995"/>
      <c r="AI54" s="1383"/>
      <c r="AJ54" s="1384"/>
      <c r="AK54" s="1019"/>
      <c r="AL54" s="659"/>
    </row>
    <row r="55" spans="1:38">
      <c r="A55" s="995" t="s">
        <v>12</v>
      </c>
      <c r="B55" s="1347" t="s">
        <v>2541</v>
      </c>
      <c r="C55" s="1348" t="s">
        <v>2542</v>
      </c>
      <c r="D55" s="995" t="s">
        <v>12</v>
      </c>
      <c r="E55" s="493"/>
      <c r="F55" s="493"/>
      <c r="G55" s="493"/>
      <c r="H55" s="1311"/>
      <c r="I55" s="1312"/>
      <c r="J55" s="493"/>
      <c r="K55" s="1311"/>
      <c r="L55" s="1321"/>
      <c r="M55" s="1321"/>
      <c r="N55" s="1314"/>
      <c r="O55" s="1322"/>
      <c r="P55" s="493"/>
      <c r="Q55" s="1399" t="s">
        <v>14</v>
      </c>
      <c r="R55" s="1404" t="e">
        <f t="shared" ca="1" si="13"/>
        <v>#VALUE!</v>
      </c>
      <c r="S55" s="1400" t="s">
        <v>2526</v>
      </c>
      <c r="T55" s="1288" t="e">
        <f t="shared" ca="1" si="14"/>
        <v>#VALUE!</v>
      </c>
      <c r="U55" s="1289" t="e">
        <f t="shared" ca="1" si="15"/>
        <v>#VALUE!</v>
      </c>
      <c r="V55" s="6" t="s">
        <v>12</v>
      </c>
      <c r="Y55" s="1383" t="s">
        <v>2578</v>
      </c>
      <c r="Z55" s="1384" t="s">
        <v>33</v>
      </c>
      <c r="AA55" s="1385" t="str">
        <f ca="1">IF(Y55="","",IF(COB=TODAY(),_xll.BDP(Y55,"LAST_PRICE"),_xll.BDH(Y55,"LAST_PRICE",COB,COB)))</f>
        <v>#N/A Requesting Data...</v>
      </c>
      <c r="AB55" s="1391" t="e">
        <f t="shared" ca="1" si="16"/>
        <v>#VALUE!</v>
      </c>
      <c r="AC55" s="995"/>
      <c r="AD55" s="1383"/>
      <c r="AE55" s="1384"/>
      <c r="AF55" s="1019"/>
      <c r="AG55" s="659"/>
      <c r="AH55" s="995"/>
      <c r="AI55" s="1383"/>
      <c r="AJ55" s="1384"/>
      <c r="AK55" s="1019"/>
      <c r="AL55" s="659"/>
    </row>
    <row r="56" spans="1:38">
      <c r="A56" s="995" t="s">
        <v>12</v>
      </c>
      <c r="B56" s="1349" t="s">
        <v>2543</v>
      </c>
      <c r="C56" s="1350"/>
      <c r="D56" s="995" t="s">
        <v>12</v>
      </c>
      <c r="E56" s="493"/>
      <c r="F56" s="493"/>
      <c r="G56" s="493"/>
      <c r="H56" s="1311"/>
      <c r="I56" s="1312"/>
      <c r="J56" s="493"/>
      <c r="K56" s="1311"/>
      <c r="L56" s="1321"/>
      <c r="M56" s="1321"/>
      <c r="N56" s="1314"/>
      <c r="O56" s="1322"/>
      <c r="P56" s="493"/>
      <c r="Q56" s="1316"/>
      <c r="R56" s="1317"/>
      <c r="S56" s="1318"/>
      <c r="T56" s="1319"/>
      <c r="U56" s="1320"/>
      <c r="V56" s="6" t="s">
        <v>12</v>
      </c>
      <c r="Y56" s="1383" t="s">
        <v>2580</v>
      </c>
      <c r="Z56" s="1384" t="s">
        <v>31</v>
      </c>
      <c r="AA56" s="1385" t="str">
        <f ca="1">IF(Y56="","",IF(COB=TODAY(),_xll.BDP(Y56,"LAST_PRICE"),_xll.BDH(Y56,"LAST_PRICE",COB,COB)))</f>
        <v>#N/A Requesting Data...</v>
      </c>
      <c r="AB56" s="1391" t="e">
        <f t="shared" ca="1" si="16"/>
        <v>#VALUE!</v>
      </c>
      <c r="AC56" s="995"/>
      <c r="AD56" s="1383"/>
      <c r="AE56" s="1384"/>
      <c r="AF56" s="1019"/>
      <c r="AG56" s="659"/>
      <c r="AH56" s="995"/>
      <c r="AI56" s="1383"/>
      <c r="AJ56" s="1384"/>
      <c r="AK56" s="1019"/>
      <c r="AL56" s="659"/>
    </row>
    <row r="57" spans="1:38">
      <c r="A57" s="995" t="s">
        <v>12</v>
      </c>
      <c r="B57" s="493"/>
      <c r="C57" s="493"/>
      <c r="D57" s="995" t="s">
        <v>12</v>
      </c>
      <c r="E57" s="493"/>
      <c r="F57" s="493"/>
      <c r="G57" s="493"/>
      <c r="H57" s="1311"/>
      <c r="I57" s="1312"/>
      <c r="J57" s="493"/>
      <c r="K57" s="1311"/>
      <c r="L57" s="1321"/>
      <c r="M57" s="1321"/>
      <c r="N57" s="1314"/>
      <c r="O57" s="1322"/>
      <c r="P57" s="493"/>
      <c r="Q57" s="1324"/>
      <c r="R57" s="363"/>
      <c r="S57" s="1325"/>
      <c r="T57" s="1290"/>
      <c r="U57" s="1291"/>
      <c r="V57" s="6" t="s">
        <v>12</v>
      </c>
      <c r="Y57" s="1383" t="s">
        <v>2582</v>
      </c>
      <c r="Z57" s="1384" t="s">
        <v>127</v>
      </c>
      <c r="AA57" s="1385" t="str">
        <f ca="1">IF(Y57="","",IF(COB=TODAY(),_xll.BDP(Y57,"LAST_PRICE"),_xll.BDH(Y57,"LAST_PRICE",COB,COB)))</f>
        <v>#N/A Requesting Data...</v>
      </c>
      <c r="AB57" s="1391" t="e">
        <f t="shared" ca="1" si="16"/>
        <v>#VALUE!</v>
      </c>
      <c r="AC57" s="995"/>
      <c r="AD57" s="1383"/>
      <c r="AE57" s="1384"/>
      <c r="AF57" s="1019"/>
      <c r="AG57" s="659"/>
      <c r="AH57" s="995"/>
      <c r="AI57" s="1383"/>
      <c r="AJ57" s="1384"/>
      <c r="AK57" s="1019"/>
      <c r="AL57" s="659"/>
    </row>
    <row r="58" spans="1:38">
      <c r="A58" s="995" t="s">
        <v>12</v>
      </c>
      <c r="B58" s="493"/>
      <c r="C58" s="493"/>
      <c r="D58" s="995" t="s">
        <v>12</v>
      </c>
      <c r="E58" s="493"/>
      <c r="F58" s="493"/>
      <c r="G58" s="493"/>
      <c r="H58" s="1311"/>
      <c r="I58" s="1312"/>
      <c r="J58" s="493"/>
      <c r="K58" s="1311"/>
      <c r="L58" s="1321"/>
      <c r="M58" s="1321"/>
      <c r="N58" s="1314"/>
      <c r="O58" s="1322"/>
      <c r="P58" s="493"/>
      <c r="Q58" s="1324"/>
      <c r="R58" s="363"/>
      <c r="S58" s="1325"/>
      <c r="T58" s="1290"/>
      <c r="U58" s="1291"/>
      <c r="V58" s="6" t="s">
        <v>12</v>
      </c>
      <c r="Y58" s="1383" t="s">
        <v>2584</v>
      </c>
      <c r="Z58" s="1384" t="s">
        <v>29</v>
      </c>
      <c r="AA58" s="1385" t="str">
        <f ca="1">IF(Y58="","",IF(COB=TODAY(),_xll.BDP(Y58,"LAST_PRICE"),_xll.BDH(Y58,"LAST_PRICE",COB,COB)))</f>
        <v>#N/A Requesting Data...</v>
      </c>
      <c r="AB58" s="1391" t="e">
        <f t="shared" ca="1" si="16"/>
        <v>#VALUE!</v>
      </c>
      <c r="AC58" s="995"/>
      <c r="AD58" s="1383"/>
      <c r="AE58" s="1384"/>
      <c r="AF58" s="1019"/>
      <c r="AG58" s="659"/>
      <c r="AH58" s="995"/>
      <c r="AI58" s="1383"/>
      <c r="AJ58" s="1384"/>
      <c r="AK58" s="1019"/>
      <c r="AL58" s="659"/>
    </row>
    <row r="59" spans="1:38">
      <c r="A59" s="995" t="s">
        <v>12</v>
      </c>
      <c r="B59" s="925" t="s">
        <v>2544</v>
      </c>
      <c r="C59" s="1394" t="b">
        <f ca="1">LEFT(C60,3)=LEFT(C53,3)</f>
        <v>1</v>
      </c>
      <c r="D59" s="995" t="s">
        <v>12</v>
      </c>
      <c r="E59" s="493"/>
      <c r="F59" s="493"/>
      <c r="G59" s="493"/>
      <c r="H59" s="1311"/>
      <c r="I59" s="1312"/>
      <c r="J59" s="493"/>
      <c r="K59" s="1311"/>
      <c r="L59" s="1321"/>
      <c r="M59" s="1321"/>
      <c r="N59" s="1314"/>
      <c r="O59" s="1322"/>
      <c r="P59" s="493"/>
      <c r="Q59" s="1324"/>
      <c r="R59" s="363"/>
      <c r="S59" s="1325"/>
      <c r="T59" s="1290"/>
      <c r="U59" s="1291"/>
      <c r="V59" s="6" t="s">
        <v>12</v>
      </c>
      <c r="Y59" s="1383" t="s">
        <v>2586</v>
      </c>
      <c r="Z59" s="1386" t="s">
        <v>115</v>
      </c>
      <c r="AA59" s="1385" t="str">
        <f ca="1">IF(Y59="","",IF(COB=TODAY(),_xll.BDP(Y59,"LAST_PRICE"),_xll.BDH(Y59,"LAST_PRICE",COB,COB)))</f>
        <v>#N/A Requesting Data...</v>
      </c>
      <c r="AB59" s="1391" t="e">
        <f t="shared" ca="1" si="16"/>
        <v>#VALUE!</v>
      </c>
      <c r="AC59" s="995"/>
      <c r="AD59" s="1383"/>
      <c r="AE59" s="1384"/>
      <c r="AF59" s="1019"/>
      <c r="AG59" s="659"/>
      <c r="AH59" s="995"/>
      <c r="AI59" s="1383"/>
      <c r="AJ59" s="1384"/>
      <c r="AK59" s="1019"/>
      <c r="AL59" s="659"/>
    </row>
    <row r="60" spans="1:38">
      <c r="A60" s="995" t="s">
        <v>12</v>
      </c>
      <c r="B60" s="1351" t="s">
        <v>2535</v>
      </c>
      <c r="C60" s="1352" t="str">
        <f t="array" aca="1" ref="C60:C63" ca="1">IF(isOISCurveLoaded_JPYJSCC,_xll.meLWOCurveCalibrate(C53,C54,C46,C55),"#Error: Dependency Curve Not Built")</f>
        <v>JPY_LCH_SWAP_6M_CURVE@199:0</v>
      </c>
      <c r="D60" s="995" t="s">
        <v>12</v>
      </c>
      <c r="E60" s="493"/>
      <c r="F60" s="493"/>
      <c r="G60" s="493"/>
      <c r="H60" s="1311"/>
      <c r="I60" s="1312"/>
      <c r="J60" s="493"/>
      <c r="K60" s="1311"/>
      <c r="L60" s="1321"/>
      <c r="M60" s="1321"/>
      <c r="N60" s="1314"/>
      <c r="O60" s="1322"/>
      <c r="P60" s="493"/>
      <c r="Q60" s="1324"/>
      <c r="R60" s="363"/>
      <c r="S60" s="1325"/>
      <c r="T60" s="1290"/>
      <c r="U60" s="1291"/>
      <c r="V60" s="6" t="s">
        <v>12</v>
      </c>
      <c r="Y60" s="1383" t="s">
        <v>2588</v>
      </c>
      <c r="Z60" s="1386" t="s">
        <v>109</v>
      </c>
      <c r="AA60" s="1385" t="str">
        <f ca="1">IF(Y60="","",IF(COB=TODAY(),_xll.BDP(Y60,"LAST_PRICE"),_xll.BDH(Y60,"LAST_PRICE",COB,COB)))</f>
        <v>#N/A Requesting Data...</v>
      </c>
      <c r="AB60" s="1391" t="e">
        <f t="shared" ca="1" si="16"/>
        <v>#VALUE!</v>
      </c>
      <c r="AC60" s="995"/>
      <c r="AD60" s="1383"/>
      <c r="AE60" s="1384"/>
      <c r="AF60" s="1019"/>
      <c r="AG60" s="659"/>
      <c r="AH60" s="995"/>
      <c r="AI60" s="1383"/>
      <c r="AJ60" s="1384"/>
      <c r="AK60" s="1019"/>
      <c r="AL60" s="659"/>
    </row>
    <row r="61" spans="1:38">
      <c r="A61" s="995" t="s">
        <v>12</v>
      </c>
      <c r="B61" s="671" t="s">
        <v>2545</v>
      </c>
      <c r="C61" s="1353" t="str">
        <f ca="1"/>
        <v>JPYYC_LCH</v>
      </c>
      <c r="D61" s="995" t="s">
        <v>12</v>
      </c>
      <c r="E61" s="493"/>
      <c r="F61" s="493"/>
      <c r="G61" s="493"/>
      <c r="H61" s="1311"/>
      <c r="I61" s="1312"/>
      <c r="J61" s="493"/>
      <c r="K61" s="1311"/>
      <c r="L61" s="1321"/>
      <c r="M61" s="1321"/>
      <c r="N61" s="1314"/>
      <c r="O61" s="1322"/>
      <c r="P61" s="493"/>
      <c r="Q61" s="1324"/>
      <c r="R61" s="363"/>
      <c r="S61" s="1325"/>
      <c r="T61" s="1290"/>
      <c r="U61" s="1291"/>
      <c r="V61" s="6" t="s">
        <v>12</v>
      </c>
      <c r="Y61" s="1383" t="s">
        <v>2590</v>
      </c>
      <c r="Z61" s="1384" t="s">
        <v>27</v>
      </c>
      <c r="AA61" s="1385" t="str">
        <f ca="1">IF(Y61="","",IF(COB=TODAY(),_xll.BDP(Y61,"LAST_PRICE"),_xll.BDH(Y61,"LAST_PRICE",COB,COB)))</f>
        <v>#N/A Requesting Data...</v>
      </c>
      <c r="AB61" s="1391" t="e">
        <f t="shared" ca="1" si="16"/>
        <v>#VALUE!</v>
      </c>
      <c r="AC61" s="995"/>
      <c r="AD61" s="1383"/>
      <c r="AE61" s="1384"/>
      <c r="AF61" s="1019"/>
      <c r="AG61" s="659"/>
      <c r="AH61" s="995"/>
      <c r="AI61" s="1383"/>
      <c r="AJ61" s="1384"/>
      <c r="AK61" s="1019"/>
      <c r="AL61" s="659"/>
    </row>
    <row r="62" spans="1:38">
      <c r="A62" s="995" t="s">
        <v>12</v>
      </c>
      <c r="B62" s="671" t="s">
        <v>2546</v>
      </c>
      <c r="C62" s="1353" t="str">
        <f ca="1"/>
        <v>STD:JPY6ML</v>
      </c>
      <c r="D62" s="995" t="s">
        <v>12</v>
      </c>
      <c r="E62" s="493"/>
      <c r="F62" s="493"/>
      <c r="G62" s="493"/>
      <c r="H62" s="1311"/>
      <c r="I62" s="1312"/>
      <c r="J62" s="493"/>
      <c r="K62" s="1311"/>
      <c r="L62" s="1321"/>
      <c r="M62" s="1321"/>
      <c r="N62" s="1314"/>
      <c r="O62" s="1322"/>
      <c r="P62" s="493"/>
      <c r="Q62" s="1324"/>
      <c r="R62" s="363"/>
      <c r="S62" s="1325"/>
      <c r="T62" s="1290"/>
      <c r="U62" s="1291"/>
      <c r="V62" s="6" t="s">
        <v>12</v>
      </c>
      <c r="Y62" s="1383" t="s">
        <v>2592</v>
      </c>
      <c r="Z62" s="1384" t="s">
        <v>25</v>
      </c>
      <c r="AA62" s="1385" t="str">
        <f ca="1">IF(Y62="","",IF(COB=TODAY(),_xll.BDP(Y62,"LAST_PRICE"),_xll.BDH(Y62,"LAST_PRICE",COB,COB)))</f>
        <v>#N/A Requesting Data...</v>
      </c>
      <c r="AB62" s="1391" t="e">
        <f t="shared" ca="1" si="16"/>
        <v>#VALUE!</v>
      </c>
      <c r="AC62" s="995"/>
      <c r="AD62" s="1383"/>
      <c r="AE62" s="1384"/>
      <c r="AF62" s="1019"/>
      <c r="AG62" s="659"/>
      <c r="AH62" s="995"/>
      <c r="AI62" s="1383"/>
      <c r="AJ62" s="1384"/>
      <c r="AK62" s="1019"/>
      <c r="AL62" s="659"/>
    </row>
    <row r="63" spans="1:38" ht="15.75" thickBot="1">
      <c r="A63" s="995" t="s">
        <v>12</v>
      </c>
      <c r="B63" s="1355" t="s">
        <v>2547</v>
      </c>
      <c r="C63" s="1354" t="str">
        <f ca="1"/>
        <v>0.00700 sec</v>
      </c>
      <c r="D63" s="995" t="s">
        <v>12</v>
      </c>
      <c r="E63" s="493"/>
      <c r="F63" s="493"/>
      <c r="G63" s="493"/>
      <c r="H63" s="1326"/>
      <c r="I63" s="1327"/>
      <c r="J63" s="493"/>
      <c r="K63" s="1326"/>
      <c r="L63" s="1328"/>
      <c r="M63" s="1328"/>
      <c r="N63" s="1329"/>
      <c r="O63" s="1330"/>
      <c r="P63" s="493"/>
      <c r="Q63" s="1331"/>
      <c r="R63" s="1332"/>
      <c r="S63" s="1333"/>
      <c r="T63" s="1299"/>
      <c r="U63" s="1300"/>
      <c r="V63" s="6" t="s">
        <v>12</v>
      </c>
      <c r="Y63" s="1383" t="s">
        <v>2283</v>
      </c>
      <c r="Z63" s="1384" t="s">
        <v>23</v>
      </c>
      <c r="AA63" s="1385" t="str">
        <f ca="1">IF(Y63="","",IF(COB=TODAY(),_xll.BDP(Y63,"LAST_PRICE"),_xll.BDH(Y63,"LAST_PRICE",COB,COB)))</f>
        <v>#N/A Requesting Data...</v>
      </c>
      <c r="AB63" s="1391" t="e">
        <f t="shared" ca="1" si="16"/>
        <v>#VALUE!</v>
      </c>
      <c r="AC63" s="995"/>
      <c r="AD63" s="1383"/>
      <c r="AE63" s="1384"/>
      <c r="AF63" s="1019"/>
      <c r="AG63" s="659"/>
      <c r="AH63" s="995"/>
      <c r="AI63" s="1383"/>
      <c r="AJ63" s="1384"/>
      <c r="AK63" s="1019"/>
      <c r="AL63" s="659"/>
    </row>
    <row r="64" spans="1:38" ht="15.75" thickTop="1">
      <c r="A64" s="6" t="s">
        <v>12</v>
      </c>
      <c r="B64" s="6" t="s">
        <v>12</v>
      </c>
      <c r="C64" s="6" t="s">
        <v>12</v>
      </c>
      <c r="D64" s="6" t="s">
        <v>12</v>
      </c>
      <c r="E64" s="6" t="s">
        <v>12</v>
      </c>
      <c r="F64" s="6" t="s">
        <v>12</v>
      </c>
      <c r="G64" s="6" t="s">
        <v>12</v>
      </c>
      <c r="H64" s="6" t="s">
        <v>12</v>
      </c>
      <c r="I64" s="6" t="s">
        <v>12</v>
      </c>
      <c r="J64" s="6" t="s">
        <v>12</v>
      </c>
      <c r="K64" s="6" t="s">
        <v>12</v>
      </c>
      <c r="L64" s="6" t="s">
        <v>12</v>
      </c>
      <c r="M64" s="6" t="s">
        <v>12</v>
      </c>
      <c r="N64" s="6" t="s">
        <v>12</v>
      </c>
      <c r="O64" s="6" t="s">
        <v>12</v>
      </c>
      <c r="P64" s="6" t="s">
        <v>12</v>
      </c>
      <c r="Q64" s="6" t="s">
        <v>12</v>
      </c>
      <c r="R64" s="6" t="s">
        <v>12</v>
      </c>
      <c r="S64" s="6" t="s">
        <v>12</v>
      </c>
      <c r="T64" s="6" t="s">
        <v>12</v>
      </c>
      <c r="U64" s="6" t="s">
        <v>12</v>
      </c>
      <c r="V64" s="6" t="s">
        <v>12</v>
      </c>
      <c r="Y64" s="1383" t="s">
        <v>2284</v>
      </c>
      <c r="Z64" s="1384" t="s">
        <v>19</v>
      </c>
      <c r="AA64" s="1385" t="str">
        <f ca="1">IF(Y64="","",IF(COB=TODAY(),_xll.BDP(Y64,"LAST_PRICE"),_xll.BDH(Y64,"LAST_PRICE",COB,COB)))</f>
        <v>#N/A Requesting Data...</v>
      </c>
      <c r="AB64" s="1391" t="e">
        <f t="shared" ca="1" si="16"/>
        <v>#VALUE!</v>
      </c>
      <c r="AC64" s="995"/>
      <c r="AD64" s="1383"/>
      <c r="AE64" s="1384"/>
      <c r="AF64" s="1019"/>
      <c r="AG64" s="659"/>
      <c r="AH64" s="995"/>
      <c r="AI64" s="1383"/>
      <c r="AJ64" s="1384"/>
      <c r="AK64" s="1019"/>
      <c r="AL64" s="659"/>
    </row>
    <row r="65" spans="25:38">
      <c r="Y65" s="1383" t="s">
        <v>2285</v>
      </c>
      <c r="Z65" s="1384" t="s">
        <v>17</v>
      </c>
      <c r="AA65" s="1385" t="str">
        <f ca="1">IF(Y65="","",IF(COB=TODAY(),_xll.BDP(Y65,"LAST_PRICE"),_xll.BDH(Y65,"LAST_PRICE",COB,COB)))</f>
        <v>#N/A Requesting Data...</v>
      </c>
      <c r="AB65" s="1391" t="e">
        <f t="shared" ca="1" si="16"/>
        <v>#VALUE!</v>
      </c>
      <c r="AC65" s="995"/>
      <c r="AD65" s="1383"/>
      <c r="AE65" s="1384"/>
      <c r="AF65" s="1019"/>
      <c r="AG65" s="659"/>
      <c r="AH65" s="995"/>
      <c r="AI65" s="1383"/>
      <c r="AJ65" s="1384"/>
      <c r="AK65" s="1019"/>
      <c r="AL65" s="659"/>
    </row>
    <row r="66" spans="25:38">
      <c r="Y66" s="1383" t="s">
        <v>2286</v>
      </c>
      <c r="Z66" s="1384" t="s">
        <v>16</v>
      </c>
      <c r="AA66" s="1385" t="str">
        <f ca="1">IF(Y66="","",IF(COB=TODAY(),_xll.BDP(Y66,"LAST_PRICE"),_xll.BDH(Y66,"LAST_PRICE",COB,COB)))</f>
        <v>#N/A Requesting Data...</v>
      </c>
      <c r="AB66" s="1391" t="e">
        <f t="shared" ca="1" si="16"/>
        <v>#VALUE!</v>
      </c>
      <c r="AC66" s="995"/>
      <c r="AD66" s="1383"/>
      <c r="AE66" s="1384"/>
      <c r="AF66" s="1019"/>
      <c r="AG66" s="659"/>
      <c r="AH66" s="995"/>
      <c r="AI66" s="1383"/>
      <c r="AJ66" s="1384"/>
      <c r="AK66" s="1019"/>
      <c r="AL66" s="659"/>
    </row>
    <row r="67" spans="25:38">
      <c r="Y67" s="1383" t="s">
        <v>2265</v>
      </c>
      <c r="Z67" s="1384" t="s">
        <v>15</v>
      </c>
      <c r="AA67" s="1385" t="str">
        <f ca="1">IF(Y67="","",IF(COB=TODAY(),_xll.BDP(Y67,"LAST_PRICE"),_xll.BDH(Y67,"LAST_PRICE",COB,COB)))</f>
        <v>#N/A Requesting Data...</v>
      </c>
      <c r="AB67" s="1391" t="e">
        <f t="shared" ca="1" si="16"/>
        <v>#VALUE!</v>
      </c>
      <c r="AC67" s="995"/>
      <c r="AD67" s="1383"/>
      <c r="AE67" s="1384"/>
      <c r="AF67" s="1019"/>
      <c r="AG67" s="659"/>
      <c r="AH67" s="995"/>
      <c r="AI67" s="1383"/>
      <c r="AJ67" s="1384"/>
      <c r="AK67" s="1019"/>
      <c r="AL67" s="659"/>
    </row>
    <row r="68" spans="25:38">
      <c r="Y68" s="1383" t="s">
        <v>2266</v>
      </c>
      <c r="Z68" s="1384" t="s">
        <v>14</v>
      </c>
      <c r="AA68" s="1385" t="str">
        <f ca="1">IF(Y68="","",IF(COB=TODAY(),_xll.BDP(Y68,"LAST_PRICE"),_xll.BDH(Y68,"LAST_PRICE",COB,COB)))</f>
        <v>#N/A Requesting Data...</v>
      </c>
      <c r="AB68" s="1391" t="e">
        <f t="shared" ca="1" si="16"/>
        <v>#VALUE!</v>
      </c>
      <c r="AC68" s="995"/>
      <c r="AD68" s="1383"/>
      <c r="AE68" s="1384"/>
      <c r="AF68" s="1019"/>
      <c r="AG68" s="659"/>
      <c r="AH68" s="995"/>
      <c r="AI68" s="1383"/>
      <c r="AJ68" s="1384"/>
      <c r="AK68" s="1019"/>
      <c r="AL68" s="659"/>
    </row>
    <row r="69" spans="25:38">
      <c r="Y69" s="1387"/>
      <c r="Z69" s="1388"/>
      <c r="AA69" s="1389"/>
      <c r="AB69" s="663"/>
      <c r="AD69" s="1387"/>
      <c r="AE69" s="1388"/>
      <c r="AF69" s="1025"/>
      <c r="AG69" s="663"/>
      <c r="AI69" s="1387"/>
      <c r="AJ69" s="1388"/>
      <c r="AK69" s="1025"/>
      <c r="AL69" s="66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A1:BN56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7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6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12.7109375" customWidth="1" collapsed="1"/>
  </cols>
  <sheetData>
    <row r="1" spans="1:66">
      <c r="A1" s="381"/>
      <c r="P1" s="9" t="s">
        <v>1812</v>
      </c>
      <c r="BN1" s="9" t="s">
        <v>1813</v>
      </c>
    </row>
    <row r="2" spans="1:66" ht="23.25">
      <c r="B2" s="371" t="s">
        <v>1075</v>
      </c>
      <c r="R2" s="132" t="s">
        <v>1445</v>
      </c>
      <c r="S2" s="1427">
        <f ca="1">SUM($R$6:$R$25)</f>
        <v>0</v>
      </c>
      <c r="T2" s="1428"/>
      <c r="U2" s="423"/>
      <c r="V2" s="424"/>
    </row>
    <row r="3" spans="1:66">
      <c r="Q3" s="210"/>
      <c r="S3" s="391"/>
    </row>
    <row r="4" spans="1:66">
      <c r="B4" s="1128"/>
      <c r="Q4" s="370"/>
      <c r="R4" s="391"/>
      <c r="S4" s="391"/>
      <c r="U4" s="345"/>
      <c r="X4" s="475" t="s">
        <v>1809</v>
      </c>
      <c r="AA4" s="998" t="s">
        <v>1801</v>
      </c>
      <c r="AH4" s="234" t="s">
        <v>1810</v>
      </c>
      <c r="AT4" s="234" t="s">
        <v>1811</v>
      </c>
    </row>
    <row r="5" spans="1:66" s="466" customFormat="1">
      <c r="B5" s="467" t="s">
        <v>1768</v>
      </c>
      <c r="C5" s="468" t="s">
        <v>2186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1772</v>
      </c>
      <c r="I5" s="468" t="s">
        <v>1804</v>
      </c>
      <c r="J5" s="468" t="s">
        <v>1784</v>
      </c>
      <c r="K5" s="471" t="s">
        <v>2250</v>
      </c>
      <c r="L5" s="471" t="s">
        <v>2251</v>
      </c>
      <c r="M5" s="468" t="s">
        <v>1796</v>
      </c>
      <c r="N5" s="468" t="s">
        <v>1780</v>
      </c>
      <c r="O5" s="468" t="s">
        <v>1794</v>
      </c>
      <c r="P5" s="468" t="s">
        <v>1076</v>
      </c>
      <c r="Q5" s="468" t="s">
        <v>1805</v>
      </c>
      <c r="R5" s="468" t="s">
        <v>1806</v>
      </c>
      <c r="S5" s="468" t="s">
        <v>1808</v>
      </c>
      <c r="T5" s="468" t="s">
        <v>1807</v>
      </c>
      <c r="U5" s="468" t="s">
        <v>1077</v>
      </c>
      <c r="V5" s="469" t="s">
        <v>1752</v>
      </c>
      <c r="W5" s="466" t="s">
        <v>12</v>
      </c>
      <c r="X5" s="470" t="s">
        <v>890</v>
      </c>
      <c r="Y5" s="474" t="s">
        <v>1805</v>
      </c>
      <c r="AA5" s="470" t="s">
        <v>1803</v>
      </c>
      <c r="AB5" s="471" t="s">
        <v>354</v>
      </c>
      <c r="AC5" s="471" t="s">
        <v>1768</v>
      </c>
      <c r="AD5" s="471" t="s">
        <v>1769</v>
      </c>
      <c r="AE5" s="471" t="s">
        <v>1770</v>
      </c>
      <c r="AF5" s="471" t="s">
        <v>1443</v>
      </c>
      <c r="AG5" s="472" t="s">
        <v>1444</v>
      </c>
      <c r="AH5" s="473" t="s">
        <v>1771</v>
      </c>
      <c r="AI5" s="471" t="s">
        <v>1772</v>
      </c>
      <c r="AJ5" s="471" t="s">
        <v>1773</v>
      </c>
      <c r="AK5" s="471" t="s">
        <v>1774</v>
      </c>
      <c r="AL5" s="471" t="s">
        <v>1775</v>
      </c>
      <c r="AM5" s="471" t="s">
        <v>1776</v>
      </c>
      <c r="AN5" s="471" t="s">
        <v>1777</v>
      </c>
      <c r="AO5" s="471" t="s">
        <v>1778</v>
      </c>
      <c r="AP5" s="471" t="s">
        <v>1779</v>
      </c>
      <c r="AQ5" s="471" t="s">
        <v>1780</v>
      </c>
      <c r="AR5" s="471" t="s">
        <v>1781</v>
      </c>
      <c r="AS5" s="472" t="s">
        <v>1782</v>
      </c>
      <c r="AT5" s="471" t="s">
        <v>1783</v>
      </c>
      <c r="AU5" s="471" t="s">
        <v>1784</v>
      </c>
      <c r="AV5" s="471" t="s">
        <v>1785</v>
      </c>
      <c r="AW5" s="471" t="s">
        <v>1786</v>
      </c>
      <c r="AX5" s="471" t="s">
        <v>1787</v>
      </c>
      <c r="AY5" s="471" t="s">
        <v>1788</v>
      </c>
      <c r="AZ5" s="471" t="s">
        <v>1789</v>
      </c>
      <c r="BA5" s="471" t="s">
        <v>1790</v>
      </c>
      <c r="BB5" s="471" t="s">
        <v>1791</v>
      </c>
      <c r="BC5" s="471" t="s">
        <v>1792</v>
      </c>
      <c r="BD5" s="471" t="s">
        <v>1793</v>
      </c>
      <c r="BE5" s="471" t="s">
        <v>1794</v>
      </c>
      <c r="BF5" s="471" t="s">
        <v>1795</v>
      </c>
      <c r="BG5" s="471" t="s">
        <v>1800</v>
      </c>
      <c r="BH5" s="471" t="s">
        <v>2250</v>
      </c>
      <c r="BI5" s="471" t="s">
        <v>2251</v>
      </c>
      <c r="BJ5" s="471" t="s">
        <v>1796</v>
      </c>
      <c r="BK5" s="471" t="s">
        <v>1797</v>
      </c>
      <c r="BL5" s="471" t="s">
        <v>1798</v>
      </c>
      <c r="BM5" s="474" t="s">
        <v>1799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43228</v>
      </c>
      <c r="C6" s="1120" t="s">
        <v>361</v>
      </c>
      <c r="D6" s="361">
        <v>1000000</v>
      </c>
      <c r="E6" s="361" t="s">
        <v>2</v>
      </c>
      <c r="F6" s="342" t="s">
        <v>1753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2252</v>
      </c>
      <c r="L6" s="343" t="s">
        <v>2252</v>
      </c>
      <c r="M6" s="344"/>
      <c r="N6" s="419"/>
      <c r="O6" s="419"/>
      <c r="P6" s="377" t="s">
        <v>1043</v>
      </c>
      <c r="Q6" s="359" t="str">
        <f ca="1">IF(OR($D6="",$D6=0),"",_xll.meProductSwapParRate(_xll.meUtilityLVBFromKeysValues($AA$5:$BM$5,$AA6:$BM6),FALSE))</f>
        <v>[2018/05/04 09:52] #Error: Invalid Curve: CurveCollection 'EURYC' does not exist</v>
      </c>
      <c r="R6" s="458" t="str">
        <f ca="1">IF(OR($D6="",$D6=0),"",_xll.meProductSwapPV(_xll.meUtilityLVBFromKeysValues($AA$5:$BM$5,$AA6:$BM6),FALSE))</f>
        <v>[2018/05/04 09:52] #Error: Invalid Curve: CurveCollection 'EURYC' does not exist</v>
      </c>
      <c r="S6" s="461" t="str">
        <f ca="1">IF(OR($D6="",$D6=0),"",_xll.meProductSwapLegPV(_xll.meUtilityLVBFromMultipleKeysValues($AB$5:$AG$5,$AB6:$AG6,,$AH$5:$AS$5,$AH6:$AS6,,"LegType","Leg1:Fixed",,"PayReceive",$F6),FALSE))</f>
        <v>[2018/05/04 09:52] #Error: Invalid Curve: CurveCollection 'EURYC' does not exist</v>
      </c>
      <c r="T6" s="459" t="str">
        <f ca="1">IF(OR($D6="",$D6=0),"",_xll.meProductSwapLegPV(_xll.meUtilityLVBFromMultipleKeysValues($AB$5:$AG$5,$AB6:$AG6,,$AT$5:$BM$5,$AT6:$BM6,,"LegType","Leg2:Float",,"PayReceive",IF($F6="PAYER","RECEIVER","PAYER")),FALSE))</f>
        <v>[2018/05/04 09:52] #Error: Invalid Curve: CurveCollection 'EURYC' does not exist</v>
      </c>
      <c r="U6" s="458" t="str">
        <f ca="1">IF(OR($D6="",$D6=0),"",_xll.meProductSwapPV01(_xll.meUtilityLVBFromKeysValues($AA$5:$BM$5,$AA6:$BM6),FALSE))</f>
        <v>[2018/05/04 09:52] #Error: Invalid Curve: CurveCollection 'EURYC' does not exist</v>
      </c>
      <c r="V6" s="460" t="str">
        <f ca="1">IF(OR($D6="",$D6=0),"",_xll.meProductSwapDV01(_xll.meUtilityLVBFromKeysValues($AA$5:$BM$5,$AA6:$BM6),FALSE))</f>
        <v>[2018/05/04 09:52] #Error: Invalid Curve: CurveCollection 'EURYC' does not exist</v>
      </c>
      <c r="W6" t="s">
        <v>12</v>
      </c>
      <c r="X6" s="476" t="str">
        <f>IF('EUR Curve Config'!BB9,'EUR Curve Config'!AZ9,"")</f>
        <v>2Y</v>
      </c>
      <c r="Y6" s="477">
        <f>IF('EUR Curve Config'!BB9,'EUR Curve Config'!BA9,"")</f>
        <v>-1.431E-3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43228</v>
      </c>
      <c r="AD6" s="1006">
        <f ca="1">IF(OR(D6="",D6=0),"",IF(ISNUMBER($G6),$G6,IF(ISERROR(VALUE(LEFT(G6,1))),_xll.meDateFuturesContract($G6),_xll.meDateFromTenor($B6,$G6,$AM6,$AN6))))</f>
        <v>43959</v>
      </c>
      <c r="AE6" s="340" t="str">
        <f t="shared" ref="AE6:AE25" si="3">E6&amp;"YC"</f>
        <v>EURYC</v>
      </c>
      <c r="AF6" s="341" t="str">
        <f t="shared" ref="AF6:AF25" si="4">$E6&amp;$I6</f>
        <v>EUR6ML</v>
      </c>
      <c r="AG6" s="445" t="str">
        <f t="shared" ref="AG6:AG25" si="5">LEFT(AE6,3)&amp;"DF_"&amp;P6</f>
        <v>EURDF_NOCSA</v>
      </c>
      <c r="AH6" s="448" t="s">
        <v>146</v>
      </c>
      <c r="AI6" s="428">
        <f t="shared" ref="AI6:AI25" si="6">H6</f>
        <v>0.01</v>
      </c>
      <c r="AJ6" s="349" t="s">
        <v>157</v>
      </c>
      <c r="AK6" s="348" t="s">
        <v>38</v>
      </c>
      <c r="AL6" s="348" t="s">
        <v>0</v>
      </c>
      <c r="AM6" s="348" t="s">
        <v>38</v>
      </c>
      <c r="AN6" s="348" t="s">
        <v>0</v>
      </c>
      <c r="AO6" s="429"/>
      <c r="AP6" s="429"/>
      <c r="AQ6" s="339">
        <f ca="1">DAY($B6)</f>
        <v>8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7">J6</f>
        <v>0</v>
      </c>
      <c r="AV6" s="349" t="s">
        <v>3</v>
      </c>
      <c r="AW6" s="348" t="s">
        <v>38</v>
      </c>
      <c r="AX6" s="348" t="s">
        <v>0</v>
      </c>
      <c r="AY6" s="348" t="s">
        <v>38</v>
      </c>
      <c r="AZ6" s="348" t="s">
        <v>0</v>
      </c>
      <c r="BA6" s="348" t="s">
        <v>38</v>
      </c>
      <c r="BB6" s="348" t="s">
        <v>0</v>
      </c>
      <c r="BC6" s="429"/>
      <c r="BD6" s="429"/>
      <c r="BE6" s="339">
        <f ca="1">DAY($B6)</f>
        <v>8</v>
      </c>
      <c r="BF6" s="350" t="s">
        <v>356</v>
      </c>
      <c r="BG6" s="430">
        <f ca="1">_xll.meDateFromTenor($B6,"-"&amp;BF6,$AW6,$AX6)</f>
        <v>43228</v>
      </c>
      <c r="BH6" s="1006" t="str">
        <f>K6</f>
        <v>NATURAL</v>
      </c>
      <c r="BI6" s="1006" t="str">
        <f t="shared" ref="BI6:BI25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43228</v>
      </c>
      <c r="C7" s="1122" t="s">
        <v>361</v>
      </c>
      <c r="D7" s="362">
        <v>1000000</v>
      </c>
      <c r="E7" s="362" t="s">
        <v>2</v>
      </c>
      <c r="F7" s="365" t="s">
        <v>1753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2252</v>
      </c>
      <c r="L7" s="364" t="s">
        <v>2252</v>
      </c>
      <c r="M7" s="363"/>
      <c r="N7" s="420"/>
      <c r="O7" s="420"/>
      <c r="P7" s="378" t="s">
        <v>1043</v>
      </c>
      <c r="Q7" s="360" t="str">
        <f ca="1">IF(OR($D7="",$D7=0),"",_xll.meProductSwapParRate(_xll.meUtilityLVBFromKeysValues($AA$5:$BM$5,$AA7:$BM7),FALSE))</f>
        <v>[2018/05/04 09:52] #Error: Invalid Curve: CurveCollection 'EURYC' does not exist</v>
      </c>
      <c r="R7" s="461" t="str">
        <f ca="1">IF(OR($D7="",$D7=0),"",_xll.meProductSwapPV(_xll.meUtilityLVBFromKeysValues($AA$5:$BM$5,$AA7:$BM7),FALSE))</f>
        <v>[2018/05/04 09:52] #Error: Invalid Curve: CurveCollection 'EURYC' does not exist</v>
      </c>
      <c r="S7" s="461" t="str">
        <f ca="1">IF(OR($D7="",$D7=0),"",_xll.meProductSwapLegPV(_xll.meUtilityLVBFromMultipleKeysValues($AB$5:$AG$5,$AB7:$AG7,,$AH$5:$AS$5,$AH7:$AS7,,"LegType","Leg1:Fixed",,"PayReceive",$F7),FALSE))</f>
        <v>[2018/05/04 09:52] #Error: Invalid Curve: CurveCollection 'EURYC' does not exist</v>
      </c>
      <c r="T7" s="461" t="str">
        <f ca="1">IF(OR($D7="",$D7=0),"",_xll.meProductSwapLegPV(_xll.meUtilityLVBFromMultipleKeysValues($AB$5:$AG$5,$AB7:$AG7,,$AT$5:$BM$5,$AT7:$BM7,,"LegType","Leg2:Float",,"PayReceive",IF($F7="PAYER","RECEIVER","PAYER")),FALSE))</f>
        <v>[2018/05/04 09:52] #Error: Invalid Curve: CurveCollection 'EURYC' does not exist</v>
      </c>
      <c r="U7" s="461" t="str">
        <f ca="1">IF(OR($D7="",$D7=0),"",_xll.meProductSwapPV01(_xll.meUtilityLVBFromKeysValues($AA$5:$BM$5,$AA7:$BM7),FALSE))</f>
        <v>[2018/05/04 09:52] #Error: Invalid Curve: CurveCollection 'EURYC' does not exist</v>
      </c>
      <c r="V7" s="462" t="str">
        <f ca="1">IF(OR($D7="",$D7=0),"",_xll.meProductSwapDV01(_xll.meUtilityLVBFromKeysValues($AA$5:$BM$5,$AA7:$BM7),FALSE))</f>
        <v>[2018/05/04 09:52] #Error: Invalid Curve: CurveCollection 'EURYC' does not exist</v>
      </c>
      <c r="W7" t="s">
        <v>12</v>
      </c>
      <c r="X7" s="476" t="str">
        <f>IF('EUR Curve Config'!BB10,'EUR Curve Config'!AZ10,"")</f>
        <v>3Y</v>
      </c>
      <c r="Y7" s="477">
        <f>IF('EUR Curve Config'!BB10,'EUR Curve Config'!BA10,"")</f>
        <v>3.48E-4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43228</v>
      </c>
      <c r="AD7" s="399">
        <f ca="1">IF(OR(D7="",D7=0),"",IF(ISNUMBER($G7),$G7,IF(ISERROR(VALUE(LEFT(G7,1))),_xll.meDateFuturesContract($G7),_xll.meDateFromTenor($B7,$G7,$AM7,$AN7))))</f>
        <v>44326</v>
      </c>
      <c r="AE7" s="352" t="str">
        <f t="shared" si="3"/>
        <v>EURYC</v>
      </c>
      <c r="AF7" s="352" t="str">
        <f t="shared" si="4"/>
        <v>EUR6ML</v>
      </c>
      <c r="AG7" s="446" t="str">
        <f t="shared" si="5"/>
        <v>EURDF_NOCSA</v>
      </c>
      <c r="AH7" s="450" t="s">
        <v>146</v>
      </c>
      <c r="AI7" s="432">
        <f t="shared" si="6"/>
        <v>0.01</v>
      </c>
      <c r="AJ7" s="351" t="s">
        <v>157</v>
      </c>
      <c r="AK7" s="351" t="s">
        <v>38</v>
      </c>
      <c r="AL7" s="351" t="s">
        <v>0</v>
      </c>
      <c r="AM7" s="351" t="s">
        <v>38</v>
      </c>
      <c r="AN7" s="351" t="s">
        <v>0</v>
      </c>
      <c r="AO7" s="429"/>
      <c r="AP7" s="429"/>
      <c r="AQ7" s="1004">
        <f t="shared" ref="AQ7:AQ25" ca="1" si="9">DAY($B7)</f>
        <v>8</v>
      </c>
      <c r="AR7" s="347" t="s">
        <v>356</v>
      </c>
      <c r="AS7" s="451" t="s">
        <v>358</v>
      </c>
      <c r="AT7" s="352" t="str">
        <f t="shared" ref="AT7:AT25" si="10">IF($I7="1ML","Monthly",IF($I7="3ML","Quarterly",IF($I7="6ML","Semi-Annual","Annual")))</f>
        <v>Semi-Annual</v>
      </c>
      <c r="AU7" s="356">
        <f t="shared" si="7"/>
        <v>0</v>
      </c>
      <c r="AV7" s="347" t="s">
        <v>3</v>
      </c>
      <c r="AW7" s="347" t="s">
        <v>38</v>
      </c>
      <c r="AX7" s="347" t="s">
        <v>0</v>
      </c>
      <c r="AY7" s="347" t="s">
        <v>38</v>
      </c>
      <c r="AZ7" s="347" t="s">
        <v>0</v>
      </c>
      <c r="BA7" s="347" t="s">
        <v>38</v>
      </c>
      <c r="BB7" s="347" t="s">
        <v>0</v>
      </c>
      <c r="BC7" s="429"/>
      <c r="BD7" s="429"/>
      <c r="BE7" s="418">
        <f t="shared" ref="BE7:BE25" ca="1" si="11">DAY($B7)</f>
        <v>8</v>
      </c>
      <c r="BF7" s="347" t="s">
        <v>356</v>
      </c>
      <c r="BG7" s="430">
        <f ca="1">_xll.meDateFromTenor($B7,"-"&amp;BF7,$AW7,$AX7)</f>
        <v>43228</v>
      </c>
      <c r="BH7" s="1006" t="str">
        <f t="shared" ref="BH7:BH25" si="12">K7</f>
        <v>NATURAL</v>
      </c>
      <c r="BI7" s="1006" t="str">
        <f t="shared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43228</v>
      </c>
      <c r="C8" s="1120" t="s">
        <v>361</v>
      </c>
      <c r="D8" s="362">
        <v>1000000</v>
      </c>
      <c r="E8" s="362" t="s">
        <v>2</v>
      </c>
      <c r="F8" s="365" t="s">
        <v>1753</v>
      </c>
      <c r="G8" s="397" t="s">
        <v>33</v>
      </c>
      <c r="H8" s="363">
        <v>0.01</v>
      </c>
      <c r="I8" s="364" t="s">
        <v>355</v>
      </c>
      <c r="J8" s="364">
        <v>0</v>
      </c>
      <c r="K8" s="364" t="s">
        <v>2252</v>
      </c>
      <c r="L8" s="364" t="s">
        <v>2252</v>
      </c>
      <c r="M8" s="363"/>
      <c r="N8" s="420"/>
      <c r="O8" s="420"/>
      <c r="P8" s="378" t="s">
        <v>1043</v>
      </c>
      <c r="Q8" s="360" t="str">
        <f ca="1">IF(OR($D8="",$D8=0),"",_xll.meProductSwapParRate(_xll.meUtilityLVBFromKeysValues($AA$5:$BM$5,$AA8:$BM8),FALSE))</f>
        <v>[2018/05/04 09:52] #Error: Invalid Curve: CurveCollection 'EURYC' does not exist</v>
      </c>
      <c r="R8" s="461" t="str">
        <f ca="1">IF(OR($D8="",$D8=0),"",_xll.meProductSwapPV(_xll.meUtilityLVBFromKeysValues($AA$5:$BM$5,$AA8:$BM8),FALSE))</f>
        <v>[2018/05/04 09:52] #Error: Invalid Curve: CurveCollection 'EURYC' does not exist</v>
      </c>
      <c r="S8" s="461" t="str">
        <f ca="1">IF(OR($D8="",$D8=0),"",_xll.meProductSwapLegPV(_xll.meUtilityLVBFromMultipleKeysValues($AB$5:$AG$5,$AB8:$AG8,,$AH$5:$AS$5,$AH8:$AS8,,"LegType","Leg1:Fixed",,"PayReceive",$F8),FALSE))</f>
        <v>[2018/05/04 09:52] #Error: Invalid Curve: CurveCollection 'EURYC' does not exist</v>
      </c>
      <c r="T8" s="461" t="str">
        <f ca="1">IF(OR($D8="",$D8=0),"",_xll.meProductSwapLegPV(_xll.meUtilityLVBFromMultipleKeysValues($AB$5:$AG$5,$AB8:$AG8,,$AT$5:$BM$5,$AT8:$BM8,,"LegType","Leg2:Float",,"PayReceive",IF($F8="PAYER","RECEIVER","PAYER")),FALSE))</f>
        <v>[2018/05/04 09:52] #Error: Invalid Curve: CurveCollection 'EURYC' does not exist</v>
      </c>
      <c r="U8" s="461" t="str">
        <f ca="1">IF(OR($D8="",$D8=0),"",_xll.meProductSwapPV01(_xll.meUtilityLVBFromKeysValues($AA$5:$BM$5,$AA8:$BM8),FALSE))</f>
        <v>[2018/05/04 09:52] #Error: Invalid Curve: CurveCollection 'EURYC' does not exist</v>
      </c>
      <c r="V8" s="462" t="str">
        <f ca="1">IF(OR($D8="",$D8=0),"",_xll.meProductSwapDV01(_xll.meUtilityLVBFromKeysValues($AA$5:$BM$5,$AA8:$BM8),FALSE))</f>
        <v>[2018/05/04 09:52] #Error: Invalid Curve: CurveCollection 'EURYC' does not exist</v>
      </c>
      <c r="W8" t="s">
        <v>12</v>
      </c>
      <c r="X8" s="476" t="str">
        <f>IF('EUR Curve Config'!BB11,'EUR Curve Config'!AZ11,"")</f>
        <v>4Y</v>
      </c>
      <c r="Y8" s="477">
        <f>IF('EUR Curve Config'!BB11,'EUR Curve Config'!BA11,"")</f>
        <v>2.2100000000000002E-3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43228</v>
      </c>
      <c r="AD8" s="399">
        <f ca="1">IF(OR(D8="",D8=0),"",IF(ISNUMBER($G8),$G8,IF(ISERROR(VALUE(LEFT(G8,1))),_xll.meDateFuturesContract($G8),_xll.meDateFromTenor($B8,$G8,$AM8,$AN8))))</f>
        <v>44690</v>
      </c>
      <c r="AE8" s="352" t="str">
        <f t="shared" si="3"/>
        <v>EURYC</v>
      </c>
      <c r="AF8" s="352" t="str">
        <f t="shared" si="4"/>
        <v>EUR6ML</v>
      </c>
      <c r="AG8" s="446" t="str">
        <f t="shared" si="5"/>
        <v>EURDF_NOCSA</v>
      </c>
      <c r="AH8" s="450" t="s">
        <v>146</v>
      </c>
      <c r="AI8" s="432">
        <f t="shared" si="6"/>
        <v>0.01</v>
      </c>
      <c r="AJ8" s="351" t="s">
        <v>157</v>
      </c>
      <c r="AK8" s="351" t="s">
        <v>38</v>
      </c>
      <c r="AL8" s="351" t="s">
        <v>0</v>
      </c>
      <c r="AM8" s="351" t="s">
        <v>38</v>
      </c>
      <c r="AN8" s="351" t="s">
        <v>0</v>
      </c>
      <c r="AO8" s="429"/>
      <c r="AP8" s="429"/>
      <c r="AQ8" s="1004">
        <f t="shared" ca="1" si="9"/>
        <v>8</v>
      </c>
      <c r="AR8" s="347" t="s">
        <v>356</v>
      </c>
      <c r="AS8" s="451" t="s">
        <v>358</v>
      </c>
      <c r="AT8" s="352" t="str">
        <f t="shared" si="10"/>
        <v>Semi-Annual</v>
      </c>
      <c r="AU8" s="356">
        <f t="shared" si="7"/>
        <v>0</v>
      </c>
      <c r="AV8" s="347" t="s">
        <v>3</v>
      </c>
      <c r="AW8" s="347" t="s">
        <v>38</v>
      </c>
      <c r="AX8" s="347" t="s">
        <v>0</v>
      </c>
      <c r="AY8" s="347" t="s">
        <v>38</v>
      </c>
      <c r="AZ8" s="347" t="s">
        <v>0</v>
      </c>
      <c r="BA8" s="347" t="s">
        <v>38</v>
      </c>
      <c r="BB8" s="347" t="s">
        <v>0</v>
      </c>
      <c r="BC8" s="429"/>
      <c r="BD8" s="429"/>
      <c r="BE8" s="418">
        <f t="shared" ca="1" si="11"/>
        <v>8</v>
      </c>
      <c r="BF8" s="347" t="s">
        <v>356</v>
      </c>
      <c r="BG8" s="430">
        <f ca="1">_xll.meDateFromTenor($B8,"-"&amp;BF8,$AW8,$AX8)</f>
        <v>43228</v>
      </c>
      <c r="BH8" s="1006" t="str">
        <f t="shared" si="12"/>
        <v>NATURAL</v>
      </c>
      <c r="BI8" s="1006" t="str">
        <f t="shared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43228</v>
      </c>
      <c r="C9" s="1120" t="s">
        <v>361</v>
      </c>
      <c r="D9" s="362">
        <v>1000000</v>
      </c>
      <c r="E9" s="362" t="s">
        <v>2</v>
      </c>
      <c r="F9" s="365" t="s">
        <v>1753</v>
      </c>
      <c r="G9" s="397" t="s">
        <v>31</v>
      </c>
      <c r="H9" s="363">
        <v>0.01</v>
      </c>
      <c r="I9" s="364" t="s">
        <v>355</v>
      </c>
      <c r="J9" s="364">
        <v>0</v>
      </c>
      <c r="K9" s="364" t="s">
        <v>2252</v>
      </c>
      <c r="L9" s="364" t="s">
        <v>2252</v>
      </c>
      <c r="M9" s="363"/>
      <c r="N9" s="420"/>
      <c r="O9" s="420"/>
      <c r="P9" s="378" t="s">
        <v>1043</v>
      </c>
      <c r="Q9" s="360" t="str">
        <f ca="1">IF(OR($D9="",$D9=0),"",_xll.meProductSwapParRate(_xll.meUtilityLVBFromKeysValues($AA$5:$BM$5,$AA9:$BM9),FALSE))</f>
        <v>[2018/05/04 09:52] #Error: Invalid Curve: CurveCollection 'EURYC' does not exist</v>
      </c>
      <c r="R9" s="461" t="str">
        <f ca="1">IF(OR($D9="",$D9=0),"",_xll.meProductSwapPV(_xll.meUtilityLVBFromKeysValues($AA$5:$BM$5,$AA9:$BM9),FALSE))</f>
        <v>[2018/05/04 09:52] #Error: Invalid Curve: CurveCollection 'EURYC' does not exist</v>
      </c>
      <c r="S9" s="461" t="str">
        <f ca="1">IF(OR($D9="",$D9=0),"",_xll.meProductSwapLegPV(_xll.meUtilityLVBFromMultipleKeysValues($AB$5:$AG$5,$AB9:$AG9,,$AH$5:$AS$5,$AH9:$AS9,,"LegType","Leg1:Fixed",,"PayReceive",$F9),FALSE))</f>
        <v>[2018/05/04 09:52] #Error: Invalid Curve: CurveCollection 'EURYC' does not exist</v>
      </c>
      <c r="T9" s="461" t="str">
        <f ca="1">IF(OR($D9="",$D9=0),"",_xll.meProductSwapLegPV(_xll.meUtilityLVBFromMultipleKeysValues($AB$5:$AG$5,$AB9:$AG9,,$AT$5:$BM$5,$AT9:$BM9,,"LegType","Leg2:Float",,"PayReceive",IF($F9="PAYER","RECEIVER","PAYER")),FALSE))</f>
        <v>[2018/05/04 09:52] #Error: Invalid Curve: CurveCollection 'EURYC' does not exist</v>
      </c>
      <c r="U9" s="461" t="str">
        <f ca="1">IF(OR($D9="",$D9=0),"",_xll.meProductSwapPV01(_xll.meUtilityLVBFromKeysValues($AA$5:$BM$5,$AA9:$BM9),FALSE))</f>
        <v>[2018/05/04 09:52] #Error: Invalid Curve: CurveCollection 'EURYC' does not exist</v>
      </c>
      <c r="V9" s="462" t="str">
        <f ca="1">IF(OR($D9="",$D9=0),"",_xll.meProductSwapDV01(_xll.meUtilityLVBFromKeysValues($AA$5:$BM$5,$AA9:$BM9),FALSE))</f>
        <v>[2018/05/04 09:52] #Error: Invalid Curve: CurveCollection 'EURYC' does not exist</v>
      </c>
      <c r="W9" t="s">
        <v>12</v>
      </c>
      <c r="X9" s="476" t="str">
        <f>IF('EUR Curve Config'!BB12,'EUR Curve Config'!AZ12,"")</f>
        <v>5Y</v>
      </c>
      <c r="Y9" s="477">
        <f>IF('EUR Curve Config'!BB12,'EUR Curve Config'!BA12,"")</f>
        <v>3.8800000000000002E-3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43228</v>
      </c>
      <c r="AD9" s="399">
        <f ca="1">IF(OR(D9="",D9=0),"",IF(ISNUMBER($G9),$G9,IF(ISERROR(VALUE(LEFT(G9,1))),_xll.meDateFuturesContract($G9),_xll.meDateFromTenor($B9,$G9,$AM9,$AN9))))</f>
        <v>45054</v>
      </c>
      <c r="AE9" s="352" t="str">
        <f t="shared" si="3"/>
        <v>EURYC</v>
      </c>
      <c r="AF9" s="352" t="str">
        <f t="shared" si="4"/>
        <v>EUR6ML</v>
      </c>
      <c r="AG9" s="446" t="str">
        <f t="shared" si="5"/>
        <v>EURDF_NOCSA</v>
      </c>
      <c r="AH9" s="452" t="s">
        <v>146</v>
      </c>
      <c r="AI9" s="434">
        <f t="shared" si="6"/>
        <v>0.01</v>
      </c>
      <c r="AJ9" s="347" t="s">
        <v>157</v>
      </c>
      <c r="AK9" s="347" t="s">
        <v>38</v>
      </c>
      <c r="AL9" s="347" t="s">
        <v>0</v>
      </c>
      <c r="AM9" s="347" t="s">
        <v>38</v>
      </c>
      <c r="AN9" s="347" t="s">
        <v>0</v>
      </c>
      <c r="AO9" s="429"/>
      <c r="AP9" s="429"/>
      <c r="AQ9" s="1004">
        <f t="shared" ca="1" si="9"/>
        <v>8</v>
      </c>
      <c r="AR9" s="347" t="s">
        <v>356</v>
      </c>
      <c r="AS9" s="451" t="s">
        <v>358</v>
      </c>
      <c r="AT9" s="352" t="str">
        <f t="shared" si="10"/>
        <v>Semi-Annual</v>
      </c>
      <c r="AU9" s="356">
        <f t="shared" si="7"/>
        <v>0</v>
      </c>
      <c r="AV9" s="347" t="s">
        <v>3</v>
      </c>
      <c r="AW9" s="347" t="s">
        <v>38</v>
      </c>
      <c r="AX9" s="347" t="s">
        <v>0</v>
      </c>
      <c r="AY9" s="347" t="s">
        <v>38</v>
      </c>
      <c r="AZ9" s="347" t="s">
        <v>0</v>
      </c>
      <c r="BA9" s="347" t="s">
        <v>38</v>
      </c>
      <c r="BB9" s="347" t="s">
        <v>0</v>
      </c>
      <c r="BC9" s="429"/>
      <c r="BD9" s="429"/>
      <c r="BE9" s="418">
        <f t="shared" ca="1" si="11"/>
        <v>8</v>
      </c>
      <c r="BF9" s="347" t="s">
        <v>356</v>
      </c>
      <c r="BG9" s="430">
        <f ca="1">_xll.meDateFromTenor($B9,"-"&amp;BF9,$AW9,$AX9)</f>
        <v>43228</v>
      </c>
      <c r="BH9" s="1006" t="str">
        <f t="shared" si="12"/>
        <v>NATURAL</v>
      </c>
      <c r="BI9" s="1006" t="str">
        <f t="shared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43228</v>
      </c>
      <c r="C10" s="1120" t="s">
        <v>361</v>
      </c>
      <c r="D10" s="362">
        <v>1000000</v>
      </c>
      <c r="E10" s="362" t="s">
        <v>2</v>
      </c>
      <c r="F10" s="365" t="s">
        <v>1753</v>
      </c>
      <c r="G10" s="397" t="s">
        <v>127</v>
      </c>
      <c r="H10" s="363">
        <v>0.01</v>
      </c>
      <c r="I10" s="364" t="s">
        <v>355</v>
      </c>
      <c r="J10" s="364">
        <v>0</v>
      </c>
      <c r="K10" s="364" t="s">
        <v>2252</v>
      </c>
      <c r="L10" s="364" t="s">
        <v>2252</v>
      </c>
      <c r="M10" s="363"/>
      <c r="N10" s="420"/>
      <c r="O10" s="420"/>
      <c r="P10" s="378" t="s">
        <v>1043</v>
      </c>
      <c r="Q10" s="360" t="str">
        <f ca="1">IF(OR($D10="",$D10=0),"",_xll.meProductSwapParRate(_xll.meUtilityLVBFromKeysValues($AA$5:$BM$5,$AA10:$BM10),FALSE))</f>
        <v>[2018/05/04 09:52] #Error: Invalid Curve: CurveCollection 'EURYC' does not exist</v>
      </c>
      <c r="R10" s="461" t="str">
        <f ca="1">IF(OR($D10="",$D10=0),"",_xll.meProductSwapPV(_xll.meUtilityLVBFromKeysValues($AA$5:$BM$5,$AA10:$BM10),FALSE))</f>
        <v>[2018/05/04 09:52] #Error: Invalid Curve: CurveCollection 'EURYC' does not exist</v>
      </c>
      <c r="S10" s="461" t="str">
        <f ca="1">IF(OR($D10="",$D10=0),"",_xll.meProductSwapLegPV(_xll.meUtilityLVBFromMultipleKeysValues($AB$5:$AG$5,$AB10:$AG10,,$AH$5:$AS$5,$AH10:$AS10,,"LegType","Leg1:Fixed",,"PayReceive",$F10),FALSE))</f>
        <v>[2018/05/04 09:52] #Error: Invalid Curve: CurveCollection 'EURYC' does not exist</v>
      </c>
      <c r="T10" s="461" t="str">
        <f ca="1">IF(OR($D10="",$D10=0),"",_xll.meProductSwapLegPV(_xll.meUtilityLVBFromMultipleKeysValues($AB$5:$AG$5,$AB10:$AG10,,$AT$5:$BM$5,$AT10:$BM10,,"LegType","Leg2:Float",,"PayReceive",IF($F10="PAYER","RECEIVER","PAYER")),FALSE))</f>
        <v>[2018/05/04 09:52] #Error: Invalid Curve: CurveCollection 'EURYC' does not exist</v>
      </c>
      <c r="U10" s="461" t="str">
        <f ca="1">IF(OR($D10="",$D10=0),"",_xll.meProductSwapPV01(_xll.meUtilityLVBFromKeysValues($AA$5:$BM$5,$AA10:$BM10),FALSE))</f>
        <v>[2018/05/04 09:52] #Error: Invalid Curve: CurveCollection 'EURYC' does not exist</v>
      </c>
      <c r="V10" s="462" t="str">
        <f ca="1">IF(OR($D10="",$D10=0),"",_xll.meProductSwapDV01(_xll.meUtilityLVBFromKeysValues($AA$5:$BM$5,$AA10:$BM10),FALSE))</f>
        <v>[2018/05/04 09:52] #Error: Invalid Curve: CurveCollection 'EURYC' does not exist</v>
      </c>
      <c r="W10" t="s">
        <v>12</v>
      </c>
      <c r="X10" s="476" t="str">
        <f>IF('EUR Curve Config'!BB13,'EUR Curve Config'!AZ13,"")</f>
        <v>6Y</v>
      </c>
      <c r="Y10" s="477">
        <f>IF('EUR Curve Config'!BB13,'EUR Curve Config'!BA13,"")</f>
        <v>5.3740000000000003E-3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43228</v>
      </c>
      <c r="AD10" s="399">
        <f ca="1">IF(OR(D10="",D10=0),"",IF(ISNUMBER($G10),$G10,IF(ISERROR(VALUE(LEFT(G10,1))),_xll.meDateFuturesContract($G10),_xll.meDateFromTenor($B10,$G10,$AM10,$AN10))))</f>
        <v>45420</v>
      </c>
      <c r="AE10" s="352" t="str">
        <f t="shared" si="3"/>
        <v>EURYC</v>
      </c>
      <c r="AF10" s="352" t="str">
        <f t="shared" si="4"/>
        <v>EUR6ML</v>
      </c>
      <c r="AG10" s="446" t="str">
        <f t="shared" si="5"/>
        <v>EURDF_NOCSA</v>
      </c>
      <c r="AH10" s="452" t="s">
        <v>146</v>
      </c>
      <c r="AI10" s="434">
        <f t="shared" si="6"/>
        <v>0.01</v>
      </c>
      <c r="AJ10" s="347" t="s">
        <v>157</v>
      </c>
      <c r="AK10" s="347" t="s">
        <v>38</v>
      </c>
      <c r="AL10" s="347" t="s">
        <v>0</v>
      </c>
      <c r="AM10" s="347" t="s">
        <v>38</v>
      </c>
      <c r="AN10" s="347" t="s">
        <v>0</v>
      </c>
      <c r="AO10" s="429"/>
      <c r="AP10" s="429"/>
      <c r="AQ10" s="1004">
        <f t="shared" ca="1" si="9"/>
        <v>8</v>
      </c>
      <c r="AR10" s="347" t="s">
        <v>356</v>
      </c>
      <c r="AS10" s="451" t="s">
        <v>358</v>
      </c>
      <c r="AT10" s="352" t="str">
        <f t="shared" si="10"/>
        <v>Semi-Annual</v>
      </c>
      <c r="AU10" s="356">
        <f t="shared" si="7"/>
        <v>0</v>
      </c>
      <c r="AV10" s="347" t="s">
        <v>3</v>
      </c>
      <c r="AW10" s="347" t="s">
        <v>38</v>
      </c>
      <c r="AX10" s="347" t="s">
        <v>0</v>
      </c>
      <c r="AY10" s="347" t="s">
        <v>38</v>
      </c>
      <c r="AZ10" s="347" t="s">
        <v>0</v>
      </c>
      <c r="BA10" s="347" t="s">
        <v>38</v>
      </c>
      <c r="BB10" s="347" t="s">
        <v>0</v>
      </c>
      <c r="BC10" s="429"/>
      <c r="BD10" s="429"/>
      <c r="BE10" s="418">
        <f t="shared" ca="1" si="11"/>
        <v>8</v>
      </c>
      <c r="BF10" s="347" t="s">
        <v>356</v>
      </c>
      <c r="BG10" s="430">
        <f ca="1">_xll.meDateFromTenor($B10,"-"&amp;BF10,$AW10,$AX10)</f>
        <v>43228</v>
      </c>
      <c r="BH10" s="1006" t="str">
        <f t="shared" si="12"/>
        <v>NATURAL</v>
      </c>
      <c r="BI10" s="1006" t="str">
        <f t="shared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43228</v>
      </c>
      <c r="C11" s="1120" t="s">
        <v>361</v>
      </c>
      <c r="D11" s="362">
        <v>1000000</v>
      </c>
      <c r="E11" s="362" t="s">
        <v>2</v>
      </c>
      <c r="F11" s="365" t="s">
        <v>1753</v>
      </c>
      <c r="G11" s="397" t="s">
        <v>29</v>
      </c>
      <c r="H11" s="363">
        <v>0.01</v>
      </c>
      <c r="I11" s="364" t="s">
        <v>355</v>
      </c>
      <c r="J11" s="364">
        <v>0</v>
      </c>
      <c r="K11" s="364" t="s">
        <v>2252</v>
      </c>
      <c r="L11" s="364" t="s">
        <v>2252</v>
      </c>
      <c r="M11" s="363"/>
      <c r="N11" s="420"/>
      <c r="O11" s="420"/>
      <c r="P11" s="378" t="s">
        <v>1043</v>
      </c>
      <c r="Q11" s="360" t="str">
        <f ca="1">IF(OR($D11="",$D11=0),"",_xll.meProductSwapParRate(_xll.meUtilityLVBFromKeysValues($AA$5:$BM$5,$AA11:$BM11),FALSE))</f>
        <v>[2018/05/04 09:52] #Error: Invalid Curve: CurveCollection 'EURYC' does not exist</v>
      </c>
      <c r="R11" s="461" t="str">
        <f ca="1">IF(OR($D11="",$D11=0),"",_xll.meProductSwapPV(_xll.meUtilityLVBFromKeysValues($AA$5:$BM$5,$AA11:$BM11),FALSE))</f>
        <v>[2018/05/04 09:52] #Error: Invalid Curve: CurveCollection 'EURYC' does not exist</v>
      </c>
      <c r="S11" s="461" t="str">
        <f ca="1">IF(OR($D11="",$D11=0),"",_xll.meProductSwapLegPV(_xll.meUtilityLVBFromMultipleKeysValues($AB$5:$AG$5,$AB11:$AG11,,$AH$5:$AS$5,$AH11:$AS11,,"LegType","Leg1:Fixed",,"PayReceive",$F11),FALSE))</f>
        <v>[2018/05/04 09:52] #Error: Invalid Curve: CurveCollection 'EURYC' does not exist</v>
      </c>
      <c r="T11" s="461" t="str">
        <f ca="1">IF(OR($D11="",$D11=0),"",_xll.meProductSwapLegPV(_xll.meUtilityLVBFromMultipleKeysValues($AB$5:$AG$5,$AB11:$AG11,,$AT$5:$BM$5,$AT11:$BM11,,"LegType","Leg2:Float",,"PayReceive",IF($F11="PAYER","RECEIVER","PAYER")),FALSE))</f>
        <v>[2018/05/04 09:52] #Error: Invalid Curve: CurveCollection 'EURYC' does not exist</v>
      </c>
      <c r="U11" s="461" t="str">
        <f ca="1">IF(OR($D11="",$D11=0),"",_xll.meProductSwapPV01(_xll.meUtilityLVBFromKeysValues($AA$5:$BM$5,$AA11:$BM11),FALSE))</f>
        <v>[2018/05/04 09:52] #Error: Invalid Curve: CurveCollection 'EURYC' does not exist</v>
      </c>
      <c r="V11" s="462" t="str">
        <f ca="1">IF(OR($D11="",$D11=0),"",_xll.meProductSwapDV01(_xll.meUtilityLVBFromKeysValues($AA$5:$BM$5,$AA11:$BM11),FALSE))</f>
        <v>[2018/05/04 09:52] #Error: Invalid Curve: CurveCollection 'EURYC' does not exist</v>
      </c>
      <c r="W11" t="s">
        <v>12</v>
      </c>
      <c r="X11" s="476" t="str">
        <f>IF('EUR Curve Config'!BB14,'EUR Curve Config'!AZ14,"")</f>
        <v>7Y</v>
      </c>
      <c r="Y11" s="477">
        <f>IF('EUR Curve Config'!BB14,'EUR Curve Config'!BA14,"")</f>
        <v>6.711E-3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43228</v>
      </c>
      <c r="AD11" s="399">
        <f ca="1">IF(OR(D11="",D11=0),"",IF(ISNUMBER($G11),$G11,IF(ISERROR(VALUE(LEFT(G11,1))),_xll.meDateFuturesContract($G11),_xll.meDateFromTenor($B11,$G11,$AM11,$AN11))))</f>
        <v>45785</v>
      </c>
      <c r="AE11" s="352" t="str">
        <f t="shared" si="3"/>
        <v>EURYC</v>
      </c>
      <c r="AF11" s="352" t="str">
        <f t="shared" si="4"/>
        <v>EUR6ML</v>
      </c>
      <c r="AG11" s="446" t="str">
        <f t="shared" si="5"/>
        <v>EURDF_NOCSA</v>
      </c>
      <c r="AH11" s="452" t="s">
        <v>146</v>
      </c>
      <c r="AI11" s="434">
        <f t="shared" si="6"/>
        <v>0.01</v>
      </c>
      <c r="AJ11" s="347" t="s">
        <v>157</v>
      </c>
      <c r="AK11" s="347" t="s">
        <v>38</v>
      </c>
      <c r="AL11" s="347" t="s">
        <v>0</v>
      </c>
      <c r="AM11" s="347" t="s">
        <v>38</v>
      </c>
      <c r="AN11" s="347" t="s">
        <v>0</v>
      </c>
      <c r="AO11" s="429"/>
      <c r="AP11" s="429"/>
      <c r="AQ11" s="1004">
        <f t="shared" ca="1" si="9"/>
        <v>8</v>
      </c>
      <c r="AR11" s="347" t="s">
        <v>356</v>
      </c>
      <c r="AS11" s="451" t="s">
        <v>358</v>
      </c>
      <c r="AT11" s="352" t="str">
        <f t="shared" si="10"/>
        <v>Semi-Annual</v>
      </c>
      <c r="AU11" s="356">
        <f t="shared" si="7"/>
        <v>0</v>
      </c>
      <c r="AV11" s="347" t="s">
        <v>3</v>
      </c>
      <c r="AW11" s="347" t="s">
        <v>38</v>
      </c>
      <c r="AX11" s="347" t="s">
        <v>0</v>
      </c>
      <c r="AY11" s="347" t="s">
        <v>38</v>
      </c>
      <c r="AZ11" s="347" t="s">
        <v>0</v>
      </c>
      <c r="BA11" s="347" t="s">
        <v>38</v>
      </c>
      <c r="BB11" s="347" t="s">
        <v>0</v>
      </c>
      <c r="BC11" s="429"/>
      <c r="BD11" s="429"/>
      <c r="BE11" s="418">
        <f t="shared" ca="1" si="11"/>
        <v>8</v>
      </c>
      <c r="BF11" s="347" t="s">
        <v>356</v>
      </c>
      <c r="BG11" s="430">
        <f ca="1">_xll.meDateFromTenor($B11,"-"&amp;BF11,$AW11,$AX11)</f>
        <v>43228</v>
      </c>
      <c r="BH11" s="1006" t="str">
        <f t="shared" si="12"/>
        <v>NATURAL</v>
      </c>
      <c r="BI11" s="1006" t="str">
        <f t="shared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43228</v>
      </c>
      <c r="C12" s="1120" t="s">
        <v>361</v>
      </c>
      <c r="D12" s="362">
        <v>1000000</v>
      </c>
      <c r="E12" s="362" t="s">
        <v>2</v>
      </c>
      <c r="F12" s="365" t="s">
        <v>1753</v>
      </c>
      <c r="G12" s="397" t="s">
        <v>115</v>
      </c>
      <c r="H12" s="363">
        <v>0.01</v>
      </c>
      <c r="I12" s="364" t="s">
        <v>355</v>
      </c>
      <c r="J12" s="364">
        <v>0</v>
      </c>
      <c r="K12" s="364" t="s">
        <v>2252</v>
      </c>
      <c r="L12" s="364" t="s">
        <v>2252</v>
      </c>
      <c r="M12" s="363"/>
      <c r="N12" s="420"/>
      <c r="O12" s="420"/>
      <c r="P12" s="378" t="s">
        <v>1043</v>
      </c>
      <c r="Q12" s="360" t="str">
        <f ca="1">IF(OR($D12="",$D12=0),"",_xll.meProductSwapParRate(_xll.meUtilityLVBFromKeysValues($AA$5:$BM$5,$AA12:$BM12),FALSE))</f>
        <v>[2018/05/04 09:52] #Error: Invalid Curve: CurveCollection 'EURYC' does not exist</v>
      </c>
      <c r="R12" s="461" t="str">
        <f ca="1">IF(OR($D12="",$D12=0),"",_xll.meProductSwapPV(_xll.meUtilityLVBFromKeysValues($AA$5:$BM$5,$AA12:$BM12),FALSE))</f>
        <v>[2018/05/04 09:52] #Error: Invalid Curve: CurveCollection 'EURYC' does not exist</v>
      </c>
      <c r="S12" s="461" t="str">
        <f ca="1">IF(OR($D12="",$D12=0),"",_xll.meProductSwapLegPV(_xll.meUtilityLVBFromMultipleKeysValues($AB$5:$AG$5,$AB12:$AG12,,$AH$5:$AS$5,$AH12:$AS12,,"LegType","Leg1:Fixed",,"PayReceive",$F12),FALSE))</f>
        <v>[2018/05/04 09:52] #Error: Invalid Curve: CurveCollection 'EURYC' does not exist</v>
      </c>
      <c r="T12" s="461" t="str">
        <f ca="1">IF(OR($D12="",$D12=0),"",_xll.meProductSwapLegPV(_xll.meUtilityLVBFromMultipleKeysValues($AB$5:$AG$5,$AB12:$AG12,,$AT$5:$BM$5,$AT12:$BM12,,"LegType","Leg2:Float",,"PayReceive",IF($F12="PAYER","RECEIVER","PAYER")),FALSE))</f>
        <v>[2018/05/04 09:52] #Error: Invalid Curve: CurveCollection 'EURYC' does not exist</v>
      </c>
      <c r="U12" s="461" t="str">
        <f ca="1">IF(OR($D12="",$D12=0),"",_xll.meProductSwapPV01(_xll.meUtilityLVBFromKeysValues($AA$5:$BM$5,$AA12:$BM12),FALSE))</f>
        <v>[2018/05/04 09:52] #Error: Invalid Curve: CurveCollection 'EURYC' does not exist</v>
      </c>
      <c r="V12" s="462" t="str">
        <f ca="1">IF(OR($D12="",$D12=0),"",_xll.meProductSwapDV01(_xll.meUtilityLVBFromKeysValues($AA$5:$BM$5,$AA12:$BM12),FALSE))</f>
        <v>[2018/05/04 09:52] #Error: Invalid Curve: CurveCollection 'EURYC' does not exist</v>
      </c>
      <c r="W12" t="s">
        <v>12</v>
      </c>
      <c r="X12" s="476" t="str">
        <f>IF('EUR Curve Config'!BB15,'EUR Curve Config'!AZ15,"")</f>
        <v>8Y</v>
      </c>
      <c r="Y12" s="477">
        <f>IF('EUR Curve Config'!BB15,'EUR Curve Config'!BA15,"")</f>
        <v>7.9069999999999991E-3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43228</v>
      </c>
      <c r="AD12" s="399">
        <f ca="1">IF(OR(D12="",D12=0),"",IF(ISNUMBER($G12),$G12,IF(ISERROR(VALUE(LEFT(G12,1))),_xll.meDateFuturesContract($G12),_xll.meDateFromTenor($B12,$G12,$AM12,$AN12))))</f>
        <v>46150</v>
      </c>
      <c r="AE12" s="352" t="str">
        <f t="shared" si="3"/>
        <v>EURYC</v>
      </c>
      <c r="AF12" s="352" t="str">
        <f t="shared" si="4"/>
        <v>EUR6ML</v>
      </c>
      <c r="AG12" s="446" t="str">
        <f t="shared" si="5"/>
        <v>EURDF_NOCSA</v>
      </c>
      <c r="AH12" s="452" t="s">
        <v>146</v>
      </c>
      <c r="AI12" s="434">
        <f t="shared" si="6"/>
        <v>0.01</v>
      </c>
      <c r="AJ12" s="347" t="s">
        <v>157</v>
      </c>
      <c r="AK12" s="347" t="s">
        <v>38</v>
      </c>
      <c r="AL12" s="347" t="s">
        <v>0</v>
      </c>
      <c r="AM12" s="347" t="s">
        <v>38</v>
      </c>
      <c r="AN12" s="347" t="s">
        <v>0</v>
      </c>
      <c r="AO12" s="429"/>
      <c r="AP12" s="429"/>
      <c r="AQ12" s="1004">
        <f t="shared" ca="1" si="9"/>
        <v>8</v>
      </c>
      <c r="AR12" s="347" t="s">
        <v>356</v>
      </c>
      <c r="AS12" s="451" t="s">
        <v>358</v>
      </c>
      <c r="AT12" s="352" t="str">
        <f t="shared" si="10"/>
        <v>Semi-Annual</v>
      </c>
      <c r="AU12" s="356">
        <f t="shared" si="7"/>
        <v>0</v>
      </c>
      <c r="AV12" s="347" t="s">
        <v>3</v>
      </c>
      <c r="AW12" s="347" t="s">
        <v>38</v>
      </c>
      <c r="AX12" s="347" t="s">
        <v>0</v>
      </c>
      <c r="AY12" s="347" t="s">
        <v>38</v>
      </c>
      <c r="AZ12" s="347" t="s">
        <v>0</v>
      </c>
      <c r="BA12" s="347" t="s">
        <v>38</v>
      </c>
      <c r="BB12" s="347" t="s">
        <v>0</v>
      </c>
      <c r="BC12" s="429"/>
      <c r="BD12" s="429"/>
      <c r="BE12" s="418">
        <f t="shared" ca="1" si="11"/>
        <v>8</v>
      </c>
      <c r="BF12" s="347" t="s">
        <v>356</v>
      </c>
      <c r="BG12" s="430">
        <f ca="1">_xll.meDateFromTenor($B12,"-"&amp;BF12,$AW12,$AX12)</f>
        <v>43228</v>
      </c>
      <c r="BH12" s="1006" t="str">
        <f t="shared" si="12"/>
        <v>NATURAL</v>
      </c>
      <c r="BI12" s="1006" t="str">
        <f t="shared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43228</v>
      </c>
      <c r="C13" s="1120" t="s">
        <v>361</v>
      </c>
      <c r="D13" s="362">
        <v>1000000</v>
      </c>
      <c r="E13" s="362" t="s">
        <v>2</v>
      </c>
      <c r="F13" s="365" t="s">
        <v>1753</v>
      </c>
      <c r="G13" s="397" t="s">
        <v>109</v>
      </c>
      <c r="H13" s="363">
        <v>0.01</v>
      </c>
      <c r="I13" s="364" t="s">
        <v>355</v>
      </c>
      <c r="J13" s="364">
        <v>0</v>
      </c>
      <c r="K13" s="364" t="s">
        <v>2252</v>
      </c>
      <c r="L13" s="364" t="s">
        <v>2252</v>
      </c>
      <c r="M13" s="363"/>
      <c r="N13" s="420"/>
      <c r="O13" s="420"/>
      <c r="P13" s="378" t="s">
        <v>1043</v>
      </c>
      <c r="Q13" s="360" t="str">
        <f ca="1">IF(OR($D13="",$D13=0),"",_xll.meProductSwapParRate(_xll.meUtilityLVBFromKeysValues($AA$5:$BM$5,$AA13:$BM13),FALSE))</f>
        <v>[2018/05/04 09:52] #Error: Invalid Curve: CurveCollection 'EURYC' does not exist</v>
      </c>
      <c r="R13" s="461" t="str">
        <f ca="1">IF(OR($D13="",$D13=0),"",_xll.meProductSwapPV(_xll.meUtilityLVBFromKeysValues($AA$5:$BM$5,$AA13:$BM13),FALSE))</f>
        <v>[2018/05/04 09:52] #Error: Invalid Curve: CurveCollection 'EURYC' does not exist</v>
      </c>
      <c r="S13" s="461" t="str">
        <f ca="1">IF(OR($D13="",$D13=0),"",_xll.meProductSwapLegPV(_xll.meUtilityLVBFromMultipleKeysValues($AB$5:$AG$5,$AB13:$AG13,,$AH$5:$AS$5,$AH13:$AS13,,"LegType","Leg1:Fixed",,"PayReceive",$F13),FALSE))</f>
        <v>[2018/05/04 09:52] #Error: Invalid Curve: CurveCollection 'EURYC' does not exist</v>
      </c>
      <c r="T13" s="461" t="str">
        <f ca="1">IF(OR($D13="",$D13=0),"",_xll.meProductSwapLegPV(_xll.meUtilityLVBFromMultipleKeysValues($AB$5:$AG$5,$AB13:$AG13,,$AT$5:$BM$5,$AT13:$BM13,,"LegType","Leg2:Float",,"PayReceive",IF($F13="PAYER","RECEIVER","PAYER")),FALSE))</f>
        <v>[2018/05/04 09:52] #Error: Invalid Curve: CurveCollection 'EURYC' does not exist</v>
      </c>
      <c r="U13" s="461" t="str">
        <f ca="1">IF(OR($D13="",$D13=0),"",_xll.meProductSwapPV01(_xll.meUtilityLVBFromKeysValues($AA$5:$BM$5,$AA13:$BM13),FALSE))</f>
        <v>[2018/05/04 09:52] #Error: Invalid Curve: CurveCollection 'EURYC' does not exist</v>
      </c>
      <c r="V13" s="462" t="str">
        <f ca="1">IF(OR($D13="",$D13=0),"",_xll.meProductSwapDV01(_xll.meUtilityLVBFromKeysValues($AA$5:$BM$5,$AA13:$BM13),FALSE))</f>
        <v>[2018/05/04 09:52] #Error: Invalid Curve: CurveCollection 'EURYC' does not exist</v>
      </c>
      <c r="W13" t="s">
        <v>12</v>
      </c>
      <c r="X13" s="476" t="str">
        <f>IF('EUR Curve Config'!BB16,'EUR Curve Config'!AZ16,"")</f>
        <v>9Y</v>
      </c>
      <c r="Y13" s="477">
        <f>IF('EUR Curve Config'!BB16,'EUR Curve Config'!BA16,"")</f>
        <v>8.9779999999999999E-3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43228</v>
      </c>
      <c r="AD13" s="399">
        <f ca="1">IF(OR(D13="",D13=0),"",IF(ISNUMBER($G13),$G13,IF(ISERROR(VALUE(LEFT(G13,1))),_xll.meDateFuturesContract($G13),_xll.meDateFromTenor($B13,$G13,$AM13,$AN13))))</f>
        <v>46517</v>
      </c>
      <c r="AE13" s="352" t="str">
        <f t="shared" si="3"/>
        <v>EURYC</v>
      </c>
      <c r="AF13" s="352" t="str">
        <f t="shared" si="4"/>
        <v>EUR6ML</v>
      </c>
      <c r="AG13" s="446" t="str">
        <f t="shared" si="5"/>
        <v>EURDF_NOCSA</v>
      </c>
      <c r="AH13" s="452" t="s">
        <v>146</v>
      </c>
      <c r="AI13" s="434">
        <f t="shared" si="6"/>
        <v>0.01</v>
      </c>
      <c r="AJ13" s="347" t="s">
        <v>157</v>
      </c>
      <c r="AK13" s="347" t="s">
        <v>38</v>
      </c>
      <c r="AL13" s="347" t="s">
        <v>0</v>
      </c>
      <c r="AM13" s="347" t="s">
        <v>38</v>
      </c>
      <c r="AN13" s="347" t="s">
        <v>0</v>
      </c>
      <c r="AO13" s="429"/>
      <c r="AP13" s="429"/>
      <c r="AQ13" s="1004">
        <f t="shared" ca="1" si="9"/>
        <v>8</v>
      </c>
      <c r="AR13" s="347" t="s">
        <v>356</v>
      </c>
      <c r="AS13" s="451" t="s">
        <v>358</v>
      </c>
      <c r="AT13" s="352" t="str">
        <f t="shared" si="10"/>
        <v>Semi-Annual</v>
      </c>
      <c r="AU13" s="356">
        <f t="shared" si="7"/>
        <v>0</v>
      </c>
      <c r="AV13" s="347" t="s">
        <v>3</v>
      </c>
      <c r="AW13" s="347" t="s">
        <v>38</v>
      </c>
      <c r="AX13" s="347" t="s">
        <v>0</v>
      </c>
      <c r="AY13" s="347" t="s">
        <v>38</v>
      </c>
      <c r="AZ13" s="347" t="s">
        <v>0</v>
      </c>
      <c r="BA13" s="347" t="s">
        <v>38</v>
      </c>
      <c r="BB13" s="347" t="s">
        <v>0</v>
      </c>
      <c r="BC13" s="429"/>
      <c r="BD13" s="429"/>
      <c r="BE13" s="418">
        <f t="shared" ca="1" si="11"/>
        <v>8</v>
      </c>
      <c r="BF13" s="347" t="s">
        <v>356</v>
      </c>
      <c r="BG13" s="430">
        <f ca="1">_xll.meDateFromTenor($B13,"-"&amp;BF13,$AW13,$AX13)</f>
        <v>43228</v>
      </c>
      <c r="BH13" s="1006" t="str">
        <f t="shared" si="12"/>
        <v>NATURAL</v>
      </c>
      <c r="BI13" s="1006" t="str">
        <f t="shared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43228</v>
      </c>
      <c r="C14" s="1120" t="s">
        <v>361</v>
      </c>
      <c r="D14" s="362">
        <v>1000000</v>
      </c>
      <c r="E14" s="362" t="s">
        <v>2</v>
      </c>
      <c r="F14" s="365" t="s">
        <v>1753</v>
      </c>
      <c r="G14" s="397" t="s">
        <v>27</v>
      </c>
      <c r="H14" s="363">
        <v>0.01</v>
      </c>
      <c r="I14" s="364" t="s">
        <v>355</v>
      </c>
      <c r="J14" s="364">
        <v>0</v>
      </c>
      <c r="K14" s="364" t="s">
        <v>2252</v>
      </c>
      <c r="L14" s="364" t="s">
        <v>2252</v>
      </c>
      <c r="M14" s="363"/>
      <c r="N14" s="420"/>
      <c r="O14" s="420"/>
      <c r="P14" s="378" t="s">
        <v>1043</v>
      </c>
      <c r="Q14" s="360" t="str">
        <f ca="1">IF(OR($D14="",$D14=0),"",_xll.meProductSwapParRate(_xll.meUtilityLVBFromKeysValues($AA$5:$BM$5,$AA14:$BM14),FALSE))</f>
        <v>[2018/05/04 09:52] #Error: Invalid Curve: CurveCollection 'EURYC' does not exist</v>
      </c>
      <c r="R14" s="461" t="str">
        <f ca="1">IF(OR($D14="",$D14=0),"",_xll.meProductSwapPV(_xll.meUtilityLVBFromKeysValues($AA$5:$BM$5,$AA14:$BM14),FALSE))</f>
        <v>[2018/05/04 09:52] #Error: Invalid Curve: CurveCollection 'EURYC' does not exist</v>
      </c>
      <c r="S14" s="461" t="str">
        <f ca="1">IF(OR($D14="",$D14=0),"",_xll.meProductSwapLegPV(_xll.meUtilityLVBFromMultipleKeysValues($AB$5:$AG$5,$AB14:$AG14,,$AH$5:$AS$5,$AH14:$AS14,,"LegType","Leg1:Fixed",,"PayReceive",$F14),FALSE))</f>
        <v>[2018/05/04 09:52] #Error: Invalid Curve: CurveCollection 'EURYC' does not exist</v>
      </c>
      <c r="T14" s="461" t="str">
        <f ca="1">IF(OR($D14="",$D14=0),"",_xll.meProductSwapLegPV(_xll.meUtilityLVBFromMultipleKeysValues($AB$5:$AG$5,$AB14:$AG14,,$AT$5:$BM$5,$AT14:$BM14,,"LegType","Leg2:Float",,"PayReceive",IF($F14="PAYER","RECEIVER","PAYER")),FALSE))</f>
        <v>[2018/05/04 09:52] #Error: Invalid Curve: CurveCollection 'EURYC' does not exist</v>
      </c>
      <c r="U14" s="461" t="str">
        <f ca="1">IF(OR($D14="",$D14=0),"",_xll.meProductSwapPV01(_xll.meUtilityLVBFromKeysValues($AA$5:$BM$5,$AA14:$BM14),FALSE))</f>
        <v>[2018/05/04 09:52] #Error: Invalid Curve: CurveCollection 'EURYC' does not exist</v>
      </c>
      <c r="V14" s="462" t="str">
        <f ca="1">IF(OR($D14="",$D14=0),"",_xll.meProductSwapDV01(_xll.meUtilityLVBFromKeysValues($AA$5:$BM$5,$AA14:$BM14),FALSE))</f>
        <v>[2018/05/04 09:52] #Error: Invalid Curve: CurveCollection 'EURYC' does not exist</v>
      </c>
      <c r="W14" t="s">
        <v>12</v>
      </c>
      <c r="X14" s="476" t="str">
        <f>IF('EUR Curve Config'!BB17,'EUR Curve Config'!AZ17,"")</f>
        <v>10Y</v>
      </c>
      <c r="Y14" s="477">
        <f>IF('EUR Curve Config'!BB17,'EUR Curve Config'!BA17,"")</f>
        <v>9.9389999999999999E-3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43228</v>
      </c>
      <c r="AD14" s="399">
        <f ca="1">IF(OR(D14="",D14=0),"",IF(ISNUMBER($G14),$G14,IF(ISERROR(VALUE(LEFT(G14,1))),_xll.meDateFuturesContract($G14),_xll.meDateFromTenor($B14,$G14,$AM14,$AN14))))</f>
        <v>46881</v>
      </c>
      <c r="AE14" s="352" t="str">
        <f t="shared" si="3"/>
        <v>EURYC</v>
      </c>
      <c r="AF14" s="352" t="str">
        <f t="shared" si="4"/>
        <v>EUR6ML</v>
      </c>
      <c r="AG14" s="446" t="str">
        <f t="shared" si="5"/>
        <v>EURDF_NOCSA</v>
      </c>
      <c r="AH14" s="452" t="s">
        <v>146</v>
      </c>
      <c r="AI14" s="434">
        <f t="shared" si="6"/>
        <v>0.01</v>
      </c>
      <c r="AJ14" s="347" t="s">
        <v>157</v>
      </c>
      <c r="AK14" s="347" t="s">
        <v>38</v>
      </c>
      <c r="AL14" s="347" t="s">
        <v>0</v>
      </c>
      <c r="AM14" s="347" t="s">
        <v>38</v>
      </c>
      <c r="AN14" s="347" t="s">
        <v>0</v>
      </c>
      <c r="AO14" s="429"/>
      <c r="AP14" s="429"/>
      <c r="AQ14" s="1004">
        <f t="shared" ca="1" si="9"/>
        <v>8</v>
      </c>
      <c r="AR14" s="347" t="s">
        <v>356</v>
      </c>
      <c r="AS14" s="451" t="s">
        <v>358</v>
      </c>
      <c r="AT14" s="352" t="str">
        <f t="shared" si="10"/>
        <v>Semi-Annual</v>
      </c>
      <c r="AU14" s="356">
        <f t="shared" si="7"/>
        <v>0</v>
      </c>
      <c r="AV14" s="347" t="s">
        <v>3</v>
      </c>
      <c r="AW14" s="347" t="s">
        <v>38</v>
      </c>
      <c r="AX14" s="347" t="s">
        <v>0</v>
      </c>
      <c r="AY14" s="347" t="s">
        <v>38</v>
      </c>
      <c r="AZ14" s="347" t="s">
        <v>0</v>
      </c>
      <c r="BA14" s="347" t="s">
        <v>38</v>
      </c>
      <c r="BB14" s="347" t="s">
        <v>0</v>
      </c>
      <c r="BC14" s="429"/>
      <c r="BD14" s="429"/>
      <c r="BE14" s="418">
        <f t="shared" ca="1" si="11"/>
        <v>8</v>
      </c>
      <c r="BF14" s="347" t="s">
        <v>356</v>
      </c>
      <c r="BG14" s="430">
        <f ca="1">_xll.meDateFromTenor($B14,"-"&amp;BF14,$AW14,$AX14)</f>
        <v>43228</v>
      </c>
      <c r="BH14" s="1006" t="str">
        <f t="shared" si="12"/>
        <v>NATURAL</v>
      </c>
      <c r="BI14" s="1006" t="str">
        <f t="shared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43228</v>
      </c>
      <c r="C15" s="1120" t="s">
        <v>361</v>
      </c>
      <c r="D15" s="362">
        <v>1000000</v>
      </c>
      <c r="E15" s="362" t="s">
        <v>2</v>
      </c>
      <c r="F15" s="365" t="s">
        <v>1753</v>
      </c>
      <c r="G15" s="397" t="s">
        <v>318</v>
      </c>
      <c r="H15" s="363">
        <v>0.01</v>
      </c>
      <c r="I15" s="364" t="s">
        <v>355</v>
      </c>
      <c r="J15" s="364">
        <v>0</v>
      </c>
      <c r="K15" s="364" t="s">
        <v>2252</v>
      </c>
      <c r="L15" s="364" t="s">
        <v>2252</v>
      </c>
      <c r="M15" s="363"/>
      <c r="N15" s="420"/>
      <c r="O15" s="420"/>
      <c r="P15" s="378" t="s">
        <v>1043</v>
      </c>
      <c r="Q15" s="360" t="str">
        <f ca="1">IF(OR($D15="",$D15=0),"",_xll.meProductSwapParRate(_xll.meUtilityLVBFromKeysValues($AA$5:$BM$5,$AA15:$BM15),FALSE))</f>
        <v>[2018/05/04 09:52] #Error: Invalid Curve: CurveCollection 'EURYC' does not exist</v>
      </c>
      <c r="R15" s="461" t="str">
        <f ca="1">IF(OR($D15="",$D15=0),"",_xll.meProductSwapPV(_xll.meUtilityLVBFromKeysValues($AA$5:$BM$5,$AA15:$BM15),FALSE))</f>
        <v>[2018/05/04 09:52] #Error: Invalid Curve: CurveCollection 'EURYC' does not exist</v>
      </c>
      <c r="S15" s="461" t="str">
        <f ca="1">IF(OR($D15="",$D15=0),"",_xll.meProductSwapLegPV(_xll.meUtilityLVBFromMultipleKeysValues($AB$5:$AG$5,$AB15:$AG15,,$AH$5:$AS$5,$AH15:$AS15,,"LegType","Leg1:Fixed",,"PayReceive",$F15),FALSE))</f>
        <v>[2018/05/04 09:52] #Error: Invalid Curve: CurveCollection 'EURYC' does not exist</v>
      </c>
      <c r="T15" s="461" t="str">
        <f ca="1">IF(OR($D15="",$D15=0),"",_xll.meProductSwapLegPV(_xll.meUtilityLVBFromMultipleKeysValues($AB$5:$AG$5,$AB15:$AG15,,$AT$5:$BM$5,$AT15:$BM15,,"LegType","Leg2:Float",,"PayReceive",IF($F15="PAYER","RECEIVER","PAYER")),FALSE))</f>
        <v>[2018/05/04 09:52] #Error: Invalid Curve: CurveCollection 'EURYC' does not exist</v>
      </c>
      <c r="U15" s="461" t="str">
        <f ca="1">IF(OR($D15="",$D15=0),"",_xll.meProductSwapPV01(_xll.meUtilityLVBFromKeysValues($AA$5:$BM$5,$AA15:$BM15),FALSE))</f>
        <v>[2018/05/04 09:52] #Error: Invalid Curve: CurveCollection 'EURYC' does not exist</v>
      </c>
      <c r="V15" s="462" t="str">
        <f ca="1">IF(OR($D15="",$D15=0),"",_xll.meProductSwapDV01(_xll.meUtilityLVBFromKeysValues($AA$5:$BM$5,$AA15:$BM15),FALSE))</f>
        <v>[2018/05/04 09:52] #Error: Invalid Curve: CurveCollection 'EURYC' does not exist</v>
      </c>
      <c r="W15" t="s">
        <v>12</v>
      </c>
      <c r="X15" s="476" t="str">
        <f>IF('EUR Curve Config'!BB18,'EUR Curve Config'!AZ18,"")</f>
        <v>11Y</v>
      </c>
      <c r="Y15" s="477">
        <f>IF('EUR Curve Config'!BB18,'EUR Curve Config'!BA18,"")</f>
        <v>1.0794999999999999E-2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43228</v>
      </c>
      <c r="AD15" s="399">
        <f ca="1">IF(OR(D15="",D15=0),"",IF(ISNUMBER($G15),$G15,IF(ISERROR(VALUE(LEFT(G15,1))),_xll.meDateFuturesContract($G15),_xll.meDateFromTenor($B15,$G15,$AM15,$AN15))))</f>
        <v>47246</v>
      </c>
      <c r="AE15" s="352" t="str">
        <f t="shared" si="3"/>
        <v>EURYC</v>
      </c>
      <c r="AF15" s="352" t="str">
        <f t="shared" si="4"/>
        <v>EUR6ML</v>
      </c>
      <c r="AG15" s="446" t="str">
        <f t="shared" si="5"/>
        <v>EURDF_NOCSA</v>
      </c>
      <c r="AH15" s="452" t="s">
        <v>146</v>
      </c>
      <c r="AI15" s="434">
        <f t="shared" si="6"/>
        <v>0.01</v>
      </c>
      <c r="AJ15" s="347" t="s">
        <v>157</v>
      </c>
      <c r="AK15" s="347" t="s">
        <v>38</v>
      </c>
      <c r="AL15" s="347" t="s">
        <v>0</v>
      </c>
      <c r="AM15" s="347" t="s">
        <v>38</v>
      </c>
      <c r="AN15" s="347" t="s">
        <v>0</v>
      </c>
      <c r="AO15" s="429"/>
      <c r="AP15" s="429"/>
      <c r="AQ15" s="1004">
        <f t="shared" ca="1" si="9"/>
        <v>8</v>
      </c>
      <c r="AR15" s="347" t="s">
        <v>356</v>
      </c>
      <c r="AS15" s="451" t="s">
        <v>358</v>
      </c>
      <c r="AT15" s="352" t="str">
        <f t="shared" si="10"/>
        <v>Semi-Annual</v>
      </c>
      <c r="AU15" s="356">
        <f t="shared" si="7"/>
        <v>0</v>
      </c>
      <c r="AV15" s="347" t="s">
        <v>3</v>
      </c>
      <c r="AW15" s="347" t="s">
        <v>38</v>
      </c>
      <c r="AX15" s="347" t="s">
        <v>0</v>
      </c>
      <c r="AY15" s="347" t="s">
        <v>38</v>
      </c>
      <c r="AZ15" s="347" t="s">
        <v>0</v>
      </c>
      <c r="BA15" s="347" t="s">
        <v>38</v>
      </c>
      <c r="BB15" s="347" t="s">
        <v>0</v>
      </c>
      <c r="BC15" s="429"/>
      <c r="BD15" s="429"/>
      <c r="BE15" s="418">
        <f t="shared" ca="1" si="11"/>
        <v>8</v>
      </c>
      <c r="BF15" s="347" t="s">
        <v>356</v>
      </c>
      <c r="BG15" s="430">
        <f ca="1">_xll.meDateFromTenor($B15,"-"&amp;BF15,$AW15,$AX15)</f>
        <v>43228</v>
      </c>
      <c r="BH15" s="1006" t="str">
        <f t="shared" si="12"/>
        <v>NATURAL</v>
      </c>
      <c r="BI15" s="1006" t="str">
        <f t="shared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43228</v>
      </c>
      <c r="C16" s="1120" t="s">
        <v>361</v>
      </c>
      <c r="D16" s="362">
        <v>1000000</v>
      </c>
      <c r="E16" s="362" t="s">
        <v>2</v>
      </c>
      <c r="F16" s="365" t="s">
        <v>1753</v>
      </c>
      <c r="G16" s="397" t="s">
        <v>25</v>
      </c>
      <c r="H16" s="363">
        <v>0.01</v>
      </c>
      <c r="I16" s="364" t="s">
        <v>355</v>
      </c>
      <c r="J16" s="364">
        <v>0</v>
      </c>
      <c r="K16" s="364" t="s">
        <v>2252</v>
      </c>
      <c r="L16" s="364" t="s">
        <v>2252</v>
      </c>
      <c r="M16" s="363"/>
      <c r="N16" s="420"/>
      <c r="O16" s="420"/>
      <c r="P16" s="378" t="s">
        <v>1043</v>
      </c>
      <c r="Q16" s="360" t="str">
        <f ca="1">IF(OR($D16="",$D16=0),"",_xll.meProductSwapParRate(_xll.meUtilityLVBFromKeysValues($AA$5:$BM$5,$AA16:$BM16),FALSE))</f>
        <v>[2018/05/04 09:52] #Error: Invalid Curve: CurveCollection 'EURYC' does not exist</v>
      </c>
      <c r="R16" s="461" t="str">
        <f ca="1">IF(OR($D16="",$D16=0),"",_xll.meProductSwapPV(_xll.meUtilityLVBFromKeysValues($AA$5:$BM$5,$AA16:$BM16),FALSE))</f>
        <v>[2018/05/04 09:52] #Error: Invalid Curve: CurveCollection 'EURYC' does not exist</v>
      </c>
      <c r="S16" s="461" t="str">
        <f ca="1">IF(OR($D16="",$D16=0),"",_xll.meProductSwapLegPV(_xll.meUtilityLVBFromMultipleKeysValues($AB$5:$AG$5,$AB16:$AG16,,$AH$5:$AS$5,$AH16:$AS16,,"LegType","Leg1:Fixed",,"PayReceive",$F16),FALSE))</f>
        <v>[2018/05/04 09:52] #Error: Invalid Curve: CurveCollection 'EURYC' does not exist</v>
      </c>
      <c r="T16" s="461" t="str">
        <f ca="1">IF(OR($D16="",$D16=0),"",_xll.meProductSwapLegPV(_xll.meUtilityLVBFromMultipleKeysValues($AB$5:$AG$5,$AB16:$AG16,,$AT$5:$BM$5,$AT16:$BM16,,"LegType","Leg2:Float",,"PayReceive",IF($F16="PAYER","RECEIVER","PAYER")),FALSE))</f>
        <v>[2018/05/04 09:52] #Error: Invalid Curve: CurveCollection 'EURYC' does not exist</v>
      </c>
      <c r="U16" s="461" t="str">
        <f ca="1">IF(OR($D16="",$D16=0),"",_xll.meProductSwapPV01(_xll.meUtilityLVBFromKeysValues($AA$5:$BM$5,$AA16:$BM16),FALSE))</f>
        <v>[2018/05/04 09:52] #Error: Invalid Curve: CurveCollection 'EURYC' does not exist</v>
      </c>
      <c r="V16" s="462" t="str">
        <f ca="1">IF(OR($D16="",$D16=0),"",_xll.meProductSwapDV01(_xll.meUtilityLVBFromKeysValues($AA$5:$BM$5,$AA16:$BM16),FALSE))</f>
        <v>[2018/05/04 09:52] #Error: Invalid Curve: CurveCollection 'EURYC' does not exist</v>
      </c>
      <c r="W16" t="s">
        <v>12</v>
      </c>
      <c r="X16" s="476" t="str">
        <f>IF('EUR Curve Config'!BB19,'EUR Curve Config'!AZ19,"")</f>
        <v>12Y</v>
      </c>
      <c r="Y16" s="477">
        <f>IF('EUR Curve Config'!BB19,'EUR Curve Config'!BA19,"")</f>
        <v>1.1548000000000001E-2</v>
      </c>
      <c r="AA16" s="684" t="str">
        <f t="shared" si="0"/>
        <v>RECEIVER</v>
      </c>
      <c r="AB16" s="1016">
        <f t="shared" si="1"/>
        <v>1000000</v>
      </c>
      <c r="AC16" s="399">
        <f t="shared" ca="1" si="2"/>
        <v>43228</v>
      </c>
      <c r="AD16" s="399">
        <f ca="1">IF(OR(D16="",D16=0),"",IF(ISNUMBER($G16),$G16,IF(ISERROR(VALUE(LEFT(G16,1))),_xll.meDateFuturesContract($G16),_xll.meDateFromTenor($B16,$G16,$AM16,$AN16))))</f>
        <v>47611</v>
      </c>
      <c r="AE16" s="352" t="str">
        <f t="shared" si="3"/>
        <v>EURYC</v>
      </c>
      <c r="AF16" s="352" t="str">
        <f t="shared" si="4"/>
        <v>EUR6ML</v>
      </c>
      <c r="AG16" s="446" t="str">
        <f t="shared" si="5"/>
        <v>EURDF_NOCSA</v>
      </c>
      <c r="AH16" s="452" t="s">
        <v>146</v>
      </c>
      <c r="AI16" s="434">
        <f t="shared" si="6"/>
        <v>0.01</v>
      </c>
      <c r="AJ16" s="347" t="s">
        <v>157</v>
      </c>
      <c r="AK16" s="347" t="s">
        <v>38</v>
      </c>
      <c r="AL16" s="347" t="s">
        <v>0</v>
      </c>
      <c r="AM16" s="347" t="s">
        <v>38</v>
      </c>
      <c r="AN16" s="347" t="s">
        <v>0</v>
      </c>
      <c r="AO16" s="429"/>
      <c r="AP16" s="429"/>
      <c r="AQ16" s="1004">
        <f t="shared" ca="1" si="9"/>
        <v>8</v>
      </c>
      <c r="AR16" s="347" t="s">
        <v>356</v>
      </c>
      <c r="AS16" s="451" t="s">
        <v>358</v>
      </c>
      <c r="AT16" s="352" t="str">
        <f t="shared" si="10"/>
        <v>Semi-Annual</v>
      </c>
      <c r="AU16" s="356">
        <f t="shared" si="7"/>
        <v>0</v>
      </c>
      <c r="AV16" s="347" t="s">
        <v>3</v>
      </c>
      <c r="AW16" s="347" t="s">
        <v>38</v>
      </c>
      <c r="AX16" s="347" t="s">
        <v>0</v>
      </c>
      <c r="AY16" s="347" t="s">
        <v>38</v>
      </c>
      <c r="AZ16" s="347" t="s">
        <v>0</v>
      </c>
      <c r="BA16" s="347" t="s">
        <v>38</v>
      </c>
      <c r="BB16" s="347" t="s">
        <v>0</v>
      </c>
      <c r="BC16" s="429"/>
      <c r="BD16" s="429"/>
      <c r="BE16" s="418">
        <f t="shared" ca="1" si="11"/>
        <v>8</v>
      </c>
      <c r="BF16" s="347" t="s">
        <v>356</v>
      </c>
      <c r="BG16" s="430">
        <f ca="1">_xll.meDateFromTenor($B16,"-"&amp;BF16,$AW16,$AX16)</f>
        <v>43228</v>
      </c>
      <c r="BH16" s="1006" t="str">
        <f t="shared" si="12"/>
        <v>NATURAL</v>
      </c>
      <c r="BI16" s="1006" t="str">
        <f t="shared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43228</v>
      </c>
      <c r="C17" s="1120" t="s">
        <v>361</v>
      </c>
      <c r="D17" s="362">
        <v>1000000</v>
      </c>
      <c r="E17" s="362" t="s">
        <v>2</v>
      </c>
      <c r="F17" s="365" t="s">
        <v>1753</v>
      </c>
      <c r="G17" s="397" t="s">
        <v>23</v>
      </c>
      <c r="H17" s="363">
        <v>0.01</v>
      </c>
      <c r="I17" s="364" t="s">
        <v>355</v>
      </c>
      <c r="J17" s="364">
        <v>0</v>
      </c>
      <c r="K17" s="364" t="s">
        <v>2252</v>
      </c>
      <c r="L17" s="364" t="s">
        <v>2252</v>
      </c>
      <c r="M17" s="363"/>
      <c r="N17" s="420"/>
      <c r="O17" s="420"/>
      <c r="P17" s="378" t="s">
        <v>1043</v>
      </c>
      <c r="Q17" s="360" t="str">
        <f ca="1">IF(OR($D17="",$D17=0),"",_xll.meProductSwapParRate(_xll.meUtilityLVBFromKeysValues($AA$5:$BM$5,$AA17:$BM17),FALSE))</f>
        <v>[2018/05/04 09:52] #Error: Invalid Curve: CurveCollection 'EURYC' does not exist</v>
      </c>
      <c r="R17" s="461" t="str">
        <f ca="1">IF(OR($D17="",$D17=0),"",_xll.meProductSwapPV(_xll.meUtilityLVBFromKeysValues($AA$5:$BM$5,$AA17:$BM17),FALSE))</f>
        <v>[2018/05/04 09:52] #Error: Invalid Curve: CurveCollection 'EURYC' does not exist</v>
      </c>
      <c r="S17" s="461" t="str">
        <f ca="1">IF(OR($D17="",$D17=0),"",_xll.meProductSwapLegPV(_xll.meUtilityLVBFromMultipleKeysValues($AB$5:$AG$5,$AB17:$AG17,,$AH$5:$AS$5,$AH17:$AS17,,"LegType","Leg1:Fixed",,"PayReceive",$F17),FALSE))</f>
        <v>[2018/05/04 09:52] #Error: Invalid Curve: CurveCollection 'EURYC' does not exist</v>
      </c>
      <c r="T17" s="461" t="str">
        <f ca="1">IF(OR($D17="",$D17=0),"",_xll.meProductSwapLegPV(_xll.meUtilityLVBFromMultipleKeysValues($AB$5:$AG$5,$AB17:$AG17,,$AT$5:$BM$5,$AT17:$BM17,,"LegType","Leg2:Float",,"PayReceive",IF($F17="PAYER","RECEIVER","PAYER")),FALSE))</f>
        <v>[2018/05/04 09:52] #Error: Invalid Curve: CurveCollection 'EURYC' does not exist</v>
      </c>
      <c r="U17" s="461" t="str">
        <f ca="1">IF(OR($D17="",$D17=0),"",_xll.meProductSwapPV01(_xll.meUtilityLVBFromKeysValues($AA$5:$BM$5,$AA17:$BM17),FALSE))</f>
        <v>[2018/05/04 09:52] #Error: Invalid Curve: CurveCollection 'EURYC' does not exist</v>
      </c>
      <c r="V17" s="462" t="str">
        <f ca="1">IF(OR($D17="",$D17=0),"",_xll.meProductSwapDV01(_xll.meUtilityLVBFromKeysValues($AA$5:$BM$5,$AA17:$BM17),FALSE))</f>
        <v>[2018/05/04 09:52] #Error: Invalid Curve: CurveCollection 'EURYC' does not exist</v>
      </c>
      <c r="W17" t="s">
        <v>12</v>
      </c>
      <c r="X17" s="476" t="str">
        <f>IF('EUR Curve Config'!BB20,'EUR Curve Config'!AZ20,"")</f>
        <v>15Y</v>
      </c>
      <c r="Y17" s="477">
        <f>IF('EUR Curve Config'!BB20,'EUR Curve Config'!BA20,"")</f>
        <v>1.3279000000000001E-2</v>
      </c>
      <c r="AA17" s="684" t="str">
        <f t="shared" si="0"/>
        <v>RECEIVER</v>
      </c>
      <c r="AB17" s="1016">
        <f t="shared" si="1"/>
        <v>1000000</v>
      </c>
      <c r="AC17" s="399">
        <f t="shared" ca="1" si="2"/>
        <v>43228</v>
      </c>
      <c r="AD17" s="399">
        <f ca="1">IF(OR(D17="",D17=0),"",IF(ISNUMBER($G17),$G17,IF(ISERROR(VALUE(LEFT(G17,1))),_xll.meDateFuturesContract($G17),_xll.meDateFromTenor($B17,$G17,$AM17,$AN17))))</f>
        <v>48708</v>
      </c>
      <c r="AE17" s="352" t="str">
        <f t="shared" si="3"/>
        <v>EURYC</v>
      </c>
      <c r="AF17" s="352" t="str">
        <f t="shared" si="4"/>
        <v>EUR6ML</v>
      </c>
      <c r="AG17" s="446" t="str">
        <f t="shared" si="5"/>
        <v>EURDF_NOCSA</v>
      </c>
      <c r="AH17" s="452" t="s">
        <v>146</v>
      </c>
      <c r="AI17" s="434">
        <f t="shared" si="6"/>
        <v>0.01</v>
      </c>
      <c r="AJ17" s="347" t="s">
        <v>157</v>
      </c>
      <c r="AK17" s="347" t="s">
        <v>38</v>
      </c>
      <c r="AL17" s="347" t="s">
        <v>0</v>
      </c>
      <c r="AM17" s="347" t="s">
        <v>38</v>
      </c>
      <c r="AN17" s="347" t="s">
        <v>0</v>
      </c>
      <c r="AO17" s="429"/>
      <c r="AP17" s="429"/>
      <c r="AQ17" s="1004">
        <f t="shared" ca="1" si="9"/>
        <v>8</v>
      </c>
      <c r="AR17" s="347" t="s">
        <v>356</v>
      </c>
      <c r="AS17" s="451" t="s">
        <v>358</v>
      </c>
      <c r="AT17" s="352" t="str">
        <f t="shared" si="10"/>
        <v>Semi-Annual</v>
      </c>
      <c r="AU17" s="356">
        <f t="shared" si="7"/>
        <v>0</v>
      </c>
      <c r="AV17" s="347" t="s">
        <v>3</v>
      </c>
      <c r="AW17" s="347" t="s">
        <v>38</v>
      </c>
      <c r="AX17" s="347" t="s">
        <v>0</v>
      </c>
      <c r="AY17" s="347" t="s">
        <v>38</v>
      </c>
      <c r="AZ17" s="347" t="s">
        <v>0</v>
      </c>
      <c r="BA17" s="347" t="s">
        <v>38</v>
      </c>
      <c r="BB17" s="347" t="s">
        <v>0</v>
      </c>
      <c r="BC17" s="429"/>
      <c r="BD17" s="429"/>
      <c r="BE17" s="418">
        <f t="shared" ca="1" si="11"/>
        <v>8</v>
      </c>
      <c r="BF17" s="347" t="s">
        <v>356</v>
      </c>
      <c r="BG17" s="430">
        <f ca="1">_xll.meDateFromTenor($B17,"-"&amp;BF17,$AW17,$AX17)</f>
        <v>43228</v>
      </c>
      <c r="BH17" s="1006" t="str">
        <f t="shared" si="12"/>
        <v>NATURAL</v>
      </c>
      <c r="BI17" s="1006" t="str">
        <f t="shared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43228</v>
      </c>
      <c r="C18" s="1120" t="s">
        <v>361</v>
      </c>
      <c r="D18" s="362">
        <v>1000000</v>
      </c>
      <c r="E18" s="362" t="s">
        <v>2</v>
      </c>
      <c r="F18" s="365" t="s">
        <v>1753</v>
      </c>
      <c r="G18" s="397" t="s">
        <v>19</v>
      </c>
      <c r="H18" s="363">
        <v>0.01</v>
      </c>
      <c r="I18" s="364" t="s">
        <v>355</v>
      </c>
      <c r="J18" s="364">
        <v>0</v>
      </c>
      <c r="K18" s="364" t="s">
        <v>2252</v>
      </c>
      <c r="L18" s="364" t="s">
        <v>2252</v>
      </c>
      <c r="M18" s="363"/>
      <c r="N18" s="420"/>
      <c r="O18" s="420"/>
      <c r="P18" s="378" t="s">
        <v>1043</v>
      </c>
      <c r="Q18" s="360" t="str">
        <f ca="1">IF(OR($D18="",$D18=0),"",_xll.meProductSwapParRate(_xll.meUtilityLVBFromKeysValues($AA$5:$BM$5,$AA18:$BM18),FALSE))</f>
        <v>[2018/05/04 09:52] #Error: Invalid Curve: CurveCollection 'EURYC' does not exist</v>
      </c>
      <c r="R18" s="461" t="str">
        <f ca="1">IF(OR($D18="",$D18=0),"",_xll.meProductSwapPV(_xll.meUtilityLVBFromKeysValues($AA$5:$BM$5,$AA18:$BM18),FALSE))</f>
        <v>[2018/05/04 09:52] #Error: Invalid Curve: CurveCollection 'EURYC' does not exist</v>
      </c>
      <c r="S18" s="461" t="str">
        <f ca="1">IF(OR($D18="",$D18=0),"",_xll.meProductSwapLegPV(_xll.meUtilityLVBFromMultipleKeysValues($AB$5:$AG$5,$AB18:$AG18,,$AH$5:$AS$5,$AH18:$AS18,,"LegType","Leg1:Fixed",,"PayReceive",$F18),FALSE))</f>
        <v>[2018/05/04 09:52] #Error: Invalid Curve: CurveCollection 'EURYC' does not exist</v>
      </c>
      <c r="T18" s="461" t="str">
        <f ca="1">IF(OR($D18="",$D18=0),"",_xll.meProductSwapLegPV(_xll.meUtilityLVBFromMultipleKeysValues($AB$5:$AG$5,$AB18:$AG18,,$AT$5:$BM$5,$AT18:$BM18,,"LegType","Leg2:Float",,"PayReceive",IF($F18="PAYER","RECEIVER","PAYER")),FALSE))</f>
        <v>[2018/05/04 09:52] #Error: Invalid Curve: CurveCollection 'EURYC' does not exist</v>
      </c>
      <c r="U18" s="461" t="str">
        <f ca="1">IF(OR($D18="",$D18=0),"",_xll.meProductSwapPV01(_xll.meUtilityLVBFromKeysValues($AA$5:$BM$5,$AA18:$BM18),FALSE))</f>
        <v>[2018/05/04 09:52] #Error: Invalid Curve: CurveCollection 'EURYC' does not exist</v>
      </c>
      <c r="V18" s="462" t="str">
        <f ca="1">IF(OR($D18="",$D18=0),"",_xll.meProductSwapDV01(_xll.meUtilityLVBFromKeysValues($AA$5:$BM$5,$AA18:$BM18),FALSE))</f>
        <v>[2018/05/04 09:52] #Error: Invalid Curve: CurveCollection 'EURYC' does not exist</v>
      </c>
      <c r="W18" t="s">
        <v>12</v>
      </c>
      <c r="X18" s="476" t="str">
        <f>IF('EUR Curve Config'!BB21,'EUR Curve Config'!AZ21,"")</f>
        <v>20Y</v>
      </c>
      <c r="Y18" s="477">
        <f>IF('EUR Curve Config'!BB21,'EUR Curve Config'!BA21,"")</f>
        <v>1.4761999999999999E-2</v>
      </c>
      <c r="AA18" s="684" t="str">
        <f t="shared" si="0"/>
        <v>RECEIVER</v>
      </c>
      <c r="AB18" s="1016">
        <f t="shared" si="1"/>
        <v>1000000</v>
      </c>
      <c r="AC18" s="399">
        <f t="shared" ca="1" si="2"/>
        <v>43228</v>
      </c>
      <c r="AD18" s="399">
        <f ca="1">IF(OR(D18="",D18=0),"",IF(ISNUMBER($G18),$G18,IF(ISERROR(VALUE(LEFT(G18,1))),_xll.meDateFuturesContract($G18),_xll.meDateFromTenor($B18,$G18,$AM18,$AN18))))</f>
        <v>50535</v>
      </c>
      <c r="AE18" s="352" t="str">
        <f t="shared" si="3"/>
        <v>EURYC</v>
      </c>
      <c r="AF18" s="352" t="str">
        <f t="shared" si="4"/>
        <v>EUR6ML</v>
      </c>
      <c r="AG18" s="446" t="str">
        <f t="shared" si="5"/>
        <v>EURDF_NOCSA</v>
      </c>
      <c r="AH18" s="452" t="s">
        <v>146</v>
      </c>
      <c r="AI18" s="434">
        <f t="shared" si="6"/>
        <v>0.01</v>
      </c>
      <c r="AJ18" s="347" t="s">
        <v>157</v>
      </c>
      <c r="AK18" s="347" t="s">
        <v>38</v>
      </c>
      <c r="AL18" s="347" t="s">
        <v>0</v>
      </c>
      <c r="AM18" s="347" t="s">
        <v>38</v>
      </c>
      <c r="AN18" s="347" t="s">
        <v>0</v>
      </c>
      <c r="AO18" s="429"/>
      <c r="AP18" s="429"/>
      <c r="AQ18" s="1004">
        <f t="shared" ca="1" si="9"/>
        <v>8</v>
      </c>
      <c r="AR18" s="347" t="s">
        <v>356</v>
      </c>
      <c r="AS18" s="451" t="s">
        <v>358</v>
      </c>
      <c r="AT18" s="352" t="str">
        <f t="shared" si="10"/>
        <v>Semi-Annual</v>
      </c>
      <c r="AU18" s="356">
        <f t="shared" si="7"/>
        <v>0</v>
      </c>
      <c r="AV18" s="347" t="s">
        <v>3</v>
      </c>
      <c r="AW18" s="347" t="s">
        <v>38</v>
      </c>
      <c r="AX18" s="347" t="s">
        <v>0</v>
      </c>
      <c r="AY18" s="347" t="s">
        <v>38</v>
      </c>
      <c r="AZ18" s="347" t="s">
        <v>0</v>
      </c>
      <c r="BA18" s="347" t="s">
        <v>38</v>
      </c>
      <c r="BB18" s="347" t="s">
        <v>0</v>
      </c>
      <c r="BC18" s="429"/>
      <c r="BD18" s="429"/>
      <c r="BE18" s="418">
        <f t="shared" ca="1" si="11"/>
        <v>8</v>
      </c>
      <c r="BF18" s="347" t="s">
        <v>356</v>
      </c>
      <c r="BG18" s="430">
        <f ca="1">_xll.meDateFromTenor($B18,"-"&amp;BF18,$AW18,$AX18)</f>
        <v>43228</v>
      </c>
      <c r="BH18" s="1006" t="str">
        <f t="shared" si="12"/>
        <v>NATURAL</v>
      </c>
      <c r="BI18" s="1006" t="str">
        <f t="shared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43228</v>
      </c>
      <c r="C19" s="1120" t="s">
        <v>361</v>
      </c>
      <c r="D19" s="362">
        <v>1000000</v>
      </c>
      <c r="E19" s="362" t="s">
        <v>2</v>
      </c>
      <c r="F19" s="365" t="s">
        <v>1753</v>
      </c>
      <c r="G19" s="397" t="s">
        <v>17</v>
      </c>
      <c r="H19" s="363">
        <v>0.01</v>
      </c>
      <c r="I19" s="364" t="s">
        <v>355</v>
      </c>
      <c r="J19" s="364">
        <v>0</v>
      </c>
      <c r="K19" s="364" t="s">
        <v>2252</v>
      </c>
      <c r="L19" s="364" t="s">
        <v>2252</v>
      </c>
      <c r="M19" s="363"/>
      <c r="N19" s="420"/>
      <c r="O19" s="420"/>
      <c r="P19" s="378" t="s">
        <v>1043</v>
      </c>
      <c r="Q19" s="360" t="str">
        <f ca="1">IF(OR($D19="",$D19=0),"",_xll.meProductSwapParRate(_xll.meUtilityLVBFromKeysValues($AA$5:$BM$5,$AA19:$BM19),FALSE))</f>
        <v>[2018/05/04 09:52] #Error: Invalid Curve: CurveCollection 'EURYC' does not exist</v>
      </c>
      <c r="R19" s="461" t="str">
        <f ca="1">IF(OR($D19="",$D19=0),"",_xll.meProductSwapPV(_xll.meUtilityLVBFromKeysValues($AA$5:$BM$5,$AA19:$BM19),FALSE))</f>
        <v>[2018/05/04 09:52] #Error: Invalid Curve: CurveCollection 'EURYC' does not exist</v>
      </c>
      <c r="S19" s="461" t="str">
        <f ca="1">IF(OR($D19="",$D19=0),"",_xll.meProductSwapLegPV(_xll.meUtilityLVBFromMultipleKeysValues($AB$5:$AG$5,$AB19:$AG19,,$AH$5:$AS$5,$AH19:$AS19,,"LegType","Leg1:Fixed",,"PayReceive",$F19),FALSE))</f>
        <v>[2018/05/04 09:52] #Error: Invalid Curve: CurveCollection 'EURYC' does not exist</v>
      </c>
      <c r="T19" s="461" t="str">
        <f ca="1">IF(OR($D19="",$D19=0),"",_xll.meProductSwapLegPV(_xll.meUtilityLVBFromMultipleKeysValues($AB$5:$AG$5,$AB19:$AG19,,$AT$5:$BM$5,$AT19:$BM19,,"LegType","Leg2:Float",,"PayReceive",IF($F19="PAYER","RECEIVER","PAYER")),FALSE))</f>
        <v>[2018/05/04 09:52] #Error: Invalid Curve: CurveCollection 'EURYC' does not exist</v>
      </c>
      <c r="U19" s="461" t="str">
        <f ca="1">IF(OR($D19="",$D19=0),"",_xll.meProductSwapPV01(_xll.meUtilityLVBFromKeysValues($AA$5:$BM$5,$AA19:$BM19),FALSE))</f>
        <v>[2018/05/04 09:52] #Error: Invalid Curve: CurveCollection 'EURYC' does not exist</v>
      </c>
      <c r="V19" s="462" t="str">
        <f ca="1">IF(OR($D19="",$D19=0),"",_xll.meProductSwapDV01(_xll.meUtilityLVBFromKeysValues($AA$5:$BM$5,$AA19:$BM19),FALSE))</f>
        <v>[2018/05/04 09:52] #Error: Invalid Curve: CurveCollection 'EURYC' does not exist</v>
      </c>
      <c r="W19" t="s">
        <v>12</v>
      </c>
      <c r="X19" s="476" t="str">
        <f>IF('EUR Curve Config'!BB22,'EUR Curve Config'!AZ22,"")</f>
        <v>25Y</v>
      </c>
      <c r="Y19" s="477">
        <f>IF('EUR Curve Config'!BB22,'EUR Curve Config'!BA22,"")</f>
        <v>1.5181999999999999E-2</v>
      </c>
      <c r="AA19" s="684" t="str">
        <f t="shared" si="0"/>
        <v>RECEIVER</v>
      </c>
      <c r="AB19" s="1016">
        <f t="shared" si="1"/>
        <v>1000000</v>
      </c>
      <c r="AC19" s="399">
        <f t="shared" ca="1" si="2"/>
        <v>43228</v>
      </c>
      <c r="AD19" s="399">
        <f ca="1">IF(OR(D19="",D19=0),"",IF(ISNUMBER($G19),$G19,IF(ISERROR(VALUE(LEFT(G19,1))),_xll.meDateFuturesContract($G19),_xll.meDateFromTenor($B19,$G19,$AM19,$AN19))))</f>
        <v>52359</v>
      </c>
      <c r="AE19" s="352" t="str">
        <f t="shared" si="3"/>
        <v>EURYC</v>
      </c>
      <c r="AF19" s="352" t="str">
        <f t="shared" si="4"/>
        <v>EUR6ML</v>
      </c>
      <c r="AG19" s="446" t="str">
        <f t="shared" si="5"/>
        <v>EURDF_NOCSA</v>
      </c>
      <c r="AH19" s="452" t="s">
        <v>146</v>
      </c>
      <c r="AI19" s="434">
        <f t="shared" si="6"/>
        <v>0.01</v>
      </c>
      <c r="AJ19" s="347" t="s">
        <v>157</v>
      </c>
      <c r="AK19" s="347" t="s">
        <v>38</v>
      </c>
      <c r="AL19" s="347" t="s">
        <v>0</v>
      </c>
      <c r="AM19" s="347" t="s">
        <v>38</v>
      </c>
      <c r="AN19" s="347" t="s">
        <v>0</v>
      </c>
      <c r="AO19" s="429"/>
      <c r="AP19" s="429"/>
      <c r="AQ19" s="1004">
        <f t="shared" ca="1" si="9"/>
        <v>8</v>
      </c>
      <c r="AR19" s="347" t="s">
        <v>356</v>
      </c>
      <c r="AS19" s="451" t="s">
        <v>358</v>
      </c>
      <c r="AT19" s="352" t="str">
        <f t="shared" si="10"/>
        <v>Semi-Annual</v>
      </c>
      <c r="AU19" s="356">
        <f t="shared" si="7"/>
        <v>0</v>
      </c>
      <c r="AV19" s="347" t="s">
        <v>3</v>
      </c>
      <c r="AW19" s="347" t="s">
        <v>38</v>
      </c>
      <c r="AX19" s="347" t="s">
        <v>0</v>
      </c>
      <c r="AY19" s="347" t="s">
        <v>38</v>
      </c>
      <c r="AZ19" s="347" t="s">
        <v>0</v>
      </c>
      <c r="BA19" s="347" t="s">
        <v>38</v>
      </c>
      <c r="BB19" s="347" t="s">
        <v>0</v>
      </c>
      <c r="BC19" s="429"/>
      <c r="BD19" s="429"/>
      <c r="BE19" s="418">
        <f t="shared" ca="1" si="11"/>
        <v>8</v>
      </c>
      <c r="BF19" s="347" t="s">
        <v>356</v>
      </c>
      <c r="BG19" s="430">
        <f ca="1">_xll.meDateFromTenor($B19,"-"&amp;BF19,$AW19,$AX19)</f>
        <v>43228</v>
      </c>
      <c r="BH19" s="1006" t="str">
        <f t="shared" si="12"/>
        <v>NATURAL</v>
      </c>
      <c r="BI19" s="1006" t="str">
        <f t="shared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43228</v>
      </c>
      <c r="C20" s="1120" t="s">
        <v>361</v>
      </c>
      <c r="D20" s="362">
        <v>1000000</v>
      </c>
      <c r="E20" s="362" t="s">
        <v>2</v>
      </c>
      <c r="F20" s="365" t="s">
        <v>1753</v>
      </c>
      <c r="G20" s="397" t="s">
        <v>16</v>
      </c>
      <c r="H20" s="363">
        <v>0.01</v>
      </c>
      <c r="I20" s="364" t="s">
        <v>355</v>
      </c>
      <c r="J20" s="364">
        <v>0</v>
      </c>
      <c r="K20" s="364" t="s">
        <v>2252</v>
      </c>
      <c r="L20" s="364" t="s">
        <v>2252</v>
      </c>
      <c r="M20" s="363"/>
      <c r="N20" s="420"/>
      <c r="O20" s="420"/>
      <c r="P20" s="378" t="s">
        <v>1043</v>
      </c>
      <c r="Q20" s="360" t="str">
        <f ca="1">IF(OR($D20="",$D20=0),"",_xll.meProductSwapParRate(_xll.meUtilityLVBFromKeysValues($AA$5:$BM$5,$AA20:$BM20),FALSE))</f>
        <v>[2018/05/04 09:52] #Error: Invalid Curve: CurveCollection 'EURYC' does not exist</v>
      </c>
      <c r="R20" s="461" t="str">
        <f ca="1">IF(OR($D20="",$D20=0),"",_xll.meProductSwapPV(_xll.meUtilityLVBFromKeysValues($AA$5:$BM$5,$AA20:$BM20),FALSE))</f>
        <v>[2018/05/04 09:52] #Error: Invalid Curve: CurveCollection 'EURYC' does not exist</v>
      </c>
      <c r="S20" s="461" t="str">
        <f ca="1">IF(OR($D20="",$D20=0),"",_xll.meProductSwapLegPV(_xll.meUtilityLVBFromMultipleKeysValues($AB$5:$AG$5,$AB20:$AG20,,$AH$5:$AS$5,$AH20:$AS20,,"LegType","Leg1:Fixed",,"PayReceive",$F20),FALSE))</f>
        <v>[2018/05/04 09:52] #Error: Invalid Curve: CurveCollection 'EURYC' does not exist</v>
      </c>
      <c r="T20" s="461" t="str">
        <f ca="1">IF(OR($D20="",$D20=0),"",_xll.meProductSwapLegPV(_xll.meUtilityLVBFromMultipleKeysValues($AB$5:$AG$5,$AB20:$AG20,,$AT$5:$BM$5,$AT20:$BM20,,"LegType","Leg2:Float",,"PayReceive",IF($F20="PAYER","RECEIVER","PAYER")),FALSE))</f>
        <v>[2018/05/04 09:52] #Error: Invalid Curve: CurveCollection 'EURYC' does not exist</v>
      </c>
      <c r="U20" s="461" t="str">
        <f ca="1">IF(OR($D20="",$D20=0),"",_xll.meProductSwapPV01(_xll.meUtilityLVBFromKeysValues($AA$5:$BM$5,$AA20:$BM20),FALSE))</f>
        <v>[2018/05/04 09:52] #Error: Invalid Curve: CurveCollection 'EURYC' does not exist</v>
      </c>
      <c r="V20" s="462" t="str">
        <f ca="1">IF(OR($D20="",$D20=0),"",_xll.meProductSwapDV01(_xll.meUtilityLVBFromKeysValues($AA$5:$BM$5,$AA20:$BM20),FALSE))</f>
        <v>[2018/05/04 09:52] #Error: Invalid Curve: CurveCollection 'EURYC' does not exist</v>
      </c>
      <c r="W20" t="s">
        <v>12</v>
      </c>
      <c r="X20" s="476" t="str">
        <f>IF('EUR Curve Config'!BB23,'EUR Curve Config'!AZ23,"")</f>
        <v>30Y</v>
      </c>
      <c r="Y20" s="477">
        <f>IF('EUR Curve Config'!BB23,'EUR Curve Config'!BA23,"")</f>
        <v>1.5242E-2</v>
      </c>
      <c r="AA20" s="684" t="str">
        <f t="shared" si="0"/>
        <v>RECEIVER</v>
      </c>
      <c r="AB20" s="1016">
        <f t="shared" si="1"/>
        <v>1000000</v>
      </c>
      <c r="AC20" s="399">
        <f t="shared" ca="1" si="2"/>
        <v>43228</v>
      </c>
      <c r="AD20" s="399">
        <f ca="1">IF(OR(D20="",D20=0),"",IF(ISNUMBER($G20),$G20,IF(ISERROR(VALUE(LEFT(G20,1))),_xll.meDateFuturesContract($G20),_xll.meDateFromTenor($B20,$G20,$AM20,$AN20))))</f>
        <v>54186</v>
      </c>
      <c r="AE20" s="352" t="str">
        <f t="shared" si="3"/>
        <v>EURYC</v>
      </c>
      <c r="AF20" s="352" t="str">
        <f t="shared" si="4"/>
        <v>EUR6ML</v>
      </c>
      <c r="AG20" s="446" t="str">
        <f t="shared" si="5"/>
        <v>EURDF_NOCSA</v>
      </c>
      <c r="AH20" s="452" t="s">
        <v>146</v>
      </c>
      <c r="AI20" s="434">
        <f t="shared" si="6"/>
        <v>0.01</v>
      </c>
      <c r="AJ20" s="347" t="s">
        <v>157</v>
      </c>
      <c r="AK20" s="347" t="s">
        <v>38</v>
      </c>
      <c r="AL20" s="347" t="s">
        <v>0</v>
      </c>
      <c r="AM20" s="347" t="s">
        <v>38</v>
      </c>
      <c r="AN20" s="347" t="s">
        <v>0</v>
      </c>
      <c r="AO20" s="429"/>
      <c r="AP20" s="429"/>
      <c r="AQ20" s="1004">
        <f t="shared" ca="1" si="9"/>
        <v>8</v>
      </c>
      <c r="AR20" s="347" t="s">
        <v>356</v>
      </c>
      <c r="AS20" s="451" t="s">
        <v>358</v>
      </c>
      <c r="AT20" s="352" t="str">
        <f t="shared" si="10"/>
        <v>Semi-Annual</v>
      </c>
      <c r="AU20" s="356">
        <f t="shared" si="7"/>
        <v>0</v>
      </c>
      <c r="AV20" s="347" t="s">
        <v>3</v>
      </c>
      <c r="AW20" s="347" t="s">
        <v>38</v>
      </c>
      <c r="AX20" s="347" t="s">
        <v>0</v>
      </c>
      <c r="AY20" s="347" t="s">
        <v>38</v>
      </c>
      <c r="AZ20" s="347" t="s">
        <v>0</v>
      </c>
      <c r="BA20" s="347" t="s">
        <v>38</v>
      </c>
      <c r="BB20" s="347" t="s">
        <v>0</v>
      </c>
      <c r="BC20" s="429"/>
      <c r="BD20" s="429"/>
      <c r="BE20" s="418">
        <f t="shared" ca="1" si="11"/>
        <v>8</v>
      </c>
      <c r="BF20" s="347" t="s">
        <v>356</v>
      </c>
      <c r="BG20" s="430">
        <f ca="1">_xll.meDateFromTenor($B20,"-"&amp;BF20,$AW20,$AX20)</f>
        <v>43228</v>
      </c>
      <c r="BH20" s="1006" t="str">
        <f t="shared" si="12"/>
        <v>NATURAL</v>
      </c>
      <c r="BI20" s="1006" t="str">
        <f t="shared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43228</v>
      </c>
      <c r="C21" s="1120" t="s">
        <v>361</v>
      </c>
      <c r="D21" s="362">
        <v>1000000</v>
      </c>
      <c r="E21" s="362" t="s">
        <v>2</v>
      </c>
      <c r="F21" s="365" t="s">
        <v>1753</v>
      </c>
      <c r="G21" s="397" t="s">
        <v>14</v>
      </c>
      <c r="H21" s="363">
        <v>0.01</v>
      </c>
      <c r="I21" s="364" t="s">
        <v>355</v>
      </c>
      <c r="J21" s="364">
        <v>0</v>
      </c>
      <c r="K21" s="364" t="s">
        <v>2252</v>
      </c>
      <c r="L21" s="364" t="s">
        <v>2252</v>
      </c>
      <c r="M21" s="363"/>
      <c r="N21" s="420"/>
      <c r="O21" s="420"/>
      <c r="P21" s="378" t="s">
        <v>1043</v>
      </c>
      <c r="Q21" s="360" t="str">
        <f ca="1">IF(OR($D21="",$D21=0),"",_xll.meProductSwapParRate(_xll.meUtilityLVBFromKeysValues($AA$5:$BM$5,$AA21:$BM21),FALSE))</f>
        <v>[2018/05/04 09:52] #Error: Invalid Curve: CurveCollection 'EURYC' does not exist</v>
      </c>
      <c r="R21" s="461" t="str">
        <f ca="1">IF(OR($D21="",$D21=0),"",_xll.meProductSwapPV(_xll.meUtilityLVBFromKeysValues($AA$5:$BM$5,$AA21:$BM21),FALSE))</f>
        <v>[2018/05/04 09:52] #Error: Invalid Curve: CurveCollection 'EURYC' does not exist</v>
      </c>
      <c r="S21" s="461" t="str">
        <f ca="1">IF(OR($D21="",$D21=0),"",_xll.meProductSwapLegPV(_xll.meUtilityLVBFromMultipleKeysValues($AB$5:$AG$5,$AB21:$AG21,,$AH$5:$AS$5,$AH21:$AS21,,"LegType","Leg1:Fixed",,"PayReceive",$F21),FALSE))</f>
        <v>[2018/05/04 09:52] #Error: Invalid Curve: CurveCollection 'EURYC' does not exist</v>
      </c>
      <c r="T21" s="461" t="str">
        <f ca="1">IF(OR($D21="",$D21=0),"",_xll.meProductSwapLegPV(_xll.meUtilityLVBFromMultipleKeysValues($AB$5:$AG$5,$AB21:$AG21,,$AT$5:$BM$5,$AT21:$BM21,,"LegType","Leg2:Float",,"PayReceive",IF($F21="PAYER","RECEIVER","PAYER")),FALSE))</f>
        <v>[2018/05/04 09:52] #Error: Invalid Curve: CurveCollection 'EURYC' does not exist</v>
      </c>
      <c r="U21" s="461" t="str">
        <f ca="1">IF(OR($D21="",$D21=0),"",_xll.meProductSwapPV01(_xll.meUtilityLVBFromKeysValues($AA$5:$BM$5,$AA21:$BM21),FALSE))</f>
        <v>[2018/05/04 09:52] #Error: Invalid Curve: CurveCollection 'EURYC' does not exist</v>
      </c>
      <c r="V21" s="462" t="str">
        <f ca="1">IF(OR($D21="",$D21=0),"",_xll.meProductSwapDV01(_xll.meUtilityLVBFromKeysValues($AA$5:$BM$5,$AA21:$BM21),FALSE))</f>
        <v>[2018/05/04 09:52] #Error: Invalid Curve: CurveCollection 'EURYC' does not exist</v>
      </c>
      <c r="W21" t="s">
        <v>12</v>
      </c>
      <c r="X21" s="476" t="str">
        <f>IF('EUR Curve Config'!BB24,'EUR Curve Config'!AZ24,"")</f>
        <v>40Y</v>
      </c>
      <c r="Y21" s="477">
        <f>IF('EUR Curve Config'!BB24,'EUR Curve Config'!BA24,"")</f>
        <v>1.5092000000000001E-2</v>
      </c>
      <c r="AA21" s="684" t="str">
        <f t="shared" si="0"/>
        <v>RECEIVER</v>
      </c>
      <c r="AB21" s="1016">
        <f t="shared" si="1"/>
        <v>1000000</v>
      </c>
      <c r="AC21" s="399">
        <f t="shared" ca="1" si="2"/>
        <v>43228</v>
      </c>
      <c r="AD21" s="399">
        <f ca="1">IF(OR(D21="",D21=0),"",IF(ISNUMBER($G21),$G21,IF(ISERROR(VALUE(LEFT(G21,1))),_xll.meDateFuturesContract($G21),_xll.meDateFromTenor($B21,$G21,$AM21,$AN21))))</f>
        <v>57838</v>
      </c>
      <c r="AE21" s="352" t="str">
        <f t="shared" si="3"/>
        <v>EURYC</v>
      </c>
      <c r="AF21" s="352" t="str">
        <f t="shared" si="4"/>
        <v>EUR6ML</v>
      </c>
      <c r="AG21" s="446" t="str">
        <f t="shared" si="5"/>
        <v>EURDF_NOCSA</v>
      </c>
      <c r="AH21" s="452" t="s">
        <v>146</v>
      </c>
      <c r="AI21" s="434">
        <f t="shared" si="6"/>
        <v>0.01</v>
      </c>
      <c r="AJ21" s="347" t="s">
        <v>157</v>
      </c>
      <c r="AK21" s="347" t="s">
        <v>38</v>
      </c>
      <c r="AL21" s="347" t="s">
        <v>0</v>
      </c>
      <c r="AM21" s="347" t="s">
        <v>38</v>
      </c>
      <c r="AN21" s="347" t="s">
        <v>0</v>
      </c>
      <c r="AO21" s="429"/>
      <c r="AP21" s="429"/>
      <c r="AQ21" s="1004">
        <f t="shared" ca="1" si="9"/>
        <v>8</v>
      </c>
      <c r="AR21" s="347" t="s">
        <v>356</v>
      </c>
      <c r="AS21" s="451" t="s">
        <v>358</v>
      </c>
      <c r="AT21" s="352" t="str">
        <f t="shared" si="10"/>
        <v>Semi-Annual</v>
      </c>
      <c r="AU21" s="356">
        <f t="shared" si="7"/>
        <v>0</v>
      </c>
      <c r="AV21" s="347" t="s">
        <v>3</v>
      </c>
      <c r="AW21" s="347" t="s">
        <v>38</v>
      </c>
      <c r="AX21" s="347" t="s">
        <v>0</v>
      </c>
      <c r="AY21" s="347" t="s">
        <v>38</v>
      </c>
      <c r="AZ21" s="347" t="s">
        <v>0</v>
      </c>
      <c r="BA21" s="347" t="s">
        <v>38</v>
      </c>
      <c r="BB21" s="347" t="s">
        <v>0</v>
      </c>
      <c r="BC21" s="429"/>
      <c r="BD21" s="429"/>
      <c r="BE21" s="418">
        <f t="shared" ca="1" si="11"/>
        <v>8</v>
      </c>
      <c r="BF21" s="347" t="s">
        <v>356</v>
      </c>
      <c r="BG21" s="430">
        <f ca="1">_xll.meDateFromTenor($B21,"-"&amp;BF21,$AW21,$AX21)</f>
        <v>43228</v>
      </c>
      <c r="BH21" s="1006" t="str">
        <f t="shared" si="12"/>
        <v>NATURAL</v>
      </c>
      <c r="BI21" s="1006" t="str">
        <f t="shared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>
        <f ca="1">IF(OR(D22="",D22=0),"",IF(ISNUMBER($C22),$C22,IF(ISERROR(VALUE(LEFT(C22,1))),_xll.meDateFuturesContract($C22),_xll.meDateFromTenor(COB,$C22,$AM22,$AN22))))</f>
        <v>43228</v>
      </c>
      <c r="C22" s="1120" t="s">
        <v>361</v>
      </c>
      <c r="D22" s="362">
        <v>1000000</v>
      </c>
      <c r="E22" s="362" t="s">
        <v>2</v>
      </c>
      <c r="F22" s="365" t="s">
        <v>1753</v>
      </c>
      <c r="G22" s="397" t="s">
        <v>13</v>
      </c>
      <c r="H22" s="363">
        <v>0.01</v>
      </c>
      <c r="I22" s="364" t="s">
        <v>355</v>
      </c>
      <c r="J22" s="364">
        <v>0</v>
      </c>
      <c r="K22" s="364" t="s">
        <v>2252</v>
      </c>
      <c r="L22" s="364" t="s">
        <v>2252</v>
      </c>
      <c r="M22" s="363"/>
      <c r="N22" s="420"/>
      <c r="O22" s="420"/>
      <c r="P22" s="378" t="s">
        <v>1043</v>
      </c>
      <c r="Q22" s="360" t="str">
        <f ca="1">IF(OR($D22="",$D22=0),"",_xll.meProductSwapParRate(_xll.meUtilityLVBFromKeysValues($AA$5:$BM$5,$AA22:$BM22),FALSE))</f>
        <v>[2018/05/04 09:52] #Error: Invalid Curve: CurveCollection 'EURYC' does not exist</v>
      </c>
      <c r="R22" s="461" t="str">
        <f ca="1">IF(OR($D22="",$D22=0),"",_xll.meProductSwapPV(_xll.meUtilityLVBFromKeysValues($AA$5:$BM$5,$AA22:$BM22),FALSE))</f>
        <v>[2018/05/04 09:52] #Error: Invalid Curve: CurveCollection 'EURYC' does not exist</v>
      </c>
      <c r="S22" s="461" t="str">
        <f ca="1">IF(OR($D22="",$D22=0),"",_xll.meProductSwapLegPV(_xll.meUtilityLVBFromMultipleKeysValues($AB$5:$AG$5,$AB22:$AG22,,$AH$5:$AS$5,$AH22:$AS22,,"LegType","Leg1:Fixed",,"PayReceive",$F22),FALSE))</f>
        <v>[2018/05/04 09:52] #Error: Invalid Curve: CurveCollection 'EURYC' does not exist</v>
      </c>
      <c r="T22" s="461" t="str">
        <f ca="1">IF(OR($D22="",$D22=0),"",_xll.meProductSwapLegPV(_xll.meUtilityLVBFromMultipleKeysValues($AB$5:$AG$5,$AB22:$AG22,,$AT$5:$BM$5,$AT22:$BM22,,"LegType","Leg2:Float",,"PayReceive",IF($F22="PAYER","RECEIVER","PAYER")),FALSE))</f>
        <v>[2018/05/04 09:52] #Error: Invalid Curve: CurveCollection 'EURYC' does not exist</v>
      </c>
      <c r="U22" s="461" t="str">
        <f ca="1">IF(OR($D22="",$D22=0),"",_xll.meProductSwapPV01(_xll.meUtilityLVBFromKeysValues($AA$5:$BM$5,$AA22:$BM22),FALSE))</f>
        <v>[2018/05/04 09:52] #Error: Invalid Curve: CurveCollection 'EURYC' does not exist</v>
      </c>
      <c r="V22" s="462" t="str">
        <f ca="1">IF(OR($D22="",$D22=0),"",_xll.meProductSwapDV01(_xll.meUtilityLVBFromKeysValues($AA$5:$BM$5,$AA22:$BM22),FALSE))</f>
        <v>[2018/05/04 09:52] #Error: Invalid Curve: CurveCollection 'EURYC' does not exist</v>
      </c>
      <c r="W22" t="s">
        <v>12</v>
      </c>
      <c r="X22" s="476" t="str">
        <f>IF('EUR Curve Config'!BB25,'EUR Curve Config'!AZ25,"")</f>
        <v>50Y</v>
      </c>
      <c r="Y22" s="477">
        <f>IF('EUR Curve Config'!BB25,'EUR Curve Config'!BA25,"")</f>
        <v>1.4681999999999999E-2</v>
      </c>
      <c r="AA22" s="684" t="str">
        <f t="shared" si="0"/>
        <v>RECEIVER</v>
      </c>
      <c r="AB22" s="1016">
        <f t="shared" si="1"/>
        <v>1000000</v>
      </c>
      <c r="AC22" s="399">
        <f t="shared" ca="1" si="2"/>
        <v>43228</v>
      </c>
      <c r="AD22" s="399">
        <f ca="1">IF(OR(D22="",D22=0),"",IF(ISNUMBER($G22),$G22,IF(ISERROR(VALUE(LEFT(G22,1))),_xll.meDateFuturesContract($G22),_xll.meDateFromTenor($B22,$G22,$AM22,$AN22))))</f>
        <v>61491</v>
      </c>
      <c r="AE22" s="352" t="str">
        <f t="shared" si="3"/>
        <v>EURYC</v>
      </c>
      <c r="AF22" s="352" t="str">
        <f t="shared" si="4"/>
        <v>EUR6ML</v>
      </c>
      <c r="AG22" s="446" t="str">
        <f t="shared" si="5"/>
        <v>EURDF_NOCSA</v>
      </c>
      <c r="AH22" s="452" t="s">
        <v>146</v>
      </c>
      <c r="AI22" s="434">
        <f t="shared" si="6"/>
        <v>0.01</v>
      </c>
      <c r="AJ22" s="347" t="s">
        <v>157</v>
      </c>
      <c r="AK22" s="347" t="s">
        <v>38</v>
      </c>
      <c r="AL22" s="347" t="s">
        <v>0</v>
      </c>
      <c r="AM22" s="347" t="s">
        <v>38</v>
      </c>
      <c r="AN22" s="347" t="s">
        <v>0</v>
      </c>
      <c r="AO22" s="429"/>
      <c r="AP22" s="429"/>
      <c r="AQ22" s="1004">
        <f t="shared" ca="1" si="9"/>
        <v>8</v>
      </c>
      <c r="AR22" s="347" t="s">
        <v>356</v>
      </c>
      <c r="AS22" s="451" t="s">
        <v>358</v>
      </c>
      <c r="AT22" s="352" t="str">
        <f t="shared" si="10"/>
        <v>Semi-Annual</v>
      </c>
      <c r="AU22" s="356">
        <f t="shared" si="7"/>
        <v>0</v>
      </c>
      <c r="AV22" s="347" t="s">
        <v>3</v>
      </c>
      <c r="AW22" s="347" t="s">
        <v>38</v>
      </c>
      <c r="AX22" s="347" t="s">
        <v>0</v>
      </c>
      <c r="AY22" s="347" t="s">
        <v>38</v>
      </c>
      <c r="AZ22" s="347" t="s">
        <v>0</v>
      </c>
      <c r="BA22" s="347" t="s">
        <v>38</v>
      </c>
      <c r="BB22" s="347" t="s">
        <v>0</v>
      </c>
      <c r="BC22" s="429"/>
      <c r="BD22" s="429"/>
      <c r="BE22" s="418">
        <f t="shared" ca="1" si="11"/>
        <v>8</v>
      </c>
      <c r="BF22" s="347" t="s">
        <v>356</v>
      </c>
      <c r="BG22" s="430">
        <f ca="1">_xll.meDateFromTenor($B22,"-"&amp;BF22,$AW22,$AX22)</f>
        <v>43228</v>
      </c>
      <c r="BH22" s="1006" t="str">
        <f t="shared" si="12"/>
        <v>NATURAL</v>
      </c>
      <c r="BI22" s="1006" t="str">
        <f t="shared" si="8"/>
        <v>NATURAL</v>
      </c>
      <c r="BJ22" s="358" t="str">
        <f ca="1">IF($M22="",IF($BG22&lt;COB,'EUR Curve Config'!CurveConfig.FixingRate,""),$M22)</f>
        <v/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2252</v>
      </c>
      <c r="L23" s="364" t="s">
        <v>2252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>IF('EUR Curve Config'!BB26,'EUR Curve Config'!AZ26,"")</f>
        <v/>
      </c>
      <c r="Y23" s="477" t="str">
        <f>IF('EUR Curve Config'!BB26,'EUR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146</v>
      </c>
      <c r="AI23" s="434">
        <f t="shared" si="6"/>
        <v>0</v>
      </c>
      <c r="AJ23" s="347" t="s">
        <v>157</v>
      </c>
      <c r="AK23" s="347" t="s">
        <v>38</v>
      </c>
      <c r="AL23" s="347" t="s">
        <v>0</v>
      </c>
      <c r="AM23" s="347" t="s">
        <v>38</v>
      </c>
      <c r="AN23" s="347" t="s">
        <v>0</v>
      </c>
      <c r="AO23" s="429"/>
      <c r="AP23" s="429"/>
      <c r="AQ23" s="1004" t="e">
        <f t="shared" si="9"/>
        <v>#VALUE!</v>
      </c>
      <c r="AR23" s="347" t="s">
        <v>356</v>
      </c>
      <c r="AS23" s="451" t="s">
        <v>358</v>
      </c>
      <c r="AT23" s="352" t="str">
        <f t="shared" si="10"/>
        <v>Annual</v>
      </c>
      <c r="AU23" s="356">
        <f t="shared" si="7"/>
        <v>0</v>
      </c>
      <c r="AV23" s="347" t="s">
        <v>3</v>
      </c>
      <c r="AW23" s="347" t="s">
        <v>38</v>
      </c>
      <c r="AX23" s="347" t="s">
        <v>0</v>
      </c>
      <c r="AY23" s="347" t="s">
        <v>38</v>
      </c>
      <c r="AZ23" s="347" t="s">
        <v>0</v>
      </c>
      <c r="BA23" s="347" t="s">
        <v>38</v>
      </c>
      <c r="BB23" s="347" t="s">
        <v>0</v>
      </c>
      <c r="BC23" s="429"/>
      <c r="BD23" s="429"/>
      <c r="BE23" s="418" t="e">
        <f t="shared" si="11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2"/>
        <v>NATURAL</v>
      </c>
      <c r="BI23" s="1006" t="str">
        <f t="shared" si="8"/>
        <v>NATURAL</v>
      </c>
      <c r="BJ23" s="358">
        <f ca="1">IF($M23="",IF($BG23&lt;COB,'EUR Curve Config'!CurveConfig.FixingRate,""),$M23)</f>
        <v>-2.6900000000000001E-3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2252</v>
      </c>
      <c r="L24" s="364" t="s">
        <v>2252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>IF('EUR Curve Config'!BB27,'EUR Curve Config'!AZ27,"")</f>
        <v/>
      </c>
      <c r="Y24" s="477" t="str">
        <f>IF('EUR Curve Config'!BB27,'EUR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146</v>
      </c>
      <c r="AI24" s="434">
        <f t="shared" si="6"/>
        <v>0</v>
      </c>
      <c r="AJ24" s="347" t="s">
        <v>157</v>
      </c>
      <c r="AK24" s="347" t="s">
        <v>38</v>
      </c>
      <c r="AL24" s="347" t="s">
        <v>0</v>
      </c>
      <c r="AM24" s="347" t="s">
        <v>38</v>
      </c>
      <c r="AN24" s="347" t="s">
        <v>0</v>
      </c>
      <c r="AO24" s="429"/>
      <c r="AP24" s="429"/>
      <c r="AQ24" s="1004" t="e">
        <f t="shared" si="9"/>
        <v>#VALUE!</v>
      </c>
      <c r="AR24" s="347" t="s">
        <v>356</v>
      </c>
      <c r="AS24" s="451" t="s">
        <v>358</v>
      </c>
      <c r="AT24" s="352" t="str">
        <f t="shared" si="10"/>
        <v>Annual</v>
      </c>
      <c r="AU24" s="356">
        <f t="shared" si="7"/>
        <v>0</v>
      </c>
      <c r="AV24" s="347" t="s">
        <v>3</v>
      </c>
      <c r="AW24" s="347" t="s">
        <v>38</v>
      </c>
      <c r="AX24" s="347" t="s">
        <v>0</v>
      </c>
      <c r="AY24" s="347" t="s">
        <v>38</v>
      </c>
      <c r="AZ24" s="347" t="s">
        <v>0</v>
      </c>
      <c r="BA24" s="347" t="s">
        <v>38</v>
      </c>
      <c r="BB24" s="347" t="s">
        <v>0</v>
      </c>
      <c r="BC24" s="429"/>
      <c r="BD24" s="429"/>
      <c r="BE24" s="418" t="e">
        <f t="shared" si="11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2"/>
        <v>NATURAL</v>
      </c>
      <c r="BI24" s="1006" t="str">
        <f t="shared" si="8"/>
        <v>NATURAL</v>
      </c>
      <c r="BJ24" s="358">
        <f ca="1">IF($M24="",IF($BG24&lt;COB,'EUR Curve Config'!CurveConfig.FixingRate,""),$M24)</f>
        <v>-2.6900000000000001E-3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2252</v>
      </c>
      <c r="L25" s="368" t="s">
        <v>2252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>IF('EUR Curve Config'!BB28,'EUR Curve Config'!AZ28,"")</f>
        <v/>
      </c>
      <c r="Y25" s="479" t="str">
        <f>IF('EUR Curve Config'!BB28,'EUR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146</v>
      </c>
      <c r="AI25" s="440">
        <f t="shared" si="6"/>
        <v>0</v>
      </c>
      <c r="AJ25" s="439" t="s">
        <v>157</v>
      </c>
      <c r="AK25" s="439" t="s">
        <v>38</v>
      </c>
      <c r="AL25" s="439" t="s">
        <v>0</v>
      </c>
      <c r="AM25" s="439" t="s">
        <v>38</v>
      </c>
      <c r="AN25" s="439" t="s">
        <v>0</v>
      </c>
      <c r="AO25" s="425"/>
      <c r="AP25" s="425"/>
      <c r="AQ25" s="1007" t="e">
        <f t="shared" si="9"/>
        <v>#VALUE!</v>
      </c>
      <c r="AR25" s="439" t="s">
        <v>356</v>
      </c>
      <c r="AS25" s="454" t="s">
        <v>358</v>
      </c>
      <c r="AT25" s="438" t="str">
        <f t="shared" si="10"/>
        <v>Annual</v>
      </c>
      <c r="AU25" s="441">
        <f t="shared" si="7"/>
        <v>0</v>
      </c>
      <c r="AV25" s="439" t="s">
        <v>3</v>
      </c>
      <c r="AW25" s="439" t="s">
        <v>38</v>
      </c>
      <c r="AX25" s="439" t="s">
        <v>0</v>
      </c>
      <c r="AY25" s="439" t="s">
        <v>38</v>
      </c>
      <c r="AZ25" s="439" t="s">
        <v>0</v>
      </c>
      <c r="BA25" s="439" t="s">
        <v>38</v>
      </c>
      <c r="BB25" s="439" t="s">
        <v>0</v>
      </c>
      <c r="BC25" s="425"/>
      <c r="BD25" s="425"/>
      <c r="BE25" s="436" t="e">
        <f t="shared" si="11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2"/>
        <v>NATURAL</v>
      </c>
      <c r="BI25" s="1005" t="str">
        <f t="shared" si="8"/>
        <v>NATURAL</v>
      </c>
      <c r="BJ25" s="442">
        <f ca="1">IF($M25="",IF($BG25&lt;COB,'EUR Curve Config'!CurveConfig.FixingRate,""),$M25)</f>
        <v>-2.6900000000000001E-3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s="995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U26" t="s">
        <v>12</v>
      </c>
      <c r="V26" t="s">
        <v>12</v>
      </c>
      <c r="W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s="995" t="s">
        <v>12</v>
      </c>
      <c r="BG26" s="995" t="s">
        <v>12</v>
      </c>
      <c r="BH26" s="995" t="s">
        <v>12</v>
      </c>
      <c r="BI26" s="995" t="s">
        <v>12</v>
      </c>
      <c r="BJ26" s="995" t="s">
        <v>12</v>
      </c>
      <c r="BK26" t="s">
        <v>12</v>
      </c>
      <c r="BL26" t="s">
        <v>12</v>
      </c>
      <c r="BM26" t="s">
        <v>12</v>
      </c>
    </row>
    <row r="27" spans="1:66">
      <c r="D27" s="338"/>
      <c r="E27" s="338"/>
      <c r="F27" s="210"/>
      <c r="G27" s="210"/>
      <c r="H27" s="210"/>
      <c r="I27" s="210"/>
      <c r="J27" s="210"/>
      <c r="K27" s="997"/>
      <c r="L27" s="997"/>
      <c r="M27" s="210"/>
      <c r="N27" s="417"/>
      <c r="O27" s="417"/>
      <c r="P27" s="210"/>
      <c r="Q27" s="370"/>
      <c r="R27" s="391"/>
      <c r="S27" s="391"/>
      <c r="T27" s="391"/>
      <c r="AB27"/>
    </row>
    <row r="28" spans="1:66">
      <c r="S28" s="391"/>
      <c r="AB28"/>
    </row>
    <row r="29" spans="1:66">
      <c r="C29" s="392"/>
      <c r="D29" s="995"/>
      <c r="E29" s="338"/>
      <c r="F29" s="877"/>
    </row>
    <row r="30" spans="1:66">
      <c r="C30" s="1119"/>
      <c r="E30" s="338"/>
      <c r="F30" s="877"/>
    </row>
    <row r="37" spans="18:19">
      <c r="S37" s="995"/>
    </row>
    <row r="44" spans="18:19">
      <c r="R44" s="146"/>
      <c r="S44" s="146"/>
    </row>
    <row r="56" spans="19:19">
      <c r="S56" s="995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AJ6 AV6">
      <formula1>"30/360,ACT/360,ACT/365"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5.28515625" hidden="1" customWidth="1" outlineLevel="1"/>
    <col min="30" max="30" width="14.5703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9" hidden="1" customWidth="1" outlineLevel="1"/>
    <col min="60" max="61" width="19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1812</v>
      </c>
      <c r="BN1" s="9" t="s">
        <v>1813</v>
      </c>
    </row>
    <row r="2" spans="1:66" ht="23.25">
      <c r="B2" s="371" t="s">
        <v>1078</v>
      </c>
      <c r="R2" s="132" t="s">
        <v>1445</v>
      </c>
      <c r="S2" s="1427">
        <f ca="1">SUM($R$6:$R$25)</f>
        <v>0</v>
      </c>
      <c r="T2" s="1428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1809</v>
      </c>
      <c r="AA4" s="998" t="s">
        <v>1801</v>
      </c>
      <c r="AH4" s="234" t="s">
        <v>1810</v>
      </c>
      <c r="AT4" s="234" t="s">
        <v>1811</v>
      </c>
    </row>
    <row r="5" spans="1:66" s="466" customFormat="1">
      <c r="B5" s="467" t="s">
        <v>1768</v>
      </c>
      <c r="C5" s="468" t="s">
        <v>2186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1772</v>
      </c>
      <c r="I5" s="468" t="s">
        <v>1804</v>
      </c>
      <c r="J5" s="468" t="s">
        <v>1784</v>
      </c>
      <c r="K5" s="471" t="s">
        <v>2250</v>
      </c>
      <c r="L5" s="471" t="s">
        <v>2251</v>
      </c>
      <c r="M5" s="468" t="s">
        <v>1796</v>
      </c>
      <c r="N5" s="468" t="s">
        <v>1780</v>
      </c>
      <c r="O5" s="468" t="s">
        <v>1794</v>
      </c>
      <c r="P5" s="468" t="s">
        <v>1076</v>
      </c>
      <c r="Q5" s="468" t="s">
        <v>1805</v>
      </c>
      <c r="R5" s="468" t="s">
        <v>1806</v>
      </c>
      <c r="S5" s="468" t="s">
        <v>1808</v>
      </c>
      <c r="T5" s="468" t="s">
        <v>1807</v>
      </c>
      <c r="U5" s="468" t="s">
        <v>1077</v>
      </c>
      <c r="V5" s="469" t="s">
        <v>1752</v>
      </c>
      <c r="W5" s="466" t="s">
        <v>12</v>
      </c>
      <c r="X5" s="470" t="s">
        <v>890</v>
      </c>
      <c r="Y5" s="474" t="s">
        <v>1805</v>
      </c>
      <c r="AA5" s="470" t="s">
        <v>1803</v>
      </c>
      <c r="AB5" s="471" t="s">
        <v>354</v>
      </c>
      <c r="AC5" s="471" t="s">
        <v>1768</v>
      </c>
      <c r="AD5" s="471" t="s">
        <v>1769</v>
      </c>
      <c r="AE5" s="471" t="s">
        <v>1770</v>
      </c>
      <c r="AF5" s="471" t="s">
        <v>1443</v>
      </c>
      <c r="AG5" s="472" t="s">
        <v>1444</v>
      </c>
      <c r="AH5" s="473" t="s">
        <v>1771</v>
      </c>
      <c r="AI5" s="471" t="s">
        <v>1772</v>
      </c>
      <c r="AJ5" s="471" t="s">
        <v>1773</v>
      </c>
      <c r="AK5" s="471" t="s">
        <v>1774</v>
      </c>
      <c r="AL5" s="471" t="s">
        <v>1775</v>
      </c>
      <c r="AM5" s="471" t="s">
        <v>1776</v>
      </c>
      <c r="AN5" s="471" t="s">
        <v>1777</v>
      </c>
      <c r="AO5" s="471" t="s">
        <v>1778</v>
      </c>
      <c r="AP5" s="471" t="s">
        <v>1779</v>
      </c>
      <c r="AQ5" s="471" t="s">
        <v>1780</v>
      </c>
      <c r="AR5" s="471" t="s">
        <v>1781</v>
      </c>
      <c r="AS5" s="472" t="s">
        <v>1782</v>
      </c>
      <c r="AT5" s="471" t="s">
        <v>1783</v>
      </c>
      <c r="AU5" s="471" t="s">
        <v>1784</v>
      </c>
      <c r="AV5" s="471" t="s">
        <v>1785</v>
      </c>
      <c r="AW5" s="471" t="s">
        <v>1786</v>
      </c>
      <c r="AX5" s="471" t="s">
        <v>1787</v>
      </c>
      <c r="AY5" s="471" t="s">
        <v>1788</v>
      </c>
      <c r="AZ5" s="471" t="s">
        <v>1789</v>
      </c>
      <c r="BA5" s="471" t="s">
        <v>1790</v>
      </c>
      <c r="BB5" s="471" t="s">
        <v>1791</v>
      </c>
      <c r="BC5" s="471" t="s">
        <v>1792</v>
      </c>
      <c r="BD5" s="471" t="s">
        <v>1793</v>
      </c>
      <c r="BE5" s="471" t="s">
        <v>1794</v>
      </c>
      <c r="BF5" s="471" t="s">
        <v>1795</v>
      </c>
      <c r="BG5" s="471" t="s">
        <v>1800</v>
      </c>
      <c r="BH5" s="471" t="s">
        <v>2250</v>
      </c>
      <c r="BI5" s="471" t="s">
        <v>2251</v>
      </c>
      <c r="BJ5" s="471" t="s">
        <v>1796</v>
      </c>
      <c r="BK5" s="471" t="s">
        <v>1797</v>
      </c>
      <c r="BL5" s="471" t="s">
        <v>1798</v>
      </c>
      <c r="BM5" s="474" t="s">
        <v>1799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43229</v>
      </c>
      <c r="C6" s="1120" t="s">
        <v>361</v>
      </c>
      <c r="D6" s="361">
        <v>1000000</v>
      </c>
      <c r="E6" s="361" t="s">
        <v>181</v>
      </c>
      <c r="F6" s="342" t="s">
        <v>1753</v>
      </c>
      <c r="G6" s="346" t="s">
        <v>31</v>
      </c>
      <c r="H6" s="344">
        <v>0.01</v>
      </c>
      <c r="I6" s="343" t="s">
        <v>316</v>
      </c>
      <c r="J6" s="343">
        <v>0</v>
      </c>
      <c r="K6" s="343" t="s">
        <v>2252</v>
      </c>
      <c r="L6" s="343" t="s">
        <v>2252</v>
      </c>
      <c r="M6" s="344"/>
      <c r="N6" s="419"/>
      <c r="O6" s="419"/>
      <c r="P6" s="377" t="s">
        <v>1043</v>
      </c>
      <c r="Q6" s="359" t="str">
        <f ca="1">IF(OR($D6="",$D6=0),"",_xll.meProductSwapParRate(_xll.meUtilityLVBFromKeysValues($AA$5:$BM$5,$AA6:$BM6),FALSE))</f>
        <v>[2018/05/04 09:52] #Error: Invalid Curve: CurveCollection 'USDYC' does not exist</v>
      </c>
      <c r="R6" s="458" t="str">
        <f ca="1">IF(OR($D6="",$D6=0),"",_xll.meProductSwapPV(_xll.meUtilityLVBFromKeysValues($AA$5:$BM$5,$AA6:$BM6),FALSE))</f>
        <v>[2018/05/04 09:52] #Error: Invalid Curve: CurveCollection 'USDYC' does not exist</v>
      </c>
      <c r="S6" s="461" t="str">
        <f ca="1">IF(OR($D6="",$D6=0),"",_xll.meProductSwapLegPV(_xll.meUtilityLVBFromMultipleKeysValues($AB$5:$AG$5,$AB6:$AG6,,$AH$5:$AS$5,$AH6:$AS6,,"LegType","Leg1:Fixed",,"PayReceive",$F6),FALSE))</f>
        <v>[2018/05/04 09:52] #Error: Invalid Curve: CurveCollection 'USDYC' does not exist</v>
      </c>
      <c r="T6" s="459" t="str">
        <f ca="1">IF(OR($D6="",$D6=0),"",_xll.meProductSwapLegPV(_xll.meUtilityLVBFromMultipleKeysValues($AB$5:$AG$5,$AB6:$AG6,,$AT$5:$BM$5,$AT6:$BM6,,"LegType","Leg2:Float",,"PayReceive",IF($F6="PAYER","RECEIVER","PAYER")),FALSE))</f>
        <v>[2018/05/04 09:52] #Error: Invalid Curve: CurveCollection 'USDYC' does not exist</v>
      </c>
      <c r="U6" s="458" t="str">
        <f ca="1">IF(OR($D6="",$D6=0),"",_xll.meProductSwapPV01(_xll.meUtilityLVBFromKeysValues($AA$5:$BM$5,$AA6:$BM6),FALSE))</f>
        <v>[2018/05/04 09:52] #Error: Invalid Curve: CurveCollection 'USDYC' does not exist</v>
      </c>
      <c r="V6" s="460" t="str">
        <f ca="1">IF(OR($D6="",$D6=0),"",_xll.meProductSwapDV01(_xll.meUtilityLVBFromKeysValues($AA$5:$BM$5,$AA6:$BM6),FALSE))</f>
        <v>[2018/05/04 09:52] #Error: Invalid Curve: CurveCollection 'USDYC' does not exist</v>
      </c>
      <c r="W6" t="s">
        <v>12</v>
      </c>
      <c r="X6" s="476" t="str">
        <f>IF('USD Curve Config'!BB9,'USD Curve Config'!AZ9,"")</f>
        <v>5Y</v>
      </c>
      <c r="Y6" s="477">
        <f>IF('USD Curve Config'!BB9,'USD Curve Config'!BA9,"")</f>
        <v>2.9106E-2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43229</v>
      </c>
      <c r="AD6" s="1006">
        <f ca="1">IF(OR(D6="",D6=0),"",IF(ISNUMBER($G6),$G6,IF(ISERROR(VALUE(LEFT(G6,1))),_xll.meDateFuturesContract($G6),_xll.meDateFromTenor($B6,$G6,$AM6,$AN6))))</f>
        <v>45055</v>
      </c>
      <c r="AE6" s="340" t="str">
        <f t="shared" ref="AE6:AE25" si="3">E6&amp;"YC"</f>
        <v>USDYC</v>
      </c>
      <c r="AF6" s="341" t="str">
        <f t="shared" ref="AF6:AF25" si="4">$E6&amp;$I6</f>
        <v>USD3ML</v>
      </c>
      <c r="AG6" s="445" t="str">
        <f t="shared" ref="AG6:AG25" si="5">LEFT(AE6,3)&amp;"DF_"&amp;P6</f>
        <v>USDDF_NOCSA</v>
      </c>
      <c r="AH6" s="448" t="s">
        <v>76</v>
      </c>
      <c r="AI6" s="428">
        <f t="shared" ref="AI6:AI25" si="6">H6</f>
        <v>0.01</v>
      </c>
      <c r="AJ6" s="349" t="s">
        <v>157</v>
      </c>
      <c r="AK6" s="348" t="s">
        <v>38</v>
      </c>
      <c r="AL6" s="348" t="s">
        <v>357</v>
      </c>
      <c r="AM6" s="348" t="s">
        <v>38</v>
      </c>
      <c r="AN6" s="348" t="s">
        <v>357</v>
      </c>
      <c r="AO6" s="429"/>
      <c r="AP6" s="429"/>
      <c r="AQ6" s="339">
        <f t="shared" ref="AQ6:AQ25" ca="1" si="7">DAY($B6)</f>
        <v>9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Quarterly</v>
      </c>
      <c r="AU6" s="355">
        <f t="shared" ref="AU6:AU25" si="8">J6</f>
        <v>0</v>
      </c>
      <c r="AV6" s="349" t="s">
        <v>3</v>
      </c>
      <c r="AW6" s="348" t="s">
        <v>38</v>
      </c>
      <c r="AX6" s="348" t="s">
        <v>357</v>
      </c>
      <c r="AY6" s="348" t="s">
        <v>38</v>
      </c>
      <c r="AZ6" s="348" t="s">
        <v>357</v>
      </c>
      <c r="BA6" s="348" t="s">
        <v>38</v>
      </c>
      <c r="BB6" s="348" t="s">
        <v>357</v>
      </c>
      <c r="BC6" s="429"/>
      <c r="BD6" s="429"/>
      <c r="BE6" s="339">
        <f t="shared" ref="BE6:BE25" ca="1" si="9">DAY($B6)</f>
        <v>9</v>
      </c>
      <c r="BF6" s="350" t="s">
        <v>356</v>
      </c>
      <c r="BG6" s="430">
        <f ca="1">_xll.meDateFromTenor($B6,"-"&amp;BF6,$AW6,$AX6)</f>
        <v>43229</v>
      </c>
      <c r="BH6" s="1006" t="str">
        <f>K6</f>
        <v>NATURAL</v>
      </c>
      <c r="BI6" s="1006" t="str">
        <f t="shared" ref="BI6:BI25" si="10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43229</v>
      </c>
      <c r="C7" s="1122" t="s">
        <v>361</v>
      </c>
      <c r="D7" s="362">
        <v>1000000</v>
      </c>
      <c r="E7" s="362" t="s">
        <v>181</v>
      </c>
      <c r="F7" s="365" t="s">
        <v>1753</v>
      </c>
      <c r="G7" s="397" t="str">
        <f t="shared" ref="G7:G15" si="11">X7</f>
        <v>7Y</v>
      </c>
      <c r="H7" s="363">
        <v>0.01</v>
      </c>
      <c r="I7" s="364" t="s">
        <v>316</v>
      </c>
      <c r="J7" s="364">
        <v>0</v>
      </c>
      <c r="K7" s="364" t="s">
        <v>2252</v>
      </c>
      <c r="L7" s="364" t="s">
        <v>2252</v>
      </c>
      <c r="M7" s="363"/>
      <c r="N7" s="420"/>
      <c r="O7" s="420"/>
      <c r="P7" s="378" t="s">
        <v>1043</v>
      </c>
      <c r="Q7" s="360" t="str">
        <f ca="1">IF(OR($D7="",$D7=0),"",_xll.meProductSwapParRate(_xll.meUtilityLVBFromKeysValues($AA$5:$BM$5,$AA7:$BM7),FALSE))</f>
        <v>[2018/05/04 09:52] #Error: Invalid Curve: CurveCollection 'USDYC' does not exist</v>
      </c>
      <c r="R7" s="461" t="str">
        <f ca="1">IF(OR($D7="",$D7=0),"",_xll.meProductSwapPV(_xll.meUtilityLVBFromKeysValues($AA$5:$BM$5,$AA7:$BM7),FALSE))</f>
        <v>[2018/05/04 09:52] #Error: Invalid Curve: CurveCollection 'USDYC' does not exist</v>
      </c>
      <c r="S7" s="461" t="str">
        <f ca="1">IF(OR($D7="",$D7=0),"",_xll.meProductSwapLegPV(_xll.meUtilityLVBFromMultipleKeysValues($AB$5:$AG$5,$AB7:$AG7,,$AH$5:$AS$5,$AH7:$AS7,,"LegType","Leg1:Fixed",,"PayReceive",$F7),FALSE))</f>
        <v>[2018/05/04 09:52] #Error: Invalid Curve: CurveCollection 'USDYC' does not exist</v>
      </c>
      <c r="T7" s="461" t="str">
        <f ca="1">IF(OR($D7="",$D7=0),"",_xll.meProductSwapLegPV(_xll.meUtilityLVBFromMultipleKeysValues($AB$5:$AG$5,$AB7:$AG7,,$AT$5:$BM$5,$AT7:$BM7,,"LegType","Leg2:Float",,"PayReceive",IF($F7="PAYER","RECEIVER","PAYER")),FALSE))</f>
        <v>[2018/05/04 09:52] #Error: Invalid Curve: CurveCollection 'USDYC' does not exist</v>
      </c>
      <c r="U7" s="461" t="str">
        <f ca="1">IF(OR($D7="",$D7=0),"",_xll.meProductSwapPV01(_xll.meUtilityLVBFromKeysValues($AA$5:$BM$5,$AA7:$BM7),FALSE))</f>
        <v>[2018/05/04 09:52] #Error: Invalid Curve: CurveCollection 'USDYC' does not exist</v>
      </c>
      <c r="V7" s="462" t="str">
        <f ca="1">IF(OR($D7="",$D7=0),"",_xll.meProductSwapDV01(_xll.meUtilityLVBFromKeysValues($AA$5:$BM$5,$AA7:$BM7),FALSE))</f>
        <v>[2018/05/04 09:52] #Error: Invalid Curve: CurveCollection 'USDYC' does not exist</v>
      </c>
      <c r="W7" t="s">
        <v>12</v>
      </c>
      <c r="X7" s="476" t="str">
        <f>IF('USD Curve Config'!BB10,'USD Curve Config'!AZ10,"")</f>
        <v>7Y</v>
      </c>
      <c r="Y7" s="477">
        <f>IF('USD Curve Config'!BB10,'USD Curve Config'!BA10,"")</f>
        <v>2.9407000000000003E-2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43229</v>
      </c>
      <c r="AD7" s="399">
        <f ca="1">IF(OR(D7="",D7=0),"",IF(ISNUMBER($G7),$G7,IF(ISERROR(VALUE(LEFT(G7,1))),_xll.meDateFuturesContract($G7),_xll.meDateFromTenor($B7,$G7,$AM7,$AN7))))</f>
        <v>45786</v>
      </c>
      <c r="AE7" s="352" t="str">
        <f t="shared" si="3"/>
        <v>USDYC</v>
      </c>
      <c r="AF7" s="352" t="str">
        <f t="shared" si="4"/>
        <v>USD3ML</v>
      </c>
      <c r="AG7" s="446" t="str">
        <f t="shared" si="5"/>
        <v>USDDF_NOCSA</v>
      </c>
      <c r="AH7" s="450" t="s">
        <v>76</v>
      </c>
      <c r="AI7" s="432">
        <f t="shared" si="6"/>
        <v>0.01</v>
      </c>
      <c r="AJ7" s="351" t="s">
        <v>157</v>
      </c>
      <c r="AK7" s="351" t="s">
        <v>38</v>
      </c>
      <c r="AL7" s="351" t="s">
        <v>357</v>
      </c>
      <c r="AM7" s="351" t="s">
        <v>38</v>
      </c>
      <c r="AN7" s="351" t="s">
        <v>357</v>
      </c>
      <c r="AO7" s="429"/>
      <c r="AP7" s="429"/>
      <c r="AQ7" s="1004">
        <f t="shared" ca="1" si="7"/>
        <v>9</v>
      </c>
      <c r="AR7" s="347" t="s">
        <v>356</v>
      </c>
      <c r="AS7" s="451" t="s">
        <v>358</v>
      </c>
      <c r="AT7" s="352" t="str">
        <f t="shared" ref="AT7:AT25" si="12">IF($I7="1ML","Monthly",IF($I7="3ML","Quarterly",IF($I7="6ML","Semi-Annual","Annual")))</f>
        <v>Quarterly</v>
      </c>
      <c r="AU7" s="356">
        <f t="shared" si="8"/>
        <v>0</v>
      </c>
      <c r="AV7" s="347" t="s">
        <v>3</v>
      </c>
      <c r="AW7" s="347" t="s">
        <v>38</v>
      </c>
      <c r="AX7" s="347" t="s">
        <v>357</v>
      </c>
      <c r="AY7" s="347" t="s">
        <v>38</v>
      </c>
      <c r="AZ7" s="347" t="s">
        <v>357</v>
      </c>
      <c r="BA7" s="347" t="s">
        <v>38</v>
      </c>
      <c r="BB7" s="347" t="s">
        <v>357</v>
      </c>
      <c r="BC7" s="429"/>
      <c r="BD7" s="429"/>
      <c r="BE7" s="418">
        <f t="shared" ca="1" si="9"/>
        <v>9</v>
      </c>
      <c r="BF7" s="347" t="s">
        <v>356</v>
      </c>
      <c r="BG7" s="430">
        <f ca="1">_xll.meDateFromTenor($B7,"-"&amp;BF7,$AW7,$AX7)</f>
        <v>43229</v>
      </c>
      <c r="BH7" s="1006" t="str">
        <f t="shared" ref="BH7:BH25" si="13">K7</f>
        <v>NATURAL</v>
      </c>
      <c r="BI7" s="1006" t="str">
        <f t="shared" si="10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43229</v>
      </c>
      <c r="C8" s="1120" t="s">
        <v>361</v>
      </c>
      <c r="D8" s="362">
        <v>1000000</v>
      </c>
      <c r="E8" s="362" t="s">
        <v>181</v>
      </c>
      <c r="F8" s="365" t="s">
        <v>1753</v>
      </c>
      <c r="G8" s="397" t="str">
        <f t="shared" si="11"/>
        <v>10Y</v>
      </c>
      <c r="H8" s="363">
        <v>0.01</v>
      </c>
      <c r="I8" s="364" t="s">
        <v>316</v>
      </c>
      <c r="J8" s="364">
        <v>0</v>
      </c>
      <c r="K8" s="364" t="s">
        <v>2252</v>
      </c>
      <c r="L8" s="364" t="s">
        <v>2252</v>
      </c>
      <c r="M8" s="363"/>
      <c r="N8" s="420"/>
      <c r="O8" s="420"/>
      <c r="P8" s="378" t="s">
        <v>1043</v>
      </c>
      <c r="Q8" s="360" t="str">
        <f ca="1">IF(OR($D8="",$D8=0),"",_xll.meProductSwapParRate(_xll.meUtilityLVBFromKeysValues($AA$5:$BM$5,$AA8:$BM8),FALSE))</f>
        <v>[2018/05/04 09:52] #Error: Invalid Curve: CurveCollection 'USDYC' does not exist</v>
      </c>
      <c r="R8" s="461" t="str">
        <f ca="1">IF(OR($D8="",$D8=0),"",_xll.meProductSwapPV(_xll.meUtilityLVBFromKeysValues($AA$5:$BM$5,$AA8:$BM8),FALSE))</f>
        <v>[2018/05/04 09:52] #Error: Invalid Curve: CurveCollection 'USDYC' does not exist</v>
      </c>
      <c r="S8" s="461" t="str">
        <f ca="1">IF(OR($D8="",$D8=0),"",_xll.meProductSwapLegPV(_xll.meUtilityLVBFromMultipleKeysValues($AB$5:$AG$5,$AB8:$AG8,,$AH$5:$AS$5,$AH8:$AS8,,"LegType","Leg1:Fixed",,"PayReceive",$F8),FALSE))</f>
        <v>[2018/05/04 09:52] #Error: Invalid Curve: CurveCollection 'USDYC' does not exist</v>
      </c>
      <c r="T8" s="461" t="str">
        <f ca="1">IF(OR($D8="",$D8=0),"",_xll.meProductSwapLegPV(_xll.meUtilityLVBFromMultipleKeysValues($AB$5:$AG$5,$AB8:$AG8,,$AT$5:$BM$5,$AT8:$BM8,,"LegType","Leg2:Float",,"PayReceive",IF($F8="PAYER","RECEIVER","PAYER")),FALSE))</f>
        <v>[2018/05/04 09:52] #Error: Invalid Curve: CurveCollection 'USDYC' does not exist</v>
      </c>
      <c r="U8" s="461" t="str">
        <f ca="1">IF(OR($D8="",$D8=0),"",_xll.meProductSwapPV01(_xll.meUtilityLVBFromKeysValues($AA$5:$BM$5,$AA8:$BM8),FALSE))</f>
        <v>[2018/05/04 09:52] #Error: Invalid Curve: CurveCollection 'USDYC' does not exist</v>
      </c>
      <c r="V8" s="462" t="str">
        <f ca="1">IF(OR($D8="",$D8=0),"",_xll.meProductSwapDV01(_xll.meUtilityLVBFromKeysValues($AA$5:$BM$5,$AA8:$BM8),FALSE))</f>
        <v>[2018/05/04 09:52] #Error: Invalid Curve: CurveCollection 'USDYC' does not exist</v>
      </c>
      <c r="W8" t="s">
        <v>12</v>
      </c>
      <c r="X8" s="476" t="str">
        <f>IF('USD Curve Config'!BB11,'USD Curve Config'!AZ11,"")</f>
        <v>10Y</v>
      </c>
      <c r="Y8" s="477">
        <f>IF('USD Curve Config'!BB11,'USD Curve Config'!BA11,"")</f>
        <v>2.9773999999999998E-2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43229</v>
      </c>
      <c r="AD8" s="399">
        <f ca="1">IF(OR(D8="",D8=0),"",IF(ISNUMBER($G8),$G8,IF(ISERROR(VALUE(LEFT(G8,1))),_xll.meDateFuturesContract($G8),_xll.meDateFromTenor($B8,$G8,$AM8,$AN8))))</f>
        <v>46882</v>
      </c>
      <c r="AE8" s="352" t="str">
        <f t="shared" si="3"/>
        <v>USDYC</v>
      </c>
      <c r="AF8" s="352" t="str">
        <f t="shared" si="4"/>
        <v>USD3ML</v>
      </c>
      <c r="AG8" s="446" t="str">
        <f t="shared" si="5"/>
        <v>USDDF_NOCSA</v>
      </c>
      <c r="AH8" s="450" t="s">
        <v>76</v>
      </c>
      <c r="AI8" s="432">
        <f t="shared" si="6"/>
        <v>0.01</v>
      </c>
      <c r="AJ8" s="351" t="s">
        <v>157</v>
      </c>
      <c r="AK8" s="351" t="s">
        <v>38</v>
      </c>
      <c r="AL8" s="351" t="s">
        <v>357</v>
      </c>
      <c r="AM8" s="351" t="s">
        <v>38</v>
      </c>
      <c r="AN8" s="351" t="s">
        <v>357</v>
      </c>
      <c r="AO8" s="429"/>
      <c r="AP8" s="429"/>
      <c r="AQ8" s="1004">
        <f t="shared" ca="1" si="7"/>
        <v>9</v>
      </c>
      <c r="AR8" s="347" t="s">
        <v>356</v>
      </c>
      <c r="AS8" s="451" t="s">
        <v>358</v>
      </c>
      <c r="AT8" s="352" t="str">
        <f t="shared" si="12"/>
        <v>Quarterly</v>
      </c>
      <c r="AU8" s="356">
        <f t="shared" si="8"/>
        <v>0</v>
      </c>
      <c r="AV8" s="347" t="s">
        <v>3</v>
      </c>
      <c r="AW8" s="347" t="s">
        <v>38</v>
      </c>
      <c r="AX8" s="347" t="s">
        <v>357</v>
      </c>
      <c r="AY8" s="347" t="s">
        <v>38</v>
      </c>
      <c r="AZ8" s="347" t="s">
        <v>357</v>
      </c>
      <c r="BA8" s="347" t="s">
        <v>38</v>
      </c>
      <c r="BB8" s="347" t="s">
        <v>357</v>
      </c>
      <c r="BC8" s="429"/>
      <c r="BD8" s="429"/>
      <c r="BE8" s="418">
        <f t="shared" ca="1" si="9"/>
        <v>9</v>
      </c>
      <c r="BF8" s="347" t="s">
        <v>356</v>
      </c>
      <c r="BG8" s="430">
        <f ca="1">_xll.meDateFromTenor($B8,"-"&amp;BF8,$AW8,$AX8)</f>
        <v>43229</v>
      </c>
      <c r="BH8" s="1006" t="str">
        <f t="shared" si="13"/>
        <v>NATURAL</v>
      </c>
      <c r="BI8" s="1006" t="str">
        <f t="shared" si="10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43229</v>
      </c>
      <c r="C9" s="1120" t="s">
        <v>361</v>
      </c>
      <c r="D9" s="362">
        <v>1000000</v>
      </c>
      <c r="E9" s="362" t="s">
        <v>181</v>
      </c>
      <c r="F9" s="365" t="s">
        <v>1753</v>
      </c>
      <c r="G9" s="397" t="str">
        <f t="shared" si="11"/>
        <v>11Y</v>
      </c>
      <c r="H9" s="363">
        <v>0.01</v>
      </c>
      <c r="I9" s="364" t="s">
        <v>316</v>
      </c>
      <c r="J9" s="364">
        <v>0</v>
      </c>
      <c r="K9" s="364" t="s">
        <v>2252</v>
      </c>
      <c r="L9" s="364" t="s">
        <v>2252</v>
      </c>
      <c r="M9" s="363"/>
      <c r="N9" s="420"/>
      <c r="O9" s="420"/>
      <c r="P9" s="378" t="s">
        <v>1043</v>
      </c>
      <c r="Q9" s="360" t="str">
        <f ca="1">IF(OR($D9="",$D9=0),"",_xll.meProductSwapParRate(_xll.meUtilityLVBFromKeysValues($AA$5:$BM$5,$AA9:$BM9),FALSE))</f>
        <v>[2018/05/04 09:52] #Error: Invalid Curve: CurveCollection 'USDYC' does not exist</v>
      </c>
      <c r="R9" s="461" t="str">
        <f ca="1">IF(OR($D9="",$D9=0),"",_xll.meProductSwapPV(_xll.meUtilityLVBFromKeysValues($AA$5:$BM$5,$AA9:$BM9),FALSE))</f>
        <v>[2018/05/04 09:52] #Error: Invalid Curve: CurveCollection 'USDYC' does not exist</v>
      </c>
      <c r="S9" s="461" t="str">
        <f ca="1">IF(OR($D9="",$D9=0),"",_xll.meProductSwapLegPV(_xll.meUtilityLVBFromMultipleKeysValues($AB$5:$AG$5,$AB9:$AG9,,$AH$5:$AS$5,$AH9:$AS9,,"LegType","Leg1:Fixed",,"PayReceive",$F9),FALSE))</f>
        <v>[2018/05/04 09:52] #Error: Invalid Curve: CurveCollection 'USDYC' does not exist</v>
      </c>
      <c r="T9" s="461" t="str">
        <f ca="1">IF(OR($D9="",$D9=0),"",_xll.meProductSwapLegPV(_xll.meUtilityLVBFromMultipleKeysValues($AB$5:$AG$5,$AB9:$AG9,,$AT$5:$BM$5,$AT9:$BM9,,"LegType","Leg2:Float",,"PayReceive",IF($F9="PAYER","RECEIVER","PAYER")),FALSE))</f>
        <v>[2018/05/04 09:52] #Error: Invalid Curve: CurveCollection 'USDYC' does not exist</v>
      </c>
      <c r="U9" s="461" t="str">
        <f ca="1">IF(OR($D9="",$D9=0),"",_xll.meProductSwapPV01(_xll.meUtilityLVBFromKeysValues($AA$5:$BM$5,$AA9:$BM9),FALSE))</f>
        <v>[2018/05/04 09:52] #Error: Invalid Curve: CurveCollection 'USDYC' does not exist</v>
      </c>
      <c r="V9" s="462" t="str">
        <f ca="1">IF(OR($D9="",$D9=0),"",_xll.meProductSwapDV01(_xll.meUtilityLVBFromKeysValues($AA$5:$BM$5,$AA9:$BM9),FALSE))</f>
        <v>[2018/05/04 09:52] #Error: Invalid Curve: CurveCollection 'USDYC' does not exist</v>
      </c>
      <c r="W9" t="s">
        <v>12</v>
      </c>
      <c r="X9" s="476" t="str">
        <f>IF('USD Curve Config'!BB12,'USD Curve Config'!AZ12,"")</f>
        <v>11Y</v>
      </c>
      <c r="Y9" s="477">
        <f>IF('USD Curve Config'!BB12,'USD Curve Config'!BA12,"")</f>
        <v>2.9900000000000003E-2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43229</v>
      </c>
      <c r="AD9" s="399">
        <f ca="1">IF(OR(D9="",D9=0),"",IF(ISNUMBER($G9),$G9,IF(ISERROR(VALUE(LEFT(G9,1))),_xll.meDateFuturesContract($G9),_xll.meDateFromTenor($B9,$G9,$AM9,$AN9))))</f>
        <v>47247</v>
      </c>
      <c r="AE9" s="352" t="str">
        <f t="shared" si="3"/>
        <v>USDYC</v>
      </c>
      <c r="AF9" s="352" t="str">
        <f t="shared" si="4"/>
        <v>USD3ML</v>
      </c>
      <c r="AG9" s="446" t="str">
        <f t="shared" si="5"/>
        <v>USDDF_NOCSA</v>
      </c>
      <c r="AH9" s="452" t="s">
        <v>76</v>
      </c>
      <c r="AI9" s="434">
        <f t="shared" si="6"/>
        <v>0.01</v>
      </c>
      <c r="AJ9" s="347" t="s">
        <v>157</v>
      </c>
      <c r="AK9" s="347" t="s">
        <v>38</v>
      </c>
      <c r="AL9" s="347" t="s">
        <v>357</v>
      </c>
      <c r="AM9" s="347" t="s">
        <v>38</v>
      </c>
      <c r="AN9" s="347" t="s">
        <v>357</v>
      </c>
      <c r="AO9" s="429"/>
      <c r="AP9" s="429"/>
      <c r="AQ9" s="1004">
        <f t="shared" ca="1" si="7"/>
        <v>9</v>
      </c>
      <c r="AR9" s="347" t="s">
        <v>356</v>
      </c>
      <c r="AS9" s="451" t="s">
        <v>358</v>
      </c>
      <c r="AT9" s="352" t="str">
        <f t="shared" si="12"/>
        <v>Quarterly</v>
      </c>
      <c r="AU9" s="356">
        <f t="shared" si="8"/>
        <v>0</v>
      </c>
      <c r="AV9" s="347" t="s">
        <v>3</v>
      </c>
      <c r="AW9" s="347" t="s">
        <v>38</v>
      </c>
      <c r="AX9" s="347" t="s">
        <v>357</v>
      </c>
      <c r="AY9" s="347" t="s">
        <v>38</v>
      </c>
      <c r="AZ9" s="347" t="s">
        <v>357</v>
      </c>
      <c r="BA9" s="347" t="s">
        <v>38</v>
      </c>
      <c r="BB9" s="347" t="s">
        <v>357</v>
      </c>
      <c r="BC9" s="429"/>
      <c r="BD9" s="429"/>
      <c r="BE9" s="418">
        <f t="shared" ca="1" si="9"/>
        <v>9</v>
      </c>
      <c r="BF9" s="347" t="s">
        <v>356</v>
      </c>
      <c r="BG9" s="430">
        <f ca="1">_xll.meDateFromTenor($B9,"-"&amp;BF9,$AW9,$AX9)</f>
        <v>43229</v>
      </c>
      <c r="BH9" s="1006" t="str">
        <f t="shared" si="13"/>
        <v>NATURAL</v>
      </c>
      <c r="BI9" s="1006" t="str">
        <f t="shared" si="10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43229</v>
      </c>
      <c r="C10" s="1120" t="s">
        <v>361</v>
      </c>
      <c r="D10" s="362">
        <v>1000000</v>
      </c>
      <c r="E10" s="362" t="s">
        <v>181</v>
      </c>
      <c r="F10" s="365" t="s">
        <v>1753</v>
      </c>
      <c r="G10" s="397" t="str">
        <f t="shared" si="11"/>
        <v>12Y</v>
      </c>
      <c r="H10" s="363">
        <v>0.01</v>
      </c>
      <c r="I10" s="364" t="s">
        <v>316</v>
      </c>
      <c r="J10" s="364">
        <v>0</v>
      </c>
      <c r="K10" s="364" t="s">
        <v>2252</v>
      </c>
      <c r="L10" s="364" t="s">
        <v>2252</v>
      </c>
      <c r="M10" s="363"/>
      <c r="N10" s="420"/>
      <c r="O10" s="420"/>
      <c r="P10" s="378" t="s">
        <v>1043</v>
      </c>
      <c r="Q10" s="360" t="str">
        <f ca="1">IF(OR($D10="",$D10=0),"",_xll.meProductSwapParRate(_xll.meUtilityLVBFromKeysValues($AA$5:$BM$5,$AA10:$BM10),FALSE))</f>
        <v>[2018/05/04 09:52] #Error: Invalid Curve: CurveCollection 'USDYC' does not exist</v>
      </c>
      <c r="R10" s="461" t="str">
        <f ca="1">IF(OR($D10="",$D10=0),"",_xll.meProductSwapPV(_xll.meUtilityLVBFromKeysValues($AA$5:$BM$5,$AA10:$BM10),FALSE))</f>
        <v>[2018/05/04 09:52] #Error: Invalid Curve: CurveCollection 'USDYC' does not exist</v>
      </c>
      <c r="S10" s="461" t="str">
        <f ca="1">IF(OR($D10="",$D10=0),"",_xll.meProductSwapLegPV(_xll.meUtilityLVBFromMultipleKeysValues($AB$5:$AG$5,$AB10:$AG10,,$AH$5:$AS$5,$AH10:$AS10,,"LegType","Leg1:Fixed",,"PayReceive",$F10),FALSE))</f>
        <v>[2018/05/04 09:52] #Error: Invalid Curve: CurveCollection 'USDYC' does not exist</v>
      </c>
      <c r="T10" s="461" t="str">
        <f ca="1">IF(OR($D10="",$D10=0),"",_xll.meProductSwapLegPV(_xll.meUtilityLVBFromMultipleKeysValues($AB$5:$AG$5,$AB10:$AG10,,$AT$5:$BM$5,$AT10:$BM10,,"LegType","Leg2:Float",,"PayReceive",IF($F10="PAYER","RECEIVER","PAYER")),FALSE))</f>
        <v>[2018/05/04 09:52] #Error: Invalid Curve: CurveCollection 'USDYC' does not exist</v>
      </c>
      <c r="U10" s="461" t="str">
        <f ca="1">IF(OR($D10="",$D10=0),"",_xll.meProductSwapPV01(_xll.meUtilityLVBFromKeysValues($AA$5:$BM$5,$AA10:$BM10),FALSE))</f>
        <v>[2018/05/04 09:52] #Error: Invalid Curve: CurveCollection 'USDYC' does not exist</v>
      </c>
      <c r="V10" s="462" t="str">
        <f ca="1">IF(OR($D10="",$D10=0),"",_xll.meProductSwapDV01(_xll.meUtilityLVBFromKeysValues($AA$5:$BM$5,$AA10:$BM10),FALSE))</f>
        <v>[2018/05/04 09:52] #Error: Invalid Curve: CurveCollection 'USDYC' does not exist</v>
      </c>
      <c r="W10" t="s">
        <v>12</v>
      </c>
      <c r="X10" s="476" t="str">
        <f>IF('USD Curve Config'!BB13,'USD Curve Config'!AZ13,"")</f>
        <v>12Y</v>
      </c>
      <c r="Y10" s="477">
        <f>IF('USD Curve Config'!BB13,'USD Curve Config'!BA13,"")</f>
        <v>3.0005E-2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43229</v>
      </c>
      <c r="AD10" s="399">
        <f ca="1">IF(OR(D10="",D10=0),"",IF(ISNUMBER($G10),$G10,IF(ISERROR(VALUE(LEFT(G10,1))),_xll.meDateFuturesContract($G10),_xll.meDateFromTenor($B10,$G10,$AM10,$AN10))))</f>
        <v>47612</v>
      </c>
      <c r="AE10" s="352" t="str">
        <f t="shared" si="3"/>
        <v>USDYC</v>
      </c>
      <c r="AF10" s="352" t="str">
        <f t="shared" si="4"/>
        <v>USD3ML</v>
      </c>
      <c r="AG10" s="446" t="str">
        <f t="shared" si="5"/>
        <v>USDDF_NOCSA</v>
      </c>
      <c r="AH10" s="452" t="s">
        <v>76</v>
      </c>
      <c r="AI10" s="434">
        <f t="shared" si="6"/>
        <v>0.01</v>
      </c>
      <c r="AJ10" s="347" t="s">
        <v>157</v>
      </c>
      <c r="AK10" s="347" t="s">
        <v>38</v>
      </c>
      <c r="AL10" s="347" t="s">
        <v>357</v>
      </c>
      <c r="AM10" s="347" t="s">
        <v>38</v>
      </c>
      <c r="AN10" s="347" t="s">
        <v>357</v>
      </c>
      <c r="AO10" s="429"/>
      <c r="AP10" s="429"/>
      <c r="AQ10" s="1004">
        <f t="shared" ca="1" si="7"/>
        <v>9</v>
      </c>
      <c r="AR10" s="347" t="s">
        <v>356</v>
      </c>
      <c r="AS10" s="451" t="s">
        <v>358</v>
      </c>
      <c r="AT10" s="352" t="str">
        <f t="shared" si="12"/>
        <v>Quarterly</v>
      </c>
      <c r="AU10" s="356">
        <f t="shared" si="8"/>
        <v>0</v>
      </c>
      <c r="AV10" s="347" t="s">
        <v>3</v>
      </c>
      <c r="AW10" s="347" t="s">
        <v>38</v>
      </c>
      <c r="AX10" s="347" t="s">
        <v>357</v>
      </c>
      <c r="AY10" s="347" t="s">
        <v>38</v>
      </c>
      <c r="AZ10" s="347" t="s">
        <v>357</v>
      </c>
      <c r="BA10" s="347" t="s">
        <v>38</v>
      </c>
      <c r="BB10" s="347" t="s">
        <v>357</v>
      </c>
      <c r="BC10" s="429"/>
      <c r="BD10" s="429"/>
      <c r="BE10" s="418">
        <f t="shared" ca="1" si="9"/>
        <v>9</v>
      </c>
      <c r="BF10" s="347" t="s">
        <v>356</v>
      </c>
      <c r="BG10" s="430">
        <f ca="1">_xll.meDateFromTenor($B10,"-"&amp;BF10,$AW10,$AX10)</f>
        <v>43229</v>
      </c>
      <c r="BH10" s="1006" t="str">
        <f t="shared" si="13"/>
        <v>NATURAL</v>
      </c>
      <c r="BI10" s="1006" t="str">
        <f t="shared" si="10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43229</v>
      </c>
      <c r="C11" s="1120" t="s">
        <v>361</v>
      </c>
      <c r="D11" s="362">
        <v>1000000</v>
      </c>
      <c r="E11" s="362" t="s">
        <v>181</v>
      </c>
      <c r="F11" s="365" t="s">
        <v>1753</v>
      </c>
      <c r="G11" s="397" t="str">
        <f t="shared" si="11"/>
        <v>15Y</v>
      </c>
      <c r="H11" s="363">
        <v>0.01</v>
      </c>
      <c r="I11" s="364" t="s">
        <v>316</v>
      </c>
      <c r="J11" s="364">
        <v>0</v>
      </c>
      <c r="K11" s="364" t="s">
        <v>2252</v>
      </c>
      <c r="L11" s="364" t="s">
        <v>2252</v>
      </c>
      <c r="M11" s="363"/>
      <c r="N11" s="420"/>
      <c r="O11" s="420"/>
      <c r="P11" s="378" t="s">
        <v>1043</v>
      </c>
      <c r="Q11" s="360" t="str">
        <f ca="1">IF(OR($D11="",$D11=0),"",_xll.meProductSwapParRate(_xll.meUtilityLVBFromKeysValues($AA$5:$BM$5,$AA11:$BM11),FALSE))</f>
        <v>[2018/05/04 09:52] #Error: Invalid Curve: CurveCollection 'USDYC' does not exist</v>
      </c>
      <c r="R11" s="461" t="str">
        <f ca="1">IF(OR($D11="",$D11=0),"",_xll.meProductSwapPV(_xll.meUtilityLVBFromKeysValues($AA$5:$BM$5,$AA11:$BM11),FALSE))</f>
        <v>[2018/05/04 09:52] #Error: Invalid Curve: CurveCollection 'USDYC' does not exist</v>
      </c>
      <c r="S11" s="461" t="str">
        <f ca="1">IF(OR($D11="",$D11=0),"",_xll.meProductSwapLegPV(_xll.meUtilityLVBFromMultipleKeysValues($AB$5:$AG$5,$AB11:$AG11,,$AH$5:$AS$5,$AH11:$AS11,,"LegType","Leg1:Fixed",,"PayReceive",$F11),FALSE))</f>
        <v>[2018/05/04 09:52] #Error: Invalid Curve: CurveCollection 'USDYC' does not exist</v>
      </c>
      <c r="T11" s="461" t="str">
        <f ca="1">IF(OR($D11="",$D11=0),"",_xll.meProductSwapLegPV(_xll.meUtilityLVBFromMultipleKeysValues($AB$5:$AG$5,$AB11:$AG11,,$AT$5:$BM$5,$AT11:$BM11,,"LegType","Leg2:Float",,"PayReceive",IF($F11="PAYER","RECEIVER","PAYER")),FALSE))</f>
        <v>[2018/05/04 09:52] #Error: Invalid Curve: CurveCollection 'USDYC' does not exist</v>
      </c>
      <c r="U11" s="461" t="str">
        <f ca="1">IF(OR($D11="",$D11=0),"",_xll.meProductSwapPV01(_xll.meUtilityLVBFromKeysValues($AA$5:$BM$5,$AA11:$BM11),FALSE))</f>
        <v>[2018/05/04 09:52] #Error: Invalid Curve: CurveCollection 'USDYC' does not exist</v>
      </c>
      <c r="V11" s="462" t="str">
        <f ca="1">IF(OR($D11="",$D11=0),"",_xll.meProductSwapDV01(_xll.meUtilityLVBFromKeysValues($AA$5:$BM$5,$AA11:$BM11),FALSE))</f>
        <v>[2018/05/04 09:52] #Error: Invalid Curve: CurveCollection 'USDYC' does not exist</v>
      </c>
      <c r="W11" t="s">
        <v>12</v>
      </c>
      <c r="X11" s="476" t="str">
        <f>IF('USD Curve Config'!BB14,'USD Curve Config'!AZ14,"")</f>
        <v>15Y</v>
      </c>
      <c r="Y11" s="477">
        <f>IF('USD Curve Config'!BB14,'USD Curve Config'!BA14,"")</f>
        <v>3.0205000000000003E-2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43229</v>
      </c>
      <c r="AD11" s="399">
        <f ca="1">IF(OR(D11="",D11=0),"",IF(ISNUMBER($G11),$G11,IF(ISERROR(VALUE(LEFT(G11,1))),_xll.meDateFuturesContract($G11),_xll.meDateFromTenor($B11,$G11,$AM11,$AN11))))</f>
        <v>48708</v>
      </c>
      <c r="AE11" s="352" t="str">
        <f t="shared" si="3"/>
        <v>USDYC</v>
      </c>
      <c r="AF11" s="352" t="str">
        <f t="shared" si="4"/>
        <v>USD3ML</v>
      </c>
      <c r="AG11" s="446" t="str">
        <f t="shared" si="5"/>
        <v>USDDF_NOCSA</v>
      </c>
      <c r="AH11" s="452" t="s">
        <v>76</v>
      </c>
      <c r="AI11" s="434">
        <f t="shared" si="6"/>
        <v>0.01</v>
      </c>
      <c r="AJ11" s="347" t="s">
        <v>157</v>
      </c>
      <c r="AK11" s="347" t="s">
        <v>38</v>
      </c>
      <c r="AL11" s="347" t="s">
        <v>357</v>
      </c>
      <c r="AM11" s="347" t="s">
        <v>38</v>
      </c>
      <c r="AN11" s="347" t="s">
        <v>357</v>
      </c>
      <c r="AO11" s="429"/>
      <c r="AP11" s="429"/>
      <c r="AQ11" s="1004">
        <f t="shared" ca="1" si="7"/>
        <v>9</v>
      </c>
      <c r="AR11" s="347" t="s">
        <v>356</v>
      </c>
      <c r="AS11" s="451" t="s">
        <v>358</v>
      </c>
      <c r="AT11" s="352" t="str">
        <f t="shared" si="12"/>
        <v>Quarterly</v>
      </c>
      <c r="AU11" s="356">
        <f t="shared" si="8"/>
        <v>0</v>
      </c>
      <c r="AV11" s="347" t="s">
        <v>3</v>
      </c>
      <c r="AW11" s="347" t="s">
        <v>38</v>
      </c>
      <c r="AX11" s="347" t="s">
        <v>357</v>
      </c>
      <c r="AY11" s="347" t="s">
        <v>38</v>
      </c>
      <c r="AZ11" s="347" t="s">
        <v>357</v>
      </c>
      <c r="BA11" s="347" t="s">
        <v>38</v>
      </c>
      <c r="BB11" s="347" t="s">
        <v>357</v>
      </c>
      <c r="BC11" s="429"/>
      <c r="BD11" s="429"/>
      <c r="BE11" s="418">
        <f t="shared" ca="1" si="9"/>
        <v>9</v>
      </c>
      <c r="BF11" s="347" t="s">
        <v>356</v>
      </c>
      <c r="BG11" s="430">
        <f ca="1">_xll.meDateFromTenor($B11,"-"&amp;BF11,$AW11,$AX11)</f>
        <v>43229</v>
      </c>
      <c r="BH11" s="1006" t="str">
        <f t="shared" si="13"/>
        <v>NATURAL</v>
      </c>
      <c r="BI11" s="1006" t="str">
        <f t="shared" si="10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43229</v>
      </c>
      <c r="C12" s="1120" t="s">
        <v>361</v>
      </c>
      <c r="D12" s="362">
        <v>1000000</v>
      </c>
      <c r="E12" s="362" t="s">
        <v>181</v>
      </c>
      <c r="F12" s="365" t="s">
        <v>1753</v>
      </c>
      <c r="G12" s="397" t="str">
        <f t="shared" si="11"/>
        <v>20Y</v>
      </c>
      <c r="H12" s="363">
        <v>0.01</v>
      </c>
      <c r="I12" s="364" t="s">
        <v>316</v>
      </c>
      <c r="J12" s="364">
        <v>0</v>
      </c>
      <c r="K12" s="364" t="s">
        <v>2252</v>
      </c>
      <c r="L12" s="364" t="s">
        <v>2252</v>
      </c>
      <c r="M12" s="363"/>
      <c r="N12" s="420"/>
      <c r="O12" s="420"/>
      <c r="P12" s="378" t="s">
        <v>1043</v>
      </c>
      <c r="Q12" s="360" t="str">
        <f ca="1">IF(OR($D12="",$D12=0),"",_xll.meProductSwapParRate(_xll.meUtilityLVBFromKeysValues($AA$5:$BM$5,$AA12:$BM12),FALSE))</f>
        <v>[2018/05/04 09:52] #Error: Invalid Curve: CurveCollection 'USDYC' does not exist</v>
      </c>
      <c r="R12" s="461" t="str">
        <f ca="1">IF(OR($D12="",$D12=0),"",_xll.meProductSwapPV(_xll.meUtilityLVBFromKeysValues($AA$5:$BM$5,$AA12:$BM12),FALSE))</f>
        <v>[2018/05/04 09:52] #Error: Invalid Curve: CurveCollection 'USDYC' does not exist</v>
      </c>
      <c r="S12" s="461" t="str">
        <f ca="1">IF(OR($D12="",$D12=0),"",_xll.meProductSwapLegPV(_xll.meUtilityLVBFromMultipleKeysValues($AB$5:$AG$5,$AB12:$AG12,,$AH$5:$AS$5,$AH12:$AS12,,"LegType","Leg1:Fixed",,"PayReceive",$F12),FALSE))</f>
        <v>[2018/05/04 09:52] #Error: Invalid Curve: CurveCollection 'USDYC' does not exist</v>
      </c>
      <c r="T12" s="461" t="str">
        <f ca="1">IF(OR($D12="",$D12=0),"",_xll.meProductSwapLegPV(_xll.meUtilityLVBFromMultipleKeysValues($AB$5:$AG$5,$AB12:$AG12,,$AT$5:$BM$5,$AT12:$BM12,,"LegType","Leg2:Float",,"PayReceive",IF($F12="PAYER","RECEIVER","PAYER")),FALSE))</f>
        <v>[2018/05/04 09:52] #Error: Invalid Curve: CurveCollection 'USDYC' does not exist</v>
      </c>
      <c r="U12" s="461" t="str">
        <f ca="1">IF(OR($D12="",$D12=0),"",_xll.meProductSwapPV01(_xll.meUtilityLVBFromKeysValues($AA$5:$BM$5,$AA12:$BM12),FALSE))</f>
        <v>[2018/05/04 09:52] #Error: Invalid Curve: CurveCollection 'USDYC' does not exist</v>
      </c>
      <c r="V12" s="462" t="str">
        <f ca="1">IF(OR($D12="",$D12=0),"",_xll.meProductSwapDV01(_xll.meUtilityLVBFromKeysValues($AA$5:$BM$5,$AA12:$BM12),FALSE))</f>
        <v>[2018/05/04 09:52] #Error: Invalid Curve: CurveCollection 'USDYC' does not exist</v>
      </c>
      <c r="W12" t="s">
        <v>12</v>
      </c>
      <c r="X12" s="476" t="str">
        <f>IF('USD Curve Config'!BB15,'USD Curve Config'!AZ15,"")</f>
        <v>20Y</v>
      </c>
      <c r="Y12" s="477">
        <f>IF('USD Curve Config'!BB15,'USD Curve Config'!BA15,"")</f>
        <v>3.0320999999999997E-2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43229</v>
      </c>
      <c r="AD12" s="399">
        <f ca="1">IF(OR(D12="",D12=0),"",IF(ISNUMBER($G12),$G12,IF(ISERROR(VALUE(LEFT(G12,1))),_xll.meDateFuturesContract($G12),_xll.meDateFromTenor($B12,$G12,$AM12,$AN12))))</f>
        <v>50535</v>
      </c>
      <c r="AE12" s="352" t="str">
        <f t="shared" si="3"/>
        <v>USDYC</v>
      </c>
      <c r="AF12" s="352" t="str">
        <f t="shared" si="4"/>
        <v>USD3ML</v>
      </c>
      <c r="AG12" s="446" t="str">
        <f t="shared" si="5"/>
        <v>USDDF_NOCSA</v>
      </c>
      <c r="AH12" s="452" t="s">
        <v>76</v>
      </c>
      <c r="AI12" s="434">
        <f t="shared" si="6"/>
        <v>0.01</v>
      </c>
      <c r="AJ12" s="347" t="s">
        <v>157</v>
      </c>
      <c r="AK12" s="347" t="s">
        <v>38</v>
      </c>
      <c r="AL12" s="347" t="s">
        <v>357</v>
      </c>
      <c r="AM12" s="347" t="s">
        <v>38</v>
      </c>
      <c r="AN12" s="347" t="s">
        <v>357</v>
      </c>
      <c r="AO12" s="429"/>
      <c r="AP12" s="429"/>
      <c r="AQ12" s="1004">
        <f t="shared" ca="1" si="7"/>
        <v>9</v>
      </c>
      <c r="AR12" s="347" t="s">
        <v>356</v>
      </c>
      <c r="AS12" s="451" t="s">
        <v>358</v>
      </c>
      <c r="AT12" s="352" t="str">
        <f t="shared" si="12"/>
        <v>Quarterly</v>
      </c>
      <c r="AU12" s="356">
        <f t="shared" si="8"/>
        <v>0</v>
      </c>
      <c r="AV12" s="347" t="s">
        <v>3</v>
      </c>
      <c r="AW12" s="347" t="s">
        <v>38</v>
      </c>
      <c r="AX12" s="347" t="s">
        <v>357</v>
      </c>
      <c r="AY12" s="347" t="s">
        <v>38</v>
      </c>
      <c r="AZ12" s="347" t="s">
        <v>357</v>
      </c>
      <c r="BA12" s="347" t="s">
        <v>38</v>
      </c>
      <c r="BB12" s="347" t="s">
        <v>357</v>
      </c>
      <c r="BC12" s="429"/>
      <c r="BD12" s="429"/>
      <c r="BE12" s="418">
        <f t="shared" ca="1" si="9"/>
        <v>9</v>
      </c>
      <c r="BF12" s="347" t="s">
        <v>356</v>
      </c>
      <c r="BG12" s="430">
        <f ca="1">_xll.meDateFromTenor($B12,"-"&amp;BF12,$AW12,$AX12)</f>
        <v>43229</v>
      </c>
      <c r="BH12" s="1006" t="str">
        <f t="shared" si="13"/>
        <v>NATURAL</v>
      </c>
      <c r="BI12" s="1006" t="str">
        <f t="shared" si="10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43229</v>
      </c>
      <c r="C13" s="1120" t="s">
        <v>361</v>
      </c>
      <c r="D13" s="362">
        <v>1000000</v>
      </c>
      <c r="E13" s="362" t="s">
        <v>181</v>
      </c>
      <c r="F13" s="365" t="s">
        <v>1753</v>
      </c>
      <c r="G13" s="397" t="str">
        <f t="shared" si="11"/>
        <v>25Y</v>
      </c>
      <c r="H13" s="363">
        <v>0.01</v>
      </c>
      <c r="I13" s="364" t="s">
        <v>316</v>
      </c>
      <c r="J13" s="364">
        <v>0</v>
      </c>
      <c r="K13" s="364" t="s">
        <v>2252</v>
      </c>
      <c r="L13" s="364" t="s">
        <v>2252</v>
      </c>
      <c r="M13" s="363"/>
      <c r="N13" s="420"/>
      <c r="O13" s="420"/>
      <c r="P13" s="378" t="s">
        <v>1043</v>
      </c>
      <c r="Q13" s="360" t="str">
        <f ca="1">IF(OR($D13="",$D13=0),"",_xll.meProductSwapParRate(_xll.meUtilityLVBFromKeysValues($AA$5:$BM$5,$AA13:$BM13),FALSE))</f>
        <v>[2018/05/04 09:52] #Error: Invalid Curve: CurveCollection 'USDYC' does not exist</v>
      </c>
      <c r="R13" s="461" t="str">
        <f ca="1">IF(OR($D13="",$D13=0),"",_xll.meProductSwapPV(_xll.meUtilityLVBFromKeysValues($AA$5:$BM$5,$AA13:$BM13),FALSE))</f>
        <v>[2018/05/04 09:52] #Error: Invalid Curve: CurveCollection 'USDYC' does not exist</v>
      </c>
      <c r="S13" s="461" t="str">
        <f ca="1">IF(OR($D13="",$D13=0),"",_xll.meProductSwapLegPV(_xll.meUtilityLVBFromMultipleKeysValues($AB$5:$AG$5,$AB13:$AG13,,$AH$5:$AS$5,$AH13:$AS13,,"LegType","Leg1:Fixed",,"PayReceive",$F13),FALSE))</f>
        <v>[2018/05/04 09:52] #Error: Invalid Curve: CurveCollection 'USDYC' does not exist</v>
      </c>
      <c r="T13" s="461" t="str">
        <f ca="1">IF(OR($D13="",$D13=0),"",_xll.meProductSwapLegPV(_xll.meUtilityLVBFromMultipleKeysValues($AB$5:$AG$5,$AB13:$AG13,,$AT$5:$BM$5,$AT13:$BM13,,"LegType","Leg2:Float",,"PayReceive",IF($F13="PAYER","RECEIVER","PAYER")),FALSE))</f>
        <v>[2018/05/04 09:52] #Error: Invalid Curve: CurveCollection 'USDYC' does not exist</v>
      </c>
      <c r="U13" s="461" t="str">
        <f ca="1">IF(OR($D13="",$D13=0),"",_xll.meProductSwapPV01(_xll.meUtilityLVBFromKeysValues($AA$5:$BM$5,$AA13:$BM13),FALSE))</f>
        <v>[2018/05/04 09:52] #Error: Invalid Curve: CurveCollection 'USDYC' does not exist</v>
      </c>
      <c r="V13" s="462" t="str">
        <f ca="1">IF(OR($D13="",$D13=0),"",_xll.meProductSwapDV01(_xll.meUtilityLVBFromKeysValues($AA$5:$BM$5,$AA13:$BM13),FALSE))</f>
        <v>[2018/05/04 09:52] #Error: Invalid Curve: CurveCollection 'USDYC' does not exist</v>
      </c>
      <c r="W13" t="s">
        <v>12</v>
      </c>
      <c r="X13" s="476" t="str">
        <f>IF('USD Curve Config'!BB16,'USD Curve Config'!AZ16,"")</f>
        <v>25Y</v>
      </c>
      <c r="Y13" s="477">
        <f>IF('USD Curve Config'!BB16,'USD Curve Config'!BA16,"")</f>
        <v>3.0198999999999997E-2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43229</v>
      </c>
      <c r="AD13" s="399">
        <f ca="1">IF(OR(D13="",D13=0),"",IF(ISNUMBER($G13),$G13,IF(ISERROR(VALUE(LEFT(G13,1))),_xll.meDateFuturesContract($G13),_xll.meDateFromTenor($B13,$G13,$AM13,$AN13))))</f>
        <v>52362</v>
      </c>
      <c r="AE13" s="352" t="str">
        <f t="shared" si="3"/>
        <v>USDYC</v>
      </c>
      <c r="AF13" s="352" t="str">
        <f t="shared" si="4"/>
        <v>USD3ML</v>
      </c>
      <c r="AG13" s="446" t="str">
        <f t="shared" si="5"/>
        <v>USDDF_NOCSA</v>
      </c>
      <c r="AH13" s="452" t="s">
        <v>76</v>
      </c>
      <c r="AI13" s="434">
        <f t="shared" si="6"/>
        <v>0.01</v>
      </c>
      <c r="AJ13" s="347" t="s">
        <v>157</v>
      </c>
      <c r="AK13" s="347" t="s">
        <v>38</v>
      </c>
      <c r="AL13" s="347" t="s">
        <v>357</v>
      </c>
      <c r="AM13" s="347" t="s">
        <v>38</v>
      </c>
      <c r="AN13" s="347" t="s">
        <v>357</v>
      </c>
      <c r="AO13" s="429"/>
      <c r="AP13" s="429"/>
      <c r="AQ13" s="1004">
        <f t="shared" ca="1" si="7"/>
        <v>9</v>
      </c>
      <c r="AR13" s="347" t="s">
        <v>356</v>
      </c>
      <c r="AS13" s="451" t="s">
        <v>358</v>
      </c>
      <c r="AT13" s="352" t="str">
        <f t="shared" si="12"/>
        <v>Quarterly</v>
      </c>
      <c r="AU13" s="356">
        <f t="shared" si="8"/>
        <v>0</v>
      </c>
      <c r="AV13" s="347" t="s">
        <v>3</v>
      </c>
      <c r="AW13" s="347" t="s">
        <v>38</v>
      </c>
      <c r="AX13" s="347" t="s">
        <v>357</v>
      </c>
      <c r="AY13" s="347" t="s">
        <v>38</v>
      </c>
      <c r="AZ13" s="347" t="s">
        <v>357</v>
      </c>
      <c r="BA13" s="347" t="s">
        <v>38</v>
      </c>
      <c r="BB13" s="347" t="s">
        <v>357</v>
      </c>
      <c r="BC13" s="429"/>
      <c r="BD13" s="429"/>
      <c r="BE13" s="418">
        <f t="shared" ca="1" si="9"/>
        <v>9</v>
      </c>
      <c r="BF13" s="347" t="s">
        <v>356</v>
      </c>
      <c r="BG13" s="430">
        <f ca="1">_xll.meDateFromTenor($B13,"-"&amp;BF13,$AW13,$AX13)</f>
        <v>43229</v>
      </c>
      <c r="BH13" s="1006" t="str">
        <f t="shared" si="13"/>
        <v>NATURAL</v>
      </c>
      <c r="BI13" s="1006" t="str">
        <f t="shared" si="10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43229</v>
      </c>
      <c r="C14" s="1120" t="s">
        <v>361</v>
      </c>
      <c r="D14" s="362">
        <v>1000000</v>
      </c>
      <c r="E14" s="362" t="s">
        <v>181</v>
      </c>
      <c r="F14" s="365" t="s">
        <v>1753</v>
      </c>
      <c r="G14" s="397" t="str">
        <f t="shared" si="11"/>
        <v>30Y</v>
      </c>
      <c r="H14" s="363">
        <v>0.01</v>
      </c>
      <c r="I14" s="364" t="s">
        <v>316</v>
      </c>
      <c r="J14" s="364">
        <v>0</v>
      </c>
      <c r="K14" s="364" t="s">
        <v>2252</v>
      </c>
      <c r="L14" s="364" t="s">
        <v>2252</v>
      </c>
      <c r="M14" s="363"/>
      <c r="N14" s="420"/>
      <c r="O14" s="420"/>
      <c r="P14" s="378" t="s">
        <v>1043</v>
      </c>
      <c r="Q14" s="360" t="str">
        <f ca="1">IF(OR($D14="",$D14=0),"",_xll.meProductSwapParRate(_xll.meUtilityLVBFromKeysValues($AA$5:$BM$5,$AA14:$BM14),FALSE))</f>
        <v>[2018/05/04 09:52] #Error: Invalid Curve: CurveCollection 'USDYC' does not exist</v>
      </c>
      <c r="R14" s="461" t="str">
        <f ca="1">IF(OR($D14="",$D14=0),"",_xll.meProductSwapPV(_xll.meUtilityLVBFromKeysValues($AA$5:$BM$5,$AA14:$BM14),FALSE))</f>
        <v>[2018/05/04 09:52] #Error: Invalid Curve: CurveCollection 'USDYC' does not exist</v>
      </c>
      <c r="S14" s="461" t="str">
        <f ca="1">IF(OR($D14="",$D14=0),"",_xll.meProductSwapLegPV(_xll.meUtilityLVBFromMultipleKeysValues($AB$5:$AG$5,$AB14:$AG14,,$AH$5:$AS$5,$AH14:$AS14,,"LegType","Leg1:Fixed",,"PayReceive",$F14),FALSE))</f>
        <v>[2018/05/04 09:52] #Error: Invalid Curve: CurveCollection 'USDYC' does not exist</v>
      </c>
      <c r="T14" s="461" t="str">
        <f ca="1">IF(OR($D14="",$D14=0),"",_xll.meProductSwapLegPV(_xll.meUtilityLVBFromMultipleKeysValues($AB$5:$AG$5,$AB14:$AG14,,$AT$5:$BM$5,$AT14:$BM14,,"LegType","Leg2:Float",,"PayReceive",IF($F14="PAYER","RECEIVER","PAYER")),FALSE))</f>
        <v>[2018/05/04 09:52] #Error: Invalid Curve: CurveCollection 'USDYC' does not exist</v>
      </c>
      <c r="U14" s="461" t="str">
        <f ca="1">IF(OR($D14="",$D14=0),"",_xll.meProductSwapPV01(_xll.meUtilityLVBFromKeysValues($AA$5:$BM$5,$AA14:$BM14),FALSE))</f>
        <v>[2018/05/04 09:52] #Error: Invalid Curve: CurveCollection 'USDYC' does not exist</v>
      </c>
      <c r="V14" s="462" t="str">
        <f ca="1">IF(OR($D14="",$D14=0),"",_xll.meProductSwapDV01(_xll.meUtilityLVBFromKeysValues($AA$5:$BM$5,$AA14:$BM14),FALSE))</f>
        <v>[2018/05/04 09:52] #Error: Invalid Curve: CurveCollection 'USDYC' does not exist</v>
      </c>
      <c r="W14" t="s">
        <v>12</v>
      </c>
      <c r="X14" s="476" t="str">
        <f>IF('USD Curve Config'!BB17,'USD Curve Config'!AZ17,"")</f>
        <v>30Y</v>
      </c>
      <c r="Y14" s="477">
        <f>IF('USD Curve Config'!BB17,'USD Curve Config'!BA17,"")</f>
        <v>2.9990000000000003E-2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43229</v>
      </c>
      <c r="AD14" s="399">
        <f ca="1">IF(OR(D14="",D14=0),"",IF(ISNUMBER($G14),$G14,IF(ISERROR(VALUE(LEFT(G14,1))),_xll.meDateFuturesContract($G14),_xll.meDateFromTenor($B14,$G14,$AM14,$AN14))))</f>
        <v>54189</v>
      </c>
      <c r="AE14" s="352" t="str">
        <f t="shared" si="3"/>
        <v>USDYC</v>
      </c>
      <c r="AF14" s="352" t="str">
        <f t="shared" si="4"/>
        <v>USD3ML</v>
      </c>
      <c r="AG14" s="446" t="str">
        <f t="shared" si="5"/>
        <v>USDDF_NOCSA</v>
      </c>
      <c r="AH14" s="452" t="s">
        <v>76</v>
      </c>
      <c r="AI14" s="434">
        <f t="shared" si="6"/>
        <v>0.01</v>
      </c>
      <c r="AJ14" s="347" t="s">
        <v>157</v>
      </c>
      <c r="AK14" s="347" t="s">
        <v>38</v>
      </c>
      <c r="AL14" s="347" t="s">
        <v>357</v>
      </c>
      <c r="AM14" s="347" t="s">
        <v>38</v>
      </c>
      <c r="AN14" s="347" t="s">
        <v>357</v>
      </c>
      <c r="AO14" s="429"/>
      <c r="AP14" s="429"/>
      <c r="AQ14" s="1004">
        <f t="shared" ca="1" si="7"/>
        <v>9</v>
      </c>
      <c r="AR14" s="347" t="s">
        <v>356</v>
      </c>
      <c r="AS14" s="451" t="s">
        <v>358</v>
      </c>
      <c r="AT14" s="352" t="str">
        <f t="shared" si="12"/>
        <v>Quarterly</v>
      </c>
      <c r="AU14" s="356">
        <f t="shared" si="8"/>
        <v>0</v>
      </c>
      <c r="AV14" s="347" t="s">
        <v>3</v>
      </c>
      <c r="AW14" s="347" t="s">
        <v>38</v>
      </c>
      <c r="AX14" s="347" t="s">
        <v>357</v>
      </c>
      <c r="AY14" s="347" t="s">
        <v>38</v>
      </c>
      <c r="AZ14" s="347" t="s">
        <v>357</v>
      </c>
      <c r="BA14" s="347" t="s">
        <v>38</v>
      </c>
      <c r="BB14" s="347" t="s">
        <v>357</v>
      </c>
      <c r="BC14" s="429"/>
      <c r="BD14" s="429"/>
      <c r="BE14" s="418">
        <f t="shared" ca="1" si="9"/>
        <v>9</v>
      </c>
      <c r="BF14" s="347" t="s">
        <v>356</v>
      </c>
      <c r="BG14" s="430">
        <f ca="1">_xll.meDateFromTenor($B14,"-"&amp;BF14,$AW14,$AX14)</f>
        <v>43229</v>
      </c>
      <c r="BH14" s="1006" t="str">
        <f t="shared" si="13"/>
        <v>NATURAL</v>
      </c>
      <c r="BI14" s="1006" t="str">
        <f t="shared" si="10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43229</v>
      </c>
      <c r="C15" s="1120" t="s">
        <v>361</v>
      </c>
      <c r="D15" s="362">
        <v>1000000</v>
      </c>
      <c r="E15" s="362" t="s">
        <v>181</v>
      </c>
      <c r="F15" s="365" t="s">
        <v>1753</v>
      </c>
      <c r="G15" s="397" t="str">
        <f t="shared" si="11"/>
        <v>40Y</v>
      </c>
      <c r="H15" s="363">
        <v>0.01</v>
      </c>
      <c r="I15" s="364" t="s">
        <v>316</v>
      </c>
      <c r="J15" s="364">
        <v>0</v>
      </c>
      <c r="K15" s="364" t="s">
        <v>2252</v>
      </c>
      <c r="L15" s="364" t="s">
        <v>2252</v>
      </c>
      <c r="M15" s="363"/>
      <c r="N15" s="420"/>
      <c r="O15" s="420"/>
      <c r="P15" s="378" t="s">
        <v>1043</v>
      </c>
      <c r="Q15" s="360" t="str">
        <f ca="1">IF(OR($D15="",$D15=0),"",_xll.meProductSwapParRate(_xll.meUtilityLVBFromKeysValues($AA$5:$BM$5,$AA15:$BM15),FALSE))</f>
        <v>[2018/05/04 09:52] #Error: Invalid Curve: CurveCollection 'USDYC' does not exist</v>
      </c>
      <c r="R15" s="461" t="str">
        <f ca="1">IF(OR($D15="",$D15=0),"",_xll.meProductSwapPV(_xll.meUtilityLVBFromKeysValues($AA$5:$BM$5,$AA15:$BM15),FALSE))</f>
        <v>[2018/05/04 09:52] #Error: Invalid Curve: CurveCollection 'USDYC' does not exist</v>
      </c>
      <c r="S15" s="461" t="str">
        <f ca="1">IF(OR($D15="",$D15=0),"",_xll.meProductSwapLegPV(_xll.meUtilityLVBFromMultipleKeysValues($AB$5:$AG$5,$AB15:$AG15,,$AH$5:$AS$5,$AH15:$AS15,,"LegType","Leg1:Fixed",,"PayReceive",$F15),FALSE))</f>
        <v>[2018/05/04 09:52] #Error: Invalid Curve: CurveCollection 'USDYC' does not exist</v>
      </c>
      <c r="T15" s="461" t="str">
        <f ca="1">IF(OR($D15="",$D15=0),"",_xll.meProductSwapLegPV(_xll.meUtilityLVBFromMultipleKeysValues($AB$5:$AG$5,$AB15:$AG15,,$AT$5:$BM$5,$AT15:$BM15,,"LegType","Leg2:Float",,"PayReceive",IF($F15="PAYER","RECEIVER","PAYER")),FALSE))</f>
        <v>[2018/05/04 09:52] #Error: Invalid Curve: CurveCollection 'USDYC' does not exist</v>
      </c>
      <c r="U15" s="461" t="str">
        <f ca="1">IF(OR($D15="",$D15=0),"",_xll.meProductSwapPV01(_xll.meUtilityLVBFromKeysValues($AA$5:$BM$5,$AA15:$BM15),FALSE))</f>
        <v>[2018/05/04 09:52] #Error: Invalid Curve: CurveCollection 'USDYC' does not exist</v>
      </c>
      <c r="V15" s="462" t="str">
        <f ca="1">IF(OR($D15="",$D15=0),"",_xll.meProductSwapDV01(_xll.meUtilityLVBFromKeysValues($AA$5:$BM$5,$AA15:$BM15),FALSE))</f>
        <v>[2018/05/04 09:52] #Error: Invalid Curve: CurveCollection 'USDYC' does not exist</v>
      </c>
      <c r="W15" t="s">
        <v>12</v>
      </c>
      <c r="X15" s="476" t="str">
        <f>IF('USD Curve Config'!BB18,'USD Curve Config'!AZ18,"")</f>
        <v>40Y</v>
      </c>
      <c r="Y15" s="477">
        <f>IF('USD Curve Config'!BB18,'USD Curve Config'!BA18,"")</f>
        <v>2.9590000000000002E-2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43229</v>
      </c>
      <c r="AD15" s="399">
        <f ca="1">IF(OR(D15="",D15=0),"",IF(ISNUMBER($G15),$G15,IF(ISERROR(VALUE(LEFT(G15,1))),_xll.meDateFuturesContract($G15),_xll.meDateFromTenor($B15,$G15,$AM15,$AN15))))</f>
        <v>57839</v>
      </c>
      <c r="AE15" s="352" t="str">
        <f t="shared" si="3"/>
        <v>USDYC</v>
      </c>
      <c r="AF15" s="352" t="str">
        <f t="shared" si="4"/>
        <v>USD3ML</v>
      </c>
      <c r="AG15" s="446" t="str">
        <f t="shared" si="5"/>
        <v>USDDF_NOCSA</v>
      </c>
      <c r="AH15" s="452" t="s">
        <v>76</v>
      </c>
      <c r="AI15" s="434">
        <f t="shared" si="6"/>
        <v>0.01</v>
      </c>
      <c r="AJ15" s="347" t="s">
        <v>157</v>
      </c>
      <c r="AK15" s="347" t="s">
        <v>38</v>
      </c>
      <c r="AL15" s="347" t="s">
        <v>357</v>
      </c>
      <c r="AM15" s="347" t="s">
        <v>38</v>
      </c>
      <c r="AN15" s="347" t="s">
        <v>357</v>
      </c>
      <c r="AO15" s="429"/>
      <c r="AP15" s="429"/>
      <c r="AQ15" s="1004">
        <f t="shared" ca="1" si="7"/>
        <v>9</v>
      </c>
      <c r="AR15" s="347" t="s">
        <v>356</v>
      </c>
      <c r="AS15" s="451" t="s">
        <v>358</v>
      </c>
      <c r="AT15" s="352" t="str">
        <f t="shared" si="12"/>
        <v>Quarterly</v>
      </c>
      <c r="AU15" s="356">
        <f t="shared" si="8"/>
        <v>0</v>
      </c>
      <c r="AV15" s="347" t="s">
        <v>3</v>
      </c>
      <c r="AW15" s="347" t="s">
        <v>38</v>
      </c>
      <c r="AX15" s="347" t="s">
        <v>357</v>
      </c>
      <c r="AY15" s="347" t="s">
        <v>38</v>
      </c>
      <c r="AZ15" s="347" t="s">
        <v>357</v>
      </c>
      <c r="BA15" s="347" t="s">
        <v>38</v>
      </c>
      <c r="BB15" s="347" t="s">
        <v>357</v>
      </c>
      <c r="BC15" s="429"/>
      <c r="BD15" s="429"/>
      <c r="BE15" s="418">
        <f t="shared" ca="1" si="9"/>
        <v>9</v>
      </c>
      <c r="BF15" s="347" t="s">
        <v>356</v>
      </c>
      <c r="BG15" s="430">
        <f ca="1">_xll.meDateFromTenor($B15,"-"&amp;BF15,$AW15,$AX15)</f>
        <v>43229</v>
      </c>
      <c r="BH15" s="1006" t="str">
        <f t="shared" si="13"/>
        <v>NATURAL</v>
      </c>
      <c r="BI15" s="1006" t="str">
        <f t="shared" si="10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 t="str">
        <f>IF(OR(D16="",D16=0),"",IF(ISNUMBER($C16),$C16,IF(ISERROR(VALUE(LEFT(C16,1))),_xll.meDateFuturesContract($C16),_xll.meDateFromTenor(COB,$C16,$AM16,$AN16))))</f>
        <v/>
      </c>
      <c r="C16" s="1120"/>
      <c r="D16" s="362"/>
      <c r="E16" s="362"/>
      <c r="F16" s="365"/>
      <c r="G16" s="397"/>
      <c r="H16" s="363"/>
      <c r="I16" s="364"/>
      <c r="J16" s="364"/>
      <c r="K16" s="364" t="s">
        <v>2252</v>
      </c>
      <c r="L16" s="364" t="s">
        <v>2252</v>
      </c>
      <c r="M16" s="363"/>
      <c r="N16" s="420"/>
      <c r="O16" s="420"/>
      <c r="P16" s="378"/>
      <c r="Q16" s="360" t="str">
        <f>IF(OR($D16="",$D16=0),"",_xll.meProductSwapParRate(_xll.meUtilityLVBFromKeysValues($AA$5:$BM$5,$AA16:$BM16),FALSE))</f>
        <v/>
      </c>
      <c r="R16" s="461" t="str">
        <f>IF(OR($D16="",$D16=0),"",_xll.meProductSwapPV(_xll.meUtilityLVBFromKeysValues($AA$5:$BM$5,$AA16:$BM16),FALSE))</f>
        <v/>
      </c>
      <c r="S16" s="461" t="str">
        <f>IF(OR($D16="",$D16=0),"",_xll.meProductSwapLegPV(_xll.meUtilityLVBFromMultipleKeysValues($AB$5:$AG$5,$AB16:$AG16,,$AH$5:$AS$5,$AH16:$AS16,,"LegType","Leg1:Fixed",,"PayReceive",$F16),FALSE))</f>
        <v/>
      </c>
      <c r="T16" s="461" t="str">
        <f>IF(OR($D16="",$D16=0),"",_xll.meProductSwapLegPV(_xll.meUtilityLVBFromMultipleKeysValues($AB$5:$AG$5,$AB16:$AG16,,$AT$5:$BM$5,$AT16:$BM16,,"LegType","Leg2:Float",,"PayReceive",IF($F16="PAYER","RECEIVER","PAYER")),FALSE))</f>
        <v/>
      </c>
      <c r="U16" s="461" t="str">
        <f>IF(OR($D16="",$D16=0),"",_xll.meProductSwapPV01(_xll.meUtilityLVBFromKeysValues($AA$5:$BM$5,$AA16:$BM16),FALSE))</f>
        <v/>
      </c>
      <c r="V16" s="462" t="str">
        <f>IF(OR($D16="",$D16=0),"",_xll.meProductSwapDV01(_xll.meUtilityLVBFromKeysValues($AA$5:$BM$5,$AA16:$BM16),FALSE))</f>
        <v/>
      </c>
      <c r="W16" t="s">
        <v>12</v>
      </c>
      <c r="X16" s="476" t="str">
        <f>IF('USD Curve Config'!BB19,'USD Curve Config'!AZ19,"")</f>
        <v/>
      </c>
      <c r="Y16" s="477" t="str">
        <f>IF('USD Curve Config'!BB19,'USD Curve Config'!BA19,"")</f>
        <v/>
      </c>
      <c r="AA16" s="684">
        <f t="shared" si="0"/>
        <v>0</v>
      </c>
      <c r="AB16" s="1016">
        <f t="shared" si="1"/>
        <v>0</v>
      </c>
      <c r="AC16" s="399" t="str">
        <f t="shared" si="2"/>
        <v/>
      </c>
      <c r="AD16" s="399" t="str">
        <f>IF(OR(D16="",D16=0),"",IF(ISNUMBER($G16),$G16,IF(ISERROR(VALUE(LEFT(G16,1))),_xll.meDateFuturesContract($G16),_xll.meDateFromTenor($B16,$G16,$AM16,$AN16))))</f>
        <v/>
      </c>
      <c r="AE16" s="352" t="str">
        <f t="shared" si="3"/>
        <v>YC</v>
      </c>
      <c r="AF16" s="352" t="str">
        <f t="shared" si="4"/>
        <v/>
      </c>
      <c r="AG16" s="446" t="str">
        <f t="shared" si="5"/>
        <v>YCDF_</v>
      </c>
      <c r="AH16" s="452" t="s">
        <v>76</v>
      </c>
      <c r="AI16" s="434">
        <f t="shared" si="6"/>
        <v>0</v>
      </c>
      <c r="AJ16" s="347" t="s">
        <v>157</v>
      </c>
      <c r="AK16" s="347" t="s">
        <v>38</v>
      </c>
      <c r="AL16" s="347" t="s">
        <v>357</v>
      </c>
      <c r="AM16" s="347" t="s">
        <v>38</v>
      </c>
      <c r="AN16" s="347" t="s">
        <v>357</v>
      </c>
      <c r="AO16" s="429"/>
      <c r="AP16" s="429"/>
      <c r="AQ16" s="1004" t="e">
        <f t="shared" si="7"/>
        <v>#VALUE!</v>
      </c>
      <c r="AR16" s="347" t="s">
        <v>356</v>
      </c>
      <c r="AS16" s="451" t="s">
        <v>358</v>
      </c>
      <c r="AT16" s="352" t="str">
        <f t="shared" si="12"/>
        <v>Annual</v>
      </c>
      <c r="AU16" s="356">
        <f t="shared" si="8"/>
        <v>0</v>
      </c>
      <c r="AV16" s="347" t="s">
        <v>3</v>
      </c>
      <c r="AW16" s="347" t="s">
        <v>38</v>
      </c>
      <c r="AX16" s="347" t="s">
        <v>357</v>
      </c>
      <c r="AY16" s="347" t="s">
        <v>38</v>
      </c>
      <c r="AZ16" s="347" t="s">
        <v>357</v>
      </c>
      <c r="BA16" s="347" t="s">
        <v>38</v>
      </c>
      <c r="BB16" s="347" t="s">
        <v>357</v>
      </c>
      <c r="BC16" s="429"/>
      <c r="BD16" s="429"/>
      <c r="BE16" s="418" t="e">
        <f t="shared" si="9"/>
        <v>#VALUE!</v>
      </c>
      <c r="BF16" s="347" t="s">
        <v>356</v>
      </c>
      <c r="BG16" s="430">
        <f>_xll.meDateFromTenor($B16,"-"&amp;BF16,$AW16,$AX16)</f>
        <v>-1</v>
      </c>
      <c r="BH16" s="1006" t="str">
        <f t="shared" si="13"/>
        <v>NATURAL</v>
      </c>
      <c r="BI16" s="1006" t="str">
        <f t="shared" si="10"/>
        <v>NATURAL</v>
      </c>
      <c r="BJ16" s="358">
        <f ca="1">IF($M16="",IF($BG16&lt;COB,'EUR Curve Config'!CurveConfig.FixingRate,""),$M16)</f>
        <v>-2.6900000000000001E-3</v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 t="str">
        <f>IF(OR(D17="",D17=0),"",IF(ISNUMBER($C17),$C17,IF(ISERROR(VALUE(LEFT(C17,1))),_xll.meDateFuturesContract($C17),_xll.meDateFromTenor(COB,$C17,$AM17,$AN17))))</f>
        <v/>
      </c>
      <c r="C17" s="1120"/>
      <c r="D17" s="362"/>
      <c r="E17" s="362"/>
      <c r="F17" s="365"/>
      <c r="G17" s="397"/>
      <c r="H17" s="363"/>
      <c r="I17" s="364"/>
      <c r="J17" s="364"/>
      <c r="K17" s="364" t="s">
        <v>2252</v>
      </c>
      <c r="L17" s="364" t="s">
        <v>2252</v>
      </c>
      <c r="M17" s="363"/>
      <c r="N17" s="420"/>
      <c r="O17" s="420"/>
      <c r="P17" s="378"/>
      <c r="Q17" s="360" t="str">
        <f>IF(OR($D17="",$D17=0),"",_xll.meProductSwapParRate(_xll.meUtilityLVBFromKeysValues($AA$5:$BM$5,$AA17:$BM17),FALSE))</f>
        <v/>
      </c>
      <c r="R17" s="461" t="str">
        <f>IF(OR($D17="",$D17=0),"",_xll.meProductSwapPV(_xll.meUtilityLVBFromKeysValues($AA$5:$BM$5,$AA17:$BM17),FALSE))</f>
        <v/>
      </c>
      <c r="S17" s="461" t="str">
        <f>IF(OR($D17="",$D17=0),"",_xll.meProductSwapLegPV(_xll.meUtilityLVBFromMultipleKeysValues($AB$5:$AG$5,$AB17:$AG17,,$AH$5:$AS$5,$AH17:$AS17,,"LegType","Leg1:Fixed",,"PayReceive",$F17),FALSE))</f>
        <v/>
      </c>
      <c r="T17" s="461" t="str">
        <f>IF(OR($D17="",$D17=0),"",_xll.meProductSwapLegPV(_xll.meUtilityLVBFromMultipleKeysValues($AB$5:$AG$5,$AB17:$AG17,,$AT$5:$BM$5,$AT17:$BM17,,"LegType","Leg2:Float",,"PayReceive",IF($F17="PAYER","RECEIVER","PAYER")),FALSE))</f>
        <v/>
      </c>
      <c r="U17" s="461" t="str">
        <f>IF(OR($D17="",$D17=0),"",_xll.meProductSwapPV01(_xll.meUtilityLVBFromKeysValues($AA$5:$BM$5,$AA17:$BM17),FALSE))</f>
        <v/>
      </c>
      <c r="V17" s="462" t="str">
        <f>IF(OR($D17="",$D17=0),"",_xll.meProductSwapDV01(_xll.meUtilityLVBFromKeysValues($AA$5:$BM$5,$AA17:$BM17),FALSE))</f>
        <v/>
      </c>
      <c r="W17" t="s">
        <v>12</v>
      </c>
      <c r="X17" s="476" t="str">
        <f>IF('USD Curve Config'!BB20,'USD Curve Config'!AZ20,"")</f>
        <v/>
      </c>
      <c r="Y17" s="477" t="str">
        <f>IF('USD Curve Config'!BB20,'USD Curve Config'!BA20,"")</f>
        <v/>
      </c>
      <c r="AA17" s="684">
        <f t="shared" si="0"/>
        <v>0</v>
      </c>
      <c r="AB17" s="1016">
        <f t="shared" si="1"/>
        <v>0</v>
      </c>
      <c r="AC17" s="399" t="str">
        <f t="shared" si="2"/>
        <v/>
      </c>
      <c r="AD17" s="399" t="str">
        <f>IF(OR(D17="",D17=0),"",IF(ISNUMBER($G17),$G17,IF(ISERROR(VALUE(LEFT(G17,1))),_xll.meDateFuturesContract($G17),_xll.meDateFromTenor($B17,$G17,$AM17,$AN17))))</f>
        <v/>
      </c>
      <c r="AE17" s="352" t="str">
        <f t="shared" si="3"/>
        <v>YC</v>
      </c>
      <c r="AF17" s="352" t="str">
        <f t="shared" si="4"/>
        <v/>
      </c>
      <c r="AG17" s="446" t="str">
        <f t="shared" si="5"/>
        <v>YCDF_</v>
      </c>
      <c r="AH17" s="452" t="s">
        <v>76</v>
      </c>
      <c r="AI17" s="434">
        <f t="shared" si="6"/>
        <v>0</v>
      </c>
      <c r="AJ17" s="347" t="s">
        <v>157</v>
      </c>
      <c r="AK17" s="347" t="s">
        <v>38</v>
      </c>
      <c r="AL17" s="347" t="s">
        <v>357</v>
      </c>
      <c r="AM17" s="347" t="s">
        <v>38</v>
      </c>
      <c r="AN17" s="347" t="s">
        <v>357</v>
      </c>
      <c r="AO17" s="429"/>
      <c r="AP17" s="429"/>
      <c r="AQ17" s="1004" t="e">
        <f t="shared" si="7"/>
        <v>#VALUE!</v>
      </c>
      <c r="AR17" s="347" t="s">
        <v>356</v>
      </c>
      <c r="AS17" s="451" t="s">
        <v>358</v>
      </c>
      <c r="AT17" s="352" t="str">
        <f t="shared" si="12"/>
        <v>Annual</v>
      </c>
      <c r="AU17" s="356">
        <f t="shared" si="8"/>
        <v>0</v>
      </c>
      <c r="AV17" s="347" t="s">
        <v>3</v>
      </c>
      <c r="AW17" s="347" t="s">
        <v>38</v>
      </c>
      <c r="AX17" s="347" t="s">
        <v>357</v>
      </c>
      <c r="AY17" s="347" t="s">
        <v>38</v>
      </c>
      <c r="AZ17" s="347" t="s">
        <v>357</v>
      </c>
      <c r="BA17" s="347" t="s">
        <v>38</v>
      </c>
      <c r="BB17" s="347" t="s">
        <v>357</v>
      </c>
      <c r="BC17" s="429"/>
      <c r="BD17" s="429"/>
      <c r="BE17" s="418" t="e">
        <f t="shared" si="9"/>
        <v>#VALUE!</v>
      </c>
      <c r="BF17" s="347" t="s">
        <v>356</v>
      </c>
      <c r="BG17" s="430">
        <f>_xll.meDateFromTenor($B17,"-"&amp;BF17,$AW17,$AX17)</f>
        <v>-1</v>
      </c>
      <c r="BH17" s="1006" t="str">
        <f t="shared" si="13"/>
        <v>NATURAL</v>
      </c>
      <c r="BI17" s="1006" t="str">
        <f t="shared" si="10"/>
        <v>NATURAL</v>
      </c>
      <c r="BJ17" s="358">
        <f ca="1">IF($M17="",IF($BG17&lt;COB,'EUR Curve Config'!CurveConfig.FixingRate,""),$M17)</f>
        <v>-2.6900000000000001E-3</v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 t="str">
        <f>IF(OR(D18="",D18=0),"",IF(ISNUMBER($C18),$C18,IF(ISERROR(VALUE(LEFT(C18,1))),_xll.meDateFuturesContract($C18),_xll.meDateFromTenor(COB,$C18,$AM18,$AN18))))</f>
        <v/>
      </c>
      <c r="C18" s="1120"/>
      <c r="D18" s="362"/>
      <c r="E18" s="362"/>
      <c r="F18" s="365"/>
      <c r="G18" s="397"/>
      <c r="H18" s="363"/>
      <c r="I18" s="364"/>
      <c r="J18" s="364"/>
      <c r="K18" s="364" t="s">
        <v>2252</v>
      </c>
      <c r="L18" s="364" t="s">
        <v>2252</v>
      </c>
      <c r="M18" s="363"/>
      <c r="N18" s="420"/>
      <c r="O18" s="420"/>
      <c r="P18" s="378"/>
      <c r="Q18" s="360" t="str">
        <f>IF(OR($D18="",$D18=0),"",_xll.meProductSwapParRate(_xll.meUtilityLVBFromKeysValues($AA$5:$BM$5,$AA18:$BM18),FALSE))</f>
        <v/>
      </c>
      <c r="R18" s="461" t="str">
        <f>IF(OR($D18="",$D18=0),"",_xll.meProductSwapPV(_xll.meUtilityLVBFromKeysValues($AA$5:$BM$5,$AA18:$BM18),FALSE))</f>
        <v/>
      </c>
      <c r="S18" s="461" t="str">
        <f>IF(OR($D18="",$D18=0),"",_xll.meProductSwapLegPV(_xll.meUtilityLVBFromMultipleKeysValues($AB$5:$AG$5,$AB18:$AG18,,$AH$5:$AS$5,$AH18:$AS18,,"LegType","Leg1:Fixed",,"PayReceive",$F18),FALSE))</f>
        <v/>
      </c>
      <c r="T18" s="461" t="str">
        <f>IF(OR($D18="",$D18=0),"",_xll.meProductSwapLegPV(_xll.meUtilityLVBFromMultipleKeysValues($AB$5:$AG$5,$AB18:$AG18,,$AT$5:$BM$5,$AT18:$BM18,,"LegType","Leg2:Float",,"PayReceive",IF($F18="PAYER","RECEIVER","PAYER")),FALSE))</f>
        <v/>
      </c>
      <c r="U18" s="461" t="str">
        <f>IF(OR($D18="",$D18=0),"",_xll.meProductSwapPV01(_xll.meUtilityLVBFromKeysValues($AA$5:$BM$5,$AA18:$BM18),FALSE))</f>
        <v/>
      </c>
      <c r="V18" s="462" t="str">
        <f>IF(OR($D18="",$D18=0),"",_xll.meProductSwapDV01(_xll.meUtilityLVBFromKeysValues($AA$5:$BM$5,$AA18:$BM18),FALSE))</f>
        <v/>
      </c>
      <c r="W18" t="s">
        <v>12</v>
      </c>
      <c r="X18" s="476" t="str">
        <f>IF('USD Curve Config'!BB21,'USD Curve Config'!AZ21,"")</f>
        <v/>
      </c>
      <c r="Y18" s="477" t="str">
        <f>IF('USD Curve Config'!BB21,'USD Curve Config'!BA21,"")</f>
        <v/>
      </c>
      <c r="AA18" s="684">
        <f t="shared" si="0"/>
        <v>0</v>
      </c>
      <c r="AB18" s="1016">
        <f t="shared" si="1"/>
        <v>0</v>
      </c>
      <c r="AC18" s="399" t="str">
        <f t="shared" si="2"/>
        <v/>
      </c>
      <c r="AD18" s="399" t="str">
        <f>IF(OR(D18="",D18=0),"",IF(ISNUMBER($G18),$G18,IF(ISERROR(VALUE(LEFT(G18,1))),_xll.meDateFuturesContract($G18),_xll.meDateFromTenor($B18,$G18,$AM18,$AN18))))</f>
        <v/>
      </c>
      <c r="AE18" s="352" t="str">
        <f t="shared" si="3"/>
        <v>YC</v>
      </c>
      <c r="AF18" s="352" t="str">
        <f t="shared" si="4"/>
        <v/>
      </c>
      <c r="AG18" s="446" t="str">
        <f t="shared" si="5"/>
        <v>YCDF_</v>
      </c>
      <c r="AH18" s="452" t="s">
        <v>76</v>
      </c>
      <c r="AI18" s="434">
        <f t="shared" si="6"/>
        <v>0</v>
      </c>
      <c r="AJ18" s="347" t="s">
        <v>157</v>
      </c>
      <c r="AK18" s="347" t="s">
        <v>38</v>
      </c>
      <c r="AL18" s="347" t="s">
        <v>357</v>
      </c>
      <c r="AM18" s="347" t="s">
        <v>38</v>
      </c>
      <c r="AN18" s="347" t="s">
        <v>357</v>
      </c>
      <c r="AO18" s="429"/>
      <c r="AP18" s="429"/>
      <c r="AQ18" s="1004" t="e">
        <f t="shared" si="7"/>
        <v>#VALUE!</v>
      </c>
      <c r="AR18" s="347" t="s">
        <v>356</v>
      </c>
      <c r="AS18" s="451" t="s">
        <v>358</v>
      </c>
      <c r="AT18" s="352" t="str">
        <f t="shared" si="12"/>
        <v>Annual</v>
      </c>
      <c r="AU18" s="356">
        <f t="shared" si="8"/>
        <v>0</v>
      </c>
      <c r="AV18" s="347" t="s">
        <v>3</v>
      </c>
      <c r="AW18" s="347" t="s">
        <v>38</v>
      </c>
      <c r="AX18" s="347" t="s">
        <v>357</v>
      </c>
      <c r="AY18" s="347" t="s">
        <v>38</v>
      </c>
      <c r="AZ18" s="347" t="s">
        <v>357</v>
      </c>
      <c r="BA18" s="347" t="s">
        <v>38</v>
      </c>
      <c r="BB18" s="347" t="s">
        <v>357</v>
      </c>
      <c r="BC18" s="429"/>
      <c r="BD18" s="429"/>
      <c r="BE18" s="418" t="e">
        <f t="shared" si="9"/>
        <v>#VALUE!</v>
      </c>
      <c r="BF18" s="347" t="s">
        <v>356</v>
      </c>
      <c r="BG18" s="430">
        <f>_xll.meDateFromTenor($B18,"-"&amp;BF18,$AW18,$AX18)</f>
        <v>-1</v>
      </c>
      <c r="BH18" s="1006" t="str">
        <f t="shared" si="13"/>
        <v>NATURAL</v>
      </c>
      <c r="BI18" s="1006" t="str">
        <f t="shared" si="10"/>
        <v>NATURAL</v>
      </c>
      <c r="BJ18" s="358">
        <f ca="1">IF($M18="",IF($BG18&lt;COB,'EUR Curve Config'!CurveConfig.FixingRate,""),$M18)</f>
        <v>-2.6900000000000001E-3</v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 t="str">
        <f>IF(OR(D19="",D19=0),"",IF(ISNUMBER($C19),$C19,IF(ISERROR(VALUE(LEFT(C19,1))),_xll.meDateFuturesContract($C19),_xll.meDateFromTenor(COB,$C19,$AM19,$AN19))))</f>
        <v/>
      </c>
      <c r="C19" s="1120"/>
      <c r="D19" s="362"/>
      <c r="E19" s="362"/>
      <c r="F19" s="365"/>
      <c r="G19" s="397"/>
      <c r="H19" s="363"/>
      <c r="I19" s="364"/>
      <c r="J19" s="364"/>
      <c r="K19" s="364" t="s">
        <v>2252</v>
      </c>
      <c r="L19" s="364" t="s">
        <v>2252</v>
      </c>
      <c r="M19" s="363"/>
      <c r="N19" s="420"/>
      <c r="O19" s="420"/>
      <c r="P19" s="378"/>
      <c r="Q19" s="360" t="str">
        <f>IF(OR($D19="",$D19=0),"",_xll.meProductSwapParRate(_xll.meUtilityLVBFromKeysValues($AA$5:$BM$5,$AA19:$BM19),FALSE))</f>
        <v/>
      </c>
      <c r="R19" s="461" t="str">
        <f>IF(OR($D19="",$D19=0),"",_xll.meProductSwapPV(_xll.meUtilityLVBFromKeysValues($AA$5:$BM$5,$AA19:$BM19),FALSE))</f>
        <v/>
      </c>
      <c r="S19" s="461" t="str">
        <f>IF(OR($D19="",$D19=0),"",_xll.meProductSwapLegPV(_xll.meUtilityLVBFromMultipleKeysValues($AB$5:$AG$5,$AB19:$AG19,,$AH$5:$AS$5,$AH19:$AS19,,"LegType","Leg1:Fixed",,"PayReceive",$F19),FALSE))</f>
        <v/>
      </c>
      <c r="T19" s="461" t="str">
        <f>IF(OR($D19="",$D19=0),"",_xll.meProductSwapLegPV(_xll.meUtilityLVBFromMultipleKeysValues($AB$5:$AG$5,$AB19:$AG19,,$AT$5:$BM$5,$AT19:$BM19,,"LegType","Leg2:Float",,"PayReceive",IF($F19="PAYER","RECEIVER","PAYER")),FALSE))</f>
        <v/>
      </c>
      <c r="U19" s="461" t="str">
        <f>IF(OR($D19="",$D19=0),"",_xll.meProductSwapPV01(_xll.meUtilityLVBFromKeysValues($AA$5:$BM$5,$AA19:$BM19),FALSE))</f>
        <v/>
      </c>
      <c r="V19" s="462" t="str">
        <f>IF(OR($D19="",$D19=0),"",_xll.meProductSwapDV01(_xll.meUtilityLVBFromKeysValues($AA$5:$BM$5,$AA19:$BM19),FALSE))</f>
        <v/>
      </c>
      <c r="W19" t="s">
        <v>12</v>
      </c>
      <c r="X19" s="476" t="str">
        <f>IF('USD Curve Config'!BB22,'USD Curve Config'!AZ22,"")</f>
        <v/>
      </c>
      <c r="Y19" s="477" t="str">
        <f>IF('USD Curve Config'!BB22,'USD Curve Config'!BA22,"")</f>
        <v/>
      </c>
      <c r="AA19" s="684">
        <f t="shared" si="0"/>
        <v>0</v>
      </c>
      <c r="AB19" s="1016">
        <f t="shared" si="1"/>
        <v>0</v>
      </c>
      <c r="AC19" s="399" t="str">
        <f t="shared" si="2"/>
        <v/>
      </c>
      <c r="AD19" s="399" t="str">
        <f>IF(OR(D19="",D19=0),"",IF(ISNUMBER($G19),$G19,IF(ISERROR(VALUE(LEFT(G19,1))),_xll.meDateFuturesContract($G19),_xll.meDateFromTenor($B19,$G19,$AM19,$AN19))))</f>
        <v/>
      </c>
      <c r="AE19" s="352" t="str">
        <f t="shared" si="3"/>
        <v>YC</v>
      </c>
      <c r="AF19" s="352" t="str">
        <f t="shared" si="4"/>
        <v/>
      </c>
      <c r="AG19" s="446" t="str">
        <f t="shared" si="5"/>
        <v>YCDF_</v>
      </c>
      <c r="AH19" s="452" t="s">
        <v>76</v>
      </c>
      <c r="AI19" s="434">
        <f t="shared" si="6"/>
        <v>0</v>
      </c>
      <c r="AJ19" s="347" t="s">
        <v>157</v>
      </c>
      <c r="AK19" s="347" t="s">
        <v>38</v>
      </c>
      <c r="AL19" s="347" t="s">
        <v>357</v>
      </c>
      <c r="AM19" s="347" t="s">
        <v>38</v>
      </c>
      <c r="AN19" s="347" t="s">
        <v>357</v>
      </c>
      <c r="AO19" s="429"/>
      <c r="AP19" s="429"/>
      <c r="AQ19" s="1004" t="e">
        <f t="shared" si="7"/>
        <v>#VALUE!</v>
      </c>
      <c r="AR19" s="347" t="s">
        <v>356</v>
      </c>
      <c r="AS19" s="451" t="s">
        <v>358</v>
      </c>
      <c r="AT19" s="352" t="str">
        <f t="shared" si="12"/>
        <v>Annual</v>
      </c>
      <c r="AU19" s="356">
        <f t="shared" si="8"/>
        <v>0</v>
      </c>
      <c r="AV19" s="347" t="s">
        <v>3</v>
      </c>
      <c r="AW19" s="347" t="s">
        <v>38</v>
      </c>
      <c r="AX19" s="347" t="s">
        <v>357</v>
      </c>
      <c r="AY19" s="347" t="s">
        <v>38</v>
      </c>
      <c r="AZ19" s="347" t="s">
        <v>357</v>
      </c>
      <c r="BA19" s="347" t="s">
        <v>38</v>
      </c>
      <c r="BB19" s="347" t="s">
        <v>357</v>
      </c>
      <c r="BC19" s="429"/>
      <c r="BD19" s="429"/>
      <c r="BE19" s="418" t="e">
        <f t="shared" si="9"/>
        <v>#VALUE!</v>
      </c>
      <c r="BF19" s="347" t="s">
        <v>356</v>
      </c>
      <c r="BG19" s="430">
        <f>_xll.meDateFromTenor($B19,"-"&amp;BF19,$AW19,$AX19)</f>
        <v>-1</v>
      </c>
      <c r="BH19" s="1006" t="str">
        <f t="shared" si="13"/>
        <v>NATURAL</v>
      </c>
      <c r="BI19" s="1006" t="str">
        <f t="shared" si="10"/>
        <v>NATURAL</v>
      </c>
      <c r="BJ19" s="358">
        <f ca="1">IF($M19="",IF($BG19&lt;COB,'EUR Curve Config'!CurveConfig.FixingRate,""),$M19)</f>
        <v>-2.6900000000000001E-3</v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 t="str">
        <f>IF(OR(D20="",D20=0),"",IF(ISNUMBER($C20),$C20,IF(ISERROR(VALUE(LEFT(C20,1))),_xll.meDateFuturesContract($C20),_xll.meDateFromTenor(COB,$C20,$AM20,$AN20))))</f>
        <v/>
      </c>
      <c r="C20" s="1120"/>
      <c r="D20" s="362"/>
      <c r="E20" s="362"/>
      <c r="F20" s="365"/>
      <c r="G20" s="397"/>
      <c r="H20" s="363"/>
      <c r="I20" s="364"/>
      <c r="J20" s="364"/>
      <c r="K20" s="364" t="s">
        <v>2252</v>
      </c>
      <c r="L20" s="364" t="s">
        <v>2252</v>
      </c>
      <c r="M20" s="363"/>
      <c r="N20" s="420"/>
      <c r="O20" s="420"/>
      <c r="P20" s="378"/>
      <c r="Q20" s="360" t="str">
        <f>IF(OR($D20="",$D20=0),"",_xll.meProductSwapParRate(_xll.meUtilityLVBFromKeysValues($AA$5:$BM$5,$AA20:$BM20),FALSE))</f>
        <v/>
      </c>
      <c r="R20" s="461" t="str">
        <f>IF(OR($D20="",$D20=0),"",_xll.meProductSwapPV(_xll.meUtilityLVBFromKeysValues($AA$5:$BM$5,$AA20:$BM20),FALSE))</f>
        <v/>
      </c>
      <c r="S20" s="461" t="str">
        <f>IF(OR($D20="",$D20=0),"",_xll.meProductSwapLegPV(_xll.meUtilityLVBFromMultipleKeysValues($AB$5:$AG$5,$AB20:$AG20,,$AH$5:$AS$5,$AH20:$AS20,,"LegType","Leg1:Fixed",,"PayReceive",$F20),FALSE))</f>
        <v/>
      </c>
      <c r="T20" s="461" t="str">
        <f>IF(OR($D20="",$D20=0),"",_xll.meProductSwapLegPV(_xll.meUtilityLVBFromMultipleKeysValues($AB$5:$AG$5,$AB20:$AG20,,$AT$5:$BM$5,$AT20:$BM20,,"LegType","Leg2:Float",,"PayReceive",IF($F20="PAYER","RECEIVER","PAYER")),FALSE))</f>
        <v/>
      </c>
      <c r="U20" s="461" t="str">
        <f>IF(OR($D20="",$D20=0),"",_xll.meProductSwapPV01(_xll.meUtilityLVBFromKeysValues($AA$5:$BM$5,$AA20:$BM20),FALSE))</f>
        <v/>
      </c>
      <c r="V20" s="462" t="str">
        <f>IF(OR($D20="",$D20=0),"",_xll.meProductSwapDV01(_xll.meUtilityLVBFromKeysValues($AA$5:$BM$5,$AA20:$BM20),FALSE))</f>
        <v/>
      </c>
      <c r="W20" t="s">
        <v>12</v>
      </c>
      <c r="X20" s="476" t="str">
        <f>IF('USD Curve Config'!BB23,'USD Curve Config'!AZ23,"")</f>
        <v/>
      </c>
      <c r="Y20" s="477" t="str">
        <f>IF('USD Curve Config'!BB23,'USD Curve Config'!BA23,"")</f>
        <v/>
      </c>
      <c r="AA20" s="684">
        <f t="shared" si="0"/>
        <v>0</v>
      </c>
      <c r="AB20" s="1016">
        <f t="shared" si="1"/>
        <v>0</v>
      </c>
      <c r="AC20" s="399" t="str">
        <f t="shared" si="2"/>
        <v/>
      </c>
      <c r="AD20" s="399" t="str">
        <f>IF(OR(D20="",D20=0),"",IF(ISNUMBER($G20),$G20,IF(ISERROR(VALUE(LEFT(G20,1))),_xll.meDateFuturesContract($G20),_xll.meDateFromTenor($B20,$G20,$AM20,$AN20))))</f>
        <v/>
      </c>
      <c r="AE20" s="352" t="str">
        <f t="shared" si="3"/>
        <v>YC</v>
      </c>
      <c r="AF20" s="352" t="str">
        <f t="shared" si="4"/>
        <v/>
      </c>
      <c r="AG20" s="446" t="str">
        <f t="shared" si="5"/>
        <v>YCDF_</v>
      </c>
      <c r="AH20" s="452" t="s">
        <v>76</v>
      </c>
      <c r="AI20" s="434">
        <f t="shared" si="6"/>
        <v>0</v>
      </c>
      <c r="AJ20" s="347" t="s">
        <v>157</v>
      </c>
      <c r="AK20" s="347" t="s">
        <v>38</v>
      </c>
      <c r="AL20" s="347" t="s">
        <v>357</v>
      </c>
      <c r="AM20" s="347" t="s">
        <v>38</v>
      </c>
      <c r="AN20" s="347" t="s">
        <v>357</v>
      </c>
      <c r="AO20" s="429"/>
      <c r="AP20" s="429"/>
      <c r="AQ20" s="1004" t="e">
        <f t="shared" si="7"/>
        <v>#VALUE!</v>
      </c>
      <c r="AR20" s="347" t="s">
        <v>356</v>
      </c>
      <c r="AS20" s="451" t="s">
        <v>358</v>
      </c>
      <c r="AT20" s="352" t="str">
        <f t="shared" si="12"/>
        <v>Annual</v>
      </c>
      <c r="AU20" s="356">
        <f t="shared" si="8"/>
        <v>0</v>
      </c>
      <c r="AV20" s="347" t="s">
        <v>3</v>
      </c>
      <c r="AW20" s="347" t="s">
        <v>38</v>
      </c>
      <c r="AX20" s="347" t="s">
        <v>357</v>
      </c>
      <c r="AY20" s="347" t="s">
        <v>38</v>
      </c>
      <c r="AZ20" s="347" t="s">
        <v>357</v>
      </c>
      <c r="BA20" s="347" t="s">
        <v>38</v>
      </c>
      <c r="BB20" s="347" t="s">
        <v>357</v>
      </c>
      <c r="BC20" s="429"/>
      <c r="BD20" s="429"/>
      <c r="BE20" s="418" t="e">
        <f t="shared" si="9"/>
        <v>#VALUE!</v>
      </c>
      <c r="BF20" s="347" t="s">
        <v>356</v>
      </c>
      <c r="BG20" s="430">
        <f>_xll.meDateFromTenor($B20,"-"&amp;BF20,$AW20,$AX20)</f>
        <v>-1</v>
      </c>
      <c r="BH20" s="1006" t="str">
        <f t="shared" si="13"/>
        <v>NATURAL</v>
      </c>
      <c r="BI20" s="1006" t="str">
        <f t="shared" si="10"/>
        <v>NATURAL</v>
      </c>
      <c r="BJ20" s="358">
        <f ca="1">IF($M20="",IF($BG20&lt;COB,'EUR Curve Config'!CurveConfig.FixingRate,""),$M20)</f>
        <v>-2.6900000000000001E-3</v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 t="str">
        <f>IF(OR(D21="",D21=0),"",IF(ISNUMBER($C21),$C21,IF(ISERROR(VALUE(LEFT(C21,1))),_xll.meDateFuturesContract($C21),_xll.meDateFromTenor(COB,$C21,$AM21,$AN21))))</f>
        <v/>
      </c>
      <c r="C21" s="1120"/>
      <c r="D21" s="362"/>
      <c r="E21" s="362"/>
      <c r="F21" s="365"/>
      <c r="G21" s="397"/>
      <c r="H21" s="363"/>
      <c r="I21" s="364"/>
      <c r="J21" s="364"/>
      <c r="K21" s="364" t="s">
        <v>2252</v>
      </c>
      <c r="L21" s="364" t="s">
        <v>2252</v>
      </c>
      <c r="M21" s="363"/>
      <c r="N21" s="420"/>
      <c r="O21" s="420"/>
      <c r="P21" s="378"/>
      <c r="Q21" s="360" t="str">
        <f>IF(OR($D21="",$D21=0),"",_xll.meProductSwapParRate(_xll.meUtilityLVBFromKeysValues($AA$5:$BM$5,$AA21:$BM21),FALSE))</f>
        <v/>
      </c>
      <c r="R21" s="461" t="str">
        <f>IF(OR($D21="",$D21=0),"",_xll.meProductSwapPV(_xll.meUtilityLVBFromKeysValues($AA$5:$BM$5,$AA21:$BM21),FALSE))</f>
        <v/>
      </c>
      <c r="S21" s="461" t="str">
        <f>IF(OR($D21="",$D21=0),"",_xll.meProductSwapLegPV(_xll.meUtilityLVBFromMultipleKeysValues($AB$5:$AG$5,$AB21:$AG21,,$AH$5:$AS$5,$AH21:$AS21,,"LegType","Leg1:Fixed",,"PayReceive",$F21),FALSE))</f>
        <v/>
      </c>
      <c r="T21" s="461" t="str">
        <f>IF(OR($D21="",$D21=0),"",_xll.meProductSwapLegPV(_xll.meUtilityLVBFromMultipleKeysValues($AB$5:$AG$5,$AB21:$AG21,,$AT$5:$BM$5,$AT21:$BM21,,"LegType","Leg2:Float",,"PayReceive",IF($F21="PAYER","RECEIVER","PAYER")),FALSE))</f>
        <v/>
      </c>
      <c r="U21" s="461" t="str">
        <f>IF(OR($D21="",$D21=0),"",_xll.meProductSwapPV01(_xll.meUtilityLVBFromKeysValues($AA$5:$BM$5,$AA21:$BM21),FALSE))</f>
        <v/>
      </c>
      <c r="V21" s="462" t="str">
        <f>IF(OR($D21="",$D21=0),"",_xll.meProductSwapDV01(_xll.meUtilityLVBFromKeysValues($AA$5:$BM$5,$AA21:$BM21),FALSE))</f>
        <v/>
      </c>
      <c r="W21" t="s">
        <v>12</v>
      </c>
      <c r="X21" s="476" t="str">
        <f>IF('USD Curve Config'!BB24,'USD Curve Config'!AZ24,"")</f>
        <v/>
      </c>
      <c r="Y21" s="477" t="str">
        <f>IF('USD Curve Config'!BB24,'USD Curve Config'!BA24,"")</f>
        <v/>
      </c>
      <c r="AA21" s="684">
        <f t="shared" si="0"/>
        <v>0</v>
      </c>
      <c r="AB21" s="1016">
        <f t="shared" si="1"/>
        <v>0</v>
      </c>
      <c r="AC21" s="399" t="str">
        <f t="shared" si="2"/>
        <v/>
      </c>
      <c r="AD21" s="399" t="str">
        <f>IF(OR(D21="",D21=0),"",IF(ISNUMBER($G21),$G21,IF(ISERROR(VALUE(LEFT(G21,1))),_xll.meDateFuturesContract($G21),_xll.meDateFromTenor($B21,$G21,$AM21,$AN21))))</f>
        <v/>
      </c>
      <c r="AE21" s="352" t="str">
        <f t="shared" si="3"/>
        <v>YC</v>
      </c>
      <c r="AF21" s="352" t="str">
        <f t="shared" si="4"/>
        <v/>
      </c>
      <c r="AG21" s="446" t="str">
        <f t="shared" si="5"/>
        <v>YCDF_</v>
      </c>
      <c r="AH21" s="452" t="s">
        <v>76</v>
      </c>
      <c r="AI21" s="434">
        <f t="shared" si="6"/>
        <v>0</v>
      </c>
      <c r="AJ21" s="347" t="s">
        <v>157</v>
      </c>
      <c r="AK21" s="347" t="s">
        <v>38</v>
      </c>
      <c r="AL21" s="347" t="s">
        <v>357</v>
      </c>
      <c r="AM21" s="347" t="s">
        <v>38</v>
      </c>
      <c r="AN21" s="347" t="s">
        <v>357</v>
      </c>
      <c r="AO21" s="429"/>
      <c r="AP21" s="429"/>
      <c r="AQ21" s="1004" t="e">
        <f t="shared" si="7"/>
        <v>#VALUE!</v>
      </c>
      <c r="AR21" s="347" t="s">
        <v>356</v>
      </c>
      <c r="AS21" s="451" t="s">
        <v>358</v>
      </c>
      <c r="AT21" s="352" t="str">
        <f t="shared" si="12"/>
        <v>Annual</v>
      </c>
      <c r="AU21" s="356">
        <f t="shared" si="8"/>
        <v>0</v>
      </c>
      <c r="AV21" s="347" t="s">
        <v>3</v>
      </c>
      <c r="AW21" s="347" t="s">
        <v>38</v>
      </c>
      <c r="AX21" s="347" t="s">
        <v>357</v>
      </c>
      <c r="AY21" s="347" t="s">
        <v>38</v>
      </c>
      <c r="AZ21" s="347" t="s">
        <v>357</v>
      </c>
      <c r="BA21" s="347" t="s">
        <v>38</v>
      </c>
      <c r="BB21" s="347" t="s">
        <v>357</v>
      </c>
      <c r="BC21" s="429"/>
      <c r="BD21" s="429"/>
      <c r="BE21" s="418" t="e">
        <f t="shared" si="9"/>
        <v>#VALUE!</v>
      </c>
      <c r="BF21" s="347" t="s">
        <v>356</v>
      </c>
      <c r="BG21" s="430">
        <f>_xll.meDateFromTenor($B21,"-"&amp;BF21,$AW21,$AX21)</f>
        <v>-1</v>
      </c>
      <c r="BH21" s="1006" t="str">
        <f t="shared" si="13"/>
        <v>NATURAL</v>
      </c>
      <c r="BI21" s="1006" t="str">
        <f t="shared" si="10"/>
        <v>NATURAL</v>
      </c>
      <c r="BJ21" s="358">
        <f ca="1">IF($M21="",IF($BG21&lt;COB,'EUR Curve Config'!CurveConfig.FixingRate,""),$M21)</f>
        <v>-2.6900000000000001E-3</v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2252</v>
      </c>
      <c r="L22" s="364" t="s">
        <v>2252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>IF('USD Curve Config'!BB25,'USD Curve Config'!AZ25,"")</f>
        <v/>
      </c>
      <c r="Y22" s="477" t="str">
        <f>IF('USD Curve Config'!BB25,'USD Curve Config'!BA25,"")</f>
        <v/>
      </c>
      <c r="AA22" s="684">
        <f t="shared" si="0"/>
        <v>0</v>
      </c>
      <c r="AB22" s="1016">
        <f t="shared" si="1"/>
        <v>0</v>
      </c>
      <c r="AC22" s="399" t="str">
        <f t="shared" si="2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3"/>
        <v>YC</v>
      </c>
      <c r="AF22" s="352" t="str">
        <f t="shared" si="4"/>
        <v/>
      </c>
      <c r="AG22" s="446" t="str">
        <f t="shared" si="5"/>
        <v>YCDF_</v>
      </c>
      <c r="AH22" s="452" t="s">
        <v>76</v>
      </c>
      <c r="AI22" s="434">
        <f t="shared" si="6"/>
        <v>0</v>
      </c>
      <c r="AJ22" s="347" t="s">
        <v>157</v>
      </c>
      <c r="AK22" s="347" t="s">
        <v>38</v>
      </c>
      <c r="AL22" s="347" t="s">
        <v>357</v>
      </c>
      <c r="AM22" s="347" t="s">
        <v>38</v>
      </c>
      <c r="AN22" s="347" t="s">
        <v>357</v>
      </c>
      <c r="AO22" s="429"/>
      <c r="AP22" s="429"/>
      <c r="AQ22" s="1004" t="e">
        <f t="shared" si="7"/>
        <v>#VALUE!</v>
      </c>
      <c r="AR22" s="347" t="s">
        <v>356</v>
      </c>
      <c r="AS22" s="451" t="s">
        <v>358</v>
      </c>
      <c r="AT22" s="352" t="str">
        <f t="shared" si="12"/>
        <v>Annual</v>
      </c>
      <c r="AU22" s="356">
        <f t="shared" si="8"/>
        <v>0</v>
      </c>
      <c r="AV22" s="347" t="s">
        <v>3</v>
      </c>
      <c r="AW22" s="347" t="s">
        <v>38</v>
      </c>
      <c r="AX22" s="347" t="s">
        <v>357</v>
      </c>
      <c r="AY22" s="347" t="s">
        <v>38</v>
      </c>
      <c r="AZ22" s="347" t="s">
        <v>357</v>
      </c>
      <c r="BA22" s="347" t="s">
        <v>38</v>
      </c>
      <c r="BB22" s="347" t="s">
        <v>357</v>
      </c>
      <c r="BC22" s="429"/>
      <c r="BD22" s="429"/>
      <c r="BE22" s="418" t="e">
        <f t="shared" si="9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3"/>
        <v>NATURAL</v>
      </c>
      <c r="BI22" s="1006" t="str">
        <f t="shared" si="10"/>
        <v>NATURAL</v>
      </c>
      <c r="BJ22" s="358">
        <f ca="1">IF($M22="",IF($BG22&lt;COB,'EUR Curve Config'!CurveConfig.FixingRate,""),$M22)</f>
        <v>-2.6900000000000001E-3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2252</v>
      </c>
      <c r="L23" s="364" t="s">
        <v>2252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>IF('USD Curve Config'!BB26,'USD Curve Config'!AZ26,"")</f>
        <v/>
      </c>
      <c r="Y23" s="477" t="str">
        <f>IF('USD Curve Config'!BB26,'USD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76</v>
      </c>
      <c r="AI23" s="434">
        <f t="shared" si="6"/>
        <v>0</v>
      </c>
      <c r="AJ23" s="347" t="s">
        <v>157</v>
      </c>
      <c r="AK23" s="347" t="s">
        <v>38</v>
      </c>
      <c r="AL23" s="347" t="s">
        <v>357</v>
      </c>
      <c r="AM23" s="347" t="s">
        <v>38</v>
      </c>
      <c r="AN23" s="347" t="s">
        <v>357</v>
      </c>
      <c r="AO23" s="429"/>
      <c r="AP23" s="429"/>
      <c r="AQ23" s="1004" t="e">
        <f t="shared" si="7"/>
        <v>#VALUE!</v>
      </c>
      <c r="AR23" s="347" t="s">
        <v>356</v>
      </c>
      <c r="AS23" s="451" t="s">
        <v>358</v>
      </c>
      <c r="AT23" s="352" t="str">
        <f t="shared" si="12"/>
        <v>Annual</v>
      </c>
      <c r="AU23" s="356">
        <f t="shared" si="8"/>
        <v>0</v>
      </c>
      <c r="AV23" s="347" t="s">
        <v>3</v>
      </c>
      <c r="AW23" s="347" t="s">
        <v>38</v>
      </c>
      <c r="AX23" s="347" t="s">
        <v>357</v>
      </c>
      <c r="AY23" s="347" t="s">
        <v>38</v>
      </c>
      <c r="AZ23" s="347" t="s">
        <v>357</v>
      </c>
      <c r="BA23" s="347" t="s">
        <v>38</v>
      </c>
      <c r="BB23" s="347" t="s">
        <v>357</v>
      </c>
      <c r="BC23" s="429"/>
      <c r="BD23" s="429"/>
      <c r="BE23" s="418" t="e">
        <f t="shared" si="9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3"/>
        <v>NATURAL</v>
      </c>
      <c r="BI23" s="1006" t="str">
        <f t="shared" si="10"/>
        <v>NATURAL</v>
      </c>
      <c r="BJ23" s="358">
        <f ca="1">IF($M23="",IF($BG23&lt;COB,'EUR Curve Config'!CurveConfig.FixingRate,""),$M23)</f>
        <v>-2.6900000000000001E-3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2252</v>
      </c>
      <c r="L24" s="364" t="s">
        <v>2252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>IF('USD Curve Config'!BB27,'USD Curve Config'!AZ27,"")</f>
        <v/>
      </c>
      <c r="Y24" s="477" t="str">
        <f>IF('USD Curve Config'!BB27,'USD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76</v>
      </c>
      <c r="AI24" s="434">
        <f t="shared" si="6"/>
        <v>0</v>
      </c>
      <c r="AJ24" s="347" t="s">
        <v>157</v>
      </c>
      <c r="AK24" s="347" t="s">
        <v>38</v>
      </c>
      <c r="AL24" s="347" t="s">
        <v>357</v>
      </c>
      <c r="AM24" s="347" t="s">
        <v>38</v>
      </c>
      <c r="AN24" s="347" t="s">
        <v>357</v>
      </c>
      <c r="AO24" s="429"/>
      <c r="AP24" s="429"/>
      <c r="AQ24" s="1004" t="e">
        <f t="shared" si="7"/>
        <v>#VALUE!</v>
      </c>
      <c r="AR24" s="347" t="s">
        <v>356</v>
      </c>
      <c r="AS24" s="451" t="s">
        <v>358</v>
      </c>
      <c r="AT24" s="352" t="str">
        <f t="shared" si="12"/>
        <v>Annual</v>
      </c>
      <c r="AU24" s="356">
        <f t="shared" si="8"/>
        <v>0</v>
      </c>
      <c r="AV24" s="347" t="s">
        <v>3</v>
      </c>
      <c r="AW24" s="347" t="s">
        <v>38</v>
      </c>
      <c r="AX24" s="347" t="s">
        <v>357</v>
      </c>
      <c r="AY24" s="347" t="s">
        <v>38</v>
      </c>
      <c r="AZ24" s="347" t="s">
        <v>357</v>
      </c>
      <c r="BA24" s="347" t="s">
        <v>38</v>
      </c>
      <c r="BB24" s="347" t="s">
        <v>357</v>
      </c>
      <c r="BC24" s="429"/>
      <c r="BD24" s="429"/>
      <c r="BE24" s="418" t="e">
        <f t="shared" si="9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3"/>
        <v>NATURAL</v>
      </c>
      <c r="BI24" s="1006" t="str">
        <f t="shared" si="10"/>
        <v>NATURAL</v>
      </c>
      <c r="BJ24" s="358">
        <f ca="1">IF($M24="",IF($BG24&lt;COB,'EUR Curve Config'!CurveConfig.FixingRate,""),$M24)</f>
        <v>-2.6900000000000001E-3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2252</v>
      </c>
      <c r="L25" s="368" t="s">
        <v>2252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>IF('USD Curve Config'!BB28,'USD Curve Config'!AZ28,"")</f>
        <v/>
      </c>
      <c r="Y25" s="479" t="str">
        <f>IF('USD Curve Config'!BB28,'USD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76</v>
      </c>
      <c r="AI25" s="440">
        <f t="shared" si="6"/>
        <v>0</v>
      </c>
      <c r="AJ25" s="439" t="s">
        <v>157</v>
      </c>
      <c r="AK25" s="439" t="s">
        <v>38</v>
      </c>
      <c r="AL25" s="439" t="s">
        <v>357</v>
      </c>
      <c r="AM25" s="439" t="s">
        <v>38</v>
      </c>
      <c r="AN25" s="439" t="s">
        <v>357</v>
      </c>
      <c r="AO25" s="425"/>
      <c r="AP25" s="425"/>
      <c r="AQ25" s="1007" t="e">
        <f t="shared" si="7"/>
        <v>#VALUE!</v>
      </c>
      <c r="AR25" s="439" t="s">
        <v>356</v>
      </c>
      <c r="AS25" s="454" t="s">
        <v>358</v>
      </c>
      <c r="AT25" s="438" t="str">
        <f t="shared" si="12"/>
        <v>Annual</v>
      </c>
      <c r="AU25" s="441">
        <f t="shared" si="8"/>
        <v>0</v>
      </c>
      <c r="AV25" s="439" t="s">
        <v>3</v>
      </c>
      <c r="AW25" s="439" t="s">
        <v>38</v>
      </c>
      <c r="AX25" s="439" t="s">
        <v>357</v>
      </c>
      <c r="AY25" s="439" t="s">
        <v>38</v>
      </c>
      <c r="AZ25" s="439" t="s">
        <v>357</v>
      </c>
      <c r="BA25" s="439" t="s">
        <v>38</v>
      </c>
      <c r="BB25" s="439" t="s">
        <v>357</v>
      </c>
      <c r="BC25" s="425"/>
      <c r="BD25" s="425"/>
      <c r="BE25" s="436" t="e">
        <f t="shared" si="9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3"/>
        <v>NATURAL</v>
      </c>
      <c r="BI25" s="1005" t="str">
        <f t="shared" si="10"/>
        <v>NATURAL</v>
      </c>
      <c r="BJ25" s="442">
        <f ca="1">IF($M25="",IF($BG25&lt;COB,'EUR Curve Config'!CurveConfig.FixingRate,""),$M25)</f>
        <v>-2.6900000000000001E-3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  <c r="Q30" s="370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6600"/>
  </sheetPr>
  <dimension ref="A1:BN48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.85546875" hidden="1" customWidth="1" outlineLevel="1"/>
    <col min="30" max="30" width="15.425781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1812</v>
      </c>
      <c r="BN1" s="9" t="s">
        <v>1813</v>
      </c>
    </row>
    <row r="2" spans="1:66" ht="23.25">
      <c r="B2" s="371" t="s">
        <v>1079</v>
      </c>
      <c r="R2" s="132" t="s">
        <v>1445</v>
      </c>
      <c r="S2" s="1427">
        <f ca="1">SUM($R$6:$R$25)</f>
        <v>-604884.95961422997</v>
      </c>
      <c r="T2" s="1428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1809</v>
      </c>
      <c r="AA4" s="998" t="s">
        <v>1801</v>
      </c>
      <c r="AH4" s="234" t="s">
        <v>1810</v>
      </c>
      <c r="AT4" s="234" t="s">
        <v>1811</v>
      </c>
    </row>
    <row r="5" spans="1:66" s="466" customFormat="1">
      <c r="B5" s="467" t="s">
        <v>1768</v>
      </c>
      <c r="C5" s="468" t="s">
        <v>2186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1772</v>
      </c>
      <c r="I5" s="468" t="s">
        <v>1804</v>
      </c>
      <c r="J5" s="468" t="s">
        <v>1784</v>
      </c>
      <c r="K5" s="471" t="s">
        <v>2250</v>
      </c>
      <c r="L5" s="471" t="s">
        <v>2251</v>
      </c>
      <c r="M5" s="468" t="s">
        <v>1796</v>
      </c>
      <c r="N5" s="468" t="s">
        <v>1780</v>
      </c>
      <c r="O5" s="468" t="s">
        <v>1794</v>
      </c>
      <c r="P5" s="468" t="s">
        <v>1076</v>
      </c>
      <c r="Q5" s="468" t="s">
        <v>1805</v>
      </c>
      <c r="R5" s="468" t="s">
        <v>1806</v>
      </c>
      <c r="S5" s="468" t="s">
        <v>1808</v>
      </c>
      <c r="T5" s="468" t="s">
        <v>1807</v>
      </c>
      <c r="U5" s="468" t="s">
        <v>1077</v>
      </c>
      <c r="V5" s="469" t="s">
        <v>1752</v>
      </c>
      <c r="W5" s="466" t="s">
        <v>12</v>
      </c>
      <c r="X5" s="470" t="s">
        <v>890</v>
      </c>
      <c r="Y5" s="474" t="s">
        <v>1805</v>
      </c>
      <c r="AA5" s="470" t="s">
        <v>1803</v>
      </c>
      <c r="AB5" s="471" t="s">
        <v>354</v>
      </c>
      <c r="AC5" s="471" t="s">
        <v>1768</v>
      </c>
      <c r="AD5" s="471" t="s">
        <v>1769</v>
      </c>
      <c r="AE5" s="471" t="s">
        <v>1770</v>
      </c>
      <c r="AF5" s="471" t="s">
        <v>1443</v>
      </c>
      <c r="AG5" s="472" t="s">
        <v>1444</v>
      </c>
      <c r="AH5" s="473" t="s">
        <v>1771</v>
      </c>
      <c r="AI5" s="471" t="s">
        <v>1772</v>
      </c>
      <c r="AJ5" s="471" t="s">
        <v>1773</v>
      </c>
      <c r="AK5" s="471" t="s">
        <v>1774</v>
      </c>
      <c r="AL5" s="471" t="s">
        <v>1775</v>
      </c>
      <c r="AM5" s="471" t="s">
        <v>1776</v>
      </c>
      <c r="AN5" s="471" t="s">
        <v>1777</v>
      </c>
      <c r="AO5" s="471" t="s">
        <v>1778</v>
      </c>
      <c r="AP5" s="471" t="s">
        <v>1779</v>
      </c>
      <c r="AQ5" s="471" t="s">
        <v>1780</v>
      </c>
      <c r="AR5" s="471" t="s">
        <v>1781</v>
      </c>
      <c r="AS5" s="472" t="s">
        <v>1782</v>
      </c>
      <c r="AT5" s="471" t="s">
        <v>1783</v>
      </c>
      <c r="AU5" s="471" t="s">
        <v>1784</v>
      </c>
      <c r="AV5" s="471" t="s">
        <v>1785</v>
      </c>
      <c r="AW5" s="471" t="s">
        <v>1786</v>
      </c>
      <c r="AX5" s="471" t="s">
        <v>1787</v>
      </c>
      <c r="AY5" s="471" t="s">
        <v>1788</v>
      </c>
      <c r="AZ5" s="471" t="s">
        <v>1789</v>
      </c>
      <c r="BA5" s="471" t="s">
        <v>1790</v>
      </c>
      <c r="BB5" s="471" t="s">
        <v>1791</v>
      </c>
      <c r="BC5" s="471" t="s">
        <v>1792</v>
      </c>
      <c r="BD5" s="471" t="s">
        <v>1793</v>
      </c>
      <c r="BE5" s="471" t="s">
        <v>1794</v>
      </c>
      <c r="BF5" s="471" t="s">
        <v>1795</v>
      </c>
      <c r="BG5" s="471" t="s">
        <v>1800</v>
      </c>
      <c r="BH5" s="471" t="s">
        <v>2250</v>
      </c>
      <c r="BI5" s="471" t="s">
        <v>2251</v>
      </c>
      <c r="BJ5" s="471" t="s">
        <v>1796</v>
      </c>
      <c r="BK5" s="471" t="s">
        <v>1797</v>
      </c>
      <c r="BL5" s="471" t="s">
        <v>1798</v>
      </c>
      <c r="BM5" s="474" t="s">
        <v>1799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43224</v>
      </c>
      <c r="C6" s="1120" t="s">
        <v>356</v>
      </c>
      <c r="D6" s="361">
        <v>1000000</v>
      </c>
      <c r="E6" s="361" t="s">
        <v>187</v>
      </c>
      <c r="F6" s="342" t="s">
        <v>1753</v>
      </c>
      <c r="G6" s="346" t="str">
        <f t="shared" ref="G6:G21" si="0">X6</f>
        <v>2Y</v>
      </c>
      <c r="H6" s="344">
        <v>0.01</v>
      </c>
      <c r="I6" s="343" t="s">
        <v>355</v>
      </c>
      <c r="J6" s="343">
        <v>0</v>
      </c>
      <c r="K6" s="343" t="s">
        <v>2252</v>
      </c>
      <c r="L6" s="343" t="s">
        <v>2252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1.0589999999999053E-2</v>
      </c>
      <c r="R6" s="458">
        <f ca="1">IF(OR($D6="",$D6=0),"",_xll.meProductSwapPV(_xll.meUtilityLVBFromKeysValues($AA$5:$BM$5,$AA6:$BM6),FALSE))</f>
        <v>-1172.9929331289572</v>
      </c>
      <c r="S6" s="461">
        <f ca="1">IF(OR($D6="",$D6=0),"",_xll.meProductSwapLegPV(_xll.meUtilityLVBFromMultipleKeysValues($AB$5:$AG$5,$AB6:$AG6,,$AH$5:$AS$5,$AH6:$AS6,,"LegType","Leg1:Fixed",,"PayReceive",$F6),FALSE))</f>
        <v>19881.236154760001</v>
      </c>
      <c r="T6" s="459" t="str">
        <f ca="1">IF(OR($D6="",$D6=0),"",_xll.meProductSwapLegPV(_xll.meUtilityLVBFromMultipleKeysValues($AB$5:$AG$5,$AB6:$AG6,,$AT$5:$BM$5,$AT6:$BM6,,"LegType","Leg2:Float",,"PayReceive",IF($F6="PAYER","RECEIVER","PAYER")),FALSE))</f>
        <v>[2018/05/04 09:52] #Error: Invalid Curve: CurveIndex 'GBP6ML' in collection GBPYC does not exist</v>
      </c>
      <c r="U6" s="458">
        <f ca="1">IF(OR($D6="",$D6=0),"",_xll.meProductSwapPV01(_xll.meUtilityLVBFromKeysValues($AA$5:$BM$5,$AA6:$BM6),FALSE))</f>
        <v>198.81236154760003</v>
      </c>
      <c r="V6" s="460">
        <f ca="1">IF(OR($D6="",$D6=0),"",_xll.meProductSwapDV01(_xll.meUtilityLVBFromKeysValues($AA$5:$BM$5,$AA6:$BM6),FALSE))</f>
        <v>198.46748922901685</v>
      </c>
      <c r="W6" t="s">
        <v>12</v>
      </c>
      <c r="X6" s="476" t="str">
        <f>IF('GBP Curve Config'!BB9,'GBP Curve Config'!AZ9,"")</f>
        <v>2Y</v>
      </c>
      <c r="Y6" s="477">
        <f>IF('GBP Curve Config'!BB9,'GBP Curve Config'!BA9,"")</f>
        <v>1.0589999999999999E-2</v>
      </c>
      <c r="AA6" s="684" t="str">
        <f t="shared" ref="AA6:AA25" si="1">F6</f>
        <v>RECEIVER</v>
      </c>
      <c r="AB6" s="1016">
        <f t="shared" ref="AB6:AB25" si="2">D6</f>
        <v>1000000</v>
      </c>
      <c r="AC6" s="399">
        <f t="shared" ref="AC6:AC25" ca="1" si="3">B6</f>
        <v>43224</v>
      </c>
      <c r="AD6" s="1006">
        <f ca="1">IF(OR(D6="",D6=0),"",IF(ISNUMBER($G6),$G6,IF(ISERROR(VALUE(LEFT(G6,1))),_xll.meDateFuturesContract($G6),_xll.meDateFromTenor($B6,$G6,$AM6,$AN6))))</f>
        <v>43956</v>
      </c>
      <c r="AE6" s="340" t="str">
        <f t="shared" ref="AE6:AE25" si="4">E6&amp;"YC"</f>
        <v>GBPYC</v>
      </c>
      <c r="AF6" s="341" t="str">
        <f t="shared" ref="AF6:AF25" si="5">$E6&amp;$I6</f>
        <v>GBP6ML</v>
      </c>
      <c r="AG6" s="445" t="str">
        <f t="shared" ref="AG6:AG25" si="6">LEFT(AE6,3)&amp;"DF_"&amp;P6</f>
        <v>GBPDF_NOCSA</v>
      </c>
      <c r="AH6" s="448" t="s">
        <v>76</v>
      </c>
      <c r="AI6" s="428">
        <f t="shared" ref="AI6:AI25" si="7">H6</f>
        <v>0.01</v>
      </c>
      <c r="AJ6" s="349" t="s">
        <v>186</v>
      </c>
      <c r="AK6" s="348" t="s">
        <v>38</v>
      </c>
      <c r="AL6" s="348" t="s">
        <v>185</v>
      </c>
      <c r="AM6" s="348" t="s">
        <v>38</v>
      </c>
      <c r="AN6" s="348" t="s">
        <v>185</v>
      </c>
      <c r="AO6" s="429"/>
      <c r="AP6" s="429"/>
      <c r="AQ6" s="339">
        <f ca="1">DAY($B6)</f>
        <v>4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8">J6</f>
        <v>0</v>
      </c>
      <c r="AV6" s="349" t="s">
        <v>186</v>
      </c>
      <c r="AW6" s="348" t="s">
        <v>38</v>
      </c>
      <c r="AX6" s="348" t="s">
        <v>185</v>
      </c>
      <c r="AY6" s="348" t="s">
        <v>38</v>
      </c>
      <c r="AZ6" s="348" t="s">
        <v>185</v>
      </c>
      <c r="BA6" s="348" t="s">
        <v>38</v>
      </c>
      <c r="BB6" s="348" t="s">
        <v>185</v>
      </c>
      <c r="BC6" s="429"/>
      <c r="BD6" s="429"/>
      <c r="BE6" s="339">
        <f ca="1">DAY($B6)</f>
        <v>4</v>
      </c>
      <c r="BF6" s="350" t="s">
        <v>356</v>
      </c>
      <c r="BG6" s="430">
        <f ca="1">_xll.meDateFromTenor($B6,"-"&amp;BF6,$AW6,$AX6)</f>
        <v>43224</v>
      </c>
      <c r="BH6" s="1006" t="str">
        <f>K6</f>
        <v>NATURAL</v>
      </c>
      <c r="BI6" s="1006" t="str">
        <f t="shared" ref="BI6:BI25" si="9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43224</v>
      </c>
      <c r="C7" s="1122" t="s">
        <v>356</v>
      </c>
      <c r="D7" s="362">
        <v>1000000</v>
      </c>
      <c r="E7" s="362" t="s">
        <v>187</v>
      </c>
      <c r="F7" s="365" t="s">
        <v>1753</v>
      </c>
      <c r="G7" s="397" t="str">
        <f t="shared" si="0"/>
        <v>3Y</v>
      </c>
      <c r="H7" s="363">
        <v>0.01</v>
      </c>
      <c r="I7" s="364" t="s">
        <v>355</v>
      </c>
      <c r="J7" s="364">
        <v>0</v>
      </c>
      <c r="K7" s="364" t="s">
        <v>2252</v>
      </c>
      <c r="L7" s="364" t="s">
        <v>2252</v>
      </c>
      <c r="M7" s="363"/>
      <c r="N7" s="420"/>
      <c r="O7" s="420"/>
      <c r="P7" s="378" t="s">
        <v>1043</v>
      </c>
      <c r="Q7" s="360" t="str">
        <f ca="1">IF(OR($D7="",$D7=0),"",_xll.meProductSwapParRate(_xll.meUtilityLVBFromKeysValues($AA$5:$BM$5,$AA7:$BM7),FALSE))</f>
        <v>[2018/05/04 09:52] #Error: Invalid Curve: CurveIndex 'GBP6ML' in collection GBPYC does not exist</v>
      </c>
      <c r="R7" s="461" t="str">
        <f ca="1">IF(OR($D7="",$D7=0),"",_xll.meProductSwapPV(_xll.meUtilityLVBFromKeysValues($AA$5:$BM$5,$AA7:$BM7),FALSE))</f>
        <v>[2018/05/04 09:52] #Error: Invalid Curve: CurveIndex 'GBP6ML' in collection GBPYC does not exist</v>
      </c>
      <c r="S7" s="461">
        <f ca="1">IF(OR($D7="",$D7=0),"",_xll.meProductSwapLegPV(_xll.meUtilityLVBFromMultipleKeysValues($AB$5:$AG$5,$AB7:$AG7,,$AH$5:$AS$5,$AH7:$AS7,,"LegType","Leg1:Fixed",,"PayReceive",$F7),FALSE))</f>
        <v>29614.648270452035</v>
      </c>
      <c r="T7" s="461" t="str">
        <f ca="1">IF(OR($D7="",$D7=0),"",_xll.meProductSwapLegPV(_xll.meUtilityLVBFromMultipleKeysValues($AB$5:$AG$5,$AB7:$AG7,,$AT$5:$BM$5,$AT7:$BM7,,"LegType","Leg2:Float",,"PayReceive",IF($F7="PAYER","RECEIVER","PAYER")),FALSE))</f>
        <v>[2018/05/04 09:52] #Error: Invalid Curve: CurveIndex 'GBP6ML' in collection GBPYC does not exist</v>
      </c>
      <c r="U7" s="461" t="str">
        <f ca="1">IF(OR($D7="",$D7=0),"",_xll.meProductSwapPV01(_xll.meUtilityLVBFromKeysValues($AA$5:$BM$5,$AA7:$BM7),FALSE))</f>
        <v>[2018/05/04 09:52] #Error: Invalid Curve: CurveIndex 'GBP6ML' in collection GBPYC does not exist</v>
      </c>
      <c r="V7" s="462" t="str">
        <f ca="1">IF(OR($D7="",$D7=0),"",_xll.meProductSwapDV01(_xll.meUtilityLVBFromKeysValues($AA$5:$BM$5,$AA7:$BM7),FALSE))</f>
        <v>[2018/05/04 09:52] #Error: Invalid Curve: CurveIndex 'GBP6ML' in collection GBPYC does not exist</v>
      </c>
      <c r="W7" t="s">
        <v>12</v>
      </c>
      <c r="X7" s="476" t="str">
        <f>IF('GBP Curve Config'!BB10,'GBP Curve Config'!AZ10,"")</f>
        <v>3Y</v>
      </c>
      <c r="Y7" s="477">
        <f>IF('GBP Curve Config'!BB10,'GBP Curve Config'!BA10,"")</f>
        <v>1.184E-2</v>
      </c>
      <c r="AA7" s="684" t="str">
        <f t="shared" si="1"/>
        <v>RECEIVER</v>
      </c>
      <c r="AB7" s="1016">
        <f t="shared" si="2"/>
        <v>1000000</v>
      </c>
      <c r="AC7" s="399">
        <f t="shared" ca="1" si="3"/>
        <v>43224</v>
      </c>
      <c r="AD7" s="399">
        <f ca="1">IF(OR(D7="",D7=0),"",IF(ISNUMBER($G7),$G7,IF(ISERROR(VALUE(LEFT(G7,1))),_xll.meDateFuturesContract($G7),_xll.meDateFromTenor($B7,$G7,$AM7,$AN7))))</f>
        <v>44320</v>
      </c>
      <c r="AE7" s="352" t="str">
        <f t="shared" si="4"/>
        <v>GBPYC</v>
      </c>
      <c r="AF7" s="352" t="str">
        <f t="shared" si="5"/>
        <v>GBP6ML</v>
      </c>
      <c r="AG7" s="446" t="str">
        <f t="shared" si="6"/>
        <v>GBPDF_NOCSA</v>
      </c>
      <c r="AH7" s="450" t="s">
        <v>76</v>
      </c>
      <c r="AI7" s="432">
        <f t="shared" si="7"/>
        <v>0.01</v>
      </c>
      <c r="AJ7" s="351" t="s">
        <v>186</v>
      </c>
      <c r="AK7" s="351" t="s">
        <v>38</v>
      </c>
      <c r="AL7" s="351" t="s">
        <v>185</v>
      </c>
      <c r="AM7" s="351" t="s">
        <v>38</v>
      </c>
      <c r="AN7" s="351" t="s">
        <v>185</v>
      </c>
      <c r="AO7" s="429"/>
      <c r="AP7" s="429"/>
      <c r="AQ7" s="1004">
        <f t="shared" ref="AQ7:AQ25" ca="1" si="10">DAY($B7)</f>
        <v>4</v>
      </c>
      <c r="AR7" s="347" t="s">
        <v>356</v>
      </c>
      <c r="AS7" s="451" t="s">
        <v>358</v>
      </c>
      <c r="AT7" s="352" t="str">
        <f t="shared" ref="AT7:AT25" si="11">IF($I7="1ML","Monthly",IF($I7="3ML","Quarterly",IF($I7="6ML","Semi-Annual","Annual")))</f>
        <v>Semi-Annual</v>
      </c>
      <c r="AU7" s="356">
        <f t="shared" si="8"/>
        <v>0</v>
      </c>
      <c r="AV7" s="481" t="s">
        <v>186</v>
      </c>
      <c r="AW7" s="347" t="s">
        <v>38</v>
      </c>
      <c r="AX7" s="351" t="s">
        <v>185</v>
      </c>
      <c r="AY7" s="347" t="s">
        <v>38</v>
      </c>
      <c r="AZ7" s="351" t="s">
        <v>185</v>
      </c>
      <c r="BA7" s="347" t="s">
        <v>38</v>
      </c>
      <c r="BB7" s="351" t="s">
        <v>185</v>
      </c>
      <c r="BC7" s="429"/>
      <c r="BD7" s="429"/>
      <c r="BE7" s="418">
        <f t="shared" ref="BE7:BE25" ca="1" si="12">DAY($B7)</f>
        <v>4</v>
      </c>
      <c r="BF7" s="347" t="s">
        <v>356</v>
      </c>
      <c r="BG7" s="430">
        <f ca="1">_xll.meDateFromTenor($B7,"-"&amp;BF7,$AW7,$AX7)</f>
        <v>43224</v>
      </c>
      <c r="BH7" s="1006" t="str">
        <f t="shared" ref="BH7:BH25" si="13">K7</f>
        <v>NATURAL</v>
      </c>
      <c r="BI7" s="1006" t="str">
        <f t="shared" si="9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43224</v>
      </c>
      <c r="C8" s="1120" t="s">
        <v>356</v>
      </c>
      <c r="D8" s="362">
        <v>1000000</v>
      </c>
      <c r="E8" s="362" t="s">
        <v>187</v>
      </c>
      <c r="F8" s="365" t="s">
        <v>1753</v>
      </c>
      <c r="G8" s="397" t="str">
        <f t="shared" si="0"/>
        <v>4Y</v>
      </c>
      <c r="H8" s="363">
        <v>0.01</v>
      </c>
      <c r="I8" s="364" t="s">
        <v>355</v>
      </c>
      <c r="J8" s="364">
        <v>0</v>
      </c>
      <c r="K8" s="364" t="s">
        <v>2252</v>
      </c>
      <c r="L8" s="364" t="s">
        <v>2252</v>
      </c>
      <c r="M8" s="363"/>
      <c r="N8" s="420"/>
      <c r="O8" s="420"/>
      <c r="P8" s="378" t="s">
        <v>1043</v>
      </c>
      <c r="Q8" s="360" t="str">
        <f ca="1">IF(OR($D8="",$D8=0),"",_xll.meProductSwapParRate(_xll.meUtilityLVBFromKeysValues($AA$5:$BM$5,$AA8:$BM8),FALSE))</f>
        <v>[2018/05/04 09:52] #Error: Invalid Curve: CurveIndex 'GBP6ML' in collection GBPYC does not exist</v>
      </c>
      <c r="R8" s="461">
        <f ca="1">IF(OR($D8="",$D8=0),"",_xll.meProductSwapPV(_xll.meUtilityLVBFromKeysValues($AA$5:$BM$5,$AA8:$BM8),FALSE))</f>
        <v>-10873.196386516973</v>
      </c>
      <c r="S8" s="461">
        <f ca="1">IF(OR($D8="",$D8=0),"",_xll.meProductSwapLegPV(_xll.meUtilityLVBFromMultipleKeysValues($AB$5:$AG$5,$AB8:$AG8,,$AH$5:$AS$5,$AH8:$AS8,,"LegType","Leg1:Fixed",,"PayReceive",$F8),FALSE))</f>
        <v>39253.41655900803</v>
      </c>
      <c r="T8" s="461">
        <f ca="1">IF(OR($D8="",$D8=0),"",_xll.meProductSwapLegPV(_xll.meUtilityLVBFromMultipleKeysValues($AB$5:$AG$5,$AB8:$AG8,,$AT$5:$BM$5,$AT8:$BM8,,"LegType","Leg2:Float",,"PayReceive",IF($F8="PAYER","RECEIVER","PAYER")),FALSE))</f>
        <v>-50126.612945525012</v>
      </c>
      <c r="U8" s="461" t="str">
        <f ca="1">IF(OR($D8="",$D8=0),"",_xll.meProductSwapPV01(_xll.meUtilityLVBFromKeysValues($AA$5:$BM$5,$AA8:$BM8),FALSE))</f>
        <v>[2018/05/04 09:52] #Error: Invalid Curve: CurveIndex 'GBP6ML' in collection GBPYC does not exist</v>
      </c>
      <c r="V8" s="462" t="str">
        <f ca="1">IF(OR($D8="",$D8=0),"",_xll.meProductSwapDV01(_xll.meUtilityLVBFromKeysValues($AA$5:$BM$5,$AA8:$BM8),FALSE))</f>
        <v>[2018/05/04 09:52] #Error: Invalid Curve: CurveIndex 'GBP6ML' in collection GBPYC does not exist</v>
      </c>
      <c r="W8" t="s">
        <v>12</v>
      </c>
      <c r="X8" s="476" t="str">
        <f>IF('GBP Curve Config'!BB11,'GBP Curve Config'!AZ11,"")</f>
        <v>4Y</v>
      </c>
      <c r="Y8" s="477">
        <f>IF('GBP Curve Config'!BB11,'GBP Curve Config'!BA11,"")</f>
        <v>1.2769999999999998E-2</v>
      </c>
      <c r="AA8" s="684" t="str">
        <f t="shared" si="1"/>
        <v>RECEIVER</v>
      </c>
      <c r="AB8" s="1016">
        <f t="shared" si="2"/>
        <v>1000000</v>
      </c>
      <c r="AC8" s="399">
        <f t="shared" ca="1" si="3"/>
        <v>43224</v>
      </c>
      <c r="AD8" s="399">
        <f ca="1">IF(OR(D8="",D8=0),"",IF(ISNUMBER($G8),$G8,IF(ISERROR(VALUE(LEFT(G8,1))),_xll.meDateFuturesContract($G8),_xll.meDateFromTenor($B8,$G8,$AM8,$AN8))))</f>
        <v>44685</v>
      </c>
      <c r="AE8" s="352" t="str">
        <f t="shared" si="4"/>
        <v>GBPYC</v>
      </c>
      <c r="AF8" s="352" t="str">
        <f t="shared" si="5"/>
        <v>GBP6ML</v>
      </c>
      <c r="AG8" s="446" t="str">
        <f t="shared" si="6"/>
        <v>GBPDF_NOCSA</v>
      </c>
      <c r="AH8" s="450" t="s">
        <v>76</v>
      </c>
      <c r="AI8" s="432">
        <f t="shared" si="7"/>
        <v>0.01</v>
      </c>
      <c r="AJ8" s="351" t="s">
        <v>186</v>
      </c>
      <c r="AK8" s="351" t="s">
        <v>38</v>
      </c>
      <c r="AL8" s="351" t="s">
        <v>185</v>
      </c>
      <c r="AM8" s="351" t="s">
        <v>38</v>
      </c>
      <c r="AN8" s="351" t="s">
        <v>185</v>
      </c>
      <c r="AO8" s="429"/>
      <c r="AP8" s="429"/>
      <c r="AQ8" s="1004">
        <f t="shared" ca="1" si="10"/>
        <v>4</v>
      </c>
      <c r="AR8" s="347" t="s">
        <v>356</v>
      </c>
      <c r="AS8" s="451" t="s">
        <v>358</v>
      </c>
      <c r="AT8" s="352" t="str">
        <f t="shared" si="11"/>
        <v>Semi-Annual</v>
      </c>
      <c r="AU8" s="356">
        <f t="shared" si="8"/>
        <v>0</v>
      </c>
      <c r="AV8" s="481" t="s">
        <v>186</v>
      </c>
      <c r="AW8" s="347" t="s">
        <v>38</v>
      </c>
      <c r="AX8" s="351" t="s">
        <v>185</v>
      </c>
      <c r="AY8" s="347" t="s">
        <v>38</v>
      </c>
      <c r="AZ8" s="351" t="s">
        <v>185</v>
      </c>
      <c r="BA8" s="347" t="s">
        <v>38</v>
      </c>
      <c r="BB8" s="351" t="s">
        <v>185</v>
      </c>
      <c r="BC8" s="429"/>
      <c r="BD8" s="429"/>
      <c r="BE8" s="418">
        <f t="shared" ca="1" si="12"/>
        <v>4</v>
      </c>
      <c r="BF8" s="347" t="s">
        <v>356</v>
      </c>
      <c r="BG8" s="430">
        <f ca="1">_xll.meDateFromTenor($B8,"-"&amp;BF8,$AW8,$AX8)</f>
        <v>43224</v>
      </c>
      <c r="BH8" s="1006" t="str">
        <f t="shared" si="13"/>
        <v>NATURAL</v>
      </c>
      <c r="BI8" s="1006" t="str">
        <f t="shared" si="9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43224</v>
      </c>
      <c r="C9" s="1120" t="s">
        <v>356</v>
      </c>
      <c r="D9" s="362">
        <v>1000000</v>
      </c>
      <c r="E9" s="362" t="s">
        <v>187</v>
      </c>
      <c r="F9" s="365" t="s">
        <v>1753</v>
      </c>
      <c r="G9" s="397" t="str">
        <f t="shared" si="0"/>
        <v>5Y</v>
      </c>
      <c r="H9" s="363">
        <v>0.01</v>
      </c>
      <c r="I9" s="364" t="s">
        <v>355</v>
      </c>
      <c r="J9" s="364">
        <v>0</v>
      </c>
      <c r="K9" s="364" t="s">
        <v>2252</v>
      </c>
      <c r="L9" s="364" t="s">
        <v>2252</v>
      </c>
      <c r="M9" s="363"/>
      <c r="N9" s="420"/>
      <c r="O9" s="420"/>
      <c r="P9" s="378" t="s">
        <v>1043</v>
      </c>
      <c r="Q9" s="360">
        <f ca="1">IF(OR($D9="",$D9=0),"",_xll.meProductSwapParRate(_xll.meUtilityLVBFromKeysValues($AA$5:$BM$5,$AA9:$BM9),FALSE))</f>
        <v>1.3499999999944704E-2</v>
      </c>
      <c r="R9" s="461" t="str">
        <f ca="1">IF(OR($D9="",$D9=0),"",_xll.meProductSwapPV(_xll.meUtilityLVBFromKeysValues($AA$5:$BM$5,$AA9:$BM9),FALSE))</f>
        <v>[2018/05/04 09:52] #Error: Invalid Curve: CurveIndex 'GBP6ML' in collection GBPYC does not exist</v>
      </c>
      <c r="S9" s="461">
        <f ca="1">IF(OR($D9="",$D9=0),"",_xll.meProductSwapLegPV(_xll.meUtilityLVBFromMultipleKeysValues($AB$5:$AG$5,$AB9:$AG9,,$AH$5:$AS$5,$AH9:$AS9,,"LegType","Leg1:Fixed",,"PayReceive",$F9),FALSE))</f>
        <v>48770.938302955423</v>
      </c>
      <c r="T9" s="461" t="str">
        <f ca="1">IF(OR($D9="",$D9=0),"",_xll.meProductSwapLegPV(_xll.meUtilityLVBFromMultipleKeysValues($AB$5:$AG$5,$AB9:$AG9,,$AT$5:$BM$5,$AT9:$BM9,,"LegType","Leg2:Float",,"PayReceive",IF($F9="PAYER","RECEIVER","PAYER")),FALSE))</f>
        <v>[2018/05/04 09:52] #Error: Invalid Curve: CurveIndex 'GBP6ML' in collection GBPYC does not exist</v>
      </c>
      <c r="U9" s="461">
        <f ca="1">IF(OR($D9="",$D9=0),"",_xll.meProductSwapPV01(_xll.meUtilityLVBFromKeysValues($AA$5:$BM$5,$AA9:$BM9),FALSE))</f>
        <v>487.7093830295542</v>
      </c>
      <c r="V9" s="462">
        <f ca="1">IF(OR($D9="",$D9=0),"",_xll.meProductSwapDV01(_xll.meUtilityLVBFromKeysValues($AA$5:$BM$5,$AA9:$BM9),FALSE))</f>
        <v>481.27520621709533</v>
      </c>
      <c r="W9" t="s">
        <v>12</v>
      </c>
      <c r="X9" s="476" t="str">
        <f>IF('GBP Curve Config'!BB12,'GBP Curve Config'!AZ12,"")</f>
        <v>5Y</v>
      </c>
      <c r="Y9" s="477">
        <f>IF('GBP Curve Config'!BB12,'GBP Curve Config'!BA12,"")</f>
        <v>1.3500000000000002E-2</v>
      </c>
      <c r="AA9" s="684" t="str">
        <f t="shared" si="1"/>
        <v>RECEIVER</v>
      </c>
      <c r="AB9" s="1016">
        <f t="shared" si="2"/>
        <v>1000000</v>
      </c>
      <c r="AC9" s="399">
        <f t="shared" ca="1" si="3"/>
        <v>43224</v>
      </c>
      <c r="AD9" s="399">
        <f ca="1">IF(OR(D9="",D9=0),"",IF(ISNUMBER($G9),$G9,IF(ISERROR(VALUE(LEFT(G9,1))),_xll.meDateFuturesContract($G9),_xll.meDateFromTenor($B9,$G9,$AM9,$AN9))))</f>
        <v>45050</v>
      </c>
      <c r="AE9" s="352" t="str">
        <f t="shared" si="4"/>
        <v>GBPYC</v>
      </c>
      <c r="AF9" s="352" t="str">
        <f t="shared" si="5"/>
        <v>GBP6ML</v>
      </c>
      <c r="AG9" s="446" t="str">
        <f t="shared" si="6"/>
        <v>GBPDF_NOCSA</v>
      </c>
      <c r="AH9" s="452" t="s">
        <v>76</v>
      </c>
      <c r="AI9" s="434">
        <f t="shared" si="7"/>
        <v>0.01</v>
      </c>
      <c r="AJ9" s="347" t="s">
        <v>186</v>
      </c>
      <c r="AK9" s="347" t="s">
        <v>38</v>
      </c>
      <c r="AL9" s="351" t="s">
        <v>185</v>
      </c>
      <c r="AM9" s="347" t="s">
        <v>38</v>
      </c>
      <c r="AN9" s="351" t="s">
        <v>185</v>
      </c>
      <c r="AO9" s="429"/>
      <c r="AP9" s="429"/>
      <c r="AQ9" s="1004">
        <f t="shared" ca="1" si="10"/>
        <v>4</v>
      </c>
      <c r="AR9" s="347" t="s">
        <v>356</v>
      </c>
      <c r="AS9" s="451" t="s">
        <v>358</v>
      </c>
      <c r="AT9" s="352" t="str">
        <f t="shared" si="11"/>
        <v>Semi-Annual</v>
      </c>
      <c r="AU9" s="356">
        <f t="shared" si="8"/>
        <v>0</v>
      </c>
      <c r="AV9" s="481" t="s">
        <v>186</v>
      </c>
      <c r="AW9" s="347" t="s">
        <v>38</v>
      </c>
      <c r="AX9" s="351" t="s">
        <v>185</v>
      </c>
      <c r="AY9" s="347" t="s">
        <v>38</v>
      </c>
      <c r="AZ9" s="351" t="s">
        <v>185</v>
      </c>
      <c r="BA9" s="347" t="s">
        <v>38</v>
      </c>
      <c r="BB9" s="351" t="s">
        <v>185</v>
      </c>
      <c r="BC9" s="429"/>
      <c r="BD9" s="429"/>
      <c r="BE9" s="418">
        <f t="shared" ca="1" si="12"/>
        <v>4</v>
      </c>
      <c r="BF9" s="347" t="s">
        <v>356</v>
      </c>
      <c r="BG9" s="430">
        <f ca="1">_xll.meDateFromTenor($B9,"-"&amp;BF9,$AW9,$AX9)</f>
        <v>43224</v>
      </c>
      <c r="BH9" s="1006" t="str">
        <f t="shared" si="13"/>
        <v>NATURAL</v>
      </c>
      <c r="BI9" s="1006" t="str">
        <f t="shared" si="9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43224</v>
      </c>
      <c r="C10" s="1120" t="s">
        <v>356</v>
      </c>
      <c r="D10" s="362">
        <v>1000000</v>
      </c>
      <c r="E10" s="362" t="s">
        <v>187</v>
      </c>
      <c r="F10" s="365" t="s">
        <v>1753</v>
      </c>
      <c r="G10" s="397" t="str">
        <f t="shared" si="0"/>
        <v>6Y</v>
      </c>
      <c r="H10" s="363">
        <v>0.01</v>
      </c>
      <c r="I10" s="364" t="s">
        <v>355</v>
      </c>
      <c r="J10" s="364">
        <v>0</v>
      </c>
      <c r="K10" s="364" t="s">
        <v>2252</v>
      </c>
      <c r="L10" s="364" t="s">
        <v>2252</v>
      </c>
      <c r="M10" s="363"/>
      <c r="N10" s="420"/>
      <c r="O10" s="420"/>
      <c r="P10" s="378" t="s">
        <v>1043</v>
      </c>
      <c r="Q10" s="360" t="str">
        <f ca="1">IF(OR($D10="",$D10=0),"",_xll.meProductSwapParRate(_xll.meUtilityLVBFromKeysValues($AA$5:$BM$5,$AA10:$BM10),FALSE))</f>
        <v>[2018/05/04 09:52] #Error: Invalid Curve: CurveIndex 'GBP6ML' in collection GBPYC does not exist</v>
      </c>
      <c r="R10" s="461" t="str">
        <f ca="1">IF(OR($D10="",$D10=0),"",_xll.meProductSwapPV(_xll.meUtilityLVBFromKeysValues($AA$5:$BM$5,$AA10:$BM10),FALSE))</f>
        <v>[2018/05/04 09:52] #Error: Invalid Curve: CurveIndex 'GBP6ML' in collection GBPYC does not exist</v>
      </c>
      <c r="S10" s="461">
        <f ca="1">IF(OR($D10="",$D10=0),"",_xll.meProductSwapLegPV(_xll.meUtilityLVBFromMultipleKeysValues($AB$5:$AG$5,$AB10:$AG10,,$AH$5:$AS$5,$AH10:$AS10,,"LegType","Leg1:Fixed",,"PayReceive",$F10),FALSE))</f>
        <v>58265.684366693102</v>
      </c>
      <c r="T10" s="461" t="str">
        <f ca="1">IF(OR($D10="",$D10=0),"",_xll.meProductSwapLegPV(_xll.meUtilityLVBFromMultipleKeysValues($AB$5:$AG$5,$AB10:$AG10,,$AT$5:$BM$5,$AT10:$BM10,,"LegType","Leg2:Float",,"PayReceive",IF($F10="PAYER","RECEIVER","PAYER")),FALSE))</f>
        <v>[2018/05/04 09:52] #Error: Invalid Curve: CurveIndex 'GBP6ML' in collection GBPYC does not exist</v>
      </c>
      <c r="U10" s="461" t="str">
        <f ca="1">IF(OR($D10="",$D10=0),"",_xll.meProductSwapPV01(_xll.meUtilityLVBFromKeysValues($AA$5:$BM$5,$AA10:$BM10),FALSE))</f>
        <v>[2018/05/04 09:52] #Error: Invalid Curve: CurveIndex 'GBP6ML' in collection GBPYC does not exist</v>
      </c>
      <c r="V10" s="462" t="str">
        <f ca="1">IF(OR($D10="",$D10=0),"",_xll.meProductSwapDV01(_xll.meUtilityLVBFromKeysValues($AA$5:$BM$5,$AA10:$BM10),FALSE))</f>
        <v>[2018/05/04 09:52] #Error: Invalid Curve: CurveIndex 'GBP6ML' in collection GBPYC does not exist</v>
      </c>
      <c r="W10" t="s">
        <v>12</v>
      </c>
      <c r="X10" s="476" t="str">
        <f>IF('GBP Curve Config'!BB13,'GBP Curve Config'!AZ13,"")</f>
        <v>6Y</v>
      </c>
      <c r="Y10" s="477">
        <f>IF('GBP Curve Config'!BB13,'GBP Curve Config'!BA13,"")</f>
        <v>1.405E-2</v>
      </c>
      <c r="AA10" s="684" t="str">
        <f t="shared" si="1"/>
        <v>RECEIVER</v>
      </c>
      <c r="AB10" s="1016">
        <f t="shared" si="2"/>
        <v>1000000</v>
      </c>
      <c r="AC10" s="399">
        <f t="shared" ca="1" si="3"/>
        <v>43224</v>
      </c>
      <c r="AD10" s="399">
        <f ca="1">IF(OR(D10="",D10=0),"",IF(ISNUMBER($G10),$G10,IF(ISERROR(VALUE(LEFT(G10,1))),_xll.meDateFuturesContract($G10),_xll.meDateFromTenor($B10,$G10,$AM10,$AN10))))</f>
        <v>45419</v>
      </c>
      <c r="AE10" s="352" t="str">
        <f t="shared" si="4"/>
        <v>GBPYC</v>
      </c>
      <c r="AF10" s="352" t="str">
        <f t="shared" si="5"/>
        <v>GBP6ML</v>
      </c>
      <c r="AG10" s="446" t="str">
        <f t="shared" si="6"/>
        <v>GBPDF_NOCSA</v>
      </c>
      <c r="AH10" s="452" t="s">
        <v>76</v>
      </c>
      <c r="AI10" s="434">
        <f t="shared" si="7"/>
        <v>0.01</v>
      </c>
      <c r="AJ10" s="347" t="s">
        <v>186</v>
      </c>
      <c r="AK10" s="347" t="s">
        <v>38</v>
      </c>
      <c r="AL10" s="351" t="s">
        <v>185</v>
      </c>
      <c r="AM10" s="347" t="s">
        <v>38</v>
      </c>
      <c r="AN10" s="351" t="s">
        <v>185</v>
      </c>
      <c r="AO10" s="429"/>
      <c r="AP10" s="429"/>
      <c r="AQ10" s="1004">
        <f t="shared" ca="1" si="10"/>
        <v>4</v>
      </c>
      <c r="AR10" s="347" t="s">
        <v>356</v>
      </c>
      <c r="AS10" s="451" t="s">
        <v>358</v>
      </c>
      <c r="AT10" s="352" t="str">
        <f t="shared" si="11"/>
        <v>Semi-Annual</v>
      </c>
      <c r="AU10" s="356">
        <f t="shared" si="8"/>
        <v>0</v>
      </c>
      <c r="AV10" s="481" t="s">
        <v>186</v>
      </c>
      <c r="AW10" s="347" t="s">
        <v>38</v>
      </c>
      <c r="AX10" s="351" t="s">
        <v>185</v>
      </c>
      <c r="AY10" s="347" t="s">
        <v>38</v>
      </c>
      <c r="AZ10" s="351" t="s">
        <v>185</v>
      </c>
      <c r="BA10" s="347" t="s">
        <v>38</v>
      </c>
      <c r="BB10" s="351" t="s">
        <v>185</v>
      </c>
      <c r="BC10" s="429"/>
      <c r="BD10" s="429"/>
      <c r="BE10" s="418">
        <f t="shared" ca="1" si="12"/>
        <v>4</v>
      </c>
      <c r="BF10" s="347" t="s">
        <v>356</v>
      </c>
      <c r="BG10" s="430">
        <f ca="1">_xll.meDateFromTenor($B10,"-"&amp;BF10,$AW10,$AX10)</f>
        <v>43224</v>
      </c>
      <c r="BH10" s="1006" t="str">
        <f t="shared" si="13"/>
        <v>NATURAL</v>
      </c>
      <c r="BI10" s="1006" t="str">
        <f t="shared" si="9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43224</v>
      </c>
      <c r="C11" s="1120" t="s">
        <v>356</v>
      </c>
      <c r="D11" s="362">
        <v>1000000</v>
      </c>
      <c r="E11" s="362" t="s">
        <v>187</v>
      </c>
      <c r="F11" s="365" t="s">
        <v>1753</v>
      </c>
      <c r="G11" s="397" t="str">
        <f t="shared" si="0"/>
        <v>7Y</v>
      </c>
      <c r="H11" s="363">
        <v>0.01</v>
      </c>
      <c r="I11" s="364" t="s">
        <v>355</v>
      </c>
      <c r="J11" s="364">
        <v>0</v>
      </c>
      <c r="K11" s="364" t="s">
        <v>2252</v>
      </c>
      <c r="L11" s="364" t="s">
        <v>2252</v>
      </c>
      <c r="M11" s="363"/>
      <c r="N11" s="420"/>
      <c r="O11" s="420"/>
      <c r="P11" s="378" t="s">
        <v>1043</v>
      </c>
      <c r="Q11" s="360" t="str">
        <f ca="1">IF(OR($D11="",$D11=0),"",_xll.meProductSwapParRate(_xll.meUtilityLVBFromKeysValues($AA$5:$BM$5,$AA11:$BM11),FALSE))</f>
        <v>[2018/05/04 09:52] #Error: Invalid Curve: CurveIndex 'GBP6ML' in collection GBPYC does not exist</v>
      </c>
      <c r="R11" s="461" t="str">
        <f ca="1">IF(OR($D11="",$D11=0),"",_xll.meProductSwapPV(_xll.meUtilityLVBFromKeysValues($AA$5:$BM$5,$AA11:$BM11),FALSE))</f>
        <v>[2018/05/04 09:52] #Error: Invalid Curve: CurveIndex 'GBP6ML' in collection GBPYC does not exist</v>
      </c>
      <c r="S11" s="461">
        <f ca="1">IF(OR($D11="",$D11=0),"",_xll.meProductSwapLegPV(_xll.meUtilityLVBFromMultipleKeysValues($AB$5:$AG$5,$AB11:$AG11,,$AH$5:$AS$5,$AH11:$AS11,,"LegType","Leg1:Fixed",,"PayReceive",$F11),FALSE))</f>
        <v>67505.564902225393</v>
      </c>
      <c r="T11" s="461" t="str">
        <f ca="1">IF(OR($D11="",$D11=0),"",_xll.meProductSwapLegPV(_xll.meUtilityLVBFromMultipleKeysValues($AB$5:$AG$5,$AB11:$AG11,,$AT$5:$BM$5,$AT11:$BM11,,"LegType","Leg2:Float",,"PayReceive",IF($F11="PAYER","RECEIVER","PAYER")),FALSE))</f>
        <v>[2018/05/04 09:52] #Error: Invalid Curve: CurveIndex 'GBP6ML' in collection GBPYC does not exist</v>
      </c>
      <c r="U11" s="461" t="str">
        <f ca="1">IF(OR($D11="",$D11=0),"",_xll.meProductSwapPV01(_xll.meUtilityLVBFromKeysValues($AA$5:$BM$5,$AA11:$BM11),FALSE))</f>
        <v>[2018/05/04 09:52] #Error: Invalid Curve: CurveIndex 'GBP6ML' in collection GBPYC does not exist</v>
      </c>
      <c r="V11" s="462" t="str">
        <f ca="1">IF(OR($D11="",$D11=0),"",_xll.meProductSwapDV01(_xll.meUtilityLVBFromKeysValues($AA$5:$BM$5,$AA11:$BM11),FALSE))</f>
        <v>[2018/05/04 09:52] #Error: Invalid Curve: CurveIndex 'GBP6ML' in collection GBPYC does not exist</v>
      </c>
      <c r="W11" t="s">
        <v>12</v>
      </c>
      <c r="X11" s="476" t="str">
        <f>IF('GBP Curve Config'!BB14,'GBP Curve Config'!AZ14,"")</f>
        <v>7Y</v>
      </c>
      <c r="Y11" s="477">
        <f>IF('GBP Curve Config'!BB14,'GBP Curve Config'!BA14,"")</f>
        <v>1.451E-2</v>
      </c>
      <c r="AA11" s="684" t="str">
        <f t="shared" si="1"/>
        <v>RECEIVER</v>
      </c>
      <c r="AB11" s="1016">
        <f t="shared" si="2"/>
        <v>1000000</v>
      </c>
      <c r="AC11" s="399">
        <f t="shared" ca="1" si="3"/>
        <v>43224</v>
      </c>
      <c r="AD11" s="399">
        <f ca="1">IF(OR(D11="",D11=0),"",IF(ISNUMBER($G11),$G11,IF(ISERROR(VALUE(LEFT(G11,1))),_xll.meDateFuturesContract($G11),_xll.meDateFromTenor($B11,$G11,$AM11,$AN11))))</f>
        <v>45783</v>
      </c>
      <c r="AE11" s="352" t="str">
        <f t="shared" si="4"/>
        <v>GBPYC</v>
      </c>
      <c r="AF11" s="352" t="str">
        <f t="shared" si="5"/>
        <v>GBP6ML</v>
      </c>
      <c r="AG11" s="446" t="str">
        <f t="shared" si="6"/>
        <v>GBPDF_NOCSA</v>
      </c>
      <c r="AH11" s="452" t="s">
        <v>76</v>
      </c>
      <c r="AI11" s="434">
        <f t="shared" si="7"/>
        <v>0.01</v>
      </c>
      <c r="AJ11" s="347" t="s">
        <v>186</v>
      </c>
      <c r="AK11" s="347" t="s">
        <v>38</v>
      </c>
      <c r="AL11" s="351" t="s">
        <v>185</v>
      </c>
      <c r="AM11" s="347" t="s">
        <v>38</v>
      </c>
      <c r="AN11" s="351" t="s">
        <v>185</v>
      </c>
      <c r="AO11" s="429"/>
      <c r="AP11" s="429"/>
      <c r="AQ11" s="1004">
        <f t="shared" ca="1" si="10"/>
        <v>4</v>
      </c>
      <c r="AR11" s="347" t="s">
        <v>356</v>
      </c>
      <c r="AS11" s="451" t="s">
        <v>358</v>
      </c>
      <c r="AT11" s="352" t="str">
        <f t="shared" si="11"/>
        <v>Semi-Annual</v>
      </c>
      <c r="AU11" s="356">
        <f t="shared" si="8"/>
        <v>0</v>
      </c>
      <c r="AV11" s="481" t="s">
        <v>186</v>
      </c>
      <c r="AW11" s="347" t="s">
        <v>38</v>
      </c>
      <c r="AX11" s="351" t="s">
        <v>185</v>
      </c>
      <c r="AY11" s="347" t="s">
        <v>38</v>
      </c>
      <c r="AZ11" s="351" t="s">
        <v>185</v>
      </c>
      <c r="BA11" s="347" t="s">
        <v>38</v>
      </c>
      <c r="BB11" s="351" t="s">
        <v>185</v>
      </c>
      <c r="BC11" s="429"/>
      <c r="BD11" s="429"/>
      <c r="BE11" s="418">
        <f t="shared" ca="1" si="12"/>
        <v>4</v>
      </c>
      <c r="BF11" s="347" t="s">
        <v>356</v>
      </c>
      <c r="BG11" s="430">
        <f ca="1">_xll.meDateFromTenor($B11,"-"&amp;BF11,$AW11,$AX11)</f>
        <v>43224</v>
      </c>
      <c r="BH11" s="1006" t="str">
        <f t="shared" si="13"/>
        <v>NATURAL</v>
      </c>
      <c r="BI11" s="1006" t="str">
        <f t="shared" si="9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43224</v>
      </c>
      <c r="C12" s="1120" t="s">
        <v>356</v>
      </c>
      <c r="D12" s="362">
        <v>1000000</v>
      </c>
      <c r="E12" s="362" t="s">
        <v>187</v>
      </c>
      <c r="F12" s="365" t="s">
        <v>1753</v>
      </c>
      <c r="G12" s="397" t="str">
        <f t="shared" si="0"/>
        <v>8Y</v>
      </c>
      <c r="H12" s="363">
        <v>0.01</v>
      </c>
      <c r="I12" s="364" t="s">
        <v>355</v>
      </c>
      <c r="J12" s="364">
        <v>0</v>
      </c>
      <c r="K12" s="364" t="s">
        <v>2252</v>
      </c>
      <c r="L12" s="364" t="s">
        <v>2252</v>
      </c>
      <c r="M12" s="363"/>
      <c r="N12" s="420"/>
      <c r="O12" s="420"/>
      <c r="P12" s="378" t="s">
        <v>1043</v>
      </c>
      <c r="Q12" s="360" t="str">
        <f ca="1">IF(OR($D12="",$D12=0),"",_xll.meProductSwapParRate(_xll.meUtilityLVBFromKeysValues($AA$5:$BM$5,$AA12:$BM12),FALSE))</f>
        <v>[2018/05/04 09:52] #Error: Invalid Curve: CurveIndex 'GBP6ML' in collection GBPYC does not exist</v>
      </c>
      <c r="R12" s="461">
        <f ca="1">IF(OR($D12="",$D12=0),"",_xll.meProductSwapPV(_xll.meUtilityLVBFromKeysValues($AA$5:$BM$5,$AA12:$BM12),FALSE))</f>
        <v>-37695.489367643262</v>
      </c>
      <c r="S12" s="461">
        <f ca="1">IF(OR($D12="",$D12=0),"",_xll.meProductSwapLegPV(_xll.meUtilityLVBFromMultipleKeysValues($AB$5:$AG$5,$AB12:$AG12,,$AH$5:$AS$5,$AH12:$AS12,,"LegType","Leg1:Fixed",,"PayReceive",$F12),FALSE))</f>
        <v>76616.848304327985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-114312.33767197127</v>
      </c>
      <c r="U12" s="461">
        <f ca="1">IF(OR($D12="",$D12=0),"",_xll.meProductSwapPV01(_xll.meUtilityLVBFromKeysValues($AA$5:$BM$5,$AA12:$BM12),FALSE))</f>
        <v>766.16848304327982</v>
      </c>
      <c r="V12" s="462" t="str">
        <f ca="1">IF(OR($D12="",$D12=0),"",_xll.meProductSwapDV01(_xll.meUtilityLVBFromKeysValues($AA$5:$BM$5,$AA12:$BM12),FALSE))</f>
        <v>[2018/05/04 09:52] #Error: Invalid Curve: CurveIndex 'GBP6ML' in collection GBPYC does not exist</v>
      </c>
      <c r="W12" t="s">
        <v>12</v>
      </c>
      <c r="X12" s="476" t="str">
        <f>IF('GBP Curve Config'!BB15,'GBP Curve Config'!AZ15,"")</f>
        <v>8Y</v>
      </c>
      <c r="Y12" s="477">
        <f>IF('GBP Curve Config'!BB15,'GBP Curve Config'!BA15,"")</f>
        <v>1.4919999999999999E-2</v>
      </c>
      <c r="AA12" s="684" t="str">
        <f t="shared" si="1"/>
        <v>RECEIVER</v>
      </c>
      <c r="AB12" s="1016">
        <f t="shared" si="2"/>
        <v>1000000</v>
      </c>
      <c r="AC12" s="399">
        <f t="shared" ca="1" si="3"/>
        <v>43224</v>
      </c>
      <c r="AD12" s="399">
        <f ca="1">IF(OR(D12="",D12=0),"",IF(ISNUMBER($G12),$G12,IF(ISERROR(VALUE(LEFT(G12,1))),_xll.meDateFuturesContract($G12),_xll.meDateFromTenor($B12,$G12,$AM12,$AN12))))</f>
        <v>46147</v>
      </c>
      <c r="AE12" s="352" t="str">
        <f t="shared" si="4"/>
        <v>GBPYC</v>
      </c>
      <c r="AF12" s="352" t="str">
        <f t="shared" si="5"/>
        <v>GBP6ML</v>
      </c>
      <c r="AG12" s="446" t="str">
        <f t="shared" si="6"/>
        <v>GBPDF_NOCSA</v>
      </c>
      <c r="AH12" s="452" t="s">
        <v>76</v>
      </c>
      <c r="AI12" s="434">
        <f t="shared" si="7"/>
        <v>0.01</v>
      </c>
      <c r="AJ12" s="347" t="s">
        <v>186</v>
      </c>
      <c r="AK12" s="347" t="s">
        <v>38</v>
      </c>
      <c r="AL12" s="351" t="s">
        <v>185</v>
      </c>
      <c r="AM12" s="347" t="s">
        <v>38</v>
      </c>
      <c r="AN12" s="351" t="s">
        <v>185</v>
      </c>
      <c r="AO12" s="429"/>
      <c r="AP12" s="429"/>
      <c r="AQ12" s="1004">
        <f t="shared" ca="1" si="10"/>
        <v>4</v>
      </c>
      <c r="AR12" s="347" t="s">
        <v>356</v>
      </c>
      <c r="AS12" s="451" t="s">
        <v>358</v>
      </c>
      <c r="AT12" s="352" t="str">
        <f t="shared" si="11"/>
        <v>Semi-Annual</v>
      </c>
      <c r="AU12" s="356">
        <f t="shared" si="8"/>
        <v>0</v>
      </c>
      <c r="AV12" s="481" t="s">
        <v>186</v>
      </c>
      <c r="AW12" s="347" t="s">
        <v>38</v>
      </c>
      <c r="AX12" s="351" t="s">
        <v>185</v>
      </c>
      <c r="AY12" s="347" t="s">
        <v>38</v>
      </c>
      <c r="AZ12" s="351" t="s">
        <v>185</v>
      </c>
      <c r="BA12" s="347" t="s">
        <v>38</v>
      </c>
      <c r="BB12" s="351" t="s">
        <v>185</v>
      </c>
      <c r="BC12" s="429"/>
      <c r="BD12" s="429"/>
      <c r="BE12" s="418">
        <f t="shared" ca="1" si="12"/>
        <v>4</v>
      </c>
      <c r="BF12" s="347" t="s">
        <v>356</v>
      </c>
      <c r="BG12" s="430">
        <f ca="1">_xll.meDateFromTenor($B12,"-"&amp;BF12,$AW12,$AX12)</f>
        <v>43224</v>
      </c>
      <c r="BH12" s="1006" t="str">
        <f t="shared" si="13"/>
        <v>NATURAL</v>
      </c>
      <c r="BI12" s="1006" t="str">
        <f t="shared" si="9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43224</v>
      </c>
      <c r="C13" s="1120" t="s">
        <v>356</v>
      </c>
      <c r="D13" s="362">
        <v>1000000</v>
      </c>
      <c r="E13" s="362" t="s">
        <v>187</v>
      </c>
      <c r="F13" s="365" t="s">
        <v>1753</v>
      </c>
      <c r="G13" s="397" t="str">
        <f t="shared" si="0"/>
        <v>9Y</v>
      </c>
      <c r="H13" s="363">
        <v>0.01</v>
      </c>
      <c r="I13" s="364" t="s">
        <v>355</v>
      </c>
      <c r="J13" s="364">
        <v>0</v>
      </c>
      <c r="K13" s="364" t="s">
        <v>2252</v>
      </c>
      <c r="L13" s="364" t="s">
        <v>2252</v>
      </c>
      <c r="M13" s="363"/>
      <c r="N13" s="420"/>
      <c r="O13" s="420"/>
      <c r="P13" s="378" t="s">
        <v>1043</v>
      </c>
      <c r="Q13" s="360" t="str">
        <f ca="1">IF(OR($D13="",$D13=0),"",_xll.meProductSwapParRate(_xll.meUtilityLVBFromKeysValues($AA$5:$BM$5,$AA13:$BM13),FALSE))</f>
        <v>[2018/05/04 09:52] #Error: Invalid Curve: CurveIndex 'GBP6ML' in collection GBPYC does not exist</v>
      </c>
      <c r="R13" s="461">
        <f ca="1">IF(OR($D13="",$D13=0),"",_xll.meProductSwapPV(_xll.meUtilityLVBFromKeysValues($AA$5:$BM$5,$AA13:$BM13),FALSE))</f>
        <v>-45280.234074823653</v>
      </c>
      <c r="S13" s="461">
        <f ca="1">IF(OR($D13="",$D13=0),"",_xll.meProductSwapLegPV(_xll.meUtilityLVBFromMultipleKeysValues($AB$5:$AG$5,$AB13:$AG13,,$AH$5:$AS$5,$AH13:$AS13,,"LegType","Leg1:Fixed",,"PayReceive",$F13),FALSE))</f>
        <v>85595.905627239772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-130876.13970206343</v>
      </c>
      <c r="U13" s="461">
        <f ca="1">IF(OR($D13="",$D13=0),"",_xll.meProductSwapPV01(_xll.meUtilityLVBFromKeysValues($AA$5:$BM$5,$AA13:$BM13),FALSE))</f>
        <v>855.95905627239767</v>
      </c>
      <c r="V13" s="462" t="str">
        <f ca="1">IF(OR($D13="",$D13=0),"",_xll.meProductSwapDV01(_xll.meUtilityLVBFromKeysValues($AA$5:$BM$5,$AA13:$BM13),FALSE))</f>
        <v>[2018/05/04 09:52] #Error: Invalid Curve: CurveIndex 'GBP6ML' in collection GBPYC does not exist</v>
      </c>
      <c r="W13" t="s">
        <v>12</v>
      </c>
      <c r="X13" s="476" t="str">
        <f>IF('GBP Curve Config'!BB16,'GBP Curve Config'!AZ16,"")</f>
        <v>9Y</v>
      </c>
      <c r="Y13" s="477">
        <f>IF('GBP Curve Config'!BB16,'GBP Curve Config'!BA16,"")</f>
        <v>1.529E-2</v>
      </c>
      <c r="AA13" s="684" t="str">
        <f t="shared" si="1"/>
        <v>RECEIVER</v>
      </c>
      <c r="AB13" s="1016">
        <f t="shared" si="2"/>
        <v>1000000</v>
      </c>
      <c r="AC13" s="399">
        <f t="shared" ca="1" si="3"/>
        <v>43224</v>
      </c>
      <c r="AD13" s="399">
        <f ca="1">IF(OR(D13="",D13=0),"",IF(ISNUMBER($G13),$G13,IF(ISERROR(VALUE(LEFT(G13,1))),_xll.meDateFuturesContract($G13),_xll.meDateFromTenor($B13,$G13,$AM13,$AN13))))</f>
        <v>46511</v>
      </c>
      <c r="AE13" s="352" t="str">
        <f t="shared" si="4"/>
        <v>GBPYC</v>
      </c>
      <c r="AF13" s="352" t="str">
        <f t="shared" si="5"/>
        <v>GBP6ML</v>
      </c>
      <c r="AG13" s="446" t="str">
        <f t="shared" si="6"/>
        <v>GBPDF_NOCSA</v>
      </c>
      <c r="AH13" s="452" t="s">
        <v>76</v>
      </c>
      <c r="AI13" s="434">
        <f t="shared" si="7"/>
        <v>0.01</v>
      </c>
      <c r="AJ13" s="347" t="s">
        <v>186</v>
      </c>
      <c r="AK13" s="347" t="s">
        <v>38</v>
      </c>
      <c r="AL13" s="351" t="s">
        <v>185</v>
      </c>
      <c r="AM13" s="347" t="s">
        <v>38</v>
      </c>
      <c r="AN13" s="351" t="s">
        <v>185</v>
      </c>
      <c r="AO13" s="429"/>
      <c r="AP13" s="429"/>
      <c r="AQ13" s="1004">
        <f t="shared" ca="1" si="10"/>
        <v>4</v>
      </c>
      <c r="AR13" s="347" t="s">
        <v>356</v>
      </c>
      <c r="AS13" s="451" t="s">
        <v>358</v>
      </c>
      <c r="AT13" s="352" t="str">
        <f t="shared" si="11"/>
        <v>Semi-Annual</v>
      </c>
      <c r="AU13" s="356">
        <f t="shared" si="8"/>
        <v>0</v>
      </c>
      <c r="AV13" s="481" t="s">
        <v>186</v>
      </c>
      <c r="AW13" s="347" t="s">
        <v>38</v>
      </c>
      <c r="AX13" s="351" t="s">
        <v>185</v>
      </c>
      <c r="AY13" s="347" t="s">
        <v>38</v>
      </c>
      <c r="AZ13" s="351" t="s">
        <v>185</v>
      </c>
      <c r="BA13" s="347" t="s">
        <v>38</v>
      </c>
      <c r="BB13" s="351" t="s">
        <v>185</v>
      </c>
      <c r="BC13" s="429"/>
      <c r="BD13" s="429"/>
      <c r="BE13" s="418">
        <f t="shared" ca="1" si="12"/>
        <v>4</v>
      </c>
      <c r="BF13" s="347" t="s">
        <v>356</v>
      </c>
      <c r="BG13" s="430">
        <f ca="1">_xll.meDateFromTenor($B13,"-"&amp;BF13,$AW13,$AX13)</f>
        <v>43224</v>
      </c>
      <c r="BH13" s="1006" t="str">
        <f t="shared" si="13"/>
        <v>NATURAL</v>
      </c>
      <c r="BI13" s="1006" t="str">
        <f t="shared" si="9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43224</v>
      </c>
      <c r="C14" s="1120" t="s">
        <v>356</v>
      </c>
      <c r="D14" s="362">
        <v>1000000</v>
      </c>
      <c r="E14" s="362" t="s">
        <v>187</v>
      </c>
      <c r="F14" s="365" t="s">
        <v>1753</v>
      </c>
      <c r="G14" s="397" t="str">
        <f t="shared" si="0"/>
        <v>10Y</v>
      </c>
      <c r="H14" s="363">
        <v>0.01</v>
      </c>
      <c r="I14" s="364" t="s">
        <v>355</v>
      </c>
      <c r="J14" s="364">
        <v>0</v>
      </c>
      <c r="K14" s="364" t="s">
        <v>2252</v>
      </c>
      <c r="L14" s="364" t="s">
        <v>2252</v>
      </c>
      <c r="M14" s="363"/>
      <c r="N14" s="420"/>
      <c r="O14" s="420"/>
      <c r="P14" s="378" t="s">
        <v>1043</v>
      </c>
      <c r="Q14" s="360" t="str">
        <f ca="1">IF(OR($D14="",$D14=0),"",_xll.meProductSwapParRate(_xll.meUtilityLVBFromKeysValues($AA$5:$BM$5,$AA14:$BM14),FALSE))</f>
        <v>[2018/05/04 09:52] #Error: Invalid Curve: CurveIndex 'GBP6ML' in collection GBPYC does not exist</v>
      </c>
      <c r="R14" s="461">
        <f ca="1">IF(OR($D14="",$D14=0),"",_xll.meProductSwapPV(_xll.meUtilityLVBFromKeysValues($AA$5:$BM$5,$AA14:$BM14),FALSE))</f>
        <v>-53007.726848206774</v>
      </c>
      <c r="S14" s="461">
        <f ca="1">IF(OR($D14="",$D14=0),"",_xll.meProductSwapLegPV(_xll.meUtilityLVBFromMultipleKeysValues($AB$5:$AG$5,$AB14:$AG14,,$AH$5:$AS$5,$AH14:$AS14,,"LegType","Leg1:Fixed",,"PayReceive",$F14),FALSE))</f>
        <v>94487.926649251283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-147495.65349745806</v>
      </c>
      <c r="U14" s="461">
        <f ca="1">IF(OR($D14="",$D14=0),"",_xll.meProductSwapPV01(_xll.meUtilityLVBFromKeysValues($AA$5:$BM$5,$AA14:$BM14),FALSE))</f>
        <v>944.87926649251278</v>
      </c>
      <c r="V14" s="462">
        <f ca="1">IF(OR($D14="",$D14=0),"",_xll.meProductSwapDV01(_xll.meUtilityLVBFromKeysValues($AA$5:$BM$5,$AA14:$BM14),FALSE))</f>
        <v>910.70406946016226</v>
      </c>
      <c r="W14" t="s">
        <v>12</v>
      </c>
      <c r="X14" s="476" t="str">
        <f>IF('GBP Curve Config'!BB17,'GBP Curve Config'!AZ17,"")</f>
        <v>10Y</v>
      </c>
      <c r="Y14" s="477">
        <f>IF('GBP Curve Config'!BB17,'GBP Curve Config'!BA17,"")</f>
        <v>1.5609999999999999E-2</v>
      </c>
      <c r="AA14" s="684" t="str">
        <f t="shared" si="1"/>
        <v>RECEIVER</v>
      </c>
      <c r="AB14" s="1016">
        <f t="shared" si="2"/>
        <v>1000000</v>
      </c>
      <c r="AC14" s="399">
        <f t="shared" ca="1" si="3"/>
        <v>43224</v>
      </c>
      <c r="AD14" s="399">
        <f ca="1">IF(OR(D14="",D14=0),"",IF(ISNUMBER($G14),$G14,IF(ISERROR(VALUE(LEFT(G14,1))),_xll.meDateFuturesContract($G14),_xll.meDateFromTenor($B14,$G14,$AM14,$AN14))))</f>
        <v>46877</v>
      </c>
      <c r="AE14" s="352" t="str">
        <f t="shared" si="4"/>
        <v>GBPYC</v>
      </c>
      <c r="AF14" s="352" t="str">
        <f t="shared" si="5"/>
        <v>GBP6ML</v>
      </c>
      <c r="AG14" s="446" t="str">
        <f t="shared" si="6"/>
        <v>GBPDF_NOCSA</v>
      </c>
      <c r="AH14" s="452" t="s">
        <v>76</v>
      </c>
      <c r="AI14" s="434">
        <f t="shared" si="7"/>
        <v>0.01</v>
      </c>
      <c r="AJ14" s="347" t="s">
        <v>186</v>
      </c>
      <c r="AK14" s="347" t="s">
        <v>38</v>
      </c>
      <c r="AL14" s="351" t="s">
        <v>185</v>
      </c>
      <c r="AM14" s="347" t="s">
        <v>38</v>
      </c>
      <c r="AN14" s="351" t="s">
        <v>185</v>
      </c>
      <c r="AO14" s="429"/>
      <c r="AP14" s="429"/>
      <c r="AQ14" s="1004">
        <f t="shared" ca="1" si="10"/>
        <v>4</v>
      </c>
      <c r="AR14" s="347" t="s">
        <v>356</v>
      </c>
      <c r="AS14" s="451" t="s">
        <v>358</v>
      </c>
      <c r="AT14" s="352" t="str">
        <f t="shared" si="11"/>
        <v>Semi-Annual</v>
      </c>
      <c r="AU14" s="356">
        <f t="shared" si="8"/>
        <v>0</v>
      </c>
      <c r="AV14" s="481" t="s">
        <v>186</v>
      </c>
      <c r="AW14" s="347" t="s">
        <v>38</v>
      </c>
      <c r="AX14" s="351" t="s">
        <v>185</v>
      </c>
      <c r="AY14" s="347" t="s">
        <v>38</v>
      </c>
      <c r="AZ14" s="351" t="s">
        <v>185</v>
      </c>
      <c r="BA14" s="347" t="s">
        <v>38</v>
      </c>
      <c r="BB14" s="351" t="s">
        <v>185</v>
      </c>
      <c r="BC14" s="429"/>
      <c r="BD14" s="429"/>
      <c r="BE14" s="418">
        <f t="shared" ca="1" si="12"/>
        <v>4</v>
      </c>
      <c r="BF14" s="347" t="s">
        <v>356</v>
      </c>
      <c r="BG14" s="430">
        <f ca="1">_xll.meDateFromTenor($B14,"-"&amp;BF14,$AW14,$AX14)</f>
        <v>43224</v>
      </c>
      <c r="BH14" s="1006" t="str">
        <f t="shared" si="13"/>
        <v>NATURAL</v>
      </c>
      <c r="BI14" s="1006" t="str">
        <f t="shared" si="9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43224</v>
      </c>
      <c r="C15" s="1120" t="s">
        <v>356</v>
      </c>
      <c r="D15" s="362">
        <v>1000000</v>
      </c>
      <c r="E15" s="362" t="s">
        <v>187</v>
      </c>
      <c r="F15" s="365" t="s">
        <v>1753</v>
      </c>
      <c r="G15" s="397" t="str">
        <f t="shared" si="0"/>
        <v>12Y</v>
      </c>
      <c r="H15" s="363">
        <v>0.01</v>
      </c>
      <c r="I15" s="364" t="s">
        <v>355</v>
      </c>
      <c r="J15" s="364">
        <v>0</v>
      </c>
      <c r="K15" s="364" t="s">
        <v>2252</v>
      </c>
      <c r="L15" s="364" t="s">
        <v>2252</v>
      </c>
      <c r="M15" s="363"/>
      <c r="N15" s="420"/>
      <c r="O15" s="420"/>
      <c r="P15" s="378" t="s">
        <v>1043</v>
      </c>
      <c r="Q15" s="360" t="str">
        <f ca="1">IF(OR($D15="",$D15=0),"",_xll.meProductSwapParRate(_xll.meUtilityLVBFromKeysValues($AA$5:$BM$5,$AA15:$BM15),FALSE))</f>
        <v>[2018/05/04 09:52] #Error: Invalid Curve: CurveIndex 'GBP6ML' in collection GBPYC does not exist</v>
      </c>
      <c r="R15" s="461" t="str">
        <f ca="1">IF(OR($D15="",$D15=0),"",_xll.meProductSwapPV(_xll.meUtilityLVBFromKeysValues($AA$5:$BM$5,$AA15:$BM15),FALSE))</f>
        <v>[2018/05/04 09:52] #Error: Invalid Curve: CurveIndex 'GBP6ML' in collection GBPYC does not exist</v>
      </c>
      <c r="S15" s="461">
        <f ca="1">IF(OR($D15="",$D15=0),"",_xll.meProductSwapLegPV(_xll.meUtilityLVBFromMultipleKeysValues($AB$5:$AG$5,$AB15:$AG15,,$AH$5:$AS$5,$AH15:$AS15,,"LegType","Leg1:Fixed",,"PayReceive",$F15),FALSE))</f>
        <v>111896.90677661198</v>
      </c>
      <c r="T15" s="461" t="str">
        <f ca="1">IF(OR($D15="",$D15=0),"",_xll.meProductSwapLegPV(_xll.meUtilityLVBFromMultipleKeysValues($AB$5:$AG$5,$AB15:$AG15,,$AT$5:$BM$5,$AT15:$BM15,,"LegType","Leg2:Float",,"PayReceive",IF($F15="PAYER","RECEIVER","PAYER")),FALSE))</f>
        <v>[2018/05/04 09:52] #Error: Invalid Curve: CurveIndex 'GBP6ML' in collection GBPYC does not exist</v>
      </c>
      <c r="U15" s="461" t="str">
        <f ca="1">IF(OR($D15="",$D15=0),"",_xll.meProductSwapPV01(_xll.meUtilityLVBFromKeysValues($AA$5:$BM$5,$AA15:$BM15),FALSE))</f>
        <v>[2018/05/04 09:52] #Error: Invalid Curve: CurveIndex 'GBP6ML' in collection GBPYC does not exist</v>
      </c>
      <c r="V15" s="462" t="str">
        <f ca="1">IF(OR($D15="",$D15=0),"",_xll.meProductSwapDV01(_xll.meUtilityLVBFromKeysValues($AA$5:$BM$5,$AA15:$BM15),FALSE))</f>
        <v>[2018/05/04 09:52] #Error: Invalid Curve: CurveIndex 'GBP6ML' in collection GBPYC does not exist</v>
      </c>
      <c r="W15" t="s">
        <v>12</v>
      </c>
      <c r="X15" s="476" t="str">
        <f>IF('GBP Curve Config'!BB18,'GBP Curve Config'!AZ18,"")</f>
        <v>12Y</v>
      </c>
      <c r="Y15" s="477">
        <f>IF('GBP Curve Config'!BB18,'GBP Curve Config'!BA18,"")</f>
        <v>1.6129999999999999E-2</v>
      </c>
      <c r="AA15" s="684" t="str">
        <f t="shared" si="1"/>
        <v>RECEIVER</v>
      </c>
      <c r="AB15" s="1016">
        <f t="shared" si="2"/>
        <v>1000000</v>
      </c>
      <c r="AC15" s="399">
        <f t="shared" ca="1" si="3"/>
        <v>43224</v>
      </c>
      <c r="AD15" s="399">
        <f ca="1">IF(OR(D15="",D15=0),"",IF(ISNUMBER($G15),$G15,IF(ISERROR(VALUE(LEFT(G15,1))),_xll.meDateFuturesContract($G15),_xll.meDateFromTenor($B15,$G15,$AM15,$AN15))))</f>
        <v>47610</v>
      </c>
      <c r="AE15" s="352" t="str">
        <f t="shared" si="4"/>
        <v>GBPYC</v>
      </c>
      <c r="AF15" s="352" t="str">
        <f t="shared" si="5"/>
        <v>GBP6ML</v>
      </c>
      <c r="AG15" s="446" t="str">
        <f t="shared" si="6"/>
        <v>GBPDF_NOCSA</v>
      </c>
      <c r="AH15" s="452" t="s">
        <v>76</v>
      </c>
      <c r="AI15" s="434">
        <f t="shared" si="7"/>
        <v>0.01</v>
      </c>
      <c r="AJ15" s="347" t="s">
        <v>186</v>
      </c>
      <c r="AK15" s="347" t="s">
        <v>38</v>
      </c>
      <c r="AL15" s="351" t="s">
        <v>185</v>
      </c>
      <c r="AM15" s="347" t="s">
        <v>38</v>
      </c>
      <c r="AN15" s="351" t="s">
        <v>185</v>
      </c>
      <c r="AO15" s="429"/>
      <c r="AP15" s="429"/>
      <c r="AQ15" s="1004">
        <f t="shared" ca="1" si="10"/>
        <v>4</v>
      </c>
      <c r="AR15" s="347" t="s">
        <v>356</v>
      </c>
      <c r="AS15" s="451" t="s">
        <v>358</v>
      </c>
      <c r="AT15" s="352" t="str">
        <f t="shared" si="11"/>
        <v>Semi-Annual</v>
      </c>
      <c r="AU15" s="356">
        <f t="shared" si="8"/>
        <v>0</v>
      </c>
      <c r="AV15" s="481" t="s">
        <v>186</v>
      </c>
      <c r="AW15" s="347" t="s">
        <v>38</v>
      </c>
      <c r="AX15" s="351" t="s">
        <v>185</v>
      </c>
      <c r="AY15" s="347" t="s">
        <v>38</v>
      </c>
      <c r="AZ15" s="351" t="s">
        <v>185</v>
      </c>
      <c r="BA15" s="347" t="s">
        <v>38</v>
      </c>
      <c r="BB15" s="351" t="s">
        <v>185</v>
      </c>
      <c r="BC15" s="429"/>
      <c r="BD15" s="429"/>
      <c r="BE15" s="418">
        <f t="shared" ca="1" si="12"/>
        <v>4</v>
      </c>
      <c r="BF15" s="347" t="s">
        <v>356</v>
      </c>
      <c r="BG15" s="430">
        <f ca="1">_xll.meDateFromTenor($B15,"-"&amp;BF15,$AW15,$AX15)</f>
        <v>43224</v>
      </c>
      <c r="BH15" s="1006" t="str">
        <f t="shared" si="13"/>
        <v>NATURAL</v>
      </c>
      <c r="BI15" s="1006" t="str">
        <f t="shared" si="9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43224</v>
      </c>
      <c r="C16" s="1120" t="s">
        <v>356</v>
      </c>
      <c r="D16" s="362">
        <v>1000000</v>
      </c>
      <c r="E16" s="362" t="s">
        <v>187</v>
      </c>
      <c r="F16" s="365" t="s">
        <v>1753</v>
      </c>
      <c r="G16" s="397" t="str">
        <f t="shared" si="0"/>
        <v>15Y</v>
      </c>
      <c r="H16" s="363">
        <v>0.01</v>
      </c>
      <c r="I16" s="364" t="s">
        <v>355</v>
      </c>
      <c r="J16" s="364">
        <v>0</v>
      </c>
      <c r="K16" s="364" t="s">
        <v>2252</v>
      </c>
      <c r="L16" s="364" t="s">
        <v>2252</v>
      </c>
      <c r="M16" s="363"/>
      <c r="N16" s="420"/>
      <c r="O16" s="420"/>
      <c r="P16" s="378" t="s">
        <v>1043</v>
      </c>
      <c r="Q16" s="360" t="str">
        <f ca="1">IF(OR($D16="",$D16=0),"",_xll.meProductSwapParRate(_xll.meUtilityLVBFromKeysValues($AA$5:$BM$5,$AA16:$BM16),FALSE))</f>
        <v>[2018/05/04 09:52] #Error: Invalid Curve: CurveIndex 'GBP6ML' in collection GBPYC does not exist</v>
      </c>
      <c r="R16" s="461" t="str">
        <f ca="1">IF(OR($D16="",$D16=0),"",_xll.meProductSwapPV(_xll.meUtilityLVBFromKeysValues($AA$5:$BM$5,$AA16:$BM16),FALSE))</f>
        <v>[2018/05/04 09:52] #Error: Invalid Curve: CurveIndex 'GBP6ML' in collection GBPYC does not exist</v>
      </c>
      <c r="S16" s="461">
        <f ca="1">IF(OR($D16="",$D16=0),"",_xll.meProductSwapLegPV(_xll.meUtilityLVBFromMultipleKeysValues($AB$5:$AG$5,$AB16:$AG16,,$AH$5:$AS$5,$AH16:$AS16,,"LegType","Leg1:Fixed",,"PayReceive",$F16),FALSE))</f>
        <v>136898.95067009047</v>
      </c>
      <c r="T16" s="461" t="str">
        <f ca="1">IF(OR($D16="",$D16=0),"",_xll.meProductSwapLegPV(_xll.meUtilityLVBFromMultipleKeysValues($AB$5:$AG$5,$AB16:$AG16,,$AT$5:$BM$5,$AT16:$BM16,,"LegType","Leg2:Float",,"PayReceive",IF($F16="PAYER","RECEIVER","PAYER")),FALSE))</f>
        <v>[2018/05/04 09:52] #Error: Invalid Curve: CurveIndex 'GBP6ML' in collection GBPYC does not exist</v>
      </c>
      <c r="U16" s="461" t="str">
        <f ca="1">IF(OR($D16="",$D16=0),"",_xll.meProductSwapPV01(_xll.meUtilityLVBFromKeysValues($AA$5:$BM$5,$AA16:$BM16),FALSE))</f>
        <v>[2018/05/04 09:52] #Error: Invalid Curve: CurveIndex 'GBP6ML' in collection GBPYC does not exist</v>
      </c>
      <c r="V16" s="462" t="str">
        <f ca="1">IF(OR($D16="",$D16=0),"",_xll.meProductSwapDV01(_xll.meUtilityLVBFromKeysValues($AA$5:$BM$5,$AA16:$BM16),FALSE))</f>
        <v>[2018/05/04 09:52] #Error: Invalid Curve: CurveIndex 'GBP6ML' in collection GBPYC does not exist</v>
      </c>
      <c r="W16" t="s">
        <v>12</v>
      </c>
      <c r="X16" s="476" t="str">
        <f>IF('GBP Curve Config'!BB19,'GBP Curve Config'!AZ19,"")</f>
        <v>15Y</v>
      </c>
      <c r="Y16" s="477">
        <f>IF('GBP Curve Config'!BB19,'GBP Curve Config'!BA19,"")</f>
        <v>1.6549999999999999E-2</v>
      </c>
      <c r="AA16" s="684" t="str">
        <f t="shared" si="1"/>
        <v>RECEIVER</v>
      </c>
      <c r="AB16" s="1016">
        <f t="shared" si="2"/>
        <v>1000000</v>
      </c>
      <c r="AC16" s="399">
        <f t="shared" ca="1" si="3"/>
        <v>43224</v>
      </c>
      <c r="AD16" s="399">
        <f ca="1">IF(OR(D16="",D16=0),"",IF(ISNUMBER($G16),$G16,IF(ISERROR(VALUE(LEFT(G16,1))),_xll.meDateFuturesContract($G16),_xll.meDateFromTenor($B16,$G16,$AM16,$AN16))))</f>
        <v>48703</v>
      </c>
      <c r="AE16" s="352" t="str">
        <f t="shared" si="4"/>
        <v>GBPYC</v>
      </c>
      <c r="AF16" s="352" t="str">
        <f t="shared" si="5"/>
        <v>GBP6ML</v>
      </c>
      <c r="AG16" s="446" t="str">
        <f t="shared" si="6"/>
        <v>GBPDF_NOCSA</v>
      </c>
      <c r="AH16" s="452" t="s">
        <v>76</v>
      </c>
      <c r="AI16" s="434">
        <f t="shared" si="7"/>
        <v>0.01</v>
      </c>
      <c r="AJ16" s="347" t="s">
        <v>186</v>
      </c>
      <c r="AK16" s="347" t="s">
        <v>38</v>
      </c>
      <c r="AL16" s="351" t="s">
        <v>185</v>
      </c>
      <c r="AM16" s="347" t="s">
        <v>38</v>
      </c>
      <c r="AN16" s="351" t="s">
        <v>185</v>
      </c>
      <c r="AO16" s="429"/>
      <c r="AP16" s="429"/>
      <c r="AQ16" s="1004">
        <f t="shared" ca="1" si="10"/>
        <v>4</v>
      </c>
      <c r="AR16" s="347" t="s">
        <v>356</v>
      </c>
      <c r="AS16" s="451" t="s">
        <v>358</v>
      </c>
      <c r="AT16" s="352" t="str">
        <f t="shared" si="11"/>
        <v>Semi-Annual</v>
      </c>
      <c r="AU16" s="356">
        <f t="shared" si="8"/>
        <v>0</v>
      </c>
      <c r="AV16" s="481" t="s">
        <v>186</v>
      </c>
      <c r="AW16" s="347" t="s">
        <v>38</v>
      </c>
      <c r="AX16" s="351" t="s">
        <v>185</v>
      </c>
      <c r="AY16" s="347" t="s">
        <v>38</v>
      </c>
      <c r="AZ16" s="351" t="s">
        <v>185</v>
      </c>
      <c r="BA16" s="347" t="s">
        <v>38</v>
      </c>
      <c r="BB16" s="351" t="s">
        <v>185</v>
      </c>
      <c r="BC16" s="429"/>
      <c r="BD16" s="429"/>
      <c r="BE16" s="418">
        <f t="shared" ca="1" si="12"/>
        <v>4</v>
      </c>
      <c r="BF16" s="347" t="s">
        <v>356</v>
      </c>
      <c r="BG16" s="430">
        <f ca="1">_xll.meDateFromTenor($B16,"-"&amp;BF16,$AW16,$AX16)</f>
        <v>43224</v>
      </c>
      <c r="BH16" s="1006" t="str">
        <f t="shared" si="13"/>
        <v>NATURAL</v>
      </c>
      <c r="BI16" s="1006" t="str">
        <f t="shared" si="9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43224</v>
      </c>
      <c r="C17" s="1120" t="s">
        <v>356</v>
      </c>
      <c r="D17" s="362">
        <v>1000000</v>
      </c>
      <c r="E17" s="362" t="s">
        <v>187</v>
      </c>
      <c r="F17" s="365" t="s">
        <v>1753</v>
      </c>
      <c r="G17" s="397" t="str">
        <f t="shared" si="0"/>
        <v>20Y</v>
      </c>
      <c r="H17" s="363">
        <v>0.01</v>
      </c>
      <c r="I17" s="364" t="s">
        <v>355</v>
      </c>
      <c r="J17" s="364">
        <v>0</v>
      </c>
      <c r="K17" s="364" t="s">
        <v>2252</v>
      </c>
      <c r="L17" s="364" t="s">
        <v>2252</v>
      </c>
      <c r="M17" s="363"/>
      <c r="N17" s="420"/>
      <c r="O17" s="420"/>
      <c r="P17" s="378" t="s">
        <v>1043</v>
      </c>
      <c r="Q17" s="360" t="str">
        <f ca="1">IF(OR($D17="",$D17=0),"",_xll.meProductSwapParRate(_xll.meUtilityLVBFromKeysValues($AA$5:$BM$5,$AA17:$BM17),FALSE))</f>
        <v>[2018/05/04 09:52] #Error: Invalid Curve: CurveIndex 'GBP6ML' in collection GBPYC does not exist</v>
      </c>
      <c r="R17" s="461">
        <f ca="1">IF(OR($D17="",$D17=0),"",_xll.meProductSwapPV(_xll.meUtilityLVBFromKeysValues($AA$5:$BM$5,$AA17:$BM17),FALSE))</f>
        <v>-119913.13438928916</v>
      </c>
      <c r="S17" s="461">
        <f ca="1">IF(OR($D17="",$D17=0),"",_xll.meProductSwapLegPV(_xll.meUtilityLVBFromMultipleKeysValues($AB$5:$AG$5,$AB17:$AG17,,$AH$5:$AS$5,$AH17:$AS17,,"LegType","Leg1:Fixed",,"PayReceive",$F17),FALSE))</f>
        <v>176342.84466798988</v>
      </c>
      <c r="T17" s="461" t="str">
        <f ca="1">IF(OR($D17="",$D17=0),"",_xll.meProductSwapLegPV(_xll.meUtilityLVBFromMultipleKeysValues($AB$5:$AG$5,$AB17:$AG17,,$AT$5:$BM$5,$AT17:$BM17,,"LegType","Leg2:Float",,"PayReceive",IF($F17="PAYER","RECEIVER","PAYER")),FALSE))</f>
        <v>[2018/05/04 09:52] #Error: Invalid Curve: CurveIndex 'GBP6ML' in collection GBPYC does not exist</v>
      </c>
      <c r="U17" s="461" t="str">
        <f ca="1">IF(OR($D17="",$D17=0),"",_xll.meProductSwapPV01(_xll.meUtilityLVBFromKeysValues($AA$5:$BM$5,$AA17:$BM17),FALSE))</f>
        <v>[2018/05/04 09:52] #Error: Invalid Curve: CurveIndex 'GBP6ML' in collection GBPYC does not exist</v>
      </c>
      <c r="V17" s="462" t="str">
        <f ca="1">IF(OR($D17="",$D17=0),"",_xll.meProductSwapDV01(_xll.meUtilityLVBFromKeysValues($AA$5:$BM$5,$AA17:$BM17),FALSE))</f>
        <v>[2018/05/04 09:52] #Error: Invalid Curve: CurveIndex 'GBP6ML' in collection GBPYC does not exist</v>
      </c>
      <c r="W17" t="s">
        <v>12</v>
      </c>
      <c r="X17" s="476" t="str">
        <f>IF('GBP Curve Config'!BB20,'GBP Curve Config'!AZ20,"")</f>
        <v>20Y</v>
      </c>
      <c r="Y17" s="477">
        <f>IF('GBP Curve Config'!BB20,'GBP Curve Config'!BA20,"")</f>
        <v>1.6799999999999999E-2</v>
      </c>
      <c r="AA17" s="684" t="str">
        <f t="shared" si="1"/>
        <v>RECEIVER</v>
      </c>
      <c r="AB17" s="1016">
        <f t="shared" si="2"/>
        <v>1000000</v>
      </c>
      <c r="AC17" s="399">
        <f t="shared" ca="1" si="3"/>
        <v>43224</v>
      </c>
      <c r="AD17" s="399">
        <f ca="1">IF(OR(D17="",D17=0),"",IF(ISNUMBER($G17),$G17,IF(ISERROR(VALUE(LEFT(G17,1))),_xll.meDateFuturesContract($G17),_xll.meDateFromTenor($B17,$G17,$AM17,$AN17))))</f>
        <v>50529</v>
      </c>
      <c r="AE17" s="352" t="str">
        <f t="shared" si="4"/>
        <v>GBPYC</v>
      </c>
      <c r="AF17" s="352" t="str">
        <f t="shared" si="5"/>
        <v>GBP6ML</v>
      </c>
      <c r="AG17" s="446" t="str">
        <f t="shared" si="6"/>
        <v>GBPDF_NOCSA</v>
      </c>
      <c r="AH17" s="452" t="s">
        <v>76</v>
      </c>
      <c r="AI17" s="434">
        <f t="shared" si="7"/>
        <v>0.01</v>
      </c>
      <c r="AJ17" s="347" t="s">
        <v>186</v>
      </c>
      <c r="AK17" s="347" t="s">
        <v>38</v>
      </c>
      <c r="AL17" s="351" t="s">
        <v>185</v>
      </c>
      <c r="AM17" s="347" t="s">
        <v>38</v>
      </c>
      <c r="AN17" s="351" t="s">
        <v>185</v>
      </c>
      <c r="AO17" s="429"/>
      <c r="AP17" s="429"/>
      <c r="AQ17" s="1004">
        <f t="shared" ca="1" si="10"/>
        <v>4</v>
      </c>
      <c r="AR17" s="347" t="s">
        <v>356</v>
      </c>
      <c r="AS17" s="451" t="s">
        <v>358</v>
      </c>
      <c r="AT17" s="352" t="str">
        <f t="shared" si="11"/>
        <v>Semi-Annual</v>
      </c>
      <c r="AU17" s="356">
        <f t="shared" si="8"/>
        <v>0</v>
      </c>
      <c r="AV17" s="481" t="s">
        <v>186</v>
      </c>
      <c r="AW17" s="347" t="s">
        <v>38</v>
      </c>
      <c r="AX17" s="351" t="s">
        <v>185</v>
      </c>
      <c r="AY17" s="347" t="s">
        <v>38</v>
      </c>
      <c r="AZ17" s="351" t="s">
        <v>185</v>
      </c>
      <c r="BA17" s="347" t="s">
        <v>38</v>
      </c>
      <c r="BB17" s="351" t="s">
        <v>185</v>
      </c>
      <c r="BC17" s="429"/>
      <c r="BD17" s="429"/>
      <c r="BE17" s="418">
        <f t="shared" ca="1" si="12"/>
        <v>4</v>
      </c>
      <c r="BF17" s="347" t="s">
        <v>356</v>
      </c>
      <c r="BG17" s="430">
        <f ca="1">_xll.meDateFromTenor($B17,"-"&amp;BF17,$AW17,$AX17)</f>
        <v>43224</v>
      </c>
      <c r="BH17" s="1006" t="str">
        <f t="shared" si="13"/>
        <v>NATURAL</v>
      </c>
      <c r="BI17" s="1006" t="str">
        <f t="shared" si="9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43224</v>
      </c>
      <c r="C18" s="1120" t="s">
        <v>356</v>
      </c>
      <c r="D18" s="362">
        <v>1000000</v>
      </c>
      <c r="E18" s="362" t="s">
        <v>187</v>
      </c>
      <c r="F18" s="365" t="s">
        <v>1753</v>
      </c>
      <c r="G18" s="397" t="str">
        <f t="shared" si="0"/>
        <v>25Y</v>
      </c>
      <c r="H18" s="363">
        <v>0.01</v>
      </c>
      <c r="I18" s="364" t="s">
        <v>355</v>
      </c>
      <c r="J18" s="364">
        <v>0</v>
      </c>
      <c r="K18" s="364" t="s">
        <v>2252</v>
      </c>
      <c r="L18" s="364" t="s">
        <v>2252</v>
      </c>
      <c r="M18" s="363"/>
      <c r="N18" s="420"/>
      <c r="O18" s="420"/>
      <c r="P18" s="378" t="s">
        <v>1043</v>
      </c>
      <c r="Q18" s="360" t="str">
        <f ca="1">IF(OR($D18="",$D18=0),"",_xll.meProductSwapParRate(_xll.meUtilityLVBFromKeysValues($AA$5:$BM$5,$AA18:$BM18),FALSE))</f>
        <v>[2018/05/04 09:52] #Error: Invalid Curve: CurveIndex 'GBP6ML' in collection GBPYC does not exist</v>
      </c>
      <c r="R18" s="461">
        <f ca="1">IF(OR($D18="",$D18=0),"",_xll.meProductSwapPV(_xll.meUtilityLVBFromKeysValues($AA$5:$BM$5,$AA18:$BM18),FALSE))</f>
        <v>-142713.11215840848</v>
      </c>
      <c r="S18" s="461">
        <f ca="1">IF(OR($D18="",$D18=0),"",_xll.meProductSwapLegPV(_xll.meUtilityLVBFromMultipleKeysValues($AB$5:$AG$5,$AB18:$AG18,,$AH$5:$AS$5,$AH18:$AS18,,"LegType","Leg1:Fixed",,"PayReceive",$F18),FALSE))</f>
        <v>213323.03757332609</v>
      </c>
      <c r="T18" s="461">
        <f ca="1">IF(OR($D18="",$D18=0),"",_xll.meProductSwapLegPV(_xll.meUtilityLVBFromMultipleKeysValues($AB$5:$AG$5,$AB18:$AG18,,$AT$5:$BM$5,$AT18:$BM18,,"LegType","Leg2:Float",,"PayReceive",IF($F18="PAYER","RECEIVER","PAYER")),FALSE))</f>
        <v>-356036.14973173465</v>
      </c>
      <c r="U18" s="461">
        <f ca="1">IF(OR($D18="",$D18=0),"",_xll.meProductSwapPV01(_xll.meUtilityLVBFromKeysValues($AA$5:$BM$5,$AA18:$BM18),FALSE))</f>
        <v>2133.2303757332611</v>
      </c>
      <c r="V18" s="462" t="str">
        <f ca="1">IF(OR($D18="",$D18=0),"",_xll.meProductSwapDV01(_xll.meUtilityLVBFromKeysValues($AA$5:$BM$5,$AA18:$BM18),FALSE))</f>
        <v>[2018/05/04 09:52] #Error: Invalid Curve: CurveIndex 'GBP6ML' in collection GBPYC does not exist</v>
      </c>
      <c r="W18" t="s">
        <v>12</v>
      </c>
      <c r="X18" s="476" t="str">
        <f>IF('GBP Curve Config'!BB21,'GBP Curve Config'!AZ21,"")</f>
        <v>25Y</v>
      </c>
      <c r="Y18" s="477">
        <f>IF('GBP Curve Config'!BB21,'GBP Curve Config'!BA21,"")</f>
        <v>1.669E-2</v>
      </c>
      <c r="AA18" s="684" t="str">
        <f t="shared" si="1"/>
        <v>RECEIVER</v>
      </c>
      <c r="AB18" s="1016">
        <f t="shared" si="2"/>
        <v>1000000</v>
      </c>
      <c r="AC18" s="399">
        <f t="shared" ca="1" si="3"/>
        <v>43224</v>
      </c>
      <c r="AD18" s="399">
        <f ca="1">IF(OR(D18="",D18=0),"",IF(ISNUMBER($G18),$G18,IF(ISERROR(VALUE(LEFT(G18,1))),_xll.meDateFuturesContract($G18),_xll.meDateFromTenor($B18,$G18,$AM18,$AN18))))</f>
        <v>52356</v>
      </c>
      <c r="AE18" s="352" t="str">
        <f t="shared" si="4"/>
        <v>GBPYC</v>
      </c>
      <c r="AF18" s="352" t="str">
        <f t="shared" si="5"/>
        <v>GBP6ML</v>
      </c>
      <c r="AG18" s="446" t="str">
        <f t="shared" si="6"/>
        <v>GBPDF_NOCSA</v>
      </c>
      <c r="AH18" s="452" t="s">
        <v>76</v>
      </c>
      <c r="AI18" s="434">
        <f t="shared" si="7"/>
        <v>0.01</v>
      </c>
      <c r="AJ18" s="347" t="s">
        <v>186</v>
      </c>
      <c r="AK18" s="347" t="s">
        <v>38</v>
      </c>
      <c r="AL18" s="351" t="s">
        <v>185</v>
      </c>
      <c r="AM18" s="347" t="s">
        <v>38</v>
      </c>
      <c r="AN18" s="351" t="s">
        <v>185</v>
      </c>
      <c r="AO18" s="429"/>
      <c r="AP18" s="429"/>
      <c r="AQ18" s="1004">
        <f t="shared" ca="1" si="10"/>
        <v>4</v>
      </c>
      <c r="AR18" s="347" t="s">
        <v>356</v>
      </c>
      <c r="AS18" s="451" t="s">
        <v>358</v>
      </c>
      <c r="AT18" s="352" t="str">
        <f t="shared" si="11"/>
        <v>Semi-Annual</v>
      </c>
      <c r="AU18" s="356">
        <f t="shared" si="8"/>
        <v>0</v>
      </c>
      <c r="AV18" s="481" t="s">
        <v>186</v>
      </c>
      <c r="AW18" s="347" t="s">
        <v>38</v>
      </c>
      <c r="AX18" s="351" t="s">
        <v>185</v>
      </c>
      <c r="AY18" s="347" t="s">
        <v>38</v>
      </c>
      <c r="AZ18" s="351" t="s">
        <v>185</v>
      </c>
      <c r="BA18" s="347" t="s">
        <v>38</v>
      </c>
      <c r="BB18" s="351" t="s">
        <v>185</v>
      </c>
      <c r="BC18" s="429"/>
      <c r="BD18" s="429"/>
      <c r="BE18" s="418">
        <f t="shared" ca="1" si="12"/>
        <v>4</v>
      </c>
      <c r="BF18" s="347" t="s">
        <v>356</v>
      </c>
      <c r="BG18" s="430">
        <f ca="1">_xll.meDateFromTenor($B18,"-"&amp;BF18,$AW18,$AX18)</f>
        <v>43224</v>
      </c>
      <c r="BH18" s="1006" t="str">
        <f t="shared" si="13"/>
        <v>NATURAL</v>
      </c>
      <c r="BI18" s="1006" t="str">
        <f t="shared" si="9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43224</v>
      </c>
      <c r="C19" s="1120" t="s">
        <v>356</v>
      </c>
      <c r="D19" s="362">
        <v>1000000</v>
      </c>
      <c r="E19" s="362" t="s">
        <v>187</v>
      </c>
      <c r="F19" s="365" t="s">
        <v>1753</v>
      </c>
      <c r="G19" s="397" t="str">
        <f t="shared" si="0"/>
        <v>30Y</v>
      </c>
      <c r="H19" s="363">
        <v>0.01</v>
      </c>
      <c r="I19" s="364" t="s">
        <v>355</v>
      </c>
      <c r="J19" s="364">
        <v>0</v>
      </c>
      <c r="K19" s="364" t="s">
        <v>2252</v>
      </c>
      <c r="L19" s="364" t="s">
        <v>2252</v>
      </c>
      <c r="M19" s="363"/>
      <c r="N19" s="420"/>
      <c r="O19" s="420"/>
      <c r="P19" s="378" t="s">
        <v>1043</v>
      </c>
      <c r="Q19" s="360" t="str">
        <f ca="1">IF(OR($D19="",$D19=0),"",_xll.meProductSwapParRate(_xll.meUtilityLVBFromKeysValues($AA$5:$BM$5,$AA19:$BM19),FALSE))</f>
        <v>[2018/05/04 09:52] #Error: Invalid Curve: CurveIndex 'GBP6ML' in collection GBPYC does not exist</v>
      </c>
      <c r="R19" s="461" t="str">
        <f ca="1">IF(OR($D19="",$D19=0),"",_xll.meProductSwapPV(_xll.meUtilityLVBFromKeysValues($AA$5:$BM$5,$AA19:$BM19),FALSE))</f>
        <v>[2018/05/04 09:52] #Error: Invalid Curve: CurveIndex 'GBP6ML' in collection GBPYC does not exist</v>
      </c>
      <c r="S19" s="461">
        <f ca="1">IF(OR($D19="",$D19=0),"",_xll.meProductSwapLegPV(_xll.meUtilityLVBFromMultipleKeysValues($AB$5:$AG$5,$AB19:$AG19,,$AH$5:$AS$5,$AH19:$AS19,,"LegType","Leg1:Fixed",,"PayReceive",$F19),FALSE))</f>
        <v>248145.89694791505</v>
      </c>
      <c r="T19" s="461" t="str">
        <f ca="1">IF(OR($D19="",$D19=0),"",_xll.meProductSwapLegPV(_xll.meUtilityLVBFromMultipleKeysValues($AB$5:$AG$5,$AB19:$AG19,,$AT$5:$BM$5,$AT19:$BM19,,"LegType","Leg2:Float",,"PayReceive",IF($F19="PAYER","RECEIVER","PAYER")),FALSE))</f>
        <v>[2018/05/04 09:52] #Error: Invalid Curve: CurveIndex 'GBP6ML' in collection GBPYC does not exist</v>
      </c>
      <c r="U19" s="461" t="str">
        <f ca="1">IF(OR($D19="",$D19=0),"",_xll.meProductSwapPV01(_xll.meUtilityLVBFromKeysValues($AA$5:$BM$5,$AA19:$BM19),FALSE))</f>
        <v>[2018/05/04 09:52] #Error: Invalid Curve: CurveIndex 'GBP6ML' in collection GBPYC does not exist</v>
      </c>
      <c r="V19" s="462" t="str">
        <f ca="1">IF(OR($D19="",$D19=0),"",_xll.meProductSwapDV01(_xll.meUtilityLVBFromKeysValues($AA$5:$BM$5,$AA19:$BM19),FALSE))</f>
        <v>[2018/05/04 09:52] #Error: Invalid Curve: CurveIndex 'GBP6ML' in collection GBPYC does not exist</v>
      </c>
      <c r="W19" t="s">
        <v>12</v>
      </c>
      <c r="X19" s="476" t="str">
        <f>IF('GBP Curve Config'!BB22,'GBP Curve Config'!AZ22,"")</f>
        <v>30Y</v>
      </c>
      <c r="Y19" s="477">
        <f>IF('GBP Curve Config'!BB22,'GBP Curve Config'!BA22,"")</f>
        <v>1.6500000000000001E-2</v>
      </c>
      <c r="AA19" s="684" t="str">
        <f t="shared" si="1"/>
        <v>RECEIVER</v>
      </c>
      <c r="AB19" s="1016">
        <f t="shared" si="2"/>
        <v>1000000</v>
      </c>
      <c r="AC19" s="399">
        <f t="shared" ca="1" si="3"/>
        <v>43224</v>
      </c>
      <c r="AD19" s="399">
        <f ca="1">IF(OR(D19="",D19=0),"",IF(ISNUMBER($G19),$G19,IF(ISERROR(VALUE(LEFT(G19,1))),_xll.meDateFuturesContract($G19),_xll.meDateFromTenor($B19,$G19,$AM19,$AN19))))</f>
        <v>54183</v>
      </c>
      <c r="AE19" s="352" t="str">
        <f t="shared" si="4"/>
        <v>GBPYC</v>
      </c>
      <c r="AF19" s="352" t="str">
        <f t="shared" si="5"/>
        <v>GBP6ML</v>
      </c>
      <c r="AG19" s="446" t="str">
        <f t="shared" si="6"/>
        <v>GBPDF_NOCSA</v>
      </c>
      <c r="AH19" s="452" t="s">
        <v>76</v>
      </c>
      <c r="AI19" s="434">
        <f t="shared" si="7"/>
        <v>0.01</v>
      </c>
      <c r="AJ19" s="347" t="s">
        <v>186</v>
      </c>
      <c r="AK19" s="347" t="s">
        <v>38</v>
      </c>
      <c r="AL19" s="351" t="s">
        <v>185</v>
      </c>
      <c r="AM19" s="347" t="s">
        <v>38</v>
      </c>
      <c r="AN19" s="351" t="s">
        <v>185</v>
      </c>
      <c r="AO19" s="429"/>
      <c r="AP19" s="429"/>
      <c r="AQ19" s="1004">
        <f t="shared" ca="1" si="10"/>
        <v>4</v>
      </c>
      <c r="AR19" s="347" t="s">
        <v>356</v>
      </c>
      <c r="AS19" s="451" t="s">
        <v>358</v>
      </c>
      <c r="AT19" s="352" t="str">
        <f t="shared" si="11"/>
        <v>Semi-Annual</v>
      </c>
      <c r="AU19" s="356">
        <f t="shared" si="8"/>
        <v>0</v>
      </c>
      <c r="AV19" s="481" t="s">
        <v>186</v>
      </c>
      <c r="AW19" s="347" t="s">
        <v>38</v>
      </c>
      <c r="AX19" s="351" t="s">
        <v>185</v>
      </c>
      <c r="AY19" s="347" t="s">
        <v>38</v>
      </c>
      <c r="AZ19" s="351" t="s">
        <v>185</v>
      </c>
      <c r="BA19" s="347" t="s">
        <v>38</v>
      </c>
      <c r="BB19" s="351" t="s">
        <v>185</v>
      </c>
      <c r="BC19" s="429"/>
      <c r="BD19" s="429"/>
      <c r="BE19" s="418">
        <f t="shared" ca="1" si="12"/>
        <v>4</v>
      </c>
      <c r="BF19" s="347" t="s">
        <v>356</v>
      </c>
      <c r="BG19" s="430">
        <f ca="1">_xll.meDateFromTenor($B19,"-"&amp;BF19,$AW19,$AX19)</f>
        <v>43224</v>
      </c>
      <c r="BH19" s="1006" t="str">
        <f t="shared" si="13"/>
        <v>NATURAL</v>
      </c>
      <c r="BI19" s="1006" t="str">
        <f t="shared" si="9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43224</v>
      </c>
      <c r="C20" s="1120" t="s">
        <v>356</v>
      </c>
      <c r="D20" s="362">
        <v>1000000</v>
      </c>
      <c r="E20" s="362" t="s">
        <v>187</v>
      </c>
      <c r="F20" s="365" t="s">
        <v>1753</v>
      </c>
      <c r="G20" s="397" t="str">
        <f t="shared" si="0"/>
        <v>40Y</v>
      </c>
      <c r="H20" s="363">
        <v>0.01</v>
      </c>
      <c r="I20" s="364" t="s">
        <v>355</v>
      </c>
      <c r="J20" s="364">
        <v>0</v>
      </c>
      <c r="K20" s="364" t="s">
        <v>2252</v>
      </c>
      <c r="L20" s="364" t="s">
        <v>2252</v>
      </c>
      <c r="M20" s="363"/>
      <c r="N20" s="420"/>
      <c r="O20" s="420"/>
      <c r="P20" s="378" t="s">
        <v>1043</v>
      </c>
      <c r="Q20" s="360" t="str">
        <f ca="1">IF(OR($D20="",$D20=0),"",_xll.meProductSwapParRate(_xll.meUtilityLVBFromKeysValues($AA$5:$BM$5,$AA20:$BM20),FALSE))</f>
        <v>[2018/05/04 09:52] #Error: Invalid Curve: CurveIndex 'GBP6ML' in collection GBPYC does not exist</v>
      </c>
      <c r="R20" s="461" t="str">
        <f ca="1">IF(OR($D20="",$D20=0),"",_xll.meProductSwapPV(_xll.meUtilityLVBFromKeysValues($AA$5:$BM$5,$AA20:$BM20),FALSE))</f>
        <v>[2018/05/04 09:52] #Error: Invalid Curve: CurveIndex 'GBP6ML' in collection GBPYC does not exist</v>
      </c>
      <c r="S20" s="461">
        <f ca="1">IF(OR($D20="",$D20=0),"",_xll.meProductSwapLegPV(_xll.meUtilityLVBFromMultipleKeysValues($AB$5:$AG$5,$AB20:$AG20,,$AH$5:$AS$5,$AH20:$AS20,,"LegType","Leg1:Fixed",,"PayReceive",$F20),FALSE))</f>
        <v>312601.40846594441</v>
      </c>
      <c r="T20" s="461" t="str">
        <f ca="1">IF(OR($D20="",$D20=0),"",_xll.meProductSwapLegPV(_xll.meUtilityLVBFromMultipleKeysValues($AB$5:$AG$5,$AB20:$AG20,,$AT$5:$BM$5,$AT20:$BM20,,"LegType","Leg2:Float",,"PayReceive",IF($F20="PAYER","RECEIVER","PAYER")),FALSE))</f>
        <v>[2018/05/04 09:52] #Error: Invalid Curve: CurveIndex 'GBP6ML' in collection GBPYC does not exist</v>
      </c>
      <c r="U20" s="461" t="str">
        <f ca="1">IF(OR($D20="",$D20=0),"",_xll.meProductSwapPV01(_xll.meUtilityLVBFromKeysValues($AA$5:$BM$5,$AA20:$BM20),FALSE))</f>
        <v>[2018/05/04 09:52] #Error: Invalid Curve: CurveIndex 'GBP6ML' in collection GBPYC does not exist</v>
      </c>
      <c r="V20" s="462" t="str">
        <f ca="1">IF(OR($D20="",$D20=0),"",_xll.meProductSwapDV01(_xll.meUtilityLVBFromKeysValues($AA$5:$BM$5,$AA20:$BM20),FALSE))</f>
        <v>[2018/05/04 09:52] #Error: Invalid Curve: CurveIndex 'GBP6ML' in collection GBPYC does not exist</v>
      </c>
      <c r="W20" t="s">
        <v>12</v>
      </c>
      <c r="X20" s="476" t="str">
        <f>IF('GBP Curve Config'!BB23,'GBP Curve Config'!AZ23,"")</f>
        <v>40Y</v>
      </c>
      <c r="Y20" s="477">
        <f>IF('GBP Curve Config'!BB23,'GBP Curve Config'!BA23,"")</f>
        <v>1.5810000000000001E-2</v>
      </c>
      <c r="AA20" s="684" t="str">
        <f t="shared" si="1"/>
        <v>RECEIVER</v>
      </c>
      <c r="AB20" s="1016">
        <f t="shared" si="2"/>
        <v>1000000</v>
      </c>
      <c r="AC20" s="399">
        <f t="shared" ca="1" si="3"/>
        <v>43224</v>
      </c>
      <c r="AD20" s="399">
        <f ca="1">IF(OR(D20="",D20=0),"",IF(ISNUMBER($G20),$G20,IF(ISERROR(VALUE(LEFT(G20,1))),_xll.meDateFuturesContract($G20),_xll.meDateFromTenor($B20,$G20,$AM20,$AN20))))</f>
        <v>57837</v>
      </c>
      <c r="AE20" s="352" t="str">
        <f t="shared" si="4"/>
        <v>GBPYC</v>
      </c>
      <c r="AF20" s="352" t="str">
        <f t="shared" si="5"/>
        <v>GBP6ML</v>
      </c>
      <c r="AG20" s="446" t="str">
        <f t="shared" si="6"/>
        <v>GBPDF_NOCSA</v>
      </c>
      <c r="AH20" s="452" t="s">
        <v>76</v>
      </c>
      <c r="AI20" s="434">
        <f t="shared" si="7"/>
        <v>0.01</v>
      </c>
      <c r="AJ20" s="347" t="s">
        <v>186</v>
      </c>
      <c r="AK20" s="347" t="s">
        <v>38</v>
      </c>
      <c r="AL20" s="351" t="s">
        <v>185</v>
      </c>
      <c r="AM20" s="347" t="s">
        <v>38</v>
      </c>
      <c r="AN20" s="351" t="s">
        <v>185</v>
      </c>
      <c r="AO20" s="429"/>
      <c r="AP20" s="429"/>
      <c r="AQ20" s="1004">
        <f t="shared" ca="1" si="10"/>
        <v>4</v>
      </c>
      <c r="AR20" s="347" t="s">
        <v>356</v>
      </c>
      <c r="AS20" s="451" t="s">
        <v>358</v>
      </c>
      <c r="AT20" s="352" t="str">
        <f t="shared" si="11"/>
        <v>Semi-Annual</v>
      </c>
      <c r="AU20" s="356">
        <f t="shared" si="8"/>
        <v>0</v>
      </c>
      <c r="AV20" s="481" t="s">
        <v>186</v>
      </c>
      <c r="AW20" s="347" t="s">
        <v>38</v>
      </c>
      <c r="AX20" s="351" t="s">
        <v>185</v>
      </c>
      <c r="AY20" s="347" t="s">
        <v>38</v>
      </c>
      <c r="AZ20" s="351" t="s">
        <v>185</v>
      </c>
      <c r="BA20" s="347" t="s">
        <v>38</v>
      </c>
      <c r="BB20" s="351" t="s">
        <v>185</v>
      </c>
      <c r="BC20" s="429"/>
      <c r="BD20" s="429"/>
      <c r="BE20" s="418">
        <f t="shared" ca="1" si="12"/>
        <v>4</v>
      </c>
      <c r="BF20" s="347" t="s">
        <v>356</v>
      </c>
      <c r="BG20" s="430">
        <f ca="1">_xll.meDateFromTenor($B20,"-"&amp;BF20,$AW20,$AX20)</f>
        <v>43224</v>
      </c>
      <c r="BH20" s="1006" t="str">
        <f t="shared" si="13"/>
        <v>NATURAL</v>
      </c>
      <c r="BI20" s="1006" t="str">
        <f t="shared" si="9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43224</v>
      </c>
      <c r="C21" s="1120" t="s">
        <v>356</v>
      </c>
      <c r="D21" s="362">
        <v>1000000</v>
      </c>
      <c r="E21" s="362" t="s">
        <v>187</v>
      </c>
      <c r="F21" s="365" t="s">
        <v>1753</v>
      </c>
      <c r="G21" s="397" t="str">
        <f t="shared" si="0"/>
        <v>50Y</v>
      </c>
      <c r="H21" s="363">
        <v>0.01</v>
      </c>
      <c r="I21" s="364" t="s">
        <v>355</v>
      </c>
      <c r="J21" s="364">
        <v>0</v>
      </c>
      <c r="K21" s="364" t="s">
        <v>2252</v>
      </c>
      <c r="L21" s="364" t="s">
        <v>2252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1.5230170576236518E-2</v>
      </c>
      <c r="R21" s="461">
        <f ca="1">IF(OR($D21="",$D21=0),"",_xll.meProductSwapPV(_xll.meUtilityLVBFromKeysValues($AA$5:$BM$5,$AA21:$BM21),FALSE))</f>
        <v>-194229.07345621265</v>
      </c>
      <c r="S21" s="461">
        <f ca="1">IF(OR($D21="",$D21=0),"",_xll.meProductSwapLegPV(_xll.meUtilityLVBFromMultipleKeysValues($AB$5:$AG$5,$AB21:$AG21,,$AH$5:$AS$5,$AH21:$AS21,,"LegType","Leg1:Fixed",,"PayReceive",$F21),FALSE))</f>
        <v>371362.78946369351</v>
      </c>
      <c r="T21" s="461">
        <f ca="1">IF(OR($D21="",$D21=0),"",_xll.meProductSwapLegPV(_xll.meUtilityLVBFromMultipleKeysValues($AB$5:$AG$5,$AB21:$AG21,,$AT$5:$BM$5,$AT21:$BM21,,"LegType","Leg2:Float",,"PayReceive",IF($F21="PAYER","RECEIVER","PAYER")),FALSE))</f>
        <v>-565591.86291990604</v>
      </c>
      <c r="U21" s="461">
        <f ca="1">IF(OR($D21="",$D21=0),"",_xll.meProductSwapPV01(_xll.meUtilityLVBFromKeysValues($AA$5:$BM$5,$AA21:$BM21),FALSE))</f>
        <v>3713.6278946369357</v>
      </c>
      <c r="V21" s="462">
        <f ca="1">IF(OR($D21="",$D21=0),"",_xll.meProductSwapDV01(_xll.meUtilityLVBFromKeysValues($AA$5:$BM$5,$AA21:$BM21),FALSE))</f>
        <v>3354.4225774580977</v>
      </c>
      <c r="W21" t="s">
        <v>12</v>
      </c>
      <c r="X21" s="476" t="str">
        <f>IF('GBP Curve Config'!BB24,'GBP Curve Config'!AZ24,"")</f>
        <v>50Y</v>
      </c>
      <c r="Y21" s="477">
        <f>IF('GBP Curve Config'!BB24,'GBP Curve Config'!BA24,"")</f>
        <v>1.5229999999999999E-2</v>
      </c>
      <c r="AA21" s="684" t="str">
        <f t="shared" si="1"/>
        <v>RECEIVER</v>
      </c>
      <c r="AB21" s="1016">
        <f t="shared" si="2"/>
        <v>1000000</v>
      </c>
      <c r="AC21" s="399">
        <f t="shared" ca="1" si="3"/>
        <v>43224</v>
      </c>
      <c r="AD21" s="399">
        <f ca="1">IF(OR(D21="",D21=0),"",IF(ISNUMBER($G21),$G21,IF(ISERROR(VALUE(LEFT(G21,1))),_xll.meDateFuturesContract($G21),_xll.meDateFromTenor($B21,$G21,$AM21,$AN21))))</f>
        <v>61487</v>
      </c>
      <c r="AE21" s="352" t="str">
        <f t="shared" si="4"/>
        <v>GBPYC</v>
      </c>
      <c r="AF21" s="352" t="str">
        <f t="shared" si="5"/>
        <v>GBP6ML</v>
      </c>
      <c r="AG21" s="446" t="str">
        <f t="shared" si="6"/>
        <v>GBPDF_NOCSA</v>
      </c>
      <c r="AH21" s="452" t="s">
        <v>76</v>
      </c>
      <c r="AI21" s="434">
        <f t="shared" si="7"/>
        <v>0.01</v>
      </c>
      <c r="AJ21" s="347" t="s">
        <v>186</v>
      </c>
      <c r="AK21" s="347" t="s">
        <v>38</v>
      </c>
      <c r="AL21" s="351" t="s">
        <v>185</v>
      </c>
      <c r="AM21" s="347" t="s">
        <v>38</v>
      </c>
      <c r="AN21" s="351" t="s">
        <v>185</v>
      </c>
      <c r="AO21" s="429"/>
      <c r="AP21" s="429"/>
      <c r="AQ21" s="1004">
        <f t="shared" ca="1" si="10"/>
        <v>4</v>
      </c>
      <c r="AR21" s="347" t="s">
        <v>356</v>
      </c>
      <c r="AS21" s="451" t="s">
        <v>358</v>
      </c>
      <c r="AT21" s="352" t="str">
        <f t="shared" si="11"/>
        <v>Semi-Annual</v>
      </c>
      <c r="AU21" s="356">
        <f t="shared" si="8"/>
        <v>0</v>
      </c>
      <c r="AV21" s="481" t="s">
        <v>186</v>
      </c>
      <c r="AW21" s="347" t="s">
        <v>38</v>
      </c>
      <c r="AX21" s="351" t="s">
        <v>185</v>
      </c>
      <c r="AY21" s="347" t="s">
        <v>38</v>
      </c>
      <c r="AZ21" s="351" t="s">
        <v>185</v>
      </c>
      <c r="BA21" s="347" t="s">
        <v>38</v>
      </c>
      <c r="BB21" s="351" t="s">
        <v>185</v>
      </c>
      <c r="BC21" s="429"/>
      <c r="BD21" s="429"/>
      <c r="BE21" s="418">
        <f t="shared" ca="1" si="12"/>
        <v>4</v>
      </c>
      <c r="BF21" s="347" t="s">
        <v>356</v>
      </c>
      <c r="BG21" s="430">
        <f ca="1">_xll.meDateFromTenor($B21,"-"&amp;BF21,$AW21,$AX21)</f>
        <v>43224</v>
      </c>
      <c r="BH21" s="1006" t="str">
        <f t="shared" si="13"/>
        <v>NATURAL</v>
      </c>
      <c r="BI21" s="1006" t="str">
        <f t="shared" si="9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2252</v>
      </c>
      <c r="L22" s="364" t="s">
        <v>2252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>IF('GBP Curve Config'!BB25,'GBP Curve Config'!AZ25,"")</f>
        <v/>
      </c>
      <c r="Y22" s="477" t="str">
        <f>IF('GBP Curve Config'!BB25,'GBP Curve Config'!BA25,"")</f>
        <v/>
      </c>
      <c r="AA22" s="684">
        <f t="shared" si="1"/>
        <v>0</v>
      </c>
      <c r="AB22" s="1016">
        <f t="shared" si="2"/>
        <v>0</v>
      </c>
      <c r="AC22" s="399" t="str">
        <f t="shared" si="3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4"/>
        <v>YC</v>
      </c>
      <c r="AF22" s="352" t="str">
        <f t="shared" si="5"/>
        <v/>
      </c>
      <c r="AG22" s="446" t="str">
        <f t="shared" si="6"/>
        <v>YCDF_</v>
      </c>
      <c r="AH22" s="452" t="s">
        <v>76</v>
      </c>
      <c r="AI22" s="434">
        <f t="shared" si="7"/>
        <v>0</v>
      </c>
      <c r="AJ22" s="347" t="s">
        <v>186</v>
      </c>
      <c r="AK22" s="347" t="s">
        <v>38</v>
      </c>
      <c r="AL22" s="351" t="s">
        <v>185</v>
      </c>
      <c r="AM22" s="347" t="s">
        <v>38</v>
      </c>
      <c r="AN22" s="351" t="s">
        <v>185</v>
      </c>
      <c r="AO22" s="429"/>
      <c r="AP22" s="429"/>
      <c r="AQ22" s="1004" t="e">
        <f t="shared" si="10"/>
        <v>#VALUE!</v>
      </c>
      <c r="AR22" s="347" t="s">
        <v>356</v>
      </c>
      <c r="AS22" s="451" t="s">
        <v>358</v>
      </c>
      <c r="AT22" s="352" t="str">
        <f t="shared" si="11"/>
        <v>Annual</v>
      </c>
      <c r="AU22" s="356">
        <f t="shared" si="8"/>
        <v>0</v>
      </c>
      <c r="AV22" s="481" t="s">
        <v>186</v>
      </c>
      <c r="AW22" s="347" t="s">
        <v>38</v>
      </c>
      <c r="AX22" s="351" t="s">
        <v>185</v>
      </c>
      <c r="AY22" s="347" t="s">
        <v>38</v>
      </c>
      <c r="AZ22" s="351" t="s">
        <v>185</v>
      </c>
      <c r="BA22" s="347" t="s">
        <v>38</v>
      </c>
      <c r="BB22" s="351" t="s">
        <v>185</v>
      </c>
      <c r="BC22" s="429"/>
      <c r="BD22" s="429"/>
      <c r="BE22" s="418" t="e">
        <f t="shared" si="12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3"/>
        <v>NATURAL</v>
      </c>
      <c r="BI22" s="1006" t="str">
        <f t="shared" si="9"/>
        <v>NATURAL</v>
      </c>
      <c r="BJ22" s="358">
        <f ca="1">IF($M22="",IF($BG22&lt;COB,'EUR Curve Config'!CurveConfig.FixingRate,""),$M22)</f>
        <v>-2.6900000000000001E-3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2252</v>
      </c>
      <c r="L23" s="364" t="s">
        <v>2252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>IF('GBP Curve Config'!BB26,'GBP Curve Config'!AZ26,"")</f>
        <v/>
      </c>
      <c r="Y23" s="477" t="str">
        <f>IF('GBP Curve Config'!BB26,'GBP Curve Config'!BA26,"")</f>
        <v/>
      </c>
      <c r="AA23" s="684">
        <f t="shared" si="1"/>
        <v>0</v>
      </c>
      <c r="AB23" s="1016">
        <f t="shared" si="2"/>
        <v>0</v>
      </c>
      <c r="AC23" s="399" t="str">
        <f t="shared" si="3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4"/>
        <v>YC</v>
      </c>
      <c r="AF23" s="352" t="str">
        <f t="shared" si="5"/>
        <v/>
      </c>
      <c r="AG23" s="446" t="str">
        <f t="shared" si="6"/>
        <v>YCDF_</v>
      </c>
      <c r="AH23" s="452" t="s">
        <v>76</v>
      </c>
      <c r="AI23" s="434">
        <f t="shared" si="7"/>
        <v>0</v>
      </c>
      <c r="AJ23" s="347" t="s">
        <v>186</v>
      </c>
      <c r="AK23" s="347" t="s">
        <v>38</v>
      </c>
      <c r="AL23" s="351" t="s">
        <v>185</v>
      </c>
      <c r="AM23" s="347" t="s">
        <v>38</v>
      </c>
      <c r="AN23" s="351" t="s">
        <v>185</v>
      </c>
      <c r="AO23" s="429"/>
      <c r="AP23" s="429"/>
      <c r="AQ23" s="1004" t="e">
        <f t="shared" si="10"/>
        <v>#VALUE!</v>
      </c>
      <c r="AR23" s="347" t="s">
        <v>356</v>
      </c>
      <c r="AS23" s="451" t="s">
        <v>358</v>
      </c>
      <c r="AT23" s="352" t="str">
        <f t="shared" si="11"/>
        <v>Annual</v>
      </c>
      <c r="AU23" s="356">
        <f t="shared" si="8"/>
        <v>0</v>
      </c>
      <c r="AV23" s="481" t="s">
        <v>186</v>
      </c>
      <c r="AW23" s="347" t="s">
        <v>38</v>
      </c>
      <c r="AX23" s="351" t="s">
        <v>185</v>
      </c>
      <c r="AY23" s="347" t="s">
        <v>38</v>
      </c>
      <c r="AZ23" s="351" t="s">
        <v>185</v>
      </c>
      <c r="BA23" s="347" t="s">
        <v>38</v>
      </c>
      <c r="BB23" s="351" t="s">
        <v>185</v>
      </c>
      <c r="BC23" s="429"/>
      <c r="BD23" s="429"/>
      <c r="BE23" s="418" t="e">
        <f t="shared" si="12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3"/>
        <v>NATURAL</v>
      </c>
      <c r="BI23" s="1006" t="str">
        <f t="shared" si="9"/>
        <v>NATURAL</v>
      </c>
      <c r="BJ23" s="358">
        <f ca="1">IF($M23="",IF($BG23&lt;COB,'EUR Curve Config'!CurveConfig.FixingRate,""),$M23)</f>
        <v>-2.6900000000000001E-3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2252</v>
      </c>
      <c r="L24" s="364" t="s">
        <v>2252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>IF('GBP Curve Config'!BB27,'GBP Curve Config'!AZ27,"")</f>
        <v/>
      </c>
      <c r="Y24" s="477" t="str">
        <f>IF('GBP Curve Config'!BB27,'GBP Curve Config'!BA27,"")</f>
        <v/>
      </c>
      <c r="AA24" s="684">
        <f t="shared" si="1"/>
        <v>0</v>
      </c>
      <c r="AB24" s="1016">
        <f t="shared" si="2"/>
        <v>0</v>
      </c>
      <c r="AC24" s="399" t="str">
        <f t="shared" si="3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4"/>
        <v>YC</v>
      </c>
      <c r="AF24" s="352" t="str">
        <f t="shared" si="5"/>
        <v/>
      </c>
      <c r="AG24" s="446" t="str">
        <f t="shared" si="6"/>
        <v>YCDF_</v>
      </c>
      <c r="AH24" s="452" t="s">
        <v>76</v>
      </c>
      <c r="AI24" s="434">
        <f t="shared" si="7"/>
        <v>0</v>
      </c>
      <c r="AJ24" s="347" t="s">
        <v>186</v>
      </c>
      <c r="AK24" s="347" t="s">
        <v>38</v>
      </c>
      <c r="AL24" s="351" t="s">
        <v>185</v>
      </c>
      <c r="AM24" s="347" t="s">
        <v>38</v>
      </c>
      <c r="AN24" s="351" t="s">
        <v>185</v>
      </c>
      <c r="AO24" s="429"/>
      <c r="AP24" s="429"/>
      <c r="AQ24" s="1004" t="e">
        <f t="shared" si="10"/>
        <v>#VALUE!</v>
      </c>
      <c r="AR24" s="347" t="s">
        <v>356</v>
      </c>
      <c r="AS24" s="451" t="s">
        <v>358</v>
      </c>
      <c r="AT24" s="352" t="str">
        <f t="shared" si="11"/>
        <v>Annual</v>
      </c>
      <c r="AU24" s="356">
        <f t="shared" si="8"/>
        <v>0</v>
      </c>
      <c r="AV24" s="481" t="s">
        <v>186</v>
      </c>
      <c r="AW24" s="347" t="s">
        <v>38</v>
      </c>
      <c r="AX24" s="351" t="s">
        <v>185</v>
      </c>
      <c r="AY24" s="347" t="s">
        <v>38</v>
      </c>
      <c r="AZ24" s="351" t="s">
        <v>185</v>
      </c>
      <c r="BA24" s="347" t="s">
        <v>38</v>
      </c>
      <c r="BB24" s="351" t="s">
        <v>185</v>
      </c>
      <c r="BC24" s="429"/>
      <c r="BD24" s="429"/>
      <c r="BE24" s="418" t="e">
        <f t="shared" si="12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3"/>
        <v>NATURAL</v>
      </c>
      <c r="BI24" s="1006" t="str">
        <f t="shared" si="9"/>
        <v>NATURAL</v>
      </c>
      <c r="BJ24" s="358">
        <f ca="1">IF($M24="",IF($BG24&lt;COB,'EUR Curve Config'!CurveConfig.FixingRate,""),$M24)</f>
        <v>-2.6900000000000001E-3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2252</v>
      </c>
      <c r="L25" s="368" t="s">
        <v>2252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>IF('GBP Curve Config'!BB28,'GBP Curve Config'!AZ28,"")</f>
        <v/>
      </c>
      <c r="Y25" s="479" t="str">
        <f>IF('GBP Curve Config'!BB28,'GBP Curve Config'!BA28,"")</f>
        <v/>
      </c>
      <c r="AA25" s="668">
        <f t="shared" si="1"/>
        <v>0</v>
      </c>
      <c r="AB25" s="1022">
        <f t="shared" si="2"/>
        <v>0</v>
      </c>
      <c r="AC25" s="437" t="str">
        <f t="shared" si="3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4"/>
        <v>YC</v>
      </c>
      <c r="AF25" s="438" t="str">
        <f t="shared" si="5"/>
        <v/>
      </c>
      <c r="AG25" s="447" t="str">
        <f t="shared" si="6"/>
        <v>YCDF_</v>
      </c>
      <c r="AH25" s="453" t="s">
        <v>76</v>
      </c>
      <c r="AI25" s="440">
        <f t="shared" si="7"/>
        <v>0</v>
      </c>
      <c r="AJ25" s="439" t="s">
        <v>186</v>
      </c>
      <c r="AK25" s="439" t="s">
        <v>38</v>
      </c>
      <c r="AL25" s="480" t="s">
        <v>185</v>
      </c>
      <c r="AM25" s="439" t="s">
        <v>38</v>
      </c>
      <c r="AN25" s="480" t="s">
        <v>185</v>
      </c>
      <c r="AO25" s="425"/>
      <c r="AP25" s="425"/>
      <c r="AQ25" s="1007" t="e">
        <f t="shared" si="10"/>
        <v>#VALUE!</v>
      </c>
      <c r="AR25" s="439" t="s">
        <v>356</v>
      </c>
      <c r="AS25" s="454" t="s">
        <v>358</v>
      </c>
      <c r="AT25" s="438" t="str">
        <f t="shared" si="11"/>
        <v>Annual</v>
      </c>
      <c r="AU25" s="441">
        <f t="shared" si="8"/>
        <v>0</v>
      </c>
      <c r="AV25" s="482" t="s">
        <v>186</v>
      </c>
      <c r="AW25" s="439" t="s">
        <v>38</v>
      </c>
      <c r="AX25" s="480" t="s">
        <v>185</v>
      </c>
      <c r="AY25" s="439" t="s">
        <v>38</v>
      </c>
      <c r="AZ25" s="480" t="s">
        <v>185</v>
      </c>
      <c r="BA25" s="439" t="s">
        <v>38</v>
      </c>
      <c r="BB25" s="480" t="s">
        <v>185</v>
      </c>
      <c r="BC25" s="425"/>
      <c r="BD25" s="425"/>
      <c r="BE25" s="436" t="e">
        <f t="shared" si="12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3"/>
        <v>NATURAL</v>
      </c>
      <c r="BI25" s="1005" t="str">
        <f t="shared" si="9"/>
        <v>NATURAL</v>
      </c>
      <c r="BJ25" s="442">
        <f ca="1">IF($M25="",IF($BG25&lt;COB,'EUR Curve Config'!CurveConfig.FixingRate,""),$M25)</f>
        <v>-2.6900000000000001E-3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  <row r="28" spans="1:66">
      <c r="D28" s="338"/>
      <c r="E28" s="338"/>
      <c r="F28" s="424"/>
      <c r="G28" s="424"/>
      <c r="H28" s="424"/>
      <c r="I28" s="424"/>
      <c r="J28" s="424"/>
      <c r="K28" s="997"/>
      <c r="L28" s="997"/>
      <c r="M28" s="424"/>
      <c r="N28" s="424"/>
      <c r="O28" s="424"/>
      <c r="P28" s="424"/>
      <c r="R28" s="391"/>
      <c r="S28" s="391"/>
      <c r="T28" s="391"/>
    </row>
    <row r="29" spans="1:66">
      <c r="D29" s="338"/>
      <c r="E29" s="338"/>
      <c r="F29" s="424"/>
    </row>
    <row r="30" spans="1:66">
      <c r="D30" s="338"/>
      <c r="E30" s="338"/>
      <c r="F30" s="424"/>
    </row>
    <row r="45" spans="6:6">
      <c r="F45" s="149"/>
    </row>
    <row r="48" spans="6:6">
      <c r="F48" s="150"/>
    </row>
  </sheetData>
  <mergeCells count="1">
    <mergeCell ref="S2:T2"/>
  </mergeCells>
  <dataValidations count="9"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I6:I25">
      <formula1>"1ML,3ML,6ML,12ML"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N6:AN25 AZ6:AZ25 AL6:AL25 AX6:AX25 BB6:BB25">
      <formula1>"TGT,NYB:LNB,LNB,TKB:LNB"</formula1>
    </dataValidation>
    <dataValidation type="list" allowBlank="1" showInputMessage="1" showErrorMessage="1" sqref="AJ6 AV6:AV25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6600"/>
  </sheetPr>
  <dimension ref="A1:BN27"/>
  <sheetViews>
    <sheetView showGridLines="0" zoomScaleNormal="100" workbookViewId="0"/>
  </sheetViews>
  <sheetFormatPr defaultRowHeight="15" outlineLevelCol="1"/>
  <cols>
    <col min="1" max="1" width="5.7109375" customWidth="1"/>
    <col min="2" max="2" width="15.7109375" customWidth="1"/>
    <col min="3" max="3" width="18.28515625" bestFit="1" customWidth="1"/>
    <col min="4" max="6" width="12.7109375" customWidth="1"/>
    <col min="7" max="7" width="15.7109375" customWidth="1"/>
    <col min="8" max="10" width="12.7109375" customWidth="1"/>
    <col min="11" max="11" width="19.28515625" style="995" hidden="1" customWidth="1" outlineLevel="1"/>
    <col min="12" max="12" width="18.85546875" style="995" hidden="1" customWidth="1" outlineLevel="1"/>
    <col min="13" max="13" width="15.7109375" hidden="1" customWidth="1" outlineLevel="1"/>
    <col min="14" max="15" width="12.7109375" hidden="1" customWidth="1" outlineLevel="1"/>
    <col min="16" max="16" width="12.7109375" customWidth="1" collapsed="1"/>
    <col min="17" max="22" width="12.7109375" customWidth="1"/>
    <col min="24" max="25" width="12.7109375" customWidth="1"/>
    <col min="26" max="26" width="9.140625" hidden="1" customWidth="1" outlineLevel="1"/>
    <col min="27" max="27" width="13.85546875" hidden="1" customWidth="1" outlineLevel="1"/>
    <col min="28" max="28" width="13.85546875" style="995" hidden="1" customWidth="1" outlineLevel="1"/>
    <col min="29" max="29" width="14" hidden="1" customWidth="1" outlineLevel="1"/>
    <col min="30" max="30" width="15.140625" hidden="1" customWidth="1" outlineLevel="1"/>
    <col min="31" max="31" width="15.28515625" hidden="1" customWidth="1" outlineLevel="1"/>
    <col min="32" max="32" width="13.7109375" hidden="1" customWidth="1" outlineLevel="1"/>
    <col min="33" max="33" width="16.85546875" hidden="1" customWidth="1" outlineLevel="1"/>
    <col min="34" max="34" width="15.28515625" hidden="1" customWidth="1" outlineLevel="1"/>
    <col min="35" max="35" width="9.85546875" hidden="1" customWidth="1" outlineLevel="1"/>
    <col min="36" max="36" width="14.28515625" hidden="1" customWidth="1" outlineLevel="1"/>
    <col min="37" max="37" width="34.5703125" hidden="1" customWidth="1" outlineLevel="1"/>
    <col min="38" max="38" width="20.42578125" hidden="1" customWidth="1" outlineLevel="1"/>
    <col min="39" max="39" width="36" hidden="1" customWidth="1" outlineLevel="1"/>
    <col min="40" max="40" width="22" hidden="1" customWidth="1" outlineLevel="1"/>
    <col min="41" max="41" width="18.140625" hidden="1" customWidth="1" outlineLevel="1"/>
    <col min="42" max="42" width="17.7109375" hidden="1" customWidth="1" outlineLevel="1"/>
    <col min="43" max="43" width="12.5703125" hidden="1" customWidth="1" outlineLevel="1"/>
    <col min="44" max="44" width="16.7109375" hidden="1" customWidth="1" outlineLevel="1"/>
    <col min="45" max="45" width="14.28515625" hidden="1" customWidth="1" outlineLevel="1"/>
    <col min="46" max="46" width="14.85546875" hidden="1" customWidth="1" outlineLevel="1"/>
    <col min="47" max="47" width="11.5703125" hidden="1" customWidth="1" outlineLevel="1"/>
    <col min="48" max="48" width="13.85546875" hidden="1" customWidth="1" outlineLevel="1"/>
    <col min="49" max="49" width="32.85546875" hidden="1" customWidth="1" outlineLevel="1"/>
    <col min="50" max="50" width="18.85546875" hidden="1" customWidth="1" outlineLevel="1"/>
    <col min="51" max="51" width="34.140625" hidden="1" customWidth="1" outlineLevel="1"/>
    <col min="52" max="52" width="20" hidden="1" customWidth="1" outlineLevel="1"/>
    <col min="53" max="53" width="35.5703125" hidden="1" customWidth="1" outlineLevel="1"/>
    <col min="54" max="54" width="21.5703125" hidden="1" customWidth="1" outlineLevel="1"/>
    <col min="55" max="55" width="17.7109375" hidden="1" customWidth="1" outlineLevel="1"/>
    <col min="56" max="56" width="17.28515625" hidden="1" customWidth="1" outlineLevel="1"/>
    <col min="57" max="57" width="12.140625" hidden="1" customWidth="1" outlineLevel="1"/>
    <col min="58" max="58" width="13.7109375" hidden="1" customWidth="1" outlineLevel="1"/>
    <col min="59" max="59" width="15.42578125" hidden="1" customWidth="1" outlineLevel="1"/>
    <col min="60" max="60" width="19.28515625" style="995" hidden="1" customWidth="1" outlineLevel="1"/>
    <col min="61" max="61" width="18.85546875" style="995" hidden="1" customWidth="1" outlineLevel="1"/>
    <col min="62" max="62" width="14.7109375" hidden="1" customWidth="1" outlineLevel="1"/>
    <col min="63" max="63" width="14.28515625" hidden="1" customWidth="1" outlineLevel="1"/>
    <col min="64" max="64" width="16.28515625" hidden="1" customWidth="1" outlineLevel="1"/>
    <col min="65" max="65" width="13.85546875" hidden="1" customWidth="1" outlineLevel="1"/>
    <col min="66" max="66" width="9.140625" collapsed="1"/>
  </cols>
  <sheetData>
    <row r="1" spans="1:66">
      <c r="A1" s="381"/>
      <c r="P1" s="9" t="s">
        <v>1812</v>
      </c>
      <c r="BN1" s="9" t="s">
        <v>1813</v>
      </c>
    </row>
    <row r="2" spans="1:66" ht="23.25">
      <c r="B2" s="371" t="s">
        <v>1080</v>
      </c>
      <c r="R2" s="132" t="s">
        <v>1445</v>
      </c>
      <c r="S2" s="1427">
        <f ca="1">SUM($R$6:$R$25)</f>
        <v>578020.86287373572</v>
      </c>
      <c r="T2" s="1428"/>
      <c r="U2" s="423"/>
      <c r="V2" s="424"/>
    </row>
    <row r="3" spans="1:66">
      <c r="Q3" s="424"/>
    </row>
    <row r="4" spans="1:66">
      <c r="U4" s="345"/>
      <c r="V4" t="s">
        <v>12</v>
      </c>
      <c r="X4" s="475" t="s">
        <v>1809</v>
      </c>
      <c r="AA4" s="998" t="s">
        <v>1801</v>
      </c>
      <c r="AH4" s="234" t="s">
        <v>1810</v>
      </c>
      <c r="AT4" s="234" t="s">
        <v>1811</v>
      </c>
    </row>
    <row r="5" spans="1:66" s="466" customFormat="1">
      <c r="B5" s="467" t="s">
        <v>1768</v>
      </c>
      <c r="C5" s="468" t="s">
        <v>2186</v>
      </c>
      <c r="D5" s="468" t="s">
        <v>354</v>
      </c>
      <c r="E5" s="468" t="s">
        <v>156</v>
      </c>
      <c r="F5" s="468" t="s">
        <v>1803</v>
      </c>
      <c r="G5" s="468" t="s">
        <v>1769</v>
      </c>
      <c r="H5" s="468" t="s">
        <v>1772</v>
      </c>
      <c r="I5" s="468" t="s">
        <v>1804</v>
      </c>
      <c r="J5" s="468" t="s">
        <v>1784</v>
      </c>
      <c r="K5" s="471" t="s">
        <v>2250</v>
      </c>
      <c r="L5" s="471" t="s">
        <v>2251</v>
      </c>
      <c r="M5" s="468" t="s">
        <v>1796</v>
      </c>
      <c r="N5" s="468" t="s">
        <v>1780</v>
      </c>
      <c r="O5" s="468" t="s">
        <v>1794</v>
      </c>
      <c r="P5" s="468" t="s">
        <v>1076</v>
      </c>
      <c r="Q5" s="468" t="s">
        <v>1805</v>
      </c>
      <c r="R5" s="468" t="s">
        <v>1806</v>
      </c>
      <c r="S5" s="468" t="s">
        <v>1808</v>
      </c>
      <c r="T5" s="468" t="s">
        <v>1807</v>
      </c>
      <c r="U5" s="468" t="s">
        <v>1077</v>
      </c>
      <c r="V5" s="469" t="s">
        <v>1752</v>
      </c>
      <c r="W5" s="466" t="s">
        <v>12</v>
      </c>
      <c r="X5" s="470" t="s">
        <v>890</v>
      </c>
      <c r="Y5" s="474" t="s">
        <v>1805</v>
      </c>
      <c r="AA5" s="470" t="s">
        <v>1803</v>
      </c>
      <c r="AB5" s="471" t="s">
        <v>354</v>
      </c>
      <c r="AC5" s="471" t="s">
        <v>1768</v>
      </c>
      <c r="AD5" s="471" t="s">
        <v>1769</v>
      </c>
      <c r="AE5" s="471" t="s">
        <v>1770</v>
      </c>
      <c r="AF5" s="471" t="s">
        <v>1443</v>
      </c>
      <c r="AG5" s="472" t="s">
        <v>1444</v>
      </c>
      <c r="AH5" s="473" t="s">
        <v>1771</v>
      </c>
      <c r="AI5" s="471" t="s">
        <v>1772</v>
      </c>
      <c r="AJ5" s="471" t="s">
        <v>1773</v>
      </c>
      <c r="AK5" s="471" t="s">
        <v>1774</v>
      </c>
      <c r="AL5" s="471" t="s">
        <v>1775</v>
      </c>
      <c r="AM5" s="471" t="s">
        <v>1776</v>
      </c>
      <c r="AN5" s="471" t="s">
        <v>1777</v>
      </c>
      <c r="AO5" s="471" t="s">
        <v>1778</v>
      </c>
      <c r="AP5" s="471" t="s">
        <v>1779</v>
      </c>
      <c r="AQ5" s="471" t="s">
        <v>1780</v>
      </c>
      <c r="AR5" s="471" t="s">
        <v>1781</v>
      </c>
      <c r="AS5" s="472" t="s">
        <v>1782</v>
      </c>
      <c r="AT5" s="471" t="s">
        <v>1783</v>
      </c>
      <c r="AU5" s="471" t="s">
        <v>1784</v>
      </c>
      <c r="AV5" s="471" t="s">
        <v>1785</v>
      </c>
      <c r="AW5" s="471" t="s">
        <v>1786</v>
      </c>
      <c r="AX5" s="471" t="s">
        <v>1787</v>
      </c>
      <c r="AY5" s="471" t="s">
        <v>1788</v>
      </c>
      <c r="AZ5" s="471" t="s">
        <v>1789</v>
      </c>
      <c r="BA5" s="471" t="s">
        <v>1790</v>
      </c>
      <c r="BB5" s="471" t="s">
        <v>1791</v>
      </c>
      <c r="BC5" s="471" t="s">
        <v>1792</v>
      </c>
      <c r="BD5" s="471" t="s">
        <v>1793</v>
      </c>
      <c r="BE5" s="471" t="s">
        <v>1794</v>
      </c>
      <c r="BF5" s="471" t="s">
        <v>1795</v>
      </c>
      <c r="BG5" s="471" t="s">
        <v>1800</v>
      </c>
      <c r="BH5" s="471" t="s">
        <v>2250</v>
      </c>
      <c r="BI5" s="471" t="s">
        <v>2251</v>
      </c>
      <c r="BJ5" s="471" t="s">
        <v>1796</v>
      </c>
      <c r="BK5" s="471" t="s">
        <v>1797</v>
      </c>
      <c r="BL5" s="471" t="s">
        <v>1798</v>
      </c>
      <c r="BM5" s="474" t="s">
        <v>1799</v>
      </c>
    </row>
    <row r="6" spans="1:66">
      <c r="A6" s="203">
        <v>1</v>
      </c>
      <c r="B6" s="455">
        <f ca="1">IF(OR(D6="",D6=0),"",IF(ISNUMBER($C6),$C6,IF(ISERROR(VALUE(LEFT(C6,1))),_xll.meDateFuturesContract($C6),_xll.meDateFromTenor(COB,$C6,$AM6,$AN6))))</f>
        <v>43229</v>
      </c>
      <c r="C6" s="1120" t="s">
        <v>361</v>
      </c>
      <c r="D6" s="361">
        <v>1000000</v>
      </c>
      <c r="E6" s="361" t="s">
        <v>188</v>
      </c>
      <c r="F6" s="342" t="s">
        <v>1753</v>
      </c>
      <c r="G6" s="346" t="s">
        <v>40</v>
      </c>
      <c r="H6" s="344">
        <v>0.01</v>
      </c>
      <c r="I6" s="343" t="s">
        <v>355</v>
      </c>
      <c r="J6" s="343">
        <v>0</v>
      </c>
      <c r="K6" s="343" t="s">
        <v>2252</v>
      </c>
      <c r="L6" s="343" t="s">
        <v>2252</v>
      </c>
      <c r="M6" s="344"/>
      <c r="N6" s="419"/>
      <c r="O6" s="419"/>
      <c r="P6" s="377" t="s">
        <v>1043</v>
      </c>
      <c r="Q6" s="359">
        <f ca="1">IF(OR($D6="",$D6=0),"",_xll.meProductSwapParRate(_xll.meUtilityLVBFromKeysValues($AA$5:$BM$5,$AA6:$BM6),FALSE))</f>
        <v>5.3750000010244106E-4</v>
      </c>
      <c r="R6" s="458">
        <f ca="1">IF(OR($D6="",$D6=0),"",_xll.meProductSwapPV(_xll.meUtilityLVBFromKeysValues($AA$5:$BM$5,$AA6:$BM6),FALSE))</f>
        <v>19009.011643992635</v>
      </c>
      <c r="S6" s="461">
        <f ca="1">IF(OR($D6="",$D6=0),"",_xll.meProductSwapLegPV(_xll.meUtilityLVBFromMultipleKeysValues($AB$5:$AG$5,$AB6:$AG6,,$AH$5:$AS$5,$AH6:$AS6,,"LegType","Leg1:Fixed",,"PayReceive",$F6),FALSE))</f>
        <v>20088.783771940216</v>
      </c>
      <c r="T6" s="459">
        <f ca="1">IF(OR($D6="",$D6=0),"",_xll.meProductSwapLegPV(_xll.meUtilityLVBFromMultipleKeysValues($AB$5:$AG$5,$AB6:$AG6,,$AT$5:$BM$5,$AT6:$BM6,,"LegType","Leg2:Float",,"PayReceive",IF($F6="PAYER","RECEIVER","PAYER")),FALSE))</f>
        <v>-1079.7721279475782</v>
      </c>
      <c r="U6" s="458">
        <f ca="1">IF(OR($D6="",$D6=0),"",_xll.meProductSwapPV01(_xll.meUtilityLVBFromKeysValues($AA$5:$BM$5,$AA6:$BM6),FALSE))</f>
        <v>200.88783771940217</v>
      </c>
      <c r="V6" s="460">
        <f ca="1">IF(OR($D6="",$D6=0),"",_xll.meProductSwapDV01(_xll.meUtilityLVBFromKeysValues($AA$5:$BM$5,$AA6:$BM6),FALSE))</f>
        <v>203.27326350258468</v>
      </c>
      <c r="W6" t="s">
        <v>12</v>
      </c>
      <c r="X6" s="476" t="str">
        <f>IF('JPY Curve Config'!BB9,'JPY Curve Config'!AZ9,"")</f>
        <v>2Y</v>
      </c>
      <c r="Y6" s="477">
        <f>IF('JPY Curve Config'!BB9,'JPY Curve Config'!BA9,"")</f>
        <v>5.375E-4</v>
      </c>
      <c r="AA6" s="684" t="str">
        <f t="shared" ref="AA6:AA25" si="0">F6</f>
        <v>RECEIVER</v>
      </c>
      <c r="AB6" s="1016">
        <f t="shared" ref="AB6:AB25" si="1">D6</f>
        <v>1000000</v>
      </c>
      <c r="AC6" s="399">
        <f t="shared" ref="AC6:AC25" ca="1" si="2">B6</f>
        <v>43229</v>
      </c>
      <c r="AD6" s="1006">
        <f ca="1">IF(OR(D6="",D6=0),"",IF(ISNUMBER($G6),$G6,IF(ISERROR(VALUE(LEFT(G6,1))),_xll.meDateFuturesContract($G6),_xll.meDateFromTenor($B6,$G6,$AM6,$AN6))))</f>
        <v>43962</v>
      </c>
      <c r="AE6" s="340" t="str">
        <f t="shared" ref="AE6:AE25" si="3">E6&amp;"YC"</f>
        <v>JPYYC</v>
      </c>
      <c r="AF6" s="341" t="str">
        <f t="shared" ref="AF6:AF25" si="4">$E6&amp;$I6</f>
        <v>JPY6ML</v>
      </c>
      <c r="AG6" s="445" t="str">
        <f t="shared" ref="AG6:AG25" si="5">LEFT(AE6,3)&amp;"DF_"&amp;P6</f>
        <v>JPYDF_NOCSA</v>
      </c>
      <c r="AH6" s="448" t="s">
        <v>76</v>
      </c>
      <c r="AI6" s="428">
        <f t="shared" ref="AI6:AI25" si="6">H6</f>
        <v>0.01</v>
      </c>
      <c r="AJ6" s="349" t="s">
        <v>186</v>
      </c>
      <c r="AK6" s="348" t="s">
        <v>38</v>
      </c>
      <c r="AL6" s="348" t="s">
        <v>359</v>
      </c>
      <c r="AM6" s="348" t="s">
        <v>38</v>
      </c>
      <c r="AN6" s="348" t="s">
        <v>359</v>
      </c>
      <c r="AO6" s="429"/>
      <c r="AP6" s="429"/>
      <c r="AQ6" s="339">
        <f ca="1">DAY($B6)</f>
        <v>9</v>
      </c>
      <c r="AR6" s="350" t="s">
        <v>356</v>
      </c>
      <c r="AS6" s="449" t="s">
        <v>358</v>
      </c>
      <c r="AT6" s="339" t="str">
        <f>IF($I6="1ML","Monthly",IF($I6="3ML","Quarterly",IF($I6="6ML","Semi-Annual","Annual")))</f>
        <v>Semi-Annual</v>
      </c>
      <c r="AU6" s="355">
        <f t="shared" ref="AU6:AU25" si="7">J6</f>
        <v>0</v>
      </c>
      <c r="AV6" s="349" t="s">
        <v>3</v>
      </c>
      <c r="AW6" s="348" t="s">
        <v>38</v>
      </c>
      <c r="AX6" s="348" t="s">
        <v>359</v>
      </c>
      <c r="AY6" s="348" t="s">
        <v>38</v>
      </c>
      <c r="AZ6" s="348" t="s">
        <v>359</v>
      </c>
      <c r="BA6" s="348" t="s">
        <v>38</v>
      </c>
      <c r="BB6" s="348" t="s">
        <v>359</v>
      </c>
      <c r="BC6" s="429"/>
      <c r="BD6" s="429"/>
      <c r="BE6" s="339">
        <f ca="1">DAY($B6)</f>
        <v>9</v>
      </c>
      <c r="BF6" s="350" t="s">
        <v>356</v>
      </c>
      <c r="BG6" s="430">
        <f ca="1">_xll.meDateFromTenor($B6,"-"&amp;BF6,$AW6,$AX6)</f>
        <v>43229</v>
      </c>
      <c r="BH6" s="1006" t="str">
        <f>K6</f>
        <v>NATURAL</v>
      </c>
      <c r="BI6" s="1006" t="str">
        <f t="shared" ref="BI6:BI25" si="8">L6</f>
        <v>NATURAL</v>
      </c>
      <c r="BJ6" s="357" t="str">
        <f ca="1">IF($M6="",IF($BG6&lt;COB,'EUR Curve Config'!CurveConfig.FixingRate,""),$M6)</f>
        <v/>
      </c>
      <c r="BK6" s="353"/>
      <c r="BL6" s="350" t="s">
        <v>356</v>
      </c>
      <c r="BM6" s="431" t="s">
        <v>358</v>
      </c>
      <c r="BN6" s="150"/>
    </row>
    <row r="7" spans="1:66">
      <c r="A7" s="203">
        <v>2</v>
      </c>
      <c r="B7" s="456">
        <f ca="1">IF(OR(D7="",D7=0),"",IF(ISNUMBER($C7),$C7,IF(ISERROR(VALUE(LEFT(C7,1))),_xll.meDateFuturesContract($C7),_xll.meDateFromTenor(COB,$C7,$AM7,$AN7))))</f>
        <v>43229</v>
      </c>
      <c r="C7" s="1122" t="s">
        <v>361</v>
      </c>
      <c r="D7" s="362">
        <v>1000000</v>
      </c>
      <c r="E7" s="362" t="s">
        <v>188</v>
      </c>
      <c r="F7" s="365" t="s">
        <v>1753</v>
      </c>
      <c r="G7" s="397" t="s">
        <v>37</v>
      </c>
      <c r="H7" s="363">
        <v>0.01</v>
      </c>
      <c r="I7" s="364" t="s">
        <v>355</v>
      </c>
      <c r="J7" s="364">
        <v>0</v>
      </c>
      <c r="K7" s="364" t="s">
        <v>2252</v>
      </c>
      <c r="L7" s="364" t="s">
        <v>2252</v>
      </c>
      <c r="M7" s="363"/>
      <c r="N7" s="420"/>
      <c r="O7" s="420"/>
      <c r="P7" s="378" t="s">
        <v>1043</v>
      </c>
      <c r="Q7" s="360" t="str">
        <f ca="1">IF(OR($D7="",$D7=0),"",_xll.meProductSwapParRate(_xll.meUtilityLVBFromKeysValues($AA$5:$BM$5,$AA7:$BM7),FALSE))</f>
        <v>[2018/05/04 09:52] #Error: Invalid Curve: CurveIndex 'JPY6ML' in collection JPYYC does not exist</v>
      </c>
      <c r="R7" s="461">
        <f ca="1">IF(OR($D7="",$D7=0),"",_xll.meProductSwapPV(_xll.meUtilityLVBFromKeysValues($AA$5:$BM$5,$AA7:$BM7),FALSE))</f>
        <v>27958.815830589367</v>
      </c>
      <c r="S7" s="461">
        <f ca="1">IF(OR($D7="",$D7=0),"",_xll.meProductSwapLegPV(_xll.meUtilityLVBFromMultipleKeysValues($AB$5:$AG$5,$AB7:$AG7,,$AH$5:$AS$5,$AH7:$AS7,,"LegType","Leg1:Fixed",,"PayReceive",$F7),FALSE))</f>
        <v>30063.242828860843</v>
      </c>
      <c r="T7" s="461">
        <f ca="1">IF(OR($D7="",$D7=0),"",_xll.meProductSwapLegPV(_xll.meUtilityLVBFromMultipleKeysValues($AB$5:$AG$5,$AB7:$AG7,,$AT$5:$BM$5,$AT7:$BM7,,"LegType","Leg2:Float",,"PayReceive",IF($F7="PAYER","RECEIVER","PAYER")),FALSE))</f>
        <v>-2104.4269982714736</v>
      </c>
      <c r="U7" s="461">
        <f ca="1">IF(OR($D7="",$D7=0),"",_xll.meProductSwapPV01(_xll.meUtilityLVBFromKeysValues($AA$5:$BM$5,$AA7:$BM7),FALSE))</f>
        <v>300.63242828860837</v>
      </c>
      <c r="V7" s="462">
        <f ca="1">IF(OR($D7="",$D7=0),"",_xll.meProductSwapDV01(_xll.meUtilityLVBFromKeysValues($AA$5:$BM$5,$AA7:$BM7),FALSE))</f>
        <v>305.49015050294327</v>
      </c>
      <c r="W7" t="s">
        <v>12</v>
      </c>
      <c r="X7" s="476" t="str">
        <f>IF('JPY Curve Config'!BB10,'JPY Curve Config'!AZ10,"")</f>
        <v>3Y</v>
      </c>
      <c r="Y7" s="477">
        <f>IF('JPY Curve Config'!BB10,'JPY Curve Config'!BA10,"")</f>
        <v>7.000000000000001E-4</v>
      </c>
      <c r="AA7" s="684" t="str">
        <f t="shared" si="0"/>
        <v>RECEIVER</v>
      </c>
      <c r="AB7" s="1016">
        <f t="shared" si="1"/>
        <v>1000000</v>
      </c>
      <c r="AC7" s="399">
        <f t="shared" ca="1" si="2"/>
        <v>43229</v>
      </c>
      <c r="AD7" s="399">
        <f ca="1">IF(OR(D7="",D7=0),"",IF(ISNUMBER($G7),$G7,IF(ISERROR(VALUE(LEFT(G7,1))),_xll.meDateFuturesContract($G7),_xll.meDateFromTenor($B7,$G7,$AM7,$AN7))))</f>
        <v>44326</v>
      </c>
      <c r="AE7" s="352" t="str">
        <f t="shared" si="3"/>
        <v>JPYYC</v>
      </c>
      <c r="AF7" s="352" t="str">
        <f t="shared" si="4"/>
        <v>JPY6ML</v>
      </c>
      <c r="AG7" s="446" t="str">
        <f t="shared" si="5"/>
        <v>JPYDF_NOCSA</v>
      </c>
      <c r="AH7" s="450" t="s">
        <v>76</v>
      </c>
      <c r="AI7" s="432">
        <f t="shared" si="6"/>
        <v>0.01</v>
      </c>
      <c r="AJ7" s="351" t="s">
        <v>186</v>
      </c>
      <c r="AK7" s="351" t="s">
        <v>38</v>
      </c>
      <c r="AL7" s="351" t="s">
        <v>359</v>
      </c>
      <c r="AM7" s="351" t="s">
        <v>38</v>
      </c>
      <c r="AN7" s="351" t="s">
        <v>359</v>
      </c>
      <c r="AO7" s="429"/>
      <c r="AP7" s="429"/>
      <c r="AQ7" s="1004">
        <f t="shared" ref="AQ7:AQ25" ca="1" si="9">DAY($B7)</f>
        <v>9</v>
      </c>
      <c r="AR7" s="347" t="s">
        <v>356</v>
      </c>
      <c r="AS7" s="451" t="s">
        <v>358</v>
      </c>
      <c r="AT7" s="352" t="str">
        <f t="shared" ref="AT7:AT25" si="10">IF($I7="1ML","Monthly",IF($I7="3ML","Quarterly",IF($I7="6ML","Semi-Annual","Annual")))</f>
        <v>Semi-Annual</v>
      </c>
      <c r="AU7" s="356">
        <f t="shared" si="7"/>
        <v>0</v>
      </c>
      <c r="AV7" s="347" t="s">
        <v>3</v>
      </c>
      <c r="AW7" s="347" t="s">
        <v>38</v>
      </c>
      <c r="AX7" s="347" t="s">
        <v>359</v>
      </c>
      <c r="AY7" s="347" t="s">
        <v>38</v>
      </c>
      <c r="AZ7" s="347" t="s">
        <v>359</v>
      </c>
      <c r="BA7" s="347" t="s">
        <v>38</v>
      </c>
      <c r="BB7" s="347" t="s">
        <v>359</v>
      </c>
      <c r="BC7" s="429"/>
      <c r="BD7" s="429"/>
      <c r="BE7" s="418">
        <f t="shared" ref="BE7:BE25" ca="1" si="11">DAY($B7)</f>
        <v>9</v>
      </c>
      <c r="BF7" s="347" t="s">
        <v>356</v>
      </c>
      <c r="BG7" s="430">
        <f ca="1">_xll.meDateFromTenor($B7,"-"&amp;BF7,$AW7,$AX7)</f>
        <v>43229</v>
      </c>
      <c r="BH7" s="1006" t="str">
        <f t="shared" ref="BH7:BH25" si="12">K7</f>
        <v>NATURAL</v>
      </c>
      <c r="BI7" s="1006" t="str">
        <f t="shared" si="8"/>
        <v>NATURAL</v>
      </c>
      <c r="BJ7" s="358" t="str">
        <f ca="1">IF($M7="",IF($BG7&lt;COB,'EUR Curve Config'!CurveConfig.FixingRate,""),$M7)</f>
        <v/>
      </c>
      <c r="BK7" s="354"/>
      <c r="BL7" s="347" t="s">
        <v>356</v>
      </c>
      <c r="BM7" s="433" t="s">
        <v>358</v>
      </c>
      <c r="BN7" s="150"/>
    </row>
    <row r="8" spans="1:66">
      <c r="A8" s="203">
        <v>3</v>
      </c>
      <c r="B8" s="456">
        <f ca="1">IF(OR(D8="",D8=0),"",IF(ISNUMBER($C8),$C8,IF(ISERROR(VALUE(LEFT(C8,1))),_xll.meDateFuturesContract($C8),_xll.meDateFromTenor(COB,$C8,$AM8,$AN8))))</f>
        <v>43229</v>
      </c>
      <c r="C8" s="1120" t="s">
        <v>361</v>
      </c>
      <c r="D8" s="362">
        <v>1000000</v>
      </c>
      <c r="E8" s="362" t="s">
        <v>188</v>
      </c>
      <c r="F8" s="365" t="s">
        <v>1753</v>
      </c>
      <c r="G8" s="397" t="str">
        <f t="shared" ref="G8:G21" si="13">X8</f>
        <v>4Y</v>
      </c>
      <c r="H8" s="363">
        <v>0.01</v>
      </c>
      <c r="I8" s="364" t="s">
        <v>355</v>
      </c>
      <c r="J8" s="364">
        <v>0</v>
      </c>
      <c r="K8" s="364" t="s">
        <v>2252</v>
      </c>
      <c r="L8" s="364" t="s">
        <v>2252</v>
      </c>
      <c r="M8" s="363"/>
      <c r="N8" s="420"/>
      <c r="O8" s="420"/>
      <c r="P8" s="378" t="s">
        <v>1043</v>
      </c>
      <c r="Q8" s="360" t="str">
        <f ca="1">IF(OR($D8="",$D8=0),"",_xll.meProductSwapParRate(_xll.meUtilityLVBFromKeysValues($AA$5:$BM$5,$AA8:$BM8),FALSE))</f>
        <v>[2018/05/04 09:52] #Error: Invalid Curve: CurveIndex 'JPY6ML' in collection JPYYC does not exist</v>
      </c>
      <c r="R8" s="461" t="str">
        <f ca="1">IF(OR($D8="",$D8=0),"",_xll.meProductSwapPV(_xll.meUtilityLVBFromKeysValues($AA$5:$BM$5,$AA8:$BM8),FALSE))</f>
        <v>[2018/05/04 09:52] #Error: Invalid Curve: CurveIndex 'JPY6ML' in collection JPYYC does not exist</v>
      </c>
      <c r="S8" s="461">
        <f ca="1">IF(OR($D8="",$D8=0),"",_xll.meProductSwapLegPV(_xll.meUtilityLVBFromMultipleKeysValues($AB$5:$AG$5,$AB8:$AG8,,$AH$5:$AS$5,$AH8:$AS8,,"LegType","Leg1:Fixed",,"PayReceive",$F8),FALSE))</f>
        <v>40033.448116975458</v>
      </c>
      <c r="T8" s="461" t="str">
        <f ca="1">IF(OR($D8="",$D8=0),"",_xll.meProductSwapLegPV(_xll.meUtilityLVBFromMultipleKeysValues($AB$5:$AG$5,$AB8:$AG8,,$AT$5:$BM$5,$AT8:$BM8,,"LegType","Leg2:Float",,"PayReceive",IF($F8="PAYER","RECEIVER","PAYER")),FALSE))</f>
        <v>[2018/05/04 09:52] #Error: Invalid Curve: CurveIndex 'JPY6ML' in collection JPYYC does not exist</v>
      </c>
      <c r="U8" s="461" t="str">
        <f ca="1">IF(OR($D8="",$D8=0),"",_xll.meProductSwapPV01(_xll.meUtilityLVBFromKeysValues($AA$5:$BM$5,$AA8:$BM8),FALSE))</f>
        <v>[2018/05/04 09:52] #Error: Invalid Curve: CurveIndex 'JPY6ML' in collection JPYYC does not exist</v>
      </c>
      <c r="V8" s="462" t="str">
        <f ca="1">IF(OR($D8="",$D8=0),"",_xll.meProductSwapDV01(_xll.meUtilityLVBFromKeysValues($AA$5:$BM$5,$AA8:$BM8),FALSE))</f>
        <v>[2018/05/04 09:52] #Error: Invalid Curve: CurveIndex 'JPY6ML' in collection JPYYC does not exist</v>
      </c>
      <c r="W8" t="s">
        <v>12</v>
      </c>
      <c r="X8" s="476" t="str">
        <f>IF('JPY Curve Config'!BB11,'JPY Curve Config'!AZ11,"")</f>
        <v>4Y</v>
      </c>
      <c r="Y8" s="477">
        <f>IF('JPY Curve Config'!BB11,'JPY Curve Config'!BA11,"")</f>
        <v>8.8749999999999994E-4</v>
      </c>
      <c r="AA8" s="684" t="str">
        <f t="shared" si="0"/>
        <v>RECEIVER</v>
      </c>
      <c r="AB8" s="1016">
        <f t="shared" si="1"/>
        <v>1000000</v>
      </c>
      <c r="AC8" s="399">
        <f t="shared" ca="1" si="2"/>
        <v>43229</v>
      </c>
      <c r="AD8" s="399">
        <f ca="1">IF(OR(D8="",D8=0),"",IF(ISNUMBER($G8),$G8,IF(ISERROR(VALUE(LEFT(G8,1))),_xll.meDateFuturesContract($G8),_xll.meDateFromTenor($B8,$G8,$AM8,$AN8))))</f>
        <v>44690</v>
      </c>
      <c r="AE8" s="352" t="str">
        <f t="shared" si="3"/>
        <v>JPYYC</v>
      </c>
      <c r="AF8" s="352" t="str">
        <f t="shared" si="4"/>
        <v>JPY6ML</v>
      </c>
      <c r="AG8" s="446" t="str">
        <f t="shared" si="5"/>
        <v>JPYDF_NOCSA</v>
      </c>
      <c r="AH8" s="450" t="s">
        <v>76</v>
      </c>
      <c r="AI8" s="432">
        <f t="shared" si="6"/>
        <v>0.01</v>
      </c>
      <c r="AJ8" s="351" t="s">
        <v>186</v>
      </c>
      <c r="AK8" s="351" t="s">
        <v>38</v>
      </c>
      <c r="AL8" s="351" t="s">
        <v>359</v>
      </c>
      <c r="AM8" s="351" t="s">
        <v>38</v>
      </c>
      <c r="AN8" s="351" t="s">
        <v>359</v>
      </c>
      <c r="AO8" s="429"/>
      <c r="AP8" s="429"/>
      <c r="AQ8" s="1004">
        <f t="shared" ca="1" si="9"/>
        <v>9</v>
      </c>
      <c r="AR8" s="347" t="s">
        <v>356</v>
      </c>
      <c r="AS8" s="451" t="s">
        <v>358</v>
      </c>
      <c r="AT8" s="352" t="str">
        <f t="shared" si="10"/>
        <v>Semi-Annual</v>
      </c>
      <c r="AU8" s="356">
        <f t="shared" si="7"/>
        <v>0</v>
      </c>
      <c r="AV8" s="347" t="s">
        <v>3</v>
      </c>
      <c r="AW8" s="347" t="s">
        <v>38</v>
      </c>
      <c r="AX8" s="347" t="s">
        <v>359</v>
      </c>
      <c r="AY8" s="347" t="s">
        <v>38</v>
      </c>
      <c r="AZ8" s="347" t="s">
        <v>359</v>
      </c>
      <c r="BA8" s="347" t="s">
        <v>38</v>
      </c>
      <c r="BB8" s="347" t="s">
        <v>359</v>
      </c>
      <c r="BC8" s="429"/>
      <c r="BD8" s="429"/>
      <c r="BE8" s="418">
        <f t="shared" ca="1" si="11"/>
        <v>9</v>
      </c>
      <c r="BF8" s="347" t="s">
        <v>356</v>
      </c>
      <c r="BG8" s="430">
        <f ca="1">_xll.meDateFromTenor($B8,"-"&amp;BF8,$AW8,$AX8)</f>
        <v>43229</v>
      </c>
      <c r="BH8" s="1006" t="str">
        <f t="shared" si="12"/>
        <v>NATURAL</v>
      </c>
      <c r="BI8" s="1006" t="str">
        <f t="shared" si="8"/>
        <v>NATURAL</v>
      </c>
      <c r="BJ8" s="358" t="str">
        <f ca="1">IF($M8="",IF($BG8&lt;COB,'EUR Curve Config'!CurveConfig.FixingRate,""),$M8)</f>
        <v/>
      </c>
      <c r="BK8" s="354"/>
      <c r="BL8" s="347" t="s">
        <v>356</v>
      </c>
      <c r="BM8" s="433" t="s">
        <v>358</v>
      </c>
      <c r="BN8" s="150"/>
    </row>
    <row r="9" spans="1:66">
      <c r="A9" s="203">
        <v>4</v>
      </c>
      <c r="B9" s="456">
        <f ca="1">IF(OR(D9="",D9=0),"",IF(ISNUMBER($C9),$C9,IF(ISERROR(VALUE(LEFT(C9,1))),_xll.meDateFuturesContract($C9),_xll.meDateFromTenor(COB,$C9,$AM9,$AN9))))</f>
        <v>43229</v>
      </c>
      <c r="C9" s="1120" t="s">
        <v>361</v>
      </c>
      <c r="D9" s="362">
        <v>1000000</v>
      </c>
      <c r="E9" s="362" t="s">
        <v>188</v>
      </c>
      <c r="F9" s="365" t="s">
        <v>1753</v>
      </c>
      <c r="G9" s="397" t="str">
        <f t="shared" si="13"/>
        <v>5Y</v>
      </c>
      <c r="H9" s="363">
        <v>0.01</v>
      </c>
      <c r="I9" s="364" t="s">
        <v>355</v>
      </c>
      <c r="J9" s="364">
        <v>0</v>
      </c>
      <c r="K9" s="364" t="s">
        <v>2252</v>
      </c>
      <c r="L9" s="364" t="s">
        <v>2252</v>
      </c>
      <c r="M9" s="363"/>
      <c r="N9" s="420"/>
      <c r="O9" s="420"/>
      <c r="P9" s="378" t="s">
        <v>1043</v>
      </c>
      <c r="Q9" s="360" t="str">
        <f ca="1">IF(OR($D9="",$D9=0),"",_xll.meProductSwapParRate(_xll.meUtilityLVBFromKeysValues($AA$5:$BM$5,$AA9:$BM9),FALSE))</f>
        <v>[2018/05/04 09:52] #Error: Invalid Curve: CurveIndex 'JPY6ML' in collection JPYYC does not exist</v>
      </c>
      <c r="R9" s="461" t="str">
        <f ca="1">IF(OR($D9="",$D9=0),"",_xll.meProductSwapPV(_xll.meUtilityLVBFromKeysValues($AA$5:$BM$5,$AA9:$BM9),FALSE))</f>
        <v>[2018/05/04 09:52] #Error: Invalid Curve: CurveIndex 'JPY6ML' in collection JPYYC does not exist</v>
      </c>
      <c r="S9" s="461">
        <f ca="1">IF(OR($D9="",$D9=0),"",_xll.meProductSwapLegPV(_xll.meUtilityLVBFromMultipleKeysValues($AB$5:$AG$5,$AB9:$AG9,,$AH$5:$AS$5,$AH9:$AS9,,"LegType","Leg1:Fixed",,"PayReceive",$F9),FALSE))</f>
        <v>50022.502859751563</v>
      </c>
      <c r="T9" s="461" t="str">
        <f ca="1">IF(OR($D9="",$D9=0),"",_xll.meProductSwapLegPV(_xll.meUtilityLVBFromMultipleKeysValues($AB$5:$AG$5,$AB9:$AG9,,$AT$5:$BM$5,$AT9:$BM9,,"LegType","Leg2:Float",,"PayReceive",IF($F9="PAYER","RECEIVER","PAYER")),FALSE))</f>
        <v>[2018/05/04 09:52] #Error: Invalid Curve: CurveIndex 'JPY6ML' in collection JPYYC does not exist</v>
      </c>
      <c r="U9" s="461" t="str">
        <f ca="1">IF(OR($D9="",$D9=0),"",_xll.meProductSwapPV01(_xll.meUtilityLVBFromKeysValues($AA$5:$BM$5,$AA9:$BM9),FALSE))</f>
        <v>[2018/05/04 09:52] #Error: Invalid Curve: CurveIndex 'JPY6ML' in collection JPYYC does not exist</v>
      </c>
      <c r="V9" s="462" t="str">
        <f ca="1">IF(OR($D9="",$D9=0),"",_xll.meProductSwapDV01(_xll.meUtilityLVBFromKeysValues($AA$5:$BM$5,$AA9:$BM9),FALSE))</f>
        <v>[2018/05/04 09:52] #Error: Invalid Curve: CurveIndex 'JPY6ML' in collection JPYYC does not exist</v>
      </c>
      <c r="W9" t="s">
        <v>12</v>
      </c>
      <c r="X9" s="476" t="str">
        <f>IF('JPY Curve Config'!BB12,'JPY Curve Config'!AZ12,"")</f>
        <v>5Y</v>
      </c>
      <c r="Y9" s="477">
        <f>IF('JPY Curve Config'!BB12,'JPY Curve Config'!BA12,"")</f>
        <v>1.1125E-3</v>
      </c>
      <c r="AA9" s="684" t="str">
        <f t="shared" si="0"/>
        <v>RECEIVER</v>
      </c>
      <c r="AB9" s="1016">
        <f t="shared" si="1"/>
        <v>1000000</v>
      </c>
      <c r="AC9" s="399">
        <f t="shared" ca="1" si="2"/>
        <v>43229</v>
      </c>
      <c r="AD9" s="399">
        <f ca="1">IF(OR(D9="",D9=0),"",IF(ISNUMBER($G9),$G9,IF(ISERROR(VALUE(LEFT(G9,1))),_xll.meDateFuturesContract($G9),_xll.meDateFromTenor($B9,$G9,$AM9,$AN9))))</f>
        <v>45055</v>
      </c>
      <c r="AE9" s="352" t="str">
        <f t="shared" si="3"/>
        <v>JPYYC</v>
      </c>
      <c r="AF9" s="352" t="str">
        <f t="shared" si="4"/>
        <v>JPY6ML</v>
      </c>
      <c r="AG9" s="446" t="str">
        <f t="shared" si="5"/>
        <v>JPYDF_NOCSA</v>
      </c>
      <c r="AH9" s="452" t="s">
        <v>76</v>
      </c>
      <c r="AI9" s="434">
        <f t="shared" si="6"/>
        <v>0.01</v>
      </c>
      <c r="AJ9" s="347" t="s">
        <v>186</v>
      </c>
      <c r="AK9" s="347" t="s">
        <v>38</v>
      </c>
      <c r="AL9" s="347" t="s">
        <v>359</v>
      </c>
      <c r="AM9" s="347" t="s">
        <v>38</v>
      </c>
      <c r="AN9" s="347" t="s">
        <v>359</v>
      </c>
      <c r="AO9" s="429"/>
      <c r="AP9" s="429"/>
      <c r="AQ9" s="1004">
        <f t="shared" ca="1" si="9"/>
        <v>9</v>
      </c>
      <c r="AR9" s="347" t="s">
        <v>356</v>
      </c>
      <c r="AS9" s="451" t="s">
        <v>358</v>
      </c>
      <c r="AT9" s="352" t="str">
        <f t="shared" si="10"/>
        <v>Semi-Annual</v>
      </c>
      <c r="AU9" s="356">
        <f t="shared" si="7"/>
        <v>0</v>
      </c>
      <c r="AV9" s="347" t="s">
        <v>3</v>
      </c>
      <c r="AW9" s="347" t="s">
        <v>38</v>
      </c>
      <c r="AX9" s="347" t="s">
        <v>359</v>
      </c>
      <c r="AY9" s="347" t="s">
        <v>38</v>
      </c>
      <c r="AZ9" s="347" t="s">
        <v>359</v>
      </c>
      <c r="BA9" s="347" t="s">
        <v>38</v>
      </c>
      <c r="BB9" s="347" t="s">
        <v>359</v>
      </c>
      <c r="BC9" s="429"/>
      <c r="BD9" s="429"/>
      <c r="BE9" s="418">
        <f t="shared" ca="1" si="11"/>
        <v>9</v>
      </c>
      <c r="BF9" s="347" t="s">
        <v>356</v>
      </c>
      <c r="BG9" s="430">
        <f ca="1">_xll.meDateFromTenor($B9,"-"&amp;BF9,$AW9,$AX9)</f>
        <v>43229</v>
      </c>
      <c r="BH9" s="1006" t="str">
        <f t="shared" si="12"/>
        <v>NATURAL</v>
      </c>
      <c r="BI9" s="1006" t="str">
        <f t="shared" si="8"/>
        <v>NATURAL</v>
      </c>
      <c r="BJ9" s="358" t="str">
        <f ca="1">IF($M9="",IF($BG9&lt;COB,'EUR Curve Config'!CurveConfig.FixingRate,""),$M9)</f>
        <v/>
      </c>
      <c r="BK9" s="354"/>
      <c r="BL9" s="347" t="s">
        <v>356</v>
      </c>
      <c r="BM9" s="433" t="s">
        <v>358</v>
      </c>
      <c r="BN9" s="150"/>
    </row>
    <row r="10" spans="1:66">
      <c r="A10" s="203">
        <v>5</v>
      </c>
      <c r="B10" s="456">
        <f ca="1">IF(OR(D10="",D10=0),"",IF(ISNUMBER($C10),$C10,IF(ISERROR(VALUE(LEFT(C10,1))),_xll.meDateFuturesContract($C10),_xll.meDateFromTenor(COB,$C10,$AM10,$AN10))))</f>
        <v>43229</v>
      </c>
      <c r="C10" s="1120" t="s">
        <v>361</v>
      </c>
      <c r="D10" s="362">
        <v>1000000</v>
      </c>
      <c r="E10" s="362" t="s">
        <v>188</v>
      </c>
      <c r="F10" s="365" t="s">
        <v>1753</v>
      </c>
      <c r="G10" s="397" t="str">
        <f t="shared" si="13"/>
        <v>6Y</v>
      </c>
      <c r="H10" s="363">
        <v>0.01</v>
      </c>
      <c r="I10" s="364" t="s">
        <v>355</v>
      </c>
      <c r="J10" s="364">
        <v>0</v>
      </c>
      <c r="K10" s="364" t="s">
        <v>2252</v>
      </c>
      <c r="L10" s="364" t="s">
        <v>2252</v>
      </c>
      <c r="M10" s="363"/>
      <c r="N10" s="420"/>
      <c r="O10" s="420"/>
      <c r="P10" s="378" t="s">
        <v>1043</v>
      </c>
      <c r="Q10" s="360">
        <f ca="1">IF(OR($D10="",$D10=0),"",_xll.meProductSwapParRate(_xll.meUtilityLVBFromKeysValues($AA$5:$BM$5,$AA10:$BM10),FALSE))</f>
        <v>1.3749999998933012E-3</v>
      </c>
      <c r="R10" s="461">
        <f ca="1">IF(OR($D10="",$D10=0),"",_xll.meProductSwapPV(_xll.meUtilityLVBFromKeysValues($AA$5:$BM$5,$AA10:$BM10),FALSE))</f>
        <v>51771.433536721292</v>
      </c>
      <c r="S10" s="461">
        <f ca="1">IF(OR($D10="",$D10=0),"",_xll.meProductSwapLegPV(_xll.meUtilityLVBFromMultipleKeysValues($AB$5:$AG$5,$AB10:$AG10,,$AH$5:$AS$5,$AH10:$AS10,,"LegType","Leg1:Fixed",,"PayReceive",$F10),FALSE))</f>
        <v>60024.850476615451</v>
      </c>
      <c r="T10" s="461">
        <f ca="1">IF(OR($D10="",$D10=0),"",_xll.meProductSwapLegPV(_xll.meUtilityLVBFromMultipleKeysValues($AB$5:$AG$5,$AB10:$AG10,,$AT$5:$BM$5,$AT10:$BM10,,"LegType","Leg2:Float",,"PayReceive",IF($F10="PAYER","RECEIVER","PAYER")),FALSE))</f>
        <v>-8253.4169398941667</v>
      </c>
      <c r="U10" s="461">
        <f ca="1">IF(OR($D10="",$D10=0),"",_xll.meProductSwapPV01(_xll.meUtilityLVBFromKeysValues($AA$5:$BM$5,$AA10:$BM10),FALSE))</f>
        <v>600.24850476615461</v>
      </c>
      <c r="V10" s="462">
        <f ca="1">IF(OR($D10="",$D10=0),"",_xll.meProductSwapDV01(_xll.meUtilityLVBFromKeysValues($AA$5:$BM$5,$AA10:$BM10),FALSE))</f>
        <v>616.30045227596509</v>
      </c>
      <c r="W10" t="s">
        <v>12</v>
      </c>
      <c r="X10" s="476" t="str">
        <f>IF('JPY Curve Config'!BB13,'JPY Curve Config'!AZ13,"")</f>
        <v>6Y</v>
      </c>
      <c r="Y10" s="477">
        <f>IF('JPY Curve Config'!BB13,'JPY Curve Config'!BA13,"")</f>
        <v>1.3750000000000001E-3</v>
      </c>
      <c r="AA10" s="684" t="str">
        <f t="shared" si="0"/>
        <v>RECEIVER</v>
      </c>
      <c r="AB10" s="1016">
        <f t="shared" si="1"/>
        <v>1000000</v>
      </c>
      <c r="AC10" s="399">
        <f t="shared" ca="1" si="2"/>
        <v>43229</v>
      </c>
      <c r="AD10" s="399">
        <f ca="1">IF(OR(D10="",D10=0),"",IF(ISNUMBER($G10),$G10,IF(ISERROR(VALUE(LEFT(G10,1))),_xll.meDateFuturesContract($G10),_xll.meDateFromTenor($B10,$G10,$AM10,$AN10))))</f>
        <v>45421</v>
      </c>
      <c r="AE10" s="352" t="str">
        <f t="shared" si="3"/>
        <v>JPYYC</v>
      </c>
      <c r="AF10" s="352" t="str">
        <f t="shared" si="4"/>
        <v>JPY6ML</v>
      </c>
      <c r="AG10" s="446" t="str">
        <f t="shared" si="5"/>
        <v>JPYDF_NOCSA</v>
      </c>
      <c r="AH10" s="452" t="s">
        <v>76</v>
      </c>
      <c r="AI10" s="434">
        <f t="shared" si="6"/>
        <v>0.01</v>
      </c>
      <c r="AJ10" s="347" t="s">
        <v>186</v>
      </c>
      <c r="AK10" s="347" t="s">
        <v>38</v>
      </c>
      <c r="AL10" s="347" t="s">
        <v>359</v>
      </c>
      <c r="AM10" s="347" t="s">
        <v>38</v>
      </c>
      <c r="AN10" s="347" t="s">
        <v>359</v>
      </c>
      <c r="AO10" s="429"/>
      <c r="AP10" s="429"/>
      <c r="AQ10" s="1004">
        <f t="shared" ca="1" si="9"/>
        <v>9</v>
      </c>
      <c r="AR10" s="347" t="s">
        <v>356</v>
      </c>
      <c r="AS10" s="451" t="s">
        <v>358</v>
      </c>
      <c r="AT10" s="352" t="str">
        <f t="shared" si="10"/>
        <v>Semi-Annual</v>
      </c>
      <c r="AU10" s="356">
        <f t="shared" si="7"/>
        <v>0</v>
      </c>
      <c r="AV10" s="347" t="s">
        <v>3</v>
      </c>
      <c r="AW10" s="347" t="s">
        <v>38</v>
      </c>
      <c r="AX10" s="347" t="s">
        <v>359</v>
      </c>
      <c r="AY10" s="347" t="s">
        <v>38</v>
      </c>
      <c r="AZ10" s="347" t="s">
        <v>359</v>
      </c>
      <c r="BA10" s="347" t="s">
        <v>38</v>
      </c>
      <c r="BB10" s="347" t="s">
        <v>359</v>
      </c>
      <c r="BC10" s="429"/>
      <c r="BD10" s="429"/>
      <c r="BE10" s="418">
        <f t="shared" ca="1" si="11"/>
        <v>9</v>
      </c>
      <c r="BF10" s="347" t="s">
        <v>356</v>
      </c>
      <c r="BG10" s="430">
        <f ca="1">_xll.meDateFromTenor($B10,"-"&amp;BF10,$AW10,$AX10)</f>
        <v>43229</v>
      </c>
      <c r="BH10" s="1006" t="str">
        <f t="shared" si="12"/>
        <v>NATURAL</v>
      </c>
      <c r="BI10" s="1006" t="str">
        <f t="shared" si="8"/>
        <v>NATURAL</v>
      </c>
      <c r="BJ10" s="358" t="str">
        <f ca="1">IF($M10="",IF($BG10&lt;COB,'EUR Curve Config'!CurveConfig.FixingRate,""),$M10)</f>
        <v/>
      </c>
      <c r="BK10" s="354"/>
      <c r="BL10" s="347" t="s">
        <v>356</v>
      </c>
      <c r="BM10" s="433" t="s">
        <v>358</v>
      </c>
      <c r="BN10" s="150"/>
    </row>
    <row r="11" spans="1:66">
      <c r="A11" s="203">
        <v>6</v>
      </c>
      <c r="B11" s="456">
        <f ca="1">IF(OR(D11="",D11=0),"",IF(ISNUMBER($C11),$C11,IF(ISERROR(VALUE(LEFT(C11,1))),_xll.meDateFuturesContract($C11),_xll.meDateFromTenor(COB,$C11,$AM11,$AN11))))</f>
        <v>43229</v>
      </c>
      <c r="C11" s="1120" t="s">
        <v>361</v>
      </c>
      <c r="D11" s="362">
        <v>1000000</v>
      </c>
      <c r="E11" s="362" t="s">
        <v>188</v>
      </c>
      <c r="F11" s="365" t="s">
        <v>1753</v>
      </c>
      <c r="G11" s="397" t="str">
        <f t="shared" si="13"/>
        <v>7Y</v>
      </c>
      <c r="H11" s="363">
        <v>0.01</v>
      </c>
      <c r="I11" s="364" t="s">
        <v>355</v>
      </c>
      <c r="J11" s="364">
        <v>0</v>
      </c>
      <c r="K11" s="364" t="s">
        <v>2252</v>
      </c>
      <c r="L11" s="364" t="s">
        <v>2252</v>
      </c>
      <c r="M11" s="363"/>
      <c r="N11" s="420"/>
      <c r="O11" s="420"/>
      <c r="P11" s="378" t="s">
        <v>1043</v>
      </c>
      <c r="Q11" s="360">
        <f ca="1">IF(OR($D11="",$D11=0),"",_xll.meProductSwapParRate(_xll.meUtilityLVBFromKeysValues($AA$5:$BM$5,$AA11:$BM11),FALSE))</f>
        <v>1.6750000003139377E-3</v>
      </c>
      <c r="R11" s="461">
        <f ca="1">IF(OR($D11="",$D11=0),"",_xll.meProductSwapPV(_xll.meUtilityLVBFromKeysValues($AA$5:$BM$5,$AA11:$BM11),FALSE))</f>
        <v>58258.179582660319</v>
      </c>
      <c r="S11" s="461">
        <f ca="1">IF(OR($D11="",$D11=0),"",_xll.meProductSwapLegPV(_xll.meUtilityLVBFromMultipleKeysValues($AB$5:$AG$5,$AB11:$AG11,,$AH$5:$AS$5,$AH11:$AS11,,"LegType","Leg1:Fixed",,"PayReceive",$F11),FALSE))</f>
        <v>69979.79529712582</v>
      </c>
      <c r="T11" s="461">
        <f ca="1">IF(OR($D11="",$D11=0),"",_xll.meProductSwapLegPV(_xll.meUtilityLVBFromMultipleKeysValues($AB$5:$AG$5,$AB11:$AG11,,$AT$5:$BM$5,$AT11:$BM11,,"LegType","Leg2:Float",,"PayReceive",IF($F11="PAYER","RECEIVER","PAYER")),FALSE))</f>
        <v>-11721.615714465504</v>
      </c>
      <c r="U11" s="461">
        <f ca="1">IF(OR($D11="",$D11=0),"",_xll.meProductSwapPV01(_xll.meUtilityLVBFromKeysValues($AA$5:$BM$5,$AA11:$BM11),FALSE))</f>
        <v>699.79795297125827</v>
      </c>
      <c r="V11" s="462">
        <f ca="1">IF(OR($D11="",$D11=0),"",_xll.meProductSwapDV01(_xll.meUtilityLVBFromKeysValues($AA$5:$BM$5,$AA11:$BM11),FALSE))</f>
        <v>720.22058867752673</v>
      </c>
      <c r="W11" t="s">
        <v>12</v>
      </c>
      <c r="X11" s="476" t="str">
        <f>IF('JPY Curve Config'!BB14,'JPY Curve Config'!AZ14,"")</f>
        <v>7Y</v>
      </c>
      <c r="Y11" s="477">
        <f>IF('JPY Curve Config'!BB14,'JPY Curve Config'!BA14,"")</f>
        <v>1.6750000000000001E-3</v>
      </c>
      <c r="AA11" s="684" t="str">
        <f t="shared" si="0"/>
        <v>RECEIVER</v>
      </c>
      <c r="AB11" s="1016">
        <f t="shared" si="1"/>
        <v>1000000</v>
      </c>
      <c r="AC11" s="399">
        <f t="shared" ca="1" si="2"/>
        <v>43229</v>
      </c>
      <c r="AD11" s="399">
        <f ca="1">IF(OR(D11="",D11=0),"",IF(ISNUMBER($G11),$G11,IF(ISERROR(VALUE(LEFT(G11,1))),_xll.meDateFuturesContract($G11),_xll.meDateFromTenor($B11,$G11,$AM11,$AN11))))</f>
        <v>45786</v>
      </c>
      <c r="AE11" s="352" t="str">
        <f t="shared" si="3"/>
        <v>JPYYC</v>
      </c>
      <c r="AF11" s="352" t="str">
        <f t="shared" si="4"/>
        <v>JPY6ML</v>
      </c>
      <c r="AG11" s="446" t="str">
        <f t="shared" si="5"/>
        <v>JPYDF_NOCSA</v>
      </c>
      <c r="AH11" s="452" t="s">
        <v>76</v>
      </c>
      <c r="AI11" s="434">
        <f t="shared" si="6"/>
        <v>0.01</v>
      </c>
      <c r="AJ11" s="347" t="s">
        <v>186</v>
      </c>
      <c r="AK11" s="347" t="s">
        <v>38</v>
      </c>
      <c r="AL11" s="347" t="s">
        <v>359</v>
      </c>
      <c r="AM11" s="347" t="s">
        <v>38</v>
      </c>
      <c r="AN11" s="347" t="s">
        <v>359</v>
      </c>
      <c r="AO11" s="429"/>
      <c r="AP11" s="429"/>
      <c r="AQ11" s="1004">
        <f t="shared" ca="1" si="9"/>
        <v>9</v>
      </c>
      <c r="AR11" s="347" t="s">
        <v>356</v>
      </c>
      <c r="AS11" s="451" t="s">
        <v>358</v>
      </c>
      <c r="AT11" s="352" t="str">
        <f t="shared" si="10"/>
        <v>Semi-Annual</v>
      </c>
      <c r="AU11" s="356">
        <f t="shared" si="7"/>
        <v>0</v>
      </c>
      <c r="AV11" s="347" t="s">
        <v>3</v>
      </c>
      <c r="AW11" s="347" t="s">
        <v>38</v>
      </c>
      <c r="AX11" s="347" t="s">
        <v>359</v>
      </c>
      <c r="AY11" s="347" t="s">
        <v>38</v>
      </c>
      <c r="AZ11" s="347" t="s">
        <v>359</v>
      </c>
      <c r="BA11" s="347" t="s">
        <v>38</v>
      </c>
      <c r="BB11" s="347" t="s">
        <v>359</v>
      </c>
      <c r="BC11" s="429"/>
      <c r="BD11" s="429"/>
      <c r="BE11" s="418">
        <f t="shared" ca="1" si="11"/>
        <v>9</v>
      </c>
      <c r="BF11" s="347" t="s">
        <v>356</v>
      </c>
      <c r="BG11" s="430">
        <f ca="1">_xll.meDateFromTenor($B11,"-"&amp;BF11,$AW11,$AX11)</f>
        <v>43229</v>
      </c>
      <c r="BH11" s="1006" t="str">
        <f t="shared" si="12"/>
        <v>NATURAL</v>
      </c>
      <c r="BI11" s="1006" t="str">
        <f t="shared" si="8"/>
        <v>NATURAL</v>
      </c>
      <c r="BJ11" s="358" t="str">
        <f ca="1">IF($M11="",IF($BG11&lt;COB,'EUR Curve Config'!CurveConfig.FixingRate,""),$M11)</f>
        <v/>
      </c>
      <c r="BK11" s="354"/>
      <c r="BL11" s="347" t="s">
        <v>356</v>
      </c>
      <c r="BM11" s="433" t="s">
        <v>358</v>
      </c>
      <c r="BN11" s="150"/>
    </row>
    <row r="12" spans="1:66">
      <c r="A12" s="203">
        <v>7</v>
      </c>
      <c r="B12" s="456">
        <f ca="1">IF(OR(D12="",D12=0),"",IF(ISNUMBER($C12),$C12,IF(ISERROR(VALUE(LEFT(C12,1))),_xll.meDateFuturesContract($C12),_xll.meDateFromTenor(COB,$C12,$AM12,$AN12))))</f>
        <v>43229</v>
      </c>
      <c r="C12" s="1120" t="s">
        <v>361</v>
      </c>
      <c r="D12" s="362">
        <v>1000000</v>
      </c>
      <c r="E12" s="362" t="s">
        <v>188</v>
      </c>
      <c r="F12" s="365" t="s">
        <v>1753</v>
      </c>
      <c r="G12" s="397" t="str">
        <f t="shared" si="13"/>
        <v>8Y</v>
      </c>
      <c r="H12" s="363">
        <v>0.01</v>
      </c>
      <c r="I12" s="364" t="s">
        <v>355</v>
      </c>
      <c r="J12" s="364">
        <v>0</v>
      </c>
      <c r="K12" s="364" t="s">
        <v>2252</v>
      </c>
      <c r="L12" s="364" t="s">
        <v>2252</v>
      </c>
      <c r="M12" s="363"/>
      <c r="N12" s="420"/>
      <c r="O12" s="420"/>
      <c r="P12" s="378" t="s">
        <v>1043</v>
      </c>
      <c r="Q12" s="360">
        <f ca="1">IF(OR($D12="",$D12=0),"",_xll.meProductSwapParRate(_xll.meUtilityLVBFromKeysValues($AA$5:$BM$5,$AA12:$BM12),FALSE))</f>
        <v>1.9875000006234259E-3</v>
      </c>
      <c r="R12" s="461">
        <f ca="1">IF(OR($D12="",$D12=0),"",_xll.meProductSwapPV(_xll.meUtilityLVBFromKeysValues($AA$5:$BM$5,$AA12:$BM12),FALSE))</f>
        <v>64071.167648766772</v>
      </c>
      <c r="S12" s="461">
        <f ca="1">IF(OR($D12="",$D12=0),"",_xll.meProductSwapLegPV(_xll.meUtilityLVBFromMultipleKeysValues($AB$5:$AG$5,$AB12:$AG12,,$AH$5:$AS$5,$AH12:$AS12,,"LegType","Leg1:Fixed",,"PayReceive",$F12),FALSE))</f>
        <v>79964.015792514125</v>
      </c>
      <c r="T12" s="461">
        <f ca="1">IF(OR($D12="",$D12=0),"",_xll.meProductSwapLegPV(_xll.meUtilityLVBFromMultipleKeysValues($AB$5:$AG$5,$AB12:$AG12,,$AT$5:$BM$5,$AT12:$BM12,,"LegType","Leg2:Float",,"PayReceive",IF($F12="PAYER","RECEIVER","PAYER")),FALSE))</f>
        <v>-15892.848143747344</v>
      </c>
      <c r="U12" s="461">
        <f ca="1">IF(OR($D12="",$D12=0),"",_xll.meProductSwapPV01(_xll.meUtilityLVBFromKeysValues($AA$5:$BM$5,$AA12:$BM12),FALSE))</f>
        <v>799.64015792514112</v>
      </c>
      <c r="V12" s="462">
        <f ca="1">IF(OR($D12="",$D12=0),"",_xll.meProductSwapDV01(_xll.meUtilityLVBFromKeysValues($AA$5:$BM$5,$AA12:$BM12),FALSE))</f>
        <v>824.55861357025515</v>
      </c>
      <c r="W12" t="s">
        <v>12</v>
      </c>
      <c r="X12" s="476" t="str">
        <f>IF('JPY Curve Config'!BB15,'JPY Curve Config'!AZ15,"")</f>
        <v>8Y</v>
      </c>
      <c r="Y12" s="477">
        <f>IF('JPY Curve Config'!BB15,'JPY Curve Config'!BA15,"")</f>
        <v>1.9875000000000001E-3</v>
      </c>
      <c r="AA12" s="684" t="str">
        <f t="shared" si="0"/>
        <v>RECEIVER</v>
      </c>
      <c r="AB12" s="1016">
        <f t="shared" si="1"/>
        <v>1000000</v>
      </c>
      <c r="AC12" s="399">
        <f t="shared" ca="1" si="2"/>
        <v>43229</v>
      </c>
      <c r="AD12" s="399">
        <f ca="1">IF(OR(D12="",D12=0),"",IF(ISNUMBER($G12),$G12,IF(ISERROR(VALUE(LEFT(G12,1))),_xll.meDateFuturesContract($G12),_xll.meDateFromTenor($B12,$G12,$AM12,$AN12))))</f>
        <v>46153</v>
      </c>
      <c r="AE12" s="352" t="str">
        <f t="shared" si="3"/>
        <v>JPYYC</v>
      </c>
      <c r="AF12" s="352" t="str">
        <f t="shared" si="4"/>
        <v>JPY6ML</v>
      </c>
      <c r="AG12" s="446" t="str">
        <f t="shared" si="5"/>
        <v>JPYDF_NOCSA</v>
      </c>
      <c r="AH12" s="452" t="s">
        <v>76</v>
      </c>
      <c r="AI12" s="434">
        <f t="shared" si="6"/>
        <v>0.01</v>
      </c>
      <c r="AJ12" s="347" t="s">
        <v>186</v>
      </c>
      <c r="AK12" s="347" t="s">
        <v>38</v>
      </c>
      <c r="AL12" s="347" t="s">
        <v>359</v>
      </c>
      <c r="AM12" s="347" t="s">
        <v>38</v>
      </c>
      <c r="AN12" s="347" t="s">
        <v>359</v>
      </c>
      <c r="AO12" s="429"/>
      <c r="AP12" s="429"/>
      <c r="AQ12" s="1004">
        <f t="shared" ca="1" si="9"/>
        <v>9</v>
      </c>
      <c r="AR12" s="347" t="s">
        <v>356</v>
      </c>
      <c r="AS12" s="451" t="s">
        <v>358</v>
      </c>
      <c r="AT12" s="352" t="str">
        <f t="shared" si="10"/>
        <v>Semi-Annual</v>
      </c>
      <c r="AU12" s="356">
        <f t="shared" si="7"/>
        <v>0</v>
      </c>
      <c r="AV12" s="347" t="s">
        <v>3</v>
      </c>
      <c r="AW12" s="347" t="s">
        <v>38</v>
      </c>
      <c r="AX12" s="347" t="s">
        <v>359</v>
      </c>
      <c r="AY12" s="347" t="s">
        <v>38</v>
      </c>
      <c r="AZ12" s="347" t="s">
        <v>359</v>
      </c>
      <c r="BA12" s="347" t="s">
        <v>38</v>
      </c>
      <c r="BB12" s="347" t="s">
        <v>359</v>
      </c>
      <c r="BC12" s="429"/>
      <c r="BD12" s="429"/>
      <c r="BE12" s="418">
        <f t="shared" ca="1" si="11"/>
        <v>9</v>
      </c>
      <c r="BF12" s="347" t="s">
        <v>356</v>
      </c>
      <c r="BG12" s="430">
        <f ca="1">_xll.meDateFromTenor($B12,"-"&amp;BF12,$AW12,$AX12)</f>
        <v>43229</v>
      </c>
      <c r="BH12" s="1006" t="str">
        <f t="shared" si="12"/>
        <v>NATURAL</v>
      </c>
      <c r="BI12" s="1006" t="str">
        <f t="shared" si="8"/>
        <v>NATURAL</v>
      </c>
      <c r="BJ12" s="358" t="str">
        <f ca="1">IF($M12="",IF($BG12&lt;COB,'EUR Curve Config'!CurveConfig.FixingRate,""),$M12)</f>
        <v/>
      </c>
      <c r="BK12" s="354"/>
      <c r="BL12" s="347" t="s">
        <v>356</v>
      </c>
      <c r="BM12" s="433" t="s">
        <v>358</v>
      </c>
      <c r="BN12" s="150"/>
    </row>
    <row r="13" spans="1:66">
      <c r="A13" s="203">
        <v>8</v>
      </c>
      <c r="B13" s="456">
        <f ca="1">IF(OR(D13="",D13=0),"",IF(ISNUMBER($C13),$C13,IF(ISERROR(VALUE(LEFT(C13,1))),_xll.meDateFuturesContract($C13),_xll.meDateFromTenor(COB,$C13,$AM13,$AN13))))</f>
        <v>43229</v>
      </c>
      <c r="C13" s="1120" t="s">
        <v>361</v>
      </c>
      <c r="D13" s="362">
        <v>1000000</v>
      </c>
      <c r="E13" s="362" t="s">
        <v>188</v>
      </c>
      <c r="F13" s="365" t="s">
        <v>1753</v>
      </c>
      <c r="G13" s="397" t="str">
        <f t="shared" si="13"/>
        <v>9Y</v>
      </c>
      <c r="H13" s="363">
        <v>0.01</v>
      </c>
      <c r="I13" s="364" t="s">
        <v>355</v>
      </c>
      <c r="J13" s="364">
        <v>0</v>
      </c>
      <c r="K13" s="364" t="s">
        <v>2252</v>
      </c>
      <c r="L13" s="364" t="s">
        <v>2252</v>
      </c>
      <c r="M13" s="363"/>
      <c r="N13" s="420"/>
      <c r="O13" s="420"/>
      <c r="P13" s="378" t="s">
        <v>1043</v>
      </c>
      <c r="Q13" s="360">
        <f ca="1">IF(OR($D13="",$D13=0),"",_xll.meProductSwapParRate(_xll.meUtilityLVBFromKeysValues($AA$5:$BM$5,$AA13:$BM13),FALSE))</f>
        <v>2.312500001235587E-3</v>
      </c>
      <c r="R13" s="461">
        <f ca="1">IF(OR($D13="",$D13=0),"",_xll.meProductSwapPV(_xll.meUtilityLVBFromKeysValues($AA$5:$BM$5,$AA13:$BM13),FALSE))</f>
        <v>69061.035191937815</v>
      </c>
      <c r="S13" s="461">
        <f ca="1">IF(OR($D13="",$D13=0),"",_xll.meProductSwapLegPV(_xll.meUtilityLVBFromMultipleKeysValues($AB$5:$AG$5,$AB13:$AG13,,$AH$5:$AS$5,$AH13:$AS13,,"LegType","Leg1:Fixed",,"PayReceive",$F13),FALSE))</f>
        <v>89835.492947041013</v>
      </c>
      <c r="T13" s="461">
        <f ca="1">IF(OR($D13="",$D13=0),"",_xll.meProductSwapLegPV(_xll.meUtilityLVBFromMultipleKeysValues($AB$5:$AG$5,$AB13:$AG13,,$AT$5:$BM$5,$AT13:$BM13,,"LegType","Leg2:Float",,"PayReceive",IF($F13="PAYER","RECEIVER","PAYER")),FALSE))</f>
        <v>-20774.457755103194</v>
      </c>
      <c r="U13" s="461">
        <f ca="1">IF(OR($D13="",$D13=0),"",_xll.meProductSwapPV01(_xll.meUtilityLVBFromKeysValues($AA$5:$BM$5,$AA13:$BM13),FALSE))</f>
        <v>898.35492947041007</v>
      </c>
      <c r="V13" s="462">
        <f ca="1">IF(OR($D13="",$D13=0),"",_xll.meProductSwapDV01(_xll.meUtilityLVBFromKeysValues($AA$5:$BM$5,$AA13:$BM13),FALSE))</f>
        <v>927.62414539336987</v>
      </c>
      <c r="W13" t="s">
        <v>12</v>
      </c>
      <c r="X13" s="476" t="str">
        <f>IF('JPY Curve Config'!BB16,'JPY Curve Config'!AZ16,"")</f>
        <v>9Y</v>
      </c>
      <c r="Y13" s="477">
        <f>IF('JPY Curve Config'!BB16,'JPY Curve Config'!BA16,"")</f>
        <v>2.3125000000000003E-3</v>
      </c>
      <c r="AA13" s="684" t="str">
        <f t="shared" si="0"/>
        <v>RECEIVER</v>
      </c>
      <c r="AB13" s="1016">
        <f t="shared" si="1"/>
        <v>1000000</v>
      </c>
      <c r="AC13" s="399">
        <f t="shared" ca="1" si="2"/>
        <v>43229</v>
      </c>
      <c r="AD13" s="399">
        <f ca="1">IF(OR(D13="",D13=0),"",IF(ISNUMBER($G13),$G13,IF(ISERROR(VALUE(LEFT(G13,1))),_xll.meDateFuturesContract($G13),_xll.meDateFromTenor($B13,$G13,$AM13,$AN13))))</f>
        <v>46517</v>
      </c>
      <c r="AE13" s="352" t="str">
        <f t="shared" si="3"/>
        <v>JPYYC</v>
      </c>
      <c r="AF13" s="352" t="str">
        <f t="shared" si="4"/>
        <v>JPY6ML</v>
      </c>
      <c r="AG13" s="446" t="str">
        <f t="shared" si="5"/>
        <v>JPYDF_NOCSA</v>
      </c>
      <c r="AH13" s="452" t="s">
        <v>76</v>
      </c>
      <c r="AI13" s="434">
        <f t="shared" si="6"/>
        <v>0.01</v>
      </c>
      <c r="AJ13" s="347" t="s">
        <v>186</v>
      </c>
      <c r="AK13" s="347" t="s">
        <v>38</v>
      </c>
      <c r="AL13" s="347" t="s">
        <v>359</v>
      </c>
      <c r="AM13" s="347" t="s">
        <v>38</v>
      </c>
      <c r="AN13" s="347" t="s">
        <v>359</v>
      </c>
      <c r="AO13" s="429"/>
      <c r="AP13" s="429"/>
      <c r="AQ13" s="1004">
        <f t="shared" ca="1" si="9"/>
        <v>9</v>
      </c>
      <c r="AR13" s="347" t="s">
        <v>356</v>
      </c>
      <c r="AS13" s="451" t="s">
        <v>358</v>
      </c>
      <c r="AT13" s="352" t="str">
        <f t="shared" si="10"/>
        <v>Semi-Annual</v>
      </c>
      <c r="AU13" s="356">
        <f t="shared" si="7"/>
        <v>0</v>
      </c>
      <c r="AV13" s="347" t="s">
        <v>3</v>
      </c>
      <c r="AW13" s="347" t="s">
        <v>38</v>
      </c>
      <c r="AX13" s="347" t="s">
        <v>359</v>
      </c>
      <c r="AY13" s="347" t="s">
        <v>38</v>
      </c>
      <c r="AZ13" s="347" t="s">
        <v>359</v>
      </c>
      <c r="BA13" s="347" t="s">
        <v>38</v>
      </c>
      <c r="BB13" s="347" t="s">
        <v>359</v>
      </c>
      <c r="BC13" s="429"/>
      <c r="BD13" s="429"/>
      <c r="BE13" s="418">
        <f t="shared" ca="1" si="11"/>
        <v>9</v>
      </c>
      <c r="BF13" s="347" t="s">
        <v>356</v>
      </c>
      <c r="BG13" s="430">
        <f ca="1">_xll.meDateFromTenor($B13,"-"&amp;BF13,$AW13,$AX13)</f>
        <v>43229</v>
      </c>
      <c r="BH13" s="1006" t="str">
        <f t="shared" si="12"/>
        <v>NATURAL</v>
      </c>
      <c r="BI13" s="1006" t="str">
        <f t="shared" si="8"/>
        <v>NATURAL</v>
      </c>
      <c r="BJ13" s="358" t="str">
        <f ca="1">IF($M13="",IF($BG13&lt;COB,'EUR Curve Config'!CurveConfig.FixingRate,""),$M13)</f>
        <v/>
      </c>
      <c r="BK13" s="354"/>
      <c r="BL13" s="347" t="s">
        <v>356</v>
      </c>
      <c r="BM13" s="433" t="s">
        <v>358</v>
      </c>
      <c r="BN13" s="150"/>
    </row>
    <row r="14" spans="1:66">
      <c r="A14" s="203">
        <v>9</v>
      </c>
      <c r="B14" s="456">
        <f ca="1">IF(OR(D14="",D14=0),"",IF(ISNUMBER($C14),$C14,IF(ISERROR(VALUE(LEFT(C14,1))),_xll.meDateFuturesContract($C14),_xll.meDateFromTenor(COB,$C14,$AM14,$AN14))))</f>
        <v>43229</v>
      </c>
      <c r="C14" s="1120" t="s">
        <v>361</v>
      </c>
      <c r="D14" s="362">
        <v>1000000</v>
      </c>
      <c r="E14" s="362" t="s">
        <v>188</v>
      </c>
      <c r="F14" s="365" t="s">
        <v>1753</v>
      </c>
      <c r="G14" s="397" t="str">
        <f t="shared" si="13"/>
        <v>10Y</v>
      </c>
      <c r="H14" s="363">
        <v>0.01</v>
      </c>
      <c r="I14" s="364" t="s">
        <v>355</v>
      </c>
      <c r="J14" s="364">
        <v>0</v>
      </c>
      <c r="K14" s="364" t="s">
        <v>2252</v>
      </c>
      <c r="L14" s="364" t="s">
        <v>2252</v>
      </c>
      <c r="M14" s="363"/>
      <c r="N14" s="420"/>
      <c r="O14" s="420"/>
      <c r="P14" s="378" t="s">
        <v>1043</v>
      </c>
      <c r="Q14" s="360">
        <f ca="1">IF(OR($D14="",$D14=0),"",_xll.meProductSwapParRate(_xll.meUtilityLVBFromKeysValues($AA$5:$BM$5,$AA14:$BM14),FALSE))</f>
        <v>2.6750000015683603E-3</v>
      </c>
      <c r="R14" s="461">
        <f ca="1">IF(OR($D14="",$D14=0),"",_xll.meProductSwapPV(_xll.meUtilityLVBFromKeysValues($AA$5:$BM$5,$AA14:$BM14),FALSE))</f>
        <v>73026.797149320279</v>
      </c>
      <c r="S14" s="461">
        <f ca="1">IF(OR($D14="",$D14=0),"",_xll.meProductSwapLegPV(_xll.meUtilityLVBFromMultipleKeysValues($AB$5:$AG$5,$AB14:$AG14,,$AH$5:$AS$5,$AH14:$AS14,,"LegType","Leg1:Fixed",,"PayReceive",$F14),FALSE))</f>
        <v>99695.286232021957</v>
      </c>
      <c r="T14" s="461">
        <f ca="1">IF(OR($D14="",$D14=0),"",_xll.meProductSwapLegPV(_xll.meUtilityLVBFromMultipleKeysValues($AB$5:$AG$5,$AB14:$AG14,,$AT$5:$BM$5,$AT14:$BM14,,"LegType","Leg2:Float",,"PayReceive",IF($F14="PAYER","RECEIVER","PAYER")),FALSE))</f>
        <v>-26668.48908270169</v>
      </c>
      <c r="U14" s="461">
        <f ca="1">IF(OR($D14="",$D14=0),"",_xll.meProductSwapPV01(_xll.meUtilityLVBFromKeysValues($AA$5:$BM$5,$AA14:$BM14),FALSE))</f>
        <v>996.95286232021977</v>
      </c>
      <c r="V14" s="462">
        <f ca="1">IF(OR($D14="",$D14=0),"",_xll.meProductSwapDV01(_xll.meUtilityLVBFromKeysValues($AA$5:$BM$5,$AA14:$BM14),FALSE))</f>
        <v>1030.0677683734102</v>
      </c>
      <c r="W14" t="s">
        <v>12</v>
      </c>
      <c r="X14" s="476" t="str">
        <f>IF('JPY Curve Config'!BB17,'JPY Curve Config'!AZ17,"")</f>
        <v>10Y</v>
      </c>
      <c r="Y14" s="477">
        <f>IF('JPY Curve Config'!BB17,'JPY Curve Config'!BA17,"")</f>
        <v>2.6750000000000003E-3</v>
      </c>
      <c r="AA14" s="684" t="str">
        <f t="shared" si="0"/>
        <v>RECEIVER</v>
      </c>
      <c r="AB14" s="1016">
        <f t="shared" si="1"/>
        <v>1000000</v>
      </c>
      <c r="AC14" s="399">
        <f t="shared" ca="1" si="2"/>
        <v>43229</v>
      </c>
      <c r="AD14" s="399">
        <f ca="1">IF(OR(D14="",D14=0),"",IF(ISNUMBER($G14),$G14,IF(ISERROR(VALUE(LEFT(G14,1))),_xll.meDateFuturesContract($G14),_xll.meDateFromTenor($B14,$G14,$AM14,$AN14))))</f>
        <v>46882</v>
      </c>
      <c r="AE14" s="352" t="str">
        <f t="shared" si="3"/>
        <v>JPYYC</v>
      </c>
      <c r="AF14" s="352" t="str">
        <f t="shared" si="4"/>
        <v>JPY6ML</v>
      </c>
      <c r="AG14" s="446" t="str">
        <f t="shared" si="5"/>
        <v>JPYDF_NOCSA</v>
      </c>
      <c r="AH14" s="452" t="s">
        <v>76</v>
      </c>
      <c r="AI14" s="434">
        <f t="shared" si="6"/>
        <v>0.01</v>
      </c>
      <c r="AJ14" s="347" t="s">
        <v>186</v>
      </c>
      <c r="AK14" s="347" t="s">
        <v>38</v>
      </c>
      <c r="AL14" s="347" t="s">
        <v>359</v>
      </c>
      <c r="AM14" s="347" t="s">
        <v>38</v>
      </c>
      <c r="AN14" s="347" t="s">
        <v>359</v>
      </c>
      <c r="AO14" s="429"/>
      <c r="AP14" s="429"/>
      <c r="AQ14" s="1004">
        <f t="shared" ca="1" si="9"/>
        <v>9</v>
      </c>
      <c r="AR14" s="347" t="s">
        <v>356</v>
      </c>
      <c r="AS14" s="451" t="s">
        <v>358</v>
      </c>
      <c r="AT14" s="352" t="str">
        <f t="shared" si="10"/>
        <v>Semi-Annual</v>
      </c>
      <c r="AU14" s="356">
        <f t="shared" si="7"/>
        <v>0</v>
      </c>
      <c r="AV14" s="347" t="s">
        <v>3</v>
      </c>
      <c r="AW14" s="347" t="s">
        <v>38</v>
      </c>
      <c r="AX14" s="347" t="s">
        <v>359</v>
      </c>
      <c r="AY14" s="347" t="s">
        <v>38</v>
      </c>
      <c r="AZ14" s="347" t="s">
        <v>359</v>
      </c>
      <c r="BA14" s="347" t="s">
        <v>38</v>
      </c>
      <c r="BB14" s="347" t="s">
        <v>359</v>
      </c>
      <c r="BC14" s="429"/>
      <c r="BD14" s="429"/>
      <c r="BE14" s="418">
        <f t="shared" ca="1" si="11"/>
        <v>9</v>
      </c>
      <c r="BF14" s="347" t="s">
        <v>356</v>
      </c>
      <c r="BG14" s="430">
        <f ca="1">_xll.meDateFromTenor($B14,"-"&amp;BF14,$AW14,$AX14)</f>
        <v>43229</v>
      </c>
      <c r="BH14" s="1006" t="str">
        <f t="shared" si="12"/>
        <v>NATURAL</v>
      </c>
      <c r="BI14" s="1006" t="str">
        <f t="shared" si="8"/>
        <v>NATURAL</v>
      </c>
      <c r="BJ14" s="358" t="str">
        <f ca="1">IF($M14="",IF($BG14&lt;COB,'EUR Curve Config'!CurveConfig.FixingRate,""),$M14)</f>
        <v/>
      </c>
      <c r="BK14" s="354"/>
      <c r="BL14" s="347" t="s">
        <v>356</v>
      </c>
      <c r="BM14" s="433" t="s">
        <v>358</v>
      </c>
      <c r="BN14" s="150"/>
    </row>
    <row r="15" spans="1:66">
      <c r="A15" s="203">
        <v>10</v>
      </c>
      <c r="B15" s="456">
        <f ca="1">IF(OR(D15="",D15=0),"",IF(ISNUMBER($C15),$C15,IF(ISERROR(VALUE(LEFT(C15,1))),_xll.meDateFuturesContract($C15),_xll.meDateFromTenor(COB,$C15,$AM15,$AN15))))</f>
        <v>43229</v>
      </c>
      <c r="C15" s="1120" t="s">
        <v>361</v>
      </c>
      <c r="D15" s="362">
        <v>1000000</v>
      </c>
      <c r="E15" s="362" t="s">
        <v>188</v>
      </c>
      <c r="F15" s="365" t="s">
        <v>1753</v>
      </c>
      <c r="G15" s="397" t="str">
        <f t="shared" si="13"/>
        <v>12Y</v>
      </c>
      <c r="H15" s="363">
        <v>0.01</v>
      </c>
      <c r="I15" s="364" t="s">
        <v>355</v>
      </c>
      <c r="J15" s="364">
        <v>0</v>
      </c>
      <c r="K15" s="364" t="s">
        <v>2252</v>
      </c>
      <c r="L15" s="364" t="s">
        <v>2252</v>
      </c>
      <c r="M15" s="363"/>
      <c r="N15" s="420"/>
      <c r="O15" s="420"/>
      <c r="P15" s="378" t="s">
        <v>1043</v>
      </c>
      <c r="Q15" s="360" t="str">
        <f ca="1">IF(OR($D15="",$D15=0),"",_xll.meProductSwapParRate(_xll.meUtilityLVBFromKeysValues($AA$5:$BM$5,$AA15:$BM15),FALSE))</f>
        <v>[2018/05/04 09:52] #Error: Invalid Curve: CurveIndex 'JPY6ML' in collection JPYYC does not exist</v>
      </c>
      <c r="R15" s="461" t="str">
        <f ca="1">IF(OR($D15="",$D15=0),"",_xll.meProductSwapPV(_xll.meUtilityLVBFromKeysValues($AA$5:$BM$5,$AA15:$BM15),FALSE))</f>
        <v>[2018/05/04 09:52] #Error: Invalid Curve: CurveIndex 'JPY6ML' in collection JPYYC does not exist</v>
      </c>
      <c r="S15" s="461">
        <f ca="1">IF(OR($D15="",$D15=0),"",_xll.meProductSwapLegPV(_xll.meUtilityLVBFromMultipleKeysValues($AB$5:$AG$5,$AB15:$AG15,,$AH$5:$AS$5,$AH15:$AS15,,"LegType","Leg1:Fixed",,"PayReceive",$F15),FALSE))</f>
        <v>119262.16375733534</v>
      </c>
      <c r="T15" s="461" t="str">
        <f ca="1">IF(OR($D15="",$D15=0),"",_xll.meProductSwapLegPV(_xll.meUtilityLVBFromMultipleKeysValues($AB$5:$AG$5,$AB15:$AG15,,$AT$5:$BM$5,$AT15:$BM15,,"LegType","Leg2:Float",,"PayReceive",IF($F15="PAYER","RECEIVER","PAYER")),FALSE))</f>
        <v>[2018/05/04 09:52] #Error: Invalid Curve: CurveIndex 'JPY6ML' in collection JPYYC does not exist</v>
      </c>
      <c r="U15" s="461" t="str">
        <f ca="1">IF(OR($D15="",$D15=0),"",_xll.meProductSwapPV01(_xll.meUtilityLVBFromKeysValues($AA$5:$BM$5,$AA15:$BM15),FALSE))</f>
        <v>[2018/05/04 09:52] #Error: Invalid Curve: CurveIndex 'JPY6ML' in collection JPYYC does not exist</v>
      </c>
      <c r="V15" s="462" t="str">
        <f ca="1">IF(OR($D15="",$D15=0),"",_xll.meProductSwapDV01(_xll.meUtilityLVBFromKeysValues($AA$5:$BM$5,$AA15:$BM15),FALSE))</f>
        <v>[2018/05/04 09:52] #Error: Invalid Curve: CurveIndex 'JPY6ML' in collection JPYYC does not exist</v>
      </c>
      <c r="W15" t="s">
        <v>12</v>
      </c>
      <c r="X15" s="476" t="str">
        <f>IF('JPY Curve Config'!BB18,'JPY Curve Config'!AZ18,"")</f>
        <v>12Y</v>
      </c>
      <c r="Y15" s="477">
        <f>IF('JPY Curve Config'!BB18,'JPY Curve Config'!BA18,"")</f>
        <v>3.4499999999999999E-3</v>
      </c>
      <c r="AA15" s="684" t="str">
        <f t="shared" si="0"/>
        <v>RECEIVER</v>
      </c>
      <c r="AB15" s="1016">
        <f t="shared" si="1"/>
        <v>1000000</v>
      </c>
      <c r="AC15" s="399">
        <f t="shared" ca="1" si="2"/>
        <v>43229</v>
      </c>
      <c r="AD15" s="399">
        <f ca="1">IF(OR(D15="",D15=0),"",IF(ISNUMBER($G15),$G15,IF(ISERROR(VALUE(LEFT(G15,1))),_xll.meDateFuturesContract($G15),_xll.meDateFromTenor($B15,$G15,$AM15,$AN15))))</f>
        <v>47612</v>
      </c>
      <c r="AE15" s="352" t="str">
        <f t="shared" si="3"/>
        <v>JPYYC</v>
      </c>
      <c r="AF15" s="352" t="str">
        <f t="shared" si="4"/>
        <v>JPY6ML</v>
      </c>
      <c r="AG15" s="446" t="str">
        <f t="shared" si="5"/>
        <v>JPYDF_NOCSA</v>
      </c>
      <c r="AH15" s="452" t="s">
        <v>76</v>
      </c>
      <c r="AI15" s="434">
        <f t="shared" si="6"/>
        <v>0.01</v>
      </c>
      <c r="AJ15" s="347" t="s">
        <v>186</v>
      </c>
      <c r="AK15" s="347" t="s">
        <v>38</v>
      </c>
      <c r="AL15" s="347" t="s">
        <v>359</v>
      </c>
      <c r="AM15" s="347" t="s">
        <v>38</v>
      </c>
      <c r="AN15" s="347" t="s">
        <v>359</v>
      </c>
      <c r="AO15" s="429"/>
      <c r="AP15" s="429"/>
      <c r="AQ15" s="1004">
        <f t="shared" ca="1" si="9"/>
        <v>9</v>
      </c>
      <c r="AR15" s="347" t="s">
        <v>356</v>
      </c>
      <c r="AS15" s="451" t="s">
        <v>358</v>
      </c>
      <c r="AT15" s="352" t="str">
        <f t="shared" si="10"/>
        <v>Semi-Annual</v>
      </c>
      <c r="AU15" s="356">
        <f t="shared" si="7"/>
        <v>0</v>
      </c>
      <c r="AV15" s="347" t="s">
        <v>3</v>
      </c>
      <c r="AW15" s="347" t="s">
        <v>38</v>
      </c>
      <c r="AX15" s="347" t="s">
        <v>359</v>
      </c>
      <c r="AY15" s="347" t="s">
        <v>38</v>
      </c>
      <c r="AZ15" s="347" t="s">
        <v>359</v>
      </c>
      <c r="BA15" s="347" t="s">
        <v>38</v>
      </c>
      <c r="BB15" s="347" t="s">
        <v>359</v>
      </c>
      <c r="BC15" s="429"/>
      <c r="BD15" s="429"/>
      <c r="BE15" s="418">
        <f t="shared" ca="1" si="11"/>
        <v>9</v>
      </c>
      <c r="BF15" s="347" t="s">
        <v>356</v>
      </c>
      <c r="BG15" s="430">
        <f ca="1">_xll.meDateFromTenor($B15,"-"&amp;BF15,$AW15,$AX15)</f>
        <v>43229</v>
      </c>
      <c r="BH15" s="1006" t="str">
        <f t="shared" si="12"/>
        <v>NATURAL</v>
      </c>
      <c r="BI15" s="1006" t="str">
        <f t="shared" si="8"/>
        <v>NATURAL</v>
      </c>
      <c r="BJ15" s="358" t="str">
        <f ca="1">IF($M15="",IF($BG15&lt;COB,'EUR Curve Config'!CurveConfig.FixingRate,""),$M15)</f>
        <v/>
      </c>
      <c r="BK15" s="354"/>
      <c r="BL15" s="347" t="s">
        <v>356</v>
      </c>
      <c r="BM15" s="433" t="s">
        <v>358</v>
      </c>
      <c r="BN15" s="150"/>
    </row>
    <row r="16" spans="1:66">
      <c r="A16" s="203">
        <v>11</v>
      </c>
      <c r="B16" s="456">
        <f ca="1">IF(OR(D16="",D16=0),"",IF(ISNUMBER($C16),$C16,IF(ISERROR(VALUE(LEFT(C16,1))),_xll.meDateFuturesContract($C16),_xll.meDateFromTenor(COB,$C16,$AM16,$AN16))))</f>
        <v>43229</v>
      </c>
      <c r="C16" s="1120" t="s">
        <v>361</v>
      </c>
      <c r="D16" s="362">
        <v>1000000</v>
      </c>
      <c r="E16" s="362" t="s">
        <v>188</v>
      </c>
      <c r="F16" s="365" t="s">
        <v>1753</v>
      </c>
      <c r="G16" s="397" t="str">
        <f t="shared" si="13"/>
        <v>15Y</v>
      </c>
      <c r="H16" s="363">
        <v>0.01</v>
      </c>
      <c r="I16" s="364" t="s">
        <v>355</v>
      </c>
      <c r="J16" s="364">
        <v>0</v>
      </c>
      <c r="K16" s="364" t="s">
        <v>2252</v>
      </c>
      <c r="L16" s="364" t="s">
        <v>2252</v>
      </c>
      <c r="M16" s="363"/>
      <c r="N16" s="420"/>
      <c r="O16" s="420"/>
      <c r="P16" s="378" t="s">
        <v>1043</v>
      </c>
      <c r="Q16" s="360" t="str">
        <f ca="1">IF(OR($D16="",$D16=0),"",_xll.meProductSwapParRate(_xll.meUtilityLVBFromKeysValues($AA$5:$BM$5,$AA16:$BM16),FALSE))</f>
        <v>[2018/05/04 09:52] #Error: Invalid Curve: CurveIndex 'JPY6ML' in collection JPYYC does not exist</v>
      </c>
      <c r="R16" s="461" t="str">
        <f ca="1">IF(OR($D16="",$D16=0),"",_xll.meProductSwapPV(_xll.meUtilityLVBFromKeysValues($AA$5:$BM$5,$AA16:$BM16),FALSE))</f>
        <v>[2018/05/04 09:52] #Error: Invalid Curve: CurveIndex 'JPY6ML' in collection JPYYC does not exist</v>
      </c>
      <c r="S16" s="461">
        <f ca="1">IF(OR($D16="",$D16=0),"",_xll.meProductSwapLegPV(_xll.meUtilityLVBFromMultipleKeysValues($AB$5:$AG$5,$AB16:$AG16,,$AH$5:$AS$5,$AH16:$AS16,,"LegType","Leg1:Fixed",,"PayReceive",$F16),FALSE))</f>
        <v>148132.35396846948</v>
      </c>
      <c r="T16" s="461" t="str">
        <f ca="1">IF(OR($D16="",$D16=0),"",_xll.meProductSwapLegPV(_xll.meUtilityLVBFromMultipleKeysValues($AB$5:$AG$5,$AB16:$AG16,,$AT$5:$BM$5,$AT16:$BM16,,"LegType","Leg2:Float",,"PayReceive",IF($F16="PAYER","RECEIVER","PAYER")),FALSE))</f>
        <v>[2018/05/04 09:52] #Error: Invalid Curve: CurveIndex 'JPY6ML' in collection JPYYC does not exist</v>
      </c>
      <c r="U16" s="461" t="str">
        <f ca="1">IF(OR($D16="",$D16=0),"",_xll.meProductSwapPV01(_xll.meUtilityLVBFromKeysValues($AA$5:$BM$5,$AA16:$BM16),FALSE))</f>
        <v>[2018/05/04 09:52] #Error: Invalid Curve: CurveIndex 'JPY6ML' in collection JPYYC does not exist</v>
      </c>
      <c r="V16" s="462" t="str">
        <f ca="1">IF(OR($D16="",$D16=0),"",_xll.meProductSwapDV01(_xll.meUtilityLVBFromKeysValues($AA$5:$BM$5,$AA16:$BM16),FALSE))</f>
        <v>[2018/05/04 09:52] #Error: Invalid Curve: CurveIndex 'JPY6ML' in collection JPYYC does not exist</v>
      </c>
      <c r="W16" t="s">
        <v>12</v>
      </c>
      <c r="X16" s="476" t="str">
        <f>IF('JPY Curve Config'!BB19,'JPY Curve Config'!AZ19,"")</f>
        <v>15Y</v>
      </c>
      <c r="Y16" s="477">
        <f>IF('JPY Curve Config'!BB19,'JPY Curve Config'!BA19,"")</f>
        <v>4.6250000000000006E-3</v>
      </c>
      <c r="AA16" s="684" t="str">
        <f t="shared" si="0"/>
        <v>RECEIVER</v>
      </c>
      <c r="AB16" s="1016">
        <f t="shared" si="1"/>
        <v>1000000</v>
      </c>
      <c r="AC16" s="399">
        <f t="shared" ca="1" si="2"/>
        <v>43229</v>
      </c>
      <c r="AD16" s="399">
        <f ca="1">IF(OR(D16="",D16=0),"",IF(ISNUMBER($G16),$G16,IF(ISERROR(VALUE(LEFT(G16,1))),_xll.meDateFuturesContract($G16),_xll.meDateFromTenor($B16,$G16,$AM16,$AN16))))</f>
        <v>48708</v>
      </c>
      <c r="AE16" s="352" t="str">
        <f t="shared" si="3"/>
        <v>JPYYC</v>
      </c>
      <c r="AF16" s="352" t="str">
        <f t="shared" si="4"/>
        <v>JPY6ML</v>
      </c>
      <c r="AG16" s="446" t="str">
        <f t="shared" si="5"/>
        <v>JPYDF_NOCSA</v>
      </c>
      <c r="AH16" s="452" t="s">
        <v>76</v>
      </c>
      <c r="AI16" s="434">
        <f t="shared" si="6"/>
        <v>0.01</v>
      </c>
      <c r="AJ16" s="347" t="s">
        <v>186</v>
      </c>
      <c r="AK16" s="347" t="s">
        <v>38</v>
      </c>
      <c r="AL16" s="347" t="s">
        <v>359</v>
      </c>
      <c r="AM16" s="347" t="s">
        <v>38</v>
      </c>
      <c r="AN16" s="347" t="s">
        <v>359</v>
      </c>
      <c r="AO16" s="429"/>
      <c r="AP16" s="429"/>
      <c r="AQ16" s="1004">
        <f t="shared" ca="1" si="9"/>
        <v>9</v>
      </c>
      <c r="AR16" s="347" t="s">
        <v>356</v>
      </c>
      <c r="AS16" s="451" t="s">
        <v>358</v>
      </c>
      <c r="AT16" s="352" t="str">
        <f t="shared" si="10"/>
        <v>Semi-Annual</v>
      </c>
      <c r="AU16" s="356">
        <f t="shared" si="7"/>
        <v>0</v>
      </c>
      <c r="AV16" s="347" t="s">
        <v>3</v>
      </c>
      <c r="AW16" s="347" t="s">
        <v>38</v>
      </c>
      <c r="AX16" s="347" t="s">
        <v>359</v>
      </c>
      <c r="AY16" s="347" t="s">
        <v>38</v>
      </c>
      <c r="AZ16" s="347" t="s">
        <v>359</v>
      </c>
      <c r="BA16" s="347" t="s">
        <v>38</v>
      </c>
      <c r="BB16" s="347" t="s">
        <v>359</v>
      </c>
      <c r="BC16" s="429"/>
      <c r="BD16" s="429"/>
      <c r="BE16" s="418">
        <f t="shared" ca="1" si="11"/>
        <v>9</v>
      </c>
      <c r="BF16" s="347" t="s">
        <v>356</v>
      </c>
      <c r="BG16" s="430">
        <f ca="1">_xll.meDateFromTenor($B16,"-"&amp;BF16,$AW16,$AX16)</f>
        <v>43229</v>
      </c>
      <c r="BH16" s="1006" t="str">
        <f t="shared" si="12"/>
        <v>NATURAL</v>
      </c>
      <c r="BI16" s="1006" t="str">
        <f t="shared" si="8"/>
        <v>NATURAL</v>
      </c>
      <c r="BJ16" s="358" t="str">
        <f ca="1">IF($M16="",IF($BG16&lt;COB,'EUR Curve Config'!CurveConfig.FixingRate,""),$M16)</f>
        <v/>
      </c>
      <c r="BK16" s="354"/>
      <c r="BL16" s="347" t="s">
        <v>356</v>
      </c>
      <c r="BM16" s="433" t="s">
        <v>358</v>
      </c>
      <c r="BN16" s="150"/>
    </row>
    <row r="17" spans="1:66">
      <c r="A17" s="203">
        <v>12</v>
      </c>
      <c r="B17" s="456">
        <f ca="1">IF(OR(D17="",D17=0),"",IF(ISNUMBER($C17),$C17,IF(ISERROR(VALUE(LEFT(C17,1))),_xll.meDateFuturesContract($C17),_xll.meDateFromTenor(COB,$C17,$AM17,$AN17))))</f>
        <v>43229</v>
      </c>
      <c r="C17" s="1120" t="s">
        <v>361</v>
      </c>
      <c r="D17" s="362">
        <v>1000000</v>
      </c>
      <c r="E17" s="362" t="s">
        <v>188</v>
      </c>
      <c r="F17" s="365" t="s">
        <v>1753</v>
      </c>
      <c r="G17" s="397" t="str">
        <f t="shared" si="13"/>
        <v>20Y</v>
      </c>
      <c r="H17" s="363">
        <v>0.01</v>
      </c>
      <c r="I17" s="364" t="s">
        <v>355</v>
      </c>
      <c r="J17" s="364">
        <v>0</v>
      </c>
      <c r="K17" s="364" t="s">
        <v>2252</v>
      </c>
      <c r="L17" s="364" t="s">
        <v>2252</v>
      </c>
      <c r="M17" s="363"/>
      <c r="N17" s="420"/>
      <c r="O17" s="420"/>
      <c r="P17" s="378" t="s">
        <v>1043</v>
      </c>
      <c r="Q17" s="360">
        <f ca="1">IF(OR($D17="",$D17=0),"",_xll.meProductSwapParRate(_xll.meUtilityLVBFromKeysValues($AA$5:$BM$5,$AA17:$BM17),FALSE))</f>
        <v>6.3000000018621919E-3</v>
      </c>
      <c r="R17" s="461">
        <f ca="1">IF(OR($D17="",$D17=0),"",_xll.meProductSwapPV(_xll.meUtilityLVBFromKeysValues($AA$5:$BM$5,$AA17:$BM17),FALSE))</f>
        <v>71972.16312338064</v>
      </c>
      <c r="S17" s="461">
        <f ca="1">IF(OR($D17="",$D17=0),"",_xll.meProductSwapLegPV(_xll.meUtilityLVBFromMultipleKeysValues($AB$5:$AG$5,$AB17:$AG17,,$AH$5:$AS$5,$AH17:$AS17,,"LegType","Leg1:Fixed",,"PayReceive",$F17),FALSE))</f>
        <v>194519.35989082127</v>
      </c>
      <c r="T17" s="461">
        <f ca="1">IF(OR($D17="",$D17=0),"",_xll.meProductSwapLegPV(_xll.meUtilityLVBFromMultipleKeysValues($AB$5:$AG$5,$AB17:$AG17,,$AT$5:$BM$5,$AT17:$BM17,,"LegType","Leg2:Float",,"PayReceive",IF($F17="PAYER","RECEIVER","PAYER")),FALSE))</f>
        <v>-122547.19676744066</v>
      </c>
      <c r="U17" s="461">
        <f ca="1">IF(OR($D17="",$D17=0),"",_xll.meProductSwapPV01(_xll.meUtilityLVBFromKeysValues($AA$5:$BM$5,$AA17:$BM17),FALSE))</f>
        <v>1945.1935989082126</v>
      </c>
      <c r="V17" s="462">
        <f ca="1">IF(OR($D17="",$D17=0),"",_xll.meProductSwapDV01(_xll.meUtilityLVBFromKeysValues($AA$5:$BM$5,$AA17:$BM17),FALSE))</f>
        <v>1971.9454903163546</v>
      </c>
      <c r="W17" t="s">
        <v>12</v>
      </c>
      <c r="X17" s="476" t="str">
        <f>IF('JPY Curve Config'!BB20,'JPY Curve Config'!AZ20,"")</f>
        <v>20Y</v>
      </c>
      <c r="Y17" s="477">
        <f>IF('JPY Curve Config'!BB20,'JPY Curve Config'!BA20,"")</f>
        <v>6.3E-3</v>
      </c>
      <c r="AA17" s="684" t="str">
        <f t="shared" si="0"/>
        <v>RECEIVER</v>
      </c>
      <c r="AB17" s="1016">
        <f t="shared" si="1"/>
        <v>1000000</v>
      </c>
      <c r="AC17" s="399">
        <f t="shared" ca="1" si="2"/>
        <v>43229</v>
      </c>
      <c r="AD17" s="399">
        <f ca="1">IF(OR(D17="",D17=0),"",IF(ISNUMBER($G17),$G17,IF(ISERROR(VALUE(LEFT(G17,1))),_xll.meDateFuturesContract($G17),_xll.meDateFromTenor($B17,$G17,$AM17,$AN17))))</f>
        <v>50535</v>
      </c>
      <c r="AE17" s="352" t="str">
        <f t="shared" si="3"/>
        <v>JPYYC</v>
      </c>
      <c r="AF17" s="352" t="str">
        <f t="shared" si="4"/>
        <v>JPY6ML</v>
      </c>
      <c r="AG17" s="446" t="str">
        <f t="shared" si="5"/>
        <v>JPYDF_NOCSA</v>
      </c>
      <c r="AH17" s="452" t="s">
        <v>76</v>
      </c>
      <c r="AI17" s="434">
        <f t="shared" si="6"/>
        <v>0.01</v>
      </c>
      <c r="AJ17" s="347" t="s">
        <v>186</v>
      </c>
      <c r="AK17" s="347" t="s">
        <v>38</v>
      </c>
      <c r="AL17" s="347" t="s">
        <v>359</v>
      </c>
      <c r="AM17" s="347" t="s">
        <v>38</v>
      </c>
      <c r="AN17" s="347" t="s">
        <v>359</v>
      </c>
      <c r="AO17" s="429"/>
      <c r="AP17" s="429"/>
      <c r="AQ17" s="1004">
        <f t="shared" ca="1" si="9"/>
        <v>9</v>
      </c>
      <c r="AR17" s="347" t="s">
        <v>356</v>
      </c>
      <c r="AS17" s="451" t="s">
        <v>358</v>
      </c>
      <c r="AT17" s="352" t="str">
        <f t="shared" si="10"/>
        <v>Semi-Annual</v>
      </c>
      <c r="AU17" s="356">
        <f t="shared" si="7"/>
        <v>0</v>
      </c>
      <c r="AV17" s="347" t="s">
        <v>3</v>
      </c>
      <c r="AW17" s="347" t="s">
        <v>38</v>
      </c>
      <c r="AX17" s="347" t="s">
        <v>359</v>
      </c>
      <c r="AY17" s="347" t="s">
        <v>38</v>
      </c>
      <c r="AZ17" s="347" t="s">
        <v>359</v>
      </c>
      <c r="BA17" s="347" t="s">
        <v>38</v>
      </c>
      <c r="BB17" s="347" t="s">
        <v>359</v>
      </c>
      <c r="BC17" s="429"/>
      <c r="BD17" s="429"/>
      <c r="BE17" s="418">
        <f t="shared" ca="1" si="11"/>
        <v>9</v>
      </c>
      <c r="BF17" s="347" t="s">
        <v>356</v>
      </c>
      <c r="BG17" s="430">
        <f ca="1">_xll.meDateFromTenor($B17,"-"&amp;BF17,$AW17,$AX17)</f>
        <v>43229</v>
      </c>
      <c r="BH17" s="1006" t="str">
        <f t="shared" si="12"/>
        <v>NATURAL</v>
      </c>
      <c r="BI17" s="1006" t="str">
        <f t="shared" si="8"/>
        <v>NATURAL</v>
      </c>
      <c r="BJ17" s="358" t="str">
        <f ca="1">IF($M17="",IF($BG17&lt;COB,'EUR Curve Config'!CurveConfig.FixingRate,""),$M17)</f>
        <v/>
      </c>
      <c r="BK17" s="354"/>
      <c r="BL17" s="347" t="s">
        <v>356</v>
      </c>
      <c r="BM17" s="433" t="s">
        <v>358</v>
      </c>
      <c r="BN17" s="150"/>
    </row>
    <row r="18" spans="1:66">
      <c r="A18" s="203">
        <v>13</v>
      </c>
      <c r="B18" s="456">
        <f ca="1">IF(OR(D18="",D18=0),"",IF(ISNUMBER($C18),$C18,IF(ISERROR(VALUE(LEFT(C18,1))),_xll.meDateFuturesContract($C18),_xll.meDateFromTenor(COB,$C18,$AM18,$AN18))))</f>
        <v>43229</v>
      </c>
      <c r="C18" s="1120" t="s">
        <v>361</v>
      </c>
      <c r="D18" s="362">
        <v>1000000</v>
      </c>
      <c r="E18" s="362" t="s">
        <v>188</v>
      </c>
      <c r="F18" s="365" t="s">
        <v>1753</v>
      </c>
      <c r="G18" s="397" t="str">
        <f t="shared" si="13"/>
        <v>25Y</v>
      </c>
      <c r="H18" s="363">
        <v>0.01</v>
      </c>
      <c r="I18" s="364" t="s">
        <v>355</v>
      </c>
      <c r="J18" s="364">
        <v>0</v>
      </c>
      <c r="K18" s="364" t="s">
        <v>2252</v>
      </c>
      <c r="L18" s="364" t="s">
        <v>2252</v>
      </c>
      <c r="M18" s="363"/>
      <c r="N18" s="420"/>
      <c r="O18" s="420"/>
      <c r="P18" s="378" t="s">
        <v>1043</v>
      </c>
      <c r="Q18" s="360" t="str">
        <f ca="1">IF(OR($D18="",$D18=0),"",_xll.meProductSwapParRate(_xll.meUtilityLVBFromKeysValues($AA$5:$BM$5,$AA18:$BM18),FALSE))</f>
        <v>[2018/05/04 09:52] #Error: Invalid Curve: CurveIndex 'JPY6ML' in collection JPYYC does not exist</v>
      </c>
      <c r="R18" s="461" t="str">
        <f ca="1">IF(OR($D18="",$D18=0),"",_xll.meProductSwapPV(_xll.meUtilityLVBFromKeysValues($AA$5:$BM$5,$AA18:$BM18),FALSE))</f>
        <v>[2018/05/04 09:52] #Error: Invalid Curve: CurveIndex 'JPY6ML' in collection JPYYC does not exist</v>
      </c>
      <c r="S18" s="461">
        <f ca="1">IF(OR($D18="",$D18=0),"",_xll.meProductSwapLegPV(_xll.meUtilityLVBFromMultipleKeysValues($AB$5:$AG$5,$AB18:$AG18,,$AH$5:$AS$5,$AH18:$AS18,,"LegType","Leg1:Fixed",,"PayReceive",$F18),FALSE))</f>
        <v>238579.68493149386</v>
      </c>
      <c r="T18" s="461" t="str">
        <f ca="1">IF(OR($D18="",$D18=0),"",_xll.meProductSwapLegPV(_xll.meUtilityLVBFromMultipleKeysValues($AB$5:$AG$5,$AB18:$AG18,,$AT$5:$BM$5,$AT18:$BM18,,"LegType","Leg2:Float",,"PayReceive",IF($F18="PAYER","RECEIVER","PAYER")),FALSE))</f>
        <v>[2018/05/04 09:52] #Error: Invalid Curve: CurveIndex 'JPY6ML' in collection JPYYC does not exist</v>
      </c>
      <c r="U18" s="461" t="str">
        <f ca="1">IF(OR($D18="",$D18=0),"",_xll.meProductSwapPV01(_xll.meUtilityLVBFromKeysValues($AA$5:$BM$5,$AA18:$BM18),FALSE))</f>
        <v>[2018/05/04 09:52] #Error: Invalid Curve: CurveIndex 'JPY6ML' in collection JPYYC does not exist</v>
      </c>
      <c r="V18" s="462" t="str">
        <f ca="1">IF(OR($D18="",$D18=0),"",_xll.meProductSwapDV01(_xll.meUtilityLVBFromKeysValues($AA$5:$BM$5,$AA18:$BM18),FALSE))</f>
        <v>[2018/05/04 09:52] #Error: Invalid Curve: CurveIndex 'JPY6ML' in collection JPYYC does not exist</v>
      </c>
      <c r="W18" t="s">
        <v>12</v>
      </c>
      <c r="X18" s="476" t="str">
        <f>IF('JPY Curve Config'!BB21,'JPY Curve Config'!AZ21,"")</f>
        <v>25Y</v>
      </c>
      <c r="Y18" s="477">
        <f>IF('JPY Curve Config'!BB21,'JPY Curve Config'!BA21,"")</f>
        <v>7.3624999999999993E-3</v>
      </c>
      <c r="AA18" s="684" t="str">
        <f t="shared" si="0"/>
        <v>RECEIVER</v>
      </c>
      <c r="AB18" s="1016">
        <f t="shared" si="1"/>
        <v>1000000</v>
      </c>
      <c r="AC18" s="399">
        <f t="shared" ca="1" si="2"/>
        <v>43229</v>
      </c>
      <c r="AD18" s="399">
        <f ca="1">IF(OR(D18="",D18=0),"",IF(ISNUMBER($G18),$G18,IF(ISERROR(VALUE(LEFT(G18,1))),_xll.meDateFuturesContract($G18),_xll.meDateFromTenor($B18,$G18,$AM18,$AN18))))</f>
        <v>52362</v>
      </c>
      <c r="AE18" s="352" t="str">
        <f t="shared" si="3"/>
        <v>JPYYC</v>
      </c>
      <c r="AF18" s="352" t="str">
        <f t="shared" si="4"/>
        <v>JPY6ML</v>
      </c>
      <c r="AG18" s="446" t="str">
        <f t="shared" si="5"/>
        <v>JPYDF_NOCSA</v>
      </c>
      <c r="AH18" s="452" t="s">
        <v>76</v>
      </c>
      <c r="AI18" s="434">
        <f t="shared" si="6"/>
        <v>0.01</v>
      </c>
      <c r="AJ18" s="347" t="s">
        <v>186</v>
      </c>
      <c r="AK18" s="347" t="s">
        <v>38</v>
      </c>
      <c r="AL18" s="347" t="s">
        <v>359</v>
      </c>
      <c r="AM18" s="347" t="s">
        <v>38</v>
      </c>
      <c r="AN18" s="347" t="s">
        <v>359</v>
      </c>
      <c r="AO18" s="429"/>
      <c r="AP18" s="429"/>
      <c r="AQ18" s="1004">
        <f t="shared" ca="1" si="9"/>
        <v>9</v>
      </c>
      <c r="AR18" s="347" t="s">
        <v>356</v>
      </c>
      <c r="AS18" s="451" t="s">
        <v>358</v>
      </c>
      <c r="AT18" s="352" t="str">
        <f t="shared" si="10"/>
        <v>Semi-Annual</v>
      </c>
      <c r="AU18" s="356">
        <f t="shared" si="7"/>
        <v>0</v>
      </c>
      <c r="AV18" s="347" t="s">
        <v>3</v>
      </c>
      <c r="AW18" s="347" t="s">
        <v>38</v>
      </c>
      <c r="AX18" s="347" t="s">
        <v>359</v>
      </c>
      <c r="AY18" s="347" t="s">
        <v>38</v>
      </c>
      <c r="AZ18" s="347" t="s">
        <v>359</v>
      </c>
      <c r="BA18" s="347" t="s">
        <v>38</v>
      </c>
      <c r="BB18" s="347" t="s">
        <v>359</v>
      </c>
      <c r="BC18" s="429"/>
      <c r="BD18" s="429"/>
      <c r="BE18" s="418">
        <f t="shared" ca="1" si="11"/>
        <v>9</v>
      </c>
      <c r="BF18" s="347" t="s">
        <v>356</v>
      </c>
      <c r="BG18" s="430">
        <f ca="1">_xll.meDateFromTenor($B18,"-"&amp;BF18,$AW18,$AX18)</f>
        <v>43229</v>
      </c>
      <c r="BH18" s="1006" t="str">
        <f t="shared" si="12"/>
        <v>NATURAL</v>
      </c>
      <c r="BI18" s="1006" t="str">
        <f t="shared" si="8"/>
        <v>NATURAL</v>
      </c>
      <c r="BJ18" s="358" t="str">
        <f ca="1">IF($M18="",IF($BG18&lt;COB,'EUR Curve Config'!CurveConfig.FixingRate,""),$M18)</f>
        <v/>
      </c>
      <c r="BK18" s="354"/>
      <c r="BL18" s="347" t="s">
        <v>356</v>
      </c>
      <c r="BM18" s="433" t="s">
        <v>358</v>
      </c>
      <c r="BN18" s="150"/>
    </row>
    <row r="19" spans="1:66">
      <c r="A19" s="203">
        <v>14</v>
      </c>
      <c r="B19" s="456">
        <f ca="1">IF(OR(D19="",D19=0),"",IF(ISNUMBER($C19),$C19,IF(ISERROR(VALUE(LEFT(C19,1))),_xll.meDateFuturesContract($C19),_xll.meDateFromTenor(COB,$C19,$AM19,$AN19))))</f>
        <v>43229</v>
      </c>
      <c r="C19" s="1120" t="s">
        <v>361</v>
      </c>
      <c r="D19" s="362">
        <v>1000000</v>
      </c>
      <c r="E19" s="362" t="s">
        <v>188</v>
      </c>
      <c r="F19" s="365" t="s">
        <v>1753</v>
      </c>
      <c r="G19" s="397" t="str">
        <f t="shared" si="13"/>
        <v>30Y</v>
      </c>
      <c r="H19" s="363">
        <v>0.01</v>
      </c>
      <c r="I19" s="364" t="s">
        <v>355</v>
      </c>
      <c r="J19" s="364">
        <v>0</v>
      </c>
      <c r="K19" s="364" t="s">
        <v>2252</v>
      </c>
      <c r="L19" s="364" t="s">
        <v>2252</v>
      </c>
      <c r="M19" s="363"/>
      <c r="N19" s="420"/>
      <c r="O19" s="420"/>
      <c r="P19" s="378" t="s">
        <v>1043</v>
      </c>
      <c r="Q19" s="360">
        <f ca="1">IF(OR($D19="",$D19=0),"",_xll.meProductSwapParRate(_xll.meUtilityLVBFromKeysValues($AA$5:$BM$5,$AA19:$BM19),FALSE))</f>
        <v>8.0375000016884197E-3</v>
      </c>
      <c r="R19" s="461">
        <f ca="1">IF(OR($D19="",$D19=0),"",_xll.meProductSwapPV(_xll.meUtilityLVBFromKeysValues($AA$5:$BM$5,$AA19:$BM19),FALSE))</f>
        <v>55038.686284233641</v>
      </c>
      <c r="S19" s="461">
        <f ca="1">IF(OR($D19="",$D19=0),"",_xll.meProductSwapLegPV(_xll.meUtilityLVBFromMultipleKeysValues($AB$5:$AG$5,$AB19:$AG19,,$AH$5:$AS$5,$AH19:$AS19,,"LegType","Leg1:Fixed",,"PayReceive",$F19),FALSE))</f>
        <v>280451.904874322</v>
      </c>
      <c r="T19" s="461">
        <f ca="1">IF(OR($D19="",$D19=0),"",_xll.meProductSwapLegPV(_xll.meUtilityLVBFromMultipleKeysValues($AB$5:$AG$5,$AB19:$AG19,,$AT$5:$BM$5,$AT19:$BM19,,"LegType","Leg2:Float",,"PayReceive",IF($F19="PAYER","RECEIVER","PAYER")),FALSE))</f>
        <v>-225413.21859008836</v>
      </c>
      <c r="U19" s="461">
        <f ca="1">IF(OR($D19="",$D19=0),"",_xll.meProductSwapPV01(_xll.meUtilityLVBFromKeysValues($AA$5:$BM$5,$AA19:$BM19),FALSE))</f>
        <v>2804.5190487432201</v>
      </c>
      <c r="V19" s="462">
        <f ca="1">IF(OR($D19="",$D19=0),"",_xll.meProductSwapDV01(_xll.meUtilityLVBFromKeysValues($AA$5:$BM$5,$AA19:$BM19),FALSE))</f>
        <v>2819.8738172548879</v>
      </c>
      <c r="W19" t="s">
        <v>12</v>
      </c>
      <c r="X19" s="476" t="str">
        <f>IF('JPY Curve Config'!BB22,'JPY Curve Config'!AZ22,"")</f>
        <v>30Y</v>
      </c>
      <c r="Y19" s="477">
        <f>IF('JPY Curve Config'!BB22,'JPY Curve Config'!BA22,"")</f>
        <v>8.0374999999999995E-3</v>
      </c>
      <c r="AA19" s="684" t="str">
        <f t="shared" si="0"/>
        <v>RECEIVER</v>
      </c>
      <c r="AB19" s="1016">
        <f t="shared" si="1"/>
        <v>1000000</v>
      </c>
      <c r="AC19" s="399">
        <f t="shared" ca="1" si="2"/>
        <v>43229</v>
      </c>
      <c r="AD19" s="399">
        <f ca="1">IF(OR(D19="",D19=0),"",IF(ISNUMBER($G19),$G19,IF(ISERROR(VALUE(LEFT(G19,1))),_xll.meDateFuturesContract($G19),_xll.meDateFromTenor($B19,$G19,$AM19,$AN19))))</f>
        <v>54189</v>
      </c>
      <c r="AE19" s="352" t="str">
        <f t="shared" si="3"/>
        <v>JPYYC</v>
      </c>
      <c r="AF19" s="352" t="str">
        <f t="shared" si="4"/>
        <v>JPY6ML</v>
      </c>
      <c r="AG19" s="446" t="str">
        <f t="shared" si="5"/>
        <v>JPYDF_NOCSA</v>
      </c>
      <c r="AH19" s="452" t="s">
        <v>76</v>
      </c>
      <c r="AI19" s="434">
        <f t="shared" si="6"/>
        <v>0.01</v>
      </c>
      <c r="AJ19" s="347" t="s">
        <v>186</v>
      </c>
      <c r="AK19" s="347" t="s">
        <v>38</v>
      </c>
      <c r="AL19" s="347" t="s">
        <v>359</v>
      </c>
      <c r="AM19" s="347" t="s">
        <v>38</v>
      </c>
      <c r="AN19" s="347" t="s">
        <v>359</v>
      </c>
      <c r="AO19" s="429"/>
      <c r="AP19" s="429"/>
      <c r="AQ19" s="1004">
        <f t="shared" ca="1" si="9"/>
        <v>9</v>
      </c>
      <c r="AR19" s="347" t="s">
        <v>356</v>
      </c>
      <c r="AS19" s="451" t="s">
        <v>358</v>
      </c>
      <c r="AT19" s="352" t="str">
        <f t="shared" si="10"/>
        <v>Semi-Annual</v>
      </c>
      <c r="AU19" s="356">
        <f t="shared" si="7"/>
        <v>0</v>
      </c>
      <c r="AV19" s="347" t="s">
        <v>3</v>
      </c>
      <c r="AW19" s="347" t="s">
        <v>38</v>
      </c>
      <c r="AX19" s="347" t="s">
        <v>359</v>
      </c>
      <c r="AY19" s="347" t="s">
        <v>38</v>
      </c>
      <c r="AZ19" s="347" t="s">
        <v>359</v>
      </c>
      <c r="BA19" s="347" t="s">
        <v>38</v>
      </c>
      <c r="BB19" s="347" t="s">
        <v>359</v>
      </c>
      <c r="BC19" s="429"/>
      <c r="BD19" s="429"/>
      <c r="BE19" s="418">
        <f t="shared" ca="1" si="11"/>
        <v>9</v>
      </c>
      <c r="BF19" s="347" t="s">
        <v>356</v>
      </c>
      <c r="BG19" s="430">
        <f ca="1">_xll.meDateFromTenor($B19,"-"&amp;BF19,$AW19,$AX19)</f>
        <v>43229</v>
      </c>
      <c r="BH19" s="1006" t="str">
        <f t="shared" si="12"/>
        <v>NATURAL</v>
      </c>
      <c r="BI19" s="1006" t="str">
        <f t="shared" si="8"/>
        <v>NATURAL</v>
      </c>
      <c r="BJ19" s="358" t="str">
        <f ca="1">IF($M19="",IF($BG19&lt;COB,'EUR Curve Config'!CurveConfig.FixingRate,""),$M19)</f>
        <v/>
      </c>
      <c r="BK19" s="354"/>
      <c r="BL19" s="347" t="s">
        <v>356</v>
      </c>
      <c r="BM19" s="433" t="s">
        <v>358</v>
      </c>
      <c r="BN19" s="150"/>
    </row>
    <row r="20" spans="1:66">
      <c r="A20" s="203">
        <v>15</v>
      </c>
      <c r="B20" s="456">
        <f ca="1">IF(OR(D20="",D20=0),"",IF(ISNUMBER($C20),$C20,IF(ISERROR(VALUE(LEFT(C20,1))),_xll.meDateFuturesContract($C20),_xll.meDateFromTenor(COB,$C20,$AM20,$AN20))))</f>
        <v>43229</v>
      </c>
      <c r="C20" s="1120" t="s">
        <v>361</v>
      </c>
      <c r="D20" s="362">
        <v>1000000</v>
      </c>
      <c r="E20" s="362" t="s">
        <v>188</v>
      </c>
      <c r="F20" s="365" t="s">
        <v>1753</v>
      </c>
      <c r="G20" s="397" t="str">
        <f t="shared" si="13"/>
        <v>35Y</v>
      </c>
      <c r="H20" s="363">
        <v>0.01</v>
      </c>
      <c r="I20" s="364" t="s">
        <v>355</v>
      </c>
      <c r="J20" s="364">
        <v>0</v>
      </c>
      <c r="K20" s="364" t="s">
        <v>2252</v>
      </c>
      <c r="L20" s="364" t="s">
        <v>2252</v>
      </c>
      <c r="M20" s="363"/>
      <c r="N20" s="420"/>
      <c r="O20" s="420"/>
      <c r="P20" s="378" t="s">
        <v>1043</v>
      </c>
      <c r="Q20" s="360">
        <f ca="1">IF(OR($D20="",$D20=0),"",_xll.meProductSwapParRate(_xll.meUtilityLVBFromKeysValues($AA$5:$BM$5,$AA20:$BM20),FALSE))</f>
        <v>8.5000000015420119E-3</v>
      </c>
      <c r="R20" s="461">
        <f ca="1">IF(OR($D20="",$D20=0),"",_xll.meProductSwapPV(_xll.meUtilityLVBFromKeysValues($AA$5:$BM$5,$AA20:$BM20),FALSE))</f>
        <v>48024.714081482292</v>
      </c>
      <c r="S20" s="461">
        <f ca="1">IF(OR($D20="",$D20=0),"",_xll.meProductSwapLegPV(_xll.meUtilityLVBFromMultipleKeysValues($AB$5:$AG$5,$AB20:$AG20,,$AH$5:$AS$5,$AH20:$AS20,,"LegType","Leg1:Fixed",,"PayReceive",$F20),FALSE))</f>
        <v>320164.76087234699</v>
      </c>
      <c r="T20" s="461">
        <f ca="1">IF(OR($D20="",$D20=0),"",_xll.meProductSwapLegPV(_xll.meUtilityLVBFromMultipleKeysValues($AB$5:$AG$5,$AB20:$AG20,,$AT$5:$BM$5,$AT20:$BM20,,"LegType","Leg2:Float",,"PayReceive",IF($F20="PAYER","RECEIVER","PAYER")),FALSE))</f>
        <v>-272140.04679086478</v>
      </c>
      <c r="U20" s="461">
        <f ca="1">IF(OR($D20="",$D20=0),"",_xll.meProductSwapPV01(_xll.meUtilityLVBFromKeysValues($AA$5:$BM$5,$AA20:$BM20),FALSE))</f>
        <v>3201.6476087234701</v>
      </c>
      <c r="V20" s="462">
        <f ca="1">IF(OR($D20="",$D20=0),"",_xll.meProductSwapDV01(_xll.meUtilityLVBFromKeysValues($AA$5:$BM$5,$AA20:$BM20),FALSE))</f>
        <v>3239.7977428172821</v>
      </c>
      <c r="W20" t="s">
        <v>12</v>
      </c>
      <c r="X20" s="476" t="str">
        <f>IF('JPY Curve Config'!BB23,'JPY Curve Config'!AZ23,"")</f>
        <v>35Y</v>
      </c>
      <c r="Y20" s="477">
        <f>IF('JPY Curve Config'!BB23,'JPY Curve Config'!BA23,"")</f>
        <v>8.5000000000000006E-3</v>
      </c>
      <c r="AA20" s="684" t="str">
        <f t="shared" si="0"/>
        <v>RECEIVER</v>
      </c>
      <c r="AB20" s="1016">
        <f t="shared" si="1"/>
        <v>1000000</v>
      </c>
      <c r="AC20" s="399">
        <f t="shared" ca="1" si="2"/>
        <v>43229</v>
      </c>
      <c r="AD20" s="399">
        <f ca="1">IF(OR(D20="",D20=0),"",IF(ISNUMBER($G20),$G20,IF(ISERROR(VALUE(LEFT(G20,1))),_xll.meDateFuturesContract($G20),_xll.meDateFromTenor($B20,$G20,$AM20,$AN20))))</f>
        <v>56013</v>
      </c>
      <c r="AE20" s="352" t="str">
        <f t="shared" si="3"/>
        <v>JPYYC</v>
      </c>
      <c r="AF20" s="352" t="str">
        <f t="shared" si="4"/>
        <v>JPY6ML</v>
      </c>
      <c r="AG20" s="446" t="str">
        <f t="shared" si="5"/>
        <v>JPYDF_NOCSA</v>
      </c>
      <c r="AH20" s="452" t="s">
        <v>76</v>
      </c>
      <c r="AI20" s="434">
        <f t="shared" si="6"/>
        <v>0.01</v>
      </c>
      <c r="AJ20" s="347" t="s">
        <v>186</v>
      </c>
      <c r="AK20" s="347" t="s">
        <v>38</v>
      </c>
      <c r="AL20" s="347" t="s">
        <v>359</v>
      </c>
      <c r="AM20" s="347" t="s">
        <v>38</v>
      </c>
      <c r="AN20" s="347" t="s">
        <v>359</v>
      </c>
      <c r="AO20" s="429"/>
      <c r="AP20" s="429"/>
      <c r="AQ20" s="1004">
        <f t="shared" ca="1" si="9"/>
        <v>9</v>
      </c>
      <c r="AR20" s="347" t="s">
        <v>356</v>
      </c>
      <c r="AS20" s="451" t="s">
        <v>358</v>
      </c>
      <c r="AT20" s="352" t="str">
        <f t="shared" si="10"/>
        <v>Semi-Annual</v>
      </c>
      <c r="AU20" s="356">
        <f t="shared" si="7"/>
        <v>0</v>
      </c>
      <c r="AV20" s="347" t="s">
        <v>3</v>
      </c>
      <c r="AW20" s="347" t="s">
        <v>38</v>
      </c>
      <c r="AX20" s="347" t="s">
        <v>359</v>
      </c>
      <c r="AY20" s="347" t="s">
        <v>38</v>
      </c>
      <c r="AZ20" s="347" t="s">
        <v>359</v>
      </c>
      <c r="BA20" s="347" t="s">
        <v>38</v>
      </c>
      <c r="BB20" s="347" t="s">
        <v>359</v>
      </c>
      <c r="BC20" s="429"/>
      <c r="BD20" s="429"/>
      <c r="BE20" s="418">
        <f t="shared" ca="1" si="11"/>
        <v>9</v>
      </c>
      <c r="BF20" s="347" t="s">
        <v>356</v>
      </c>
      <c r="BG20" s="430">
        <f ca="1">_xll.meDateFromTenor($B20,"-"&amp;BF20,$AW20,$AX20)</f>
        <v>43229</v>
      </c>
      <c r="BH20" s="1006" t="str">
        <f t="shared" si="12"/>
        <v>NATURAL</v>
      </c>
      <c r="BI20" s="1006" t="str">
        <f t="shared" si="8"/>
        <v>NATURAL</v>
      </c>
      <c r="BJ20" s="358" t="str">
        <f ca="1">IF($M20="",IF($BG20&lt;COB,'EUR Curve Config'!CurveConfig.FixingRate,""),$M20)</f>
        <v/>
      </c>
      <c r="BK20" s="354"/>
      <c r="BL20" s="347" t="s">
        <v>356</v>
      </c>
      <c r="BM20" s="433" t="s">
        <v>358</v>
      </c>
      <c r="BN20" s="150"/>
    </row>
    <row r="21" spans="1:66">
      <c r="A21" s="203">
        <v>16</v>
      </c>
      <c r="B21" s="456">
        <f ca="1">IF(OR(D21="",D21=0),"",IF(ISNUMBER($C21),$C21,IF(ISERROR(VALUE(LEFT(C21,1))),_xll.meDateFuturesContract($C21),_xll.meDateFromTenor(COB,$C21,$AM21,$AN21))))</f>
        <v>43229</v>
      </c>
      <c r="C21" s="1120" t="s">
        <v>361</v>
      </c>
      <c r="D21" s="362">
        <v>1000000</v>
      </c>
      <c r="E21" s="362" t="s">
        <v>188</v>
      </c>
      <c r="F21" s="365" t="s">
        <v>1753</v>
      </c>
      <c r="G21" s="397" t="str">
        <f t="shared" si="13"/>
        <v>40Y</v>
      </c>
      <c r="H21" s="363">
        <v>0.01</v>
      </c>
      <c r="I21" s="364" t="s">
        <v>355</v>
      </c>
      <c r="J21" s="364">
        <v>0</v>
      </c>
      <c r="K21" s="364" t="s">
        <v>2252</v>
      </c>
      <c r="L21" s="364" t="s">
        <v>2252</v>
      </c>
      <c r="M21" s="363"/>
      <c r="N21" s="420"/>
      <c r="O21" s="420"/>
      <c r="P21" s="378" t="s">
        <v>1043</v>
      </c>
      <c r="Q21" s="360">
        <f ca="1">IF(OR($D21="",$D21=0),"",_xll.meProductSwapParRate(_xll.meUtilityLVBFromKeysValues($AA$5:$BM$5,$AA21:$BM21),FALSE))</f>
        <v>8.8876868446236545E-3</v>
      </c>
      <c r="R21" s="461">
        <f ca="1">IF(OR($D21="",$D21=0),"",_xll.meProductSwapPV(_xll.meUtilityLVBFromKeysValues($AA$5:$BM$5,$AA21:$BM21),FALSE))</f>
        <v>39828.858800650676</v>
      </c>
      <c r="S21" s="461">
        <f ca="1">IF(OR($D21="",$D21=0),"",_xll.meProductSwapLegPV(_xll.meUtilityLVBFromMultipleKeysValues($AB$5:$AG$5,$AB21:$AG21,,$AH$5:$AS$5,$AH21:$AS21,,"LegType","Leg1:Fixed",,"PayReceive",$F21),FALSE))</f>
        <v>358072.35227002914</v>
      </c>
      <c r="T21" s="461">
        <f ca="1">IF(OR($D21="",$D21=0),"",_xll.meProductSwapLegPV(_xll.meUtilityLVBFromMultipleKeysValues($AB$5:$AG$5,$AB21:$AG21,,$AT$5:$BM$5,$AT21:$BM21,,"LegType","Leg2:Float",,"PayReceive",IF($F21="PAYER","RECEIVER","PAYER")),FALSE))</f>
        <v>-318243.49346937856</v>
      </c>
      <c r="U21" s="461">
        <f ca="1">IF(OR($D21="",$D21=0),"",_xll.meProductSwapPV01(_xll.meUtilityLVBFromKeysValues($AA$5:$BM$5,$AA21:$BM21),FALSE))</f>
        <v>3580.7235227002921</v>
      </c>
      <c r="V21" s="462">
        <f ca="1">IF(OR($D21="",$D21=0),"",_xll.meProductSwapDV01(_xll.meUtilityLVBFromKeysValues($AA$5:$BM$5,$AA21:$BM21),FALSE))</f>
        <v>3649.574325854413</v>
      </c>
      <c r="W21" t="s">
        <v>12</v>
      </c>
      <c r="X21" s="476" t="str">
        <f>IF('JPY Curve Config'!BB24,'JPY Curve Config'!AZ24,"")</f>
        <v>40Y</v>
      </c>
      <c r="Y21" s="477">
        <f>IF('JPY Curve Config'!BB24,'JPY Curve Config'!BA24,"")</f>
        <v>8.8874999999999996E-3</v>
      </c>
      <c r="AA21" s="684" t="str">
        <f t="shared" si="0"/>
        <v>RECEIVER</v>
      </c>
      <c r="AB21" s="1016">
        <f t="shared" si="1"/>
        <v>1000000</v>
      </c>
      <c r="AC21" s="399">
        <f t="shared" ca="1" si="2"/>
        <v>43229</v>
      </c>
      <c r="AD21" s="399">
        <f ca="1">IF(OR(D21="",D21=0),"",IF(ISNUMBER($G21),$G21,IF(ISERROR(VALUE(LEFT(G21,1))),_xll.meDateFuturesContract($G21),_xll.meDateFromTenor($B21,$G21,$AM21,$AN21))))</f>
        <v>57839</v>
      </c>
      <c r="AE21" s="352" t="str">
        <f t="shared" si="3"/>
        <v>JPYYC</v>
      </c>
      <c r="AF21" s="352" t="str">
        <f t="shared" si="4"/>
        <v>JPY6ML</v>
      </c>
      <c r="AG21" s="446" t="str">
        <f t="shared" si="5"/>
        <v>JPYDF_NOCSA</v>
      </c>
      <c r="AH21" s="452" t="s">
        <v>76</v>
      </c>
      <c r="AI21" s="434">
        <f t="shared" si="6"/>
        <v>0.01</v>
      </c>
      <c r="AJ21" s="347" t="s">
        <v>186</v>
      </c>
      <c r="AK21" s="347" t="s">
        <v>38</v>
      </c>
      <c r="AL21" s="347" t="s">
        <v>359</v>
      </c>
      <c r="AM21" s="347" t="s">
        <v>38</v>
      </c>
      <c r="AN21" s="347" t="s">
        <v>359</v>
      </c>
      <c r="AO21" s="429"/>
      <c r="AP21" s="429"/>
      <c r="AQ21" s="1004">
        <f t="shared" ca="1" si="9"/>
        <v>9</v>
      </c>
      <c r="AR21" s="347" t="s">
        <v>356</v>
      </c>
      <c r="AS21" s="451" t="s">
        <v>358</v>
      </c>
      <c r="AT21" s="352" t="str">
        <f t="shared" si="10"/>
        <v>Semi-Annual</v>
      </c>
      <c r="AU21" s="356">
        <f t="shared" si="7"/>
        <v>0</v>
      </c>
      <c r="AV21" s="347" t="s">
        <v>3</v>
      </c>
      <c r="AW21" s="347" t="s">
        <v>38</v>
      </c>
      <c r="AX21" s="347" t="s">
        <v>359</v>
      </c>
      <c r="AY21" s="347" t="s">
        <v>38</v>
      </c>
      <c r="AZ21" s="347" t="s">
        <v>359</v>
      </c>
      <c r="BA21" s="347" t="s">
        <v>38</v>
      </c>
      <c r="BB21" s="347" t="s">
        <v>359</v>
      </c>
      <c r="BC21" s="429"/>
      <c r="BD21" s="429"/>
      <c r="BE21" s="418">
        <f t="shared" ca="1" si="11"/>
        <v>9</v>
      </c>
      <c r="BF21" s="347" t="s">
        <v>356</v>
      </c>
      <c r="BG21" s="430">
        <f ca="1">_xll.meDateFromTenor($B21,"-"&amp;BF21,$AW21,$AX21)</f>
        <v>43229</v>
      </c>
      <c r="BH21" s="1006" t="str">
        <f t="shared" si="12"/>
        <v>NATURAL</v>
      </c>
      <c r="BI21" s="1006" t="str">
        <f t="shared" si="8"/>
        <v>NATURAL</v>
      </c>
      <c r="BJ21" s="358" t="str">
        <f ca="1">IF($M21="",IF($BG21&lt;COB,'EUR Curve Config'!CurveConfig.FixingRate,""),$M21)</f>
        <v/>
      </c>
      <c r="BK21" s="354"/>
      <c r="BL21" s="347" t="s">
        <v>356</v>
      </c>
      <c r="BM21" s="433" t="s">
        <v>358</v>
      </c>
      <c r="BN21" s="150"/>
    </row>
    <row r="22" spans="1:66">
      <c r="A22" s="203">
        <v>17</v>
      </c>
      <c r="B22" s="456" t="str">
        <f>IF(OR(D22="",D22=0),"",IF(ISNUMBER($C22),$C22,IF(ISERROR(VALUE(LEFT(C22,1))),_xll.meDateFuturesContract($C22),_xll.meDateFromTenor(COB,$C22,$AM22,$AN22))))</f>
        <v/>
      </c>
      <c r="C22" s="1120"/>
      <c r="D22" s="362"/>
      <c r="E22" s="362"/>
      <c r="F22" s="365"/>
      <c r="G22" s="397"/>
      <c r="H22" s="363"/>
      <c r="I22" s="364"/>
      <c r="J22" s="364"/>
      <c r="K22" s="364" t="s">
        <v>2252</v>
      </c>
      <c r="L22" s="364" t="s">
        <v>2252</v>
      </c>
      <c r="M22" s="363"/>
      <c r="N22" s="420"/>
      <c r="O22" s="420"/>
      <c r="P22" s="378"/>
      <c r="Q22" s="360" t="str">
        <f>IF(OR($D22="",$D22=0),"",_xll.meProductSwapParRate(_xll.meUtilityLVBFromKeysValues($AA$5:$BM$5,$AA22:$BM22),FALSE))</f>
        <v/>
      </c>
      <c r="R22" s="461" t="str">
        <f>IF(OR($D22="",$D22=0),"",_xll.meProductSwapPV(_xll.meUtilityLVBFromKeysValues($AA$5:$BM$5,$AA22:$BM22),FALSE))</f>
        <v/>
      </c>
      <c r="S22" s="461" t="str">
        <f>IF(OR($D22="",$D22=0),"",_xll.meProductSwapLegPV(_xll.meUtilityLVBFromMultipleKeysValues($AB$5:$AG$5,$AB22:$AG22,,$AH$5:$AS$5,$AH22:$AS22,,"LegType","Leg1:Fixed",,"PayReceive",$F22),FALSE))</f>
        <v/>
      </c>
      <c r="T22" s="461" t="str">
        <f>IF(OR($D22="",$D22=0),"",_xll.meProductSwapLegPV(_xll.meUtilityLVBFromMultipleKeysValues($AB$5:$AG$5,$AB22:$AG22,,$AT$5:$BM$5,$AT22:$BM22,,"LegType","Leg2:Float",,"PayReceive",IF($F22="PAYER","RECEIVER","PAYER")),FALSE))</f>
        <v/>
      </c>
      <c r="U22" s="461" t="str">
        <f>IF(OR($D22="",$D22=0),"",_xll.meProductSwapPV01(_xll.meUtilityLVBFromKeysValues($AA$5:$BM$5,$AA22:$BM22),FALSE))</f>
        <v/>
      </c>
      <c r="V22" s="462" t="str">
        <f>IF(OR($D22="",$D22=0),"",_xll.meProductSwapDV01(_xll.meUtilityLVBFromKeysValues($AA$5:$BM$5,$AA22:$BM22),FALSE))</f>
        <v/>
      </c>
      <c r="W22" t="s">
        <v>12</v>
      </c>
      <c r="X22" s="476" t="str">
        <f>IF('JPY Curve Config'!BB25,'JPY Curve Config'!AZ25,"")</f>
        <v/>
      </c>
      <c r="Y22" s="477" t="str">
        <f>IF('JPY Curve Config'!BB25,'JPY Curve Config'!BA25,"")</f>
        <v/>
      </c>
      <c r="AA22" s="684">
        <f t="shared" si="0"/>
        <v>0</v>
      </c>
      <c r="AB22" s="1016">
        <f t="shared" si="1"/>
        <v>0</v>
      </c>
      <c r="AC22" s="399" t="str">
        <f t="shared" si="2"/>
        <v/>
      </c>
      <c r="AD22" s="399" t="str">
        <f>IF(OR(D22="",D22=0),"",IF(ISNUMBER($G22),$G22,IF(ISERROR(VALUE(LEFT(G22,1))),_xll.meDateFuturesContract($G22),_xll.meDateFromTenor($B22,$G22,$AM22,$AN22))))</f>
        <v/>
      </c>
      <c r="AE22" s="352" t="str">
        <f t="shared" si="3"/>
        <v>YC</v>
      </c>
      <c r="AF22" s="352" t="str">
        <f t="shared" si="4"/>
        <v/>
      </c>
      <c r="AG22" s="446" t="str">
        <f t="shared" si="5"/>
        <v>YCDF_</v>
      </c>
      <c r="AH22" s="452" t="s">
        <v>76</v>
      </c>
      <c r="AI22" s="434">
        <f t="shared" si="6"/>
        <v>0</v>
      </c>
      <c r="AJ22" s="347" t="s">
        <v>186</v>
      </c>
      <c r="AK22" s="347" t="s">
        <v>38</v>
      </c>
      <c r="AL22" s="347" t="s">
        <v>359</v>
      </c>
      <c r="AM22" s="347" t="s">
        <v>38</v>
      </c>
      <c r="AN22" s="347" t="s">
        <v>359</v>
      </c>
      <c r="AO22" s="429"/>
      <c r="AP22" s="429"/>
      <c r="AQ22" s="1004" t="e">
        <f t="shared" si="9"/>
        <v>#VALUE!</v>
      </c>
      <c r="AR22" s="347" t="s">
        <v>356</v>
      </c>
      <c r="AS22" s="451" t="s">
        <v>358</v>
      </c>
      <c r="AT22" s="352" t="str">
        <f t="shared" si="10"/>
        <v>Annual</v>
      </c>
      <c r="AU22" s="356">
        <f t="shared" si="7"/>
        <v>0</v>
      </c>
      <c r="AV22" s="347" t="s">
        <v>3</v>
      </c>
      <c r="AW22" s="347" t="s">
        <v>38</v>
      </c>
      <c r="AX22" s="347" t="s">
        <v>359</v>
      </c>
      <c r="AY22" s="347" t="s">
        <v>38</v>
      </c>
      <c r="AZ22" s="347" t="s">
        <v>359</v>
      </c>
      <c r="BA22" s="347" t="s">
        <v>38</v>
      </c>
      <c r="BB22" s="347" t="s">
        <v>359</v>
      </c>
      <c r="BC22" s="429"/>
      <c r="BD22" s="429"/>
      <c r="BE22" s="418" t="e">
        <f t="shared" si="11"/>
        <v>#VALUE!</v>
      </c>
      <c r="BF22" s="347" t="s">
        <v>356</v>
      </c>
      <c r="BG22" s="430">
        <f>_xll.meDateFromTenor($B22,"-"&amp;BF22,$AW22,$AX22)</f>
        <v>-1</v>
      </c>
      <c r="BH22" s="1006" t="str">
        <f t="shared" si="12"/>
        <v>NATURAL</v>
      </c>
      <c r="BI22" s="1006" t="str">
        <f t="shared" si="8"/>
        <v>NATURAL</v>
      </c>
      <c r="BJ22" s="358">
        <f ca="1">IF($M22="",IF($BG22&lt;COB,'EUR Curve Config'!CurveConfig.FixingRate,""),$M22)</f>
        <v>-2.6900000000000001E-3</v>
      </c>
      <c r="BK22" s="354"/>
      <c r="BL22" s="347" t="s">
        <v>356</v>
      </c>
      <c r="BM22" s="433" t="s">
        <v>358</v>
      </c>
      <c r="BN22" s="150"/>
    </row>
    <row r="23" spans="1:66">
      <c r="A23" s="203">
        <v>18</v>
      </c>
      <c r="B23" s="456" t="str">
        <f>IF(OR(D23="",D23=0),"",IF(ISNUMBER($C23),$C23,IF(ISERROR(VALUE(LEFT(C23,1))),_xll.meDateFuturesContract($C23),_xll.meDateFromTenor(COB,$C23,$AM23,$AN23))))</f>
        <v/>
      </c>
      <c r="C23" s="1120"/>
      <c r="D23" s="362"/>
      <c r="E23" s="362"/>
      <c r="F23" s="365"/>
      <c r="G23" s="397"/>
      <c r="H23" s="363"/>
      <c r="I23" s="364"/>
      <c r="J23" s="364"/>
      <c r="K23" s="364" t="s">
        <v>2252</v>
      </c>
      <c r="L23" s="364" t="s">
        <v>2252</v>
      </c>
      <c r="M23" s="363"/>
      <c r="N23" s="420"/>
      <c r="O23" s="420"/>
      <c r="P23" s="378"/>
      <c r="Q23" s="360" t="str">
        <f>IF(OR($D23="",$D23=0),"",_xll.meProductSwapParRate(_xll.meUtilityLVBFromKeysValues($AA$5:$BM$5,$AA23:$BM23),FALSE))</f>
        <v/>
      </c>
      <c r="R23" s="461" t="str">
        <f>IF(OR($D23="",$D23=0),"",_xll.meProductSwapPV(_xll.meUtilityLVBFromKeysValues($AA$5:$BM$5,$AA23:$BM23),FALSE))</f>
        <v/>
      </c>
      <c r="S23" s="461" t="str">
        <f>IF(OR($D23="",$D23=0),"",_xll.meProductSwapLegPV(_xll.meUtilityLVBFromMultipleKeysValues($AB$5:$AG$5,$AB23:$AG23,,$AH$5:$AS$5,$AH23:$AS23,,"LegType","Leg1:Fixed",,"PayReceive",$F23),FALSE))</f>
        <v/>
      </c>
      <c r="T23" s="461" t="str">
        <f>IF(OR($D23="",$D23=0),"",_xll.meProductSwapLegPV(_xll.meUtilityLVBFromMultipleKeysValues($AB$5:$AG$5,$AB23:$AG23,,$AT$5:$BM$5,$AT23:$BM23,,"LegType","Leg2:Float",,"PayReceive",IF($F23="PAYER","RECEIVER","PAYER")),FALSE))</f>
        <v/>
      </c>
      <c r="U23" s="461" t="str">
        <f>IF(OR($D23="",$D23=0),"",_xll.meProductSwapPV01(_xll.meUtilityLVBFromKeysValues($AA$5:$BM$5,$AA23:$BM23),FALSE))</f>
        <v/>
      </c>
      <c r="V23" s="462" t="str">
        <f>IF(OR($D23="",$D23=0),"",_xll.meProductSwapDV01(_xll.meUtilityLVBFromKeysValues($AA$5:$BM$5,$AA23:$BM23),FALSE))</f>
        <v/>
      </c>
      <c r="W23" t="s">
        <v>12</v>
      </c>
      <c r="X23" s="476" t="str">
        <f>IF('JPY Curve Config'!BB26,'JPY Curve Config'!AZ26,"")</f>
        <v/>
      </c>
      <c r="Y23" s="477" t="str">
        <f>IF('JPY Curve Config'!BB26,'JPY Curve Config'!BA26,"")</f>
        <v/>
      </c>
      <c r="AA23" s="684">
        <f t="shared" si="0"/>
        <v>0</v>
      </c>
      <c r="AB23" s="1016">
        <f t="shared" si="1"/>
        <v>0</v>
      </c>
      <c r="AC23" s="399" t="str">
        <f t="shared" si="2"/>
        <v/>
      </c>
      <c r="AD23" s="399" t="str">
        <f>IF(OR(D23="",D23=0),"",IF(ISNUMBER($G23),$G23,IF(ISERROR(VALUE(LEFT(G23,1))),_xll.meDateFuturesContract($G23),_xll.meDateFromTenor($B23,$G23,$AM23,$AN23))))</f>
        <v/>
      </c>
      <c r="AE23" s="352" t="str">
        <f t="shared" si="3"/>
        <v>YC</v>
      </c>
      <c r="AF23" s="352" t="str">
        <f t="shared" si="4"/>
        <v/>
      </c>
      <c r="AG23" s="446" t="str">
        <f t="shared" si="5"/>
        <v>YCDF_</v>
      </c>
      <c r="AH23" s="452" t="s">
        <v>76</v>
      </c>
      <c r="AI23" s="434">
        <f t="shared" si="6"/>
        <v>0</v>
      </c>
      <c r="AJ23" s="347" t="s">
        <v>186</v>
      </c>
      <c r="AK23" s="347" t="s">
        <v>38</v>
      </c>
      <c r="AL23" s="347" t="s">
        <v>359</v>
      </c>
      <c r="AM23" s="347" t="s">
        <v>38</v>
      </c>
      <c r="AN23" s="347" t="s">
        <v>359</v>
      </c>
      <c r="AO23" s="429"/>
      <c r="AP23" s="429"/>
      <c r="AQ23" s="1004" t="e">
        <f t="shared" si="9"/>
        <v>#VALUE!</v>
      </c>
      <c r="AR23" s="347" t="s">
        <v>356</v>
      </c>
      <c r="AS23" s="451" t="s">
        <v>358</v>
      </c>
      <c r="AT23" s="352" t="str">
        <f t="shared" si="10"/>
        <v>Annual</v>
      </c>
      <c r="AU23" s="356">
        <f t="shared" si="7"/>
        <v>0</v>
      </c>
      <c r="AV23" s="347" t="s">
        <v>3</v>
      </c>
      <c r="AW23" s="347" t="s">
        <v>38</v>
      </c>
      <c r="AX23" s="347" t="s">
        <v>359</v>
      </c>
      <c r="AY23" s="347" t="s">
        <v>38</v>
      </c>
      <c r="AZ23" s="347" t="s">
        <v>359</v>
      </c>
      <c r="BA23" s="347" t="s">
        <v>38</v>
      </c>
      <c r="BB23" s="347" t="s">
        <v>359</v>
      </c>
      <c r="BC23" s="429"/>
      <c r="BD23" s="429"/>
      <c r="BE23" s="418" t="e">
        <f t="shared" si="11"/>
        <v>#VALUE!</v>
      </c>
      <c r="BF23" s="347" t="s">
        <v>356</v>
      </c>
      <c r="BG23" s="430">
        <f>_xll.meDateFromTenor($B23,"-"&amp;BF23,$AW23,$AX23)</f>
        <v>-1</v>
      </c>
      <c r="BH23" s="1006" t="str">
        <f t="shared" si="12"/>
        <v>NATURAL</v>
      </c>
      <c r="BI23" s="1006" t="str">
        <f t="shared" si="8"/>
        <v>NATURAL</v>
      </c>
      <c r="BJ23" s="358">
        <f ca="1">IF($M23="",IF($BG23&lt;COB,'EUR Curve Config'!CurveConfig.FixingRate,""),$M23)</f>
        <v>-2.6900000000000001E-3</v>
      </c>
      <c r="BK23" s="354"/>
      <c r="BL23" s="347" t="s">
        <v>356</v>
      </c>
      <c r="BM23" s="433" t="s">
        <v>358</v>
      </c>
    </row>
    <row r="24" spans="1:66">
      <c r="A24" s="203">
        <v>19</v>
      </c>
      <c r="B24" s="456" t="str">
        <f>IF(OR(D24="",D24=0),"",IF(ISNUMBER($C24),$C24,IF(ISERROR(VALUE(LEFT(C24,1))),_xll.meDateFuturesContract($C24),_xll.meDateFromTenor(COB,$C24,$AM24,$AN24))))</f>
        <v/>
      </c>
      <c r="C24" s="1120"/>
      <c r="D24" s="362"/>
      <c r="E24" s="362"/>
      <c r="F24" s="365"/>
      <c r="G24" s="397"/>
      <c r="H24" s="363"/>
      <c r="I24" s="364"/>
      <c r="J24" s="364"/>
      <c r="K24" s="364" t="s">
        <v>2252</v>
      </c>
      <c r="L24" s="364" t="s">
        <v>2252</v>
      </c>
      <c r="M24" s="363"/>
      <c r="N24" s="420"/>
      <c r="O24" s="420"/>
      <c r="P24" s="378"/>
      <c r="Q24" s="360" t="str">
        <f>IF(OR($D24="",$D24=0),"",_xll.meProductSwapParRate(_xll.meUtilityLVBFromKeysValues($AA$5:$BM$5,$AA24:$BM24),FALSE))</f>
        <v/>
      </c>
      <c r="R24" s="461" t="str">
        <f>IF(OR($D24="",$D24=0),"",_xll.meProductSwapPV(_xll.meUtilityLVBFromKeysValues($AA$5:$BM$5,$AA24:$BM24),FALSE))</f>
        <v/>
      </c>
      <c r="S24" s="461" t="str">
        <f>IF(OR($D24="",$D24=0),"",_xll.meProductSwapLegPV(_xll.meUtilityLVBFromMultipleKeysValues($AB$5:$AG$5,$AB24:$AG24,,$AH$5:$AS$5,$AH24:$AS24,,"LegType","Leg1:Fixed",,"PayReceive",$F24),FALSE))</f>
        <v/>
      </c>
      <c r="T24" s="461" t="str">
        <f>IF(OR($D24="",$D24=0),"",_xll.meProductSwapLegPV(_xll.meUtilityLVBFromMultipleKeysValues($AB$5:$AG$5,$AB24:$AG24,,$AT$5:$BM$5,$AT24:$BM24,,"LegType","Leg2:Float",,"PayReceive",IF($F24="PAYER","RECEIVER","PAYER")),FALSE))</f>
        <v/>
      </c>
      <c r="U24" s="461" t="str">
        <f>IF(OR($D24="",$D24=0),"",_xll.meProductSwapPV01(_xll.meUtilityLVBFromKeysValues($AA$5:$BM$5,$AA24:$BM24),FALSE))</f>
        <v/>
      </c>
      <c r="V24" s="462" t="str">
        <f>IF(OR($D24="",$D24=0),"",_xll.meProductSwapDV01(_xll.meUtilityLVBFromKeysValues($AA$5:$BM$5,$AA24:$BM24),FALSE))</f>
        <v/>
      </c>
      <c r="W24" t="s">
        <v>12</v>
      </c>
      <c r="X24" s="476" t="str">
        <f>IF('JPY Curve Config'!BB27,'JPY Curve Config'!AZ27,"")</f>
        <v/>
      </c>
      <c r="Y24" s="477" t="str">
        <f>IF('JPY Curve Config'!BB27,'JPY Curve Config'!BA27,"")</f>
        <v/>
      </c>
      <c r="AA24" s="684">
        <f t="shared" si="0"/>
        <v>0</v>
      </c>
      <c r="AB24" s="1016">
        <f t="shared" si="1"/>
        <v>0</v>
      </c>
      <c r="AC24" s="399" t="str">
        <f t="shared" si="2"/>
        <v/>
      </c>
      <c r="AD24" s="399" t="str">
        <f>IF(OR(D24="",D24=0),"",IF(ISNUMBER($G24),$G24,IF(ISERROR(VALUE(LEFT(G24,1))),_xll.meDateFuturesContract($G24),_xll.meDateFromTenor($B24,$G24,$AM24,$AN24))))</f>
        <v/>
      </c>
      <c r="AE24" s="352" t="str">
        <f t="shared" si="3"/>
        <v>YC</v>
      </c>
      <c r="AF24" s="352" t="str">
        <f t="shared" si="4"/>
        <v/>
      </c>
      <c r="AG24" s="446" t="str">
        <f t="shared" si="5"/>
        <v>YCDF_</v>
      </c>
      <c r="AH24" s="452" t="s">
        <v>76</v>
      </c>
      <c r="AI24" s="434">
        <f t="shared" si="6"/>
        <v>0</v>
      </c>
      <c r="AJ24" s="347" t="s">
        <v>186</v>
      </c>
      <c r="AK24" s="347" t="s">
        <v>38</v>
      </c>
      <c r="AL24" s="347" t="s">
        <v>359</v>
      </c>
      <c r="AM24" s="347" t="s">
        <v>38</v>
      </c>
      <c r="AN24" s="347" t="s">
        <v>359</v>
      </c>
      <c r="AO24" s="429"/>
      <c r="AP24" s="429"/>
      <c r="AQ24" s="1004" t="e">
        <f t="shared" si="9"/>
        <v>#VALUE!</v>
      </c>
      <c r="AR24" s="347" t="s">
        <v>356</v>
      </c>
      <c r="AS24" s="451" t="s">
        <v>358</v>
      </c>
      <c r="AT24" s="352" t="str">
        <f t="shared" si="10"/>
        <v>Annual</v>
      </c>
      <c r="AU24" s="356">
        <f t="shared" si="7"/>
        <v>0</v>
      </c>
      <c r="AV24" s="347" t="s">
        <v>3</v>
      </c>
      <c r="AW24" s="347" t="s">
        <v>38</v>
      </c>
      <c r="AX24" s="347" t="s">
        <v>359</v>
      </c>
      <c r="AY24" s="347" t="s">
        <v>38</v>
      </c>
      <c r="AZ24" s="347" t="s">
        <v>359</v>
      </c>
      <c r="BA24" s="347" t="s">
        <v>38</v>
      </c>
      <c r="BB24" s="347" t="s">
        <v>359</v>
      </c>
      <c r="BC24" s="429"/>
      <c r="BD24" s="429"/>
      <c r="BE24" s="418" t="e">
        <f t="shared" si="11"/>
        <v>#VALUE!</v>
      </c>
      <c r="BF24" s="347" t="s">
        <v>356</v>
      </c>
      <c r="BG24" s="430">
        <f>_xll.meDateFromTenor($B24,"-"&amp;BF24,$AW24,$AX24)</f>
        <v>-1</v>
      </c>
      <c r="BH24" s="1006" t="str">
        <f t="shared" si="12"/>
        <v>NATURAL</v>
      </c>
      <c r="BI24" s="1006" t="str">
        <f t="shared" si="8"/>
        <v>NATURAL</v>
      </c>
      <c r="BJ24" s="358">
        <f ca="1">IF($M24="",IF($BG24&lt;COB,'EUR Curve Config'!CurveConfig.FixingRate,""),$M24)</f>
        <v>-2.6900000000000001E-3</v>
      </c>
      <c r="BK24" s="354"/>
      <c r="BL24" s="347" t="s">
        <v>356</v>
      </c>
      <c r="BM24" s="433" t="s">
        <v>358</v>
      </c>
    </row>
    <row r="25" spans="1:66">
      <c r="A25" s="203">
        <v>20</v>
      </c>
      <c r="B25" s="457" t="str">
        <f>IF(OR(D25="",D25=0),"",IF(ISNUMBER($C25),$C25,IF(ISERROR(VALUE(LEFT(C25,1))),_xll.meDateFuturesContract($C25),_xll.meDateFromTenor(COB,$C25,$AM25,$AN25))))</f>
        <v/>
      </c>
      <c r="C25" s="1121"/>
      <c r="D25" s="366"/>
      <c r="E25" s="366"/>
      <c r="F25" s="369"/>
      <c r="G25" s="398"/>
      <c r="H25" s="367"/>
      <c r="I25" s="368"/>
      <c r="J25" s="368"/>
      <c r="K25" s="368" t="s">
        <v>2252</v>
      </c>
      <c r="L25" s="368" t="s">
        <v>2252</v>
      </c>
      <c r="M25" s="367"/>
      <c r="N25" s="421"/>
      <c r="O25" s="421"/>
      <c r="P25" s="379"/>
      <c r="Q25" s="463" t="str">
        <f>IF(OR($D25="",$D25=0),"",_xll.meProductSwapParRate(_xll.meUtilityLVBFromKeysValues($AA$5:$BM$5,$AA25:$BM25),FALSE))</f>
        <v/>
      </c>
      <c r="R25" s="464" t="str">
        <f>IF(OR($D25="",$D25=0),"",_xll.meProductSwapPV(_xll.meUtilityLVBFromKeysValues($AA$5:$BM$5,$AA25:$BM25),FALSE))</f>
        <v/>
      </c>
      <c r="S25" s="464" t="str">
        <f>IF(OR($D25="",$D25=0),"",_xll.meProductSwapLegPV(_xll.meUtilityLVBFromMultipleKeysValues($AB$5:$AG$5,$AB25:$AG25,,$AH$5:$AS$5,$AH25:$AS25,,"LegType","Leg1:Fixed",,"PayReceive",$F25),FALSE))</f>
        <v/>
      </c>
      <c r="T25" s="464" t="str">
        <f>IF(OR($D25="",$D25=0),"",_xll.meProductSwapLegPV(_xll.meUtilityLVBFromMultipleKeysValues($AB$5:$AG$5,$AB25:$AG25,,$AT$5:$BM$5,$AT25:$BM25,,"LegType","Leg2:Float",,"PayReceive",IF($F25="PAYER","RECEIVER","PAYER")),FALSE))</f>
        <v/>
      </c>
      <c r="U25" s="464" t="str">
        <f>IF(OR($D25="",$D25=0),"",_xll.meProductSwapPV01(_xll.meUtilityLVBFromKeysValues($AA$5:$BM$5,$AA25:$BM25),FALSE))</f>
        <v/>
      </c>
      <c r="V25" s="465" t="str">
        <f>IF(OR($D25="",$D25=0),"",_xll.meProductSwapDV01(_xll.meUtilityLVBFromKeysValues($AA$5:$BM$5,$AA25:$BM25),FALSE))</f>
        <v/>
      </c>
      <c r="W25" t="s">
        <v>12</v>
      </c>
      <c r="X25" s="478" t="str">
        <f>IF('JPY Curve Config'!BB28,'JPY Curve Config'!AZ28,"")</f>
        <v/>
      </c>
      <c r="Y25" s="479" t="str">
        <f>IF('JPY Curve Config'!BB28,'JPY Curve Config'!BA28,"")</f>
        <v/>
      </c>
      <c r="AA25" s="668">
        <f t="shared" si="0"/>
        <v>0</v>
      </c>
      <c r="AB25" s="1022">
        <f t="shared" si="1"/>
        <v>0</v>
      </c>
      <c r="AC25" s="437" t="str">
        <f t="shared" si="2"/>
        <v/>
      </c>
      <c r="AD25" s="437" t="str">
        <f>IF(OR(D25="",D25=0),"",IF(ISNUMBER($G25),$G25,IF(ISERROR(VALUE(LEFT(G25,1))),_xll.meDateFuturesContract($G25),_xll.meDateFromTenor($B25,$G25,$AM25,$AN25))))</f>
        <v/>
      </c>
      <c r="AE25" s="438" t="str">
        <f t="shared" si="3"/>
        <v>YC</v>
      </c>
      <c r="AF25" s="438" t="str">
        <f t="shared" si="4"/>
        <v/>
      </c>
      <c r="AG25" s="447" t="str">
        <f t="shared" si="5"/>
        <v>YCDF_</v>
      </c>
      <c r="AH25" s="453" t="s">
        <v>76</v>
      </c>
      <c r="AI25" s="440">
        <f t="shared" si="6"/>
        <v>0</v>
      </c>
      <c r="AJ25" s="439" t="s">
        <v>186</v>
      </c>
      <c r="AK25" s="439" t="s">
        <v>38</v>
      </c>
      <c r="AL25" s="439" t="s">
        <v>359</v>
      </c>
      <c r="AM25" s="439" t="s">
        <v>38</v>
      </c>
      <c r="AN25" s="439" t="s">
        <v>359</v>
      </c>
      <c r="AO25" s="425"/>
      <c r="AP25" s="425"/>
      <c r="AQ25" s="1007" t="e">
        <f t="shared" si="9"/>
        <v>#VALUE!</v>
      </c>
      <c r="AR25" s="439" t="s">
        <v>356</v>
      </c>
      <c r="AS25" s="454" t="s">
        <v>358</v>
      </c>
      <c r="AT25" s="438" t="str">
        <f t="shared" si="10"/>
        <v>Annual</v>
      </c>
      <c r="AU25" s="441">
        <f t="shared" si="7"/>
        <v>0</v>
      </c>
      <c r="AV25" s="439" t="s">
        <v>3</v>
      </c>
      <c r="AW25" s="439" t="s">
        <v>38</v>
      </c>
      <c r="AX25" s="439" t="s">
        <v>359</v>
      </c>
      <c r="AY25" s="439" t="s">
        <v>38</v>
      </c>
      <c r="AZ25" s="439" t="s">
        <v>359</v>
      </c>
      <c r="BA25" s="439" t="s">
        <v>38</v>
      </c>
      <c r="BB25" s="439" t="s">
        <v>359</v>
      </c>
      <c r="BC25" s="425"/>
      <c r="BD25" s="425"/>
      <c r="BE25" s="436" t="e">
        <f t="shared" si="11"/>
        <v>#VALUE!</v>
      </c>
      <c r="BF25" s="439" t="s">
        <v>356</v>
      </c>
      <c r="BG25" s="426">
        <f>_xll.meDateFromTenor($B25,"-"&amp;BF25,$AW25,$AX25)</f>
        <v>-1</v>
      </c>
      <c r="BH25" s="1005" t="str">
        <f t="shared" si="12"/>
        <v>NATURAL</v>
      </c>
      <c r="BI25" s="1005" t="str">
        <f t="shared" si="8"/>
        <v>NATURAL</v>
      </c>
      <c r="BJ25" s="442">
        <f ca="1">IF($M25="",IF($BG25&lt;COB,'EUR Curve Config'!CurveConfig.FixingRate,""),$M25)</f>
        <v>-2.6900000000000001E-3</v>
      </c>
      <c r="BK25" s="443"/>
      <c r="BL25" s="439" t="s">
        <v>356</v>
      </c>
      <c r="BM25" s="444" t="s">
        <v>358</v>
      </c>
    </row>
    <row r="26" spans="1:66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t="s">
        <v>12</v>
      </c>
      <c r="H26" t="s">
        <v>12</v>
      </c>
      <c r="I26" s="363" t="s">
        <v>12</v>
      </c>
      <c r="J26" t="s">
        <v>12</v>
      </c>
      <c r="K26" s="995" t="s">
        <v>12</v>
      </c>
      <c r="L26" s="995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t="s">
        <v>12</v>
      </c>
      <c r="AG26" t="s">
        <v>12</v>
      </c>
      <c r="AH26" t="s">
        <v>12</v>
      </c>
      <c r="AI26" t="s">
        <v>12</v>
      </c>
      <c r="AJ26" t="s">
        <v>12</v>
      </c>
      <c r="AK26" t="s">
        <v>12</v>
      </c>
      <c r="AL26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t="s">
        <v>12</v>
      </c>
      <c r="BA26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H26" s="995" t="s">
        <v>12</v>
      </c>
      <c r="BI26" s="995" t="s">
        <v>12</v>
      </c>
    </row>
    <row r="27" spans="1:66">
      <c r="D27" s="338"/>
      <c r="E27" s="338"/>
      <c r="F27" s="424"/>
      <c r="G27" s="424"/>
      <c r="H27" s="424"/>
      <c r="I27" s="424"/>
      <c r="J27" s="424"/>
      <c r="K27" s="997"/>
      <c r="L27" s="997"/>
      <c r="M27" s="424"/>
      <c r="N27" s="424"/>
      <c r="O27" s="424"/>
      <c r="P27" s="424"/>
      <c r="R27" s="391"/>
      <c r="S27" s="391"/>
      <c r="T27" s="391"/>
    </row>
  </sheetData>
  <mergeCells count="1">
    <mergeCell ref="S2:T2"/>
  </mergeCells>
  <dataValidations count="9">
    <dataValidation type="list" allowBlank="1" showInputMessage="1" showErrorMessage="1" sqref="AS6 BM6">
      <formula1>"None,ShortStart,ShortEnd,LongStart,LongEnd"</formula1>
    </dataValidation>
    <dataValidation type="list" allowBlank="1" showInputMessage="1" showErrorMessage="1" sqref="AW6 AK6 AM6 AY6 BA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P6:P25">
      <formula1>"NOCSA,USDCSA,EURCSA,GBPCSA,JPYCSA"</formula1>
    </dataValidation>
    <dataValidation type="list" allowBlank="1" showInputMessage="1" showErrorMessage="1" sqref="AH6 AT6">
      <formula1>"Annual,Semi-Annual,Quarterly,Monthly"</formula1>
    </dataValidation>
    <dataValidation type="list" allowBlank="1" showInputMessage="1" showErrorMessage="1" sqref="I6:I25">
      <formula1>"1ML,3ML,6ML"</formula1>
    </dataValidation>
    <dataValidation type="list" allowBlank="1" showInputMessage="1" showErrorMessage="1" sqref="N6:O25">
      <formula1>"IMM,EOM,1,2,3,4,5,6,7,8,9,10,11,12,13,14,15,16,17,18,19,20,21,22,23,24,25,26,27,28,29,30,31"</formula1>
    </dataValidation>
    <dataValidation type="list" allowBlank="1" showInputMessage="1" showErrorMessage="1" sqref="AX6 AL6 AN6 AZ6 BB6">
      <formula1>"TGT,NYB:LNB,LNB,TKB:LNB"</formula1>
    </dataValidation>
    <dataValidation type="list" allowBlank="1" showInputMessage="1" showErrorMessage="1" sqref="AJ6 AV6">
      <formula1>"30/360,ACT/360,ACT/365"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006600"/>
  </sheetPr>
  <dimension ref="A2:V42"/>
  <sheetViews>
    <sheetView showGridLines="0" workbookViewId="0"/>
  </sheetViews>
  <sheetFormatPr defaultRowHeight="15"/>
  <cols>
    <col min="1" max="1" width="4.7109375" customWidth="1"/>
    <col min="2" max="3" width="15.7109375" customWidth="1"/>
    <col min="4" max="4" width="4.7109375" customWidth="1"/>
    <col min="5" max="7" width="15.7109375" customWidth="1"/>
    <col min="8" max="8" width="10.7109375" customWidth="1"/>
    <col min="9" max="10" width="15.7109375" customWidth="1"/>
    <col min="11" max="11" width="10.7109375" customWidth="1"/>
    <col min="12" max="12" width="4.7109375" customWidth="1"/>
    <col min="13" max="13" width="22.42578125" bestFit="1" customWidth="1"/>
    <col min="14" max="18" width="15.7109375" customWidth="1"/>
    <col min="19" max="19" width="4.7109375" customWidth="1"/>
    <col min="20" max="20" width="10.7109375" customWidth="1"/>
    <col min="21" max="22" width="15.7109375" customWidth="1"/>
  </cols>
  <sheetData>
    <row r="2" spans="1:22">
      <c r="B2" s="1419">
        <f ca="1">COB</f>
        <v>43224</v>
      </c>
      <c r="C2" s="995"/>
      <c r="D2" s="995"/>
      <c r="E2" s="1365" t="s">
        <v>2623</v>
      </c>
      <c r="F2" s="995"/>
      <c r="G2" s="995"/>
      <c r="H2" s="995"/>
      <c r="I2" s="995"/>
      <c r="J2" s="995"/>
      <c r="K2" s="995"/>
      <c r="L2" s="995"/>
      <c r="M2" s="995"/>
      <c r="N2" s="995"/>
      <c r="O2" s="995"/>
      <c r="P2" s="995"/>
      <c r="Q2" s="995"/>
      <c r="R2" s="995"/>
    </row>
    <row r="3" spans="1:22">
      <c r="B3" s="995"/>
      <c r="C3" s="995"/>
      <c r="D3" s="995"/>
      <c r="E3" s="995"/>
      <c r="F3" s="995"/>
      <c r="G3" s="995"/>
      <c r="H3" s="995"/>
      <c r="I3" s="995"/>
      <c r="J3" s="995"/>
      <c r="K3" s="995"/>
      <c r="L3" s="995"/>
      <c r="M3" s="995"/>
      <c r="N3" s="995"/>
      <c r="O3" s="995"/>
      <c r="P3" s="995"/>
      <c r="Q3" s="995"/>
      <c r="R3" s="995"/>
    </row>
    <row r="4" spans="1:22">
      <c r="B4" s="1001" t="s">
        <v>2552</v>
      </c>
      <c r="C4" s="995"/>
      <c r="D4" s="995"/>
      <c r="E4" s="995"/>
      <c r="F4" s="995"/>
      <c r="G4" s="995"/>
      <c r="H4" s="995"/>
      <c r="I4" s="995"/>
      <c r="J4" s="995"/>
      <c r="K4" s="995"/>
      <c r="L4" s="203"/>
      <c r="M4" s="1001" t="s">
        <v>2553</v>
      </c>
      <c r="N4" s="995"/>
      <c r="O4" s="995"/>
      <c r="P4" s="995"/>
      <c r="Q4" s="995"/>
      <c r="R4" s="995"/>
      <c r="T4" s="1001" t="s">
        <v>2624</v>
      </c>
    </row>
    <row r="5" spans="1:22">
      <c r="B5" s="995"/>
      <c r="C5" s="110" t="s">
        <v>2554</v>
      </c>
      <c r="D5" s="995"/>
      <c r="E5" s="995"/>
      <c r="F5" s="995"/>
      <c r="G5" s="110" t="s">
        <v>2555</v>
      </c>
      <c r="H5" s="995"/>
      <c r="I5" s="995"/>
      <c r="J5" s="995"/>
      <c r="K5" s="995"/>
      <c r="L5" s="203"/>
      <c r="M5" s="995"/>
      <c r="N5" s="995"/>
      <c r="O5" s="995"/>
      <c r="P5" s="995"/>
      <c r="Q5" s="995"/>
      <c r="R5" s="995"/>
    </row>
    <row r="6" spans="1:22">
      <c r="B6" s="997" t="s">
        <v>1768</v>
      </c>
      <c r="C6" s="1129" t="s">
        <v>1769</v>
      </c>
      <c r="D6" s="1129"/>
      <c r="E6" s="1129" t="s">
        <v>1768</v>
      </c>
      <c r="F6" s="997" t="s">
        <v>2019</v>
      </c>
      <c r="G6" s="997" t="s">
        <v>2122</v>
      </c>
      <c r="H6" s="997" t="s">
        <v>2258</v>
      </c>
      <c r="I6" s="997" t="s">
        <v>354</v>
      </c>
      <c r="J6" s="997" t="s">
        <v>1772</v>
      </c>
      <c r="K6" s="997" t="s">
        <v>1998</v>
      </c>
      <c r="L6" s="203"/>
      <c r="M6" s="997" t="s">
        <v>2000</v>
      </c>
      <c r="N6" s="997" t="s">
        <v>1770</v>
      </c>
      <c r="O6" s="997" t="s">
        <v>1805</v>
      </c>
      <c r="P6" s="997" t="s">
        <v>1445</v>
      </c>
      <c r="Q6" s="997" t="s">
        <v>1077</v>
      </c>
      <c r="R6" s="997" t="s">
        <v>1752</v>
      </c>
      <c r="T6" s="997" t="s">
        <v>890</v>
      </c>
      <c r="U6" s="997" t="s">
        <v>1805</v>
      </c>
      <c r="V6" s="1408" t="s">
        <v>1999</v>
      </c>
    </row>
    <row r="7" spans="1:22">
      <c r="A7" s="203">
        <v>1</v>
      </c>
      <c r="B7" s="1130">
        <f ca="1">IF(E7="","",_xll.meDateFromTenor($B$2,E7,"MOD_FOLLOWING","LNB:TKB",""))</f>
        <v>43229</v>
      </c>
      <c r="C7" s="1131">
        <f ca="1">IF(F7="","",_xll.meDateFromTenor(B7,F7,))</f>
        <v>43594</v>
      </c>
      <c r="D7" s="203">
        <v>1</v>
      </c>
      <c r="E7" s="1149" t="s">
        <v>361</v>
      </c>
      <c r="F7" s="973" t="s">
        <v>154</v>
      </c>
      <c r="G7" s="1366" t="s">
        <v>2556</v>
      </c>
      <c r="H7" s="967" t="s">
        <v>1995</v>
      </c>
      <c r="I7" s="968">
        <v>1000000</v>
      </c>
      <c r="J7" s="1367">
        <v>0.01</v>
      </c>
      <c r="K7" s="1368">
        <v>0</v>
      </c>
      <c r="L7" s="203">
        <v>1</v>
      </c>
      <c r="M7" s="1369" t="str">
        <f ca="1">IF(G7="","",_xll.meLWOSwapCreateFromGenerator("JPY_LCH"&amp;L7,G7,H7,I7,B7,C7,J7,K7))</f>
        <v>JPY_LCH1@191:0</v>
      </c>
      <c r="N7" s="1013" t="str">
        <f>IF(G7="","","JPYYC_LCH")</f>
        <v>JPYYC_LCH</v>
      </c>
      <c r="O7" s="697" t="str">
        <f ca="1">IF(M7="","",_xll.meLWOSwapParRate($M7,$N7))</f>
        <v>[2018/05/04 09:52] #Error: Invalid Curve: CurveCollection 'JPYYC_LCH' does not exist</v>
      </c>
      <c r="P7" s="1033" t="str">
        <f ca="1">IF(M7="","",_xll.meLWOSwapPV($M7,$N7))</f>
        <v>[2018/05/04 09:52] #Error: Invalid Curve: CurveCollection 'JPYYC_LCH' does not exist</v>
      </c>
      <c r="Q7" s="1033" t="str">
        <f ca="1">IF(M7="","",_xll.meLWOSwapPV01($M7,$N7))</f>
        <v>[2018/05/04 09:52] #Error: Invalid Curve: CurveCollection 'JPYYC_LCH' does not exist</v>
      </c>
      <c r="R7" s="1112" t="str">
        <f t="array" aca="1" ref="R7:R42" ca="1">_xll.meUtilityResize(_xll.meLWOSwapDV01(_xll.meUtilityClean($M7:$M42),_xll.meUtilityClean($N7:$N42),,,,"SWAP",FALSE),100,10)</f>
        <v>[2018/05/04 09:52] #Error: Invalid Curve: CurveCollection 'JPYYC_LCH' does not exist</v>
      </c>
      <c r="T7" s="1409" t="str">
        <f>'JPY-LCH Curve'!Q38</f>
        <v>1Y</v>
      </c>
      <c r="U7" s="1410" t="e">
        <f ca="1">'JPY-LCH Curve'!R38</f>
        <v>#VALUE!</v>
      </c>
      <c r="V7" s="1411" t="e">
        <f ca="1">U7-O7</f>
        <v>#VALUE!</v>
      </c>
    </row>
    <row r="8" spans="1:22">
      <c r="A8" s="203">
        <v>2</v>
      </c>
      <c r="B8" s="1015">
        <f ca="1">IF(E8="","",_xll.meDateFromTenor($B$2,E8,"MOD_FOLLOWING","LNB:TKB",""))</f>
        <v>43229</v>
      </c>
      <c r="C8" s="1132">
        <f ca="1">IF(F8="","",_xll.meDateFromTenor(B8,F8,))</f>
        <v>43778</v>
      </c>
      <c r="D8" s="203">
        <v>2</v>
      </c>
      <c r="E8" s="1370" t="s">
        <v>361</v>
      </c>
      <c r="F8" s="975" t="s">
        <v>43</v>
      </c>
      <c r="G8" s="1371" t="s">
        <v>2556</v>
      </c>
      <c r="H8" s="969" t="s">
        <v>1995</v>
      </c>
      <c r="I8" s="970">
        <v>1000000</v>
      </c>
      <c r="J8" s="1372">
        <v>0.01</v>
      </c>
      <c r="K8" s="1373">
        <v>0</v>
      </c>
      <c r="L8" s="203">
        <v>2</v>
      </c>
      <c r="M8" s="1374" t="str">
        <f ca="1">IF(G8="","",_xll.meLWOSwapCreateFromGenerator("JPY_LCH"&amp;L8,G8,H8,I8,B8,C8,J8,K8))</f>
        <v>JPY_LCH2@185:0</v>
      </c>
      <c r="N8" s="1004" t="str">
        <f t="shared" ref="N8:N42" si="0">IF(G8="","","JPYYC_LCH")</f>
        <v>JPYYC_LCH</v>
      </c>
      <c r="O8" s="1036" t="str">
        <f ca="1">IF(M8="","",_xll.meLWOSwapParRate($M8,$N8))</f>
        <v>[2018/05/04 09:52] #Error: Invalid Curve: CurveCollection 'JPYYC_LCH' does not exist</v>
      </c>
      <c r="P8" s="1016" t="str">
        <f ca="1">IF(M8="","",_xll.meLWOSwapPV($M8,$N8))</f>
        <v>[2018/05/04 09:52] #Error: Invalid Curve: CurveCollection 'JPYYC_LCH' does not exist</v>
      </c>
      <c r="Q8" s="1016" t="str">
        <f ca="1">IF(M8="","",_xll.meLWOSwapPV01($M8,$N8))</f>
        <v>[2018/05/04 09:52] #Error: Invalid Curve: CurveCollection 'JPYYC_LCH' does not exist</v>
      </c>
      <c r="R8" s="1028" t="str">
        <f ca="1"/>
        <v/>
      </c>
      <c r="T8" s="1412" t="str">
        <f>'JPY-LCH Curve'!Q39</f>
        <v>18M</v>
      </c>
      <c r="U8" s="358" t="e">
        <f ca="1">'JPY-LCH Curve'!R39</f>
        <v>#VALUE!</v>
      </c>
      <c r="V8" s="1413" t="e">
        <f t="shared" ref="V8:V22" ca="1" si="1">U8-O8</f>
        <v>#VALUE!</v>
      </c>
    </row>
    <row r="9" spans="1:22">
      <c r="A9" s="203">
        <v>3</v>
      </c>
      <c r="B9" s="1015">
        <f ca="1">IF(E9="","",_xll.meDateFromTenor($B$2,E9,"MOD_FOLLOWING","LNB:TKB",""))</f>
        <v>43229</v>
      </c>
      <c r="C9" s="1132">
        <f ca="1">IF(F9="","",_xll.meDateFromTenor(B9,F9,))</f>
        <v>43960</v>
      </c>
      <c r="D9" s="203">
        <v>3</v>
      </c>
      <c r="E9" s="1370" t="s">
        <v>361</v>
      </c>
      <c r="F9" s="975" t="s">
        <v>40</v>
      </c>
      <c r="G9" s="1371" t="s">
        <v>2556</v>
      </c>
      <c r="H9" s="969" t="s">
        <v>1995</v>
      </c>
      <c r="I9" s="970">
        <v>1000000</v>
      </c>
      <c r="J9" s="1372">
        <v>0.01</v>
      </c>
      <c r="K9" s="1373">
        <v>0</v>
      </c>
      <c r="L9" s="203">
        <v>3</v>
      </c>
      <c r="M9" s="1374" t="str">
        <f ca="1">IF(G9="","",_xll.meLWOSwapCreateFromGenerator("JPY_LCH"&amp;L9,G9,H9,I9,B9,C9,J9,K9))</f>
        <v>JPY_LCH3@168:0</v>
      </c>
      <c r="N9" s="1004" t="str">
        <f t="shared" si="0"/>
        <v>JPYYC_LCH</v>
      </c>
      <c r="O9" s="1036" t="str">
        <f ca="1">IF(M9="","",_xll.meLWOSwapParRate($M9,$N9))</f>
        <v>[2018/05/04 09:52] #Error: Invalid Curve: CurveCollection 'JPYYC_LCH' does not exist</v>
      </c>
      <c r="P9" s="1016" t="str">
        <f ca="1">IF(M9="","",_xll.meLWOSwapPV($M9,$N9))</f>
        <v>[2018/05/04 09:52] #Error: Invalid Curve: CurveCollection 'JPYYC_LCH' does not exist</v>
      </c>
      <c r="Q9" s="1016" t="str">
        <f ca="1">IF(M9="","",_xll.meLWOSwapPV01($M9,$N9))</f>
        <v>[2018/05/04 09:52] #Error: Invalid Curve: CurveCollection 'JPYYC_LCH' does not exist</v>
      </c>
      <c r="R9" s="1028" t="str">
        <f ca="1"/>
        <v/>
      </c>
      <c r="T9" s="1412" t="str">
        <f>'JPY-LCH Curve'!Q40</f>
        <v>2Y</v>
      </c>
      <c r="U9" s="358" t="e">
        <f ca="1">'JPY-LCH Curve'!R40</f>
        <v>#VALUE!</v>
      </c>
      <c r="V9" s="1413" t="e">
        <f t="shared" ca="1" si="1"/>
        <v>#VALUE!</v>
      </c>
    </row>
    <row r="10" spans="1:22">
      <c r="A10" s="203">
        <v>4</v>
      </c>
      <c r="B10" s="1015">
        <f ca="1">IF(E10="","",_xll.meDateFromTenor($B$2,E10,"MOD_FOLLOWING","LNB:TKB",""))</f>
        <v>43229</v>
      </c>
      <c r="C10" s="1132">
        <f ca="1">IF(F10="","",_xll.meDateFromTenor(B10,F10,))</f>
        <v>44325</v>
      </c>
      <c r="D10" s="203">
        <v>4</v>
      </c>
      <c r="E10" s="1370" t="s">
        <v>361</v>
      </c>
      <c r="F10" s="975" t="s">
        <v>37</v>
      </c>
      <c r="G10" s="1371" t="s">
        <v>2556</v>
      </c>
      <c r="H10" s="969" t="s">
        <v>1995</v>
      </c>
      <c r="I10" s="970">
        <v>1000000</v>
      </c>
      <c r="J10" s="1372">
        <v>0.01</v>
      </c>
      <c r="K10" s="1373">
        <v>0</v>
      </c>
      <c r="L10" s="203">
        <v>4</v>
      </c>
      <c r="M10" s="1374" t="str">
        <f ca="1">IF(G10="","",_xll.meLWOSwapCreateFromGenerator("JPY_LCH"&amp;L10,G10,H10,I10,B10,C10,J10,K10))</f>
        <v>JPY_LCH4@167:0</v>
      </c>
      <c r="N10" s="1004" t="str">
        <f t="shared" si="0"/>
        <v>JPYYC_LCH</v>
      </c>
      <c r="O10" s="1036" t="str">
        <f ca="1">IF(M10="","",_xll.meLWOSwapParRate($M10,$N10))</f>
        <v>[2018/05/04 09:52] #Error: Invalid Curve: CurveCollection 'JPYYC_LCH' does not exist</v>
      </c>
      <c r="P10" s="1016" t="str">
        <f ca="1">IF(M10="","",_xll.meLWOSwapPV($M10,$N10))</f>
        <v>[2018/05/04 09:52] #Error: Invalid Curve: CurveCollection 'JPYYC_LCH' does not exist</v>
      </c>
      <c r="Q10" s="1016" t="str">
        <f ca="1">IF(M10="","",_xll.meLWOSwapPV01($M10,$N10))</f>
        <v>[2018/05/04 09:52] #Error: Invalid Curve: CurveCollection 'JPYYC_LCH' does not exist</v>
      </c>
      <c r="R10" s="1028" t="str">
        <f ca="1"/>
        <v/>
      </c>
      <c r="T10" s="1412" t="str">
        <f>'JPY-LCH Curve'!Q41</f>
        <v>3Y</v>
      </c>
      <c r="U10" s="358" t="e">
        <f ca="1">'JPY-LCH Curve'!R41</f>
        <v>#VALUE!</v>
      </c>
      <c r="V10" s="1413" t="e">
        <f t="shared" ca="1" si="1"/>
        <v>#VALUE!</v>
      </c>
    </row>
    <row r="11" spans="1:22">
      <c r="A11" s="203">
        <v>5</v>
      </c>
      <c r="B11" s="1015">
        <f ca="1">IF(E11="","",_xll.meDateFromTenor($B$2,E11,"MOD_FOLLOWING","LNB:TKB",""))</f>
        <v>43229</v>
      </c>
      <c r="C11" s="1132">
        <f ca="1">IF(F11="","",_xll.meDateFromTenor(B11,F11,))</f>
        <v>44690</v>
      </c>
      <c r="D11" s="203">
        <v>5</v>
      </c>
      <c r="E11" s="1370" t="s">
        <v>361</v>
      </c>
      <c r="F11" s="975" t="s">
        <v>33</v>
      </c>
      <c r="G11" s="1371" t="s">
        <v>2556</v>
      </c>
      <c r="H11" s="969" t="s">
        <v>1995</v>
      </c>
      <c r="I11" s="970">
        <v>1000000</v>
      </c>
      <c r="J11" s="1372">
        <v>0.01</v>
      </c>
      <c r="K11" s="1373">
        <v>0</v>
      </c>
      <c r="L11" s="203">
        <v>5</v>
      </c>
      <c r="M11" s="1374" t="str">
        <f ca="1">IF(G11="","",_xll.meLWOSwapCreateFromGenerator("JPY_LCH"&amp;L11,G11,H11,I11,B11,C11,J11,K11))</f>
        <v>JPY_LCH5@177:0</v>
      </c>
      <c r="N11" s="1004" t="str">
        <f t="shared" si="0"/>
        <v>JPYYC_LCH</v>
      </c>
      <c r="O11" s="1036" t="str">
        <f ca="1">IF(M11="","",_xll.meLWOSwapParRate($M11,$N11))</f>
        <v>[2018/05/04 09:52] #Error: Invalid Curve: CurveCollection 'JPYYC_LCH' does not exist</v>
      </c>
      <c r="P11" s="1016" t="str">
        <f ca="1">IF(M11="","",_xll.meLWOSwapPV($M11,$N11))</f>
        <v>[2018/05/04 09:52] #Error: Invalid Curve: CurveCollection 'JPYYC_LCH' does not exist</v>
      </c>
      <c r="Q11" s="1016" t="str">
        <f ca="1">IF(M11="","",_xll.meLWOSwapPV01($M11,$N11))</f>
        <v>[2018/05/04 09:52] #Error: Invalid Curve: CurveCollection 'JPYYC_LCH' does not exist</v>
      </c>
      <c r="R11" s="1028" t="str">
        <f ca="1"/>
        <v/>
      </c>
      <c r="T11" s="1412" t="str">
        <f>'JPY-LCH Curve'!Q42</f>
        <v>4Y</v>
      </c>
      <c r="U11" s="358" t="e">
        <f ca="1">'JPY-LCH Curve'!R42</f>
        <v>#VALUE!</v>
      </c>
      <c r="V11" s="1413" t="e">
        <f t="shared" ca="1" si="1"/>
        <v>#VALUE!</v>
      </c>
    </row>
    <row r="12" spans="1:22">
      <c r="A12" s="203">
        <v>6</v>
      </c>
      <c r="B12" s="1015">
        <f ca="1">IF(E12="","",_xll.meDateFromTenor($B$2,E12,"MOD_FOLLOWING","LNB:TKB",""))</f>
        <v>43229</v>
      </c>
      <c r="C12" s="1132">
        <f ca="1">IF(F12="","",_xll.meDateFromTenor(B12,F12,))</f>
        <v>45055</v>
      </c>
      <c r="D12" s="203">
        <v>6</v>
      </c>
      <c r="E12" s="1370" t="s">
        <v>361</v>
      </c>
      <c r="F12" s="975" t="s">
        <v>31</v>
      </c>
      <c r="G12" s="1371" t="s">
        <v>2556</v>
      </c>
      <c r="H12" s="969" t="s">
        <v>1995</v>
      </c>
      <c r="I12" s="970">
        <v>1000000</v>
      </c>
      <c r="J12" s="1372">
        <v>0.01</v>
      </c>
      <c r="K12" s="1373">
        <v>0</v>
      </c>
      <c r="L12" s="203">
        <v>6</v>
      </c>
      <c r="M12" s="1374" t="str">
        <f ca="1">IF(G12="","",_xll.meLWOSwapCreateFromGenerator("JPY_LCH"&amp;L12,G12,H12,I12,B12,C12,J12,K12))</f>
        <v>JPY_LCH6@192:0</v>
      </c>
      <c r="N12" s="1004" t="str">
        <f t="shared" si="0"/>
        <v>JPYYC_LCH</v>
      </c>
      <c r="O12" s="1036" t="str">
        <f ca="1">IF(M12="","",_xll.meLWOSwapParRate($M12,$N12))</f>
        <v>[2018/05/04 09:52] #Error: Invalid Curve: CurveCollection 'JPYYC_LCH' does not exist</v>
      </c>
      <c r="P12" s="1016" t="str">
        <f ca="1">IF(M12="","",_xll.meLWOSwapPV($M12,$N12))</f>
        <v>[2018/05/04 09:52] #Error: Invalid Curve: CurveCollection 'JPYYC_LCH' does not exist</v>
      </c>
      <c r="Q12" s="1016">
        <f ca="1">IF(M12="","",_xll.meLWOSwapPV01($M12,$N12))</f>
        <v>500.27397260275262</v>
      </c>
      <c r="R12" s="1028" t="str">
        <f ca="1"/>
        <v/>
      </c>
      <c r="T12" s="1412" t="str">
        <f>'JPY-LCH Curve'!Q43</f>
        <v>5Y</v>
      </c>
      <c r="U12" s="358" t="e">
        <f ca="1">'JPY-LCH Curve'!R43</f>
        <v>#VALUE!</v>
      </c>
      <c r="V12" s="1413" t="e">
        <f t="shared" ca="1" si="1"/>
        <v>#VALUE!</v>
      </c>
    </row>
    <row r="13" spans="1:22">
      <c r="A13" s="203">
        <v>7</v>
      </c>
      <c r="B13" s="1015">
        <f ca="1">IF(E13="","",_xll.meDateFromTenor($B$2,E13,"MOD_FOLLOWING","LNB:TKB",""))</f>
        <v>43229</v>
      </c>
      <c r="C13" s="1132">
        <f ca="1">IF(F13="","",_xll.meDateFromTenor(B13,F13,))</f>
        <v>45421</v>
      </c>
      <c r="D13" s="203">
        <v>7</v>
      </c>
      <c r="E13" s="1370" t="s">
        <v>361</v>
      </c>
      <c r="F13" s="975" t="s">
        <v>127</v>
      </c>
      <c r="G13" s="1371" t="s">
        <v>2556</v>
      </c>
      <c r="H13" s="969" t="s">
        <v>1995</v>
      </c>
      <c r="I13" s="970">
        <v>1000000</v>
      </c>
      <c r="J13" s="1372">
        <v>0.01</v>
      </c>
      <c r="K13" s="1373">
        <v>0</v>
      </c>
      <c r="L13" s="203">
        <v>7</v>
      </c>
      <c r="M13" s="1374" t="str">
        <f ca="1">IF(G13="","",_xll.meLWOSwapCreateFromGenerator("JPY_LCH"&amp;L13,G13,H13,I13,B13,C13,J13,K13))</f>
        <v>JPY_LCH7@182:0</v>
      </c>
      <c r="N13" s="1004" t="str">
        <f t="shared" si="0"/>
        <v>JPYYC_LCH</v>
      </c>
      <c r="O13" s="1036" t="str">
        <f ca="1">IF(M13="","",_xll.meLWOSwapParRate($M13,$N13))</f>
        <v>[2018/05/04 09:52] #Error: Invalid Curve: CurveCollection 'JPYYC_LCH' does not exist</v>
      </c>
      <c r="P13" s="1016" t="str">
        <f ca="1">IF(M13="","",_xll.meLWOSwapPV($M13,$N13))</f>
        <v>[2018/05/04 09:52] #Error: Invalid Curve: CurveCollection 'JPYYC_LCH' does not exist</v>
      </c>
      <c r="Q13" s="1016" t="str">
        <f ca="1">IF(M13="","",_xll.meLWOSwapPV01($M13,$N13))</f>
        <v>[2018/05/04 09:52] #Error: Invalid Curve: CurveCollection 'JPYYC_LCH' does not exist</v>
      </c>
      <c r="R13" s="1028" t="str">
        <f ca="1"/>
        <v/>
      </c>
      <c r="T13" s="1412" t="str">
        <f>'JPY-LCH Curve'!Q44</f>
        <v>6Y</v>
      </c>
      <c r="U13" s="358" t="e">
        <f ca="1">'JPY-LCH Curve'!R44</f>
        <v>#VALUE!</v>
      </c>
      <c r="V13" s="1413" t="e">
        <f t="shared" ca="1" si="1"/>
        <v>#VALUE!</v>
      </c>
    </row>
    <row r="14" spans="1:22">
      <c r="A14" s="203">
        <v>8</v>
      </c>
      <c r="B14" s="1015">
        <f ca="1">IF(E14="","",_xll.meDateFromTenor($B$2,E14,"MOD_FOLLOWING","LNB:TKB",""))</f>
        <v>43229</v>
      </c>
      <c r="C14" s="1132">
        <f ca="1">IF(F14="","",_xll.meDateFromTenor(B14,F14,))</f>
        <v>45786</v>
      </c>
      <c r="D14" s="203">
        <v>8</v>
      </c>
      <c r="E14" s="1370" t="s">
        <v>361</v>
      </c>
      <c r="F14" s="975" t="s">
        <v>29</v>
      </c>
      <c r="G14" s="1371" t="s">
        <v>2556</v>
      </c>
      <c r="H14" s="969" t="s">
        <v>1995</v>
      </c>
      <c r="I14" s="970">
        <v>1000000</v>
      </c>
      <c r="J14" s="1372">
        <v>0.01</v>
      </c>
      <c r="K14" s="1373">
        <v>0</v>
      </c>
      <c r="L14" s="203">
        <v>8</v>
      </c>
      <c r="M14" s="1374" t="str">
        <f ca="1">IF(G14="","",_xll.meLWOSwapCreateFromGenerator("JPY_LCH"&amp;L14,G14,H14,I14,B14,C14,J14,K14))</f>
        <v>JPY_LCH8@180:0</v>
      </c>
      <c r="N14" s="1004" t="str">
        <f t="shared" si="0"/>
        <v>JPYYC_LCH</v>
      </c>
      <c r="O14" s="1036" t="str">
        <f ca="1">IF(M14="","",_xll.meLWOSwapParRate($M14,$N14))</f>
        <v>[2018/05/04 09:52] #Error: Invalid Curve: CurveCollection 'JPYYC_LCH' does not exist</v>
      </c>
      <c r="P14" s="1016" t="str">
        <f ca="1">IF(M14="","",_xll.meLWOSwapPV($M14,$N14))</f>
        <v>[2018/05/04 09:52] #Error: Invalid Curve: CurveCollection 'JPYYC_LCH' does not exist</v>
      </c>
      <c r="Q14" s="1016" t="str">
        <f ca="1">IF(M14="","",_xll.meLWOSwapPV01($M14,$N14))</f>
        <v>[2018/05/04 09:52] #Error: Invalid Curve: CurveCollection 'JPYYC_LCH' does not exist</v>
      </c>
      <c r="R14" s="1028" t="str">
        <f ca="1"/>
        <v/>
      </c>
      <c r="T14" s="1412" t="str">
        <f>'JPY-LCH Curve'!Q45</f>
        <v>7Y</v>
      </c>
      <c r="U14" s="358" t="e">
        <f ca="1">'JPY-LCH Curve'!R45</f>
        <v>#VALUE!</v>
      </c>
      <c r="V14" s="1413" t="e">
        <f t="shared" ca="1" si="1"/>
        <v>#VALUE!</v>
      </c>
    </row>
    <row r="15" spans="1:22">
      <c r="A15" s="203">
        <v>9</v>
      </c>
      <c r="B15" s="1015">
        <f ca="1">IF(E15="","",_xll.meDateFromTenor($B$2,E15,"MOD_FOLLOWING","LNB:TKB",""))</f>
        <v>43229</v>
      </c>
      <c r="C15" s="1132">
        <f ca="1">IF(F15="","",_xll.meDateFromTenor(B15,F15,))</f>
        <v>46151</v>
      </c>
      <c r="D15" s="203">
        <v>9</v>
      </c>
      <c r="E15" s="1370" t="s">
        <v>361</v>
      </c>
      <c r="F15" s="975" t="s">
        <v>115</v>
      </c>
      <c r="G15" s="1371" t="s">
        <v>2556</v>
      </c>
      <c r="H15" s="969" t="s">
        <v>1995</v>
      </c>
      <c r="I15" s="970">
        <v>1000000</v>
      </c>
      <c r="J15" s="1372">
        <v>0.01</v>
      </c>
      <c r="K15" s="1373">
        <v>0</v>
      </c>
      <c r="L15" s="203">
        <v>9</v>
      </c>
      <c r="M15" s="1374" t="str">
        <f ca="1">IF(G15="","",_xll.meLWOSwapCreateFromGenerator("JPY_LCH"&amp;L15,G15,H15,I15,B15,C15,J15,K15))</f>
        <v>JPY_LCH9@195:0</v>
      </c>
      <c r="N15" s="1004" t="str">
        <f t="shared" si="0"/>
        <v>JPYYC_LCH</v>
      </c>
      <c r="O15" s="1036" t="str">
        <f ca="1">IF(M15="","",_xll.meLWOSwapParRate($M15,$N15))</f>
        <v>[2018/05/04 09:52] #Error: Invalid Curve: CurveCollection 'JPYYC_LCH' does not exist</v>
      </c>
      <c r="P15" s="1016" t="str">
        <f ca="1">IF(M15="","",_xll.meLWOSwapPV($M15,$N15))</f>
        <v>[2018/05/04 09:52] #Error: Invalid Curve: CurveCollection 'JPYYC_LCH' does not exist</v>
      </c>
      <c r="Q15" s="1016" t="str">
        <f ca="1">IF(M15="","",_xll.meLWOSwapPV01($M15,$N15))</f>
        <v>[2018/05/04 09:52] #Error: Invalid Curve: CurveCollection 'JPYYC_LCH' does not exist</v>
      </c>
      <c r="R15" s="1028" t="str">
        <f ca="1"/>
        <v/>
      </c>
      <c r="T15" s="1412" t="str">
        <f>'JPY-LCH Curve'!Q46</f>
        <v>8Y</v>
      </c>
      <c r="U15" s="358" t="e">
        <f ca="1">'JPY-LCH Curve'!R46</f>
        <v>#VALUE!</v>
      </c>
      <c r="V15" s="1413" t="e">
        <f t="shared" ca="1" si="1"/>
        <v>#VALUE!</v>
      </c>
    </row>
    <row r="16" spans="1:22">
      <c r="A16" s="203">
        <v>10</v>
      </c>
      <c r="B16" s="1015">
        <f ca="1">IF(E16="","",_xll.meDateFromTenor($B$2,E16,"MOD_FOLLOWING","LNB:TKB",""))</f>
        <v>43229</v>
      </c>
      <c r="C16" s="1132">
        <f ca="1">IF(F16="","",_xll.meDateFromTenor(B16,F16,))</f>
        <v>46516</v>
      </c>
      <c r="D16" s="203">
        <v>10</v>
      </c>
      <c r="E16" s="1370" t="s">
        <v>361</v>
      </c>
      <c r="F16" s="975" t="s">
        <v>109</v>
      </c>
      <c r="G16" s="1371" t="s">
        <v>2556</v>
      </c>
      <c r="H16" s="969" t="s">
        <v>1995</v>
      </c>
      <c r="I16" s="970">
        <v>1000000</v>
      </c>
      <c r="J16" s="1372">
        <v>0.01</v>
      </c>
      <c r="K16" s="1373">
        <v>0</v>
      </c>
      <c r="L16" s="203">
        <v>10</v>
      </c>
      <c r="M16" s="1374" t="str">
        <f ca="1">IF(G16="","",_xll.meLWOSwapCreateFromGenerator("JPY_LCH"&amp;L16,G16,H16,I16,B16,C16,J16,K16))</f>
        <v>JPY_LCH10@183:0</v>
      </c>
      <c r="N16" s="1004" t="str">
        <f t="shared" si="0"/>
        <v>JPYYC_LCH</v>
      </c>
      <c r="O16" s="1036" t="str">
        <f ca="1">IF(M16="","",_xll.meLWOSwapParRate($M16,$N16))</f>
        <v>[2018/05/04 09:52] #Error: Invalid Curve: CurveCollection 'JPYYC_LCH' does not exist</v>
      </c>
      <c r="P16" s="1016" t="str">
        <f ca="1">IF(M16="","",_xll.meLWOSwapPV($M16,$N16))</f>
        <v>[2018/05/04 09:52] #Error: Invalid Curve: CurveCollection 'JPYYC_LCH' does not exist</v>
      </c>
      <c r="Q16" s="1016" t="str">
        <f ca="1">IF(M16="","",_xll.meLWOSwapPV01($M16,$N16))</f>
        <v>[2018/05/04 09:52] #Error: Invalid Curve: CurveCollection 'JPYYC_LCH' does not exist</v>
      </c>
      <c r="R16" s="1028" t="str">
        <f ca="1"/>
        <v/>
      </c>
      <c r="T16" s="1412" t="str">
        <f>'JPY-LCH Curve'!Q47</f>
        <v>9Y</v>
      </c>
      <c r="U16" s="358" t="e">
        <f ca="1">'JPY-LCH Curve'!R47</f>
        <v>#VALUE!</v>
      </c>
      <c r="V16" s="1413" t="e">
        <f t="shared" ca="1" si="1"/>
        <v>#VALUE!</v>
      </c>
    </row>
    <row r="17" spans="1:22">
      <c r="A17" s="203">
        <v>11</v>
      </c>
      <c r="B17" s="1015">
        <f ca="1">IF(E17="","",_xll.meDateFromTenor($B$2,E17,"MOD_FOLLOWING","LNB:TKB",""))</f>
        <v>43229</v>
      </c>
      <c r="C17" s="1132">
        <f ca="1">IF(F17="","",_xll.meDateFromTenor(B17,F17,))</f>
        <v>46882</v>
      </c>
      <c r="D17" s="203">
        <v>11</v>
      </c>
      <c r="E17" s="1370" t="s">
        <v>361</v>
      </c>
      <c r="F17" s="975" t="s">
        <v>27</v>
      </c>
      <c r="G17" s="1371" t="s">
        <v>2556</v>
      </c>
      <c r="H17" s="969" t="s">
        <v>1995</v>
      </c>
      <c r="I17" s="970">
        <v>1000000</v>
      </c>
      <c r="J17" s="1372">
        <v>0.01</v>
      </c>
      <c r="K17" s="1373">
        <v>0</v>
      </c>
      <c r="L17" s="203">
        <v>11</v>
      </c>
      <c r="M17" s="1374" t="str">
        <f ca="1">IF(G17="","",_xll.meLWOSwapCreateFromGenerator("JPY_LCH"&amp;L17,G17,H17,I17,B17,C17,J17,K17))</f>
        <v>JPY_LCH11@187:0</v>
      </c>
      <c r="N17" s="1004" t="str">
        <f t="shared" si="0"/>
        <v>JPYYC_LCH</v>
      </c>
      <c r="O17" s="1036" t="str">
        <f ca="1">IF(M17="","",_xll.meLWOSwapParRate($M17,$N17))</f>
        <v>[2018/05/04 09:52] #Error: Invalid Curve: CurveCollection 'JPYYC_LCH' does not exist</v>
      </c>
      <c r="P17" s="1016" t="str">
        <f ca="1">IF(M17="","",_xll.meLWOSwapPV($M17,$N17))</f>
        <v>[2018/05/04 09:52] #Error: Invalid Curve: CurveCollection 'JPYYC_LCH' does not exist</v>
      </c>
      <c r="Q17" s="1016" t="str">
        <f ca="1">IF(M17="","",_xll.meLWOSwapPV01($M17,$N17))</f>
        <v>[2018/05/04 09:52] #Error: Invalid Curve: CurveCollection 'JPYYC_LCH' does not exist</v>
      </c>
      <c r="R17" s="1028" t="str">
        <f ca="1"/>
        <v/>
      </c>
      <c r="T17" s="1412" t="str">
        <f>'JPY-LCH Curve'!Q48</f>
        <v>10Y</v>
      </c>
      <c r="U17" s="358" t="e">
        <f ca="1">'JPY-LCH Curve'!R48</f>
        <v>#VALUE!</v>
      </c>
      <c r="V17" s="1413" t="e">
        <f t="shared" ca="1" si="1"/>
        <v>#VALUE!</v>
      </c>
    </row>
    <row r="18" spans="1:22">
      <c r="A18" s="203">
        <v>12</v>
      </c>
      <c r="B18" s="1015">
        <f ca="1">IF(E18="","",_xll.meDateFromTenor($B$2,E18,"MOD_FOLLOWING","LNB:TKB",""))</f>
        <v>43229</v>
      </c>
      <c r="C18" s="1132">
        <f ca="1">IF(F18="","",_xll.meDateFromTenor(B18,F18,))</f>
        <v>47612</v>
      </c>
      <c r="D18" s="203">
        <v>12</v>
      </c>
      <c r="E18" s="1370" t="s">
        <v>361</v>
      </c>
      <c r="F18" s="975" t="s">
        <v>25</v>
      </c>
      <c r="G18" s="1371" t="s">
        <v>2556</v>
      </c>
      <c r="H18" s="969" t="s">
        <v>1995</v>
      </c>
      <c r="I18" s="970">
        <v>1000000</v>
      </c>
      <c r="J18" s="1372">
        <v>0.01</v>
      </c>
      <c r="K18" s="1373">
        <v>0</v>
      </c>
      <c r="L18" s="203">
        <v>12</v>
      </c>
      <c r="M18" s="1374" t="str">
        <f ca="1">IF(G18="","",_xll.meLWOSwapCreateFromGenerator("JPY_LCH"&amp;L18,G18,H18,I18,B18,C18,J18,K18))</f>
        <v>JPY_LCH12@189:0</v>
      </c>
      <c r="N18" s="1004" t="str">
        <f t="shared" si="0"/>
        <v>JPYYC_LCH</v>
      </c>
      <c r="O18" s="1036" t="str">
        <f ca="1">IF(M18="","",_xll.meLWOSwapParRate($M18,$N18))</f>
        <v>[2018/05/04 09:52] #Error: Invalid Curve: CurveCollection 'JPYYC_LCH' does not exist</v>
      </c>
      <c r="P18" s="1016" t="str">
        <f ca="1">IF(M18="","",_xll.meLWOSwapPV($M18,$N18))</f>
        <v>[2018/05/04 09:52] #Error: Invalid Curve: CurveCollection 'JPYYC_LCH' does not exist</v>
      </c>
      <c r="Q18" s="1016" t="str">
        <f ca="1">IF(M18="","",_xll.meLWOSwapPV01($M18,$N18))</f>
        <v>[2018/05/04 09:52] #Error: Invalid Curve: CurveCollection 'JPYYC_LCH' does not exist</v>
      </c>
      <c r="R18" s="1028" t="str">
        <f ca="1"/>
        <v/>
      </c>
      <c r="T18" s="1412" t="str">
        <f>'JPY-LCH Curve'!Q49</f>
        <v>12Y</v>
      </c>
      <c r="U18" s="358" t="e">
        <f ca="1">'JPY-LCH Curve'!R49</f>
        <v>#VALUE!</v>
      </c>
      <c r="V18" s="1413" t="e">
        <f t="shared" ca="1" si="1"/>
        <v>#VALUE!</v>
      </c>
    </row>
    <row r="19" spans="1:22">
      <c r="A19" s="203">
        <v>13</v>
      </c>
      <c r="B19" s="1015">
        <f ca="1">IF(E19="","",_xll.meDateFromTenor($B$2,E19,"MOD_FOLLOWING","LNB:TKB",""))</f>
        <v>43229</v>
      </c>
      <c r="C19" s="1132">
        <f ca="1">IF(F19="","",_xll.meDateFromTenor(B19,F19,))</f>
        <v>48708</v>
      </c>
      <c r="D19" s="203">
        <v>13</v>
      </c>
      <c r="E19" s="1370" t="s">
        <v>361</v>
      </c>
      <c r="F19" s="975" t="s">
        <v>23</v>
      </c>
      <c r="G19" s="1371" t="s">
        <v>2556</v>
      </c>
      <c r="H19" s="969" t="s">
        <v>1995</v>
      </c>
      <c r="I19" s="970">
        <v>1000000</v>
      </c>
      <c r="J19" s="1372">
        <v>0.01</v>
      </c>
      <c r="K19" s="1373">
        <v>0</v>
      </c>
      <c r="L19" s="203">
        <v>13</v>
      </c>
      <c r="M19" s="1374" t="str">
        <f ca="1">IF(G19="","",_xll.meLWOSwapCreateFromGenerator("JPY_LCH"&amp;L19,G19,H19,I19,B19,C19,J19,K19))</f>
        <v>JPY_LCH13@186:0</v>
      </c>
      <c r="N19" s="1004" t="str">
        <f t="shared" si="0"/>
        <v>JPYYC_LCH</v>
      </c>
      <c r="O19" s="1036" t="str">
        <f ca="1">IF(M19="","",_xll.meLWOSwapParRate($M19,$N19))</f>
        <v>[2018/05/04 09:52] #Error: Invalid Curve: CurveCollection 'JPYYC_LCH' does not exist</v>
      </c>
      <c r="P19" s="1016" t="str">
        <f ca="1">IF(M19="","",_xll.meLWOSwapPV($M19,$N19))</f>
        <v>[2018/05/04 09:52] #Error: Invalid Curve: CurveCollection 'JPYYC_LCH' does not exist</v>
      </c>
      <c r="Q19" s="1016" t="str">
        <f ca="1">IF(M19="","",_xll.meLWOSwapPV01($M19,$N19))</f>
        <v>[2018/05/04 09:52] #Error: Invalid Curve: CurveCollection 'JPYYC_LCH' does not exist</v>
      </c>
      <c r="R19" s="1028" t="str">
        <f ca="1"/>
        <v/>
      </c>
      <c r="T19" s="1412" t="str">
        <f>'JPY-LCH Curve'!Q50</f>
        <v>15Y</v>
      </c>
      <c r="U19" s="358" t="e">
        <f ca="1">'JPY-LCH Curve'!R50</f>
        <v>#VALUE!</v>
      </c>
      <c r="V19" s="1413" t="e">
        <f t="shared" ca="1" si="1"/>
        <v>#VALUE!</v>
      </c>
    </row>
    <row r="20" spans="1:22">
      <c r="A20" s="203">
        <v>14</v>
      </c>
      <c r="B20" s="1015">
        <f ca="1">IF(E20="","",_xll.meDateFromTenor($B$2,E20,"MOD_FOLLOWING","LNB:TKB",""))</f>
        <v>43229</v>
      </c>
      <c r="C20" s="1132">
        <f ca="1">IF(F20="","",_xll.meDateFromTenor(B20,F20,))</f>
        <v>50534</v>
      </c>
      <c r="D20" s="203">
        <v>14</v>
      </c>
      <c r="E20" s="1370" t="s">
        <v>361</v>
      </c>
      <c r="F20" s="975" t="s">
        <v>19</v>
      </c>
      <c r="G20" s="1371" t="s">
        <v>2556</v>
      </c>
      <c r="H20" s="969" t="s">
        <v>1995</v>
      </c>
      <c r="I20" s="970">
        <v>1000000</v>
      </c>
      <c r="J20" s="1372">
        <v>0.01</v>
      </c>
      <c r="K20" s="1373">
        <v>0</v>
      </c>
      <c r="L20" s="203">
        <v>14</v>
      </c>
      <c r="M20" s="1374" t="str">
        <f ca="1">IF(G20="","",_xll.meLWOSwapCreateFromGenerator("JPY_LCH"&amp;L20,G20,H20,I20,B20,C20,J20,K20))</f>
        <v>JPY_LCH14@193:0</v>
      </c>
      <c r="N20" s="1004" t="str">
        <f t="shared" si="0"/>
        <v>JPYYC_LCH</v>
      </c>
      <c r="O20" s="1036" t="str">
        <f ca="1">IF(M20="","",_xll.meLWOSwapParRate($M20,$N20))</f>
        <v>[2018/05/04 09:52] #Error: Invalid Curve: CurveIndex 'JPY6ML' in collection JPYYC_LCH does not exist</v>
      </c>
      <c r="P20" s="1016" t="str">
        <f ca="1">IF(M20="","",_xll.meLWOSwapPV($M20,$N20))</f>
        <v>[2018/05/04 09:52] #Error: Invalid Curve: CurveCollection 'JPYYC_LCH' does not exist</v>
      </c>
      <c r="Q20" s="1016" t="str">
        <f ca="1">IF(M20="","",_xll.meLWOSwapPV01($M20,$N20))</f>
        <v>[2018/05/04 09:52] #Error: Invalid Curve: CurveCollection 'JPYYC_LCH' does not exist</v>
      </c>
      <c r="R20" s="1028" t="str">
        <f ca="1"/>
        <v/>
      </c>
      <c r="T20" s="1412" t="str">
        <f>'JPY-LCH Curve'!Q51</f>
        <v>20Y</v>
      </c>
      <c r="U20" s="358" t="e">
        <f ca="1">'JPY-LCH Curve'!R51</f>
        <v>#VALUE!</v>
      </c>
      <c r="V20" s="1413" t="e">
        <f t="shared" ca="1" si="1"/>
        <v>#VALUE!</v>
      </c>
    </row>
    <row r="21" spans="1:22">
      <c r="A21" s="203">
        <v>15</v>
      </c>
      <c r="B21" s="1015">
        <f ca="1">IF(E21="","",_xll.meDateFromTenor($B$2,E21,"MOD_FOLLOWING","LNB:TKB",""))</f>
        <v>43229</v>
      </c>
      <c r="C21" s="1132">
        <f ca="1">IF(F21="","",_xll.meDateFromTenor(B21,F21,))</f>
        <v>52360</v>
      </c>
      <c r="D21" s="203">
        <v>15</v>
      </c>
      <c r="E21" s="1370" t="s">
        <v>361</v>
      </c>
      <c r="F21" s="975" t="s">
        <v>17</v>
      </c>
      <c r="G21" s="1371" t="s">
        <v>2556</v>
      </c>
      <c r="H21" s="969" t="s">
        <v>1995</v>
      </c>
      <c r="I21" s="970">
        <v>1000000</v>
      </c>
      <c r="J21" s="1372">
        <v>0.01</v>
      </c>
      <c r="K21" s="1373">
        <v>0</v>
      </c>
      <c r="L21" s="203">
        <v>15</v>
      </c>
      <c r="M21" s="1374" t="str">
        <f ca="1">IF(G21="","",_xll.meLWOSwapCreateFromGenerator("JPY_LCH"&amp;L21,G21,H21,I21,B21,C21,J21,K21))</f>
        <v>JPY_LCH15@184:0</v>
      </c>
      <c r="N21" s="1004" t="str">
        <f t="shared" si="0"/>
        <v>JPYYC_LCH</v>
      </c>
      <c r="O21" s="1036" t="str">
        <f ca="1">IF(M21="","",_xll.meLWOSwapParRate($M21,$N21))</f>
        <v>[2018/05/04 09:52] #Error: Invalid Curve: CurveCollection 'JPYYC_LCH' does not exist</v>
      </c>
      <c r="P21" s="1016" t="str">
        <f ca="1">IF(M21="","",_xll.meLWOSwapPV($M21,$N21))</f>
        <v>[2018/05/04 09:52] #Error: Invalid Curve: CurveCollection 'JPYYC_LCH' does not exist</v>
      </c>
      <c r="Q21" s="1016">
        <f ca="1">IF(M21="","",_xll.meLWOSwapPV01($M21,$N21))</f>
        <v>2502.1917808219109</v>
      </c>
      <c r="R21" s="1028" t="str">
        <f ca="1"/>
        <v/>
      </c>
      <c r="T21" s="1412" t="str">
        <f>'JPY-LCH Curve'!Q52</f>
        <v>25Y</v>
      </c>
      <c r="U21" s="358" t="e">
        <f ca="1">'JPY-LCH Curve'!R52</f>
        <v>#VALUE!</v>
      </c>
      <c r="V21" s="1413" t="e">
        <f t="shared" ca="1" si="1"/>
        <v>#VALUE!</v>
      </c>
    </row>
    <row r="22" spans="1:22">
      <c r="A22" s="203">
        <v>16</v>
      </c>
      <c r="B22" s="1015">
        <f ca="1">IF(E22="","",_xll.meDateFromTenor($B$2,E22,"MOD_FOLLOWING","LNB:TKB",""))</f>
        <v>43229</v>
      </c>
      <c r="C22" s="1132">
        <f ca="1">IF(F22="","",_xll.meDateFromTenor(B22,F22,))</f>
        <v>54187</v>
      </c>
      <c r="D22" s="203">
        <v>16</v>
      </c>
      <c r="E22" s="1370" t="s">
        <v>361</v>
      </c>
      <c r="F22" s="975" t="s">
        <v>16</v>
      </c>
      <c r="G22" s="1371" t="s">
        <v>2556</v>
      </c>
      <c r="H22" s="969" t="s">
        <v>1995</v>
      </c>
      <c r="I22" s="970">
        <v>1000000</v>
      </c>
      <c r="J22" s="1372">
        <v>0.01</v>
      </c>
      <c r="K22" s="1373">
        <v>0</v>
      </c>
      <c r="L22" s="203">
        <v>16</v>
      </c>
      <c r="M22" s="1374" t="str">
        <f ca="1">IF(G22="","",_xll.meLWOSwapCreateFromGenerator("JPY_LCH"&amp;L22,G22,H22,I22,B22,C22,J22,K22))</f>
        <v>JPY_LCH16@194:0</v>
      </c>
      <c r="N22" s="1004" t="str">
        <f t="shared" si="0"/>
        <v>JPYYC_LCH</v>
      </c>
      <c r="O22" s="1036" t="str">
        <f ca="1">IF(M22="","",_xll.meLWOSwapParRate($M22,$N22))</f>
        <v>[2018/05/04 09:52] #Error: Invalid Curve: CurveCollection 'JPYYC_LCH' does not exist</v>
      </c>
      <c r="P22" s="1016" t="str">
        <f ca="1">IF(M22="","",_xll.meLWOSwapPV($M22,$N22))</f>
        <v>[2018/05/04 09:52] #Error: Invalid Curve: CurveCollection 'JPYYC_LCH' does not exist</v>
      </c>
      <c r="Q22" s="1016" t="str">
        <f ca="1">IF(M22="","",_xll.meLWOSwapPV01($M22,$N22))</f>
        <v>[2018/05/04 09:52] #Error: Invalid Curve: CurveCollection 'JPYYC_LCH' does not exist</v>
      </c>
      <c r="R22" s="1028" t="str">
        <f ca="1"/>
        <v/>
      </c>
      <c r="T22" s="1412" t="str">
        <f>'JPY-LCH Curve'!Q53</f>
        <v>30Y</v>
      </c>
      <c r="U22" s="358" t="e">
        <f ca="1">'JPY-LCH Curve'!R53</f>
        <v>#VALUE!</v>
      </c>
      <c r="V22" s="1413" t="e">
        <f t="shared" ca="1" si="1"/>
        <v>#VALUE!</v>
      </c>
    </row>
    <row r="23" spans="1:22">
      <c r="A23" s="203">
        <v>17</v>
      </c>
      <c r="B23" s="1015" t="str">
        <f>IF(E23="","",_xll.meDateFromTenor($B$2,E23,"MOD_FOLLOWING","LNB:TKB",""))</f>
        <v/>
      </c>
      <c r="C23" s="1132" t="str">
        <f>IF(F23="","",_xll.meDateFromTenor(B23,F23,))</f>
        <v/>
      </c>
      <c r="D23" s="203">
        <v>17</v>
      </c>
      <c r="E23" s="1370"/>
      <c r="F23" s="975"/>
      <c r="G23" s="1371"/>
      <c r="H23" s="969"/>
      <c r="I23" s="970"/>
      <c r="J23" s="1372"/>
      <c r="K23" s="1373"/>
      <c r="L23" s="203">
        <v>17</v>
      </c>
      <c r="M23" s="1374" t="str">
        <f>IF(G23="","",_xll.meLWOSwapCreateFromGenerator("JPY_LCH"&amp;L23,G23,H23,I23,B23,C23,J23,K23))</f>
        <v/>
      </c>
      <c r="N23" s="1004" t="str">
        <f t="shared" si="0"/>
        <v/>
      </c>
      <c r="O23" s="1036" t="str">
        <f>IF(M23="","",_xll.meLWOSwapParRate($M23,$N23))</f>
        <v/>
      </c>
      <c r="P23" s="1016" t="str">
        <f>IF(M23="","",_xll.meLWOSwapPV($M23,$N23))</f>
        <v/>
      </c>
      <c r="Q23" s="1016" t="str">
        <f>IF(M23="","",_xll.meLWOSwapPV01($M23,$N23))</f>
        <v/>
      </c>
      <c r="R23" s="1028" t="str">
        <f ca="1"/>
        <v/>
      </c>
      <c r="T23" s="1414"/>
      <c r="U23" s="352"/>
      <c r="V23" s="1415"/>
    </row>
    <row r="24" spans="1:22">
      <c r="A24" s="203">
        <v>18</v>
      </c>
      <c r="B24" s="1015" t="str">
        <f>IF(E24="","",_xll.meDateFromTenor($B$2,E24,"MOD_FOLLOWING","LNB:TKB",""))</f>
        <v/>
      </c>
      <c r="C24" s="1132" t="str">
        <f>IF(F24="","",_xll.meDateFromTenor(B24,F24,))</f>
        <v/>
      </c>
      <c r="D24" s="203">
        <v>18</v>
      </c>
      <c r="E24" s="1370"/>
      <c r="F24" s="975"/>
      <c r="G24" s="1371"/>
      <c r="H24" s="969"/>
      <c r="I24" s="970"/>
      <c r="J24" s="1372"/>
      <c r="K24" s="1373"/>
      <c r="L24" s="203">
        <v>18</v>
      </c>
      <c r="M24" s="1374" t="str">
        <f>IF(G24="","",_xll.meLWOSwapCreateFromGenerator("JPY_LCH"&amp;L24,G24,H24,I24,B24,C24,J24,K24))</f>
        <v/>
      </c>
      <c r="N24" s="1004" t="str">
        <f t="shared" si="0"/>
        <v/>
      </c>
      <c r="O24" s="1036" t="str">
        <f>IF(M24="","",_xll.meLWOSwapParRate($M24,$N24))</f>
        <v/>
      </c>
      <c r="P24" s="1016" t="str">
        <f>IF(M24="","",_xll.meLWOSwapPV($M24,$N24))</f>
        <v/>
      </c>
      <c r="Q24" s="1016" t="str">
        <f>IF(M24="","",_xll.meLWOSwapPV01($M24,$N24))</f>
        <v/>
      </c>
      <c r="R24" s="1028" t="str">
        <f ca="1"/>
        <v/>
      </c>
      <c r="T24" s="1414"/>
      <c r="U24" s="352"/>
      <c r="V24" s="1415"/>
    </row>
    <row r="25" spans="1:22">
      <c r="A25" s="203">
        <v>19</v>
      </c>
      <c r="B25" s="1015" t="str">
        <f>IF(E25="","",_xll.meDateFromTenor($B$2,E25,"MOD_FOLLOWING","LNB:TKB",""))</f>
        <v/>
      </c>
      <c r="C25" s="1132" t="str">
        <f>IF(F25="","",_xll.meDateFromTenor(B25,F25,))</f>
        <v/>
      </c>
      <c r="D25" s="203">
        <v>19</v>
      </c>
      <c r="E25" s="1370"/>
      <c r="F25" s="975"/>
      <c r="G25" s="1371"/>
      <c r="H25" s="969"/>
      <c r="I25" s="970"/>
      <c r="J25" s="1372"/>
      <c r="K25" s="1373"/>
      <c r="L25" s="203">
        <v>19</v>
      </c>
      <c r="M25" s="1374" t="str">
        <f>IF(G25="","",_xll.meLWOSwapCreateFromGenerator("JPY_LCH"&amp;L25,G25,H25,I25,B25,C25,J25,K25))</f>
        <v/>
      </c>
      <c r="N25" s="1004" t="str">
        <f t="shared" si="0"/>
        <v/>
      </c>
      <c r="O25" s="1036" t="str">
        <f>IF(M25="","",_xll.meLWOSwapParRate($M25,$N25))</f>
        <v/>
      </c>
      <c r="P25" s="1016" t="str">
        <f>IF(M25="","",_xll.meLWOSwapPV($M25,$N25))</f>
        <v/>
      </c>
      <c r="Q25" s="1016" t="str">
        <f>IF(M25="","",_xll.meLWOSwapPV01($M25,$N25))</f>
        <v/>
      </c>
      <c r="R25" s="1028" t="str">
        <f ca="1"/>
        <v/>
      </c>
      <c r="T25" s="1414"/>
      <c r="U25" s="352"/>
      <c r="V25" s="1415"/>
    </row>
    <row r="26" spans="1:22">
      <c r="A26" s="203">
        <v>20</v>
      </c>
      <c r="B26" s="1015" t="str">
        <f>IF(E26="","",_xll.meDateFromTenor($B$2,E26,"MOD_FOLLOWING","LNB:TKB",""))</f>
        <v/>
      </c>
      <c r="C26" s="1132" t="str">
        <f>IF(F26="","",_xll.meDateFromTenor(B26,F26,))</f>
        <v/>
      </c>
      <c r="D26" s="203">
        <v>20</v>
      </c>
      <c r="E26" s="1370"/>
      <c r="F26" s="975"/>
      <c r="G26" s="1371"/>
      <c r="H26" s="969"/>
      <c r="I26" s="970"/>
      <c r="J26" s="1372"/>
      <c r="K26" s="1373"/>
      <c r="L26" s="203">
        <v>20</v>
      </c>
      <c r="M26" s="1374" t="str">
        <f>IF(G26="","",_xll.meLWOSwapCreateFromGenerator("JPY_LCH"&amp;L26,G26,H26,I26,B26,C26,J26,K26))</f>
        <v/>
      </c>
      <c r="N26" s="1004" t="str">
        <f t="shared" si="0"/>
        <v/>
      </c>
      <c r="O26" s="1036" t="str">
        <f>IF(M26="","",_xll.meLWOSwapParRate($M26,$N26))</f>
        <v/>
      </c>
      <c r="P26" s="1016" t="str">
        <f>IF(M26="","",_xll.meLWOSwapPV($M26,$N26))</f>
        <v/>
      </c>
      <c r="Q26" s="1016" t="str">
        <f>IF(M26="","",_xll.meLWOSwapPV01($M26,$N26))</f>
        <v/>
      </c>
      <c r="R26" s="1028" t="str">
        <f ca="1"/>
        <v/>
      </c>
      <c r="T26" s="1414"/>
      <c r="U26" s="352"/>
      <c r="V26" s="1415"/>
    </row>
    <row r="27" spans="1:22">
      <c r="A27" s="203">
        <v>21</v>
      </c>
      <c r="B27" s="1015" t="str">
        <f>IF(E27="","",_xll.meDateFromTenor($B$2,E27,"MOD_FOLLOWING","LNB:TKB",""))</f>
        <v/>
      </c>
      <c r="C27" s="1132" t="str">
        <f>IF(F27="","",_xll.meDateFromTenor(B27,F27,))</f>
        <v/>
      </c>
      <c r="D27" s="203">
        <v>21</v>
      </c>
      <c r="E27" s="1370"/>
      <c r="F27" s="975"/>
      <c r="G27" s="1371"/>
      <c r="H27" s="969"/>
      <c r="I27" s="970"/>
      <c r="J27" s="1372"/>
      <c r="K27" s="1373"/>
      <c r="L27" s="203">
        <v>21</v>
      </c>
      <c r="M27" s="1374" t="str">
        <f>IF(G27="","",_xll.meLWOSwapCreateFromGenerator("JPY_LCH"&amp;L27,G27,H27,I27,B27,C27,J27,K27))</f>
        <v/>
      </c>
      <c r="N27" s="1004" t="str">
        <f t="shared" si="0"/>
        <v/>
      </c>
      <c r="O27" s="1036" t="str">
        <f>IF(M27="","",_xll.meLWOSwapParRate($M27,$N27))</f>
        <v/>
      </c>
      <c r="P27" s="1016" t="str">
        <f>IF(M27="","",_xll.meLWOSwapPV($M27,$N27))</f>
        <v/>
      </c>
      <c r="Q27" s="1016" t="str">
        <f>IF(M27="","",_xll.meLWOSwapPV01($M27,$N27))</f>
        <v/>
      </c>
      <c r="R27" s="1028" t="str">
        <f ca="1"/>
        <v/>
      </c>
      <c r="T27" s="1414"/>
      <c r="U27" s="352"/>
      <c r="V27" s="1415"/>
    </row>
    <row r="28" spans="1:22">
      <c r="A28" s="203">
        <v>22</v>
      </c>
      <c r="B28" s="1015" t="str">
        <f>IF(E28="","",_xll.meDateFromTenor($B$2,E28,"MOD_FOLLOWING","LNB:TKB",""))</f>
        <v/>
      </c>
      <c r="C28" s="1132" t="str">
        <f>IF(F28="","",_xll.meDateFromTenor(B28,F28,))</f>
        <v/>
      </c>
      <c r="D28" s="203">
        <v>22</v>
      </c>
      <c r="E28" s="1370"/>
      <c r="F28" s="975"/>
      <c r="G28" s="1371"/>
      <c r="H28" s="969"/>
      <c r="I28" s="970"/>
      <c r="J28" s="1372"/>
      <c r="K28" s="1373"/>
      <c r="L28" s="203">
        <v>22</v>
      </c>
      <c r="M28" s="1374" t="str">
        <f>IF(G28="","",_xll.meLWOSwapCreateFromGenerator("JPY_LCH"&amp;L28,G28,H28,I28,B28,C28,J28,K28))</f>
        <v/>
      </c>
      <c r="N28" s="1004" t="str">
        <f t="shared" si="0"/>
        <v/>
      </c>
      <c r="O28" s="1036" t="str">
        <f>IF(M28="","",_xll.meLWOSwapParRate($M28,$N28))</f>
        <v/>
      </c>
      <c r="P28" s="1016" t="str">
        <f>IF(M28="","",_xll.meLWOSwapPV($M28,$N28))</f>
        <v/>
      </c>
      <c r="Q28" s="1016" t="str">
        <f>IF(M28="","",_xll.meLWOSwapPV01($M28,$N28))</f>
        <v/>
      </c>
      <c r="R28" s="1028" t="str">
        <f ca="1"/>
        <v/>
      </c>
      <c r="T28" s="1414"/>
      <c r="U28" s="352"/>
      <c r="V28" s="1415"/>
    </row>
    <row r="29" spans="1:22">
      <c r="A29" s="203">
        <v>23</v>
      </c>
      <c r="B29" s="1015" t="str">
        <f>IF(E29="","",_xll.meDateFromTenor($B$2,E29,"MOD_FOLLOWING","LNB:TKB",""))</f>
        <v/>
      </c>
      <c r="C29" s="1132" t="str">
        <f>IF(F29="","",_xll.meDateFromTenor(B29,F29,))</f>
        <v/>
      </c>
      <c r="D29" s="203">
        <v>23</v>
      </c>
      <c r="E29" s="1370"/>
      <c r="F29" s="975"/>
      <c r="G29" s="1371"/>
      <c r="H29" s="969"/>
      <c r="I29" s="970"/>
      <c r="J29" s="1372"/>
      <c r="K29" s="1373"/>
      <c r="L29" s="203">
        <v>23</v>
      </c>
      <c r="M29" s="1374" t="str">
        <f>IF(G29="","",_xll.meLWOSwapCreateFromGenerator("JPY_LCH"&amp;L29,G29,H29,I29,B29,C29,J29,K29))</f>
        <v/>
      </c>
      <c r="N29" s="1004" t="str">
        <f t="shared" si="0"/>
        <v/>
      </c>
      <c r="O29" s="1036" t="str">
        <f>IF(M29="","",_xll.meLWOSwapParRate($M29,$N29))</f>
        <v/>
      </c>
      <c r="P29" s="1016" t="str">
        <f>IF(M29="","",_xll.meLWOSwapPV($M29,$N29))</f>
        <v/>
      </c>
      <c r="Q29" s="1016" t="str">
        <f>IF(M29="","",_xll.meLWOSwapPV01($M29,$N29))</f>
        <v/>
      </c>
      <c r="R29" s="1028" t="str">
        <f ca="1"/>
        <v/>
      </c>
      <c r="T29" s="1414"/>
      <c r="U29" s="352"/>
      <c r="V29" s="1415"/>
    </row>
    <row r="30" spans="1:22">
      <c r="A30" s="203">
        <v>24</v>
      </c>
      <c r="B30" s="1015" t="str">
        <f>IF(E30="","",_xll.meDateFromTenor($B$2,E30,"MOD_FOLLOWING","LNB:TKB",""))</f>
        <v/>
      </c>
      <c r="C30" s="1132" t="str">
        <f>IF(F30="","",_xll.meDateFromTenor(B30,F30,))</f>
        <v/>
      </c>
      <c r="D30" s="203">
        <v>24</v>
      </c>
      <c r="E30" s="1370"/>
      <c r="F30" s="975"/>
      <c r="G30" s="1371"/>
      <c r="H30" s="969"/>
      <c r="I30" s="970"/>
      <c r="J30" s="1372"/>
      <c r="K30" s="1373"/>
      <c r="L30" s="203">
        <v>24</v>
      </c>
      <c r="M30" s="1374" t="str">
        <f>IF(G30="","",_xll.meLWOSwapCreateFromGenerator("JPY_LCH"&amp;L30,G30,H30,I30,B30,C30,J30,K30))</f>
        <v/>
      </c>
      <c r="N30" s="1004" t="str">
        <f t="shared" si="0"/>
        <v/>
      </c>
      <c r="O30" s="1036" t="str">
        <f>IF(M30="","",_xll.meLWOSwapParRate($M30,$N30))</f>
        <v/>
      </c>
      <c r="P30" s="1016" t="str">
        <f>IF(M30="","",_xll.meLWOSwapPV($M30,$N30))</f>
        <v/>
      </c>
      <c r="Q30" s="1016" t="str">
        <f>IF(M30="","",_xll.meLWOSwapPV01($M30,$N30))</f>
        <v/>
      </c>
      <c r="R30" s="1028" t="str">
        <f ca="1"/>
        <v/>
      </c>
      <c r="T30" s="1414"/>
      <c r="U30" s="352"/>
      <c r="V30" s="1415"/>
    </row>
    <row r="31" spans="1:22">
      <c r="A31" s="203">
        <v>25</v>
      </c>
      <c r="B31" s="1015" t="str">
        <f>IF(E31="","",_xll.meDateFromTenor($B$2,E31,"MOD_FOLLOWING","LNB:TKB",""))</f>
        <v/>
      </c>
      <c r="C31" s="1132" t="str">
        <f>IF(F31="","",_xll.meDateFromTenor(B31,F31,))</f>
        <v/>
      </c>
      <c r="D31" s="203">
        <v>25</v>
      </c>
      <c r="E31" s="1370"/>
      <c r="F31" s="975"/>
      <c r="G31" s="1371"/>
      <c r="H31" s="969"/>
      <c r="I31" s="970"/>
      <c r="J31" s="1372"/>
      <c r="K31" s="1373"/>
      <c r="L31" s="203">
        <v>25</v>
      </c>
      <c r="M31" s="1374" t="str">
        <f>IF(G31="","",_xll.meLWOSwapCreateFromGenerator("JPY_LCH"&amp;L31,G31,H31,I31,B31,C31,J31,K31))</f>
        <v/>
      </c>
      <c r="N31" s="1004" t="str">
        <f t="shared" si="0"/>
        <v/>
      </c>
      <c r="O31" s="1036" t="str">
        <f>IF(M31="","",_xll.meLWOSwapParRate($M31,$N31))</f>
        <v/>
      </c>
      <c r="P31" s="1016" t="str">
        <f>IF(M31="","",_xll.meLWOSwapPV($M31,$N31))</f>
        <v/>
      </c>
      <c r="Q31" s="1016" t="str">
        <f>IF(M31="","",_xll.meLWOSwapPV01($M31,$N31))</f>
        <v/>
      </c>
      <c r="R31" s="1028" t="str">
        <f ca="1"/>
        <v/>
      </c>
      <c r="T31" s="1414"/>
      <c r="U31" s="352"/>
      <c r="V31" s="1415"/>
    </row>
    <row r="32" spans="1:22">
      <c r="A32" s="203">
        <v>26</v>
      </c>
      <c r="B32" s="1015" t="str">
        <f>IF(E32="","",_xll.meDateFromTenor($B$2,E32,"MOD_FOLLOWING","LNB:TKB",""))</f>
        <v/>
      </c>
      <c r="C32" s="1132" t="str">
        <f>IF(F32="","",_xll.meDateFromTenor(B32,F32,))</f>
        <v/>
      </c>
      <c r="D32" s="203">
        <v>26</v>
      </c>
      <c r="E32" s="1370"/>
      <c r="F32" s="975"/>
      <c r="G32" s="1371"/>
      <c r="H32" s="969"/>
      <c r="I32" s="970"/>
      <c r="J32" s="1372"/>
      <c r="K32" s="1373"/>
      <c r="L32" s="203">
        <v>26</v>
      </c>
      <c r="M32" s="1374" t="str">
        <f>IF(G32="","",_xll.meLWOSwapCreateFromGenerator("JPY_LCH"&amp;L32,G32,H32,I32,B32,C32,J32,K32))</f>
        <v/>
      </c>
      <c r="N32" s="1004" t="str">
        <f t="shared" si="0"/>
        <v/>
      </c>
      <c r="O32" s="1036" t="str">
        <f>IF(M32="","",_xll.meLWOSwapParRate($M32,$N32))</f>
        <v/>
      </c>
      <c r="P32" s="1016" t="str">
        <f>IF(M32="","",_xll.meLWOSwapPV($M32,$N32))</f>
        <v/>
      </c>
      <c r="Q32" s="1016" t="str">
        <f>IF(M32="","",_xll.meLWOSwapPV01($M32,$N32))</f>
        <v/>
      </c>
      <c r="R32" s="1028" t="str">
        <f ca="1"/>
        <v/>
      </c>
      <c r="T32" s="1414"/>
      <c r="U32" s="352"/>
      <c r="V32" s="1415"/>
    </row>
    <row r="33" spans="1:22">
      <c r="A33" s="203">
        <v>27</v>
      </c>
      <c r="B33" s="1015" t="str">
        <f>IF(E33="","",_xll.meDateFromTenor($B$2,E33,"MOD_FOLLOWING","LNB:TKB",""))</f>
        <v/>
      </c>
      <c r="C33" s="1132" t="str">
        <f>IF(F33="","",_xll.meDateFromTenor(B33,F33,))</f>
        <v/>
      </c>
      <c r="D33" s="203">
        <v>27</v>
      </c>
      <c r="E33" s="1370"/>
      <c r="F33" s="975"/>
      <c r="G33" s="1371"/>
      <c r="H33" s="969"/>
      <c r="I33" s="970"/>
      <c r="J33" s="1372"/>
      <c r="K33" s="1373"/>
      <c r="L33" s="203">
        <v>27</v>
      </c>
      <c r="M33" s="1374" t="str">
        <f>IF(G33="","",_xll.meLWOSwapCreateFromGenerator("JPY_LCH"&amp;L33,G33,H33,I33,B33,C33,J33,K33))</f>
        <v/>
      </c>
      <c r="N33" s="1004" t="str">
        <f t="shared" si="0"/>
        <v/>
      </c>
      <c r="O33" s="1036" t="str">
        <f>IF(M33="","",_xll.meLWOSwapParRate($M33,$N33))</f>
        <v/>
      </c>
      <c r="P33" s="1016" t="str">
        <f>IF(M33="","",_xll.meLWOSwapPV($M33,$N33))</f>
        <v/>
      </c>
      <c r="Q33" s="1016" t="str">
        <f>IF(M33="","",_xll.meLWOSwapPV01($M33,$N33))</f>
        <v/>
      </c>
      <c r="R33" s="1028" t="str">
        <f ca="1"/>
        <v/>
      </c>
      <c r="T33" s="1414"/>
      <c r="U33" s="352"/>
      <c r="V33" s="1415"/>
    </row>
    <row r="34" spans="1:22">
      <c r="A34" s="203">
        <v>28</v>
      </c>
      <c r="B34" s="1015" t="str">
        <f>IF(E34="","",_xll.meDateFromTenor($B$2,E34,"MOD_FOLLOWING","LNB:TKB",""))</f>
        <v/>
      </c>
      <c r="C34" s="1132" t="str">
        <f>IF(F34="","",_xll.meDateFromTenor(B34,F34,))</f>
        <v/>
      </c>
      <c r="D34" s="203">
        <v>28</v>
      </c>
      <c r="E34" s="1370"/>
      <c r="F34" s="975"/>
      <c r="G34" s="1371"/>
      <c r="H34" s="969"/>
      <c r="I34" s="970"/>
      <c r="J34" s="1372"/>
      <c r="K34" s="1373"/>
      <c r="L34" s="203">
        <v>28</v>
      </c>
      <c r="M34" s="1374" t="str">
        <f>IF(G34="","",_xll.meLWOSwapCreateFromGenerator("JPY_LCH"&amp;L34,G34,H34,I34,B34,C34,J34,K34))</f>
        <v/>
      </c>
      <c r="N34" s="1004" t="str">
        <f t="shared" si="0"/>
        <v/>
      </c>
      <c r="O34" s="1036" t="str">
        <f>IF(M34="","",_xll.meLWOSwapParRate($M34,$N34))</f>
        <v/>
      </c>
      <c r="P34" s="1016" t="str">
        <f>IF(M34="","",_xll.meLWOSwapPV($M34,$N34))</f>
        <v/>
      </c>
      <c r="Q34" s="1016" t="str">
        <f>IF(M34="","",_xll.meLWOSwapPV01($M34,$N34))</f>
        <v/>
      </c>
      <c r="R34" s="1028" t="str">
        <f ca="1"/>
        <v/>
      </c>
      <c r="T34" s="1414"/>
      <c r="U34" s="352"/>
      <c r="V34" s="1415"/>
    </row>
    <row r="35" spans="1:22">
      <c r="A35" s="203">
        <v>29</v>
      </c>
      <c r="B35" s="1015" t="str">
        <f>IF(E35="","",_xll.meDateFromTenor($B$2,E35,"MOD_FOLLOWING","LNB:TKB",""))</f>
        <v/>
      </c>
      <c r="C35" s="1132" t="str">
        <f>IF(F35="","",_xll.meDateFromTenor(B35,F35,))</f>
        <v/>
      </c>
      <c r="D35" s="203">
        <v>29</v>
      </c>
      <c r="E35" s="1370"/>
      <c r="F35" s="975"/>
      <c r="G35" s="1371"/>
      <c r="H35" s="969"/>
      <c r="I35" s="970"/>
      <c r="J35" s="1372"/>
      <c r="K35" s="1373"/>
      <c r="L35" s="203">
        <v>29</v>
      </c>
      <c r="M35" s="1374" t="str">
        <f>IF(G35="","",_xll.meLWOSwapCreateFromGenerator("JPY_LCH"&amp;L35,G35,H35,I35,B35,C35,J35,K35))</f>
        <v/>
      </c>
      <c r="N35" s="1004" t="str">
        <f t="shared" si="0"/>
        <v/>
      </c>
      <c r="O35" s="1036" t="str">
        <f>IF(M35="","",_xll.meLWOSwapParRate($M35,$N35))</f>
        <v/>
      </c>
      <c r="P35" s="1016" t="str">
        <f>IF(M35="","",_xll.meLWOSwapPV($M35,$N35))</f>
        <v/>
      </c>
      <c r="Q35" s="1016" t="str">
        <f>IF(M35="","",_xll.meLWOSwapPV01($M35,$N35))</f>
        <v/>
      </c>
      <c r="R35" s="1028" t="str">
        <f ca="1"/>
        <v/>
      </c>
      <c r="T35" s="1414"/>
      <c r="U35" s="352"/>
      <c r="V35" s="1415"/>
    </row>
    <row r="36" spans="1:22">
      <c r="A36" s="203">
        <v>30</v>
      </c>
      <c r="B36" s="1015" t="str">
        <f>IF(E36="","",_xll.meDateFromTenor($B$2,E36,"MOD_FOLLOWING","LNB:TKB",""))</f>
        <v/>
      </c>
      <c r="C36" s="1132" t="str">
        <f>IF(F36="","",_xll.meDateFromTenor(B36,F36,))</f>
        <v/>
      </c>
      <c r="D36" s="203">
        <v>30</v>
      </c>
      <c r="E36" s="1370"/>
      <c r="F36" s="975"/>
      <c r="G36" s="1371"/>
      <c r="H36" s="969"/>
      <c r="I36" s="970"/>
      <c r="J36" s="1372"/>
      <c r="K36" s="1373"/>
      <c r="L36" s="203">
        <v>30</v>
      </c>
      <c r="M36" s="1374" t="str">
        <f>IF(G36="","",_xll.meLWOSwapCreateFromGenerator("JPY_LCH"&amp;L36,G36,H36,I36,B36,C36,J36,K36))</f>
        <v/>
      </c>
      <c r="N36" s="1004" t="str">
        <f t="shared" si="0"/>
        <v/>
      </c>
      <c r="O36" s="1036" t="str">
        <f>IF(M36="","",_xll.meLWOSwapParRate($M36,$N36))</f>
        <v/>
      </c>
      <c r="P36" s="1016" t="str">
        <f>IF(M36="","",_xll.meLWOSwapPV($M36,$N36))</f>
        <v/>
      </c>
      <c r="Q36" s="1016" t="str">
        <f>IF(M36="","",_xll.meLWOSwapPV01($M36,$N36))</f>
        <v/>
      </c>
      <c r="R36" s="1028" t="str">
        <f ca="1"/>
        <v/>
      </c>
      <c r="T36" s="1414"/>
      <c r="U36" s="352"/>
      <c r="V36" s="1415"/>
    </row>
    <row r="37" spans="1:22">
      <c r="A37" s="203">
        <v>31</v>
      </c>
      <c r="B37" s="1015" t="str">
        <f>IF(E37="","",_xll.meDateFromTenor($B$2,E37,"MOD_FOLLOWING","LNB:TKB",""))</f>
        <v/>
      </c>
      <c r="C37" s="1132" t="str">
        <f>IF(F37="","",_xll.meDateFromTenor(B37,F37,))</f>
        <v/>
      </c>
      <c r="D37" s="203">
        <v>31</v>
      </c>
      <c r="E37" s="1370"/>
      <c r="F37" s="975"/>
      <c r="G37" s="1371"/>
      <c r="H37" s="969"/>
      <c r="I37" s="970"/>
      <c r="J37" s="1372"/>
      <c r="K37" s="1373"/>
      <c r="L37" s="203">
        <v>31</v>
      </c>
      <c r="M37" s="1374" t="str">
        <f>IF(G37="","",_xll.meLWOSwapCreateFromGenerator("JPY_LCH"&amp;L37,G37,H37,I37,B37,C37,J37,K37))</f>
        <v/>
      </c>
      <c r="N37" s="1004" t="str">
        <f t="shared" si="0"/>
        <v/>
      </c>
      <c r="O37" s="1036" t="str">
        <f>IF(M37="","",_xll.meLWOSwapParRate($M37,$N37))</f>
        <v/>
      </c>
      <c r="P37" s="1016" t="str">
        <f>IF(M37="","",_xll.meLWOSwapPV($M37,$N37))</f>
        <v/>
      </c>
      <c r="Q37" s="1016" t="str">
        <f>IF(M37="","",_xll.meLWOSwapPV01($M37,$N37))</f>
        <v/>
      </c>
      <c r="R37" s="1028" t="str">
        <f ca="1"/>
        <v/>
      </c>
      <c r="T37" s="1414"/>
      <c r="U37" s="352"/>
      <c r="V37" s="1415"/>
    </row>
    <row r="38" spans="1:22">
      <c r="A38" s="203">
        <v>32</v>
      </c>
      <c r="B38" s="1015" t="str">
        <f>IF(E38="","",_xll.meDateFromTenor($B$2,E38,"MOD_FOLLOWING","LNB:TKB",""))</f>
        <v/>
      </c>
      <c r="C38" s="1132" t="str">
        <f>IF(F38="","",_xll.meDateFromTenor(B38,F38,))</f>
        <v/>
      </c>
      <c r="D38" s="203">
        <v>32</v>
      </c>
      <c r="E38" s="1370"/>
      <c r="F38" s="975"/>
      <c r="G38" s="1371"/>
      <c r="H38" s="969"/>
      <c r="I38" s="970"/>
      <c r="J38" s="1372"/>
      <c r="K38" s="1373"/>
      <c r="L38" s="203">
        <v>32</v>
      </c>
      <c r="M38" s="1374" t="str">
        <f>IF(G38="","",_xll.meLWOSwapCreateFromGenerator("JPY_LCH"&amp;L38,G38,H38,I38,B38,C38,J38,K38))</f>
        <v/>
      </c>
      <c r="N38" s="1004" t="str">
        <f t="shared" si="0"/>
        <v/>
      </c>
      <c r="O38" s="1036" t="str">
        <f>IF(M38="","",_xll.meLWOSwapParRate($M38,$N38))</f>
        <v/>
      </c>
      <c r="P38" s="1016" t="str">
        <f>IF(M38="","",_xll.meLWOSwapPV($M38,$N38))</f>
        <v/>
      </c>
      <c r="Q38" s="1016" t="str">
        <f>IF(M38="","",_xll.meLWOSwapPV01($M38,$N38))</f>
        <v/>
      </c>
      <c r="R38" s="1028" t="str">
        <f ca="1"/>
        <v/>
      </c>
      <c r="T38" s="1414"/>
      <c r="U38" s="352"/>
      <c r="V38" s="1415"/>
    </row>
    <row r="39" spans="1:22">
      <c r="A39" s="203">
        <v>33</v>
      </c>
      <c r="B39" s="1015" t="str">
        <f>IF(E39="","",_xll.meDateFromTenor($B$2,E39,"MOD_FOLLOWING","LNB:TKB",""))</f>
        <v/>
      </c>
      <c r="C39" s="1132" t="str">
        <f>IF(F39="","",_xll.meDateFromTenor(B39,F39,))</f>
        <v/>
      </c>
      <c r="D39" s="203">
        <v>33</v>
      </c>
      <c r="E39" s="1370"/>
      <c r="F39" s="975"/>
      <c r="G39" s="1371"/>
      <c r="H39" s="969"/>
      <c r="I39" s="970"/>
      <c r="J39" s="1372"/>
      <c r="K39" s="1373"/>
      <c r="L39" s="203">
        <v>33</v>
      </c>
      <c r="M39" s="1374" t="str">
        <f>IF(G39="","",_xll.meLWOSwapCreateFromGenerator("JPY_LCH"&amp;L39,G39,H39,I39,B39,C39,J39,K39))</f>
        <v/>
      </c>
      <c r="N39" s="1004" t="str">
        <f t="shared" si="0"/>
        <v/>
      </c>
      <c r="O39" s="1036" t="str">
        <f>IF(M39="","",_xll.meLWOSwapParRate($M39,$N39))</f>
        <v/>
      </c>
      <c r="P39" s="1016" t="str">
        <f>IF(M39="","",_xll.meLWOSwapPV($M39,$N39))</f>
        <v/>
      </c>
      <c r="Q39" s="1016" t="str">
        <f>IF(M39="","",_xll.meLWOSwapPV01($M39,$N39))</f>
        <v/>
      </c>
      <c r="R39" s="1028" t="str">
        <f ca="1"/>
        <v/>
      </c>
      <c r="T39" s="1414"/>
      <c r="U39" s="352"/>
      <c r="V39" s="1415"/>
    </row>
    <row r="40" spans="1:22">
      <c r="A40" s="203">
        <v>34</v>
      </c>
      <c r="B40" s="1015" t="str">
        <f>IF(E40="","",_xll.meDateFromTenor($B$2,E40,"MOD_FOLLOWING","LNB:TKB",""))</f>
        <v/>
      </c>
      <c r="C40" s="1132" t="str">
        <f>IF(F40="","",_xll.meDateFromTenor(B40,F40,))</f>
        <v/>
      </c>
      <c r="D40" s="203">
        <v>34</v>
      </c>
      <c r="E40" s="1370"/>
      <c r="F40" s="975"/>
      <c r="G40" s="1371"/>
      <c r="H40" s="969"/>
      <c r="I40" s="970"/>
      <c r="J40" s="1372"/>
      <c r="K40" s="1373"/>
      <c r="L40" s="203">
        <v>34</v>
      </c>
      <c r="M40" s="1374" t="str">
        <f>IF(G40="","",_xll.meLWOSwapCreateFromGenerator("JPY_LCH"&amp;L40,G40,H40,I40,B40,C40,J40,K40))</f>
        <v/>
      </c>
      <c r="N40" s="1004" t="str">
        <f t="shared" si="0"/>
        <v/>
      </c>
      <c r="O40" s="1036" t="str">
        <f>IF(M40="","",_xll.meLWOSwapParRate($M40,$N40))</f>
        <v/>
      </c>
      <c r="P40" s="1016" t="str">
        <f>IF(M40="","",_xll.meLWOSwapPV($M40,$N40))</f>
        <v/>
      </c>
      <c r="Q40" s="1016" t="str">
        <f>IF(M40="","",_xll.meLWOSwapPV01($M40,$N40))</f>
        <v/>
      </c>
      <c r="R40" s="1028" t="str">
        <f ca="1"/>
        <v/>
      </c>
      <c r="T40" s="1414"/>
      <c r="U40" s="352"/>
      <c r="V40" s="1415"/>
    </row>
    <row r="41" spans="1:22">
      <c r="A41" s="203">
        <v>35</v>
      </c>
      <c r="B41" s="1015" t="str">
        <f>IF(E41="","",_xll.meDateFromTenor($B$2,E41,"MOD_FOLLOWING","LNB:TKB",""))</f>
        <v/>
      </c>
      <c r="C41" s="1132" t="str">
        <f>IF(F41="","",_xll.meDateFromTenor(B41,F41,))</f>
        <v/>
      </c>
      <c r="D41" s="203">
        <v>35</v>
      </c>
      <c r="E41" s="1370"/>
      <c r="F41" s="975"/>
      <c r="G41" s="1371"/>
      <c r="H41" s="969"/>
      <c r="I41" s="970"/>
      <c r="J41" s="1372"/>
      <c r="K41" s="1373"/>
      <c r="L41" s="203">
        <v>35</v>
      </c>
      <c r="M41" s="1374" t="str">
        <f>IF(G41="","",_xll.meLWOSwapCreateFromGenerator("JPY_LCH"&amp;L41,G41,H41,I41,B41,C41,J41,K41))</f>
        <v/>
      </c>
      <c r="N41" s="1004" t="str">
        <f t="shared" si="0"/>
        <v/>
      </c>
      <c r="O41" s="1036" t="str">
        <f>IF(M41="","",_xll.meLWOSwapParRate($M41,$N41))</f>
        <v/>
      </c>
      <c r="P41" s="1016" t="str">
        <f>IF(M41="","",_xll.meLWOSwapPV($M41,$N41))</f>
        <v/>
      </c>
      <c r="Q41" s="1016" t="str">
        <f>IF(M41="","",_xll.meLWOSwapPV01($M41,$N41))</f>
        <v/>
      </c>
      <c r="R41" s="1028" t="str">
        <f ca="1"/>
        <v/>
      </c>
      <c r="T41" s="1414"/>
      <c r="U41" s="352"/>
      <c r="V41" s="1415"/>
    </row>
    <row r="42" spans="1:22">
      <c r="A42" s="203">
        <v>36</v>
      </c>
      <c r="B42" s="1021" t="str">
        <f>IF(E42="","",_xll.meDateFromTenor($B$2,E42,"MOD_FOLLOWING","LNB:TKB",""))</f>
        <v/>
      </c>
      <c r="C42" s="1133" t="str">
        <f>IF(F42="","",_xll.meDateFromTenor(B42,F42,))</f>
        <v/>
      </c>
      <c r="D42" s="203">
        <v>36</v>
      </c>
      <c r="E42" s="1375"/>
      <c r="F42" s="977"/>
      <c r="G42" s="1376"/>
      <c r="H42" s="971"/>
      <c r="I42" s="972"/>
      <c r="J42" s="1377"/>
      <c r="K42" s="1378"/>
      <c r="L42" s="203">
        <v>36</v>
      </c>
      <c r="M42" s="1379" t="str">
        <f>IF(G42="","",_xll.meLWOSwapCreateFromGenerator("JPY_LCH"&amp;L42,G42,H42,I42,B42,C42,J42,K42))</f>
        <v/>
      </c>
      <c r="N42" s="1007" t="str">
        <f t="shared" si="0"/>
        <v/>
      </c>
      <c r="O42" s="1035" t="str">
        <f>IF(M42="","",_xll.meLWOSwapParRate($M42,$N42))</f>
        <v/>
      </c>
      <c r="P42" s="1022" t="str">
        <f>IF(M42="","",_xll.meLWOSwapPV($M42,$N42))</f>
        <v/>
      </c>
      <c r="Q42" s="1022" t="str">
        <f>IF(M42="","",_xll.meLWOSwapPV01($M42,$N42))</f>
        <v/>
      </c>
      <c r="R42" s="1030" t="str">
        <f ca="1"/>
        <v/>
      </c>
      <c r="T42" s="1416"/>
      <c r="U42" s="1417"/>
      <c r="V42" s="141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0" width="15.7109375" style="424" customWidth="1"/>
    <col min="11" max="12" width="17.28515625" style="424" bestFit="1" customWidth="1"/>
    <col min="13" max="15" width="13.7109375" style="424" customWidth="1"/>
    <col min="16" max="16" width="14.85546875" style="424" bestFit="1" customWidth="1"/>
    <col min="17" max="17" width="14.28515625" style="424" bestFit="1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1814</v>
      </c>
      <c r="F3"/>
      <c r="G3" s="526" t="s">
        <v>1861</v>
      </c>
    </row>
    <row r="4" spans="2:19">
      <c r="B4" s="499" t="s">
        <v>1803</v>
      </c>
      <c r="C4" s="1266" t="s">
        <v>1753</v>
      </c>
      <c r="D4" t="s">
        <v>12</v>
      </c>
      <c r="E4" s="509" t="s">
        <v>1805</v>
      </c>
      <c r="F4" s="522" t="str">
        <f ca="1">_xll.meProductSwapParRate($B$3:$C$41,FALSE)</f>
        <v>[2018/05/04 09:52] #Error: Invalid Curve: CurveCollection 'EURYC' does not exist</v>
      </c>
    </row>
    <row r="5" spans="2:19">
      <c r="B5" s="500" t="s">
        <v>354</v>
      </c>
      <c r="C5" s="1267">
        <v>1000000</v>
      </c>
      <c r="D5" t="s">
        <v>12</v>
      </c>
      <c r="E5" s="510" t="s">
        <v>1806</v>
      </c>
      <c r="F5" s="523" t="str">
        <f ca="1">_xll.meProductSwapPV($B$3:$C$41,FALSE)</f>
        <v>[2018/05/04 09:52] #Error: Invalid Curve: CurveCollection 'EURYC' does not exist</v>
      </c>
    </row>
    <row r="6" spans="2:19">
      <c r="B6" s="500" t="s">
        <v>1768</v>
      </c>
      <c r="C6" s="512">
        <f ca="1">_xll.meDateFromTenor(COB,D6,C16,C17)</f>
        <v>43228</v>
      </c>
      <c r="D6" s="315" t="s">
        <v>361</v>
      </c>
      <c r="E6" s="510" t="s">
        <v>1808</v>
      </c>
      <c r="F6" s="523" t="str">
        <f ca="1">_xll.meProductSwapLegPV(_xll.meUtilityLVBFromMultipleKeysValues(B5:B41,C5:C41,,"LegType","Leg1:Fixed",,"PayReceive",C4),FALSE)</f>
        <v>[2018/05/04 09:52] #Error: Invalid Curve: CurveCollection 'EURYC' does not exist</v>
      </c>
    </row>
    <row r="7" spans="2:19">
      <c r="B7" s="500" t="s">
        <v>1769</v>
      </c>
      <c r="C7" s="148" t="s">
        <v>2358</v>
      </c>
      <c r="D7" t="s">
        <v>12</v>
      </c>
      <c r="E7" s="510" t="s">
        <v>1807</v>
      </c>
      <c r="F7" s="523" t="e">
        <f ca="1">F5-F6</f>
        <v>#VALUE!</v>
      </c>
    </row>
    <row r="8" spans="2:19">
      <c r="B8" s="500" t="s">
        <v>1770</v>
      </c>
      <c r="C8" s="373" t="s">
        <v>1045</v>
      </c>
      <c r="D8" t="s">
        <v>12</v>
      </c>
      <c r="E8" s="510" t="s">
        <v>1077</v>
      </c>
      <c r="F8" s="523" t="str">
        <f ca="1">_xll.meProductSwapPV01($B$3:$C$41,FALSE)</f>
        <v>[2018/05/04 09:52] #Error: Invalid Curve: CurveCollection 'EURYC' does not exist</v>
      </c>
      <c r="H8" s="338"/>
    </row>
    <row r="9" spans="2:19">
      <c r="B9" s="500" t="s">
        <v>1443</v>
      </c>
      <c r="C9" s="498" t="s">
        <v>1039</v>
      </c>
      <c r="D9" t="s">
        <v>12</v>
      </c>
      <c r="E9" s="511" t="s">
        <v>1752</v>
      </c>
      <c r="F9" s="524" t="str">
        <f ca="1">_xll.meProductSwapDV01($B$3:$C$41,FALSE)</f>
        <v>[2018/05/04 09:52] #Error: Invalid Curve: CurveCollection 'EURYC' does not exist</v>
      </c>
    </row>
    <row r="10" spans="2:19">
      <c r="B10" s="501" t="s">
        <v>1444</v>
      </c>
      <c r="C10" s="532" t="str">
        <f>"EURDF_"&amp;D10</f>
        <v>EURDF_NOCSA</v>
      </c>
      <c r="D10" s="335" t="s">
        <v>1043</v>
      </c>
    </row>
    <row r="11" spans="2:19">
      <c r="B11" s="499" t="s">
        <v>1771</v>
      </c>
      <c r="C11" s="508" t="s">
        <v>146</v>
      </c>
      <c r="D11" t="s">
        <v>12</v>
      </c>
      <c r="E11" s="335" t="s">
        <v>1816</v>
      </c>
    </row>
    <row r="12" spans="2:19">
      <c r="B12" s="500" t="s">
        <v>1772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_xll.meUtilityResize(_xll.meProductSwapLegDisplay(_xll.meUtilityLVBFromMultipleKeysValues(B5:B41,C5:C41,,"LegType","Leg1:Fixed",,"PayReceive",C4),FALSE),50,50)</f>
        <v>[2018/05/04 09:52] #Error: Invalid Curve: CurveCollection 'EURYC' does not exist</v>
      </c>
      <c r="F12" s="1011" t="str">
        <f ca="1"/>
        <v/>
      </c>
      <c r="G12" s="1011" t="str">
        <f ca="1"/>
        <v/>
      </c>
      <c r="H12" s="1012" t="str">
        <f ca="1"/>
        <v/>
      </c>
      <c r="I12" s="1011" t="str">
        <f ca="1"/>
        <v/>
      </c>
      <c r="J12" s="1095" t="str">
        <f ca="1"/>
        <v/>
      </c>
      <c r="K12" s="1095" t="str">
        <f ca="1"/>
        <v/>
      </c>
      <c r="L12" s="1091" t="str">
        <f ca="1"/>
        <v/>
      </c>
      <c r="M12" s="1092" t="str">
        <f ca="1"/>
        <v/>
      </c>
      <c r="N12" s="1093" t="str">
        <f ca="1"/>
        <v/>
      </c>
      <c r="O12" s="1012" t="str">
        <f ca="1"/>
        <v/>
      </c>
      <c r="P12" s="1012" t="str">
        <f ca="1"/>
        <v/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1773</v>
      </c>
      <c r="C13" s="504" t="s">
        <v>157</v>
      </c>
      <c r="D13" t="s">
        <v>12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018" t="str">
        <f ca="1"/>
        <v/>
      </c>
      <c r="N13" s="1027" t="str">
        <f ca="1"/>
        <v/>
      </c>
      <c r="O13" s="1016" t="str">
        <f ca="1"/>
        <v/>
      </c>
      <c r="P13" s="1016" t="str">
        <f ca="1"/>
        <v/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1774</v>
      </c>
      <c r="C14" s="503" t="s">
        <v>38</v>
      </c>
      <c r="D14" t="s">
        <v>12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018" t="str">
        <f ca="1"/>
        <v/>
      </c>
      <c r="N14" s="1027" t="str">
        <f ca="1"/>
        <v/>
      </c>
      <c r="O14" s="1016" t="str">
        <f ca="1"/>
        <v/>
      </c>
      <c r="P14" s="1016" t="str">
        <f ca="1"/>
        <v/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1775</v>
      </c>
      <c r="C15" s="503" t="s">
        <v>0</v>
      </c>
      <c r="D15" t="s">
        <v>12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018" t="str">
        <f ca="1"/>
        <v/>
      </c>
      <c r="N15" s="1027" t="str">
        <f ca="1"/>
        <v/>
      </c>
      <c r="O15" s="1016" t="str">
        <f ca="1"/>
        <v/>
      </c>
      <c r="P15" s="1016" t="str">
        <f ca="1"/>
        <v/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1776</v>
      </c>
      <c r="C16" s="503" t="s">
        <v>38</v>
      </c>
      <c r="D16" t="s">
        <v>12</v>
      </c>
      <c r="E16" s="1015" t="str">
        <f ca="1"/>
        <v/>
      </c>
      <c r="F16" s="1006" t="str">
        <f ca="1"/>
        <v/>
      </c>
      <c r="G16" s="1016" t="str">
        <f ca="1"/>
        <v/>
      </c>
      <c r="H16" s="1017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018" t="str">
        <f ca="1"/>
        <v/>
      </c>
      <c r="N16" s="1027" t="str">
        <f ca="1"/>
        <v/>
      </c>
      <c r="O16" s="1016" t="str">
        <f ca="1"/>
        <v/>
      </c>
      <c r="P16" s="1016" t="str">
        <f ca="1"/>
        <v/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1777</v>
      </c>
      <c r="C17" s="503" t="s">
        <v>0</v>
      </c>
      <c r="D17" t="s">
        <v>12</v>
      </c>
      <c r="E17" s="1015" t="str">
        <f ca="1"/>
        <v/>
      </c>
      <c r="F17" s="1006" t="str">
        <f ca="1"/>
        <v/>
      </c>
      <c r="G17" s="1016" t="str">
        <f ca="1"/>
        <v/>
      </c>
      <c r="H17" s="1017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018" t="str">
        <f ca="1"/>
        <v/>
      </c>
      <c r="N17" s="1027" t="str">
        <f ca="1"/>
        <v/>
      </c>
      <c r="O17" s="1016" t="str">
        <f ca="1"/>
        <v/>
      </c>
      <c r="P17" s="1016" t="str">
        <f ca="1"/>
        <v/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1778</v>
      </c>
      <c r="C18" s="505"/>
      <c r="D18" t="s">
        <v>12</v>
      </c>
      <c r="E18" s="1015" t="str">
        <f ca="1"/>
        <v/>
      </c>
      <c r="F18" s="1006" t="str">
        <f ca="1"/>
        <v/>
      </c>
      <c r="G18" s="1016" t="str">
        <f ca="1"/>
        <v/>
      </c>
      <c r="H18" s="1017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018" t="str">
        <f ca="1"/>
        <v/>
      </c>
      <c r="N18" s="1027" t="str">
        <f ca="1"/>
        <v/>
      </c>
      <c r="O18" s="1016" t="str">
        <f ca="1"/>
        <v/>
      </c>
      <c r="P18" s="1016" t="str">
        <f ca="1"/>
        <v/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1779</v>
      </c>
      <c r="C19" s="505"/>
      <c r="D19" t="s">
        <v>12</v>
      </c>
      <c r="E19" s="1015" t="str">
        <f ca="1"/>
        <v/>
      </c>
      <c r="F19" s="1006" t="str">
        <f ca="1"/>
        <v/>
      </c>
      <c r="G19" s="1016" t="str">
        <f ca="1"/>
        <v/>
      </c>
      <c r="H19" s="1017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018" t="str">
        <f ca="1"/>
        <v/>
      </c>
      <c r="N19" s="1027" t="str">
        <f ca="1"/>
        <v/>
      </c>
      <c r="O19" s="1016" t="str">
        <f ca="1"/>
        <v/>
      </c>
      <c r="P19" s="1016" t="str">
        <f ca="1"/>
        <v/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1780</v>
      </c>
      <c r="C20" s="502"/>
      <c r="D20" t="s">
        <v>12</v>
      </c>
      <c r="E20" s="1015" t="str">
        <f ca="1"/>
        <v/>
      </c>
      <c r="F20" s="1006" t="str">
        <f ca="1"/>
        <v/>
      </c>
      <c r="G20" s="1016" t="str">
        <f ca="1"/>
        <v/>
      </c>
      <c r="H20" s="1017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018" t="str">
        <f ca="1"/>
        <v/>
      </c>
      <c r="N20" s="1027" t="str">
        <f ca="1"/>
        <v/>
      </c>
      <c r="O20" s="1016" t="str">
        <f ca="1"/>
        <v/>
      </c>
      <c r="P20" s="1016" t="str">
        <f ca="1"/>
        <v/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1781</v>
      </c>
      <c r="C21" s="147" t="s">
        <v>356</v>
      </c>
      <c r="D21" t="s">
        <v>12</v>
      </c>
      <c r="E21" s="1015" t="str">
        <f ca="1"/>
        <v/>
      </c>
      <c r="F21" s="1006" t="str">
        <f ca="1"/>
        <v/>
      </c>
      <c r="G21" s="1016" t="str">
        <f ca="1"/>
        <v/>
      </c>
      <c r="H21" s="1017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018" t="str">
        <f ca="1"/>
        <v/>
      </c>
      <c r="N21" s="1027" t="str">
        <f ca="1"/>
        <v/>
      </c>
      <c r="O21" s="1016" t="str">
        <f ca="1"/>
        <v/>
      </c>
      <c r="P21" s="1016" t="str">
        <f ca="1"/>
        <v/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1782</v>
      </c>
      <c r="C22" s="507" t="s">
        <v>358</v>
      </c>
      <c r="D22" t="s">
        <v>12</v>
      </c>
      <c r="E22" s="1015" t="str">
        <f ca="1"/>
        <v/>
      </c>
      <c r="F22" s="1006" t="str">
        <f ca="1"/>
        <v/>
      </c>
      <c r="G22" s="1016" t="str">
        <f ca="1"/>
        <v/>
      </c>
      <c r="H22" s="1017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018" t="str">
        <f ca="1"/>
        <v/>
      </c>
      <c r="N22" s="1027" t="str">
        <f ca="1"/>
        <v/>
      </c>
      <c r="O22" s="1016" t="str">
        <f ca="1"/>
        <v/>
      </c>
      <c r="P22" s="1016" t="str">
        <f ca="1"/>
        <v/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1783</v>
      </c>
      <c r="C23" s="513" t="s">
        <v>76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1784</v>
      </c>
      <c r="C24" s="515">
        <v>0</v>
      </c>
      <c r="D24" t="s">
        <v>12</v>
      </c>
      <c r="E24" s="950"/>
      <c r="R24" s="997"/>
      <c r="S24" s="997"/>
    </row>
    <row r="25" spans="2:19">
      <c r="B25" s="500" t="s">
        <v>1785</v>
      </c>
      <c r="C25" s="504" t="s">
        <v>3</v>
      </c>
      <c r="D25" t="s">
        <v>12</v>
      </c>
      <c r="E25" s="335" t="s">
        <v>1815</v>
      </c>
      <c r="R25" s="997"/>
      <c r="S25" s="997"/>
    </row>
    <row r="26" spans="2:19">
      <c r="B26" s="500" t="s">
        <v>1786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[2018/05/04 09:52] #Error: Invalid Curve: CurveCollection 'EURYC' does not exist</v>
      </c>
      <c r="F26" s="1011" t="str">
        <f ca="1"/>
        <v/>
      </c>
      <c r="G26" s="1011" t="str">
        <f ca="1"/>
        <v/>
      </c>
      <c r="H26" s="1012" t="str">
        <f ca="1"/>
        <v/>
      </c>
      <c r="I26" s="1012" t="str">
        <f ca="1"/>
        <v/>
      </c>
      <c r="J26" s="1011" t="str">
        <f ca="1"/>
        <v/>
      </c>
      <c r="K26" s="1095" t="str">
        <f ca="1"/>
        <v/>
      </c>
      <c r="L26" s="1095" t="str">
        <f ca="1"/>
        <v/>
      </c>
      <c r="M26" s="1091" t="str">
        <f ca="1"/>
        <v/>
      </c>
      <c r="N26" s="1091" t="str">
        <f ca="1"/>
        <v/>
      </c>
      <c r="O26" s="1091" t="str">
        <f ca="1"/>
        <v/>
      </c>
      <c r="P26" s="1094" t="str">
        <f ca="1"/>
        <v/>
      </c>
      <c r="Q26" s="1012" t="str">
        <f ca="1"/>
        <v/>
      </c>
      <c r="R26" s="1012" t="str">
        <f ca="1"/>
        <v/>
      </c>
      <c r="S26" s="1031" t="str">
        <f ca="1"/>
        <v/>
      </c>
    </row>
    <row r="27" spans="2:19">
      <c r="B27" s="500" t="s">
        <v>1787</v>
      </c>
      <c r="C27" s="503" t="s">
        <v>0</v>
      </c>
      <c r="D27" t="s">
        <v>12</v>
      </c>
      <c r="E27" s="1015" t="str">
        <f ca="1"/>
        <v/>
      </c>
      <c r="F27" s="1006" t="str">
        <f ca="1"/>
        <v/>
      </c>
      <c r="G27" s="1006" t="str">
        <f ca="1"/>
        <v/>
      </c>
      <c r="H27" s="1004" t="str">
        <f ca="1"/>
        <v/>
      </c>
      <c r="I27" s="1017" t="str">
        <f ca="1"/>
        <v/>
      </c>
      <c r="J27" s="1006" t="str">
        <f ca="1"/>
        <v/>
      </c>
      <c r="K27" s="1016" t="str">
        <f ca="1"/>
        <v/>
      </c>
      <c r="L27" s="1016" t="str">
        <f ca="1"/>
        <v/>
      </c>
      <c r="M27" s="1027" t="str">
        <f ca="1"/>
        <v/>
      </c>
      <c r="N27" s="1027" t="str">
        <f ca="1"/>
        <v/>
      </c>
      <c r="O27" s="1018" t="str">
        <f ca="1"/>
        <v/>
      </c>
      <c r="P27" s="1027" t="str">
        <f ca="1"/>
        <v/>
      </c>
      <c r="Q27" s="1016" t="str">
        <f ca="1"/>
        <v/>
      </c>
      <c r="R27" s="1016" t="str">
        <f ca="1"/>
        <v/>
      </c>
      <c r="S27" s="1028" t="str">
        <f ca="1"/>
        <v/>
      </c>
    </row>
    <row r="28" spans="2:19">
      <c r="B28" s="500" t="s">
        <v>1788</v>
      </c>
      <c r="C28" s="503" t="s">
        <v>38</v>
      </c>
      <c r="D28" t="s">
        <v>12</v>
      </c>
      <c r="E28" s="1015" t="str">
        <f ca="1"/>
        <v/>
      </c>
      <c r="F28" s="1006" t="str">
        <f ca="1"/>
        <v/>
      </c>
      <c r="G28" s="1006" t="str">
        <f ca="1"/>
        <v/>
      </c>
      <c r="H28" s="1004" t="str">
        <f ca="1"/>
        <v/>
      </c>
      <c r="I28" s="1017" t="str">
        <f ca="1"/>
        <v/>
      </c>
      <c r="J28" s="1006" t="str">
        <f ca="1"/>
        <v/>
      </c>
      <c r="K28" s="1016" t="str">
        <f ca="1"/>
        <v/>
      </c>
      <c r="L28" s="1016" t="str">
        <f ca="1"/>
        <v/>
      </c>
      <c r="M28" s="1027" t="str">
        <f ca="1"/>
        <v/>
      </c>
      <c r="N28" s="1027" t="str">
        <f ca="1"/>
        <v/>
      </c>
      <c r="O28" s="1018" t="str">
        <f ca="1"/>
        <v/>
      </c>
      <c r="P28" s="1027" t="str">
        <f ca="1"/>
        <v/>
      </c>
      <c r="Q28" s="1016" t="str">
        <f ca="1"/>
        <v/>
      </c>
      <c r="R28" s="1016" t="str">
        <f ca="1"/>
        <v/>
      </c>
      <c r="S28" s="1028" t="str">
        <f ca="1"/>
        <v/>
      </c>
    </row>
    <row r="29" spans="2:19">
      <c r="B29" s="500" t="s">
        <v>1789</v>
      </c>
      <c r="C29" s="503" t="s">
        <v>0</v>
      </c>
      <c r="D29" t="s">
        <v>12</v>
      </c>
      <c r="E29" s="1015" t="str">
        <f ca="1"/>
        <v/>
      </c>
      <c r="F29" s="1006" t="str">
        <f ca="1"/>
        <v/>
      </c>
      <c r="G29" s="1006" t="str">
        <f ca="1"/>
        <v/>
      </c>
      <c r="H29" s="1004" t="str">
        <f ca="1"/>
        <v/>
      </c>
      <c r="I29" s="1017" t="str">
        <f ca="1"/>
        <v/>
      </c>
      <c r="J29" s="1006" t="str">
        <f ca="1"/>
        <v/>
      </c>
      <c r="K29" s="1016" t="str">
        <f ca="1"/>
        <v/>
      </c>
      <c r="L29" s="1016" t="str">
        <f ca="1"/>
        <v/>
      </c>
      <c r="M29" s="1027" t="str">
        <f ca="1"/>
        <v/>
      </c>
      <c r="N29" s="1027" t="str">
        <f ca="1"/>
        <v/>
      </c>
      <c r="O29" s="1018" t="str">
        <f ca="1"/>
        <v/>
      </c>
      <c r="P29" s="1027" t="str">
        <f ca="1"/>
        <v/>
      </c>
      <c r="Q29" s="1016" t="str">
        <f ca="1"/>
        <v/>
      </c>
      <c r="R29" s="1016" t="str">
        <f ca="1"/>
        <v/>
      </c>
      <c r="S29" s="1028" t="str">
        <f ca="1"/>
        <v/>
      </c>
    </row>
    <row r="30" spans="2:19">
      <c r="B30" s="500" t="s">
        <v>1790</v>
      </c>
      <c r="C30" s="503" t="s">
        <v>38</v>
      </c>
      <c r="D30" t="s">
        <v>12</v>
      </c>
      <c r="E30" s="1015" t="str">
        <f ca="1"/>
        <v/>
      </c>
      <c r="F30" s="1006" t="str">
        <f ca="1"/>
        <v/>
      </c>
      <c r="G30" s="1006" t="str">
        <f ca="1"/>
        <v/>
      </c>
      <c r="H30" s="1004" t="str">
        <f ca="1"/>
        <v/>
      </c>
      <c r="I30" s="1017" t="str">
        <f ca="1"/>
        <v/>
      </c>
      <c r="J30" s="1006" t="str">
        <f ca="1"/>
        <v/>
      </c>
      <c r="K30" s="1016" t="str">
        <f ca="1"/>
        <v/>
      </c>
      <c r="L30" s="1016" t="str">
        <f ca="1"/>
        <v/>
      </c>
      <c r="M30" s="1027" t="str">
        <f ca="1"/>
        <v/>
      </c>
      <c r="N30" s="1027" t="str">
        <f ca="1"/>
        <v/>
      </c>
      <c r="O30" s="1018" t="str">
        <f ca="1"/>
        <v/>
      </c>
      <c r="P30" s="1027" t="str">
        <f ca="1"/>
        <v/>
      </c>
      <c r="Q30" s="1016" t="str">
        <f ca="1"/>
        <v/>
      </c>
      <c r="R30" s="1016" t="str">
        <f ca="1"/>
        <v/>
      </c>
      <c r="S30" s="1028" t="str">
        <f ca="1"/>
        <v/>
      </c>
    </row>
    <row r="31" spans="2:19">
      <c r="B31" s="500" t="s">
        <v>1791</v>
      </c>
      <c r="C31" s="503" t="s">
        <v>0</v>
      </c>
      <c r="D31" t="s">
        <v>12</v>
      </c>
      <c r="E31" s="1015" t="str">
        <f ca="1"/>
        <v/>
      </c>
      <c r="F31" s="1006" t="str">
        <f ca="1"/>
        <v/>
      </c>
      <c r="G31" s="1006" t="str">
        <f ca="1"/>
        <v/>
      </c>
      <c r="H31" s="1004" t="str">
        <f ca="1"/>
        <v/>
      </c>
      <c r="I31" s="1017" t="str">
        <f ca="1"/>
        <v/>
      </c>
      <c r="J31" s="1006" t="str">
        <f ca="1"/>
        <v/>
      </c>
      <c r="K31" s="1016" t="str">
        <f ca="1"/>
        <v/>
      </c>
      <c r="L31" s="1016" t="str">
        <f ca="1"/>
        <v/>
      </c>
      <c r="M31" s="1027" t="str">
        <f ca="1"/>
        <v/>
      </c>
      <c r="N31" s="1027" t="str">
        <f ca="1"/>
        <v/>
      </c>
      <c r="O31" s="1018" t="str">
        <f ca="1"/>
        <v/>
      </c>
      <c r="P31" s="1027" t="str">
        <f ca="1"/>
        <v/>
      </c>
      <c r="Q31" s="1016" t="str">
        <f ca="1"/>
        <v/>
      </c>
      <c r="R31" s="1016" t="str">
        <f ca="1"/>
        <v/>
      </c>
      <c r="S31" s="1028" t="str">
        <f ca="1"/>
        <v/>
      </c>
    </row>
    <row r="32" spans="2:19">
      <c r="B32" s="500" t="s">
        <v>1792</v>
      </c>
      <c r="C32" s="505"/>
      <c r="D32" t="s">
        <v>12</v>
      </c>
      <c r="E32" s="1015" t="str">
        <f ca="1"/>
        <v/>
      </c>
      <c r="F32" s="1006" t="str">
        <f ca="1"/>
        <v/>
      </c>
      <c r="G32" s="1006" t="str">
        <f ca="1"/>
        <v/>
      </c>
      <c r="H32" s="1004" t="str">
        <f ca="1"/>
        <v/>
      </c>
      <c r="I32" s="1017" t="str">
        <f ca="1"/>
        <v/>
      </c>
      <c r="J32" s="1006" t="str">
        <f ca="1"/>
        <v/>
      </c>
      <c r="K32" s="1016" t="str">
        <f ca="1"/>
        <v/>
      </c>
      <c r="L32" s="1016" t="str">
        <f ca="1"/>
        <v/>
      </c>
      <c r="M32" s="1027" t="str">
        <f ca="1"/>
        <v/>
      </c>
      <c r="N32" s="1027" t="str">
        <f ca="1"/>
        <v/>
      </c>
      <c r="O32" s="1018" t="str">
        <f ca="1"/>
        <v/>
      </c>
      <c r="P32" s="1027" t="str">
        <f ca="1"/>
        <v/>
      </c>
      <c r="Q32" s="1016" t="str">
        <f ca="1"/>
        <v/>
      </c>
      <c r="R32" s="1016" t="str">
        <f ca="1"/>
        <v/>
      </c>
      <c r="S32" s="1028" t="str">
        <f ca="1"/>
        <v/>
      </c>
    </row>
    <row r="33" spans="2:19">
      <c r="B33" s="500" t="s">
        <v>1793</v>
      </c>
      <c r="C33" s="505"/>
      <c r="D33" t="s">
        <v>12</v>
      </c>
      <c r="E33" s="1015" t="str">
        <f ca="1"/>
        <v/>
      </c>
      <c r="F33" s="1006" t="str">
        <f ca="1"/>
        <v/>
      </c>
      <c r="G33" s="1006" t="str">
        <f ca="1"/>
        <v/>
      </c>
      <c r="H33" s="1004" t="str">
        <f ca="1"/>
        <v/>
      </c>
      <c r="I33" s="1017" t="str">
        <f ca="1"/>
        <v/>
      </c>
      <c r="J33" s="1006" t="str">
        <f ca="1"/>
        <v/>
      </c>
      <c r="K33" s="1016" t="str">
        <f ca="1"/>
        <v/>
      </c>
      <c r="L33" s="1016" t="str">
        <f ca="1"/>
        <v/>
      </c>
      <c r="M33" s="1027" t="str">
        <f ca="1"/>
        <v/>
      </c>
      <c r="N33" s="1027" t="str">
        <f ca="1"/>
        <v/>
      </c>
      <c r="O33" s="1018" t="str">
        <f ca="1"/>
        <v/>
      </c>
      <c r="P33" s="1027" t="str">
        <f ca="1"/>
        <v/>
      </c>
      <c r="Q33" s="1016" t="str">
        <f ca="1"/>
        <v/>
      </c>
      <c r="R33" s="1016" t="str">
        <f ca="1"/>
        <v/>
      </c>
      <c r="S33" s="1028" t="str">
        <f ca="1"/>
        <v/>
      </c>
    </row>
    <row r="34" spans="2:19">
      <c r="B34" s="500" t="s">
        <v>1794</v>
      </c>
      <c r="C34" s="502"/>
      <c r="D34" t="s">
        <v>12</v>
      </c>
      <c r="E34" s="1015" t="str">
        <f ca="1"/>
        <v/>
      </c>
      <c r="F34" s="1006" t="str">
        <f ca="1"/>
        <v/>
      </c>
      <c r="G34" s="1006" t="str">
        <f ca="1"/>
        <v/>
      </c>
      <c r="H34" s="1004" t="str">
        <f ca="1"/>
        <v/>
      </c>
      <c r="I34" s="1017" t="str">
        <f ca="1"/>
        <v/>
      </c>
      <c r="J34" s="1006" t="str">
        <f ca="1"/>
        <v/>
      </c>
      <c r="K34" s="1016" t="str">
        <f ca="1"/>
        <v/>
      </c>
      <c r="L34" s="1016" t="str">
        <f ca="1"/>
        <v/>
      </c>
      <c r="M34" s="1027" t="str">
        <f ca="1"/>
        <v/>
      </c>
      <c r="N34" s="1027" t="str">
        <f ca="1"/>
        <v/>
      </c>
      <c r="O34" s="1018" t="str">
        <f ca="1"/>
        <v/>
      </c>
      <c r="P34" s="1027" t="str">
        <f ca="1"/>
        <v/>
      </c>
      <c r="Q34" s="1016" t="str">
        <f ca="1"/>
        <v/>
      </c>
      <c r="R34" s="1016" t="str">
        <f ca="1"/>
        <v/>
      </c>
      <c r="S34" s="1028" t="str">
        <f ca="1"/>
        <v/>
      </c>
    </row>
    <row r="35" spans="2:19">
      <c r="B35" s="500" t="s">
        <v>1795</v>
      </c>
      <c r="C35" s="147" t="s">
        <v>356</v>
      </c>
      <c r="D35" t="s">
        <v>12</v>
      </c>
      <c r="E35" s="1015" t="str">
        <f ca="1"/>
        <v/>
      </c>
      <c r="F35" s="1006" t="str">
        <f ca="1"/>
        <v/>
      </c>
      <c r="G35" s="1006" t="str">
        <f ca="1"/>
        <v/>
      </c>
      <c r="H35" s="1004" t="str">
        <f ca="1"/>
        <v/>
      </c>
      <c r="I35" s="1017" t="str">
        <f ca="1"/>
        <v/>
      </c>
      <c r="J35" s="1006" t="str">
        <f ca="1"/>
        <v/>
      </c>
      <c r="K35" s="1016" t="str">
        <f ca="1"/>
        <v/>
      </c>
      <c r="L35" s="1016" t="str">
        <f ca="1"/>
        <v/>
      </c>
      <c r="M35" s="1027" t="str">
        <f ca="1"/>
        <v/>
      </c>
      <c r="N35" s="1027" t="str">
        <f ca="1"/>
        <v/>
      </c>
      <c r="O35" s="1018" t="str">
        <f ca="1"/>
        <v/>
      </c>
      <c r="P35" s="1027" t="str">
        <f ca="1"/>
        <v/>
      </c>
      <c r="Q35" s="1016" t="str">
        <f ca="1"/>
        <v/>
      </c>
      <c r="R35" s="1016" t="str">
        <f ca="1"/>
        <v/>
      </c>
      <c r="S35" s="1028" t="str">
        <f ca="1"/>
        <v/>
      </c>
    </row>
    <row r="36" spans="2:19">
      <c r="B36" s="500" t="s">
        <v>2250</v>
      </c>
      <c r="C36" s="1204" t="s">
        <v>2252</v>
      </c>
      <c r="D36" t="s">
        <v>12</v>
      </c>
      <c r="E36" s="1015" t="str">
        <f ca="1"/>
        <v/>
      </c>
      <c r="F36" s="1006" t="str">
        <f ca="1"/>
        <v/>
      </c>
      <c r="G36" s="1006" t="str">
        <f ca="1"/>
        <v/>
      </c>
      <c r="H36" s="1004" t="str">
        <f ca="1"/>
        <v/>
      </c>
      <c r="I36" s="1017" t="str">
        <f ca="1"/>
        <v/>
      </c>
      <c r="J36" s="1006" t="str">
        <f ca="1"/>
        <v/>
      </c>
      <c r="K36" s="1016" t="str">
        <f ca="1"/>
        <v/>
      </c>
      <c r="L36" s="1016" t="str">
        <f ca="1"/>
        <v/>
      </c>
      <c r="M36" s="1027" t="str">
        <f ca="1"/>
        <v/>
      </c>
      <c r="N36" s="1027" t="str">
        <f ca="1"/>
        <v/>
      </c>
      <c r="O36" s="1018" t="str">
        <f ca="1"/>
        <v/>
      </c>
      <c r="P36" s="1027" t="str">
        <f ca="1"/>
        <v/>
      </c>
      <c r="Q36" s="1016" t="str">
        <f ca="1"/>
        <v/>
      </c>
      <c r="R36" s="1016" t="str">
        <f ca="1"/>
        <v/>
      </c>
      <c r="S36" s="1028" t="str">
        <f ca="1"/>
        <v/>
      </c>
    </row>
    <row r="37" spans="2:19">
      <c r="B37" s="500" t="s">
        <v>2251</v>
      </c>
      <c r="C37" s="1204" t="s">
        <v>2252</v>
      </c>
      <c r="D37" t="s">
        <v>12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1796</v>
      </c>
      <c r="C38" s="374"/>
      <c r="D38" t="s">
        <v>12</v>
      </c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1797</v>
      </c>
      <c r="C39" s="506"/>
      <c r="D39" t="s">
        <v>12</v>
      </c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1798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1799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55" priority="6">
      <formula>ISNA(E12)</formula>
    </cfRule>
  </conditionalFormatting>
  <conditionalFormatting sqref="F26:Q26 E27:Q41">
    <cfRule type="expression" dxfId="54" priority="5">
      <formula>ISNA(E26)</formula>
    </cfRule>
  </conditionalFormatting>
  <conditionalFormatting sqref="E12">
    <cfRule type="expression" dxfId="53" priority="2">
      <formula>ISNA(E12)</formula>
    </cfRule>
  </conditionalFormatting>
  <conditionalFormatting sqref="E26">
    <cfRule type="expression" dxfId="52" priority="1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362</v>
      </c>
      <c r="E3" s="234" t="s">
        <v>1814</v>
      </c>
      <c r="F3"/>
      <c r="G3" s="526" t="s">
        <v>1861</v>
      </c>
    </row>
    <row r="4" spans="2:19">
      <c r="B4" s="499" t="s">
        <v>1803</v>
      </c>
      <c r="C4" s="1266" t="s">
        <v>1753</v>
      </c>
      <c r="E4" s="509" t="s">
        <v>1805</v>
      </c>
      <c r="F4" s="522" t="str">
        <f ca="1">_xll.meProductSwapParRate($B$3:$C$41,FALSE)</f>
        <v>[2018/05/04 09:52] #Error: Invalid Curve: CurveCollection 'USDYC' does not exist</v>
      </c>
    </row>
    <row r="5" spans="2:19">
      <c r="B5" s="500" t="s">
        <v>354</v>
      </c>
      <c r="C5" s="1267">
        <v>1000000</v>
      </c>
      <c r="E5" s="510" t="s">
        <v>1806</v>
      </c>
      <c r="F5" s="523" t="str">
        <f ca="1">_xll.meProductSwapPV($B$3:$C$41,FALSE)</f>
        <v>[2018/05/04 09:52] #Error: Invalid Curve: CurveCollection 'USDYC' does not exist</v>
      </c>
    </row>
    <row r="6" spans="2:19">
      <c r="B6" s="500" t="s">
        <v>1768</v>
      </c>
      <c r="C6" s="512">
        <f ca="1">_xll.meDateFromTenor(COB,D6,C16,C17)</f>
        <v>43229</v>
      </c>
      <c r="D6" s="315" t="s">
        <v>361</v>
      </c>
      <c r="E6" s="510" t="s">
        <v>1808</v>
      </c>
      <c r="F6" s="523" t="str">
        <f ca="1">_xll.meProductSwapLegPV(_xll.meUtilityLVBFromMultipleKeysValues(B5:B41,C5:C41,,"LegType","Leg1:Fixed",,"PayReceive",C4),FALSE)</f>
        <v>[2018/05/04 09:52] #Error: Invalid Curve: CurveCollection 'USDYC' does not exist</v>
      </c>
    </row>
    <row r="7" spans="2:19">
      <c r="B7" s="500" t="s">
        <v>1769</v>
      </c>
      <c r="C7" s="148" t="s">
        <v>31</v>
      </c>
      <c r="D7" t="s">
        <v>12</v>
      </c>
      <c r="E7" s="510" t="s">
        <v>1807</v>
      </c>
      <c r="F7" s="523" t="e">
        <f ca="1">F5-F6</f>
        <v>#VALUE!</v>
      </c>
    </row>
    <row r="8" spans="2:19">
      <c r="B8" s="500" t="s">
        <v>1770</v>
      </c>
      <c r="C8" s="373" t="s">
        <v>1044</v>
      </c>
      <c r="D8" t="s">
        <v>12</v>
      </c>
      <c r="E8" s="510" t="s">
        <v>1077</v>
      </c>
      <c r="F8" s="523" t="str">
        <f ca="1">_xll.meProductSwapPV01($B$3:$C$41,FALSE)</f>
        <v>[2018/05/04 09:52] #Error: Invalid Curve: CurveCollection 'USDYC' does not exist</v>
      </c>
    </row>
    <row r="9" spans="2:19">
      <c r="B9" s="500" t="s">
        <v>1443</v>
      </c>
      <c r="C9" s="498" t="s">
        <v>1040</v>
      </c>
      <c r="D9" t="s">
        <v>12</v>
      </c>
      <c r="E9" s="511" t="s">
        <v>1752</v>
      </c>
      <c r="F9" s="524" t="str">
        <f ca="1">_xll.meProductSwapDV01($B$3:$C$41,FALSE)</f>
        <v>[2018/05/04 09:52] #Error: Invalid Curve: CurveCollection 'USDYC' does not exist</v>
      </c>
    </row>
    <row r="10" spans="2:19">
      <c r="B10" s="501" t="s">
        <v>1444</v>
      </c>
      <c r="C10" s="533" t="str">
        <f>"USDDF_"&amp;D10</f>
        <v>USDDF_NOCSA</v>
      </c>
      <c r="D10" s="335" t="s">
        <v>1043</v>
      </c>
      <c r="E10" s="666"/>
    </row>
    <row r="11" spans="2:19">
      <c r="B11" s="499" t="s">
        <v>1771</v>
      </c>
      <c r="C11" s="508" t="s">
        <v>76</v>
      </c>
      <c r="D11" t="s">
        <v>12</v>
      </c>
      <c r="E11" s="1001" t="s">
        <v>1816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1772</v>
      </c>
      <c r="C12" s="516">
        <v>0.01</v>
      </c>
      <c r="D12" t="s">
        <v>12</v>
      </c>
      <c r="E12" s="1010" t="str">
        <f t="array" aca="1" ref="E12:S23" ca="1">_xll.meUtilityResize(_xll.meProductSwapLegDisplay(_xll.meUtilityLVBFromMultipleKeysValues(B5:B41,C5:C41,,"LegType","Leg1:Fixed",,"PayReceive",C4),FALSE),50,50)</f>
        <v>[2018/05/04 09:52] #Error: Invalid Curve: CurveCollection 'USDYC' does not exist</v>
      </c>
      <c r="F12" s="1011" t="str">
        <f ca="1"/>
        <v/>
      </c>
      <c r="G12" s="1011" t="str">
        <f ca="1"/>
        <v/>
      </c>
      <c r="H12" s="1012" t="str">
        <f ca="1"/>
        <v/>
      </c>
      <c r="I12" s="1011" t="str">
        <f ca="1"/>
        <v/>
      </c>
      <c r="J12" s="1095" t="str">
        <f ca="1"/>
        <v/>
      </c>
      <c r="K12" s="1095" t="str">
        <f ca="1"/>
        <v/>
      </c>
      <c r="L12" s="1091" t="str">
        <f ca="1"/>
        <v/>
      </c>
      <c r="M12" s="1092" t="str">
        <f ca="1"/>
        <v/>
      </c>
      <c r="N12" s="1093" t="str">
        <f ca="1"/>
        <v/>
      </c>
      <c r="O12" s="1012" t="str">
        <f ca="1"/>
        <v/>
      </c>
      <c r="P12" s="1012" t="str">
        <f ca="1"/>
        <v/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1773</v>
      </c>
      <c r="C13" s="504" t="s">
        <v>157</v>
      </c>
      <c r="D13" t="s">
        <v>12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018" t="str">
        <f ca="1"/>
        <v/>
      </c>
      <c r="N13" s="1027" t="str">
        <f ca="1"/>
        <v/>
      </c>
      <c r="O13" s="1016" t="str">
        <f ca="1"/>
        <v/>
      </c>
      <c r="P13" s="1016" t="str">
        <f ca="1"/>
        <v/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1774</v>
      </c>
      <c r="C14" s="503" t="s">
        <v>38</v>
      </c>
      <c r="D14" t="s">
        <v>12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018" t="str">
        <f ca="1"/>
        <v/>
      </c>
      <c r="N14" s="1027" t="str">
        <f ca="1"/>
        <v/>
      </c>
      <c r="O14" s="1016" t="str">
        <f ca="1"/>
        <v/>
      </c>
      <c r="P14" s="1016" t="str">
        <f ca="1"/>
        <v/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1775</v>
      </c>
      <c r="C15" s="503" t="s">
        <v>357</v>
      </c>
      <c r="D15" t="s">
        <v>12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018" t="str">
        <f ca="1"/>
        <v/>
      </c>
      <c r="N15" s="1027" t="str">
        <f ca="1"/>
        <v/>
      </c>
      <c r="O15" s="1016" t="str">
        <f ca="1"/>
        <v/>
      </c>
      <c r="P15" s="1016" t="str">
        <f ca="1"/>
        <v/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1776</v>
      </c>
      <c r="C16" s="503" t="s">
        <v>38</v>
      </c>
      <c r="D16" t="s">
        <v>12</v>
      </c>
      <c r="E16" s="1015" t="str">
        <f ca="1"/>
        <v/>
      </c>
      <c r="F16" s="1006" t="str">
        <f ca="1"/>
        <v/>
      </c>
      <c r="G16" s="1016" t="str">
        <f ca="1"/>
        <v/>
      </c>
      <c r="H16" s="1017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018" t="str">
        <f ca="1"/>
        <v/>
      </c>
      <c r="N16" s="1027" t="str">
        <f ca="1"/>
        <v/>
      </c>
      <c r="O16" s="1016" t="str">
        <f ca="1"/>
        <v/>
      </c>
      <c r="P16" s="1016" t="str">
        <f ca="1"/>
        <v/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1777</v>
      </c>
      <c r="C17" s="503" t="s">
        <v>357</v>
      </c>
      <c r="D17" t="s">
        <v>12</v>
      </c>
      <c r="E17" s="1015" t="str">
        <f ca="1"/>
        <v/>
      </c>
      <c r="F17" s="1006" t="str">
        <f ca="1"/>
        <v/>
      </c>
      <c r="G17" s="1016" t="str">
        <f ca="1"/>
        <v/>
      </c>
      <c r="H17" s="1017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018" t="str">
        <f ca="1"/>
        <v/>
      </c>
      <c r="N17" s="1027" t="str">
        <f ca="1"/>
        <v/>
      </c>
      <c r="O17" s="1016" t="str">
        <f ca="1"/>
        <v/>
      </c>
      <c r="P17" s="1016" t="str">
        <f ca="1"/>
        <v/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1778</v>
      </c>
      <c r="C18" s="505"/>
      <c r="D18" t="s">
        <v>12</v>
      </c>
      <c r="E18" s="1015" t="str">
        <f ca="1"/>
        <v/>
      </c>
      <c r="F18" s="1006" t="str">
        <f ca="1"/>
        <v/>
      </c>
      <c r="G18" s="1016" t="str">
        <f ca="1"/>
        <v/>
      </c>
      <c r="H18" s="1017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018" t="str">
        <f ca="1"/>
        <v/>
      </c>
      <c r="N18" s="1027" t="str">
        <f ca="1"/>
        <v/>
      </c>
      <c r="O18" s="1016" t="str">
        <f ca="1"/>
        <v/>
      </c>
      <c r="P18" s="1016" t="str">
        <f ca="1"/>
        <v/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1779</v>
      </c>
      <c r="C19" s="505"/>
      <c r="D19" t="s">
        <v>12</v>
      </c>
      <c r="E19" s="1015" t="str">
        <f ca="1"/>
        <v/>
      </c>
      <c r="F19" s="1006" t="str">
        <f ca="1"/>
        <v/>
      </c>
      <c r="G19" s="1016" t="str">
        <f ca="1"/>
        <v/>
      </c>
      <c r="H19" s="1017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018" t="str">
        <f ca="1"/>
        <v/>
      </c>
      <c r="N19" s="1027" t="str">
        <f ca="1"/>
        <v/>
      </c>
      <c r="O19" s="1016" t="str">
        <f ca="1"/>
        <v/>
      </c>
      <c r="P19" s="1016" t="str">
        <f ca="1"/>
        <v/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1780</v>
      </c>
      <c r="C20" s="502" t="str">
        <f>IF($B4="","",IF($M5="","",$M5))</f>
        <v/>
      </c>
      <c r="D20" t="s">
        <v>12</v>
      </c>
      <c r="E20" s="1015" t="str">
        <f ca="1"/>
        <v/>
      </c>
      <c r="F20" s="1006" t="str">
        <f ca="1"/>
        <v/>
      </c>
      <c r="G20" s="1016" t="str">
        <f ca="1"/>
        <v/>
      </c>
      <c r="H20" s="1017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018" t="str">
        <f ca="1"/>
        <v/>
      </c>
      <c r="N20" s="1027" t="str">
        <f ca="1"/>
        <v/>
      </c>
      <c r="O20" s="1016" t="str">
        <f ca="1"/>
        <v/>
      </c>
      <c r="P20" s="1016" t="str">
        <f ca="1"/>
        <v/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1781</v>
      </c>
      <c r="C21" s="147" t="s">
        <v>356</v>
      </c>
      <c r="D21" t="s">
        <v>12</v>
      </c>
      <c r="E21" s="1015" t="str">
        <f ca="1"/>
        <v/>
      </c>
      <c r="F21" s="1006" t="str">
        <f ca="1"/>
        <v/>
      </c>
      <c r="G21" s="1016" t="str">
        <f ca="1"/>
        <v/>
      </c>
      <c r="H21" s="1017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018" t="str">
        <f ca="1"/>
        <v/>
      </c>
      <c r="N21" s="1027" t="str">
        <f ca="1"/>
        <v/>
      </c>
      <c r="O21" s="1016" t="str">
        <f ca="1"/>
        <v/>
      </c>
      <c r="P21" s="1016" t="str">
        <f ca="1"/>
        <v/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1782</v>
      </c>
      <c r="C22" s="507" t="s">
        <v>358</v>
      </c>
      <c r="D22" t="s">
        <v>12</v>
      </c>
      <c r="E22" s="1015" t="str">
        <f ca="1"/>
        <v/>
      </c>
      <c r="F22" s="1006" t="str">
        <f ca="1"/>
        <v/>
      </c>
      <c r="G22" s="1016" t="str">
        <f ca="1"/>
        <v/>
      </c>
      <c r="H22" s="1017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018" t="str">
        <f ca="1"/>
        <v/>
      </c>
      <c r="N22" s="1027" t="str">
        <f ca="1"/>
        <v/>
      </c>
      <c r="O22" s="1016" t="str">
        <f ca="1"/>
        <v/>
      </c>
      <c r="P22" s="1016" t="str">
        <f ca="1"/>
        <v/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1783</v>
      </c>
      <c r="C23" s="513" t="s">
        <v>75</v>
      </c>
      <c r="D23" t="s">
        <v>12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1784</v>
      </c>
      <c r="C24" s="515">
        <v>0</v>
      </c>
      <c r="D24" t="s">
        <v>12</v>
      </c>
      <c r="E24" s="666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1785</v>
      </c>
      <c r="C25" s="504" t="s">
        <v>3</v>
      </c>
      <c r="D25" t="s">
        <v>12</v>
      </c>
      <c r="E25" s="1001" t="s">
        <v>1815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1786</v>
      </c>
      <c r="C26" s="503" t="s">
        <v>38</v>
      </c>
      <c r="D26" t="s">
        <v>12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[2018/05/04 09:52] #Error: Invalid Curve: CurveCollection 'USDYC' does not exist</v>
      </c>
      <c r="F26" s="1011" t="str">
        <f ca="1"/>
        <v/>
      </c>
      <c r="G26" s="1011" t="str">
        <f ca="1"/>
        <v/>
      </c>
      <c r="H26" s="1012" t="str">
        <f ca="1"/>
        <v/>
      </c>
      <c r="I26" s="1012" t="str">
        <f ca="1"/>
        <v/>
      </c>
      <c r="J26" s="1011" t="str">
        <f ca="1"/>
        <v/>
      </c>
      <c r="K26" s="1095" t="str">
        <f ca="1"/>
        <v/>
      </c>
      <c r="L26" s="1095" t="str">
        <f ca="1"/>
        <v/>
      </c>
      <c r="M26" s="1091" t="str">
        <f ca="1"/>
        <v/>
      </c>
      <c r="N26" s="1091" t="str">
        <f ca="1"/>
        <v/>
      </c>
      <c r="O26" s="1091" t="str">
        <f ca="1"/>
        <v/>
      </c>
      <c r="P26" s="1094" t="str">
        <f ca="1"/>
        <v/>
      </c>
      <c r="Q26" s="1012" t="str">
        <f ca="1"/>
        <v/>
      </c>
      <c r="R26" s="1012" t="str">
        <f ca="1"/>
        <v/>
      </c>
      <c r="S26" s="1031" t="str">
        <f ca="1"/>
        <v/>
      </c>
    </row>
    <row r="27" spans="2:19">
      <c r="B27" s="500" t="s">
        <v>1787</v>
      </c>
      <c r="C27" s="503" t="s">
        <v>357</v>
      </c>
      <c r="D27" t="s">
        <v>12</v>
      </c>
      <c r="E27" s="1015" t="str">
        <f ca="1"/>
        <v/>
      </c>
      <c r="F27" s="1006" t="str">
        <f ca="1"/>
        <v/>
      </c>
      <c r="G27" s="1006" t="str">
        <f ca="1"/>
        <v/>
      </c>
      <c r="H27" s="1004" t="str">
        <f ca="1"/>
        <v/>
      </c>
      <c r="I27" s="1017" t="str">
        <f ca="1"/>
        <v/>
      </c>
      <c r="J27" s="1006" t="str">
        <f ca="1"/>
        <v/>
      </c>
      <c r="K27" s="1016" t="str">
        <f ca="1"/>
        <v/>
      </c>
      <c r="L27" s="1016" t="str">
        <f ca="1"/>
        <v/>
      </c>
      <c r="M27" s="1027" t="str">
        <f ca="1"/>
        <v/>
      </c>
      <c r="N27" s="1027" t="str">
        <f ca="1"/>
        <v/>
      </c>
      <c r="O27" s="1018" t="str">
        <f ca="1"/>
        <v/>
      </c>
      <c r="P27" s="1027" t="str">
        <f ca="1"/>
        <v/>
      </c>
      <c r="Q27" s="1016" t="str">
        <f ca="1"/>
        <v/>
      </c>
      <c r="R27" s="1016" t="str">
        <f ca="1"/>
        <v/>
      </c>
      <c r="S27" s="1028" t="str">
        <f ca="1"/>
        <v/>
      </c>
    </row>
    <row r="28" spans="2:19">
      <c r="B28" s="500" t="s">
        <v>1788</v>
      </c>
      <c r="C28" s="503" t="s">
        <v>38</v>
      </c>
      <c r="D28" t="s">
        <v>12</v>
      </c>
      <c r="E28" s="1015" t="str">
        <f ca="1"/>
        <v/>
      </c>
      <c r="F28" s="1006" t="str">
        <f ca="1"/>
        <v/>
      </c>
      <c r="G28" s="1006" t="str">
        <f ca="1"/>
        <v/>
      </c>
      <c r="H28" s="1004" t="str">
        <f ca="1"/>
        <v/>
      </c>
      <c r="I28" s="1017" t="str">
        <f ca="1"/>
        <v/>
      </c>
      <c r="J28" s="1006" t="str">
        <f ca="1"/>
        <v/>
      </c>
      <c r="K28" s="1016" t="str">
        <f ca="1"/>
        <v/>
      </c>
      <c r="L28" s="1016" t="str">
        <f ca="1"/>
        <v/>
      </c>
      <c r="M28" s="1027" t="str">
        <f ca="1"/>
        <v/>
      </c>
      <c r="N28" s="1027" t="str">
        <f ca="1"/>
        <v/>
      </c>
      <c r="O28" s="1018" t="str">
        <f ca="1"/>
        <v/>
      </c>
      <c r="P28" s="1027" t="str">
        <f ca="1"/>
        <v/>
      </c>
      <c r="Q28" s="1016" t="str">
        <f ca="1"/>
        <v/>
      </c>
      <c r="R28" s="1016" t="str">
        <f ca="1"/>
        <v/>
      </c>
      <c r="S28" s="1028" t="str">
        <f ca="1"/>
        <v/>
      </c>
    </row>
    <row r="29" spans="2:19">
      <c r="B29" s="500" t="s">
        <v>1789</v>
      </c>
      <c r="C29" s="503" t="s">
        <v>357</v>
      </c>
      <c r="D29" t="s">
        <v>12</v>
      </c>
      <c r="E29" s="1015" t="str">
        <f ca="1"/>
        <v/>
      </c>
      <c r="F29" s="1006" t="str">
        <f ca="1"/>
        <v/>
      </c>
      <c r="G29" s="1006" t="str">
        <f ca="1"/>
        <v/>
      </c>
      <c r="H29" s="1004" t="str">
        <f ca="1"/>
        <v/>
      </c>
      <c r="I29" s="1017" t="str">
        <f ca="1"/>
        <v/>
      </c>
      <c r="J29" s="1006" t="str">
        <f ca="1"/>
        <v/>
      </c>
      <c r="K29" s="1016" t="str">
        <f ca="1"/>
        <v/>
      </c>
      <c r="L29" s="1016" t="str">
        <f ca="1"/>
        <v/>
      </c>
      <c r="M29" s="1027" t="str">
        <f ca="1"/>
        <v/>
      </c>
      <c r="N29" s="1027" t="str">
        <f ca="1"/>
        <v/>
      </c>
      <c r="O29" s="1018" t="str">
        <f ca="1"/>
        <v/>
      </c>
      <c r="P29" s="1027" t="str">
        <f ca="1"/>
        <v/>
      </c>
      <c r="Q29" s="1016" t="str">
        <f ca="1"/>
        <v/>
      </c>
      <c r="R29" s="1016" t="str">
        <f ca="1"/>
        <v/>
      </c>
      <c r="S29" s="1028" t="str">
        <f ca="1"/>
        <v/>
      </c>
    </row>
    <row r="30" spans="2:19">
      <c r="B30" s="500" t="s">
        <v>1790</v>
      </c>
      <c r="C30" s="503" t="s">
        <v>38</v>
      </c>
      <c r="D30" t="s">
        <v>12</v>
      </c>
      <c r="E30" s="1015" t="str">
        <f ca="1"/>
        <v/>
      </c>
      <c r="F30" s="1006" t="str">
        <f ca="1"/>
        <v/>
      </c>
      <c r="G30" s="1006" t="str">
        <f ca="1"/>
        <v/>
      </c>
      <c r="H30" s="1004" t="str">
        <f ca="1"/>
        <v/>
      </c>
      <c r="I30" s="1017" t="str">
        <f ca="1"/>
        <v/>
      </c>
      <c r="J30" s="1006" t="str">
        <f ca="1"/>
        <v/>
      </c>
      <c r="K30" s="1016" t="str">
        <f ca="1"/>
        <v/>
      </c>
      <c r="L30" s="1016" t="str">
        <f ca="1"/>
        <v/>
      </c>
      <c r="M30" s="1027" t="str">
        <f ca="1"/>
        <v/>
      </c>
      <c r="N30" s="1027" t="str">
        <f ca="1"/>
        <v/>
      </c>
      <c r="O30" s="1018" t="str">
        <f ca="1"/>
        <v/>
      </c>
      <c r="P30" s="1027" t="str">
        <f ca="1"/>
        <v/>
      </c>
      <c r="Q30" s="1016" t="str">
        <f ca="1"/>
        <v/>
      </c>
      <c r="R30" s="1016" t="str">
        <f ca="1"/>
        <v/>
      </c>
      <c r="S30" s="1028" t="str">
        <f ca="1"/>
        <v/>
      </c>
    </row>
    <row r="31" spans="2:19">
      <c r="B31" s="500" t="s">
        <v>1791</v>
      </c>
      <c r="C31" s="503" t="s">
        <v>357</v>
      </c>
      <c r="D31" t="s">
        <v>12</v>
      </c>
      <c r="E31" s="1015" t="str">
        <f ca="1"/>
        <v/>
      </c>
      <c r="F31" s="1006" t="str">
        <f ca="1"/>
        <v/>
      </c>
      <c r="G31" s="1006" t="str">
        <f ca="1"/>
        <v/>
      </c>
      <c r="H31" s="1004" t="str">
        <f ca="1"/>
        <v/>
      </c>
      <c r="I31" s="1017" t="str">
        <f ca="1"/>
        <v/>
      </c>
      <c r="J31" s="1006" t="str">
        <f ca="1"/>
        <v/>
      </c>
      <c r="K31" s="1016" t="str">
        <f ca="1"/>
        <v/>
      </c>
      <c r="L31" s="1016" t="str">
        <f ca="1"/>
        <v/>
      </c>
      <c r="M31" s="1027" t="str">
        <f ca="1"/>
        <v/>
      </c>
      <c r="N31" s="1027" t="str">
        <f ca="1"/>
        <v/>
      </c>
      <c r="O31" s="1018" t="str">
        <f ca="1"/>
        <v/>
      </c>
      <c r="P31" s="1027" t="str">
        <f ca="1"/>
        <v/>
      </c>
      <c r="Q31" s="1016" t="str">
        <f ca="1"/>
        <v/>
      </c>
      <c r="R31" s="1016" t="str">
        <f ca="1"/>
        <v/>
      </c>
      <c r="S31" s="1028" t="str">
        <f ca="1"/>
        <v/>
      </c>
    </row>
    <row r="32" spans="2:19">
      <c r="B32" s="500" t="s">
        <v>1792</v>
      </c>
      <c r="C32" s="505"/>
      <c r="D32" t="s">
        <v>12</v>
      </c>
      <c r="E32" s="1015" t="str">
        <f ca="1"/>
        <v/>
      </c>
      <c r="F32" s="1006" t="str">
        <f ca="1"/>
        <v/>
      </c>
      <c r="G32" s="1006" t="str">
        <f ca="1"/>
        <v/>
      </c>
      <c r="H32" s="1004" t="str">
        <f ca="1"/>
        <v/>
      </c>
      <c r="I32" s="1017" t="str">
        <f ca="1"/>
        <v/>
      </c>
      <c r="J32" s="1006" t="str">
        <f ca="1"/>
        <v/>
      </c>
      <c r="K32" s="1016" t="str">
        <f ca="1"/>
        <v/>
      </c>
      <c r="L32" s="1016" t="str">
        <f ca="1"/>
        <v/>
      </c>
      <c r="M32" s="1027" t="str">
        <f ca="1"/>
        <v/>
      </c>
      <c r="N32" s="1027" t="str">
        <f ca="1"/>
        <v/>
      </c>
      <c r="O32" s="1018" t="str">
        <f ca="1"/>
        <v/>
      </c>
      <c r="P32" s="1027" t="str">
        <f ca="1"/>
        <v/>
      </c>
      <c r="Q32" s="1016" t="str">
        <f ca="1"/>
        <v/>
      </c>
      <c r="R32" s="1016" t="str">
        <f ca="1"/>
        <v/>
      </c>
      <c r="S32" s="1028" t="str">
        <f ca="1"/>
        <v/>
      </c>
    </row>
    <row r="33" spans="2:19">
      <c r="B33" s="500" t="s">
        <v>1793</v>
      </c>
      <c r="C33" s="505"/>
      <c r="D33" t="s">
        <v>12</v>
      </c>
      <c r="E33" s="1015" t="str">
        <f ca="1"/>
        <v/>
      </c>
      <c r="F33" s="1006" t="str">
        <f ca="1"/>
        <v/>
      </c>
      <c r="G33" s="1006" t="str">
        <f ca="1"/>
        <v/>
      </c>
      <c r="H33" s="1004" t="str">
        <f ca="1"/>
        <v/>
      </c>
      <c r="I33" s="1017" t="str">
        <f ca="1"/>
        <v/>
      </c>
      <c r="J33" s="1006" t="str">
        <f ca="1"/>
        <v/>
      </c>
      <c r="K33" s="1016" t="str">
        <f ca="1"/>
        <v/>
      </c>
      <c r="L33" s="1016" t="str">
        <f ca="1"/>
        <v/>
      </c>
      <c r="M33" s="1027" t="str">
        <f ca="1"/>
        <v/>
      </c>
      <c r="N33" s="1027" t="str">
        <f ca="1"/>
        <v/>
      </c>
      <c r="O33" s="1018" t="str">
        <f ca="1"/>
        <v/>
      </c>
      <c r="P33" s="1027" t="str">
        <f ca="1"/>
        <v/>
      </c>
      <c r="Q33" s="1016" t="str">
        <f ca="1"/>
        <v/>
      </c>
      <c r="R33" s="1016" t="str">
        <f ca="1"/>
        <v/>
      </c>
      <c r="S33" s="1028" t="str">
        <f ca="1"/>
        <v/>
      </c>
    </row>
    <row r="34" spans="2:19">
      <c r="B34" s="500" t="s">
        <v>1794</v>
      </c>
      <c r="C34" s="502" t="str">
        <f>IF($B4="","",IF($N5="","",$N5))</f>
        <v/>
      </c>
      <c r="D34" t="s">
        <v>12</v>
      </c>
      <c r="E34" s="1015" t="str">
        <f ca="1"/>
        <v/>
      </c>
      <c r="F34" s="1006" t="str">
        <f ca="1"/>
        <v/>
      </c>
      <c r="G34" s="1006" t="str">
        <f ca="1"/>
        <v/>
      </c>
      <c r="H34" s="1004" t="str">
        <f ca="1"/>
        <v/>
      </c>
      <c r="I34" s="1017" t="str">
        <f ca="1"/>
        <v/>
      </c>
      <c r="J34" s="1006" t="str">
        <f ca="1"/>
        <v/>
      </c>
      <c r="K34" s="1016" t="str">
        <f ca="1"/>
        <v/>
      </c>
      <c r="L34" s="1016" t="str">
        <f ca="1"/>
        <v/>
      </c>
      <c r="M34" s="1027" t="str">
        <f ca="1"/>
        <v/>
      </c>
      <c r="N34" s="1027" t="str">
        <f ca="1"/>
        <v/>
      </c>
      <c r="O34" s="1018" t="str">
        <f ca="1"/>
        <v/>
      </c>
      <c r="P34" s="1027" t="str">
        <f ca="1"/>
        <v/>
      </c>
      <c r="Q34" s="1016" t="str">
        <f ca="1"/>
        <v/>
      </c>
      <c r="R34" s="1016" t="str">
        <f ca="1"/>
        <v/>
      </c>
      <c r="S34" s="1028" t="str">
        <f ca="1"/>
        <v/>
      </c>
    </row>
    <row r="35" spans="2:19">
      <c r="B35" s="500" t="s">
        <v>1795</v>
      </c>
      <c r="C35" s="147" t="s">
        <v>356</v>
      </c>
      <c r="D35" t="s">
        <v>12</v>
      </c>
      <c r="E35" s="1015" t="str">
        <f ca="1"/>
        <v/>
      </c>
      <c r="F35" s="1006" t="str">
        <f ca="1"/>
        <v/>
      </c>
      <c r="G35" s="1006" t="str">
        <f ca="1"/>
        <v/>
      </c>
      <c r="H35" s="1004" t="str">
        <f ca="1"/>
        <v/>
      </c>
      <c r="I35" s="1017" t="str">
        <f ca="1"/>
        <v/>
      </c>
      <c r="J35" s="1006" t="str">
        <f ca="1"/>
        <v/>
      </c>
      <c r="K35" s="1016" t="str">
        <f ca="1"/>
        <v/>
      </c>
      <c r="L35" s="1016" t="str">
        <f ca="1"/>
        <v/>
      </c>
      <c r="M35" s="1027" t="str">
        <f ca="1"/>
        <v/>
      </c>
      <c r="N35" s="1027" t="str">
        <f ca="1"/>
        <v/>
      </c>
      <c r="O35" s="1018" t="str">
        <f ca="1"/>
        <v/>
      </c>
      <c r="P35" s="1027" t="str">
        <f ca="1"/>
        <v/>
      </c>
      <c r="Q35" s="1016" t="str">
        <f ca="1"/>
        <v/>
      </c>
      <c r="R35" s="1016" t="str">
        <f ca="1"/>
        <v/>
      </c>
      <c r="S35" s="1028" t="str">
        <f ca="1"/>
        <v/>
      </c>
    </row>
    <row r="36" spans="2:19">
      <c r="B36" s="500" t="s">
        <v>2250</v>
      </c>
      <c r="C36" s="1204" t="s">
        <v>2252</v>
      </c>
      <c r="D36" t="s">
        <v>12</v>
      </c>
      <c r="E36" s="1015" t="str">
        <f ca="1"/>
        <v/>
      </c>
      <c r="F36" s="1006" t="str">
        <f ca="1"/>
        <v/>
      </c>
      <c r="G36" s="1006" t="str">
        <f ca="1"/>
        <v/>
      </c>
      <c r="H36" s="1004" t="str">
        <f ca="1"/>
        <v/>
      </c>
      <c r="I36" s="1017" t="str">
        <f ca="1"/>
        <v/>
      </c>
      <c r="J36" s="1006" t="str">
        <f ca="1"/>
        <v/>
      </c>
      <c r="K36" s="1016" t="str">
        <f ca="1"/>
        <v/>
      </c>
      <c r="L36" s="1016" t="str">
        <f ca="1"/>
        <v/>
      </c>
      <c r="M36" s="1027" t="str">
        <f ca="1"/>
        <v/>
      </c>
      <c r="N36" s="1027" t="str">
        <f ca="1"/>
        <v/>
      </c>
      <c r="O36" s="1018" t="str">
        <f ca="1"/>
        <v/>
      </c>
      <c r="P36" s="1027" t="str">
        <f ca="1"/>
        <v/>
      </c>
      <c r="Q36" s="1016" t="str">
        <f ca="1"/>
        <v/>
      </c>
      <c r="R36" s="1016" t="str">
        <f ca="1"/>
        <v/>
      </c>
      <c r="S36" s="1028" t="str">
        <f ca="1"/>
        <v/>
      </c>
    </row>
    <row r="37" spans="2:19">
      <c r="B37" s="500" t="s">
        <v>2251</v>
      </c>
      <c r="C37" s="1204" t="s">
        <v>2252</v>
      </c>
      <c r="D37" t="s">
        <v>12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1796</v>
      </c>
      <c r="C38" s="374"/>
      <c r="D38" t="s">
        <v>12</v>
      </c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1797</v>
      </c>
      <c r="C39" s="506"/>
      <c r="D39" t="s">
        <v>12</v>
      </c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1798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1799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51" priority="6">
      <formula>ISNA(E12)</formula>
    </cfRule>
  </conditionalFormatting>
  <conditionalFormatting sqref="E12">
    <cfRule type="expression" dxfId="50" priority="4">
      <formula>ISNA(E12)</formula>
    </cfRule>
  </conditionalFormatting>
  <conditionalFormatting sqref="E26">
    <cfRule type="expression" dxfId="49" priority="1">
      <formula>ISNA(E26)</formula>
    </cfRule>
  </conditionalFormatting>
  <conditionalFormatting sqref="F26:Q26 E27:Q41">
    <cfRule type="expression" dxfId="48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7 C15 C17 C29 C31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10" width="20.7109375" style="424" customWidth="1"/>
    <col min="11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1814</v>
      </c>
      <c r="F3"/>
      <c r="G3" s="526" t="s">
        <v>1861</v>
      </c>
    </row>
    <row r="4" spans="2:19">
      <c r="B4" s="499" t="s">
        <v>1803</v>
      </c>
      <c r="C4" s="1266" t="s">
        <v>1753</v>
      </c>
      <c r="E4" s="509" t="s">
        <v>1805</v>
      </c>
      <c r="F4" s="522" t="str">
        <f ca="1">_xll.meProductSwapParRate($B$3:$C$41,FALSE)</f>
        <v>[2018/05/04 09:52] #Error: Invalid Curve: CurveIndex 'GBP6ML' in collection GBPYC does not exist</v>
      </c>
    </row>
    <row r="5" spans="2:19">
      <c r="B5" s="500" t="s">
        <v>354</v>
      </c>
      <c r="C5" s="1267">
        <v>1000000</v>
      </c>
      <c r="E5" s="510" t="s">
        <v>1806</v>
      </c>
      <c r="F5" s="523" t="str">
        <f ca="1">_xll.meProductSwapPV($B$3:$C$41,FALSE)</f>
        <v>[2018/05/04 09:52] #Error: Invalid Curve: CurveIndex 'GBP6ML' in collection GBPYC does not exist</v>
      </c>
    </row>
    <row r="6" spans="2:19">
      <c r="B6" s="500" t="s">
        <v>1768</v>
      </c>
      <c r="C6" s="512">
        <f ca="1">_xll.meDateFromTenor(COB,D6,C16,C17)</f>
        <v>43224</v>
      </c>
      <c r="D6" s="315" t="s">
        <v>356</v>
      </c>
      <c r="E6" s="510" t="s">
        <v>1808</v>
      </c>
      <c r="F6" s="523">
        <f ca="1">_xll.meProductSwapLegPV(_xll.meUtilityLVBFromMultipleKeysValues(B5:B41,C5:C41,,"LegType","Leg1:Fixed",,"PayReceive",C4),FALSE)</f>
        <v>48770.938302955423</v>
      </c>
    </row>
    <row r="7" spans="2:19">
      <c r="B7" s="500" t="s">
        <v>1769</v>
      </c>
      <c r="C7" s="148" t="s">
        <v>31</v>
      </c>
      <c r="E7" s="510" t="s">
        <v>1807</v>
      </c>
      <c r="F7" s="523" t="e">
        <f ca="1">F5-F6</f>
        <v>#VALUE!</v>
      </c>
    </row>
    <row r="8" spans="2:19">
      <c r="B8" s="500" t="s">
        <v>1770</v>
      </c>
      <c r="C8" s="373" t="s">
        <v>1046</v>
      </c>
      <c r="E8" s="510" t="s">
        <v>1077</v>
      </c>
      <c r="F8" s="523" t="str">
        <f ca="1">_xll.meProductSwapPV01($B$3:$C$41,FALSE)</f>
        <v>[2018/05/04 09:52] #Error: Invalid Curve: CurveIndex 'GBP6ML' in collection GBPYC does not exist</v>
      </c>
    </row>
    <row r="9" spans="2:19">
      <c r="B9" s="500" t="s">
        <v>1443</v>
      </c>
      <c r="C9" s="498" t="s">
        <v>1041</v>
      </c>
      <c r="E9" s="511" t="s">
        <v>1752</v>
      </c>
      <c r="F9" s="524" t="str">
        <f ca="1">_xll.meProductSwapDV01($B$3:$C$41,FALSE)</f>
        <v>[2018/05/04 09:52] #Error: Invalid Curve: CurveIndex 'GBP6ML' in collection GBPYC does not exist</v>
      </c>
    </row>
    <row r="10" spans="2:19">
      <c r="B10" s="501" t="s">
        <v>1444</v>
      </c>
      <c r="C10" s="533" t="str">
        <f>"GBPDF_"&amp;D10</f>
        <v>GBPDF_NOCSA</v>
      </c>
      <c r="D10" s="335" t="s">
        <v>1043</v>
      </c>
    </row>
    <row r="11" spans="2:19">
      <c r="B11" s="499" t="s">
        <v>1771</v>
      </c>
      <c r="C11" s="508" t="s">
        <v>76</v>
      </c>
      <c r="E11" s="1001" t="s">
        <v>1816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1772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1773</v>
      </c>
      <c r="C13" s="504" t="s">
        <v>186</v>
      </c>
      <c r="E13" s="1015">
        <f ca="1"/>
        <v>43224</v>
      </c>
      <c r="F13" s="1006">
        <f ca="1"/>
        <v>43409</v>
      </c>
      <c r="G13" s="1016">
        <f ca="1"/>
        <v>185</v>
      </c>
      <c r="H13" s="1017">
        <f ca="1"/>
        <v>0.50684931506849296</v>
      </c>
      <c r="I13" s="1006">
        <f ca="1"/>
        <v>43409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5068.4931506849298</v>
      </c>
      <c r="O13" s="1016">
        <f ca="1"/>
        <v>0.99714550111659395</v>
      </c>
      <c r="P13" s="1016">
        <f ca="1"/>
        <v>5054.0251426457498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1774</v>
      </c>
      <c r="C14" s="503" t="s">
        <v>38</v>
      </c>
      <c r="E14" s="1015">
        <f ca="1"/>
        <v>43409</v>
      </c>
      <c r="F14" s="1006">
        <f ca="1"/>
        <v>43592</v>
      </c>
      <c r="G14" s="1016">
        <f ca="1"/>
        <v>183</v>
      </c>
      <c r="H14" s="1017">
        <f ca="1"/>
        <v>0.50136986301369901</v>
      </c>
      <c r="I14" s="1006">
        <f ca="1"/>
        <v>43592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5013.6986301369898</v>
      </c>
      <c r="O14" s="1016">
        <f ca="1"/>
        <v>0.99343807828308395</v>
      </c>
      <c r="P14" s="1016">
        <f ca="1"/>
        <v>4980.7991322138196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1775</v>
      </c>
      <c r="C15" s="503" t="s">
        <v>185</v>
      </c>
      <c r="E15" s="1015">
        <f ca="1"/>
        <v>43592</v>
      </c>
      <c r="F15" s="1006">
        <f ca="1"/>
        <v>43773</v>
      </c>
      <c r="G15" s="1016">
        <f ca="1"/>
        <v>181</v>
      </c>
      <c r="H15" s="1017">
        <f ca="1"/>
        <v>0.49589041095890402</v>
      </c>
      <c r="I15" s="1006">
        <f ca="1"/>
        <v>43773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4958.9041095890398</v>
      </c>
      <c r="O15" s="1016">
        <f ca="1"/>
        <v>0.989639704631601</v>
      </c>
      <c r="P15" s="1016">
        <f ca="1"/>
        <v>4907.5283983101299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1776</v>
      </c>
      <c r="C16" s="503" t="s">
        <v>38</v>
      </c>
      <c r="E16" s="1015">
        <f ca="1"/>
        <v>43773</v>
      </c>
      <c r="F16" s="1006">
        <f ca="1"/>
        <v>43956</v>
      </c>
      <c r="G16" s="1016">
        <f ca="1"/>
        <v>183</v>
      </c>
      <c r="H16" s="1017">
        <f ca="1"/>
        <v>0.50136986301369901</v>
      </c>
      <c r="I16" s="1006">
        <f ca="1"/>
        <v>43956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5013.6986301369898</v>
      </c>
      <c r="O16" s="1016">
        <f ca="1"/>
        <v>0.98507785288549699</v>
      </c>
      <c r="P16" s="1016">
        <f ca="1"/>
        <v>4938.8834815903001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1777</v>
      </c>
      <c r="C17" s="503" t="s">
        <v>185</v>
      </c>
      <c r="E17" s="1015">
        <f ca="1"/>
        <v>43956</v>
      </c>
      <c r="F17" s="1006">
        <f ca="1"/>
        <v>44139</v>
      </c>
      <c r="G17" s="1016">
        <f ca="1"/>
        <v>183</v>
      </c>
      <c r="H17" s="1017">
        <f ca="1"/>
        <v>0.50136986301369901</v>
      </c>
      <c r="I17" s="1006">
        <f ca="1"/>
        <v>44139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5013.6986301369898</v>
      </c>
      <c r="O17" s="1016">
        <f ca="1"/>
        <v>0.979174929568152</v>
      </c>
      <c r="P17" s="1016">
        <f ca="1"/>
        <v>4909.2880030403303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1778</v>
      </c>
      <c r="C18" s="505"/>
      <c r="E18" s="1015">
        <f ca="1"/>
        <v>44139</v>
      </c>
      <c r="F18" s="1006">
        <f ca="1"/>
        <v>44320</v>
      </c>
      <c r="G18" s="1016">
        <f ca="1"/>
        <v>181</v>
      </c>
      <c r="H18" s="1017">
        <f ca="1"/>
        <v>0.49589041095890402</v>
      </c>
      <c r="I18" s="1006">
        <f ca="1"/>
        <v>44320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4958.9041095890398</v>
      </c>
      <c r="O18" s="1016">
        <f ca="1"/>
        <v>0.97282060835241602</v>
      </c>
      <c r="P18" s="1016">
        <f ca="1"/>
        <v>4824.1241126517098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1779</v>
      </c>
      <c r="C19" s="505"/>
      <c r="E19" s="1015">
        <f ca="1"/>
        <v>44320</v>
      </c>
      <c r="F19" s="1006">
        <f ca="1"/>
        <v>44504</v>
      </c>
      <c r="G19" s="1016">
        <f ca="1"/>
        <v>184</v>
      </c>
      <c r="H19" s="1017">
        <f ca="1"/>
        <v>0.50410958904109604</v>
      </c>
      <c r="I19" s="1006">
        <f ca="1"/>
        <v>44504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5041.0958904109602</v>
      </c>
      <c r="O19" s="1016">
        <f ca="1"/>
        <v>0.96675501097178096</v>
      </c>
      <c r="P19" s="1016">
        <f ca="1"/>
        <v>4873.5047128440501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1780</v>
      </c>
      <c r="C20" s="502"/>
      <c r="E20" s="1015">
        <f ca="1"/>
        <v>44504</v>
      </c>
      <c r="F20" s="1006">
        <f ca="1"/>
        <v>44685</v>
      </c>
      <c r="G20" s="1016">
        <f ca="1"/>
        <v>181</v>
      </c>
      <c r="H20" s="1017">
        <f ca="1"/>
        <v>0.49589041095890402</v>
      </c>
      <c r="I20" s="1006">
        <f ca="1"/>
        <v>44685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4958.9041095890398</v>
      </c>
      <c r="O20" s="1016">
        <f ca="1"/>
        <v>0.96095094206345899</v>
      </c>
      <c r="P20" s="1016">
        <f ca="1"/>
        <v>4765.2635757119497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1781</v>
      </c>
      <c r="C21" s="147" t="s">
        <v>356</v>
      </c>
      <c r="E21" s="1015">
        <f ca="1"/>
        <v>44685</v>
      </c>
      <c r="F21" s="1006">
        <f ca="1"/>
        <v>44869</v>
      </c>
      <c r="G21" s="1016">
        <f ca="1"/>
        <v>184</v>
      </c>
      <c r="H21" s="1017">
        <f ca="1"/>
        <v>0.50410958904109604</v>
      </c>
      <c r="I21" s="1006">
        <f ca="1"/>
        <v>44869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5041.0958904109602</v>
      </c>
      <c r="O21" s="1016">
        <f ca="1"/>
        <v>0.95481758831855101</v>
      </c>
      <c r="P21" s="1016">
        <f ca="1"/>
        <v>4813.3270205647495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1782</v>
      </c>
      <c r="C22" s="507" t="s">
        <v>358</v>
      </c>
      <c r="E22" s="1015">
        <f ca="1"/>
        <v>44869</v>
      </c>
      <c r="F22" s="1006">
        <f ca="1"/>
        <v>45050</v>
      </c>
      <c r="G22" s="1016">
        <f ca="1"/>
        <v>181</v>
      </c>
      <c r="H22" s="1017">
        <f ca="1"/>
        <v>0.49589041095890402</v>
      </c>
      <c r="I22" s="1006">
        <f ca="1"/>
        <v>45050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4958.9041095890398</v>
      </c>
      <c r="O22" s="1016">
        <f ca="1"/>
        <v>0.94863595250534005</v>
      </c>
      <c r="P22" s="1016">
        <f ca="1"/>
        <v>4704.1947233826504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1783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1784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1785</v>
      </c>
      <c r="C25" s="504" t="s">
        <v>186</v>
      </c>
      <c r="E25" s="1001" t="s">
        <v>1815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1786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[2018/05/04 09:52] #Error: Invalid Curve: CurveIndex 'GBP6ML' in collection GBPYC does not exist</v>
      </c>
      <c r="F26" s="1011" t="str">
        <f ca="1"/>
        <v/>
      </c>
      <c r="G26" s="1011" t="str">
        <f ca="1"/>
        <v/>
      </c>
      <c r="H26" s="1012" t="str">
        <f ca="1"/>
        <v/>
      </c>
      <c r="I26" s="1012" t="str">
        <f ca="1"/>
        <v/>
      </c>
      <c r="J26" s="1011" t="str">
        <f ca="1"/>
        <v/>
      </c>
      <c r="K26" s="1095" t="str">
        <f ca="1"/>
        <v/>
      </c>
      <c r="L26" s="1095" t="str">
        <f ca="1"/>
        <v/>
      </c>
      <c r="M26" s="1091" t="str">
        <f ca="1"/>
        <v/>
      </c>
      <c r="N26" s="1091" t="str">
        <f ca="1"/>
        <v/>
      </c>
      <c r="O26" s="1091" t="str">
        <f ca="1"/>
        <v/>
      </c>
      <c r="P26" s="1094" t="str">
        <f ca="1"/>
        <v/>
      </c>
      <c r="Q26" s="1012" t="str">
        <f ca="1"/>
        <v/>
      </c>
      <c r="R26" s="1012" t="str">
        <f ca="1"/>
        <v/>
      </c>
      <c r="S26" s="1031" t="str">
        <f ca="1"/>
        <v/>
      </c>
    </row>
    <row r="27" spans="2:19">
      <c r="B27" s="500" t="s">
        <v>1787</v>
      </c>
      <c r="C27" s="503" t="s">
        <v>185</v>
      </c>
      <c r="E27" s="1015" t="str">
        <f ca="1"/>
        <v/>
      </c>
      <c r="F27" s="1006" t="str">
        <f ca="1"/>
        <v/>
      </c>
      <c r="G27" s="1006" t="str">
        <f ca="1"/>
        <v/>
      </c>
      <c r="H27" s="1004" t="str">
        <f ca="1"/>
        <v/>
      </c>
      <c r="I27" s="1017" t="str">
        <f ca="1"/>
        <v/>
      </c>
      <c r="J27" s="1006" t="str">
        <f ca="1"/>
        <v/>
      </c>
      <c r="K27" s="1016" t="str">
        <f ca="1"/>
        <v/>
      </c>
      <c r="L27" s="1016" t="str">
        <f ca="1"/>
        <v/>
      </c>
      <c r="M27" s="1027" t="str">
        <f ca="1"/>
        <v/>
      </c>
      <c r="N27" s="1027" t="str">
        <f ca="1"/>
        <v/>
      </c>
      <c r="O27" s="1018" t="str">
        <f ca="1"/>
        <v/>
      </c>
      <c r="P27" s="1027" t="str">
        <f ca="1"/>
        <v/>
      </c>
      <c r="Q27" s="1016" t="str">
        <f ca="1"/>
        <v/>
      </c>
      <c r="R27" s="1016" t="str">
        <f ca="1"/>
        <v/>
      </c>
      <c r="S27" s="1028" t="str">
        <f ca="1"/>
        <v/>
      </c>
    </row>
    <row r="28" spans="2:19">
      <c r="B28" s="500" t="s">
        <v>1788</v>
      </c>
      <c r="C28" s="503" t="s">
        <v>38</v>
      </c>
      <c r="E28" s="1015" t="str">
        <f ca="1"/>
        <v/>
      </c>
      <c r="F28" s="1006" t="str">
        <f ca="1"/>
        <v/>
      </c>
      <c r="G28" s="1006" t="str">
        <f ca="1"/>
        <v/>
      </c>
      <c r="H28" s="1004" t="str">
        <f ca="1"/>
        <v/>
      </c>
      <c r="I28" s="1017" t="str">
        <f ca="1"/>
        <v/>
      </c>
      <c r="J28" s="1006" t="str">
        <f ca="1"/>
        <v/>
      </c>
      <c r="K28" s="1016" t="str">
        <f ca="1"/>
        <v/>
      </c>
      <c r="L28" s="1016" t="str">
        <f ca="1"/>
        <v/>
      </c>
      <c r="M28" s="1027" t="str">
        <f ca="1"/>
        <v/>
      </c>
      <c r="N28" s="1027" t="str">
        <f ca="1"/>
        <v/>
      </c>
      <c r="O28" s="1018" t="str">
        <f ca="1"/>
        <v/>
      </c>
      <c r="P28" s="1027" t="str">
        <f ca="1"/>
        <v/>
      </c>
      <c r="Q28" s="1016" t="str">
        <f ca="1"/>
        <v/>
      </c>
      <c r="R28" s="1016" t="str">
        <f ca="1"/>
        <v/>
      </c>
      <c r="S28" s="1028" t="str">
        <f ca="1"/>
        <v/>
      </c>
    </row>
    <row r="29" spans="2:19">
      <c r="B29" s="500" t="s">
        <v>1789</v>
      </c>
      <c r="C29" s="503" t="s">
        <v>185</v>
      </c>
      <c r="E29" s="1015" t="str">
        <f ca="1"/>
        <v/>
      </c>
      <c r="F29" s="1006" t="str">
        <f ca="1"/>
        <v/>
      </c>
      <c r="G29" s="1006" t="str">
        <f ca="1"/>
        <v/>
      </c>
      <c r="H29" s="1004" t="str">
        <f ca="1"/>
        <v/>
      </c>
      <c r="I29" s="1017" t="str">
        <f ca="1"/>
        <v/>
      </c>
      <c r="J29" s="1006" t="str">
        <f ca="1"/>
        <v/>
      </c>
      <c r="K29" s="1016" t="str">
        <f ca="1"/>
        <v/>
      </c>
      <c r="L29" s="1016" t="str">
        <f ca="1"/>
        <v/>
      </c>
      <c r="M29" s="1027" t="str">
        <f ca="1"/>
        <v/>
      </c>
      <c r="N29" s="1027" t="str">
        <f ca="1"/>
        <v/>
      </c>
      <c r="O29" s="1018" t="str">
        <f ca="1"/>
        <v/>
      </c>
      <c r="P29" s="1027" t="str">
        <f ca="1"/>
        <v/>
      </c>
      <c r="Q29" s="1016" t="str">
        <f ca="1"/>
        <v/>
      </c>
      <c r="R29" s="1016" t="str">
        <f ca="1"/>
        <v/>
      </c>
      <c r="S29" s="1028" t="str">
        <f ca="1"/>
        <v/>
      </c>
    </row>
    <row r="30" spans="2:19">
      <c r="B30" s="500" t="s">
        <v>1790</v>
      </c>
      <c r="C30" s="503" t="s">
        <v>38</v>
      </c>
      <c r="E30" s="1015" t="str">
        <f ca="1"/>
        <v/>
      </c>
      <c r="F30" s="1006" t="str">
        <f ca="1"/>
        <v/>
      </c>
      <c r="G30" s="1006" t="str">
        <f ca="1"/>
        <v/>
      </c>
      <c r="H30" s="1004" t="str">
        <f ca="1"/>
        <v/>
      </c>
      <c r="I30" s="1017" t="str">
        <f ca="1"/>
        <v/>
      </c>
      <c r="J30" s="1006" t="str">
        <f ca="1"/>
        <v/>
      </c>
      <c r="K30" s="1016" t="str">
        <f ca="1"/>
        <v/>
      </c>
      <c r="L30" s="1016" t="str">
        <f ca="1"/>
        <v/>
      </c>
      <c r="M30" s="1027" t="str">
        <f ca="1"/>
        <v/>
      </c>
      <c r="N30" s="1027" t="str">
        <f ca="1"/>
        <v/>
      </c>
      <c r="O30" s="1018" t="str">
        <f ca="1"/>
        <v/>
      </c>
      <c r="P30" s="1027" t="str">
        <f ca="1"/>
        <v/>
      </c>
      <c r="Q30" s="1016" t="str">
        <f ca="1"/>
        <v/>
      </c>
      <c r="R30" s="1016" t="str">
        <f ca="1"/>
        <v/>
      </c>
      <c r="S30" s="1028" t="str">
        <f ca="1"/>
        <v/>
      </c>
    </row>
    <row r="31" spans="2:19">
      <c r="B31" s="500" t="s">
        <v>1791</v>
      </c>
      <c r="C31" s="503" t="s">
        <v>185</v>
      </c>
      <c r="E31" s="1015" t="str">
        <f ca="1"/>
        <v/>
      </c>
      <c r="F31" s="1006" t="str">
        <f ca="1"/>
        <v/>
      </c>
      <c r="G31" s="1006" t="str">
        <f ca="1"/>
        <v/>
      </c>
      <c r="H31" s="1004" t="str">
        <f ca="1"/>
        <v/>
      </c>
      <c r="I31" s="1017" t="str">
        <f ca="1"/>
        <v/>
      </c>
      <c r="J31" s="1006" t="str">
        <f ca="1"/>
        <v/>
      </c>
      <c r="K31" s="1016" t="str">
        <f ca="1"/>
        <v/>
      </c>
      <c r="L31" s="1016" t="str">
        <f ca="1"/>
        <v/>
      </c>
      <c r="M31" s="1027" t="str">
        <f ca="1"/>
        <v/>
      </c>
      <c r="N31" s="1027" t="str">
        <f ca="1"/>
        <v/>
      </c>
      <c r="O31" s="1018" t="str">
        <f ca="1"/>
        <v/>
      </c>
      <c r="P31" s="1027" t="str">
        <f ca="1"/>
        <v/>
      </c>
      <c r="Q31" s="1016" t="str">
        <f ca="1"/>
        <v/>
      </c>
      <c r="R31" s="1016" t="str">
        <f ca="1"/>
        <v/>
      </c>
      <c r="S31" s="1028" t="str">
        <f ca="1"/>
        <v/>
      </c>
    </row>
    <row r="32" spans="2:19">
      <c r="B32" s="500" t="s">
        <v>1792</v>
      </c>
      <c r="C32" s="505"/>
      <c r="E32" s="1015" t="str">
        <f ca="1"/>
        <v/>
      </c>
      <c r="F32" s="1006" t="str">
        <f ca="1"/>
        <v/>
      </c>
      <c r="G32" s="1006" t="str">
        <f ca="1"/>
        <v/>
      </c>
      <c r="H32" s="1004" t="str">
        <f ca="1"/>
        <v/>
      </c>
      <c r="I32" s="1017" t="str">
        <f ca="1"/>
        <v/>
      </c>
      <c r="J32" s="1006" t="str">
        <f ca="1"/>
        <v/>
      </c>
      <c r="K32" s="1016" t="str">
        <f ca="1"/>
        <v/>
      </c>
      <c r="L32" s="1016" t="str">
        <f ca="1"/>
        <v/>
      </c>
      <c r="M32" s="1027" t="str">
        <f ca="1"/>
        <v/>
      </c>
      <c r="N32" s="1027" t="str">
        <f ca="1"/>
        <v/>
      </c>
      <c r="O32" s="1018" t="str">
        <f ca="1"/>
        <v/>
      </c>
      <c r="P32" s="1027" t="str">
        <f ca="1"/>
        <v/>
      </c>
      <c r="Q32" s="1016" t="str">
        <f ca="1"/>
        <v/>
      </c>
      <c r="R32" s="1016" t="str">
        <f ca="1"/>
        <v/>
      </c>
      <c r="S32" s="1028" t="str">
        <f ca="1"/>
        <v/>
      </c>
    </row>
    <row r="33" spans="2:19">
      <c r="B33" s="500" t="s">
        <v>1793</v>
      </c>
      <c r="C33" s="505"/>
      <c r="E33" s="1015" t="str">
        <f ca="1"/>
        <v/>
      </c>
      <c r="F33" s="1006" t="str">
        <f ca="1"/>
        <v/>
      </c>
      <c r="G33" s="1006" t="str">
        <f ca="1"/>
        <v/>
      </c>
      <c r="H33" s="1004" t="str">
        <f ca="1"/>
        <v/>
      </c>
      <c r="I33" s="1017" t="str">
        <f ca="1"/>
        <v/>
      </c>
      <c r="J33" s="1006" t="str">
        <f ca="1"/>
        <v/>
      </c>
      <c r="K33" s="1016" t="str">
        <f ca="1"/>
        <v/>
      </c>
      <c r="L33" s="1016" t="str">
        <f ca="1"/>
        <v/>
      </c>
      <c r="M33" s="1027" t="str">
        <f ca="1"/>
        <v/>
      </c>
      <c r="N33" s="1027" t="str">
        <f ca="1"/>
        <v/>
      </c>
      <c r="O33" s="1018" t="str">
        <f ca="1"/>
        <v/>
      </c>
      <c r="P33" s="1027" t="str">
        <f ca="1"/>
        <v/>
      </c>
      <c r="Q33" s="1016" t="str">
        <f ca="1"/>
        <v/>
      </c>
      <c r="R33" s="1016" t="str">
        <f ca="1"/>
        <v/>
      </c>
      <c r="S33" s="1028" t="str">
        <f ca="1"/>
        <v/>
      </c>
    </row>
    <row r="34" spans="2:19">
      <c r="B34" s="500" t="s">
        <v>1794</v>
      </c>
      <c r="C34" s="502"/>
      <c r="E34" s="1015" t="str">
        <f ca="1"/>
        <v/>
      </c>
      <c r="F34" s="1006" t="str">
        <f ca="1"/>
        <v/>
      </c>
      <c r="G34" s="1006" t="str">
        <f ca="1"/>
        <v/>
      </c>
      <c r="H34" s="1004" t="str">
        <f ca="1"/>
        <v/>
      </c>
      <c r="I34" s="1017" t="str">
        <f ca="1"/>
        <v/>
      </c>
      <c r="J34" s="1006" t="str">
        <f ca="1"/>
        <v/>
      </c>
      <c r="K34" s="1016" t="str">
        <f ca="1"/>
        <v/>
      </c>
      <c r="L34" s="1016" t="str">
        <f ca="1"/>
        <v/>
      </c>
      <c r="M34" s="1027" t="str">
        <f ca="1"/>
        <v/>
      </c>
      <c r="N34" s="1027" t="str">
        <f ca="1"/>
        <v/>
      </c>
      <c r="O34" s="1018" t="str">
        <f ca="1"/>
        <v/>
      </c>
      <c r="P34" s="1027" t="str">
        <f ca="1"/>
        <v/>
      </c>
      <c r="Q34" s="1016" t="str">
        <f ca="1"/>
        <v/>
      </c>
      <c r="R34" s="1016" t="str">
        <f ca="1"/>
        <v/>
      </c>
      <c r="S34" s="1028" t="str">
        <f ca="1"/>
        <v/>
      </c>
    </row>
    <row r="35" spans="2:19">
      <c r="B35" s="500" t="s">
        <v>1795</v>
      </c>
      <c r="C35" s="147" t="s">
        <v>356</v>
      </c>
      <c r="E35" s="1015" t="str">
        <f ca="1"/>
        <v/>
      </c>
      <c r="F35" s="1006" t="str">
        <f ca="1"/>
        <v/>
      </c>
      <c r="G35" s="1006" t="str">
        <f ca="1"/>
        <v/>
      </c>
      <c r="H35" s="1004" t="str">
        <f ca="1"/>
        <v/>
      </c>
      <c r="I35" s="1017" t="str">
        <f ca="1"/>
        <v/>
      </c>
      <c r="J35" s="1006" t="str">
        <f ca="1"/>
        <v/>
      </c>
      <c r="K35" s="1016" t="str">
        <f ca="1"/>
        <v/>
      </c>
      <c r="L35" s="1016" t="str">
        <f ca="1"/>
        <v/>
      </c>
      <c r="M35" s="1027" t="str">
        <f ca="1"/>
        <v/>
      </c>
      <c r="N35" s="1027" t="str">
        <f ca="1"/>
        <v/>
      </c>
      <c r="O35" s="1018" t="str">
        <f ca="1"/>
        <v/>
      </c>
      <c r="P35" s="1027" t="str">
        <f ca="1"/>
        <v/>
      </c>
      <c r="Q35" s="1016" t="str">
        <f ca="1"/>
        <v/>
      </c>
      <c r="R35" s="1016" t="str">
        <f ca="1"/>
        <v/>
      </c>
      <c r="S35" s="1028" t="str">
        <f ca="1"/>
        <v/>
      </c>
    </row>
    <row r="36" spans="2:19">
      <c r="B36" s="500" t="s">
        <v>2250</v>
      </c>
      <c r="C36" s="1204" t="s">
        <v>2252</v>
      </c>
      <c r="E36" s="1015" t="str">
        <f ca="1"/>
        <v/>
      </c>
      <c r="F36" s="1006" t="str">
        <f ca="1"/>
        <v/>
      </c>
      <c r="G36" s="1006" t="str">
        <f ca="1"/>
        <v/>
      </c>
      <c r="H36" s="1004" t="str">
        <f ca="1"/>
        <v/>
      </c>
      <c r="I36" s="1017" t="str">
        <f ca="1"/>
        <v/>
      </c>
      <c r="J36" s="1006" t="str">
        <f ca="1"/>
        <v/>
      </c>
      <c r="K36" s="1016" t="str">
        <f ca="1"/>
        <v/>
      </c>
      <c r="L36" s="1016" t="str">
        <f ca="1"/>
        <v/>
      </c>
      <c r="M36" s="1027" t="str">
        <f ca="1"/>
        <v/>
      </c>
      <c r="N36" s="1027" t="str">
        <f ca="1"/>
        <v/>
      </c>
      <c r="O36" s="1018" t="str">
        <f ca="1"/>
        <v/>
      </c>
      <c r="P36" s="1027" t="str">
        <f ca="1"/>
        <v/>
      </c>
      <c r="Q36" s="1016" t="str">
        <f ca="1"/>
        <v/>
      </c>
      <c r="R36" s="1016" t="str">
        <f ca="1"/>
        <v/>
      </c>
      <c r="S36" s="1028" t="str">
        <f ca="1"/>
        <v/>
      </c>
    </row>
    <row r="37" spans="2:19">
      <c r="B37" s="500" t="s">
        <v>2251</v>
      </c>
      <c r="C37" s="1204" t="s">
        <v>2252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1796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1797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1798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1799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3:Q23 F12:Q12">
    <cfRule type="expression" dxfId="47" priority="6">
      <formula>ISNA(E12)</formula>
    </cfRule>
  </conditionalFormatting>
  <conditionalFormatting sqref="E12">
    <cfRule type="expression" dxfId="46" priority="4">
      <formula>ISNA(E12)</formula>
    </cfRule>
  </conditionalFormatting>
  <conditionalFormatting sqref="E26">
    <cfRule type="expression" dxfId="45" priority="1">
      <formula>ISNA(E26)</formula>
    </cfRule>
  </conditionalFormatting>
  <conditionalFormatting sqref="F26:Q26 E27:Q41">
    <cfRule type="expression" dxfId="44" priority="2">
      <formula>ISNA(E26)</formula>
    </cfRule>
  </conditionalFormatting>
  <dataValidations count="7"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7 C17 C31 C29 C15">
      <formula1>"TGT,NYB:LNB,LNB,TKB:LNB"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CFF"/>
  </sheetPr>
  <dimension ref="B3:S41"/>
  <sheetViews>
    <sheetView showGridLines="0" workbookViewId="0"/>
  </sheetViews>
  <sheetFormatPr defaultRowHeight="15"/>
  <cols>
    <col min="2" max="2" width="35.7109375" customWidth="1"/>
    <col min="3" max="3" width="25.7109375" customWidth="1"/>
    <col min="5" max="7" width="15.7109375" style="424" customWidth="1"/>
    <col min="8" max="9" width="20.7109375" style="424" customWidth="1"/>
    <col min="10" max="11" width="15.7109375" style="424" customWidth="1"/>
    <col min="12" max="12" width="12.7109375" style="424" customWidth="1"/>
    <col min="13" max="15" width="13.7109375" style="424" customWidth="1"/>
    <col min="16" max="16" width="14.85546875" style="424" bestFit="1" customWidth="1"/>
    <col min="17" max="17" width="12.7109375" style="424" customWidth="1"/>
    <col min="18" max="18" width="14.28515625" bestFit="1" customWidth="1"/>
    <col min="19" max="19" width="12.7109375" customWidth="1"/>
  </cols>
  <sheetData>
    <row r="3" spans="2:19">
      <c r="B3" s="234" t="s">
        <v>360</v>
      </c>
      <c r="E3" s="234" t="s">
        <v>1814</v>
      </c>
      <c r="F3"/>
      <c r="G3" s="526" t="s">
        <v>1861</v>
      </c>
    </row>
    <row r="4" spans="2:19">
      <c r="B4" s="499" t="s">
        <v>1803</v>
      </c>
      <c r="C4" s="1266" t="s">
        <v>1753</v>
      </c>
      <c r="E4" s="509" t="s">
        <v>1805</v>
      </c>
      <c r="F4" s="522" t="str">
        <f ca="1">_xll.meProductSwapParRate($B$3:$C$41,FALSE)</f>
        <v>[2018/05/04 09:52] #Error: Invalid Curve: CurveIndex 'JPY6ML' in collection JPYYC does not exist</v>
      </c>
    </row>
    <row r="5" spans="2:19">
      <c r="B5" s="500" t="s">
        <v>354</v>
      </c>
      <c r="C5" s="1267">
        <v>1000000</v>
      </c>
      <c r="E5" s="510" t="s">
        <v>1806</v>
      </c>
      <c r="F5" s="523" t="str">
        <f ca="1">_xll.meProductSwapPV($B$3:$C$41,FALSE)</f>
        <v>[2018/05/04 09:52] #Error: Invalid Curve: CurveIndex 'JPY6ML' in collection JPYYC does not exist</v>
      </c>
    </row>
    <row r="6" spans="2:19">
      <c r="B6" s="500" t="s">
        <v>1768</v>
      </c>
      <c r="C6" s="512">
        <f ca="1">_xll.meDateFromTenor(COB,D6,C16,C17)</f>
        <v>43229</v>
      </c>
      <c r="D6" s="315" t="s">
        <v>361</v>
      </c>
      <c r="E6" s="510" t="s">
        <v>1808</v>
      </c>
      <c r="F6" s="523" t="str">
        <f ca="1">_xll.meProductSwapLegPV(_xll.meUtilityLVBFromMultipleKeysValues(B5:B41,C5:C41,,"LegType","Leg1:Fixed",,"PayReceive",C4),FALSE)</f>
        <v>[2018/05/04 09:52] #Error: Invalid Curve: CurveCollection 'JPYYC' does not exist</v>
      </c>
    </row>
    <row r="7" spans="2:19">
      <c r="B7" s="500" t="s">
        <v>1769</v>
      </c>
      <c r="C7" s="148" t="s">
        <v>31</v>
      </c>
      <c r="E7" s="510" t="s">
        <v>1807</v>
      </c>
      <c r="F7" s="523" t="e">
        <f ca="1">F5-F6</f>
        <v>#VALUE!</v>
      </c>
    </row>
    <row r="8" spans="2:19">
      <c r="B8" s="500" t="s">
        <v>1770</v>
      </c>
      <c r="C8" s="373" t="s">
        <v>1047</v>
      </c>
      <c r="E8" s="510" t="s">
        <v>1077</v>
      </c>
      <c r="F8" s="523" t="str">
        <f ca="1">_xll.meProductSwapPV01($B$3:$C$41,FALSE)</f>
        <v>[2018/05/04 09:52] #Error: Invalid Curve: CurveIndex 'JPY6ML' in collection JPYYC does not exist</v>
      </c>
    </row>
    <row r="9" spans="2:19">
      <c r="B9" s="500" t="s">
        <v>1443</v>
      </c>
      <c r="C9" s="498" t="s">
        <v>1042</v>
      </c>
      <c r="E9" s="511" t="s">
        <v>1752</v>
      </c>
      <c r="F9" s="524" t="str">
        <f ca="1">_xll.meProductSwapDV01($B$3:$C$41,FALSE)</f>
        <v>[2018/05/04 09:52] #Error: Invalid Curve: CurveIndex 'JPY6ML' in collection JPYYC does not exist</v>
      </c>
    </row>
    <row r="10" spans="2:19">
      <c r="B10" s="501" t="s">
        <v>1444</v>
      </c>
      <c r="C10" s="533" t="str">
        <f>"JPYDF_"&amp;D10</f>
        <v>JPYDF_NOCSA</v>
      </c>
      <c r="D10" s="335" t="s">
        <v>1043</v>
      </c>
    </row>
    <row r="11" spans="2:19">
      <c r="B11" s="499" t="s">
        <v>1771</v>
      </c>
      <c r="C11" s="508" t="s">
        <v>76</v>
      </c>
      <c r="E11" s="1001" t="s">
        <v>1816</v>
      </c>
      <c r="F11" s="997"/>
      <c r="G11" s="997"/>
      <c r="H11" s="997"/>
      <c r="I11" s="997"/>
      <c r="J11" s="997"/>
      <c r="K11" s="997"/>
      <c r="L11" s="997"/>
      <c r="M11" s="997"/>
      <c r="N11" s="997"/>
      <c r="O11" s="997"/>
      <c r="P11" s="997"/>
      <c r="Q11" s="997"/>
      <c r="R11" s="995"/>
      <c r="S11" s="995"/>
    </row>
    <row r="12" spans="2:19">
      <c r="B12" s="500" t="s">
        <v>1772</v>
      </c>
      <c r="C12" s="516">
        <v>0.01</v>
      </c>
      <c r="E12" s="1010" t="str">
        <f t="array" aca="1" ref="E12:S23" ca="1">_xll.meUtilityResize(_xll.meProductSwapLegDisplay(_xll.meUtilityLVBFromMultipleKeysValues(B5:B41,C5:C41,,"LegType","Leg1:Fixed",,"PayReceive",C4),FALSE),50,50)</f>
        <v>AccrualStart</v>
      </c>
      <c r="F12" s="1011" t="str">
        <f ca="1"/>
        <v>AccrualEnd</v>
      </c>
      <c r="G12" s="1011" t="str">
        <f ca="1"/>
        <v>AccrualDays</v>
      </c>
      <c r="H12" s="1012" t="str">
        <f ca="1"/>
        <v>AccrualYearFractions</v>
      </c>
      <c r="I12" s="1011" t="str">
        <f ca="1"/>
        <v>PaymentDate</v>
      </c>
      <c r="J12" s="1095" t="str">
        <f ca="1"/>
        <v>Notional</v>
      </c>
      <c r="K12" s="1095" t="str">
        <f ca="1"/>
        <v>NotionalExchange</v>
      </c>
      <c r="L12" s="1091" t="str">
        <f ca="1"/>
        <v>Leverage</v>
      </c>
      <c r="M12" s="1092" t="str">
        <f ca="1"/>
        <v>FixedRate</v>
      </c>
      <c r="N12" s="1093" t="str">
        <f ca="1"/>
        <v>Coupon</v>
      </c>
      <c r="O12" s="1012" t="str">
        <f ca="1"/>
        <v>DiscountFactor</v>
      </c>
      <c r="P12" s="1012" t="str">
        <f ca="1"/>
        <v>CouponPV</v>
      </c>
      <c r="Q12" s="1012" t="str">
        <f ca="1"/>
        <v/>
      </c>
      <c r="R12" s="1012" t="str">
        <f ca="1"/>
        <v/>
      </c>
      <c r="S12" s="1031" t="str">
        <f ca="1"/>
        <v/>
      </c>
    </row>
    <row r="13" spans="2:19">
      <c r="B13" s="500" t="s">
        <v>1773</v>
      </c>
      <c r="C13" s="504" t="s">
        <v>186</v>
      </c>
      <c r="E13" s="1015">
        <f ca="1"/>
        <v>43229</v>
      </c>
      <c r="F13" s="1006">
        <f ca="1"/>
        <v>43413</v>
      </c>
      <c r="G13" s="1016">
        <f ca="1"/>
        <v>184</v>
      </c>
      <c r="H13" s="1017">
        <f ca="1"/>
        <v>0.50410958904109604</v>
      </c>
      <c r="I13" s="1006">
        <f ca="1"/>
        <v>43413</v>
      </c>
      <c r="J13" s="1016">
        <f ca="1"/>
        <v>1000000</v>
      </c>
      <c r="K13" s="1016">
        <f ca="1"/>
        <v>0</v>
      </c>
      <c r="L13" s="1027">
        <f ca="1"/>
        <v>1</v>
      </c>
      <c r="M13" s="1018">
        <f ca="1"/>
        <v>0.01</v>
      </c>
      <c r="N13" s="1027">
        <f ca="1"/>
        <v>5041</v>
      </c>
      <c r="O13" s="1016">
        <f ca="1"/>
        <v>1.0002478502063701</v>
      </c>
      <c r="P13" s="1016">
        <f ca="1"/>
        <v>5042</v>
      </c>
      <c r="Q13" s="1016" t="str">
        <f ca="1"/>
        <v/>
      </c>
      <c r="R13" s="1004" t="str">
        <f ca="1"/>
        <v/>
      </c>
      <c r="S13" s="1020" t="str">
        <f ca="1"/>
        <v/>
      </c>
    </row>
    <row r="14" spans="2:19">
      <c r="B14" s="500" t="s">
        <v>1774</v>
      </c>
      <c r="C14" s="503" t="s">
        <v>38</v>
      </c>
      <c r="E14" s="1015">
        <f ca="1"/>
        <v>43413</v>
      </c>
      <c r="F14" s="1006">
        <f ca="1"/>
        <v>43594</v>
      </c>
      <c r="G14" s="1016">
        <f ca="1"/>
        <v>181</v>
      </c>
      <c r="H14" s="1017">
        <f ca="1"/>
        <v>0.49589041095890402</v>
      </c>
      <c r="I14" s="1006">
        <f ca="1"/>
        <v>43594</v>
      </c>
      <c r="J14" s="1016">
        <f ca="1"/>
        <v>1000000</v>
      </c>
      <c r="K14" s="1016">
        <f ca="1"/>
        <v>0</v>
      </c>
      <c r="L14" s="1027">
        <f ca="1"/>
        <v>1</v>
      </c>
      <c r="M14" s="1018">
        <f ca="1"/>
        <v>0.01</v>
      </c>
      <c r="N14" s="1027">
        <f ca="1"/>
        <v>4959</v>
      </c>
      <c r="O14" s="1016">
        <f ca="1"/>
        <v>1.00035784424709</v>
      </c>
      <c r="P14" s="1016">
        <f ca="1"/>
        <v>4961</v>
      </c>
      <c r="Q14" s="1016" t="str">
        <f ca="1"/>
        <v/>
      </c>
      <c r="R14" s="1004" t="str">
        <f ca="1"/>
        <v/>
      </c>
      <c r="S14" s="1020" t="str">
        <f ca="1"/>
        <v/>
      </c>
    </row>
    <row r="15" spans="2:19">
      <c r="B15" s="500" t="s">
        <v>1775</v>
      </c>
      <c r="C15" s="503" t="s">
        <v>359</v>
      </c>
      <c r="E15" s="1015">
        <f ca="1"/>
        <v>43594</v>
      </c>
      <c r="F15" s="1006">
        <f ca="1"/>
        <v>43780</v>
      </c>
      <c r="G15" s="1016">
        <f ca="1"/>
        <v>186</v>
      </c>
      <c r="H15" s="1017">
        <f ca="1"/>
        <v>0.50958904109588998</v>
      </c>
      <c r="I15" s="1006">
        <f ca="1"/>
        <v>43780</v>
      </c>
      <c r="J15" s="1016">
        <f ca="1"/>
        <v>1000000</v>
      </c>
      <c r="K15" s="1016">
        <f ca="1"/>
        <v>0</v>
      </c>
      <c r="L15" s="1027">
        <f ca="1"/>
        <v>1</v>
      </c>
      <c r="M15" s="1018">
        <f ca="1"/>
        <v>0.01</v>
      </c>
      <c r="N15" s="1027">
        <f ca="1"/>
        <v>5096</v>
      </c>
      <c r="O15" s="1016">
        <f ca="1"/>
        <v>1.00037539005177</v>
      </c>
      <c r="P15" s="1016">
        <f ca="1"/>
        <v>5098</v>
      </c>
      <c r="Q15" s="1016" t="str">
        <f ca="1"/>
        <v/>
      </c>
      <c r="R15" s="1004" t="str">
        <f ca="1"/>
        <v/>
      </c>
      <c r="S15" s="1020" t="str">
        <f ca="1"/>
        <v/>
      </c>
    </row>
    <row r="16" spans="2:19">
      <c r="B16" s="500" t="s">
        <v>1776</v>
      </c>
      <c r="C16" s="503" t="s">
        <v>38</v>
      </c>
      <c r="E16" s="1015">
        <f ca="1"/>
        <v>43780</v>
      </c>
      <c r="F16" s="1006">
        <f ca="1"/>
        <v>43962</v>
      </c>
      <c r="G16" s="1016">
        <f ca="1"/>
        <v>182</v>
      </c>
      <c r="H16" s="1017">
        <f ca="1"/>
        <v>0.49863013698630099</v>
      </c>
      <c r="I16" s="1006">
        <f ca="1"/>
        <v>43962</v>
      </c>
      <c r="J16" s="1016">
        <f ca="1"/>
        <v>1000000</v>
      </c>
      <c r="K16" s="1016">
        <f ca="1"/>
        <v>0</v>
      </c>
      <c r="L16" s="1027">
        <f ca="1"/>
        <v>1</v>
      </c>
      <c r="M16" s="1018">
        <f ca="1"/>
        <v>0.01</v>
      </c>
      <c r="N16" s="1027">
        <f ca="1"/>
        <v>4986</v>
      </c>
      <c r="O16" s="1016">
        <f ca="1"/>
        <v>1.0003319279092999</v>
      </c>
      <c r="P16" s="1016">
        <f ca="1"/>
        <v>4988</v>
      </c>
      <c r="Q16" s="1016" t="str">
        <f ca="1"/>
        <v/>
      </c>
      <c r="R16" s="1004" t="str">
        <f ca="1"/>
        <v/>
      </c>
      <c r="S16" s="1020" t="str">
        <f ca="1"/>
        <v/>
      </c>
    </row>
    <row r="17" spans="2:19">
      <c r="B17" s="500" t="s">
        <v>1777</v>
      </c>
      <c r="C17" s="503" t="s">
        <v>359</v>
      </c>
      <c r="E17" s="1015">
        <f ca="1"/>
        <v>43962</v>
      </c>
      <c r="F17" s="1006">
        <f ca="1"/>
        <v>44144</v>
      </c>
      <c r="G17" s="1016">
        <f ca="1"/>
        <v>182</v>
      </c>
      <c r="H17" s="1017">
        <f ca="1"/>
        <v>0.49863013698630099</v>
      </c>
      <c r="I17" s="1006">
        <f ca="1"/>
        <v>44144</v>
      </c>
      <c r="J17" s="1016">
        <f ca="1"/>
        <v>1000000</v>
      </c>
      <c r="K17" s="1016">
        <f ca="1"/>
        <v>0</v>
      </c>
      <c r="L17" s="1027">
        <f ca="1"/>
        <v>1</v>
      </c>
      <c r="M17" s="1018">
        <f ca="1"/>
        <v>0.01</v>
      </c>
      <c r="N17" s="1027">
        <f ca="1"/>
        <v>4986</v>
      </c>
      <c r="O17" s="1016">
        <f ca="1"/>
        <v>1.0002520761286999</v>
      </c>
      <c r="P17" s="1016">
        <f ca="1"/>
        <v>4988</v>
      </c>
      <c r="Q17" s="1016" t="str">
        <f ca="1"/>
        <v/>
      </c>
      <c r="R17" s="1004" t="str">
        <f ca="1"/>
        <v/>
      </c>
      <c r="S17" s="1020" t="str">
        <f ca="1"/>
        <v/>
      </c>
    </row>
    <row r="18" spans="2:19">
      <c r="B18" s="500" t="s">
        <v>1778</v>
      </c>
      <c r="C18" s="505"/>
      <c r="E18" s="1015">
        <f ca="1"/>
        <v>44144</v>
      </c>
      <c r="F18" s="1006">
        <f ca="1"/>
        <v>44326</v>
      </c>
      <c r="G18" s="1016">
        <f ca="1"/>
        <v>182</v>
      </c>
      <c r="H18" s="1017">
        <f ca="1"/>
        <v>0.49863013698630099</v>
      </c>
      <c r="I18" s="1006">
        <f ca="1"/>
        <v>44326</v>
      </c>
      <c r="J18" s="1016">
        <f ca="1"/>
        <v>1000000</v>
      </c>
      <c r="K18" s="1016">
        <f ca="1"/>
        <v>0</v>
      </c>
      <c r="L18" s="1027">
        <f ca="1"/>
        <v>1</v>
      </c>
      <c r="M18" s="1018">
        <f ca="1"/>
        <v>0.01</v>
      </c>
      <c r="N18" s="1027">
        <f ca="1"/>
        <v>4986</v>
      </c>
      <c r="O18" s="1016">
        <f ca="1"/>
        <v>1.00012020726472</v>
      </c>
      <c r="P18" s="1016">
        <f ca="1"/>
        <v>4987</v>
      </c>
      <c r="Q18" s="1016" t="str">
        <f ca="1"/>
        <v/>
      </c>
      <c r="R18" s="1004" t="str">
        <f ca="1"/>
        <v/>
      </c>
      <c r="S18" s="1020" t="str">
        <f ca="1"/>
        <v/>
      </c>
    </row>
    <row r="19" spans="2:19">
      <c r="B19" s="500" t="s">
        <v>1779</v>
      </c>
      <c r="C19" s="505"/>
      <c r="E19" s="1015">
        <f ca="1"/>
        <v>44326</v>
      </c>
      <c r="F19" s="1006">
        <f ca="1"/>
        <v>44509</v>
      </c>
      <c r="G19" s="1016">
        <f ca="1"/>
        <v>183</v>
      </c>
      <c r="H19" s="1017">
        <f ca="1"/>
        <v>0.50136986301369901</v>
      </c>
      <c r="I19" s="1006">
        <f ca="1"/>
        <v>44509</v>
      </c>
      <c r="J19" s="1016">
        <f ca="1"/>
        <v>1000000</v>
      </c>
      <c r="K19" s="1016">
        <f ca="1"/>
        <v>0</v>
      </c>
      <c r="L19" s="1027">
        <f ca="1"/>
        <v>1</v>
      </c>
      <c r="M19" s="1018">
        <f ca="1"/>
        <v>0.01</v>
      </c>
      <c r="N19" s="1027">
        <f ca="1"/>
        <v>5014</v>
      </c>
      <c r="O19" s="1016">
        <f ca="1"/>
        <v>0.99991087326223005</v>
      </c>
      <c r="P19" s="1016">
        <f ca="1"/>
        <v>5013</v>
      </c>
      <c r="Q19" s="1016" t="str">
        <f ca="1"/>
        <v/>
      </c>
      <c r="R19" s="1004" t="str">
        <f ca="1"/>
        <v/>
      </c>
      <c r="S19" s="1020" t="str">
        <f ca="1"/>
        <v/>
      </c>
    </row>
    <row r="20" spans="2:19">
      <c r="B20" s="500" t="s">
        <v>1780</v>
      </c>
      <c r="C20" s="502"/>
      <c r="E20" s="1015">
        <f ca="1"/>
        <v>44509</v>
      </c>
      <c r="F20" s="1006">
        <f ca="1"/>
        <v>44690</v>
      </c>
      <c r="G20" s="1016">
        <f ca="1"/>
        <v>181</v>
      </c>
      <c r="H20" s="1017">
        <f ca="1"/>
        <v>0.49589041095890402</v>
      </c>
      <c r="I20" s="1006">
        <f ca="1"/>
        <v>44690</v>
      </c>
      <c r="J20" s="1016">
        <f ca="1"/>
        <v>1000000</v>
      </c>
      <c r="K20" s="1016">
        <f ca="1"/>
        <v>0</v>
      </c>
      <c r="L20" s="1027">
        <f ca="1"/>
        <v>1</v>
      </c>
      <c r="M20" s="1018">
        <f ca="1"/>
        <v>0.01</v>
      </c>
      <c r="N20" s="1027">
        <f ca="1"/>
        <v>4959</v>
      </c>
      <c r="O20" s="1016">
        <f ca="1"/>
        <v>0.99960664756461604</v>
      </c>
      <c r="P20" s="1016">
        <f ca="1"/>
        <v>4957</v>
      </c>
      <c r="Q20" s="1016" t="str">
        <f ca="1"/>
        <v/>
      </c>
      <c r="R20" s="1004" t="str">
        <f ca="1"/>
        <v/>
      </c>
      <c r="S20" s="1020" t="str">
        <f ca="1"/>
        <v/>
      </c>
    </row>
    <row r="21" spans="2:19">
      <c r="B21" s="500" t="s">
        <v>1781</v>
      </c>
      <c r="C21" s="147" t="s">
        <v>356</v>
      </c>
      <c r="E21" s="1015">
        <f ca="1"/>
        <v>44690</v>
      </c>
      <c r="F21" s="1006">
        <f ca="1"/>
        <v>44874</v>
      </c>
      <c r="G21" s="1016">
        <f ca="1"/>
        <v>184</v>
      </c>
      <c r="H21" s="1017">
        <f ca="1"/>
        <v>0.50410958904109604</v>
      </c>
      <c r="I21" s="1006">
        <f ca="1"/>
        <v>44874</v>
      </c>
      <c r="J21" s="1016">
        <f ca="1"/>
        <v>1000000</v>
      </c>
      <c r="K21" s="1016">
        <f ca="1"/>
        <v>0</v>
      </c>
      <c r="L21" s="1027">
        <f ca="1"/>
        <v>1</v>
      </c>
      <c r="M21" s="1018">
        <f ca="1"/>
        <v>0.01</v>
      </c>
      <c r="N21" s="1027">
        <f ca="1"/>
        <v>5041</v>
      </c>
      <c r="O21" s="1016">
        <f ca="1"/>
        <v>0.999178567298173</v>
      </c>
      <c r="P21" s="1016">
        <f ca="1"/>
        <v>5037</v>
      </c>
      <c r="Q21" s="1016" t="str">
        <f ca="1"/>
        <v/>
      </c>
      <c r="R21" s="1004" t="str">
        <f ca="1"/>
        <v/>
      </c>
      <c r="S21" s="1020" t="str">
        <f ca="1"/>
        <v/>
      </c>
    </row>
    <row r="22" spans="2:19">
      <c r="B22" s="501" t="s">
        <v>1782</v>
      </c>
      <c r="C22" s="507" t="s">
        <v>358</v>
      </c>
      <c r="E22" s="1015">
        <f ca="1"/>
        <v>44874</v>
      </c>
      <c r="F22" s="1006">
        <f ca="1"/>
        <v>45055</v>
      </c>
      <c r="G22" s="1016">
        <f ca="1"/>
        <v>181</v>
      </c>
      <c r="H22" s="1017">
        <f ca="1"/>
        <v>0.49589041095890402</v>
      </c>
      <c r="I22" s="1006">
        <f ca="1"/>
        <v>45055</v>
      </c>
      <c r="J22" s="1016">
        <f ca="1"/>
        <v>1000000</v>
      </c>
      <c r="K22" s="1016">
        <f ca="1"/>
        <v>0</v>
      </c>
      <c r="L22" s="1027">
        <f ca="1"/>
        <v>1</v>
      </c>
      <c r="M22" s="1018">
        <f ca="1"/>
        <v>0.01</v>
      </c>
      <c r="N22" s="1027">
        <f ca="1"/>
        <v>4959</v>
      </c>
      <c r="O22" s="1016">
        <f ca="1"/>
        <v>0.99862785485339201</v>
      </c>
      <c r="P22" s="1016">
        <f ca="1"/>
        <v>4952</v>
      </c>
      <c r="Q22" s="1016" t="str">
        <f ca="1"/>
        <v/>
      </c>
      <c r="R22" s="1004" t="str">
        <f ca="1"/>
        <v/>
      </c>
      <c r="S22" s="1020" t="str">
        <f ca="1"/>
        <v/>
      </c>
    </row>
    <row r="23" spans="2:19">
      <c r="B23" s="500" t="s">
        <v>1783</v>
      </c>
      <c r="C23" s="513" t="s">
        <v>76</v>
      </c>
      <c r="E23" s="1021" t="str">
        <f ca="1"/>
        <v/>
      </c>
      <c r="F23" s="1005" t="str">
        <f ca="1"/>
        <v/>
      </c>
      <c r="G23" s="1022" t="str">
        <f ca="1"/>
        <v/>
      </c>
      <c r="H23" s="1023" t="str">
        <f ca="1"/>
        <v/>
      </c>
      <c r="I23" s="1005" t="str">
        <f ca="1"/>
        <v/>
      </c>
      <c r="J23" s="1022" t="str">
        <f ca="1"/>
        <v/>
      </c>
      <c r="K23" s="1022" t="str">
        <f ca="1"/>
        <v/>
      </c>
      <c r="L23" s="1029" t="str">
        <f ca="1"/>
        <v/>
      </c>
      <c r="M23" s="1024" t="str">
        <f ca="1"/>
        <v/>
      </c>
      <c r="N23" s="1029" t="str">
        <f ca="1"/>
        <v/>
      </c>
      <c r="O23" s="1022" t="str">
        <f ca="1"/>
        <v/>
      </c>
      <c r="P23" s="1022" t="str">
        <f ca="1"/>
        <v/>
      </c>
      <c r="Q23" s="1022" t="str">
        <f ca="1"/>
        <v/>
      </c>
      <c r="R23" s="1007" t="str">
        <f ca="1"/>
        <v/>
      </c>
      <c r="S23" s="1026" t="str">
        <f ca="1"/>
        <v/>
      </c>
    </row>
    <row r="24" spans="2:19">
      <c r="B24" s="500" t="s">
        <v>1784</v>
      </c>
      <c r="C24" s="515">
        <v>0</v>
      </c>
      <c r="E24" s="997"/>
      <c r="F24" s="997"/>
      <c r="G24" s="997"/>
      <c r="H24" s="997"/>
      <c r="I24" s="997"/>
      <c r="J24" s="997"/>
      <c r="K24" s="997"/>
      <c r="L24" s="997"/>
      <c r="M24" s="997"/>
      <c r="N24" s="997"/>
      <c r="O24" s="997"/>
      <c r="P24" s="997"/>
      <c r="Q24" s="997"/>
      <c r="R24" s="997"/>
      <c r="S24" s="997"/>
    </row>
    <row r="25" spans="2:19">
      <c r="B25" s="500" t="s">
        <v>1785</v>
      </c>
      <c r="C25" s="504" t="s">
        <v>3</v>
      </c>
      <c r="E25" s="1001" t="s">
        <v>1815</v>
      </c>
      <c r="F25" s="997"/>
      <c r="G25" s="997"/>
      <c r="H25" s="997"/>
      <c r="I25" s="997"/>
      <c r="J25" s="997"/>
      <c r="K25" s="997"/>
      <c r="L25" s="997"/>
      <c r="M25" s="997"/>
      <c r="N25" s="997"/>
      <c r="O25" s="997"/>
      <c r="P25" s="997"/>
      <c r="Q25" s="997"/>
      <c r="R25" s="997"/>
      <c r="S25" s="997"/>
    </row>
    <row r="26" spans="2:19">
      <c r="B26" s="500" t="s">
        <v>1786</v>
      </c>
      <c r="C26" s="503" t="s">
        <v>38</v>
      </c>
      <c r="E26" s="1010" t="str">
        <f t="array" aca="1" ref="E26:S41" ca="1">_xll.meUtilityResize(_xll.meProductSwapLegDisplay(_xll.meUtilityLVBFromMultipleKeysValues(B5:B41,C5:C41,,"LegType","Leg2:Float",,"PayReceive",IF(C4="RECEIVER","PAY","REC")),FALSE),50,50)</f>
        <v>[2018/05/04 09:52] #Error: Invalid Curve: CurveIndex 'JPY6ML' in collection JPYYC does not exist</v>
      </c>
      <c r="F26" s="1011" t="str">
        <f ca="1"/>
        <v/>
      </c>
      <c r="G26" s="1011" t="str">
        <f ca="1"/>
        <v/>
      </c>
      <c r="H26" s="1012" t="str">
        <f ca="1"/>
        <v/>
      </c>
      <c r="I26" s="1012" t="str">
        <f ca="1"/>
        <v/>
      </c>
      <c r="J26" s="1011" t="str">
        <f ca="1"/>
        <v/>
      </c>
      <c r="K26" s="1095" t="str">
        <f ca="1"/>
        <v/>
      </c>
      <c r="L26" s="1095" t="str">
        <f ca="1"/>
        <v/>
      </c>
      <c r="M26" s="1091" t="str">
        <f ca="1"/>
        <v/>
      </c>
      <c r="N26" s="1091" t="str">
        <f ca="1"/>
        <v/>
      </c>
      <c r="O26" s="1091" t="str">
        <f ca="1"/>
        <v/>
      </c>
      <c r="P26" s="1094" t="str">
        <f ca="1"/>
        <v/>
      </c>
      <c r="Q26" s="1012" t="str">
        <f ca="1"/>
        <v/>
      </c>
      <c r="R26" s="1012" t="str">
        <f ca="1"/>
        <v/>
      </c>
      <c r="S26" s="1031" t="str">
        <f ca="1"/>
        <v/>
      </c>
    </row>
    <row r="27" spans="2:19">
      <c r="B27" s="500" t="s">
        <v>1787</v>
      </c>
      <c r="C27" s="503" t="s">
        <v>359</v>
      </c>
      <c r="E27" s="1015" t="str">
        <f ca="1"/>
        <v/>
      </c>
      <c r="F27" s="1006" t="str">
        <f ca="1"/>
        <v/>
      </c>
      <c r="G27" s="1006" t="str">
        <f ca="1"/>
        <v/>
      </c>
      <c r="H27" s="1004" t="str">
        <f ca="1"/>
        <v/>
      </c>
      <c r="I27" s="1017" t="str">
        <f ca="1"/>
        <v/>
      </c>
      <c r="J27" s="1006" t="str">
        <f ca="1"/>
        <v/>
      </c>
      <c r="K27" s="1016" t="str">
        <f ca="1"/>
        <v/>
      </c>
      <c r="L27" s="1016" t="str">
        <f ca="1"/>
        <v/>
      </c>
      <c r="M27" s="1027" t="str">
        <f ca="1"/>
        <v/>
      </c>
      <c r="N27" s="1027" t="str">
        <f ca="1"/>
        <v/>
      </c>
      <c r="O27" s="1018" t="str">
        <f ca="1"/>
        <v/>
      </c>
      <c r="P27" s="1027" t="str">
        <f ca="1"/>
        <v/>
      </c>
      <c r="Q27" s="1016" t="str">
        <f ca="1"/>
        <v/>
      </c>
      <c r="R27" s="1016" t="str">
        <f ca="1"/>
        <v/>
      </c>
      <c r="S27" s="1028" t="str">
        <f ca="1"/>
        <v/>
      </c>
    </row>
    <row r="28" spans="2:19">
      <c r="B28" s="500" t="s">
        <v>1788</v>
      </c>
      <c r="C28" s="503" t="s">
        <v>38</v>
      </c>
      <c r="E28" s="1015" t="str">
        <f ca="1"/>
        <v/>
      </c>
      <c r="F28" s="1006" t="str">
        <f ca="1"/>
        <v/>
      </c>
      <c r="G28" s="1006" t="str">
        <f ca="1"/>
        <v/>
      </c>
      <c r="H28" s="1004" t="str">
        <f ca="1"/>
        <v/>
      </c>
      <c r="I28" s="1017" t="str">
        <f ca="1"/>
        <v/>
      </c>
      <c r="J28" s="1006" t="str">
        <f ca="1"/>
        <v/>
      </c>
      <c r="K28" s="1016" t="str">
        <f ca="1"/>
        <v/>
      </c>
      <c r="L28" s="1016" t="str">
        <f ca="1"/>
        <v/>
      </c>
      <c r="M28" s="1027" t="str">
        <f ca="1"/>
        <v/>
      </c>
      <c r="N28" s="1027" t="str">
        <f ca="1"/>
        <v/>
      </c>
      <c r="O28" s="1018" t="str">
        <f ca="1"/>
        <v/>
      </c>
      <c r="P28" s="1027" t="str">
        <f ca="1"/>
        <v/>
      </c>
      <c r="Q28" s="1016" t="str">
        <f ca="1"/>
        <v/>
      </c>
      <c r="R28" s="1016" t="str">
        <f ca="1"/>
        <v/>
      </c>
      <c r="S28" s="1028" t="str">
        <f ca="1"/>
        <v/>
      </c>
    </row>
    <row r="29" spans="2:19">
      <c r="B29" s="500" t="s">
        <v>1789</v>
      </c>
      <c r="C29" s="503" t="s">
        <v>359</v>
      </c>
      <c r="E29" s="1015" t="str">
        <f ca="1"/>
        <v/>
      </c>
      <c r="F29" s="1006" t="str">
        <f ca="1"/>
        <v/>
      </c>
      <c r="G29" s="1006" t="str">
        <f ca="1"/>
        <v/>
      </c>
      <c r="H29" s="1004" t="str">
        <f ca="1"/>
        <v/>
      </c>
      <c r="I29" s="1017" t="str">
        <f ca="1"/>
        <v/>
      </c>
      <c r="J29" s="1006" t="str">
        <f ca="1"/>
        <v/>
      </c>
      <c r="K29" s="1016" t="str">
        <f ca="1"/>
        <v/>
      </c>
      <c r="L29" s="1016" t="str">
        <f ca="1"/>
        <v/>
      </c>
      <c r="M29" s="1027" t="str">
        <f ca="1"/>
        <v/>
      </c>
      <c r="N29" s="1027" t="str">
        <f ca="1"/>
        <v/>
      </c>
      <c r="O29" s="1018" t="str">
        <f ca="1"/>
        <v/>
      </c>
      <c r="P29" s="1027" t="str">
        <f ca="1"/>
        <v/>
      </c>
      <c r="Q29" s="1016" t="str">
        <f ca="1"/>
        <v/>
      </c>
      <c r="R29" s="1016" t="str">
        <f ca="1"/>
        <v/>
      </c>
      <c r="S29" s="1028" t="str">
        <f ca="1"/>
        <v/>
      </c>
    </row>
    <row r="30" spans="2:19">
      <c r="B30" s="500" t="s">
        <v>1790</v>
      </c>
      <c r="C30" s="503" t="s">
        <v>38</v>
      </c>
      <c r="E30" s="1015" t="str">
        <f ca="1"/>
        <v/>
      </c>
      <c r="F30" s="1006" t="str">
        <f ca="1"/>
        <v/>
      </c>
      <c r="G30" s="1006" t="str">
        <f ca="1"/>
        <v/>
      </c>
      <c r="H30" s="1004" t="str">
        <f ca="1"/>
        <v/>
      </c>
      <c r="I30" s="1017" t="str">
        <f ca="1"/>
        <v/>
      </c>
      <c r="J30" s="1006" t="str">
        <f ca="1"/>
        <v/>
      </c>
      <c r="K30" s="1016" t="str">
        <f ca="1"/>
        <v/>
      </c>
      <c r="L30" s="1016" t="str">
        <f ca="1"/>
        <v/>
      </c>
      <c r="M30" s="1027" t="str">
        <f ca="1"/>
        <v/>
      </c>
      <c r="N30" s="1027" t="str">
        <f ca="1"/>
        <v/>
      </c>
      <c r="O30" s="1018" t="str">
        <f ca="1"/>
        <v/>
      </c>
      <c r="P30" s="1027" t="str">
        <f ca="1"/>
        <v/>
      </c>
      <c r="Q30" s="1016" t="str">
        <f ca="1"/>
        <v/>
      </c>
      <c r="R30" s="1016" t="str">
        <f ca="1"/>
        <v/>
      </c>
      <c r="S30" s="1028" t="str">
        <f ca="1"/>
        <v/>
      </c>
    </row>
    <row r="31" spans="2:19">
      <c r="B31" s="500" t="s">
        <v>1791</v>
      </c>
      <c r="C31" s="503" t="s">
        <v>359</v>
      </c>
      <c r="E31" s="1015" t="str">
        <f ca="1"/>
        <v/>
      </c>
      <c r="F31" s="1006" t="str">
        <f ca="1"/>
        <v/>
      </c>
      <c r="G31" s="1006" t="str">
        <f ca="1"/>
        <v/>
      </c>
      <c r="H31" s="1004" t="str">
        <f ca="1"/>
        <v/>
      </c>
      <c r="I31" s="1017" t="str">
        <f ca="1"/>
        <v/>
      </c>
      <c r="J31" s="1006" t="str">
        <f ca="1"/>
        <v/>
      </c>
      <c r="K31" s="1016" t="str">
        <f ca="1"/>
        <v/>
      </c>
      <c r="L31" s="1016" t="str">
        <f ca="1"/>
        <v/>
      </c>
      <c r="M31" s="1027" t="str">
        <f ca="1"/>
        <v/>
      </c>
      <c r="N31" s="1027" t="str">
        <f ca="1"/>
        <v/>
      </c>
      <c r="O31" s="1018" t="str">
        <f ca="1"/>
        <v/>
      </c>
      <c r="P31" s="1027" t="str">
        <f ca="1"/>
        <v/>
      </c>
      <c r="Q31" s="1016" t="str">
        <f ca="1"/>
        <v/>
      </c>
      <c r="R31" s="1016" t="str">
        <f ca="1"/>
        <v/>
      </c>
      <c r="S31" s="1028" t="str">
        <f ca="1"/>
        <v/>
      </c>
    </row>
    <row r="32" spans="2:19">
      <c r="B32" s="500" t="s">
        <v>1792</v>
      </c>
      <c r="C32" s="505"/>
      <c r="E32" s="1015" t="str">
        <f ca="1"/>
        <v/>
      </c>
      <c r="F32" s="1006" t="str">
        <f ca="1"/>
        <v/>
      </c>
      <c r="G32" s="1006" t="str">
        <f ca="1"/>
        <v/>
      </c>
      <c r="H32" s="1004" t="str">
        <f ca="1"/>
        <v/>
      </c>
      <c r="I32" s="1017" t="str">
        <f ca="1"/>
        <v/>
      </c>
      <c r="J32" s="1006" t="str">
        <f ca="1"/>
        <v/>
      </c>
      <c r="K32" s="1016" t="str">
        <f ca="1"/>
        <v/>
      </c>
      <c r="L32" s="1016" t="str">
        <f ca="1"/>
        <v/>
      </c>
      <c r="M32" s="1027" t="str">
        <f ca="1"/>
        <v/>
      </c>
      <c r="N32" s="1027" t="str">
        <f ca="1"/>
        <v/>
      </c>
      <c r="O32" s="1018" t="str">
        <f ca="1"/>
        <v/>
      </c>
      <c r="P32" s="1027" t="str">
        <f ca="1"/>
        <v/>
      </c>
      <c r="Q32" s="1016" t="str">
        <f ca="1"/>
        <v/>
      </c>
      <c r="R32" s="1016" t="str">
        <f ca="1"/>
        <v/>
      </c>
      <c r="S32" s="1028" t="str">
        <f ca="1"/>
        <v/>
      </c>
    </row>
    <row r="33" spans="2:19">
      <c r="B33" s="500" t="s">
        <v>1793</v>
      </c>
      <c r="C33" s="505"/>
      <c r="E33" s="1015" t="str">
        <f ca="1"/>
        <v/>
      </c>
      <c r="F33" s="1006" t="str">
        <f ca="1"/>
        <v/>
      </c>
      <c r="G33" s="1006" t="str">
        <f ca="1"/>
        <v/>
      </c>
      <c r="H33" s="1004" t="str">
        <f ca="1"/>
        <v/>
      </c>
      <c r="I33" s="1017" t="str">
        <f ca="1"/>
        <v/>
      </c>
      <c r="J33" s="1006" t="str">
        <f ca="1"/>
        <v/>
      </c>
      <c r="K33" s="1016" t="str">
        <f ca="1"/>
        <v/>
      </c>
      <c r="L33" s="1016" t="str">
        <f ca="1"/>
        <v/>
      </c>
      <c r="M33" s="1027" t="str">
        <f ca="1"/>
        <v/>
      </c>
      <c r="N33" s="1027" t="str">
        <f ca="1"/>
        <v/>
      </c>
      <c r="O33" s="1018" t="str">
        <f ca="1"/>
        <v/>
      </c>
      <c r="P33" s="1027" t="str">
        <f ca="1"/>
        <v/>
      </c>
      <c r="Q33" s="1016" t="str">
        <f ca="1"/>
        <v/>
      </c>
      <c r="R33" s="1016" t="str">
        <f ca="1"/>
        <v/>
      </c>
      <c r="S33" s="1028" t="str">
        <f ca="1"/>
        <v/>
      </c>
    </row>
    <row r="34" spans="2:19">
      <c r="B34" s="500" t="s">
        <v>1794</v>
      </c>
      <c r="C34" s="502"/>
      <c r="E34" s="1015" t="str">
        <f ca="1"/>
        <v/>
      </c>
      <c r="F34" s="1006" t="str">
        <f ca="1"/>
        <v/>
      </c>
      <c r="G34" s="1006" t="str">
        <f ca="1"/>
        <v/>
      </c>
      <c r="H34" s="1004" t="str">
        <f ca="1"/>
        <v/>
      </c>
      <c r="I34" s="1017" t="str">
        <f ca="1"/>
        <v/>
      </c>
      <c r="J34" s="1006" t="str">
        <f ca="1"/>
        <v/>
      </c>
      <c r="K34" s="1016" t="str">
        <f ca="1"/>
        <v/>
      </c>
      <c r="L34" s="1016" t="str">
        <f ca="1"/>
        <v/>
      </c>
      <c r="M34" s="1027" t="str">
        <f ca="1"/>
        <v/>
      </c>
      <c r="N34" s="1027" t="str">
        <f ca="1"/>
        <v/>
      </c>
      <c r="O34" s="1018" t="str">
        <f ca="1"/>
        <v/>
      </c>
      <c r="P34" s="1027" t="str">
        <f ca="1"/>
        <v/>
      </c>
      <c r="Q34" s="1016" t="str">
        <f ca="1"/>
        <v/>
      </c>
      <c r="R34" s="1016" t="str">
        <f ca="1"/>
        <v/>
      </c>
      <c r="S34" s="1028" t="str">
        <f ca="1"/>
        <v/>
      </c>
    </row>
    <row r="35" spans="2:19">
      <c r="B35" s="500" t="s">
        <v>1795</v>
      </c>
      <c r="C35" s="147" t="s">
        <v>356</v>
      </c>
      <c r="E35" s="1015" t="str">
        <f ca="1"/>
        <v/>
      </c>
      <c r="F35" s="1006" t="str">
        <f ca="1"/>
        <v/>
      </c>
      <c r="G35" s="1006" t="str">
        <f ca="1"/>
        <v/>
      </c>
      <c r="H35" s="1004" t="str">
        <f ca="1"/>
        <v/>
      </c>
      <c r="I35" s="1017" t="str">
        <f ca="1"/>
        <v/>
      </c>
      <c r="J35" s="1006" t="str">
        <f ca="1"/>
        <v/>
      </c>
      <c r="K35" s="1016" t="str">
        <f ca="1"/>
        <v/>
      </c>
      <c r="L35" s="1016" t="str">
        <f ca="1"/>
        <v/>
      </c>
      <c r="M35" s="1027" t="str">
        <f ca="1"/>
        <v/>
      </c>
      <c r="N35" s="1027" t="str">
        <f ca="1"/>
        <v/>
      </c>
      <c r="O35" s="1018" t="str">
        <f ca="1"/>
        <v/>
      </c>
      <c r="P35" s="1027" t="str">
        <f ca="1"/>
        <v/>
      </c>
      <c r="Q35" s="1016" t="str">
        <f ca="1"/>
        <v/>
      </c>
      <c r="R35" s="1016" t="str">
        <f ca="1"/>
        <v/>
      </c>
      <c r="S35" s="1028" t="str">
        <f ca="1"/>
        <v/>
      </c>
    </row>
    <row r="36" spans="2:19">
      <c r="B36" s="500" t="s">
        <v>2250</v>
      </c>
      <c r="C36" s="1204" t="s">
        <v>2252</v>
      </c>
      <c r="E36" s="1015" t="str">
        <f ca="1"/>
        <v/>
      </c>
      <c r="F36" s="1006" t="str">
        <f ca="1"/>
        <v/>
      </c>
      <c r="G36" s="1006" t="str">
        <f ca="1"/>
        <v/>
      </c>
      <c r="H36" s="1004" t="str">
        <f ca="1"/>
        <v/>
      </c>
      <c r="I36" s="1017" t="str">
        <f ca="1"/>
        <v/>
      </c>
      <c r="J36" s="1006" t="str">
        <f ca="1"/>
        <v/>
      </c>
      <c r="K36" s="1016" t="str">
        <f ca="1"/>
        <v/>
      </c>
      <c r="L36" s="1016" t="str">
        <f ca="1"/>
        <v/>
      </c>
      <c r="M36" s="1027" t="str">
        <f ca="1"/>
        <v/>
      </c>
      <c r="N36" s="1027" t="str">
        <f ca="1"/>
        <v/>
      </c>
      <c r="O36" s="1018" t="str">
        <f ca="1"/>
        <v/>
      </c>
      <c r="P36" s="1027" t="str">
        <f ca="1"/>
        <v/>
      </c>
      <c r="Q36" s="1016" t="str">
        <f ca="1"/>
        <v/>
      </c>
      <c r="R36" s="1016" t="str">
        <f ca="1"/>
        <v/>
      </c>
      <c r="S36" s="1028" t="str">
        <f ca="1"/>
        <v/>
      </c>
    </row>
    <row r="37" spans="2:19">
      <c r="B37" s="500" t="s">
        <v>2251</v>
      </c>
      <c r="C37" s="1204" t="s">
        <v>2252</v>
      </c>
      <c r="E37" s="1015" t="str">
        <f ca="1"/>
        <v/>
      </c>
      <c r="F37" s="1006" t="str">
        <f ca="1"/>
        <v/>
      </c>
      <c r="G37" s="1006" t="str">
        <f ca="1"/>
        <v/>
      </c>
      <c r="H37" s="1004" t="str">
        <f ca="1"/>
        <v/>
      </c>
      <c r="I37" s="1017" t="str">
        <f ca="1"/>
        <v/>
      </c>
      <c r="J37" s="1006" t="str">
        <f ca="1"/>
        <v/>
      </c>
      <c r="K37" s="1016" t="str">
        <f ca="1"/>
        <v/>
      </c>
      <c r="L37" s="1016" t="str">
        <f ca="1"/>
        <v/>
      </c>
      <c r="M37" s="1027" t="str">
        <f ca="1"/>
        <v/>
      </c>
      <c r="N37" s="1027" t="str">
        <f ca="1"/>
        <v/>
      </c>
      <c r="O37" s="1018" t="str">
        <f ca="1"/>
        <v/>
      </c>
      <c r="P37" s="1027" t="str">
        <f ca="1"/>
        <v/>
      </c>
      <c r="Q37" s="1016" t="str">
        <f ca="1"/>
        <v/>
      </c>
      <c r="R37" s="1016" t="str">
        <f ca="1"/>
        <v/>
      </c>
      <c r="S37" s="1028" t="str">
        <f ca="1"/>
        <v/>
      </c>
    </row>
    <row r="38" spans="2:19">
      <c r="B38" s="500" t="s">
        <v>1796</v>
      </c>
      <c r="C38" s="374"/>
      <c r="E38" s="1015" t="str">
        <f ca="1"/>
        <v/>
      </c>
      <c r="F38" s="1006" t="str">
        <f ca="1"/>
        <v/>
      </c>
      <c r="G38" s="1006" t="str">
        <f ca="1"/>
        <v/>
      </c>
      <c r="H38" s="1004" t="str">
        <f ca="1"/>
        <v/>
      </c>
      <c r="I38" s="1017" t="str">
        <f ca="1"/>
        <v/>
      </c>
      <c r="J38" s="1006" t="str">
        <f ca="1"/>
        <v/>
      </c>
      <c r="K38" s="1016" t="str">
        <f ca="1"/>
        <v/>
      </c>
      <c r="L38" s="1016" t="str">
        <f ca="1"/>
        <v/>
      </c>
      <c r="M38" s="1027" t="str">
        <f ca="1"/>
        <v/>
      </c>
      <c r="N38" s="1027" t="str">
        <f ca="1"/>
        <v/>
      </c>
      <c r="O38" s="1018" t="str">
        <f ca="1"/>
        <v/>
      </c>
      <c r="P38" s="1027" t="str">
        <f ca="1"/>
        <v/>
      </c>
      <c r="Q38" s="1016" t="str">
        <f ca="1"/>
        <v/>
      </c>
      <c r="R38" s="1016" t="str">
        <f ca="1"/>
        <v/>
      </c>
      <c r="S38" s="1028" t="str">
        <f ca="1"/>
        <v/>
      </c>
    </row>
    <row r="39" spans="2:19">
      <c r="B39" s="500" t="s">
        <v>1797</v>
      </c>
      <c r="C39" s="506"/>
      <c r="E39" s="1015" t="str">
        <f ca="1"/>
        <v/>
      </c>
      <c r="F39" s="1006" t="str">
        <f ca="1"/>
        <v/>
      </c>
      <c r="G39" s="1006" t="str">
        <f ca="1"/>
        <v/>
      </c>
      <c r="H39" s="1004" t="str">
        <f ca="1"/>
        <v/>
      </c>
      <c r="I39" s="1017" t="str">
        <f ca="1"/>
        <v/>
      </c>
      <c r="J39" s="1006" t="str">
        <f ca="1"/>
        <v/>
      </c>
      <c r="K39" s="1016" t="str">
        <f ca="1"/>
        <v/>
      </c>
      <c r="L39" s="1016" t="str">
        <f ca="1"/>
        <v/>
      </c>
      <c r="M39" s="1027" t="str">
        <f ca="1"/>
        <v/>
      </c>
      <c r="N39" s="1027" t="str">
        <f ca="1"/>
        <v/>
      </c>
      <c r="O39" s="1018" t="str">
        <f ca="1"/>
        <v/>
      </c>
      <c r="P39" s="1027" t="str">
        <f ca="1"/>
        <v/>
      </c>
      <c r="Q39" s="1016" t="str">
        <f ca="1"/>
        <v/>
      </c>
      <c r="R39" s="1016" t="str">
        <f ca="1"/>
        <v/>
      </c>
      <c r="S39" s="1028" t="str">
        <f ca="1"/>
        <v/>
      </c>
    </row>
    <row r="40" spans="2:19">
      <c r="B40" s="500" t="s">
        <v>1798</v>
      </c>
      <c r="C40" s="147" t="s">
        <v>356</v>
      </c>
      <c r="E40" s="1015" t="str">
        <f ca="1"/>
        <v/>
      </c>
      <c r="F40" s="1006" t="str">
        <f ca="1"/>
        <v/>
      </c>
      <c r="G40" s="1006" t="str">
        <f ca="1"/>
        <v/>
      </c>
      <c r="H40" s="1004" t="str">
        <f ca="1"/>
        <v/>
      </c>
      <c r="I40" s="1017" t="str">
        <f ca="1"/>
        <v/>
      </c>
      <c r="J40" s="1006" t="str">
        <f ca="1"/>
        <v/>
      </c>
      <c r="K40" s="1016" t="str">
        <f ca="1"/>
        <v/>
      </c>
      <c r="L40" s="1016" t="str">
        <f ca="1"/>
        <v/>
      </c>
      <c r="M40" s="1027" t="str">
        <f ca="1"/>
        <v/>
      </c>
      <c r="N40" s="1027" t="str">
        <f ca="1"/>
        <v/>
      </c>
      <c r="O40" s="1018" t="str">
        <f ca="1"/>
        <v/>
      </c>
      <c r="P40" s="1027" t="str">
        <f ca="1"/>
        <v/>
      </c>
      <c r="Q40" s="1016" t="str">
        <f ca="1"/>
        <v/>
      </c>
      <c r="R40" s="1016" t="str">
        <f ca="1"/>
        <v/>
      </c>
      <c r="S40" s="1028" t="str">
        <f ca="1"/>
        <v/>
      </c>
    </row>
    <row r="41" spans="2:19">
      <c r="B41" s="501" t="s">
        <v>1799</v>
      </c>
      <c r="C41" s="507" t="s">
        <v>358</v>
      </c>
      <c r="E41" s="1021" t="str">
        <f ca="1"/>
        <v/>
      </c>
      <c r="F41" s="1005" t="str">
        <f ca="1"/>
        <v/>
      </c>
      <c r="G41" s="1005" t="str">
        <f ca="1"/>
        <v/>
      </c>
      <c r="H41" s="1007" t="str">
        <f ca="1"/>
        <v/>
      </c>
      <c r="I41" s="1023" t="str">
        <f ca="1"/>
        <v/>
      </c>
      <c r="J41" s="1005" t="str">
        <f ca="1"/>
        <v/>
      </c>
      <c r="K41" s="1022" t="str">
        <f ca="1"/>
        <v/>
      </c>
      <c r="L41" s="1022" t="str">
        <f ca="1"/>
        <v/>
      </c>
      <c r="M41" s="1029" t="str">
        <f ca="1"/>
        <v/>
      </c>
      <c r="N41" s="1029" t="str">
        <f ca="1"/>
        <v/>
      </c>
      <c r="O41" s="1024" t="str">
        <f ca="1"/>
        <v/>
      </c>
      <c r="P41" s="1029" t="str">
        <f ca="1"/>
        <v/>
      </c>
      <c r="Q41" s="1022" t="str">
        <f ca="1"/>
        <v/>
      </c>
      <c r="R41" s="1022" t="str">
        <f ca="1"/>
        <v/>
      </c>
      <c r="S41" s="1030" t="str">
        <f ca="1"/>
        <v/>
      </c>
    </row>
  </sheetData>
  <conditionalFormatting sqref="E12">
    <cfRule type="expression" dxfId="43" priority="4">
      <formula>ISNA(E12)</formula>
    </cfRule>
  </conditionalFormatting>
  <conditionalFormatting sqref="E26">
    <cfRule type="expression" dxfId="42" priority="1">
      <formula>ISNA(E26)</formula>
    </cfRule>
  </conditionalFormatting>
  <conditionalFormatting sqref="E13:Q23 F12:Q12">
    <cfRule type="expression" dxfId="41" priority="6">
      <formula>ISNA(E12)</formula>
    </cfRule>
  </conditionalFormatting>
  <conditionalFormatting sqref="F26:Q26 E27:Q41">
    <cfRule type="expression" dxfId="40" priority="2">
      <formula>ISNA(E26)</formula>
    </cfRule>
  </conditionalFormatting>
  <dataValidations count="7">
    <dataValidation type="list" allowBlank="1" showInputMessage="1" showErrorMessage="1" sqref="C11 C23">
      <formula1>"Annual,Semi-Annual,Quarterly,Monthly"</formula1>
    </dataValidation>
    <dataValidation type="list" allowBlank="1" showInputMessage="1" showErrorMessage="1" sqref="C13 C25">
      <formula1>"30/360,ACT/360,ACT/365"</formula1>
    </dataValidation>
    <dataValidation type="list" allowBlank="1" showInputMessage="1" showErrorMessage="1" sqref="C29 C15 C31 C27 C17">
      <formula1>"TGT,NYB:LNB,LNB,TKB:LNB"</formula1>
    </dataValidation>
    <dataValidation type="list" allowBlank="1" showInputMessage="1" showErrorMessage="1" sqref="C22 C41">
      <formula1>"None,ShortStart,ShortEnd,LongStart,LongEnd"</formula1>
    </dataValidation>
    <dataValidation type="list" allowBlank="1" showInputMessage="1" showErrorMessage="1" sqref="C26 C14 C16 C28 C30">
      <formula1>"MOD_FOLLOWING,FOLLOWING,MOD_PRECEDING,PRECEDING,NO_CHANGE"</formula1>
    </dataValidation>
    <dataValidation type="list" allowBlank="1" showInputMessage="1" showErrorMessage="1" sqref="C4">
      <formula1>"PAYER,RECEIVER"</formula1>
    </dataValidation>
    <dataValidation type="list" allowBlank="1" showInputMessage="1" showErrorMessage="1" sqref="D10">
      <formula1>"NOCSA,EURCSA,USDCSA,GBPCSA,JPYCSA"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1851</v>
      </c>
    </row>
    <row r="2" spans="2:34">
      <c r="E2" s="107" t="s">
        <v>1921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1862</v>
      </c>
      <c r="C6" s="580" t="s">
        <v>2488</v>
      </c>
      <c r="D6" s="335"/>
      <c r="E6" s="387" t="s">
        <v>1936</v>
      </c>
      <c r="F6" s="541" t="s">
        <v>1936</v>
      </c>
      <c r="G6" s="542" t="s">
        <v>1937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1440</v>
      </c>
      <c r="M6" s="584">
        <v>1</v>
      </c>
      <c r="N6" s="583" t="s">
        <v>146</v>
      </c>
      <c r="O6" s="544" t="s">
        <v>1849</v>
      </c>
      <c r="P6" s="544">
        <v>101.88200000000001</v>
      </c>
      <c r="Q6" s="544">
        <v>101.861</v>
      </c>
      <c r="R6" s="545">
        <v>101.90300000000001</v>
      </c>
      <c r="S6" s="546">
        <v>0.26081673144723411</v>
      </c>
      <c r="T6" s="544">
        <v>0.25547673152889594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1863</v>
      </c>
      <c r="C7" s="581" t="s">
        <v>2489</v>
      </c>
      <c r="D7" s="335"/>
      <c r="E7" s="535" t="s">
        <v>1901</v>
      </c>
      <c r="F7" s="548" t="s">
        <v>1901</v>
      </c>
      <c r="G7" s="549" t="s">
        <v>1902</v>
      </c>
      <c r="H7" s="550">
        <v>42931</v>
      </c>
      <c r="I7" s="550">
        <v>43296</v>
      </c>
      <c r="J7" s="550">
        <v>46218</v>
      </c>
      <c r="K7" s="588">
        <v>0.5</v>
      </c>
      <c r="L7" s="351" t="s">
        <v>1440</v>
      </c>
      <c r="M7" s="585">
        <v>1</v>
      </c>
      <c r="N7" s="351" t="s">
        <v>146</v>
      </c>
      <c r="O7" s="551" t="s">
        <v>1849</v>
      </c>
      <c r="P7" s="551">
        <v>100.754</v>
      </c>
      <c r="Q7" s="551">
        <v>100.727</v>
      </c>
      <c r="R7" s="552">
        <v>100.78100000000001</v>
      </c>
      <c r="S7" s="553">
        <v>0.41051505739194388</v>
      </c>
      <c r="T7" s="551">
        <v>0.40389985972157194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1864</v>
      </c>
      <c r="C8" s="581" t="s">
        <v>2490</v>
      </c>
      <c r="E8" s="535" t="s">
        <v>1874</v>
      </c>
      <c r="F8" s="548" t="s">
        <v>1874</v>
      </c>
      <c r="G8" s="549" t="s">
        <v>1875</v>
      </c>
      <c r="H8" s="550">
        <v>42880</v>
      </c>
      <c r="I8" s="550">
        <v>43245</v>
      </c>
      <c r="J8" s="550">
        <v>46167</v>
      </c>
      <c r="K8" s="588">
        <v>0.5</v>
      </c>
      <c r="L8" s="351" t="s">
        <v>1440</v>
      </c>
      <c r="M8" s="585">
        <v>1</v>
      </c>
      <c r="N8" s="351" t="s">
        <v>146</v>
      </c>
      <c r="O8" s="551" t="s">
        <v>1849</v>
      </c>
      <c r="P8" s="551">
        <v>100.316</v>
      </c>
      <c r="Q8" s="551">
        <v>100.292</v>
      </c>
      <c r="R8" s="552">
        <v>100.339</v>
      </c>
      <c r="S8" s="553">
        <v>0.46335714656226906</v>
      </c>
      <c r="T8" s="551">
        <v>0.45747355377460069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1865</v>
      </c>
      <c r="C9" s="581" t="s">
        <v>2491</v>
      </c>
      <c r="D9" s="579" t="s">
        <v>1841</v>
      </c>
      <c r="E9" s="535" t="s">
        <v>1878</v>
      </c>
      <c r="F9" s="548" t="s">
        <v>1878</v>
      </c>
      <c r="G9" s="549" t="s">
        <v>1879</v>
      </c>
      <c r="H9" s="550">
        <v>42855</v>
      </c>
      <c r="I9" s="550">
        <v>43220</v>
      </c>
      <c r="J9" s="550">
        <v>46142</v>
      </c>
      <c r="K9" s="588">
        <v>1.95</v>
      </c>
      <c r="L9" s="351" t="s">
        <v>1440</v>
      </c>
      <c r="M9" s="585">
        <v>1</v>
      </c>
      <c r="N9" s="351" t="s">
        <v>146</v>
      </c>
      <c r="O9" s="551" t="s">
        <v>1849</v>
      </c>
      <c r="P9" s="551">
        <v>107.776</v>
      </c>
      <c r="Q9" s="551">
        <v>107.718</v>
      </c>
      <c r="R9" s="552">
        <v>107.834</v>
      </c>
      <c r="S9" s="553">
        <v>0.95224708852874851</v>
      </c>
      <c r="T9" s="551">
        <v>0.93789916317993316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1866</v>
      </c>
      <c r="C10" s="581" t="s">
        <v>2492</v>
      </c>
      <c r="E10" s="535" t="s">
        <v>1876</v>
      </c>
      <c r="F10" s="548" t="s">
        <v>1876</v>
      </c>
      <c r="G10" s="549" t="s">
        <v>1877</v>
      </c>
      <c r="H10" s="550">
        <v>43070</v>
      </c>
      <c r="I10" s="550">
        <v>43252</v>
      </c>
      <c r="J10" s="550">
        <v>46174</v>
      </c>
      <c r="K10" s="588">
        <v>1.6</v>
      </c>
      <c r="L10" s="351" t="s">
        <v>1440</v>
      </c>
      <c r="M10" s="585">
        <v>2</v>
      </c>
      <c r="N10" s="351" t="s">
        <v>1441</v>
      </c>
      <c r="O10" s="551" t="s">
        <v>1849</v>
      </c>
      <c r="P10" s="551">
        <v>100.31100000000001</v>
      </c>
      <c r="Q10" s="551">
        <v>100.26300000000001</v>
      </c>
      <c r="R10" s="552">
        <v>100.358</v>
      </c>
      <c r="S10" s="553">
        <v>1.5715483153118326</v>
      </c>
      <c r="T10" s="551">
        <v>1.5590330705038458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1867</v>
      </c>
      <c r="C11" s="582" t="s">
        <v>2493</v>
      </c>
      <c r="E11" s="388" t="s">
        <v>1880</v>
      </c>
      <c r="F11" s="555" t="s">
        <v>1880</v>
      </c>
      <c r="G11" s="556" t="s">
        <v>1881</v>
      </c>
      <c r="H11" s="557">
        <v>43155</v>
      </c>
      <c r="I11" s="557">
        <v>43520</v>
      </c>
      <c r="J11" s="557">
        <v>46077</v>
      </c>
      <c r="K11" s="589">
        <v>3</v>
      </c>
      <c r="L11" s="558" t="s">
        <v>1440</v>
      </c>
      <c r="M11" s="586">
        <v>1</v>
      </c>
      <c r="N11" s="558" t="s">
        <v>146</v>
      </c>
      <c r="O11" s="559" t="s">
        <v>1849</v>
      </c>
      <c r="P11" s="559">
        <v>97.105000000000004</v>
      </c>
      <c r="Q11" s="559">
        <v>96.135999999999996</v>
      </c>
      <c r="R11" s="560">
        <v>98.073999999999998</v>
      </c>
      <c r="S11" s="561">
        <v>4.4484175679974021</v>
      </c>
      <c r="T11" s="559">
        <v>4.1516648038829578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1850</v>
      </c>
      <c r="E14" s="571" t="s">
        <v>1844</v>
      </c>
      <c r="F14" s="630" t="str">
        <f>IF(ISBLANK(AssetSwap.ISIN1),"",AssetSwap.ISIN1)</f>
        <v>DE0001102390 Govt</v>
      </c>
      <c r="G14" s="630" t="str">
        <f>IF(ISBLANK(AssetSwap.ISIN2),"",AssetSwap.ISIN2)</f>
        <v>NL0011819040 Govt</v>
      </c>
      <c r="H14" s="630" t="str">
        <f>IF(ISBLANK(AssetSwap.ISIN3),"",AssetSwap.ISIN3)</f>
        <v>FR0013131877 Govt</v>
      </c>
      <c r="I14" s="630" t="str">
        <f>IF(ISBLANK(AssetSwap.ISIN4),"",AssetSwap.ISIN4)</f>
        <v>ES00000127Z9 Govt</v>
      </c>
      <c r="J14" s="630" t="str">
        <f>IF(ISBLANK(AssetSwap.ISIN5),"",AssetSwap.ISIN5)</f>
        <v>IT0005170839 Govt</v>
      </c>
      <c r="K14" s="630" t="str">
        <f>IF(ISBLANK(AssetSwap.ISIN6),"",AssetSwap.ISIN6)</f>
        <v>GR0128013704 Govt</v>
      </c>
    </row>
    <row r="15" spans="2:34">
      <c r="B15" s="575" t="s">
        <v>1838</v>
      </c>
      <c r="C15" s="576" t="s">
        <v>1839</v>
      </c>
      <c r="E15" s="567" t="s">
        <v>1845</v>
      </c>
      <c r="F15" s="631">
        <f>IF(ISBLANK(AssetSwap.ISIN1),"",AVERAGE($Q6:$R6))</f>
        <v>101.88200000000001</v>
      </c>
      <c r="G15" s="631">
        <f>IF(ISBLANK(AssetSwap.ISIN2),"",AVERAGE($Q7:$R7))</f>
        <v>100.754</v>
      </c>
      <c r="H15" s="631">
        <f>IF(ISBLANK(AssetSwap.ISIN3),"",AVERAGE($Q8:$R8))</f>
        <v>100.3155</v>
      </c>
      <c r="I15" s="631">
        <f>IF(ISBLANK(AssetSwap.ISIN4),"",AVERAGE($Q9:$R9))</f>
        <v>107.77600000000001</v>
      </c>
      <c r="J15" s="631">
        <f>IF(ISBLANK(AssetSwap.ISIN5),"",AVERAGE($Q10:$R10))</f>
        <v>100.3105</v>
      </c>
      <c r="K15" s="631">
        <f>IF(ISBLANK(AssetSwap.ISIN6),"",AVERAGE($Q11:$R11))</f>
        <v>97.10499999999999</v>
      </c>
      <c r="L15" t="s">
        <v>12</v>
      </c>
    </row>
    <row r="16" spans="2:34">
      <c r="B16" s="643"/>
      <c r="C16" s="644"/>
      <c r="E16" s="645" t="s">
        <v>1934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1821</v>
      </c>
      <c r="C17" s="539" t="s">
        <v>1471</v>
      </c>
      <c r="E17" s="577" t="s">
        <v>1854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1939</v>
      </c>
      <c r="C18" s="539" t="s">
        <v>1938</v>
      </c>
      <c r="E18" s="641" t="s">
        <v>1856</v>
      </c>
      <c r="F18" s="642" t="str">
        <f ca="1">IF(F15="","",_xll.meProductAssetSwapSpread(IF(ISBLANK($F$17),$F$15,$F$17),_xll.meUtilityLVBFromKeysValues($E$26:$E$57,F$26:F$57),FALSE))</f>
        <v>[2018/05/04 09:52] #Error: Invalid Curve: CurveCollection 'EURYC' does not exist</v>
      </c>
      <c r="G18" s="642" t="str">
        <f ca="1">IF(G15="","",_xll.meProductAssetSwapSpread(IF(ISBLANK($G$17),$G$15,$G$17),_xll.meUtilityLVBFromKeysValues($E$26:$E$57,G$26:G$57),FALSE))</f>
        <v>[2018/05/04 09:52] #Error: Invalid Curve: CurveCollection 'EURYC' does not exist</v>
      </c>
      <c r="H18" s="642" t="str">
        <f ca="1">IF(H15="","",_xll.meProductAssetSwapSpread(IF(ISBLANK($H$17),$H$15,$H$17),_xll.meUtilityLVBFromKeysValues($E$26:$E$57,H$26:H$57),FALSE))</f>
        <v>[2018/05/04 09:52] #Error: Invalid Curve: CurveCollection 'EURYC' does not exist</v>
      </c>
      <c r="I18" s="642" t="str">
        <f ca="1">IF(I15="","",_xll.meProductAssetSwapSpread(IF(ISBLANK($I$17),$I$15,$I$17),_xll.meUtilityLVBFromKeysValues($E$26:$E$57,I$26:I$57),FALSE))</f>
        <v>[2018/05/04 09:52] #Error: Invalid Curve: CurveCollection 'EURYC' does not exist</v>
      </c>
      <c r="J18" s="642" t="str">
        <f ca="1">IF(J15="","",_xll.meProductAssetSwapSpread(IF(ISBLANK($J$17),$J$15,$J$17),_xll.meUtilityLVBFromKeysValues($E$26:$E$57,J$26:J$57),FALSE))</f>
        <v>[2018/05/04 09:52] #Error: Invalid Curve: CurveCollection 'EURYC' does not exist</v>
      </c>
      <c r="K18" s="642" t="str">
        <f ca="1">IF(K15="","",_xll.meProductAssetSwapSpread(IF(ISBLANK($K$17),$K$15,$K$17),_xll.meUtilityLVBFromKeysValues($E$26:$E$57,K$26:K$57),FALSE))</f>
        <v>[2018/05/04 09:52] #Error: Invalid Curve: CurveCollection 'EURYC' does not exist</v>
      </c>
      <c r="L18" s="647" t="s">
        <v>1935</v>
      </c>
    </row>
    <row r="19" spans="2:12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2.5814673148806498E-3</v>
      </c>
      <c r="G19" s="634">
        <f>IF(ISBLANK(AssetSwap.ISIN2),"",AVERAGE($S7:$T7)/100)</f>
        <v>4.072074585567579E-3</v>
      </c>
      <c r="H19" s="634">
        <f>IF(ISBLANK(AssetSwap.ISIN3),"",AVERAGE($S8:$T8)/100)</f>
        <v>4.6041535016843492E-3</v>
      </c>
      <c r="I19" s="634">
        <f>IF(ISBLANK(AssetSwap.ISIN4),"",AVERAGE($S9:$T9)/100)</f>
        <v>9.4507312585434076E-3</v>
      </c>
      <c r="J19" s="634">
        <f>IF(ISBLANK(AssetSwap.ISIN5),"",AVERAGE($S10:$T10)/100)</f>
        <v>1.5652906929078392E-2</v>
      </c>
      <c r="K19" s="634">
        <f>IF(ISBLANK(AssetSwap.ISIN6),"",AVERAGE($S11:$T11)/100)</f>
        <v>4.3000411859401802E-2</v>
      </c>
      <c r="L19" t="s">
        <v>12</v>
      </c>
    </row>
    <row r="20" spans="2:12">
      <c r="B20" s="573" t="s">
        <v>1769</v>
      </c>
      <c r="C20" s="539" t="s">
        <v>1472</v>
      </c>
      <c r="E20" s="577" t="s">
        <v>1855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1843</v>
      </c>
      <c r="F21" s="636" t="str">
        <f ca="1">IF(ISBLANK(AssetSwap.ISIN1),"",_xll.meProductSwapParRate(_xll.meUtilityLVBFromKeysValues($E$26:$E$57,$F$26:$F$57),FALSE))</f>
        <v>[2018/05/04 09:52] #Error: Invalid Curve: CurveCollection 'EURYC' does not exist</v>
      </c>
      <c r="G21" s="636" t="str">
        <f ca="1">IF(ISBLANK(AssetSwap.ISIN2),"",_xll.meProductSwapParRate(_xll.meUtilityLVBFromKeysValues($E$26:$E$57,$G$26:$G$57),FALSE))</f>
        <v>[2018/05/04 09:52] #Error: Invalid Curve: CurveCollection 'EURYC' does not exist</v>
      </c>
      <c r="H21" s="636" t="str">
        <f ca="1">IF(ISBLANK(AssetSwap.ISIN3),"",_xll.meProductSwapParRate(_xll.meUtilityLVBFromKeysValues($E$26:$E$57,$H$26:$H$57),FALSE))</f>
        <v>[2018/05/04 09:52] #Error: Invalid Curve: CurveCollection 'EURYC' does not exist</v>
      </c>
      <c r="I21" s="636" t="str">
        <f ca="1">IF(ISBLANK(AssetSwap.ISIN4),"",_xll.meProductSwapParRate(_xll.meUtilityLVBFromKeysValues($E$26:$E$57,$I$26:$I$57),FALSE))</f>
        <v>[2018/05/04 09:52] #Error: Invalid Curve: CurveCollection 'EURYC' does not exist</v>
      </c>
      <c r="J21" s="636" t="str">
        <f ca="1">IF(ISBLANK(AssetSwap.ISIN5),"",_xll.meProductSwapParRate(_xll.meUtilityLVBFromKeysValues($E$26:$E$57,$J$26:$J$57),FALSE))</f>
        <v>[2018/05/04 09:52] #Error: Invalid Curve: CurveCollection 'EURYC' does not exist</v>
      </c>
      <c r="K21" s="636" t="str">
        <f ca="1">IF(ISBLANK(AssetSwap.ISIN6),"",_xll.meProductSwapParRate(_xll.meUtilityLVBFromKeysValues($E$26:$E$57,$K$26:$K$57),FALSE))</f>
        <v>[2018/05/04 09:52] #Error: Invalid Curve: CurveCollection 'EURYC' does not exist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1857</v>
      </c>
      <c r="F22" s="642" t="e">
        <f ca="1">IF(F$19="","",(IF(ISBLANK(F$20),F$19,F$20)-F$21)*10000)</f>
        <v>#VALUE!</v>
      </c>
      <c r="G22" s="642" t="e">
        <f ca="1">IF(G$19="","",(IF(ISBLANK(G$20),G$19,G$20)-G$21)*10000)</f>
        <v>#VALUE!</v>
      </c>
      <c r="H22" s="642" t="e">
        <f ca="1">IF(H$19="","",(IF(ISBLANK(H$20),H$19,H$20)-H$21)*10000)</f>
        <v>#VALUE!</v>
      </c>
      <c r="I22" s="642" t="e">
        <f t="shared" ref="I22:K22" ca="1" si="0">IF(I$19="","",(IF(ISBLANK(I$20),I$19,I$20)-I$21)*10000)</f>
        <v>#VALUE!</v>
      </c>
      <c r="J22" s="642" t="e">
        <f ca="1">IF(J$19="","",(IF(ISBLANK(J$20),J$19,J$20)-J$21)*10000)</f>
        <v>#VALUE!</v>
      </c>
      <c r="K22" s="642" t="e">
        <f t="shared" ca="1" si="0"/>
        <v>#VALUE!</v>
      </c>
      <c r="L22" s="647" t="s">
        <v>1859</v>
      </c>
    </row>
    <row r="23" spans="2:12">
      <c r="B23" s="573" t="s">
        <v>1088</v>
      </c>
      <c r="C23" s="539" t="s">
        <v>1086</v>
      </c>
      <c r="L23" t="s">
        <v>12</v>
      </c>
    </row>
    <row r="24" spans="2:12">
      <c r="B24" s="573" t="s">
        <v>1089</v>
      </c>
      <c r="C24" s="539" t="s">
        <v>1087</v>
      </c>
      <c r="E24" s="534"/>
      <c r="L24" t="s">
        <v>12</v>
      </c>
    </row>
    <row r="25" spans="2:12">
      <c r="B25" s="573" t="s">
        <v>1847</v>
      </c>
      <c r="C25" s="539" t="s">
        <v>1848</v>
      </c>
      <c r="E25" s="571" t="s">
        <v>1869</v>
      </c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572">
        <v>1000000</v>
      </c>
      <c r="G26" s="572">
        <v>1000000</v>
      </c>
      <c r="H26" s="572">
        <v>1000000</v>
      </c>
      <c r="I26" s="572">
        <v>1000000</v>
      </c>
      <c r="J26" s="572">
        <v>1000000</v>
      </c>
      <c r="K26" s="572">
        <v>1000000</v>
      </c>
      <c r="L26" t="s">
        <v>12</v>
      </c>
    </row>
    <row r="27" spans="2:12">
      <c r="B27" s="573" t="s">
        <v>1831</v>
      </c>
      <c r="C27" s="539" t="s">
        <v>1835</v>
      </c>
      <c r="E27" s="527" t="s">
        <v>1803</v>
      </c>
      <c r="F27" s="530" t="s">
        <v>1822</v>
      </c>
      <c r="G27" s="530" t="s">
        <v>1822</v>
      </c>
      <c r="H27" s="530" t="s">
        <v>1822</v>
      </c>
      <c r="I27" s="530" t="s">
        <v>1822</v>
      </c>
      <c r="J27" s="530" t="s">
        <v>1822</v>
      </c>
      <c r="K27" s="530" t="s">
        <v>1822</v>
      </c>
      <c r="L27" t="s">
        <v>12</v>
      </c>
    </row>
    <row r="28" spans="2:12">
      <c r="B28" s="573" t="s">
        <v>1832</v>
      </c>
      <c r="C28" s="539" t="s">
        <v>1836</v>
      </c>
      <c r="D28" s="563"/>
      <c r="E28" s="527" t="s">
        <v>1823</v>
      </c>
      <c r="F28" s="621">
        <f>$H$6</f>
        <v>43146</v>
      </c>
      <c r="G28" s="621">
        <f>$H$7</f>
        <v>42931</v>
      </c>
      <c r="H28" s="621">
        <f>$H$8</f>
        <v>42880</v>
      </c>
      <c r="I28" s="621">
        <f>$H$9</f>
        <v>42855</v>
      </c>
      <c r="J28" s="621">
        <f>$H$10</f>
        <v>43070</v>
      </c>
      <c r="K28" s="621">
        <f>$H$11</f>
        <v>43155</v>
      </c>
      <c r="L28" t="s">
        <v>12</v>
      </c>
    </row>
    <row r="29" spans="2:12">
      <c r="B29" s="573" t="s">
        <v>1833</v>
      </c>
      <c r="C29" s="539" t="s">
        <v>2362</v>
      </c>
      <c r="D29" s="564" t="s">
        <v>361</v>
      </c>
      <c r="E29" s="527" t="s">
        <v>1768</v>
      </c>
      <c r="F29" s="621">
        <f ca="1">_xll.meDateFromTenor(COB,$D$29,F38,F39)</f>
        <v>43228</v>
      </c>
      <c r="G29" s="621">
        <f ca="1">_xll.meDateFromTenor(COB,$D$29,G38,G39)</f>
        <v>43228</v>
      </c>
      <c r="H29" s="621">
        <f ca="1">_xll.meDateFromTenor(COB,$D$29,H38,H39)</f>
        <v>43228</v>
      </c>
      <c r="I29" s="621">
        <f ca="1">_xll.meDateFromTenor(COB,$D$29,I38,I39)</f>
        <v>43228</v>
      </c>
      <c r="J29" s="621">
        <f ca="1">_xll.meDateFromTenor(COB,$D$29,J38,J39)</f>
        <v>43228</v>
      </c>
      <c r="K29" s="621">
        <f ca="1">_xll.meDateFromTenor(COB,$D$29,K38,K39)</f>
        <v>43228</v>
      </c>
      <c r="L29" t="s">
        <v>12</v>
      </c>
    </row>
    <row r="30" spans="2:12">
      <c r="B30" s="573" t="s">
        <v>1834</v>
      </c>
      <c r="C30" s="539" t="s">
        <v>2363</v>
      </c>
      <c r="D30" s="565"/>
      <c r="E30" s="527" t="s">
        <v>1769</v>
      </c>
      <c r="F30" s="621">
        <f>$J6</f>
        <v>46068</v>
      </c>
      <c r="G30" s="621">
        <f>$J7</f>
        <v>46218</v>
      </c>
      <c r="H30" s="621">
        <f>$J8</f>
        <v>46167</v>
      </c>
      <c r="I30" s="621">
        <f>$J9</f>
        <v>46142</v>
      </c>
      <c r="J30" s="621">
        <f>$J10</f>
        <v>46174</v>
      </c>
      <c r="K30" s="621">
        <f>$J11</f>
        <v>46077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1770</v>
      </c>
      <c r="F31" s="528" t="s">
        <v>1045</v>
      </c>
      <c r="G31" s="528" t="s">
        <v>1045</v>
      </c>
      <c r="H31" s="528" t="s">
        <v>1045</v>
      </c>
      <c r="I31" s="528" t="s">
        <v>1045</v>
      </c>
      <c r="J31" s="528" t="s">
        <v>1045</v>
      </c>
      <c r="K31" s="528" t="s">
        <v>1045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1443</v>
      </c>
      <c r="F32" s="532" t="str">
        <f>LEFT(F31,3)&amp;IF($E$3="Semi-Annual","6ML","3ML")</f>
        <v>EUR6ML</v>
      </c>
      <c r="G32" s="532" t="str">
        <f t="shared" ref="G32:K32" si="1">LEFT(G31,3)&amp;IF($E$3="Semi-Annual","6ML","3ML")</f>
        <v>EUR6ML</v>
      </c>
      <c r="H32" s="532" t="str">
        <f t="shared" si="1"/>
        <v>EUR6ML</v>
      </c>
      <c r="I32" s="532" t="str">
        <f t="shared" si="1"/>
        <v>EUR6ML</v>
      </c>
      <c r="J32" s="532" t="str">
        <f t="shared" si="1"/>
        <v>EUR6ML</v>
      </c>
      <c r="K32" s="532" t="str">
        <f t="shared" si="1"/>
        <v>EUR6ML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1444</v>
      </c>
      <c r="F33" s="532" t="str">
        <f>LEFT(F31,3)&amp;"DF_"&amp;$D$33</f>
        <v>EURDF_NOCSA</v>
      </c>
      <c r="G33" s="532" t="str">
        <f t="shared" ref="G33:K33" si="2">LEFT(G31,3)&amp;"DF_"&amp;$D$33</f>
        <v>EURDF_NOCSA</v>
      </c>
      <c r="H33" s="532" t="str">
        <f t="shared" si="2"/>
        <v>EURDF_NOCSA</v>
      </c>
      <c r="I33" s="532" t="str">
        <f t="shared" si="2"/>
        <v>EURDF_NOCSA</v>
      </c>
      <c r="J33" s="532" t="str">
        <f t="shared" si="2"/>
        <v>EURDF_NOCSA</v>
      </c>
      <c r="K33" s="532" t="str">
        <f t="shared" si="2"/>
        <v>EURDF_NOCSA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1824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1771</v>
      </c>
      <c r="F35" s="623" t="str">
        <f>VLOOKUP($M6,Settings.FrequencyLookupTable,2,0)</f>
        <v>Annual</v>
      </c>
      <c r="G35" s="619" t="str">
        <f>VLOOKUP($M7,Settings.FrequencyLookupTable,2,0)</f>
        <v>Annual</v>
      </c>
      <c r="H35" s="619" t="str">
        <f>VLOOKUP($M8,Settings.FrequencyLookupTable,2,0)</f>
        <v>Annual</v>
      </c>
      <c r="I35" s="619" t="str">
        <f>VLOOKUP($M9,Settings.FrequencyLookupTable,2,0)</f>
        <v>Annual</v>
      </c>
      <c r="J35" s="619" t="str">
        <f>VLOOKUP($M10,Settings.FrequencyLookupTable,2,0)</f>
        <v>Semi-Annual</v>
      </c>
      <c r="K35" s="619" t="str">
        <f>VLOOKUP($M11,Settings.FrequencyLookupTable,2,0)</f>
        <v>Annual</v>
      </c>
      <c r="L35" t="s">
        <v>12</v>
      </c>
    </row>
    <row r="36" spans="2:12">
      <c r="B36" s="573" t="e">
        <f>NA()</f>
        <v>#N/A</v>
      </c>
      <c r="C36" s="539"/>
      <c r="E36" s="527" t="s">
        <v>1772</v>
      </c>
      <c r="F36" s="624">
        <f>$K6/100</f>
        <v>5.0000000000000001E-3</v>
      </c>
      <c r="G36" s="624">
        <f>$K7/100</f>
        <v>5.0000000000000001E-3</v>
      </c>
      <c r="H36" s="624">
        <f>$K8/100</f>
        <v>5.0000000000000001E-3</v>
      </c>
      <c r="I36" s="624">
        <f>$K9/100</f>
        <v>1.95E-2</v>
      </c>
      <c r="J36" s="624">
        <f>$K10/100</f>
        <v>1.6E-2</v>
      </c>
      <c r="K36" s="624">
        <f>$K11/100</f>
        <v>0.03</v>
      </c>
      <c r="L36" t="s">
        <v>12</v>
      </c>
    </row>
    <row r="37" spans="2:12">
      <c r="B37" s="573" t="e">
        <f>NA()</f>
        <v>#N/A</v>
      </c>
      <c r="C37" s="539"/>
      <c r="E37" s="527" t="s">
        <v>1825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1826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1827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1778</v>
      </c>
      <c r="F40" s="626">
        <f ca="1">IF($I6&lt;=F$29,F$29,$I6)</f>
        <v>43511</v>
      </c>
      <c r="G40" s="626">
        <f ca="1">IF($I7&lt;=G$29,G$29,$I7)</f>
        <v>43296</v>
      </c>
      <c r="H40" s="626">
        <f ca="1">IF($I8&lt;=H$29,H$29,$I8)</f>
        <v>43245</v>
      </c>
      <c r="I40" s="626">
        <f ca="1">IF($I9&lt;=I$29,I$29,$I9)</f>
        <v>43228</v>
      </c>
      <c r="J40" s="626">
        <f ca="1">IF($I10&lt;=J$29,J$29,$I10)</f>
        <v>43252</v>
      </c>
      <c r="K40" s="626">
        <f ca="1">IF($I11&lt;=K$29,K$29,$I11)</f>
        <v>43520</v>
      </c>
      <c r="L40" t="s">
        <v>12</v>
      </c>
    </row>
    <row r="41" spans="2:12">
      <c r="E41" s="527" t="s">
        <v>1779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1780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1782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1781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1783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1784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1828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1829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1830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1792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1793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1794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1799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1795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1798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1796</v>
      </c>
      <c r="F56" s="597" t="str">
        <f ca="1">IF(ISBLANK(AssetSwap.ISIN1),"",_xll.meProductSwapStubRate($F$61:$F$65,$E$61:$E$65,,_xll.meUtilityLVBFromMultipleKeysValues($E$26:$E$55,F26:F55,),FALSE))</f>
        <v>[2018/05/04 09:52] #Error: Invalid Curve: CurveCollection 'EURYC' does not exist</v>
      </c>
      <c r="G56" s="597" t="str">
        <f ca="1">IF(ISBLANK(AssetSwap.ISIN1),"",_xll.meProductSwapStubRate($F$61:$F$65,$E$61:$E$65,,_xll.meUtilityLVBFromMultipleKeysValues($E$26:$E$55,G26:G55,),FALSE))</f>
        <v>[2018/05/04 09:52] #Error: Invalid Curve: CurveCollection 'EURYC' does not exist</v>
      </c>
      <c r="H56" s="597" t="str">
        <f ca="1">IF(ISBLANK(AssetSwap.ISIN1),"",_xll.meProductSwapStubRate($F$61:$F$65,$E$61:$E$65,,_xll.meUtilityLVBFromMultipleKeysValues($E$26:$E$55,H26:H55,),FALSE))</f>
        <v>[2018/05/04 09:52] #Error: Invalid Curve: CurveCollection 'EURYC' does not exist</v>
      </c>
      <c r="I56" s="597" t="str">
        <f ca="1">IF(ISBLANK(AssetSwap.ISIN1),"",_xll.meProductSwapStubRate($F$61:$F$65,$E$61:$E$65,,_xll.meUtilityLVBFromMultipleKeysValues($E$26:$E$55,I26:I55,),FALSE))</f>
        <v>[2018/05/04 09:52] #Error: Invalid Curve: CurveCollection 'EURYC' does not exist</v>
      </c>
      <c r="J56" s="597" t="str">
        <f ca="1">IF(ISBLANK(AssetSwap.ISIN1),"",_xll.meProductSwapStubRate($F$61:$F$65,$E$61:$E$65,,_xll.meUtilityLVBFromMultipleKeysValues($E$26:$E$55,J26:J55,),FALSE))</f>
        <v>[2018/05/04 09:52] #Error: Invalid Curve: CurveCollection 'EURYC' does not exist</v>
      </c>
      <c r="K56" s="597" t="str">
        <f ca="1">IF(ISBLANK(AssetSwap.ISIN1),"",_xll.meProductSwapStubRate($F$61:$F$65,$E$61:$E$65,,_xll.meUtilityLVBFromMultipleKeysValues($E$26:$E$55,K26:K55,),FALSE))</f>
        <v>[2018/05/04 09:52] #Error: Invalid Curve: CurveCollection 'EURYC' does not exist</v>
      </c>
      <c r="L56" t="s">
        <v>12</v>
      </c>
    </row>
    <row r="57" spans="5:12">
      <c r="E57" s="529" t="s">
        <v>1797</v>
      </c>
      <c r="F57" s="591"/>
      <c r="G57" s="591"/>
      <c r="H57" s="591"/>
      <c r="I57" s="591"/>
      <c r="J57" s="591"/>
      <c r="K57" s="591"/>
      <c r="L57" t="s">
        <v>12</v>
      </c>
    </row>
    <row r="58" spans="5:12">
      <c r="J58" s="149"/>
    </row>
    <row r="59" spans="5:12">
      <c r="J59" s="149"/>
    </row>
    <row r="60" spans="5:12">
      <c r="E60" s="571" t="s">
        <v>1873</v>
      </c>
      <c r="F60" s="592"/>
    </row>
    <row r="61" spans="5:12">
      <c r="E61" s="618" t="s">
        <v>1434</v>
      </c>
      <c r="F61" s="594" t="s">
        <v>1870</v>
      </c>
    </row>
    <row r="62" spans="5:12">
      <c r="E62" s="510" t="s">
        <v>20</v>
      </c>
      <c r="F62" s="595" t="s">
        <v>1871</v>
      </c>
    </row>
    <row r="63" spans="5:12">
      <c r="E63" s="510" t="s">
        <v>51</v>
      </c>
      <c r="F63" s="595" t="s">
        <v>1031</v>
      </c>
    </row>
    <row r="64" spans="5:12">
      <c r="E64" s="510" t="s">
        <v>22</v>
      </c>
      <c r="F64" s="595" t="s">
        <v>1039</v>
      </c>
    </row>
    <row r="65" spans="5:6">
      <c r="E65" s="511" t="s">
        <v>250</v>
      </c>
      <c r="F65" s="596" t="s">
        <v>1872</v>
      </c>
    </row>
    <row r="66" spans="5:6">
      <c r="E66" s="571"/>
      <c r="F66" s="424"/>
    </row>
    <row r="68" spans="5:6">
      <c r="E68" s="571"/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disablePrompts="1"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1851</v>
      </c>
    </row>
    <row r="2" spans="2:34">
      <c r="D2" s="9"/>
      <c r="E2" s="107" t="s">
        <v>1921</v>
      </c>
    </row>
    <row r="3" spans="2:34">
      <c r="E3" s="380" t="s">
        <v>75</v>
      </c>
      <c r="F3" s="335"/>
    </row>
    <row r="4" spans="2:34">
      <c r="E4" s="335"/>
      <c r="F4" s="335"/>
    </row>
    <row r="5" spans="2:34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1862</v>
      </c>
      <c r="C6" s="580" t="s">
        <v>2494</v>
      </c>
      <c r="D6" s="335"/>
      <c r="E6" s="387" t="s">
        <v>1913</v>
      </c>
      <c r="F6" s="541" t="s">
        <v>1913</v>
      </c>
      <c r="G6" s="542" t="s">
        <v>1914</v>
      </c>
      <c r="H6" s="543">
        <v>43100</v>
      </c>
      <c r="I6" s="543">
        <v>43281</v>
      </c>
      <c r="J6" s="543">
        <v>43281</v>
      </c>
      <c r="K6" s="587">
        <v>0.625</v>
      </c>
      <c r="L6" s="583" t="s">
        <v>1440</v>
      </c>
      <c r="M6" s="584">
        <v>2</v>
      </c>
      <c r="N6" s="583" t="s">
        <v>1441</v>
      </c>
      <c r="O6" s="544" t="s">
        <v>1849</v>
      </c>
      <c r="P6" s="544">
        <v>99.7109375</v>
      </c>
      <c r="Q6" s="544">
        <v>99.6953125</v>
      </c>
      <c r="R6" s="545">
        <v>99.7109375</v>
      </c>
      <c r="S6" s="546">
        <v>1.8137584882093094</v>
      </c>
      <c r="T6" s="544">
        <v>1.7525712907037152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1863</v>
      </c>
      <c r="C7" s="581" t="s">
        <v>2495</v>
      </c>
      <c r="D7" s="335"/>
      <c r="E7" s="535" t="s">
        <v>1911</v>
      </c>
      <c r="F7" s="548" t="s">
        <v>1911</v>
      </c>
      <c r="G7" s="549" t="s">
        <v>1912</v>
      </c>
      <c r="H7" s="550">
        <v>43115</v>
      </c>
      <c r="I7" s="550">
        <v>43296</v>
      </c>
      <c r="J7" s="550">
        <v>43661</v>
      </c>
      <c r="K7" s="588">
        <v>0.75</v>
      </c>
      <c r="L7" s="351" t="s">
        <v>1440</v>
      </c>
      <c r="M7" s="585">
        <v>2</v>
      </c>
      <c r="N7" s="351" t="s">
        <v>1441</v>
      </c>
      <c r="O7" s="551" t="s">
        <v>1849</v>
      </c>
      <c r="P7" s="551">
        <v>98.203125</v>
      </c>
      <c r="Q7" s="551">
        <v>98.1796875</v>
      </c>
      <c r="R7" s="552">
        <v>98.203125</v>
      </c>
      <c r="S7" s="553">
        <v>2.1791955999999999</v>
      </c>
      <c r="T7" s="551">
        <v>2.1605591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1864</v>
      </c>
      <c r="C8" s="581" t="s">
        <v>2496</v>
      </c>
      <c r="E8" s="535" t="s">
        <v>1909</v>
      </c>
      <c r="F8" s="548" t="s">
        <v>1909</v>
      </c>
      <c r="G8" s="549" t="s">
        <v>1910</v>
      </c>
      <c r="H8" s="550">
        <v>43100</v>
      </c>
      <c r="I8" s="550">
        <v>43281</v>
      </c>
      <c r="J8" s="550">
        <v>44377</v>
      </c>
      <c r="K8" s="588">
        <v>1.125</v>
      </c>
      <c r="L8" s="351" t="s">
        <v>1440</v>
      </c>
      <c r="M8" s="585">
        <v>2</v>
      </c>
      <c r="N8" s="351" t="s">
        <v>1441</v>
      </c>
      <c r="O8" s="551" t="s">
        <v>1849</v>
      </c>
      <c r="P8" s="551">
        <v>95.921875</v>
      </c>
      <c r="Q8" s="551">
        <v>95.8984375</v>
      </c>
      <c r="R8" s="552">
        <v>95.921875</v>
      </c>
      <c r="S8" s="553">
        <v>2.4424937</v>
      </c>
      <c r="T8" s="551">
        <v>2.4347789999999998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1865</v>
      </c>
      <c r="C9" s="581" t="s">
        <v>2497</v>
      </c>
      <c r="D9" s="579" t="s">
        <v>1841</v>
      </c>
      <c r="E9" s="535" t="s">
        <v>1907</v>
      </c>
      <c r="F9" s="548" t="s">
        <v>1907</v>
      </c>
      <c r="G9" s="549" t="s">
        <v>1908</v>
      </c>
      <c r="H9" s="550">
        <v>43100</v>
      </c>
      <c r="I9" s="550">
        <v>43281</v>
      </c>
      <c r="J9" s="550">
        <v>45107</v>
      </c>
      <c r="K9" s="588">
        <v>1.375</v>
      </c>
      <c r="L9" s="351" t="s">
        <v>1440</v>
      </c>
      <c r="M9" s="585">
        <v>2</v>
      </c>
      <c r="N9" s="351" t="s">
        <v>1441</v>
      </c>
      <c r="O9" s="551" t="s">
        <v>1849</v>
      </c>
      <c r="P9" s="551">
        <v>94.0234375</v>
      </c>
      <c r="Q9" s="551">
        <v>94</v>
      </c>
      <c r="R9" s="552">
        <v>94.0234375</v>
      </c>
      <c r="S9" s="553">
        <v>2.6034126999999998</v>
      </c>
      <c r="T9" s="551">
        <v>2.5984446000000001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1866</v>
      </c>
      <c r="C10" s="581" t="s">
        <v>2498</v>
      </c>
      <c r="E10" s="535" t="s">
        <v>1905</v>
      </c>
      <c r="F10" s="548" t="s">
        <v>1905</v>
      </c>
      <c r="G10" s="549" t="s">
        <v>1906</v>
      </c>
      <c r="H10" s="550">
        <v>43054</v>
      </c>
      <c r="I10" s="550">
        <v>43235</v>
      </c>
      <c r="J10" s="550">
        <v>46157</v>
      </c>
      <c r="K10" s="588">
        <v>1.625</v>
      </c>
      <c r="L10" s="351" t="s">
        <v>1440</v>
      </c>
      <c r="M10" s="585">
        <v>2</v>
      </c>
      <c r="N10" s="351" t="s">
        <v>1441</v>
      </c>
      <c r="O10" s="551" t="s">
        <v>1849</v>
      </c>
      <c r="P10" s="551">
        <v>91.796875</v>
      </c>
      <c r="Q10" s="551">
        <v>91.78125</v>
      </c>
      <c r="R10" s="552">
        <v>91.796875</v>
      </c>
      <c r="S10" s="553">
        <v>2.7603947</v>
      </c>
      <c r="T10" s="551">
        <v>2.7581305999999999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1867</v>
      </c>
      <c r="C11" s="582" t="s">
        <v>2499</v>
      </c>
      <c r="E11" s="388" t="s">
        <v>1903</v>
      </c>
      <c r="F11" s="555" t="s">
        <v>1903</v>
      </c>
      <c r="G11" s="556" t="s">
        <v>1904</v>
      </c>
      <c r="H11" s="557">
        <v>43054</v>
      </c>
      <c r="I11" s="557">
        <v>43235</v>
      </c>
      <c r="J11" s="557">
        <v>53462</v>
      </c>
      <c r="K11" s="589">
        <v>2.5</v>
      </c>
      <c r="L11" s="558" t="s">
        <v>1440</v>
      </c>
      <c r="M11" s="586">
        <v>2</v>
      </c>
      <c r="N11" s="558" t="s">
        <v>1441</v>
      </c>
      <c r="O11" s="559" t="s">
        <v>1849</v>
      </c>
      <c r="P11" s="559">
        <v>89.875</v>
      </c>
      <c r="Q11" s="559">
        <v>89.84375</v>
      </c>
      <c r="R11" s="560">
        <v>89.875</v>
      </c>
      <c r="S11" s="561">
        <v>3.0396185999999998</v>
      </c>
      <c r="T11" s="559">
        <v>3.0378417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1850</v>
      </c>
      <c r="E14" s="571" t="s">
        <v>1844</v>
      </c>
      <c r="F14" s="630" t="str">
        <f>IF(ISBLANK(AssetSwap.ISIN1),"",AssetSwap.ISIN1)</f>
        <v>US912828R937 Govt</v>
      </c>
      <c r="G14" s="630" t="str">
        <f>IF(ISBLANK(AssetSwap.ISIN2),"",AssetSwap.ISIN2)</f>
        <v>US912828S430 Govt</v>
      </c>
      <c r="H14" s="630" t="str">
        <f>IF(ISBLANK(AssetSwap.ISIN3),"",AssetSwap.ISIN3)</f>
        <v>US912828S273 Govt</v>
      </c>
      <c r="I14" s="630" t="str">
        <f>IF(ISBLANK(AssetSwap.ISIN4),"",AssetSwap.ISIN4)</f>
        <v>US912828S356 Govt</v>
      </c>
      <c r="J14" s="630" t="str">
        <f>IF(ISBLANK(AssetSwap.ISIN5),"",AssetSwap.ISIN5)</f>
        <v>US912828R366 Govt</v>
      </c>
      <c r="K14" s="630" t="str">
        <f>IF(ISBLANK(AssetSwap.ISIN6),"",AssetSwap.ISIN6)</f>
        <v>US912810RS96 Govt</v>
      </c>
    </row>
    <row r="15" spans="2:34">
      <c r="B15" s="575" t="s">
        <v>1838</v>
      </c>
      <c r="C15" s="576" t="s">
        <v>1839</v>
      </c>
      <c r="E15" s="567" t="s">
        <v>1845</v>
      </c>
      <c r="F15" s="631">
        <f>IF(ISBLANK(AssetSwap.ISIN1),"",AVERAGE($Q6:$R6))</f>
        <v>99.703125</v>
      </c>
      <c r="G15" s="631">
        <f>IF(ISBLANK(AssetSwap.ISIN2),"",AVERAGE($Q7:$R7))</f>
        <v>98.19140625</v>
      </c>
      <c r="H15" s="631">
        <f>IF(ISBLANK(AssetSwap.ISIN3),"",AVERAGE($Q8:$R8))</f>
        <v>95.91015625</v>
      </c>
      <c r="I15" s="631">
        <f>IF(ISBLANK(AssetSwap.ISIN4),"",AVERAGE($Q9:$R9))</f>
        <v>94.01171875</v>
      </c>
      <c r="J15" s="631">
        <f>IF(ISBLANK(AssetSwap.ISIN5),"",AVERAGE($Q10:$R10))</f>
        <v>91.7890625</v>
      </c>
      <c r="K15" s="631">
        <f>IF(ISBLANK(AssetSwap.ISIN6),"",AVERAGE($Q11:$R11))</f>
        <v>89.859375</v>
      </c>
      <c r="L15" t="s">
        <v>12</v>
      </c>
    </row>
    <row r="16" spans="2:34">
      <c r="B16" s="643"/>
      <c r="C16" s="644"/>
      <c r="E16" s="645" t="s">
        <v>1934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1821</v>
      </c>
      <c r="C17" s="539" t="s">
        <v>1471</v>
      </c>
      <c r="E17" s="577" t="s">
        <v>1854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1939</v>
      </c>
      <c r="C18" s="539" t="s">
        <v>1938</v>
      </c>
      <c r="E18" s="641" t="s">
        <v>1856</v>
      </c>
      <c r="F18" s="642" t="str">
        <f ca="1">IF(F15="","",_xll.meProductAssetSwapSpread(IF(ISBLANK($F$17),$F$15,$F$17),_xll.meUtilityLVBFromKeysValues($E$26:$E$57,F$26:F$57),FALSE))</f>
        <v>[2018/05/04 09:52] #Error: Invalid Curve: CurveCollection 'USDYC' does not exist</v>
      </c>
      <c r="G18" s="642" t="str">
        <f ca="1">IF(G15="","",_xll.meProductAssetSwapSpread(IF(ISBLANK($G$17),$G$15,$G$17),_xll.meUtilityLVBFromKeysValues($E$26:$E$57,G$26:G$57),FALSE))</f>
        <v>[2018/05/04 09:52] #Error: Invalid Curve: CurveCollection 'USDYC' does not exist</v>
      </c>
      <c r="H18" s="642" t="str">
        <f ca="1">IF(H15="","",_xll.meProductAssetSwapSpread(IF(ISBLANK($H$17),$H$15,$H$17),_xll.meUtilityLVBFromKeysValues($E$26:$E$57,H$26:H$57),FALSE))</f>
        <v>[2018/05/04 09:52] #Error: Invalid Curve: CurveCollection 'USDYC' does not exist</v>
      </c>
      <c r="I18" s="642" t="str">
        <f ca="1">IF(I15="","",_xll.meProductAssetSwapSpread(IF(ISBLANK($I$17),$I$15,$I$17),_xll.meUtilityLVBFromKeysValues($E$26:$E$57,I$26:I$57),FALSE))</f>
        <v>[2018/05/04 09:52] #Error: Invalid Curve: CurveCollection 'USDYC' does not exist</v>
      </c>
      <c r="J18" s="642" t="str">
        <f ca="1">IF(J15="","",_xll.meProductAssetSwapSpread(IF(ISBLANK($J$17),$J$15,$J$17),_xll.meUtilityLVBFromKeysValues($E$26:$E$57,J$26:J$57),FALSE))</f>
        <v>[2018/05/04 09:52] #Error: Invalid Curve: CurveCollection 'USDYC' does not exist</v>
      </c>
      <c r="K18" s="642" t="str">
        <f ca="1">IF(K15="","",_xll.meProductAssetSwapSpread(IF(ISBLANK($K$17),$K$15,$K$17),_xll.meUtilityLVBFromKeysValues($E$26:$E$57,K$26:K$57),FALSE))</f>
        <v>[2018/05/04 09:52] #Error: Invalid Curve: CurveCollection 'USDYC' does not exist</v>
      </c>
      <c r="L18" s="647" t="s">
        <v>1935</v>
      </c>
    </row>
    <row r="19" spans="2:12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1.7831648894565122E-2</v>
      </c>
      <c r="G19" s="634">
        <f>IF(ISBLANK(AssetSwap.ISIN2),"",AVERAGE($S7:$T7)/100)</f>
        <v>2.1698773500000001E-2</v>
      </c>
      <c r="H19" s="634">
        <f>IF(ISBLANK(AssetSwap.ISIN3),"",AVERAGE($S8:$T8)/100)</f>
        <v>2.4386363499999997E-2</v>
      </c>
      <c r="I19" s="634">
        <f>IF(ISBLANK(AssetSwap.ISIN4),"",AVERAGE($S9:$T9)/100)</f>
        <v>2.6009286500000003E-2</v>
      </c>
      <c r="J19" s="634">
        <f>IF(ISBLANK(AssetSwap.ISIN5),"",AVERAGE($S10:$T10)/100)</f>
        <v>2.7592626500000002E-2</v>
      </c>
      <c r="K19" s="634">
        <f>IF(ISBLANK(AssetSwap.ISIN6),"",AVERAGE($S11:$T11)/100)</f>
        <v>3.0387301500000002E-2</v>
      </c>
      <c r="L19" t="s">
        <v>12</v>
      </c>
    </row>
    <row r="20" spans="2:12">
      <c r="B20" s="573" t="s">
        <v>1769</v>
      </c>
      <c r="C20" s="539" t="s">
        <v>1472</v>
      </c>
      <c r="E20" s="577" t="s">
        <v>1855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1843</v>
      </c>
      <c r="F21" s="636" t="str">
        <f ca="1">IF(ISBLANK(AssetSwap.ISIN1),"",_xll.meProductSwapParRate(_xll.meUtilityLVBFromKeysValues($E$26:$E$57,$F$26:$F$57),FALSE))</f>
        <v>[2018/05/04 09:52] #Error: Invalid Curve: CurveCollection 'USDYC' does not exist</v>
      </c>
      <c r="G21" s="636" t="str">
        <f ca="1">IF(ISBLANK(AssetSwap.ISIN2),"",_xll.meProductSwapParRate(_xll.meUtilityLVBFromKeysValues($E$26:$E$57,$G$26:$G$57),FALSE))</f>
        <v>[2018/05/04 09:52] #Error: Invalid Curve: CurveCollection 'USDYC' does not exist</v>
      </c>
      <c r="H21" s="636" t="str">
        <f ca="1">IF(ISBLANK(AssetSwap.ISIN3),"",_xll.meProductSwapParRate(_xll.meUtilityLVBFromKeysValues($E$26:$E$57,$H$26:$H$57),FALSE))</f>
        <v>[2018/05/04 09:52] #Error: Invalid Curve: CurveCollection 'USDYC' does not exist</v>
      </c>
      <c r="I21" s="636" t="str">
        <f ca="1">IF(ISBLANK(AssetSwap.ISIN4),"",_xll.meProductSwapParRate(_xll.meUtilityLVBFromKeysValues($E$26:$E$57,$I$26:$I$57),FALSE))</f>
        <v>[2018/05/04 09:52] #Error: Invalid Curve: CurveCollection 'USDYC' does not exist</v>
      </c>
      <c r="J21" s="636" t="str">
        <f ca="1">IF(ISBLANK(AssetSwap.ISIN5),"",_xll.meProductSwapParRate(_xll.meUtilityLVBFromKeysValues($E$26:$E$57,$J$26:$J$57),FALSE))</f>
        <v>[2018/05/04 09:52] #Error: Invalid Curve: CurveCollection 'USDYC' does not exist</v>
      </c>
      <c r="K21" s="636" t="str">
        <f ca="1">IF(ISBLANK(AssetSwap.ISIN6),"",_xll.meProductSwapParRate(_xll.meUtilityLVBFromKeysValues($E$26:$E$57,$K$26:$K$57),FALSE))</f>
        <v>[2018/05/04 09:52] #Error: Invalid Curve: CurveCollection 'USDYC' does not exist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1857</v>
      </c>
      <c r="F22" s="642" t="e">
        <f ca="1">IF(F$19="","",(IF(ISBLANK(F$20),F$19,F$20)-F$21)*10000)</f>
        <v>#VALUE!</v>
      </c>
      <c r="G22" s="642" t="e">
        <f ca="1">IF(G$19="","",(IF(ISBLANK(G$20),G$19,G$20)-G$21)*10000)</f>
        <v>#VALUE!</v>
      </c>
      <c r="H22" s="642" t="e">
        <f t="shared" ref="H22:K22" ca="1" si="0">IF(H$19="","",(IF(ISBLANK(H$20),H$19,H$20)-H$21)*10000)</f>
        <v>#VALUE!</v>
      </c>
      <c r="I22" s="642" t="e">
        <f t="shared" ca="1" si="0"/>
        <v>#VALUE!</v>
      </c>
      <c r="J22" s="642" t="e">
        <f t="shared" ca="1" si="0"/>
        <v>#VALUE!</v>
      </c>
      <c r="K22" s="642" t="e">
        <f t="shared" ca="1" si="0"/>
        <v>#VALUE!</v>
      </c>
      <c r="L22" s="647" t="s">
        <v>1859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1847</v>
      </c>
      <c r="C25" s="539" t="s">
        <v>1848</v>
      </c>
      <c r="E25" s="571" t="s">
        <v>1869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1831</v>
      </c>
      <c r="C27" s="539" t="s">
        <v>1835</v>
      </c>
      <c r="E27" s="527" t="s">
        <v>1803</v>
      </c>
      <c r="F27" s="629" t="s">
        <v>1822</v>
      </c>
      <c r="G27" s="629" t="s">
        <v>1822</v>
      </c>
      <c r="H27" s="629" t="s">
        <v>1822</v>
      </c>
      <c r="I27" s="629" t="s">
        <v>1822</v>
      </c>
      <c r="J27" s="629" t="s">
        <v>1822</v>
      </c>
      <c r="K27" s="629" t="s">
        <v>1822</v>
      </c>
      <c r="L27" t="s">
        <v>12</v>
      </c>
    </row>
    <row r="28" spans="2:12">
      <c r="B28" s="573" t="s">
        <v>1832</v>
      </c>
      <c r="C28" s="539" t="s">
        <v>1836</v>
      </c>
      <c r="D28" s="563"/>
      <c r="E28" s="527" t="s">
        <v>1823</v>
      </c>
      <c r="F28" s="621">
        <f>$H$6</f>
        <v>43100</v>
      </c>
      <c r="G28" s="621">
        <f>$H$7</f>
        <v>43115</v>
      </c>
      <c r="H28" s="621">
        <f>$H$8</f>
        <v>43100</v>
      </c>
      <c r="I28" s="621">
        <f>$H$9</f>
        <v>43100</v>
      </c>
      <c r="J28" s="621">
        <f>$H$10</f>
        <v>43054</v>
      </c>
      <c r="K28" s="621">
        <f>$H$11</f>
        <v>43054</v>
      </c>
      <c r="L28" t="s">
        <v>12</v>
      </c>
    </row>
    <row r="29" spans="2:12">
      <c r="B29" s="573" t="s">
        <v>1833</v>
      </c>
      <c r="C29" s="539" t="s">
        <v>2362</v>
      </c>
      <c r="D29" s="564" t="s">
        <v>361</v>
      </c>
      <c r="E29" s="527" t="s">
        <v>1768</v>
      </c>
      <c r="F29" s="621">
        <f ca="1">_xll.meDateFromTenor(COB,$D$29,F38,F39)</f>
        <v>43228</v>
      </c>
      <c r="G29" s="621">
        <f ca="1">_xll.meDateFromTenor(COB,$D$29,G38,G39)</f>
        <v>43228</v>
      </c>
      <c r="H29" s="621">
        <f ca="1">_xll.meDateFromTenor(COB,$D$29,H38,H39)</f>
        <v>43228</v>
      </c>
      <c r="I29" s="621">
        <f ca="1">_xll.meDateFromTenor(COB,$D$29,I38,I39)</f>
        <v>43228</v>
      </c>
      <c r="J29" s="621">
        <f ca="1">_xll.meDateFromTenor(COB,$D$29,J38,J39)</f>
        <v>43228</v>
      </c>
      <c r="K29" s="621">
        <f ca="1">_xll.meDateFromTenor(COB,$D$29,K38,K39)</f>
        <v>43228</v>
      </c>
      <c r="L29" t="s">
        <v>12</v>
      </c>
    </row>
    <row r="30" spans="2:12">
      <c r="B30" s="573" t="s">
        <v>1834</v>
      </c>
      <c r="C30" s="539" t="s">
        <v>2363</v>
      </c>
      <c r="D30" s="565"/>
      <c r="E30" s="527" t="s">
        <v>1769</v>
      </c>
      <c r="F30" s="621">
        <f>$J6</f>
        <v>43281</v>
      </c>
      <c r="G30" s="621">
        <f>$J7</f>
        <v>43661</v>
      </c>
      <c r="H30" s="621">
        <f>$J8</f>
        <v>44377</v>
      </c>
      <c r="I30" s="621">
        <f>$J9</f>
        <v>45107</v>
      </c>
      <c r="J30" s="621">
        <f>$J10</f>
        <v>46157</v>
      </c>
      <c r="K30" s="621">
        <f>$J11</f>
        <v>53462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1770</v>
      </c>
      <c r="F31" s="528" t="s">
        <v>1044</v>
      </c>
      <c r="G31" s="528" t="s">
        <v>1044</v>
      </c>
      <c r="H31" s="528" t="s">
        <v>1044</v>
      </c>
      <c r="I31" s="528" t="s">
        <v>1044</v>
      </c>
      <c r="J31" s="528" t="s">
        <v>1044</v>
      </c>
      <c r="K31" s="528" t="s">
        <v>1044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1443</v>
      </c>
      <c r="F32" s="532" t="str">
        <f>LEFT(F31,3)&amp;IF($E$3="Semi-Annual","6ML","3ML")</f>
        <v>USD3ML</v>
      </c>
      <c r="G32" s="532" t="str">
        <f t="shared" ref="G32:K32" si="1">LEFT(G31,3)&amp;IF($E$3="Semi-Annual","6ML","3ML")</f>
        <v>USD3ML</v>
      </c>
      <c r="H32" s="532" t="str">
        <f t="shared" si="1"/>
        <v>USD3ML</v>
      </c>
      <c r="I32" s="532" t="str">
        <f t="shared" si="1"/>
        <v>USD3ML</v>
      </c>
      <c r="J32" s="532" t="str">
        <f t="shared" si="1"/>
        <v>USD3ML</v>
      </c>
      <c r="K32" s="532" t="str">
        <f t="shared" si="1"/>
        <v>USD3ML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1444</v>
      </c>
      <c r="F33" s="532" t="str">
        <f>LEFT(F31,3)&amp;"DF_"&amp;$D$33</f>
        <v>USDDF_NOCSA</v>
      </c>
      <c r="G33" s="532" t="str">
        <f t="shared" ref="G33:K33" si="2">LEFT(G31,3)&amp;"DF_"&amp;$D$33</f>
        <v>USDDF_NOCSA</v>
      </c>
      <c r="H33" s="532" t="str">
        <f t="shared" si="2"/>
        <v>USDDF_NOCSA</v>
      </c>
      <c r="I33" s="532" t="str">
        <f t="shared" si="2"/>
        <v>USDDF_NOCSA</v>
      </c>
      <c r="J33" s="532" t="str">
        <f t="shared" si="2"/>
        <v>USDDF_NOCSA</v>
      </c>
      <c r="K33" s="532" t="str">
        <f t="shared" si="2"/>
        <v>USDDF_NOCSA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1824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1771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1772</v>
      </c>
      <c r="F36" s="624">
        <f>$K6/100</f>
        <v>6.2500000000000003E-3</v>
      </c>
      <c r="G36" s="624">
        <f>$K7/100</f>
        <v>7.4999999999999997E-3</v>
      </c>
      <c r="H36" s="624">
        <f>$K8/100</f>
        <v>1.125E-2</v>
      </c>
      <c r="I36" s="624">
        <f>$K9/100</f>
        <v>1.375E-2</v>
      </c>
      <c r="J36" s="624">
        <f>$K10/100</f>
        <v>1.6250000000000001E-2</v>
      </c>
      <c r="K36" s="624">
        <f>$K11/100</f>
        <v>2.5000000000000001E-2</v>
      </c>
      <c r="L36" t="s">
        <v>12</v>
      </c>
    </row>
    <row r="37" spans="2:12">
      <c r="B37" s="573" t="e">
        <f>NA()</f>
        <v>#N/A</v>
      </c>
      <c r="C37" s="539"/>
      <c r="E37" s="527" t="s">
        <v>1825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1826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1827</v>
      </c>
      <c r="F39" s="625" t="s">
        <v>0</v>
      </c>
      <c r="G39" s="625" t="s">
        <v>0</v>
      </c>
      <c r="H39" s="625" t="s">
        <v>0</v>
      </c>
      <c r="I39" s="625" t="s">
        <v>0</v>
      </c>
      <c r="J39" s="625" t="s">
        <v>0</v>
      </c>
      <c r="K39" s="625" t="s">
        <v>0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1778</v>
      </c>
      <c r="F40" s="626">
        <f>$I6</f>
        <v>43281</v>
      </c>
      <c r="G40" s="626">
        <f>$I7</f>
        <v>43296</v>
      </c>
      <c r="H40" s="626">
        <f>$I8</f>
        <v>43281</v>
      </c>
      <c r="I40" s="626">
        <f>$I9</f>
        <v>43281</v>
      </c>
      <c r="J40" s="626">
        <f>$I10</f>
        <v>43235</v>
      </c>
      <c r="K40" s="626">
        <f>$I11</f>
        <v>43235</v>
      </c>
      <c r="L40" t="s">
        <v>12</v>
      </c>
    </row>
    <row r="41" spans="2:12">
      <c r="E41" s="527" t="s">
        <v>1779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1780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1782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1781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1783</v>
      </c>
      <c r="F45" s="619" t="str">
        <f>$E$3</f>
        <v>Quarterly</v>
      </c>
      <c r="G45" s="619" t="str">
        <f t="shared" ref="G45:K45" si="3">$E$3</f>
        <v>Quarterly</v>
      </c>
      <c r="H45" s="619" t="str">
        <f t="shared" si="3"/>
        <v>Quarterly</v>
      </c>
      <c r="I45" s="619" t="str">
        <f t="shared" si="3"/>
        <v>Quarterly</v>
      </c>
      <c r="J45" s="619" t="str">
        <f t="shared" si="3"/>
        <v>Quarterly</v>
      </c>
      <c r="K45" s="619" t="str">
        <f t="shared" si="3"/>
        <v>Quarterly</v>
      </c>
      <c r="L45" t="s">
        <v>12</v>
      </c>
    </row>
    <row r="46" spans="2:12">
      <c r="E46" s="600" t="s">
        <v>1784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1828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1829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1830</v>
      </c>
      <c r="F49" s="625" t="s">
        <v>0</v>
      </c>
      <c r="G49" s="625" t="s">
        <v>0</v>
      </c>
      <c r="H49" s="625" t="s">
        <v>0</v>
      </c>
      <c r="I49" s="625" t="s">
        <v>0</v>
      </c>
      <c r="J49" s="625" t="s">
        <v>0</v>
      </c>
      <c r="K49" s="625" t="s">
        <v>0</v>
      </c>
      <c r="L49" t="s">
        <v>12</v>
      </c>
    </row>
    <row r="50" spans="5:12">
      <c r="E50" s="527" t="s">
        <v>1792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1793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1794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1799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1795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1798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1796</v>
      </c>
      <c r="F56" s="597" t="str">
        <f ca="1">IF(ISBLANK(AssetSwap.ISIN1),"",_xll.meProductSwapStubRate($F$61:$F$65,$E$61:$E$65,,_xll.meUtilityLVBFromKeysValues($E$26:$E$55,F26:F55),FALSE))</f>
        <v>[2018/05/04 09:52] #Error: Invalid Curve: CurveCollection 'USDYC' does not exist</v>
      </c>
      <c r="G56" s="597" t="str">
        <f ca="1">IF(ISBLANK(AssetSwap.ISIN2),"",_xll.meProductSwapStubRate($F$61:$F$65,$E$61:$E$65,,_xll.meUtilityLVBFromKeysValues($E$26:$E$55,G26:G55),FALSE))</f>
        <v>[2018/05/04 09:52] #Error: Invalid Curve: CurveCollection 'USDYC' does not exist</v>
      </c>
      <c r="H56" s="597" t="str">
        <f ca="1">IF(ISBLANK(AssetSwap.ISIN3),"",_xll.meProductSwapStubRate($F$61:$F$65,$E$61:$E$65,,_xll.meUtilityLVBFromKeysValues($E$26:$E$55,H26:H55),FALSE))</f>
        <v>[2018/05/04 09:52] #Error: Invalid Curve: CurveCollection 'USDYC' does not exist</v>
      </c>
      <c r="I56" s="597" t="str">
        <f ca="1">IF(ISBLANK(AssetSwap.ISIN4),"",_xll.meProductSwapStubRate($F$61:$F$65,$E$61:$E$65,,_xll.meUtilityLVBFromKeysValues($E$26:$E$55,I26:I55),FALSE))</f>
        <v>[2018/05/04 09:52] #Error: Invalid Curve: CurveCollection 'USDYC' does not exist</v>
      </c>
      <c r="J56" s="597" t="str">
        <f ca="1">IF(ISBLANK(AssetSwap.ISIN5),"",_xll.meProductSwapStubRate($F$61:$F$65,$E$61:$E$65,,_xll.meUtilityLVBFromKeysValues($E$26:$E$55,J26:J55),FALSE))</f>
        <v>[2018/05/04 09:52] #Error: Invalid Curve: CurveCollection 'USDYC' does not exist</v>
      </c>
      <c r="K56" s="597" t="str">
        <f ca="1">IF(ISBLANK(AssetSwap.ISIN6),"",_xll.meProductSwapStubRate($F$61:$F$65,$E$61:$E$65,,_xll.meUtilityLVBFromKeysValues($E$26:$E$55,K26:K55),FALSE))</f>
        <v>[2018/05/04 09:52] #Error: Invalid Curve: CurveCollection 'USDYC' does not exist</v>
      </c>
      <c r="L56" t="s">
        <v>12</v>
      </c>
    </row>
    <row r="57" spans="5:12">
      <c r="E57" s="529" t="s">
        <v>1797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1873</v>
      </c>
      <c r="F60" s="592"/>
    </row>
    <row r="61" spans="5:12">
      <c r="E61" s="509" t="s">
        <v>1434</v>
      </c>
      <c r="F61" s="594" t="s">
        <v>1915</v>
      </c>
    </row>
    <row r="62" spans="5:12">
      <c r="E62" s="510" t="s">
        <v>20</v>
      </c>
      <c r="F62" s="595" t="s">
        <v>1916</v>
      </c>
    </row>
    <row r="63" spans="5:12">
      <c r="E63" s="510" t="s">
        <v>51</v>
      </c>
      <c r="F63" s="595" t="s">
        <v>1040</v>
      </c>
    </row>
    <row r="64" spans="5:12">
      <c r="E64" s="510" t="s">
        <v>22</v>
      </c>
      <c r="F64" s="595" t="s">
        <v>1917</v>
      </c>
    </row>
    <row r="65" spans="5:6">
      <c r="E65" s="511" t="s">
        <v>250</v>
      </c>
      <c r="F65" s="596" t="s">
        <v>1918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1851</v>
      </c>
    </row>
    <row r="2" spans="2:34">
      <c r="E2" s="107" t="s">
        <v>1921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1862</v>
      </c>
      <c r="C6" s="580" t="s">
        <v>2500</v>
      </c>
      <c r="D6" s="335"/>
      <c r="E6" s="387" t="s">
        <v>1899</v>
      </c>
      <c r="F6" s="541" t="s">
        <v>1899</v>
      </c>
      <c r="G6" s="542" t="s">
        <v>1900</v>
      </c>
      <c r="H6" s="543">
        <v>43122</v>
      </c>
      <c r="I6" s="543">
        <v>43303</v>
      </c>
      <c r="J6" s="543">
        <v>43303</v>
      </c>
      <c r="K6" s="587">
        <v>1.25</v>
      </c>
      <c r="L6" s="583" t="s">
        <v>1440</v>
      </c>
      <c r="M6" s="584">
        <v>2</v>
      </c>
      <c r="N6" s="583" t="s">
        <v>1441</v>
      </c>
      <c r="O6" s="544" t="s">
        <v>1849</v>
      </c>
      <c r="P6" s="544">
        <v>100.254</v>
      </c>
      <c r="Q6" s="544">
        <v>100.247</v>
      </c>
      <c r="R6" s="545">
        <v>100.26</v>
      </c>
      <c r="S6" s="546">
        <v>0.47045526665241028</v>
      </c>
      <c r="T6" s="544">
        <v>0.42963793900306668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1863</v>
      </c>
      <c r="C7" s="581" t="s">
        <v>2501</v>
      </c>
      <c r="D7" s="335"/>
      <c r="E7" s="535" t="s">
        <v>1897</v>
      </c>
      <c r="F7" s="548" t="s">
        <v>1897</v>
      </c>
      <c r="G7" s="549" t="s">
        <v>1898</v>
      </c>
      <c r="H7" s="550">
        <v>43122</v>
      </c>
      <c r="I7" s="550">
        <v>43303</v>
      </c>
      <c r="J7" s="550">
        <v>43668</v>
      </c>
      <c r="K7" s="588">
        <v>1.75</v>
      </c>
      <c r="L7" s="351" t="s">
        <v>1440</v>
      </c>
      <c r="M7" s="585">
        <v>2</v>
      </c>
      <c r="N7" s="351" t="s">
        <v>1441</v>
      </c>
      <c r="O7" s="551" t="s">
        <v>1849</v>
      </c>
      <c r="P7" s="551">
        <v>101.334</v>
      </c>
      <c r="Q7" s="551">
        <v>101.32599999999999</v>
      </c>
      <c r="R7" s="552">
        <v>101.342</v>
      </c>
      <c r="S7" s="553">
        <v>0.73665683786515379</v>
      </c>
      <c r="T7" s="551">
        <v>0.72454987498295753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1864</v>
      </c>
      <c r="C8" s="581" t="s">
        <v>2502</v>
      </c>
      <c r="E8" s="535" t="s">
        <v>1895</v>
      </c>
      <c r="F8" s="548" t="s">
        <v>1895</v>
      </c>
      <c r="G8" s="549" t="s">
        <v>1896</v>
      </c>
      <c r="H8" s="550">
        <v>43122</v>
      </c>
      <c r="I8" s="550">
        <v>43303</v>
      </c>
      <c r="J8" s="550">
        <v>44218</v>
      </c>
      <c r="K8" s="588">
        <v>1.5</v>
      </c>
      <c r="L8" s="351" t="s">
        <v>1440</v>
      </c>
      <c r="M8" s="585">
        <v>2</v>
      </c>
      <c r="N8" s="351" t="s">
        <v>1441</v>
      </c>
      <c r="O8" s="551" t="s">
        <v>1849</v>
      </c>
      <c r="P8" s="551">
        <v>101.708</v>
      </c>
      <c r="Q8" s="551">
        <v>101.696</v>
      </c>
      <c r="R8" s="552">
        <v>101.71899999999999</v>
      </c>
      <c r="S8" s="553">
        <v>0.88904021577622783</v>
      </c>
      <c r="T8" s="551">
        <v>0.88084150956382679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1865</v>
      </c>
      <c r="C9" s="581" t="s">
        <v>2503</v>
      </c>
      <c r="D9" s="579" t="s">
        <v>1841</v>
      </c>
      <c r="E9" s="535" t="s">
        <v>1893</v>
      </c>
      <c r="F9" s="548" t="s">
        <v>1893</v>
      </c>
      <c r="G9" s="549" t="s">
        <v>1894</v>
      </c>
      <c r="H9" s="550">
        <v>43166</v>
      </c>
      <c r="I9" s="550">
        <v>43350</v>
      </c>
      <c r="J9" s="550">
        <v>45176</v>
      </c>
      <c r="K9" s="588">
        <v>2.25</v>
      </c>
      <c r="L9" s="351" t="s">
        <v>1440</v>
      </c>
      <c r="M9" s="585">
        <v>2</v>
      </c>
      <c r="N9" s="351" t="s">
        <v>1441</v>
      </c>
      <c r="O9" s="551" t="s">
        <v>1849</v>
      </c>
      <c r="P9" s="551">
        <v>106.057</v>
      </c>
      <c r="Q9" s="551">
        <v>106.04300000000001</v>
      </c>
      <c r="R9" s="552">
        <v>106.07</v>
      </c>
      <c r="S9" s="553">
        <v>1.1024362324344341</v>
      </c>
      <c r="T9" s="551">
        <v>1.0974768193119988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1866</v>
      </c>
      <c r="C10" s="581" t="s">
        <v>2504</v>
      </c>
      <c r="E10" s="535" t="s">
        <v>1890</v>
      </c>
      <c r="F10" s="548" t="s">
        <v>1890</v>
      </c>
      <c r="G10" s="549" t="s">
        <v>1891</v>
      </c>
      <c r="H10" s="550">
        <v>43166</v>
      </c>
      <c r="I10" s="550">
        <v>43350</v>
      </c>
      <c r="J10" s="550">
        <v>45907</v>
      </c>
      <c r="K10" s="588">
        <v>2</v>
      </c>
      <c r="L10" s="351" t="s">
        <v>1440</v>
      </c>
      <c r="M10" s="585">
        <v>2</v>
      </c>
      <c r="N10" s="351" t="s">
        <v>1441</v>
      </c>
      <c r="O10" s="551" t="s">
        <v>1849</v>
      </c>
      <c r="P10" s="551">
        <v>105.608</v>
      </c>
      <c r="Q10" s="551">
        <v>105.593</v>
      </c>
      <c r="R10" s="552">
        <v>105.622</v>
      </c>
      <c r="S10" s="553">
        <v>1.2115663765330043</v>
      </c>
      <c r="T10" s="551">
        <v>1.2076009631785898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1867</v>
      </c>
      <c r="C11" s="582" t="s">
        <v>2505</v>
      </c>
      <c r="E11" s="388" t="s">
        <v>1889</v>
      </c>
      <c r="F11" s="555" t="s">
        <v>1889</v>
      </c>
      <c r="G11" s="556" t="s">
        <v>1892</v>
      </c>
      <c r="H11" s="557">
        <v>43122</v>
      </c>
      <c r="I11" s="557">
        <v>43303</v>
      </c>
      <c r="J11" s="557">
        <v>52984</v>
      </c>
      <c r="K11" s="589">
        <v>3.5</v>
      </c>
      <c r="L11" s="558" t="s">
        <v>1440</v>
      </c>
      <c r="M11" s="586">
        <v>2</v>
      </c>
      <c r="N11" s="558" t="s">
        <v>1441</v>
      </c>
      <c r="O11" s="559" t="s">
        <v>1849</v>
      </c>
      <c r="P11" s="559">
        <v>137.45599999999999</v>
      </c>
      <c r="Q11" s="559">
        <v>137.41499999999999</v>
      </c>
      <c r="R11" s="560">
        <v>137.49600000000001</v>
      </c>
      <c r="S11" s="561">
        <v>1.7466179742759242</v>
      </c>
      <c r="T11" s="559">
        <v>1.7435063890041762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1850</v>
      </c>
      <c r="E14" s="571" t="s">
        <v>1844</v>
      </c>
      <c r="F14" s="630" t="str">
        <f>IF(ISBLANK(AssetSwap.ISIN1),"",AssetSwap.ISIN1)</f>
        <v>GB00B8KP6M44 Govt</v>
      </c>
      <c r="G14" s="630" t="str">
        <f>IF(ISBLANK(AssetSwap.ISIN2),"",AssetSwap.ISIN2)</f>
        <v>GB00BDV0F150 Govt</v>
      </c>
      <c r="H14" s="630" t="str">
        <f>IF(ISBLANK(AssetSwap.ISIN3),"",AssetSwap.ISIN3)</f>
        <v>GB00BYY5F581 Govt</v>
      </c>
      <c r="I14" s="630" t="str">
        <f>IF(ISBLANK(AssetSwap.ISIN4),"",AssetSwap.ISIN4)</f>
        <v>GB00B7Z53659 Govt</v>
      </c>
      <c r="J14" s="630" t="str">
        <f>IF(ISBLANK(AssetSwap.ISIN5),"",AssetSwap.ISIN5)</f>
        <v>GB00BTHH2R79 Govt</v>
      </c>
      <c r="K14" s="630" t="str">
        <f>IF(ISBLANK(AssetSwap.ISIN6),"",AssetSwap.ISIN6)</f>
        <v>GB00BN65R313 Govt</v>
      </c>
    </row>
    <row r="15" spans="2:34">
      <c r="B15" s="575" t="s">
        <v>1838</v>
      </c>
      <c r="C15" s="576" t="s">
        <v>1839</v>
      </c>
      <c r="E15" s="567" t="s">
        <v>1845</v>
      </c>
      <c r="F15" s="631">
        <f>IF(ISBLANK(AssetSwap.ISIN1),"",AVERAGE($Q6:$R6))</f>
        <v>100.2535</v>
      </c>
      <c r="G15" s="631">
        <f>IF(ISBLANK(AssetSwap.ISIN2),"",AVERAGE($Q7:$R7))</f>
        <v>101.334</v>
      </c>
      <c r="H15" s="631">
        <f>IF(ISBLANK(AssetSwap.ISIN3),"",AVERAGE($Q8:$R8))</f>
        <v>101.7075</v>
      </c>
      <c r="I15" s="631">
        <f>IF(ISBLANK(AssetSwap.ISIN4),"",AVERAGE($Q9:$R9))</f>
        <v>106.0565</v>
      </c>
      <c r="J15" s="631">
        <f>IF(ISBLANK(AssetSwap.ISIN5),"",AVERAGE($Q10:$R10))</f>
        <v>105.6075</v>
      </c>
      <c r="K15" s="631">
        <f>IF(ISBLANK(AssetSwap.ISIN6),"",AVERAGE($Q11:$R11))</f>
        <v>137.4555</v>
      </c>
      <c r="L15" t="s">
        <v>12</v>
      </c>
    </row>
    <row r="16" spans="2:34">
      <c r="B16" s="643"/>
      <c r="C16" s="644"/>
      <c r="E16" s="645" t="s">
        <v>1934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</row>
    <row r="17" spans="2:12">
      <c r="B17" s="573" t="s">
        <v>1821</v>
      </c>
      <c r="C17" s="539" t="s">
        <v>1471</v>
      </c>
      <c r="E17" s="577" t="s">
        <v>1854</v>
      </c>
      <c r="F17" s="632"/>
      <c r="G17" s="632"/>
      <c r="H17" s="632"/>
      <c r="I17" s="632"/>
      <c r="J17" s="632"/>
      <c r="K17" s="632"/>
      <c r="L17" t="s">
        <v>12</v>
      </c>
    </row>
    <row r="18" spans="2:12">
      <c r="B18" s="573" t="s">
        <v>1939</v>
      </c>
      <c r="C18" s="539" t="s">
        <v>1938</v>
      </c>
      <c r="E18" s="641" t="s">
        <v>1856</v>
      </c>
      <c r="F18" s="642" t="str">
        <f ca="1">IF(F15="","",_xll.meProductAssetSwapSpread(IF(ISBLANK($F$17),$F$15,$F$17),_xll.meUtilityLVBFromKeysValues($E$26:$E$57,F$26:F$57),FALSE))</f>
        <v>[2018/05/04 09:52] #Error: Invalid Curve: CurveIndex 'GBP6ML' in collection GBPYC does not exist</v>
      </c>
      <c r="G18" s="642" t="str">
        <f ca="1">IF(G15="","",_xll.meProductAssetSwapSpread(IF(ISBLANK($G$17),$G$15,$G$17),_xll.meUtilityLVBFromKeysValues($E$26:$E$57,G$26:G$57),FALSE))</f>
        <v>[2018/05/04 09:52] #Error: Invalid Curve: CurveIndex 'GBP6ML' in collection GBPYC does not exist</v>
      </c>
      <c r="H18" s="642" t="str">
        <f ca="1">IF(H15="","",_xll.meProductAssetSwapSpread(IF(ISBLANK($H$17),$H$15,$H$17),_xll.meUtilityLVBFromKeysValues($E$26:$E$57,H$26:H$57),FALSE))</f>
        <v>[2018/05/04 09:52] #Error: Invalid Curve: CurveIndex 'GBP6ML' in collection GBPYC does not exist</v>
      </c>
      <c r="I18" s="642" t="str">
        <f ca="1">IF(I15="","",_xll.meProductAssetSwapSpread(IF(ISBLANK($I$17),$I$15,$I$17),_xll.meUtilityLVBFromKeysValues($E$26:$E$57,I$26:I$57),FALSE))</f>
        <v>[2018/05/04 09:52] #Error: Invalid Curve: CurveIndex 'GBP6ML' in collection GBPYC does not exist</v>
      </c>
      <c r="J18" s="642">
        <f ca="1">IF(J15="","",_xll.meProductAssetSwapSpread(IF(ISBLANK($J$17),$J$15,$J$17),_xll.meUtilityLVBFromKeysValues($E$26:$E$57,J$26:J$57),FALSE))</f>
        <v>-22.233977731426695</v>
      </c>
      <c r="K18" s="642">
        <f ca="1">IF(K15="","",_xll.meProductAssetSwapSpread(IF(ISBLANK($K$17),$K$15,$K$17),_xll.meUtilityLVBFromKeysValues($E$26:$E$57,K$26:K$57),FALSE))</f>
        <v>18.108159068873984</v>
      </c>
      <c r="L18" s="647" t="s">
        <v>1935</v>
      </c>
    </row>
    <row r="19" spans="2:12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4.5004660282773846E-3</v>
      </c>
      <c r="G19" s="634">
        <f>IF(ISBLANK(AssetSwap.ISIN2),"",AVERAGE($S7:$T7)/100)</f>
        <v>7.306033564240557E-3</v>
      </c>
      <c r="H19" s="634">
        <f>IF(ISBLANK(AssetSwap.ISIN3),"",AVERAGE($S8:$T8)/100)</f>
        <v>8.8494086267002729E-3</v>
      </c>
      <c r="I19" s="634">
        <f>IF(ISBLANK(AssetSwap.ISIN4),"",AVERAGE($S9:$T9)/100)</f>
        <v>1.0999565258732165E-2</v>
      </c>
      <c r="J19" s="634">
        <f>IF(ISBLANK(AssetSwap.ISIN5),"",AVERAGE($S10:$T10)/100)</f>
        <v>1.2095836698557969E-2</v>
      </c>
      <c r="K19" s="634">
        <f>IF(ISBLANK(AssetSwap.ISIN6),"",AVERAGE($S11:$T11)/100)</f>
        <v>1.7450621816400502E-2</v>
      </c>
      <c r="L19" t="s">
        <v>12</v>
      </c>
    </row>
    <row r="20" spans="2:12">
      <c r="B20" s="573" t="s">
        <v>1769</v>
      </c>
      <c r="C20" s="539" t="s">
        <v>1472</v>
      </c>
      <c r="E20" s="577" t="s">
        <v>1855</v>
      </c>
      <c r="F20" s="635"/>
      <c r="G20" s="635"/>
      <c r="H20" s="635"/>
      <c r="I20" s="635"/>
      <c r="J20" s="635"/>
      <c r="K20" s="635"/>
      <c r="L20" t="s">
        <v>12</v>
      </c>
    </row>
    <row r="21" spans="2:12">
      <c r="B21" s="573" t="s">
        <v>1083</v>
      </c>
      <c r="C21" s="539" t="s">
        <v>1473</v>
      </c>
      <c r="E21" s="570" t="s">
        <v>1843</v>
      </c>
      <c r="F21" s="636" t="str">
        <f ca="1">IF(ISBLANK(AssetSwap.ISIN1),"",_xll.meProductSwapParRate(_xll.meUtilityLVBFromKeysValues($E$26:$E$57,$F$26:$F$57),FALSE))</f>
        <v>[2018/05/04 09:52] #Error: Invalid Curve: CurveIndex 'GBP6ML' in collection GBPYC does not exist</v>
      </c>
      <c r="G21" s="636" t="str">
        <f ca="1">IF(ISBLANK(AssetSwap.ISIN2),"",_xll.meProductSwapParRate(_xll.meUtilityLVBFromKeysValues($E$26:$E$57,$G$26:$G$57),FALSE))</f>
        <v>[2018/05/04 09:52] #Error: Invalid Curve: CurveIndex 'GBP6ML' in collection GBPYC does not exist</v>
      </c>
      <c r="H21" s="636" t="str">
        <f ca="1">IF(ISBLANK(AssetSwap.ISIN3),"",_xll.meProductSwapParRate(_xll.meUtilityLVBFromKeysValues($E$26:$E$57,$H$26:$H$57),FALSE))</f>
        <v>[2018/05/04 09:52] #Error: Invalid Curve: CurveIndex 'GBP6ML' in collection GBPYC does not exist</v>
      </c>
      <c r="I21" s="636" t="str">
        <f ca="1">IF(ISBLANK(AssetSwap.ISIN4),"",_xll.meProductSwapParRate(_xll.meUtilityLVBFromKeysValues($E$26:$E$57,$I$26:$I$57),FALSE))</f>
        <v>[2018/05/04 09:52] #Error: Invalid Curve: CurveIndex 'GBP6ML' in collection GBPYC does not exist</v>
      </c>
      <c r="J21" s="636" t="str">
        <f ca="1">IF(ISBLANK(AssetSwap.ISIN5),"",_xll.meProductSwapParRate(_xll.meUtilityLVBFromKeysValues($E$26:$E$57,$J$26:$J$57),FALSE))</f>
        <v>[2018/05/04 09:52] #Error: Invalid Curve: CurveIndex 'GBP6ML' in collection GBPYC does not exist</v>
      </c>
      <c r="K21" s="636" t="str">
        <f ca="1">IF(ISBLANK(AssetSwap.ISIN6),"",_xll.meProductSwapParRate(_xll.meUtilityLVBFromKeysValues($E$26:$E$57,$K$26:$K$57),FALSE))</f>
        <v>[2018/05/04 09:52] #Error: Invalid Curve: CurveIndex 'GBP6ML' in collection GBPYC does not exist</v>
      </c>
      <c r="L21" t="s">
        <v>12</v>
      </c>
    </row>
    <row r="22" spans="2:12">
      <c r="B22" s="573" t="s">
        <v>120</v>
      </c>
      <c r="C22" s="539" t="s">
        <v>1474</v>
      </c>
      <c r="E22" s="641" t="s">
        <v>1857</v>
      </c>
      <c r="F22" s="642" t="e">
        <f ca="1">IF(F$19="","",(IF(ISBLANK(F$20),F$19,F$20)-F$21)*10000)</f>
        <v>#VALUE!</v>
      </c>
      <c r="G22" s="642" t="e">
        <f ca="1">IF(G$19="","",(IF(ISBLANK(G$20),G$19,G$20)-G$21)*10000)</f>
        <v>#VALUE!</v>
      </c>
      <c r="H22" s="642" t="e">
        <f t="shared" ref="H22:K22" ca="1" si="0">IF(H$19="","",(IF(ISBLANK(H$20),H$19,H$20)-H$21)*10000)</f>
        <v>#VALUE!</v>
      </c>
      <c r="I22" s="642" t="e">
        <f t="shared" ca="1" si="0"/>
        <v>#VALUE!</v>
      </c>
      <c r="J22" s="642" t="e">
        <f t="shared" ca="1" si="0"/>
        <v>#VALUE!</v>
      </c>
      <c r="K22" s="642" t="e">
        <f t="shared" ca="1" si="0"/>
        <v>#VALUE!</v>
      </c>
      <c r="L22" s="647" t="s">
        <v>1859</v>
      </c>
    </row>
    <row r="23" spans="2:12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2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2">
      <c r="B25" s="573" t="s">
        <v>1847</v>
      </c>
      <c r="C25" s="539" t="s">
        <v>1848</v>
      </c>
      <c r="E25" s="571" t="s">
        <v>1869</v>
      </c>
      <c r="F25" s="108"/>
      <c r="G25" s="108"/>
      <c r="H25" s="108"/>
      <c r="I25" s="108"/>
      <c r="J25" s="108"/>
      <c r="K25" s="108"/>
      <c r="L25" t="s">
        <v>12</v>
      </c>
    </row>
    <row r="26" spans="2:12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2">
      <c r="B27" s="573" t="s">
        <v>1831</v>
      </c>
      <c r="C27" s="539" t="s">
        <v>1835</v>
      </c>
      <c r="E27" s="527" t="s">
        <v>1803</v>
      </c>
      <c r="F27" s="629" t="s">
        <v>1822</v>
      </c>
      <c r="G27" s="629" t="s">
        <v>1822</v>
      </c>
      <c r="H27" s="629" t="s">
        <v>1822</v>
      </c>
      <c r="I27" s="629" t="s">
        <v>1822</v>
      </c>
      <c r="J27" s="629" t="s">
        <v>1822</v>
      </c>
      <c r="K27" s="629" t="s">
        <v>1822</v>
      </c>
      <c r="L27" t="s">
        <v>12</v>
      </c>
    </row>
    <row r="28" spans="2:12">
      <c r="B28" s="573" t="s">
        <v>1832</v>
      </c>
      <c r="C28" s="539" t="s">
        <v>1836</v>
      </c>
      <c r="D28" s="563"/>
      <c r="E28" s="527" t="s">
        <v>1823</v>
      </c>
      <c r="F28" s="621">
        <f>$H$6</f>
        <v>43122</v>
      </c>
      <c r="G28" s="621">
        <f>$H$7</f>
        <v>43122</v>
      </c>
      <c r="H28" s="621">
        <f>$H$8</f>
        <v>43122</v>
      </c>
      <c r="I28" s="621">
        <f>$H$9</f>
        <v>43166</v>
      </c>
      <c r="J28" s="621">
        <f>$H$10</f>
        <v>43166</v>
      </c>
      <c r="K28" s="621">
        <f>$H$11</f>
        <v>43122</v>
      </c>
      <c r="L28" t="s">
        <v>12</v>
      </c>
    </row>
    <row r="29" spans="2:12">
      <c r="B29" s="573" t="s">
        <v>1833</v>
      </c>
      <c r="C29" s="539" t="s">
        <v>2362</v>
      </c>
      <c r="D29" s="564" t="s">
        <v>356</v>
      </c>
      <c r="E29" s="527" t="s">
        <v>1768</v>
      </c>
      <c r="F29" s="621">
        <f ca="1">_xll.meDateFromTenor(COB,$D$29,F38,F39)</f>
        <v>43224</v>
      </c>
      <c r="G29" s="621">
        <f ca="1">_xll.meDateFromTenor(COB,$D$29,G38,G39)</f>
        <v>43224</v>
      </c>
      <c r="H29" s="621">
        <f ca="1">_xll.meDateFromTenor(COB,$D$29,H38,H39)</f>
        <v>43224</v>
      </c>
      <c r="I29" s="621">
        <f ca="1">_xll.meDateFromTenor(COB,$D$29,I38,I39)</f>
        <v>43224</v>
      </c>
      <c r="J29" s="621">
        <f ca="1">_xll.meDateFromTenor(COB,$D$29,J38,J39)</f>
        <v>43224</v>
      </c>
      <c r="K29" s="621">
        <f ca="1">_xll.meDateFromTenor(COB,$D$29,K38,K39)</f>
        <v>43224</v>
      </c>
      <c r="L29" t="s">
        <v>12</v>
      </c>
    </row>
    <row r="30" spans="2:12">
      <c r="B30" s="573" t="s">
        <v>1834</v>
      </c>
      <c r="C30" s="539" t="s">
        <v>2363</v>
      </c>
      <c r="D30" s="565"/>
      <c r="E30" s="527" t="s">
        <v>1769</v>
      </c>
      <c r="F30" s="621">
        <f>$J6</f>
        <v>43303</v>
      </c>
      <c r="G30" s="621">
        <f>$J7</f>
        <v>43668</v>
      </c>
      <c r="H30" s="621">
        <f>$J8</f>
        <v>44218</v>
      </c>
      <c r="I30" s="621">
        <f>$J9</f>
        <v>45176</v>
      </c>
      <c r="J30" s="621">
        <f>$J10</f>
        <v>45907</v>
      </c>
      <c r="K30" s="621">
        <f>$J11</f>
        <v>52984</v>
      </c>
      <c r="L30" t="s">
        <v>12</v>
      </c>
    </row>
    <row r="31" spans="2:12">
      <c r="B31" s="573" t="e">
        <f>NA()</f>
        <v>#N/A</v>
      </c>
      <c r="C31" s="539"/>
      <c r="D31" s="565"/>
      <c r="E31" s="527" t="s">
        <v>1770</v>
      </c>
      <c r="F31" s="528" t="s">
        <v>1046</v>
      </c>
      <c r="G31" s="528" t="s">
        <v>1046</v>
      </c>
      <c r="H31" s="528" t="s">
        <v>1046</v>
      </c>
      <c r="I31" s="528" t="s">
        <v>1046</v>
      </c>
      <c r="J31" s="528" t="s">
        <v>1046</v>
      </c>
      <c r="K31" s="528" t="s">
        <v>1046</v>
      </c>
      <c r="L31" t="s">
        <v>12</v>
      </c>
    </row>
    <row r="32" spans="2:12">
      <c r="B32" s="573" t="e">
        <f>NA()</f>
        <v>#N/A</v>
      </c>
      <c r="C32" s="539"/>
      <c r="D32" s="565"/>
      <c r="E32" s="527" t="s">
        <v>1443</v>
      </c>
      <c r="F32" s="532" t="str">
        <f>LEFT(F31,3)&amp;IF($E$3="Semi-Annual","6ML","3ML")</f>
        <v>GBP6ML</v>
      </c>
      <c r="G32" s="532" t="str">
        <f t="shared" ref="G32:K32" si="1">LEFT(G31,3)&amp;IF($E$3="Semi-Annual","6ML","3ML")</f>
        <v>GBP6ML</v>
      </c>
      <c r="H32" s="532" t="str">
        <f t="shared" si="1"/>
        <v>GBP6ML</v>
      </c>
      <c r="I32" s="532" t="str">
        <f t="shared" si="1"/>
        <v>GBP6ML</v>
      </c>
      <c r="J32" s="532" t="str">
        <f t="shared" si="1"/>
        <v>GBP6ML</v>
      </c>
      <c r="K32" s="532" t="str">
        <f t="shared" si="1"/>
        <v>GBP6ML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1444</v>
      </c>
      <c r="F33" s="532" t="str">
        <f>LEFT(F31,3)&amp;"DF_"&amp;$D$33</f>
        <v>GBPDF_NOCSA</v>
      </c>
      <c r="G33" s="532" t="str">
        <f t="shared" ref="G33:K33" si="2">LEFT(G31,3)&amp;"DF_"&amp;$D$33</f>
        <v>GBPDF_NOCSA</v>
      </c>
      <c r="H33" s="532" t="str">
        <f t="shared" si="2"/>
        <v>GBPDF_NOCSA</v>
      </c>
      <c r="I33" s="532" t="str">
        <f t="shared" si="2"/>
        <v>GBPDF_NOCSA</v>
      </c>
      <c r="J33" s="532" t="str">
        <f t="shared" si="2"/>
        <v>GBPDF_NOCSA</v>
      </c>
      <c r="K33" s="532" t="str">
        <f t="shared" si="2"/>
        <v>GBPDF_NOCSA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1824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1771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1772</v>
      </c>
      <c r="F36" s="624">
        <f>$K6/100</f>
        <v>1.2500000000000001E-2</v>
      </c>
      <c r="G36" s="624">
        <f>$K7/100</f>
        <v>1.7500000000000002E-2</v>
      </c>
      <c r="H36" s="624">
        <f>$K8/100</f>
        <v>1.4999999999999999E-2</v>
      </c>
      <c r="I36" s="624">
        <f>$K9/100</f>
        <v>2.2499999999999999E-2</v>
      </c>
      <c r="J36" s="624">
        <f>$K10/100</f>
        <v>0.02</v>
      </c>
      <c r="K36" s="624">
        <f>$K11/100</f>
        <v>3.5000000000000003E-2</v>
      </c>
      <c r="L36" t="s">
        <v>12</v>
      </c>
    </row>
    <row r="37" spans="2:12">
      <c r="B37" s="573" t="e">
        <f>NA()</f>
        <v>#N/A</v>
      </c>
      <c r="C37" s="539"/>
      <c r="E37" s="527" t="s">
        <v>1825</v>
      </c>
      <c r="F37" s="619" t="str">
        <f>IF(UPPER(LEFT($L6,3))="BAD"="#","ACT/365",IF($L6="NL/365","ACT/365",$L6))</f>
        <v>ACT/ACT</v>
      </c>
      <c r="G37" s="619" t="str">
        <f>IF(UPPER(LEFT($L7,3))="BAD"="#","ACT/365",IF($L7="NL/365","ACT/365",$L7))</f>
        <v>ACT/ACT</v>
      </c>
      <c r="H37" s="619" t="str">
        <f>IF(UPPER(LEFT($L8,3))="BAD"="#","ACT/365",IF($L8="NL/365","ACT/365",$L8))</f>
        <v>ACT/ACT</v>
      </c>
      <c r="I37" s="619" t="str">
        <f>IF(UPPER(LEFT($L9,3))="BAD"="#","ACT/365",IF($L9="NL/365","ACT/365",$L9))</f>
        <v>ACT/ACT</v>
      </c>
      <c r="J37" s="619" t="str">
        <f>IF(UPPER(LEFT($L10,3))="BAD"="#","ACT/365",IF($L10="NL/365","ACT/365",$L10))</f>
        <v>ACT/ACT</v>
      </c>
      <c r="K37" s="619" t="str">
        <f>IF(UPPER(LEFT($L11,3))="BAD"="#","ACT/365",IF($L11="NL/365","ACT/365",$L11))</f>
        <v>ACT/ACT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1826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1827</v>
      </c>
      <c r="F39" s="625" t="s">
        <v>185</v>
      </c>
      <c r="G39" s="625" t="s">
        <v>185</v>
      </c>
      <c r="H39" s="625" t="s">
        <v>185</v>
      </c>
      <c r="I39" s="625" t="s">
        <v>185</v>
      </c>
      <c r="J39" s="625" t="s">
        <v>185</v>
      </c>
      <c r="K39" s="625" t="s">
        <v>185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1778</v>
      </c>
      <c r="F40" s="626">
        <f>$I6</f>
        <v>43303</v>
      </c>
      <c r="G40" s="626">
        <f>$I7</f>
        <v>43303</v>
      </c>
      <c r="H40" s="626">
        <f>$I8</f>
        <v>43303</v>
      </c>
      <c r="I40" s="626">
        <f>$I9</f>
        <v>43350</v>
      </c>
      <c r="J40" s="626">
        <f>$I10</f>
        <v>43350</v>
      </c>
      <c r="K40" s="626">
        <f>$I11</f>
        <v>43303</v>
      </c>
      <c r="L40" t="s">
        <v>12</v>
      </c>
    </row>
    <row r="41" spans="2:12">
      <c r="E41" s="527" t="s">
        <v>1779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1780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1782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1781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1783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1784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1828</v>
      </c>
      <c r="F47" s="590" t="s">
        <v>186</v>
      </c>
      <c r="G47" s="590" t="s">
        <v>186</v>
      </c>
      <c r="H47" s="590" t="s">
        <v>186</v>
      </c>
      <c r="I47" s="590" t="s">
        <v>186</v>
      </c>
      <c r="J47" s="590" t="s">
        <v>186</v>
      </c>
      <c r="K47" s="590" t="s">
        <v>186</v>
      </c>
      <c r="L47" t="s">
        <v>12</v>
      </c>
    </row>
    <row r="48" spans="2:12">
      <c r="E48" s="500" t="s">
        <v>1829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1830</v>
      </c>
      <c r="F49" s="625" t="s">
        <v>185</v>
      </c>
      <c r="G49" s="625" t="s">
        <v>185</v>
      </c>
      <c r="H49" s="625" t="s">
        <v>185</v>
      </c>
      <c r="I49" s="625" t="s">
        <v>185</v>
      </c>
      <c r="J49" s="625" t="s">
        <v>185</v>
      </c>
      <c r="K49" s="625" t="s">
        <v>185</v>
      </c>
      <c r="L49" t="s">
        <v>12</v>
      </c>
    </row>
    <row r="50" spans="5:12">
      <c r="E50" s="527" t="s">
        <v>1792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1793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1794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1799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1795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1798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1796</v>
      </c>
      <c r="F56" s="597" t="str">
        <f ca="1">IF(ISBLANK(AssetSwap.ISIN1),"",_xll.meProductSwapStubRate($F$61:$F$65,$E$61:$E$65,,_xll.meUtilityLVBFromKeysValues($E$26:$E$55,F26:F55),FALSE))</f>
        <v>[2018/05/04 09:52] #Error: Invalid Curve: CurveIndex 'GBP1ML' in collection GBPYC does not exist</v>
      </c>
      <c r="G56" s="597" t="str">
        <f ca="1">IF(ISBLANK(AssetSwap.ISIN2),"",_xll.meProductSwapStubRate($F$61:$F$65,$E$61:$E$65,,_xll.meUtilityLVBFromKeysValues($E$26:$E$55,G26:G55),FALSE))</f>
        <v>[2018/05/04 09:52] #Error: Invalid Curve: CurveCollection 'GBPYC' does not exist</v>
      </c>
      <c r="H56" s="597" t="str">
        <f ca="1">IF(ISBLANK(AssetSwap.ISIN3),"",_xll.meProductSwapStubRate($F$61:$F$65,$E$61:$E$65,,_xll.meUtilityLVBFromKeysValues($E$26:$E$55,H26:H55),FALSE))</f>
        <v>[2018/05/04 09:52] #Error: Invalid Curve: CurveIndex 'GBP1ML' in collection GBPYC does not exist</v>
      </c>
      <c r="I56" s="597" t="str">
        <f ca="1">IF(ISBLANK(AssetSwap.ISIN4),"",_xll.meProductSwapStubRate($F$61:$F$65,$E$61:$E$65,,_xll.meUtilityLVBFromKeysValues($E$26:$E$55,I26:I55),FALSE))</f>
        <v>[2018/05/04 09:52] #Error: Invalid Curve: CurveIndex 'GBP1ML' in collection GBPYC does not exist</v>
      </c>
      <c r="J56" s="597" t="str">
        <f ca="1">IF(ISBLANK(AssetSwap.ISIN5),"",_xll.meProductSwapStubRate($F$61:$F$65,$E$61:$E$65,,_xll.meUtilityLVBFromKeysValues($E$26:$E$55,J26:J55),FALSE))</f>
        <v>[2018/05/04 09:52] #Error: Invalid Curve: CurveIndex 'GBP1ML' in collection GBPYC does not exist</v>
      </c>
      <c r="K56" s="597" t="str">
        <f ca="1">IF(ISBLANK(AssetSwap.ISIN6),"",_xll.meProductSwapStubRate($F$61:$F$65,$E$61:$E$65,,_xll.meUtilityLVBFromKeysValues($E$26:$E$55,K26:K55),FALSE))</f>
        <v>[2018/05/04 09:52] #Error: Invalid Curve: CurveIndex 'GBP1ML' in collection GBPYC does not exist</v>
      </c>
      <c r="L56" t="s">
        <v>12</v>
      </c>
    </row>
    <row r="57" spans="5:12">
      <c r="E57" s="529" t="s">
        <v>1797</v>
      </c>
      <c r="F57" s="591"/>
      <c r="G57" s="591"/>
      <c r="H57" s="591"/>
      <c r="I57" s="591"/>
      <c r="J57" s="591"/>
      <c r="K57" s="591"/>
      <c r="L57" t="s">
        <v>12</v>
      </c>
    </row>
    <row r="60" spans="5:12">
      <c r="E60" s="571" t="s">
        <v>1873</v>
      </c>
      <c r="F60" s="592"/>
    </row>
    <row r="61" spans="5:12">
      <c r="E61" s="509" t="s">
        <v>1434</v>
      </c>
      <c r="F61" s="594" t="s">
        <v>1886</v>
      </c>
    </row>
    <row r="62" spans="5:12">
      <c r="E62" s="510" t="s">
        <v>20</v>
      </c>
      <c r="F62" s="595" t="s">
        <v>1887</v>
      </c>
    </row>
    <row r="63" spans="5:12">
      <c r="E63" s="510" t="s">
        <v>51</v>
      </c>
      <c r="F63" s="595" t="s">
        <v>1032</v>
      </c>
    </row>
    <row r="64" spans="5:12">
      <c r="E64" s="510" t="s">
        <v>22</v>
      </c>
      <c r="F64" s="595" t="s">
        <v>1041</v>
      </c>
    </row>
    <row r="65" spans="5:6">
      <c r="E65" s="511" t="s">
        <v>250</v>
      </c>
      <c r="F65" s="596" t="s">
        <v>1888</v>
      </c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49:K49 F39:K3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37:K37 F47:K4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5" tint="0.59999389629810485"/>
  </sheetPr>
  <dimension ref="A1:AH73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10" width="20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8" width="12.7109375" customWidth="1"/>
    <col min="19" max="21" width="15.7109375" customWidth="1"/>
    <col min="22" max="22" width="12.7109375" customWidth="1"/>
    <col min="23" max="23" width="20.42578125" bestFit="1" customWidth="1"/>
    <col min="24" max="24" width="15.7109375" customWidth="1"/>
    <col min="25" max="25" width="12.140625" customWidth="1"/>
    <col min="26" max="26" width="12" customWidth="1"/>
    <col min="27" max="27" width="10.7109375" customWidth="1"/>
    <col min="28" max="28" width="9.28515625" customWidth="1"/>
    <col min="29" max="29" width="14.7109375" bestFit="1" customWidth="1"/>
    <col min="30" max="30" width="13.140625" customWidth="1"/>
  </cols>
  <sheetData>
    <row r="1" spans="2:34">
      <c r="D1" s="9" t="s">
        <v>1851</v>
      </c>
    </row>
    <row r="2" spans="2:34">
      <c r="D2" s="9"/>
      <c r="E2" s="107" t="s">
        <v>1921</v>
      </c>
    </row>
    <row r="3" spans="2:34">
      <c r="E3" s="380" t="s">
        <v>76</v>
      </c>
      <c r="F3" s="335"/>
    </row>
    <row r="4" spans="2:34">
      <c r="E4" s="335"/>
      <c r="F4" s="335"/>
    </row>
    <row r="5" spans="2:34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4">
      <c r="B6" s="509" t="s">
        <v>1862</v>
      </c>
      <c r="C6" s="580" t="s">
        <v>2506</v>
      </c>
      <c r="D6" s="335"/>
      <c r="E6" s="387" t="s">
        <v>1932</v>
      </c>
      <c r="F6" s="541" t="s">
        <v>1932</v>
      </c>
      <c r="G6" s="542" t="s">
        <v>1933</v>
      </c>
      <c r="H6" s="543">
        <v>43115</v>
      </c>
      <c r="I6" s="543">
        <v>43296</v>
      </c>
      <c r="J6" s="543">
        <v>43296</v>
      </c>
      <c r="K6" s="587">
        <v>0.1</v>
      </c>
      <c r="L6" s="583" t="s">
        <v>1442</v>
      </c>
      <c r="M6" s="584">
        <v>2</v>
      </c>
      <c r="N6" s="583" t="s">
        <v>1441</v>
      </c>
      <c r="O6" s="544" t="s">
        <v>1849</v>
      </c>
      <c r="P6" s="544">
        <v>100.075</v>
      </c>
      <c r="Q6" s="544">
        <v>100.07</v>
      </c>
      <c r="R6" s="545">
        <v>100.08</v>
      </c>
      <c r="S6" s="546">
        <v>-0.1410000000000016</v>
      </c>
      <c r="T6" s="544">
        <v>-0.17500000000002544</v>
      </c>
      <c r="U6" s="544"/>
      <c r="V6" s="544"/>
      <c r="W6" s="544"/>
      <c r="X6" s="544"/>
      <c r="Y6" s="544"/>
      <c r="Z6" s="544"/>
      <c r="AA6" s="544"/>
      <c r="AB6" s="544"/>
      <c r="AC6" s="544"/>
      <c r="AD6" s="547"/>
      <c r="AE6" s="392"/>
      <c r="AF6" s="392"/>
      <c r="AG6" s="392"/>
      <c r="AH6" s="392"/>
    </row>
    <row r="7" spans="2:34">
      <c r="B7" s="510" t="s">
        <v>1863</v>
      </c>
      <c r="C7" s="581" t="s">
        <v>2507</v>
      </c>
      <c r="D7" s="335"/>
      <c r="E7" s="535" t="s">
        <v>1930</v>
      </c>
      <c r="F7" s="548" t="s">
        <v>1930</v>
      </c>
      <c r="G7" s="549" t="s">
        <v>1931</v>
      </c>
      <c r="H7" s="550">
        <v>43089</v>
      </c>
      <c r="I7" s="550">
        <v>43271</v>
      </c>
      <c r="J7" s="550">
        <v>43636</v>
      </c>
      <c r="K7" s="588">
        <v>1.4</v>
      </c>
      <c r="L7" s="351" t="s">
        <v>1442</v>
      </c>
      <c r="M7" s="585">
        <v>2</v>
      </c>
      <c r="N7" s="351" t="s">
        <v>1441</v>
      </c>
      <c r="O7" s="551" t="s">
        <v>1849</v>
      </c>
      <c r="P7" s="551">
        <v>101.904</v>
      </c>
      <c r="Q7" s="551">
        <v>101.886</v>
      </c>
      <c r="R7" s="552">
        <v>101.922</v>
      </c>
      <c r="S7" s="553">
        <v>-0.13799999999998511</v>
      </c>
      <c r="T7" s="551">
        <v>-0.16699999999999643</v>
      </c>
      <c r="U7" s="551"/>
      <c r="V7" s="551"/>
      <c r="W7" s="551"/>
      <c r="X7" s="551"/>
      <c r="Y7" s="551"/>
      <c r="Z7" s="551"/>
      <c r="AA7" s="551"/>
      <c r="AB7" s="551"/>
      <c r="AC7" s="551"/>
      <c r="AD7" s="554"/>
      <c r="AE7" t="s">
        <v>12</v>
      </c>
    </row>
    <row r="8" spans="2:34">
      <c r="B8" s="510" t="s">
        <v>1864</v>
      </c>
      <c r="C8" s="581" t="s">
        <v>2508</v>
      </c>
      <c r="E8" s="535" t="s">
        <v>1928</v>
      </c>
      <c r="F8" s="548" t="s">
        <v>1928</v>
      </c>
      <c r="G8" s="549" t="s">
        <v>1929</v>
      </c>
      <c r="H8" s="550">
        <v>43089</v>
      </c>
      <c r="I8" s="550">
        <v>43271</v>
      </c>
      <c r="J8" s="550">
        <v>44367</v>
      </c>
      <c r="K8" s="588">
        <v>0.1</v>
      </c>
      <c r="L8" s="351" t="s">
        <v>1442</v>
      </c>
      <c r="M8" s="585">
        <v>2</v>
      </c>
      <c r="N8" s="351" t="s">
        <v>1441</v>
      </c>
      <c r="O8" s="551" t="s">
        <v>1849</v>
      </c>
      <c r="P8" s="551">
        <v>100.767</v>
      </c>
      <c r="Q8" s="551">
        <v>100.72799999999999</v>
      </c>
      <c r="R8" s="552">
        <v>100.806</v>
      </c>
      <c r="S8" s="553">
        <v>-0.12500000000000072</v>
      </c>
      <c r="T8" s="551">
        <v>-0.14900000000000219</v>
      </c>
      <c r="U8" s="551"/>
      <c r="V8" s="551"/>
      <c r="W8" s="551"/>
      <c r="X8" s="551"/>
      <c r="Y8" s="551"/>
      <c r="Z8" s="551"/>
      <c r="AA8" s="551"/>
      <c r="AB8" s="551"/>
      <c r="AC8" s="551"/>
      <c r="AD8" s="554"/>
      <c r="AE8" t="s">
        <v>12</v>
      </c>
    </row>
    <row r="9" spans="2:34">
      <c r="B9" s="510" t="s">
        <v>1865</v>
      </c>
      <c r="C9" s="581" t="s">
        <v>2509</v>
      </c>
      <c r="D9" s="579" t="s">
        <v>1841</v>
      </c>
      <c r="E9" s="535" t="s">
        <v>1926</v>
      </c>
      <c r="F9" s="548" t="s">
        <v>1926</v>
      </c>
      <c r="G9" s="549" t="s">
        <v>1927</v>
      </c>
      <c r="H9" s="550">
        <v>43089</v>
      </c>
      <c r="I9" s="550">
        <v>43271</v>
      </c>
      <c r="J9" s="550">
        <v>45097</v>
      </c>
      <c r="K9" s="588">
        <v>0.8</v>
      </c>
      <c r="L9" s="351" t="s">
        <v>1442</v>
      </c>
      <c r="M9" s="585">
        <v>2</v>
      </c>
      <c r="N9" s="351" t="s">
        <v>1441</v>
      </c>
      <c r="O9" s="551" t="s">
        <v>1849</v>
      </c>
      <c r="P9" s="551">
        <v>104.765</v>
      </c>
      <c r="Q9" s="551">
        <v>104.721</v>
      </c>
      <c r="R9" s="552">
        <v>104.809</v>
      </c>
      <c r="S9" s="553">
        <v>-9.9000000000001184E-2</v>
      </c>
      <c r="T9" s="551">
        <v>-0.11499999999999995</v>
      </c>
      <c r="U9" s="551"/>
      <c r="V9" s="551"/>
      <c r="W9" s="551"/>
      <c r="X9" s="551"/>
      <c r="Y9" s="551"/>
      <c r="Z9" s="551"/>
      <c r="AA9" s="551"/>
      <c r="AB9" s="551"/>
      <c r="AC9" s="551"/>
      <c r="AD9" s="554"/>
      <c r="AE9" t="s">
        <v>12</v>
      </c>
    </row>
    <row r="10" spans="2:34">
      <c r="B10" s="510" t="s">
        <v>1866</v>
      </c>
      <c r="C10" s="581" t="s">
        <v>2510</v>
      </c>
      <c r="E10" s="535" t="s">
        <v>1924</v>
      </c>
      <c r="F10" s="548" t="s">
        <v>1924</v>
      </c>
      <c r="G10" s="549" t="s">
        <v>1925</v>
      </c>
      <c r="H10" s="550">
        <v>43089</v>
      </c>
      <c r="I10" s="550">
        <v>43271</v>
      </c>
      <c r="J10" s="550">
        <v>46193</v>
      </c>
      <c r="K10" s="588">
        <v>0.1</v>
      </c>
      <c r="L10" s="351" t="s">
        <v>1442</v>
      </c>
      <c r="M10" s="585">
        <v>2</v>
      </c>
      <c r="N10" s="351" t="s">
        <v>1441</v>
      </c>
      <c r="O10" s="551" t="s">
        <v>1849</v>
      </c>
      <c r="P10" s="551">
        <v>101.06699999999999</v>
      </c>
      <c r="Q10" s="551">
        <v>101.01300000000001</v>
      </c>
      <c r="R10" s="552">
        <v>101.121</v>
      </c>
      <c r="S10" s="553">
        <v>-2.3000000000000825E-2</v>
      </c>
      <c r="T10" s="551">
        <v>-3.6000000000000837E-2</v>
      </c>
      <c r="U10" s="551"/>
      <c r="V10" s="551"/>
      <c r="W10" s="551"/>
      <c r="X10" s="551"/>
      <c r="Y10" s="551"/>
      <c r="Z10" s="551"/>
      <c r="AA10" s="551"/>
      <c r="AB10" s="551"/>
      <c r="AC10" s="551"/>
      <c r="AD10" s="554"/>
      <c r="AE10" t="s">
        <v>12</v>
      </c>
    </row>
    <row r="11" spans="2:34">
      <c r="B11" s="511" t="s">
        <v>1867</v>
      </c>
      <c r="C11" s="582" t="s">
        <v>2511</v>
      </c>
      <c r="E11" s="388" t="s">
        <v>1922</v>
      </c>
      <c r="F11" s="555" t="s">
        <v>1922</v>
      </c>
      <c r="G11" s="556" t="s">
        <v>1923</v>
      </c>
      <c r="H11" s="557">
        <v>43089</v>
      </c>
      <c r="I11" s="557">
        <v>43271</v>
      </c>
      <c r="J11" s="557">
        <v>53498</v>
      </c>
      <c r="K11" s="589">
        <v>0.3</v>
      </c>
      <c r="L11" s="558" t="s">
        <v>1442</v>
      </c>
      <c r="M11" s="586">
        <v>2</v>
      </c>
      <c r="N11" s="558" t="s">
        <v>1441</v>
      </c>
      <c r="O11" s="559" t="s">
        <v>1849</v>
      </c>
      <c r="P11" s="559">
        <v>89.694999999999993</v>
      </c>
      <c r="Q11" s="559">
        <v>89.558999999999997</v>
      </c>
      <c r="R11" s="560">
        <v>89.831000000000003</v>
      </c>
      <c r="S11" s="561">
        <v>0.74800000000000044</v>
      </c>
      <c r="T11" s="559">
        <v>0.73499999999999999</v>
      </c>
      <c r="U11" s="559"/>
      <c r="V11" s="559"/>
      <c r="W11" s="559"/>
      <c r="X11" s="559"/>
      <c r="Y11" s="559"/>
      <c r="Z11" s="559"/>
      <c r="AA11" s="559"/>
      <c r="AB11" s="559"/>
      <c r="AC11" s="559"/>
      <c r="AD11" s="562"/>
      <c r="AE11" t="s">
        <v>12</v>
      </c>
    </row>
    <row r="14" spans="2:34">
      <c r="B14" s="234" t="s">
        <v>1850</v>
      </c>
      <c r="E14" s="571" t="s">
        <v>1844</v>
      </c>
      <c r="F14" s="630" t="str">
        <f>IF(ISBLANK(AssetSwap.ISIN1),"",AssetSwap.ISIN1)</f>
        <v>JP1023661G75 Govt</v>
      </c>
      <c r="G14" s="630" t="str">
        <f>IF(ISBLANK(AssetSwap.ISIN2),"",AssetSwap.ISIN2)</f>
        <v>JP1103021976 Govt</v>
      </c>
      <c r="H14" s="630" t="str">
        <f>IF(ISBLANK(AssetSwap.ISIN3),"",AssetSwap.ISIN3)</f>
        <v>JP1051281G68 Govt</v>
      </c>
      <c r="I14" s="630" t="str">
        <f>IF(ISBLANK(AssetSwap.ISIN4),"",AssetSwap.ISIN4)</f>
        <v>JP1103291D68 Govt</v>
      </c>
      <c r="J14" s="630" t="str">
        <f>IF(ISBLANK(AssetSwap.ISIN5),"",AssetSwap.ISIN5)</f>
        <v>JP1103431G66 Govt</v>
      </c>
      <c r="K14" s="630" t="str">
        <f>IF(ISBLANK(AssetSwap.ISIN6),"",AssetSwap.ISIN6)</f>
        <v>JP1300511G61 Govt</v>
      </c>
      <c r="R14" s="620"/>
    </row>
    <row r="15" spans="2:34">
      <c r="B15" s="575" t="s">
        <v>1838</v>
      </c>
      <c r="C15" s="576" t="s">
        <v>1839</v>
      </c>
      <c r="E15" s="567" t="s">
        <v>1845</v>
      </c>
      <c r="F15" s="631">
        <f>IF(ISBLANK(AssetSwap.ISIN1),"",AVERAGE($Q6:$R6))</f>
        <v>100.07499999999999</v>
      </c>
      <c r="G15" s="631">
        <f>IF(ISBLANK(AssetSwap.ISIN2),"",AVERAGE($Q7:$R7))</f>
        <v>101.904</v>
      </c>
      <c r="H15" s="631">
        <f>IF(ISBLANK(AssetSwap.ISIN3),"",AVERAGE($Q8:$R8))</f>
        <v>100.767</v>
      </c>
      <c r="I15" s="631">
        <f>IF(ISBLANK(AssetSwap.ISIN4),"",AVERAGE($Q9:$R9))</f>
        <v>104.765</v>
      </c>
      <c r="J15" s="631">
        <f>IF(ISBLANK(AssetSwap.ISIN5),"",AVERAGE($Q10:$R10))</f>
        <v>101.06700000000001</v>
      </c>
      <c r="K15" s="631">
        <f>IF(ISBLANK(AssetSwap.ISIN6),"",AVERAGE($Q11:$R11))</f>
        <v>89.694999999999993</v>
      </c>
      <c r="L15" t="s">
        <v>12</v>
      </c>
      <c r="R15" s="620"/>
    </row>
    <row r="16" spans="2:34">
      <c r="B16" s="643"/>
      <c r="C16" s="644"/>
      <c r="E16" s="645" t="s">
        <v>1934</v>
      </c>
      <c r="F16" s="646" t="str">
        <f>IF(ISBLANK(AssetSwap.ISIN1),"",$O$6)</f>
        <v>CLEAN</v>
      </c>
      <c r="G16" s="646" t="str">
        <f>IF(ISBLANK(AssetSwap.ISIN2),"",$O$7)</f>
        <v>CLEAN</v>
      </c>
      <c r="H16" s="646" t="str">
        <f>IF(ISBLANK(AssetSwap.ISIN3),"",$O$8)</f>
        <v>CLEAN</v>
      </c>
      <c r="I16" s="646" t="str">
        <f>IF(ISBLANK(AssetSwap.ISIN4),"",$O$9)</f>
        <v>CLEAN</v>
      </c>
      <c r="J16" s="646" t="str">
        <f>IF(ISBLANK(AssetSwap.ISIN5),"",$O$10)</f>
        <v>CLEAN</v>
      </c>
      <c r="K16" s="646" t="str">
        <f>IF(ISBLANK(AssetSwap.ISIN6),"",$O$11)</f>
        <v>CLEAN</v>
      </c>
      <c r="L16" s="647"/>
      <c r="R16" s="620"/>
    </row>
    <row r="17" spans="2:18">
      <c r="B17" s="573" t="s">
        <v>1821</v>
      </c>
      <c r="C17" s="539" t="s">
        <v>1471</v>
      </c>
      <c r="E17" s="577" t="s">
        <v>1854</v>
      </c>
      <c r="F17" s="632"/>
      <c r="G17" s="632"/>
      <c r="H17" s="632"/>
      <c r="I17" s="632"/>
      <c r="J17" s="632"/>
      <c r="K17" s="632"/>
      <c r="L17" t="s">
        <v>12</v>
      </c>
      <c r="R17" s="620"/>
    </row>
    <row r="18" spans="2:18">
      <c r="B18" s="573" t="s">
        <v>1939</v>
      </c>
      <c r="C18" s="539" t="s">
        <v>1938</v>
      </c>
      <c r="E18" s="641" t="s">
        <v>1856</v>
      </c>
      <c r="F18" s="642" t="str">
        <f ca="1">IF(F15="","",_xll.meProductAssetSwapSpread(IF(ISBLANK($F$17),$F$15,$F$17),_xll.meUtilityLVBFromKeysValues($E$26:$E$57,F$26:F$57),FALSE))</f>
        <v>[2018/05/04 09:52] #Error: Invalid Curve: CurveIndex 'JPY6ML' in collection JPYYC does not exist</v>
      </c>
      <c r="G18" s="642" t="str">
        <f ca="1">IF(G15="","",_xll.meProductAssetSwapSpread(IF(ISBLANK($G$17),$G$15,$G$17),_xll.meUtilityLVBFromKeysValues($E$26:$E$57,G$26:G$57),FALSE))</f>
        <v>[2018/05/04 09:52] #Error: Invalid Curve: CurveIndex 'JPY6ML' in collection JPYYC does not exist</v>
      </c>
      <c r="H18" s="642">
        <f ca="1">IF(H15="","",_xll.meProductAssetSwapSpread(IF(ISBLANK($H$17),$H$15,$H$17),_xll.meUtilityLVBFromKeysValues($E$26:$E$57,H$26:H$57),FALSE))</f>
        <v>-21.440726522372003</v>
      </c>
      <c r="I18" s="642" t="str">
        <f ca="1">IF(I15="","",_xll.meProductAssetSwapSpread(IF(ISBLANK($I$17),$I$15,$I$17),_xll.meUtilityLVBFromKeysValues($E$26:$E$57,I$26:I$57),FALSE))</f>
        <v>[2018/05/04 09:52] #Error: Invalid Curve: CurveIndex 'JPY6ML' in collection JPYYC does not exist</v>
      </c>
      <c r="J18" s="642" t="str">
        <f ca="1">IF(J15="","",_xll.meProductAssetSwapSpread(IF(ISBLANK($J$17),$J$15,$J$17),_xll.meUtilityLVBFromKeysValues($E$26:$E$57,J$26:J$57),FALSE))</f>
        <v>[2018/05/04 09:52] #Error: Invalid Curve: CurveIndex 'JPY6ML' in collection JPYYC does not exist</v>
      </c>
      <c r="K18" s="642" t="str">
        <f ca="1">IF(K15="","",_xll.meProductAssetSwapSpread(IF(ISBLANK($K$17),$K$15,$K$17),_xll.meUtilityLVBFromKeysValues($E$26:$E$57,K$26:K$57),FALSE))</f>
        <v>[2018/05/04 09:52] #Error: Invalid Curve: CurveIndex 'JPY6ML' in collection JPYYC does not exist</v>
      </c>
      <c r="L18" s="647" t="s">
        <v>1935</v>
      </c>
      <c r="R18" s="620"/>
    </row>
    <row r="19" spans="2:18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-1.5800000000001351E-3</v>
      </c>
      <c r="G19" s="634">
        <f>IF(ISBLANK(AssetSwap.ISIN2),"",AVERAGE($S7:$T7)/100)</f>
        <v>-1.5249999999999075E-3</v>
      </c>
      <c r="H19" s="634">
        <f>IF(ISBLANK(AssetSwap.ISIN3),"",AVERAGE($S8:$T8)/100)</f>
        <v>-1.3700000000000144E-3</v>
      </c>
      <c r="I19" s="634">
        <f>IF(ISBLANK(AssetSwap.ISIN4),"",AVERAGE($S9:$T9)/100)</f>
        <v>-1.0700000000000056E-3</v>
      </c>
      <c r="J19" s="634">
        <f>IF(ISBLANK(AssetSwap.ISIN5),"",AVERAGE($S10:$T10)/100)</f>
        <v>-2.9500000000000831E-4</v>
      </c>
      <c r="K19" s="634">
        <f>IF(ISBLANK(AssetSwap.ISIN6),"",AVERAGE($S11:$T11)/100)</f>
        <v>7.4150000000000023E-3</v>
      </c>
      <c r="L19" t="s">
        <v>12</v>
      </c>
      <c r="R19" s="620"/>
    </row>
    <row r="20" spans="2:18">
      <c r="B20" s="573" t="s">
        <v>1769</v>
      </c>
      <c r="C20" s="539" t="s">
        <v>1472</v>
      </c>
      <c r="E20" s="577" t="s">
        <v>1855</v>
      </c>
      <c r="F20" s="635"/>
      <c r="G20" s="635"/>
      <c r="H20" s="635"/>
      <c r="I20" s="635"/>
      <c r="J20" s="635"/>
      <c r="K20" s="635"/>
      <c r="L20" t="s">
        <v>12</v>
      </c>
      <c r="R20" s="620"/>
    </row>
    <row r="21" spans="2:18">
      <c r="B21" s="573" t="s">
        <v>1083</v>
      </c>
      <c r="C21" s="539" t="s">
        <v>1473</v>
      </c>
      <c r="E21" s="570" t="s">
        <v>1843</v>
      </c>
      <c r="F21" s="636" t="str">
        <f ca="1">IF(ISBLANK(AssetSwap.ISIN1),"",_xll.meProductSwapParRate(_xll.meUtilityLVBFromKeysValues($E$26:$E$57,$F$26:$F$57),FALSE))</f>
        <v>[2018/05/04 09:52] #Error: Invalid Curve: CurveIndex 'JPY6ML' in collection JPYYC does not exist</v>
      </c>
      <c r="G21" s="636" t="str">
        <f ca="1">IF(ISBLANK(AssetSwap.ISIN2),"",_xll.meProductSwapParRate(_xll.meUtilityLVBFromKeysValues($E$26:$E$57,$G$26:$G$57),FALSE))</f>
        <v>[2018/05/04 09:52] #Error: Invalid Curve: CurveIndex 'JPY6ML' in collection JPYYC does not exist</v>
      </c>
      <c r="H21" s="636" t="str">
        <f ca="1">IF(ISBLANK(AssetSwap.ISIN3),"",_xll.meProductSwapParRate(_xll.meUtilityLVBFromKeysValues($E$26:$E$57,$H$26:$H$57),FALSE))</f>
        <v>[2018/05/04 09:52] #Error: Invalid Curve: CurveIndex 'JPY6ML' in collection JPYYC does not exist</v>
      </c>
      <c r="I21" s="636" t="str">
        <f ca="1">IF(ISBLANK(AssetSwap.ISIN4),"",_xll.meProductSwapParRate(_xll.meUtilityLVBFromKeysValues($E$26:$E$57,$I$26:$I$57),FALSE))</f>
        <v>[2018/05/04 09:52] #Error: Invalid Curve: CurveIndex 'JPY6ML' in collection JPYYC does not exist</v>
      </c>
      <c r="J21" s="636" t="str">
        <f ca="1">IF(ISBLANK(AssetSwap.ISIN5),"",_xll.meProductSwapParRate(_xll.meUtilityLVBFromKeysValues($E$26:$E$57,$J$26:$J$57),FALSE))</f>
        <v>[2018/05/04 09:52] #Error: Invalid Curve: CurveIndex 'JPY6ML' in collection JPYYC does not exist</v>
      </c>
      <c r="K21" s="636">
        <f ca="1">IF(ISBLANK(AssetSwap.ISIN6),"",_xll.meProductSwapParRate(_xll.meUtilityLVBFromKeysValues($E$26:$E$57,$K$26:$K$57),FALSE))</f>
        <v>7.8147160781489502E-3</v>
      </c>
      <c r="L21" t="s">
        <v>12</v>
      </c>
    </row>
    <row r="22" spans="2:18">
      <c r="B22" s="573" t="s">
        <v>120</v>
      </c>
      <c r="C22" s="539" t="s">
        <v>1474</v>
      </c>
      <c r="E22" s="641" t="s">
        <v>1857</v>
      </c>
      <c r="F22" s="642" t="e">
        <f ca="1">IF(F$19="","",(IF(ISBLANK(F$20),F$19,F$20)-F$21)*10000)</f>
        <v>#VALUE!</v>
      </c>
      <c r="G22" s="642" t="e">
        <f ca="1">IF(G$19="","",(IF(ISBLANK(G$20),G$19,G$20)-G$21)*10000)</f>
        <v>#VALUE!</v>
      </c>
      <c r="H22" s="642" t="e">
        <f t="shared" ref="H22:K22" ca="1" si="0">IF(H$19="","",(IF(ISBLANK(H$20),H$19,H$20)-H$21)*10000)</f>
        <v>#VALUE!</v>
      </c>
      <c r="I22" s="642" t="e">
        <f t="shared" ca="1" si="0"/>
        <v>#VALUE!</v>
      </c>
      <c r="J22" s="642" t="e">
        <f t="shared" ca="1" si="0"/>
        <v>#VALUE!</v>
      </c>
      <c r="K22" s="642">
        <f t="shared" ca="1" si="0"/>
        <v>-3.9971607814894785</v>
      </c>
      <c r="L22" s="647" t="s">
        <v>1859</v>
      </c>
    </row>
    <row r="23" spans="2:18">
      <c r="B23" s="573" t="s">
        <v>1088</v>
      </c>
      <c r="C23" s="539" t="s">
        <v>1086</v>
      </c>
      <c r="F23" s="108"/>
      <c r="G23" s="108"/>
      <c r="H23" s="108"/>
      <c r="I23" s="108"/>
      <c r="J23" s="108"/>
      <c r="K23" s="108"/>
      <c r="L23" t="s">
        <v>12</v>
      </c>
    </row>
    <row r="24" spans="2:18">
      <c r="B24" s="573" t="s">
        <v>1089</v>
      </c>
      <c r="C24" s="539" t="s">
        <v>1087</v>
      </c>
      <c r="E24" s="534"/>
      <c r="F24" s="108"/>
      <c r="G24" s="108"/>
      <c r="H24" s="108"/>
      <c r="I24" s="108"/>
      <c r="J24" s="108"/>
      <c r="K24" s="108"/>
      <c r="L24" t="s">
        <v>12</v>
      </c>
    </row>
    <row r="25" spans="2:18">
      <c r="B25" s="573" t="s">
        <v>1847</v>
      </c>
      <c r="C25" s="539" t="s">
        <v>1848</v>
      </c>
      <c r="E25" s="571" t="s">
        <v>1869</v>
      </c>
      <c r="F25" s="108"/>
      <c r="G25" s="108"/>
      <c r="H25" s="108"/>
      <c r="I25" s="108"/>
      <c r="J25" s="108"/>
      <c r="K25" s="108"/>
      <c r="L25" t="s">
        <v>12</v>
      </c>
    </row>
    <row r="26" spans="2:18">
      <c r="B26" s="573" t="s">
        <v>1084</v>
      </c>
      <c r="C26" s="539" t="s">
        <v>385</v>
      </c>
      <c r="E26" s="525" t="s">
        <v>354</v>
      </c>
      <c r="F26" s="637">
        <v>1000000</v>
      </c>
      <c r="G26" s="637">
        <v>1000000</v>
      </c>
      <c r="H26" s="637">
        <v>1000000</v>
      </c>
      <c r="I26" s="637">
        <v>1000000</v>
      </c>
      <c r="J26" s="637">
        <v>1000000</v>
      </c>
      <c r="K26" s="637">
        <v>1000000</v>
      </c>
      <c r="L26" t="s">
        <v>12</v>
      </c>
    </row>
    <row r="27" spans="2:18">
      <c r="B27" s="573" t="s">
        <v>1831</v>
      </c>
      <c r="C27" s="539" t="s">
        <v>1835</v>
      </c>
      <c r="E27" s="527" t="s">
        <v>1803</v>
      </c>
      <c r="F27" s="629" t="s">
        <v>1822</v>
      </c>
      <c r="G27" s="629" t="s">
        <v>1822</v>
      </c>
      <c r="H27" s="629" t="s">
        <v>1822</v>
      </c>
      <c r="I27" s="629" t="s">
        <v>1822</v>
      </c>
      <c r="J27" s="629" t="s">
        <v>1822</v>
      </c>
      <c r="K27" s="629" t="s">
        <v>1822</v>
      </c>
      <c r="L27" t="s">
        <v>12</v>
      </c>
    </row>
    <row r="28" spans="2:18">
      <c r="B28" s="573" t="s">
        <v>1832</v>
      </c>
      <c r="C28" s="539" t="s">
        <v>1836</v>
      </c>
      <c r="D28" s="563"/>
      <c r="E28" s="527" t="s">
        <v>1823</v>
      </c>
      <c r="F28" s="621">
        <f>$H$6</f>
        <v>43115</v>
      </c>
      <c r="G28" s="621">
        <f>$H$7</f>
        <v>43089</v>
      </c>
      <c r="H28" s="621">
        <f>$H$8</f>
        <v>43089</v>
      </c>
      <c r="I28" s="621">
        <f>$H$9</f>
        <v>43089</v>
      </c>
      <c r="J28" s="621">
        <f>$H$10</f>
        <v>43089</v>
      </c>
      <c r="K28" s="621">
        <f>$H$11</f>
        <v>43089</v>
      </c>
      <c r="L28" t="s">
        <v>12</v>
      </c>
    </row>
    <row r="29" spans="2:18">
      <c r="B29" s="573" t="s">
        <v>1833</v>
      </c>
      <c r="C29" s="539" t="s">
        <v>2362</v>
      </c>
      <c r="D29" s="564" t="s">
        <v>361</v>
      </c>
      <c r="E29" s="527" t="s">
        <v>1768</v>
      </c>
      <c r="F29" s="621">
        <f ca="1">_xll.meDateFromTenor(COB,$D$29,F38,F39)</f>
        <v>43229</v>
      </c>
      <c r="G29" s="621">
        <f ca="1">_xll.meDateFromTenor(COB,$D$29,G38,G39)</f>
        <v>43229</v>
      </c>
      <c r="H29" s="621">
        <f ca="1">_xll.meDateFromTenor(COB,$D$29,H38,H39)</f>
        <v>43229</v>
      </c>
      <c r="I29" s="621">
        <f ca="1">_xll.meDateFromTenor(COB,$D$29,I38,I39)</f>
        <v>43229</v>
      </c>
      <c r="J29" s="621">
        <f ca="1">_xll.meDateFromTenor(COB,$D$29,J38,J39)</f>
        <v>43229</v>
      </c>
      <c r="K29" s="621">
        <f ca="1">_xll.meDateFromTenor(COB,$D$29,K38,K39)</f>
        <v>43229</v>
      </c>
      <c r="L29" t="s">
        <v>12</v>
      </c>
    </row>
    <row r="30" spans="2:18">
      <c r="B30" s="573" t="s">
        <v>1834</v>
      </c>
      <c r="C30" s="539" t="s">
        <v>2363</v>
      </c>
      <c r="D30" s="565"/>
      <c r="E30" s="527" t="s">
        <v>1769</v>
      </c>
      <c r="F30" s="621">
        <f>$J6</f>
        <v>43296</v>
      </c>
      <c r="G30" s="621">
        <f>$J7</f>
        <v>43636</v>
      </c>
      <c r="H30" s="621">
        <f>$J8</f>
        <v>44367</v>
      </c>
      <c r="I30" s="621">
        <f>$J9</f>
        <v>45097</v>
      </c>
      <c r="J30" s="621">
        <f>$J10</f>
        <v>46193</v>
      </c>
      <c r="K30" s="621">
        <f>$J11</f>
        <v>53498</v>
      </c>
      <c r="L30" t="s">
        <v>12</v>
      </c>
    </row>
    <row r="31" spans="2:18">
      <c r="B31" s="573" t="e">
        <f>NA()</f>
        <v>#N/A</v>
      </c>
      <c r="C31" s="539"/>
      <c r="D31" s="565"/>
      <c r="E31" s="527" t="s">
        <v>1770</v>
      </c>
      <c r="F31" s="528" t="s">
        <v>1047</v>
      </c>
      <c r="G31" s="528" t="s">
        <v>1047</v>
      </c>
      <c r="H31" s="528" t="s">
        <v>1047</v>
      </c>
      <c r="I31" s="528" t="s">
        <v>1047</v>
      </c>
      <c r="J31" s="528" t="s">
        <v>1047</v>
      </c>
      <c r="K31" s="528" t="s">
        <v>1047</v>
      </c>
      <c r="L31" t="s">
        <v>12</v>
      </c>
    </row>
    <row r="32" spans="2:18">
      <c r="B32" s="573" t="e">
        <f>NA()</f>
        <v>#N/A</v>
      </c>
      <c r="C32" s="539"/>
      <c r="D32" s="565"/>
      <c r="E32" s="527" t="s">
        <v>1443</v>
      </c>
      <c r="F32" s="532" t="str">
        <f>LEFT(F31,3)&amp;IF($E$3="Semi-Annual","6ML","3ML")</f>
        <v>JPY6ML</v>
      </c>
      <c r="G32" s="532" t="str">
        <f t="shared" ref="G32:K32" si="1">LEFT(G31,3)&amp;IF($E$3="Semi-Annual","6ML","3ML")</f>
        <v>JPY6ML</v>
      </c>
      <c r="H32" s="532" t="str">
        <f t="shared" si="1"/>
        <v>JPY6ML</v>
      </c>
      <c r="I32" s="532" t="str">
        <f t="shared" si="1"/>
        <v>JPY6ML</v>
      </c>
      <c r="J32" s="532" t="str">
        <f t="shared" si="1"/>
        <v>JPY6ML</v>
      </c>
      <c r="K32" s="532" t="str">
        <f t="shared" si="1"/>
        <v>JPY6ML</v>
      </c>
      <c r="L32" t="s">
        <v>12</v>
      </c>
    </row>
    <row r="33" spans="2:12">
      <c r="B33" s="573" t="e">
        <f>NA()</f>
        <v>#N/A</v>
      </c>
      <c r="C33" s="539"/>
      <c r="D33" s="566" t="s">
        <v>1043</v>
      </c>
      <c r="E33" s="527" t="s">
        <v>1444</v>
      </c>
      <c r="F33" s="532" t="str">
        <f>LEFT(F31,3)&amp;"DF_"&amp;$D$33</f>
        <v>JPYDF_NOCSA</v>
      </c>
      <c r="G33" s="532" t="str">
        <f t="shared" ref="G33:K33" si="2">LEFT(G31,3)&amp;"DF_"&amp;$D$33</f>
        <v>JPYDF_NOCSA</v>
      </c>
      <c r="H33" s="532" t="str">
        <f t="shared" si="2"/>
        <v>JPYDF_NOCSA</v>
      </c>
      <c r="I33" s="532" t="str">
        <f t="shared" si="2"/>
        <v>JPYDF_NOCSA</v>
      </c>
      <c r="J33" s="532" t="str">
        <f t="shared" si="2"/>
        <v>JPYDF_NOCSA</v>
      </c>
      <c r="K33" s="532" t="str">
        <f t="shared" si="2"/>
        <v>JPYDF_NOCSA</v>
      </c>
      <c r="L33" t="s">
        <v>12</v>
      </c>
    </row>
    <row r="34" spans="2:12">
      <c r="B34" s="573" t="e">
        <f>NA()</f>
        <v>#N/A</v>
      </c>
      <c r="C34" s="539"/>
      <c r="D34" s="563"/>
      <c r="E34" s="527" t="s">
        <v>1824</v>
      </c>
      <c r="F34" s="622" t="b">
        <f>$O6="CLEAN"</f>
        <v>1</v>
      </c>
      <c r="G34" s="622" t="b">
        <f>$O7="CLEAN"</f>
        <v>1</v>
      </c>
      <c r="H34" s="622" t="b">
        <f>$O8="CLEAN"</f>
        <v>1</v>
      </c>
      <c r="I34" s="622" t="b">
        <f>$O9="CLEAN"</f>
        <v>1</v>
      </c>
      <c r="J34" s="622" t="b">
        <f>$O10="CLEAN"</f>
        <v>1</v>
      </c>
      <c r="K34" s="622" t="b">
        <f>$O11="CLEAN"</f>
        <v>1</v>
      </c>
      <c r="L34" t="s">
        <v>12</v>
      </c>
    </row>
    <row r="35" spans="2:12">
      <c r="B35" s="573" t="e">
        <f>NA()</f>
        <v>#N/A</v>
      </c>
      <c r="C35" s="539"/>
      <c r="E35" s="527" t="s">
        <v>1771</v>
      </c>
      <c r="F35" s="623" t="str">
        <f>VLOOKUP($M6,Settings.FrequencyLookupTable,2,0)</f>
        <v>Semi-Annual</v>
      </c>
      <c r="G35" s="619" t="str">
        <f>VLOOKUP($M7,Settings.FrequencyLookupTable,2,0)</f>
        <v>Semi-Annual</v>
      </c>
      <c r="H35" s="619" t="str">
        <f>VLOOKUP($M8,Settings.FrequencyLookupTable,2,0)</f>
        <v>Semi-Annual</v>
      </c>
      <c r="I35" s="619" t="str">
        <f>VLOOKUP($M9,Settings.FrequencyLookupTable,2,0)</f>
        <v>Semi-Annual</v>
      </c>
      <c r="J35" s="619" t="str">
        <f>VLOOKUP($M10,Settings.FrequencyLookupTable,2,0)</f>
        <v>Semi-Annual</v>
      </c>
      <c r="K35" s="619" t="str">
        <f>VLOOKUP($M11,Settings.FrequencyLookupTable,2,0)</f>
        <v>Semi-Annual</v>
      </c>
      <c r="L35" t="s">
        <v>12</v>
      </c>
    </row>
    <row r="36" spans="2:12">
      <c r="B36" s="573" t="e">
        <f>NA()</f>
        <v>#N/A</v>
      </c>
      <c r="C36" s="539"/>
      <c r="E36" s="527" t="s">
        <v>1772</v>
      </c>
      <c r="F36" s="624">
        <f>$K6/100</f>
        <v>1E-3</v>
      </c>
      <c r="G36" s="624">
        <f>$K7/100</f>
        <v>1.3999999999999999E-2</v>
      </c>
      <c r="H36" s="624">
        <f>$K8/100</f>
        <v>1E-3</v>
      </c>
      <c r="I36" s="624">
        <f>$K9/100</f>
        <v>8.0000000000000002E-3</v>
      </c>
      <c r="J36" s="624">
        <f>$K10/100</f>
        <v>1E-3</v>
      </c>
      <c r="K36" s="624">
        <f>$K11/100</f>
        <v>3.0000000000000001E-3</v>
      </c>
      <c r="L36" t="s">
        <v>12</v>
      </c>
    </row>
    <row r="37" spans="2:12">
      <c r="B37" s="573" t="e">
        <f>NA()</f>
        <v>#N/A</v>
      </c>
      <c r="C37" s="539"/>
      <c r="E37" s="527" t="s">
        <v>1825</v>
      </c>
      <c r="F37" s="619" t="str">
        <f>IF(UPPER(LEFT($L6,3))="BAD"="#","ACT/365",IF($L6="NL/365","ACT/365",$L6))</f>
        <v>ACT/365</v>
      </c>
      <c r="G37" s="619" t="str">
        <f>IF(UPPER(LEFT($L7,3))="BAD"="#","ACT/365",IF($L7="NL/365","ACT/365",$L7))</f>
        <v>ACT/365</v>
      </c>
      <c r="H37" s="619" t="str">
        <f>IF(UPPER(LEFT($L8,3))="BAD"="#","ACT/365",IF($L8="NL/365","ACT/365",$L8))</f>
        <v>ACT/365</v>
      </c>
      <c r="I37" s="619" t="str">
        <f>IF(UPPER(LEFT($L9,3))="BAD"="#","ACT/365",IF($L9="NL/365","ACT/365",$L9))</f>
        <v>ACT/365</v>
      </c>
      <c r="J37" s="619" t="str">
        <f>IF(UPPER(LEFT($L10,3))="BAD"="#","ACT/365",IF($L10="NL/365","ACT/365",$L10))</f>
        <v>ACT/365</v>
      </c>
      <c r="K37" s="619" t="str">
        <f>IF(UPPER(LEFT($L11,3))="BAD"="#","ACT/365",IF($L11="NL/365","ACT/365",$L11))</f>
        <v>ACT/365</v>
      </c>
      <c r="L37" t="s">
        <v>12</v>
      </c>
    </row>
    <row r="38" spans="2:12" ht="15" customHeight="1">
      <c r="B38" s="573" t="e">
        <f>NA()</f>
        <v>#N/A</v>
      </c>
      <c r="C38" s="539"/>
      <c r="E38" s="500" t="s">
        <v>1826</v>
      </c>
      <c r="F38" s="625" t="s">
        <v>38</v>
      </c>
      <c r="G38" s="625" t="s">
        <v>38</v>
      </c>
      <c r="H38" s="625" t="s">
        <v>38</v>
      </c>
      <c r="I38" s="625" t="s">
        <v>38</v>
      </c>
      <c r="J38" s="625" t="s">
        <v>38</v>
      </c>
      <c r="K38" s="625" t="s">
        <v>38</v>
      </c>
      <c r="L38" t="s">
        <v>12</v>
      </c>
    </row>
    <row r="39" spans="2:12" ht="15" customHeight="1">
      <c r="B39" s="573" t="e">
        <f>NA()</f>
        <v>#N/A</v>
      </c>
      <c r="C39" s="539"/>
      <c r="E39" s="500" t="s">
        <v>1827</v>
      </c>
      <c r="F39" s="625" t="s">
        <v>359</v>
      </c>
      <c r="G39" s="625" t="s">
        <v>359</v>
      </c>
      <c r="H39" s="625" t="s">
        <v>359</v>
      </c>
      <c r="I39" s="625" t="s">
        <v>359</v>
      </c>
      <c r="J39" s="625" t="s">
        <v>359</v>
      </c>
      <c r="K39" s="625" t="s">
        <v>359</v>
      </c>
      <c r="L39" t="s">
        <v>12</v>
      </c>
    </row>
    <row r="40" spans="2:12" ht="15" customHeight="1">
      <c r="B40" s="574" t="e">
        <f>NA()</f>
        <v>#N/A</v>
      </c>
      <c r="C40" s="540"/>
      <c r="E40" s="527" t="s">
        <v>1778</v>
      </c>
      <c r="F40" s="626">
        <f>$I6</f>
        <v>43296</v>
      </c>
      <c r="G40" s="626">
        <f>$I7</f>
        <v>43271</v>
      </c>
      <c r="H40" s="626">
        <f>$I8</f>
        <v>43271</v>
      </c>
      <c r="I40" s="626">
        <f>$I9</f>
        <v>43271</v>
      </c>
      <c r="J40" s="626">
        <f>$I10</f>
        <v>43271</v>
      </c>
      <c r="K40" s="626">
        <f>$I11</f>
        <v>43271</v>
      </c>
      <c r="L40" t="s">
        <v>12</v>
      </c>
    </row>
    <row r="41" spans="2:12">
      <c r="E41" s="527" t="s">
        <v>1779</v>
      </c>
      <c r="F41" s="627"/>
      <c r="G41" s="627"/>
      <c r="H41" s="627"/>
      <c r="I41" s="627"/>
      <c r="J41" s="627"/>
      <c r="K41" s="627"/>
      <c r="L41" t="s">
        <v>12</v>
      </c>
    </row>
    <row r="42" spans="2:12">
      <c r="E42" s="527" t="s">
        <v>1780</v>
      </c>
      <c r="F42" s="590"/>
      <c r="G42" s="590"/>
      <c r="H42" s="590"/>
      <c r="I42" s="590"/>
      <c r="J42" s="590"/>
      <c r="K42" s="590"/>
      <c r="L42" t="s">
        <v>12</v>
      </c>
    </row>
    <row r="43" spans="2:12">
      <c r="E43" s="527" t="s">
        <v>1782</v>
      </c>
      <c r="F43" s="593"/>
      <c r="G43" s="593"/>
      <c r="H43" s="593"/>
      <c r="I43" s="593"/>
      <c r="J43" s="593"/>
      <c r="K43" s="593"/>
      <c r="L43" t="s">
        <v>12</v>
      </c>
    </row>
    <row r="44" spans="2:12">
      <c r="E44" s="527" t="s">
        <v>1781</v>
      </c>
      <c r="F44" s="531" t="s">
        <v>356</v>
      </c>
      <c r="G44" s="531" t="s">
        <v>356</v>
      </c>
      <c r="H44" s="531" t="s">
        <v>356</v>
      </c>
      <c r="I44" s="531" t="s">
        <v>356</v>
      </c>
      <c r="J44" s="531" t="s">
        <v>356</v>
      </c>
      <c r="K44" s="531" t="s">
        <v>356</v>
      </c>
      <c r="L44" t="s">
        <v>12</v>
      </c>
    </row>
    <row r="45" spans="2:12">
      <c r="E45" s="527" t="s">
        <v>1783</v>
      </c>
      <c r="F45" s="619" t="str">
        <f>$E$3</f>
        <v>Semi-Annual</v>
      </c>
      <c r="G45" s="619" t="str">
        <f t="shared" ref="G45:K45" si="3">$E$3</f>
        <v>Semi-Annual</v>
      </c>
      <c r="H45" s="619" t="str">
        <f t="shared" si="3"/>
        <v>Semi-Annual</v>
      </c>
      <c r="I45" s="619" t="str">
        <f t="shared" si="3"/>
        <v>Semi-Annual</v>
      </c>
      <c r="J45" s="619" t="str">
        <f t="shared" si="3"/>
        <v>Semi-Annual</v>
      </c>
      <c r="K45" s="619" t="str">
        <f t="shared" si="3"/>
        <v>Semi-Annual</v>
      </c>
      <c r="L45" t="s">
        <v>12</v>
      </c>
    </row>
    <row r="46" spans="2:12">
      <c r="E46" s="600" t="s">
        <v>1784</v>
      </c>
      <c r="F46" s="601"/>
      <c r="G46" s="601"/>
      <c r="H46" s="601"/>
      <c r="I46" s="601"/>
      <c r="J46" s="601"/>
      <c r="K46" s="601"/>
      <c r="L46" t="s">
        <v>12</v>
      </c>
    </row>
    <row r="47" spans="2:12">
      <c r="E47" s="527" t="s">
        <v>1828</v>
      </c>
      <c r="F47" s="590" t="s">
        <v>3</v>
      </c>
      <c r="G47" s="590" t="s">
        <v>3</v>
      </c>
      <c r="H47" s="590" t="s">
        <v>3</v>
      </c>
      <c r="I47" s="590" t="s">
        <v>3</v>
      </c>
      <c r="J47" s="590" t="s">
        <v>3</v>
      </c>
      <c r="K47" s="590" t="s">
        <v>3</v>
      </c>
      <c r="L47" t="s">
        <v>12</v>
      </c>
    </row>
    <row r="48" spans="2:12">
      <c r="E48" s="500" t="s">
        <v>1829</v>
      </c>
      <c r="F48" s="625" t="s">
        <v>38</v>
      </c>
      <c r="G48" s="625" t="s">
        <v>38</v>
      </c>
      <c r="H48" s="625" t="s">
        <v>38</v>
      </c>
      <c r="I48" s="625" t="s">
        <v>38</v>
      </c>
      <c r="J48" s="625" t="s">
        <v>38</v>
      </c>
      <c r="K48" s="625" t="s">
        <v>38</v>
      </c>
      <c r="L48" t="s">
        <v>12</v>
      </c>
    </row>
    <row r="49" spans="5:12">
      <c r="E49" s="500" t="s">
        <v>1830</v>
      </c>
      <c r="F49" s="625" t="s">
        <v>359</v>
      </c>
      <c r="G49" s="625" t="s">
        <v>359</v>
      </c>
      <c r="H49" s="625" t="s">
        <v>359</v>
      </c>
      <c r="I49" s="625" t="s">
        <v>359</v>
      </c>
      <c r="J49" s="625" t="s">
        <v>359</v>
      </c>
      <c r="K49" s="625" t="s">
        <v>359</v>
      </c>
      <c r="L49" t="s">
        <v>12</v>
      </c>
    </row>
    <row r="50" spans="5:12">
      <c r="E50" s="527" t="s">
        <v>1792</v>
      </c>
      <c r="F50" s="628"/>
      <c r="G50" s="628"/>
      <c r="H50" s="628"/>
      <c r="I50" s="628"/>
      <c r="J50" s="628"/>
      <c r="K50" s="628"/>
      <c r="L50" t="s">
        <v>12</v>
      </c>
    </row>
    <row r="51" spans="5:12">
      <c r="E51" s="527" t="s">
        <v>1793</v>
      </c>
      <c r="F51" s="628"/>
      <c r="G51" s="628"/>
      <c r="H51" s="628"/>
      <c r="I51" s="628"/>
      <c r="J51" s="628"/>
      <c r="K51" s="628"/>
      <c r="L51" t="s">
        <v>12</v>
      </c>
    </row>
    <row r="52" spans="5:12">
      <c r="E52" s="527" t="s">
        <v>1794</v>
      </c>
      <c r="F52" s="629"/>
      <c r="G52" s="629"/>
      <c r="H52" s="629"/>
      <c r="I52" s="629"/>
      <c r="J52" s="629"/>
      <c r="K52" s="629"/>
      <c r="L52" t="s">
        <v>12</v>
      </c>
    </row>
    <row r="53" spans="5:12">
      <c r="E53" s="527" t="s">
        <v>1799</v>
      </c>
      <c r="F53" s="593" t="s">
        <v>358</v>
      </c>
      <c r="G53" s="593" t="s">
        <v>358</v>
      </c>
      <c r="H53" s="593" t="s">
        <v>358</v>
      </c>
      <c r="I53" s="593" t="s">
        <v>358</v>
      </c>
      <c r="J53" s="593" t="s">
        <v>358</v>
      </c>
      <c r="K53" s="593" t="s">
        <v>358</v>
      </c>
      <c r="L53" t="s">
        <v>12</v>
      </c>
    </row>
    <row r="54" spans="5:12">
      <c r="E54" s="527" t="s">
        <v>1795</v>
      </c>
      <c r="F54" s="531" t="s">
        <v>356</v>
      </c>
      <c r="G54" s="531" t="s">
        <v>356</v>
      </c>
      <c r="H54" s="531" t="s">
        <v>356</v>
      </c>
      <c r="I54" s="531" t="s">
        <v>356</v>
      </c>
      <c r="J54" s="531" t="s">
        <v>356</v>
      </c>
      <c r="K54" s="531" t="s">
        <v>356</v>
      </c>
      <c r="L54" t="s">
        <v>12</v>
      </c>
    </row>
    <row r="55" spans="5:12">
      <c r="E55" s="527" t="s">
        <v>1798</v>
      </c>
      <c r="F55" s="531" t="s">
        <v>356</v>
      </c>
      <c r="G55" s="531" t="s">
        <v>356</v>
      </c>
      <c r="H55" s="531" t="s">
        <v>356</v>
      </c>
      <c r="I55" s="531" t="s">
        <v>356</v>
      </c>
      <c r="J55" s="531" t="s">
        <v>356</v>
      </c>
      <c r="K55" s="531" t="s">
        <v>356</v>
      </c>
      <c r="L55" t="s">
        <v>12</v>
      </c>
    </row>
    <row r="56" spans="5:12">
      <c r="E56" s="527" t="s">
        <v>1796</v>
      </c>
      <c r="F56" s="597" t="str">
        <f ca="1">IF(ISBLANK(AssetSwap.ISIN1),"",_xll.meProductSwapStubRate($F$61:$F$65,$E$61:$E$65,,_xll.meUtilityLVBFromKeysValues($E$26:$E$55,F26:F55),FALSE))</f>
        <v>[2018/05/04 09:52] #Error: Invalid Curve: CurveIndex 'JPY1ML' in collection JPYYC does not exist</v>
      </c>
      <c r="G56" s="597" t="str">
        <f ca="1">IF(ISBLANK(AssetSwap.ISIN2),"",_xll.meProductSwapStubRate($F$61:$F$65,$E$61:$E$65,,_xll.meUtilityLVBFromKeysValues($E$26:$E$55,G26:G55),FALSE))</f>
        <v>[2018/05/04 09:52] #Error: Invalid Curve: CurveIndex 'JPY1ML' in collection JPYYC does not exist</v>
      </c>
      <c r="H56" s="597" t="str">
        <f ca="1">IF(ISBLANK(AssetSwap.ISIN3),"",_xll.meProductSwapStubRate($F$61:$F$65,$E$61:$E$65,,_xll.meUtilityLVBFromKeysValues($E$26:$E$55,H26:H55),FALSE))</f>
        <v>[2018/05/04 09:52] #Error: Invalid Curve: CurveIndex 'JPY1ML' in collection JPYYC does not exist</v>
      </c>
      <c r="I56" s="597" t="str">
        <f ca="1">IF(ISBLANK(AssetSwap.ISIN4),"",_xll.meProductSwapStubRate($F$61:$F$65,$E$61:$E$65,,_xll.meUtilityLVBFromKeysValues($E$26:$E$55,I26:I55),FALSE))</f>
        <v>[2018/05/04 09:52] #Error: Invalid Curve: CurveIndex 'JPY1ML' in collection JPYYC does not exist</v>
      </c>
      <c r="J56" s="597" t="str">
        <f ca="1">IF(ISBLANK(AssetSwap.ISIN5),"",_xll.meProductSwapStubRate($F$61:$F$65,$E$61:$E$65,,_xll.meUtilityLVBFromKeysValues($E$26:$E$55,J26:J55),FALSE))</f>
        <v>[2018/05/04 09:52] #Error: Invalid Curve: CurveIndex 'JPY1ML' in collection JPYYC does not exist</v>
      </c>
      <c r="K56" s="597" t="str">
        <f ca="1">IF(ISBLANK(AssetSwap.ISIN6),"",_xll.meProductSwapStubRate($F$61:$F$65,$E$61:$E$65,,_xll.meUtilityLVBFromKeysValues($E$26:$E$55,K26:K55),FALSE))</f>
        <v>[2018/05/04 09:52] #Error: Invalid Curve: CurveIndex 'JPY1ML' in collection JPYYC does not exist</v>
      </c>
      <c r="L56" t="s">
        <v>12</v>
      </c>
    </row>
    <row r="57" spans="5:12">
      <c r="E57" s="529" t="s">
        <v>1797</v>
      </c>
      <c r="F57" s="591"/>
      <c r="G57" s="591"/>
      <c r="H57" s="591"/>
      <c r="I57" s="591"/>
      <c r="J57" s="591"/>
      <c r="K57" s="591"/>
      <c r="L57" t="s">
        <v>12</v>
      </c>
    </row>
    <row r="59" spans="5:12">
      <c r="F59" s="149"/>
    </row>
    <row r="60" spans="5:12">
      <c r="E60" s="571" t="s">
        <v>1873</v>
      </c>
      <c r="F60" s="592"/>
    </row>
    <row r="61" spans="5:12">
      <c r="E61" s="509" t="s">
        <v>1434</v>
      </c>
      <c r="F61" s="594" t="s">
        <v>1919</v>
      </c>
    </row>
    <row r="62" spans="5:12">
      <c r="E62" s="510" t="s">
        <v>20</v>
      </c>
      <c r="F62" s="595" t="s">
        <v>1920</v>
      </c>
    </row>
    <row r="63" spans="5:12">
      <c r="E63" s="510" t="s">
        <v>51</v>
      </c>
      <c r="F63" s="595" t="s">
        <v>1033</v>
      </c>
    </row>
    <row r="64" spans="5:12">
      <c r="E64" s="510" t="s">
        <v>22</v>
      </c>
      <c r="F64" s="595" t="s">
        <v>1042</v>
      </c>
    </row>
    <row r="65" spans="5:6">
      <c r="E65" s="511"/>
      <c r="F65" s="596"/>
    </row>
    <row r="66" spans="5:6">
      <c r="E66" s="571"/>
      <c r="F66" s="424"/>
    </row>
    <row r="68" spans="5:6">
      <c r="F68" s="424"/>
    </row>
    <row r="69" spans="5:6">
      <c r="F69" s="424"/>
    </row>
    <row r="70" spans="5:6">
      <c r="F70" s="424"/>
    </row>
    <row r="71" spans="5:6">
      <c r="F71" s="424"/>
    </row>
    <row r="72" spans="5:6">
      <c r="F72" s="424"/>
    </row>
    <row r="73" spans="5:6">
      <c r="F73" s="424"/>
    </row>
  </sheetData>
  <dataValidations count="7">
    <dataValidation type="list" allowBlank="1" showInputMessage="1" showErrorMessage="1" sqref="F39:K39 F49:K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53:K53 F43:K43">
      <formula1>"None,ShortStart,ShortEnd,LongStart,LongEnd,SS,SE,LS,LE"</formula1>
    </dataValidation>
    <dataValidation type="list" allowBlank="1" showInputMessage="1" showErrorMessage="1" sqref="F27:K27">
      <formula1>"PAYER,RECEIVER"</formula1>
    </dataValidation>
    <dataValidation type="list" allowBlank="1" showInputMessage="1" showErrorMessage="1" sqref="F47:K47 F37:K37">
      <formula1>"ACT/ACT,ACT/365,ACT/365_ISDA,ACT/360,30/360,30E/360,ACT/365FJ"</formula1>
    </dataValidation>
    <dataValidation type="list" allowBlank="1" showInputMessage="1" showErrorMessage="1" sqref="F48:K48 F38:K3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7" width="14.7109375" bestFit="1" customWidth="1"/>
    <col min="18" max="18" width="12.7109375" customWidth="1"/>
    <col min="19" max="22" width="15.7109375" customWidth="1"/>
    <col min="23" max="24" width="20.7109375" bestFit="1" customWidth="1"/>
    <col min="25" max="25" width="15.7109375" customWidth="1"/>
    <col min="26" max="26" width="19.85546875" bestFit="1" customWidth="1"/>
    <col min="27" max="27" width="15.28515625" bestFit="1" customWidth="1"/>
    <col min="28" max="28" width="10.7109375" customWidth="1"/>
    <col min="29" max="29" width="17.42578125" bestFit="1" customWidth="1"/>
    <col min="30" max="30" width="13.140625" customWidth="1"/>
    <col min="31" max="31" width="15" bestFit="1" customWidth="1"/>
    <col min="32" max="32" width="11.7109375" customWidth="1"/>
    <col min="33" max="33" width="15" bestFit="1" customWidth="1"/>
    <col min="34" max="34" width="9.425781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1851</v>
      </c>
    </row>
    <row r="2" spans="2:36">
      <c r="D2" s="9"/>
      <c r="E2" s="107" t="s">
        <v>1921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F5" t="s">
        <v>12</v>
      </c>
    </row>
    <row r="6" spans="2:36">
      <c r="B6" s="509" t="s">
        <v>1862</v>
      </c>
      <c r="C6" s="580" t="s">
        <v>2515</v>
      </c>
      <c r="D6" s="335"/>
      <c r="E6" s="387" t="s">
        <v>1936</v>
      </c>
      <c r="F6" s="541" t="s">
        <v>1936</v>
      </c>
      <c r="G6" s="542" t="s">
        <v>1937</v>
      </c>
      <c r="H6" s="543">
        <v>43146</v>
      </c>
      <c r="I6" s="543">
        <v>43511</v>
      </c>
      <c r="J6" s="543">
        <v>46068</v>
      </c>
      <c r="K6" s="587">
        <v>0.5</v>
      </c>
      <c r="L6" s="583" t="s">
        <v>1440</v>
      </c>
      <c r="M6" s="584">
        <v>1</v>
      </c>
      <c r="N6" s="583" t="s">
        <v>146</v>
      </c>
      <c r="O6" s="544" t="s">
        <v>1849</v>
      </c>
      <c r="P6" s="544">
        <v>101.886</v>
      </c>
      <c r="Q6" s="544">
        <v>101.864</v>
      </c>
      <c r="R6" s="545">
        <v>101.907</v>
      </c>
      <c r="S6" s="546">
        <v>0.26043521966849387</v>
      </c>
      <c r="T6" s="544">
        <v>0.25496829093368728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  <c r="AI6" s="392"/>
    </row>
    <row r="7" spans="2:36">
      <c r="B7" s="510" t="s">
        <v>1863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1864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1865</v>
      </c>
      <c r="C9" s="581"/>
      <c r="D9" s="579" t="s">
        <v>1841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1866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1867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1850</v>
      </c>
      <c r="E14" s="571" t="s">
        <v>1844</v>
      </c>
      <c r="F14" s="630" t="str">
        <f>IF(ISBLANK(AssetSwap.ISIN1),"",AssetSwap.ISIN1)</f>
        <v>DE0001102390 Govt</v>
      </c>
      <c r="H14" s="234" t="s">
        <v>1852</v>
      </c>
      <c r="M14" s="372"/>
      <c r="V14" s="234" t="s">
        <v>1853</v>
      </c>
      <c r="AA14" s="372"/>
    </row>
    <row r="15" spans="2:36">
      <c r="B15" s="575" t="s">
        <v>1838</v>
      </c>
      <c r="C15" s="576" t="s">
        <v>1839</v>
      </c>
      <c r="E15" s="405" t="s">
        <v>1845</v>
      </c>
      <c r="F15" s="631">
        <f>IF(ISBLANK(AssetSwap.ISIN1),"",AVERAGE($Q6:$R6))</f>
        <v>101.88550000000001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[2018/05/04 09:52] #Error: Invalid Curve: CurveCollection 'EURYC' does not exist</v>
      </c>
      <c r="I15" s="1011" t="str">
        <f ca="1"/>
        <v/>
      </c>
      <c r="J15" s="1011" t="str">
        <f ca="1"/>
        <v/>
      </c>
      <c r="K15" s="1012" t="str">
        <f ca="1"/>
        <v/>
      </c>
      <c r="L15" s="1011" t="str">
        <f ca="1"/>
        <v/>
      </c>
      <c r="M15" s="1095" t="str">
        <f ca="1"/>
        <v/>
      </c>
      <c r="N15" s="1095" t="str">
        <f ca="1"/>
        <v/>
      </c>
      <c r="O15" s="1091" t="str">
        <f ca="1"/>
        <v/>
      </c>
      <c r="P15" s="1092" t="str">
        <f ca="1"/>
        <v/>
      </c>
      <c r="Q15" s="1093" t="str">
        <f ca="1"/>
        <v/>
      </c>
      <c r="R15" s="1012" t="str">
        <f ca="1"/>
        <v/>
      </c>
      <c r="S15" s="1012" t="str">
        <f ca="1"/>
        <v/>
      </c>
      <c r="T15" s="1031" t="str">
        <f ca="1"/>
        <v/>
      </c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[2018/05/04 09:52] #Error: Invalid Curve: CurveCollection 'EURYC' does not exist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1934</v>
      </c>
      <c r="F16" s="646" t="str">
        <f>IF(ISBLANK(AssetSwap.ISIN1),"",$O$6)</f>
        <v>CLEAN</v>
      </c>
      <c r="G16" t="s">
        <v>12</v>
      </c>
      <c r="H16" s="1015" t="str">
        <f ca="1"/>
        <v/>
      </c>
      <c r="I16" s="1006" t="str">
        <f ca="1"/>
        <v/>
      </c>
      <c r="J16" s="1016" t="str">
        <f ca="1"/>
        <v/>
      </c>
      <c r="K16" s="1017" t="str">
        <f ca="1"/>
        <v/>
      </c>
      <c r="L16" s="1006" t="str">
        <f ca="1"/>
        <v/>
      </c>
      <c r="M16" s="1016" t="str">
        <f ca="1"/>
        <v/>
      </c>
      <c r="N16" s="1016" t="str">
        <f ca="1"/>
        <v/>
      </c>
      <c r="O16" s="1027" t="str">
        <f ca="1"/>
        <v/>
      </c>
      <c r="P16" s="1017" t="str">
        <f ca="1"/>
        <v/>
      </c>
      <c r="Q16" s="1018" t="str">
        <f ca="1"/>
        <v/>
      </c>
      <c r="R16" s="1016" t="str">
        <f ca="1"/>
        <v/>
      </c>
      <c r="S16" s="1004" t="str">
        <f ca="1"/>
        <v/>
      </c>
      <c r="T16" s="1028" t="str">
        <f ca="1"/>
        <v/>
      </c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1821</v>
      </c>
      <c r="C17" s="539" t="s">
        <v>1471</v>
      </c>
      <c r="E17" s="577" t="s">
        <v>1854</v>
      </c>
      <c r="F17" s="632"/>
      <c r="G17" s="647" t="s">
        <v>1935</v>
      </c>
      <c r="H17" s="1015" t="str">
        <f ca="1"/>
        <v/>
      </c>
      <c r="I17" s="1006" t="str">
        <f ca="1"/>
        <v/>
      </c>
      <c r="J17" s="1016" t="str">
        <f ca="1"/>
        <v/>
      </c>
      <c r="K17" s="1017" t="str">
        <f ca="1"/>
        <v/>
      </c>
      <c r="L17" s="1006" t="str">
        <f ca="1"/>
        <v/>
      </c>
      <c r="M17" s="1016" t="str">
        <f ca="1"/>
        <v/>
      </c>
      <c r="N17" s="1016" t="str">
        <f ca="1"/>
        <v/>
      </c>
      <c r="O17" s="1027" t="str">
        <f ca="1"/>
        <v/>
      </c>
      <c r="P17" s="1017" t="str">
        <f ca="1"/>
        <v/>
      </c>
      <c r="Q17" s="1018" t="str">
        <f ca="1"/>
        <v/>
      </c>
      <c r="R17" s="1016" t="str">
        <f ca="1"/>
        <v/>
      </c>
      <c r="S17" s="1004" t="str">
        <f ca="1"/>
        <v/>
      </c>
      <c r="T17" s="1028" t="str">
        <f ca="1"/>
        <v/>
      </c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1939</v>
      </c>
      <c r="C18" s="539" t="s">
        <v>1938</v>
      </c>
      <c r="E18" s="568" t="s">
        <v>1856</v>
      </c>
      <c r="F18" s="633" t="str">
        <f ca="1">_xll.meProductAssetSwapSpread(IF(ISBLANK($F$17),$F$15,$F$17),_xll.meUtilityLVBFromKeysValues($E$25:$E$57,$F$25:$F$57),FALSE)</f>
        <v>[2018/05/04 09:52] #Error: Invalid Curve: CurveCollection 'EURYC' does not exist</v>
      </c>
      <c r="G18" s="234" t="e">
        <f ca="1">ROUND(F18,1)&amp;" bps"</f>
        <v>#VALUE!</v>
      </c>
      <c r="H18" s="1015" t="str">
        <f ca="1"/>
        <v/>
      </c>
      <c r="I18" s="1006" t="str">
        <f ca="1"/>
        <v/>
      </c>
      <c r="J18" s="1016" t="str">
        <f ca="1"/>
        <v/>
      </c>
      <c r="K18" s="1017" t="str">
        <f ca="1"/>
        <v/>
      </c>
      <c r="L18" s="1006" t="str">
        <f ca="1"/>
        <v/>
      </c>
      <c r="M18" s="1016" t="str">
        <f ca="1"/>
        <v/>
      </c>
      <c r="N18" s="1016" t="str">
        <f ca="1"/>
        <v/>
      </c>
      <c r="O18" s="1027" t="str">
        <f ca="1"/>
        <v/>
      </c>
      <c r="P18" s="1017" t="str">
        <f ca="1"/>
        <v/>
      </c>
      <c r="Q18" s="1018" t="str">
        <f ca="1"/>
        <v/>
      </c>
      <c r="R18" s="1016" t="str">
        <f ca="1"/>
        <v/>
      </c>
      <c r="S18" s="1004" t="str">
        <f ca="1"/>
        <v/>
      </c>
      <c r="T18" s="1028" t="str">
        <f ca="1"/>
        <v/>
      </c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2.5770175530109058E-3</v>
      </c>
      <c r="G19" t="s">
        <v>12</v>
      </c>
      <c r="H19" s="1015" t="str">
        <f ca="1"/>
        <v/>
      </c>
      <c r="I19" s="1006" t="str">
        <f ca="1"/>
        <v/>
      </c>
      <c r="J19" s="1016" t="str">
        <f ca="1"/>
        <v/>
      </c>
      <c r="K19" s="1017" t="str">
        <f ca="1"/>
        <v/>
      </c>
      <c r="L19" s="1006" t="str">
        <f ca="1"/>
        <v/>
      </c>
      <c r="M19" s="1016" t="str">
        <f ca="1"/>
        <v/>
      </c>
      <c r="N19" s="1016" t="str">
        <f ca="1"/>
        <v/>
      </c>
      <c r="O19" s="1027" t="str">
        <f ca="1"/>
        <v/>
      </c>
      <c r="P19" s="1017" t="str">
        <f ca="1"/>
        <v/>
      </c>
      <c r="Q19" s="1018" t="str">
        <f ca="1"/>
        <v/>
      </c>
      <c r="R19" s="1016" t="str">
        <f ca="1"/>
        <v/>
      </c>
      <c r="S19" s="1004" t="str">
        <f ca="1"/>
        <v/>
      </c>
      <c r="T19" s="1028" t="str">
        <f ca="1"/>
        <v/>
      </c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1769</v>
      </c>
      <c r="C20" s="539" t="s">
        <v>1472</v>
      </c>
      <c r="E20" s="577" t="s">
        <v>1855</v>
      </c>
      <c r="F20" s="635"/>
      <c r="G20" t="s">
        <v>12</v>
      </c>
      <c r="H20" s="1015" t="str">
        <f ca="1"/>
        <v/>
      </c>
      <c r="I20" s="1006" t="str">
        <f ca="1"/>
        <v/>
      </c>
      <c r="J20" s="1016" t="str">
        <f ca="1"/>
        <v/>
      </c>
      <c r="K20" s="1017" t="str">
        <f ca="1"/>
        <v/>
      </c>
      <c r="L20" s="1006" t="str">
        <f ca="1"/>
        <v/>
      </c>
      <c r="M20" s="1016" t="str">
        <f ca="1"/>
        <v/>
      </c>
      <c r="N20" s="1016" t="str">
        <f ca="1"/>
        <v/>
      </c>
      <c r="O20" s="1027" t="str">
        <f ca="1"/>
        <v/>
      </c>
      <c r="P20" s="1017" t="str">
        <f ca="1"/>
        <v/>
      </c>
      <c r="Q20" s="1018" t="str">
        <f ca="1"/>
        <v/>
      </c>
      <c r="R20" s="1016" t="str">
        <f ca="1"/>
        <v/>
      </c>
      <c r="S20" s="1004" t="str">
        <f ca="1"/>
        <v/>
      </c>
      <c r="T20" s="1028" t="str">
        <f ca="1"/>
        <v/>
      </c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1843</v>
      </c>
      <c r="F21" s="636" t="str">
        <f ca="1">_xll.meProductSwapParRate(_xll.meUtilityLVBFromKeysValues($E$25:$E$57,$F$25:$F$57),FALSE)</f>
        <v>[2018/05/04 09:52] #Error: Invalid Curve: CurveCollection 'EURYC' does not exist</v>
      </c>
      <c r="G21" s="647" t="s">
        <v>1859</v>
      </c>
      <c r="H21" s="1015" t="str">
        <f ca="1"/>
        <v/>
      </c>
      <c r="I21" s="1006" t="str">
        <f ca="1"/>
        <v/>
      </c>
      <c r="J21" s="1016" t="str">
        <f ca="1"/>
        <v/>
      </c>
      <c r="K21" s="1017" t="str">
        <f ca="1"/>
        <v/>
      </c>
      <c r="L21" s="1006" t="str">
        <f ca="1"/>
        <v/>
      </c>
      <c r="M21" s="1016" t="str">
        <f ca="1"/>
        <v/>
      </c>
      <c r="N21" s="1016" t="str">
        <f ca="1"/>
        <v/>
      </c>
      <c r="O21" s="1027" t="str">
        <f ca="1"/>
        <v/>
      </c>
      <c r="P21" s="1017" t="str">
        <f ca="1"/>
        <v/>
      </c>
      <c r="Q21" s="1018" t="str">
        <f ca="1"/>
        <v/>
      </c>
      <c r="R21" s="1016" t="str">
        <f ca="1"/>
        <v/>
      </c>
      <c r="S21" s="1004" t="str">
        <f ca="1"/>
        <v/>
      </c>
      <c r="T21" s="1028" t="str">
        <f ca="1"/>
        <v/>
      </c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1857</v>
      </c>
      <c r="F22" s="633" t="e">
        <f ca="1">(IF(ISBLANK($F$20),$F$19,$F$20)-$F$21)*10000</f>
        <v>#VALUE!</v>
      </c>
      <c r="G22" s="234" t="e">
        <f ca="1">ROUND(F22,1)&amp;" bps"</f>
        <v>#VALUE!</v>
      </c>
      <c r="H22" s="1015" t="str">
        <f ca="1"/>
        <v/>
      </c>
      <c r="I22" s="1006" t="str">
        <f ca="1"/>
        <v/>
      </c>
      <c r="J22" s="1016" t="str">
        <f ca="1"/>
        <v/>
      </c>
      <c r="K22" s="1017" t="str">
        <f ca="1"/>
        <v/>
      </c>
      <c r="L22" s="1006" t="str">
        <f ca="1"/>
        <v/>
      </c>
      <c r="M22" s="1016" t="str">
        <f ca="1"/>
        <v/>
      </c>
      <c r="N22" s="1016" t="str">
        <f ca="1"/>
        <v/>
      </c>
      <c r="O22" s="1027" t="str">
        <f ca="1"/>
        <v/>
      </c>
      <c r="P22" s="1017" t="str">
        <f ca="1"/>
        <v/>
      </c>
      <c r="Q22" s="1018" t="str">
        <f ca="1"/>
        <v/>
      </c>
      <c r="R22" s="1016" t="str">
        <f ca="1"/>
        <v/>
      </c>
      <c r="S22" s="1004" t="str">
        <f ca="1"/>
        <v/>
      </c>
      <c r="T22" s="1028" t="str">
        <f ca="1"/>
        <v/>
      </c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 t="str">
        <f ca="1"/>
        <v/>
      </c>
      <c r="I23" s="1006" t="str">
        <f ca="1"/>
        <v/>
      </c>
      <c r="J23" s="1016" t="str">
        <f ca="1"/>
        <v/>
      </c>
      <c r="K23" s="1017" t="str">
        <f ca="1"/>
        <v/>
      </c>
      <c r="L23" s="1006" t="str">
        <f ca="1"/>
        <v/>
      </c>
      <c r="M23" s="1016" t="str">
        <f ca="1"/>
        <v/>
      </c>
      <c r="N23" s="1016" t="str">
        <f ca="1"/>
        <v/>
      </c>
      <c r="O23" s="1027" t="str">
        <f ca="1"/>
        <v/>
      </c>
      <c r="P23" s="1017" t="str">
        <f ca="1"/>
        <v/>
      </c>
      <c r="Q23" s="1018" t="str">
        <f ca="1"/>
        <v/>
      </c>
      <c r="R23" s="1016" t="str">
        <f ca="1"/>
        <v/>
      </c>
      <c r="S23" s="1004" t="str">
        <f ca="1"/>
        <v/>
      </c>
      <c r="T23" s="1028" t="str">
        <f ca="1"/>
        <v/>
      </c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 t="str">
        <f ca="1"/>
        <v/>
      </c>
      <c r="I24" s="1006" t="str">
        <f ca="1"/>
        <v/>
      </c>
      <c r="J24" s="1016" t="str">
        <f ca="1"/>
        <v/>
      </c>
      <c r="K24" s="1017" t="str">
        <f ca="1"/>
        <v/>
      </c>
      <c r="L24" s="1006" t="str">
        <f ca="1"/>
        <v/>
      </c>
      <c r="M24" s="1016" t="str">
        <f ca="1"/>
        <v/>
      </c>
      <c r="N24" s="1016" t="str">
        <f ca="1"/>
        <v/>
      </c>
      <c r="O24" s="1027" t="str">
        <f ca="1"/>
        <v/>
      </c>
      <c r="P24" s="1017" t="str">
        <f ca="1"/>
        <v/>
      </c>
      <c r="Q24" s="1018" t="str">
        <f ca="1"/>
        <v/>
      </c>
      <c r="R24" s="1016" t="str">
        <f ca="1"/>
        <v/>
      </c>
      <c r="S24" s="1004" t="str">
        <f ca="1"/>
        <v/>
      </c>
      <c r="T24" s="1028" t="str">
        <f ca="1"/>
        <v/>
      </c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1847</v>
      </c>
      <c r="C25" s="539" t="s">
        <v>1848</v>
      </c>
      <c r="E25" s="571" t="s">
        <v>1869</v>
      </c>
      <c r="F25" s="764" t="str">
        <f>IF(ISBLANK(AssetSwap.ISIN1),"",AssetSwap.ISIN1)</f>
        <v>DE0001102390 Govt</v>
      </c>
      <c r="G25" t="s">
        <v>12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1803</v>
      </c>
      <c r="F26" s="1268" t="s">
        <v>1822</v>
      </c>
      <c r="G26" t="s">
        <v>12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1831</v>
      </c>
      <c r="C27" s="539" t="s">
        <v>1835</v>
      </c>
      <c r="E27" s="639" t="s">
        <v>354</v>
      </c>
      <c r="F27" s="1269">
        <v>1000000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1832</v>
      </c>
      <c r="C28" s="539" t="s">
        <v>1836</v>
      </c>
      <c r="D28" s="563"/>
      <c r="E28" s="639" t="s">
        <v>1823</v>
      </c>
      <c r="F28" s="621">
        <f>$H$6</f>
        <v>43146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1833</v>
      </c>
      <c r="C29" s="539" t="s">
        <v>2362</v>
      </c>
      <c r="D29" s="564" t="s">
        <v>361</v>
      </c>
      <c r="E29" s="639" t="s">
        <v>1768</v>
      </c>
      <c r="F29" s="621">
        <f ca="1">_xll.meDateFromTenor(COB,D29,F38,F39)</f>
        <v>43228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1834</v>
      </c>
      <c r="C30" s="539" t="s">
        <v>2363</v>
      </c>
      <c r="D30" s="565"/>
      <c r="E30" s="639" t="s">
        <v>1769</v>
      </c>
      <c r="F30" s="621">
        <f>$J$6</f>
        <v>46068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1770</v>
      </c>
      <c r="F31" s="528" t="s">
        <v>1045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1443</v>
      </c>
      <c r="F32" s="532" t="str">
        <f>LEFT(F31,3)&amp;IF($E$3="Semi-Annual","6ML","3ML")</f>
        <v>EUR6ML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1444</v>
      </c>
      <c r="F33" s="532" t="str">
        <f>LEFT(F31,3)&amp;"DF_"&amp;$D$33</f>
        <v>EURDF_NOCSA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1824</v>
      </c>
      <c r="F34" s="622" t="b">
        <f>$O$6="CLEAN"</f>
        <v>1</v>
      </c>
      <c r="G34" s="578" t="str">
        <f>IF(F34,"Clean Bond Px","Dirty Bond Px")</f>
        <v>Clean Bond Px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1771</v>
      </c>
      <c r="F35" s="623" t="str">
        <f>VLOOKUP($M6,Settings.FrequencyLookupTable,2,0)</f>
        <v>Annual</v>
      </c>
      <c r="G35" t="s">
        <v>12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1772</v>
      </c>
      <c r="F36" s="624">
        <f>$K$6/100</f>
        <v>5.0000000000000001E-3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1825</v>
      </c>
      <c r="F37" s="619" t="str">
        <f>IF(UPPER(LEFT($L$6,3))="BAD"="#","ACT/365",IF($L$6="NL/365","ACT/365",$L$6))</f>
        <v>ACT/ACT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1826</v>
      </c>
      <c r="F38" s="625" t="s">
        <v>38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1827</v>
      </c>
      <c r="F39" s="625" t="s">
        <v>0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1778</v>
      </c>
      <c r="F40" s="626">
        <f>$I$6</f>
        <v>43511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1779</v>
      </c>
      <c r="F41" s="627"/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1780</v>
      </c>
      <c r="F42" s="590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1782</v>
      </c>
      <c r="F43" s="593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1781</v>
      </c>
      <c r="F44" s="531" t="s">
        <v>356</v>
      </c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1783</v>
      </c>
      <c r="F45" s="619" t="str">
        <f>$E$3</f>
        <v>Semi-Annual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1784</v>
      </c>
      <c r="F46" s="601">
        <v>0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1828</v>
      </c>
      <c r="F47" s="590" t="s">
        <v>3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1829</v>
      </c>
      <c r="F48" s="625" t="s">
        <v>38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1830</v>
      </c>
      <c r="F49" s="625" t="s">
        <v>0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1792</v>
      </c>
      <c r="F50" s="628"/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1793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1794</v>
      </c>
      <c r="F52" s="629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1799</v>
      </c>
      <c r="F53" s="593" t="s">
        <v>358</v>
      </c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1795</v>
      </c>
      <c r="F54" s="531" t="s">
        <v>356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1798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1796</v>
      </c>
      <c r="F56" s="597" t="str">
        <f ca="1">_xll.meProductSwapStubRate($F$61:$F$65,$E$61:$E$65,,_xll.meUtilityLVBFromKeysValues($E$25:$E$55,F25:F55),FALSE)</f>
        <v>[2018/05/04 09:52] #Error: Invalid Curve: CurveCollection 'EURYC' does not exist</v>
      </c>
      <c r="G56" s="315" t="s">
        <v>1858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1797</v>
      </c>
      <c r="F57" s="591"/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1873</v>
      </c>
      <c r="F60" s="592"/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1434</v>
      </c>
      <c r="F61" s="594" t="s">
        <v>1870</v>
      </c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1871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1031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1039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 t="s">
        <v>250</v>
      </c>
      <c r="F65" s="596" t="s">
        <v>1872</v>
      </c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H17:T52">
    <cfRule type="expression" dxfId="39" priority="4">
      <formula>ISNA(H17)</formula>
    </cfRule>
  </conditionalFormatting>
  <conditionalFormatting sqref="V54:AH190">
    <cfRule type="expression" dxfId="38" priority="1">
      <formula>ISNA(V54)</formula>
    </cfRule>
  </conditionalFormatting>
  <conditionalFormatting sqref="H16:T16 I15:T15">
    <cfRule type="expression" dxfId="37" priority="8">
      <formula>ISNA(H15)</formula>
    </cfRule>
  </conditionalFormatting>
  <conditionalFormatting sqref="H15">
    <cfRule type="expression" dxfId="36" priority="7">
      <formula>ISNA(H15)</formula>
    </cfRule>
  </conditionalFormatting>
  <conditionalFormatting sqref="V16:AH16 W15:AH15">
    <cfRule type="expression" dxfId="35" priority="6">
      <formula>ISNA(V15)</formula>
    </cfRule>
  </conditionalFormatting>
  <conditionalFormatting sqref="V15">
    <cfRule type="expression" dxfId="34" priority="5">
      <formula>ISNA(V15)</formula>
    </cfRule>
  </conditionalFormatting>
  <conditionalFormatting sqref="V17:AH53">
    <cfRule type="expression" dxfId="33" priority="3">
      <formula>ISNA(V17)</formula>
    </cfRule>
  </conditionalFormatting>
  <conditionalFormatting sqref="H53:T190">
    <cfRule type="expression" dxfId="32" priority="2">
      <formula>ISNA(H53)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5703125" bestFit="1" customWidth="1"/>
    <col min="12" max="12" width="15.7109375" customWidth="1"/>
    <col min="13" max="13" width="12.7109375" customWidth="1"/>
    <col min="14" max="14" width="17.42578125" bestFit="1" customWidth="1"/>
    <col min="15" max="15" width="12.7109375" customWidth="1"/>
    <col min="16" max="16" width="14.85546875" bestFit="1" customWidth="1"/>
    <col min="17" max="17" width="15" bestFit="1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.42578125" bestFit="1" customWidth="1"/>
    <col min="28" max="28" width="10.42578125" customWidth="1"/>
    <col min="29" max="29" width="17.28515625" bestFit="1" customWidth="1"/>
    <col min="30" max="30" width="13.140625" customWidth="1"/>
    <col min="31" max="32" width="15.7109375" customWidth="1"/>
    <col min="33" max="33" width="10.28515625" customWidth="1"/>
    <col min="34" max="34" width="8.5703125" customWidth="1"/>
    <col min="35" max="35" width="14.28515625" bestFit="1" customWidth="1"/>
    <col min="36" max="36" width="10.28515625" bestFit="1" customWidth="1"/>
  </cols>
  <sheetData>
    <row r="1" spans="2:36">
      <c r="D1" s="9" t="s">
        <v>1851</v>
      </c>
    </row>
    <row r="2" spans="2:36">
      <c r="D2" s="9"/>
      <c r="E2" s="107" t="s">
        <v>1921</v>
      </c>
    </row>
    <row r="3" spans="2:36">
      <c r="D3" s="9"/>
      <c r="E3" s="380" t="s">
        <v>75</v>
      </c>
    </row>
    <row r="4" spans="2:36">
      <c r="E4" s="335"/>
      <c r="F4" s="335"/>
    </row>
    <row r="5" spans="2:36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1862</v>
      </c>
      <c r="C6" s="580" t="s">
        <v>2514</v>
      </c>
      <c r="D6" s="335"/>
      <c r="E6" s="387" t="s">
        <v>1903</v>
      </c>
      <c r="F6" s="541" t="s">
        <v>1903</v>
      </c>
      <c r="G6" s="542" t="s">
        <v>1904</v>
      </c>
      <c r="H6" s="543">
        <v>43054</v>
      </c>
      <c r="I6" s="543">
        <v>43235</v>
      </c>
      <c r="J6" s="543">
        <v>53462</v>
      </c>
      <c r="K6" s="587">
        <v>2.5</v>
      </c>
      <c r="L6" s="583" t="s">
        <v>1440</v>
      </c>
      <c r="M6" s="584">
        <v>2</v>
      </c>
      <c r="N6" s="583" t="s">
        <v>1441</v>
      </c>
      <c r="O6" s="544" t="s">
        <v>1849</v>
      </c>
      <c r="P6" s="544">
        <v>89.890625</v>
      </c>
      <c r="Q6" s="544">
        <v>89.84375</v>
      </c>
      <c r="R6" s="545">
        <v>89.890625</v>
      </c>
      <c r="S6" s="546">
        <v>3.0396185999999998</v>
      </c>
      <c r="T6" s="544">
        <v>3.0369535999999999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1863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1864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1865</v>
      </c>
      <c r="C9" s="581"/>
      <c r="D9" s="579" t="s">
        <v>1841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1866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1867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1850</v>
      </c>
      <c r="E14" s="571" t="s">
        <v>1844</v>
      </c>
      <c r="F14" s="630" t="str">
        <f>IF(ISBLANK(AssetSwap.ISIN1),"",AssetSwap.ISIN1)</f>
        <v>US912810RS96 Govt</v>
      </c>
      <c r="H14" s="998" t="s">
        <v>1852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1853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1838</v>
      </c>
      <c r="C15" s="576" t="s">
        <v>1839</v>
      </c>
      <c r="E15" s="405" t="s">
        <v>1845</v>
      </c>
      <c r="F15" s="631">
        <f>IF(ISBLANK(AssetSwap.ISIN1),"",AVERAGE($Q6:$R6))</f>
        <v>89.8671875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[2018/05/04 09:52] #Error: Invalid Curve: CurveCollection 'USDYC' does not exist</v>
      </c>
      <c r="I15" s="1011" t="str">
        <f ca="1"/>
        <v/>
      </c>
      <c r="J15" s="1011" t="str">
        <f ca="1"/>
        <v/>
      </c>
      <c r="K15" s="1012" t="str">
        <f ca="1"/>
        <v/>
      </c>
      <c r="L15" s="1011" t="str">
        <f ca="1"/>
        <v/>
      </c>
      <c r="M15" s="1095" t="str">
        <f ca="1"/>
        <v/>
      </c>
      <c r="N15" s="1095" t="str">
        <f ca="1"/>
        <v/>
      </c>
      <c r="O15" s="1091" t="str">
        <f ca="1"/>
        <v/>
      </c>
      <c r="P15" s="1092" t="str">
        <f ca="1"/>
        <v/>
      </c>
      <c r="Q15" s="1093" t="str">
        <f ca="1"/>
        <v/>
      </c>
      <c r="R15" s="1012" t="str">
        <f ca="1"/>
        <v/>
      </c>
      <c r="S15" s="1012" t="str">
        <f ca="1"/>
        <v/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[2018/05/04 09:52] #Error: Invalid Curve: CurveCollection 'USDYC' does not exist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1934</v>
      </c>
      <c r="F16" s="646" t="str">
        <f>IF(ISBLANK(AssetSwap.ISIN1),"",$O$6)</f>
        <v>CLEAN</v>
      </c>
      <c r="G16" t="s">
        <v>12</v>
      </c>
      <c r="H16" s="1015" t="str">
        <f ca="1"/>
        <v/>
      </c>
      <c r="I16" s="1006" t="str">
        <f ca="1"/>
        <v/>
      </c>
      <c r="J16" s="1016" t="str">
        <f ca="1"/>
        <v/>
      </c>
      <c r="K16" s="1017" t="str">
        <f ca="1"/>
        <v/>
      </c>
      <c r="L16" s="1006" t="str">
        <f ca="1"/>
        <v/>
      </c>
      <c r="M16" s="1016" t="str">
        <f ca="1"/>
        <v/>
      </c>
      <c r="N16" s="1016" t="str">
        <f ca="1"/>
        <v/>
      </c>
      <c r="O16" s="1027" t="str">
        <f ca="1"/>
        <v/>
      </c>
      <c r="P16" s="1017" t="str">
        <f ca="1"/>
        <v/>
      </c>
      <c r="Q16" s="1018" t="str">
        <f ca="1"/>
        <v/>
      </c>
      <c r="R16" s="1016" t="str">
        <f ca="1"/>
        <v/>
      </c>
      <c r="S16" s="1004" t="str">
        <f ca="1"/>
        <v/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1821</v>
      </c>
      <c r="C17" s="539" t="s">
        <v>1471</v>
      </c>
      <c r="E17" s="577" t="s">
        <v>1854</v>
      </c>
      <c r="F17" s="632"/>
      <c r="G17" s="647" t="s">
        <v>1935</v>
      </c>
      <c r="H17" s="1015" t="str">
        <f ca="1"/>
        <v/>
      </c>
      <c r="I17" s="1006" t="str">
        <f ca="1"/>
        <v/>
      </c>
      <c r="J17" s="1016" t="str">
        <f ca="1"/>
        <v/>
      </c>
      <c r="K17" s="1017" t="str">
        <f ca="1"/>
        <v/>
      </c>
      <c r="L17" s="1006" t="str">
        <f ca="1"/>
        <v/>
      </c>
      <c r="M17" s="1016" t="str">
        <f ca="1"/>
        <v/>
      </c>
      <c r="N17" s="1016" t="str">
        <f ca="1"/>
        <v/>
      </c>
      <c r="O17" s="1027" t="str">
        <f ca="1"/>
        <v/>
      </c>
      <c r="P17" s="1017" t="str">
        <f ca="1"/>
        <v/>
      </c>
      <c r="Q17" s="1018" t="str">
        <f ca="1"/>
        <v/>
      </c>
      <c r="R17" s="1016" t="str">
        <f ca="1"/>
        <v/>
      </c>
      <c r="S17" s="1004" t="str">
        <f ca="1"/>
        <v/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1939</v>
      </c>
      <c r="C18" s="539" t="s">
        <v>1938</v>
      </c>
      <c r="E18" s="568" t="s">
        <v>1856</v>
      </c>
      <c r="F18" s="633" t="str">
        <f ca="1">_xll.meProductAssetSwapSpread(IF(ISBLANK($F$17),$F$15,$F$17),_xll.meUtilityLVBFromKeysValues($E$25:$E$57,$F$25:$F$57),FALSE)</f>
        <v>[2018/05/04 09:52] #Error: Invalid Curve: CurveCollection 'USDYC' does not exist</v>
      </c>
      <c r="G18" s="234" t="e">
        <f ca="1">ROUND(F18,1)&amp;" bps"</f>
        <v>#VALUE!</v>
      </c>
      <c r="H18" s="1015" t="str">
        <f ca="1"/>
        <v/>
      </c>
      <c r="I18" s="1006" t="str">
        <f ca="1"/>
        <v/>
      </c>
      <c r="J18" s="1016" t="str">
        <f ca="1"/>
        <v/>
      </c>
      <c r="K18" s="1017" t="str">
        <f ca="1"/>
        <v/>
      </c>
      <c r="L18" s="1006" t="str">
        <f ca="1"/>
        <v/>
      </c>
      <c r="M18" s="1016" t="str">
        <f ca="1"/>
        <v/>
      </c>
      <c r="N18" s="1016" t="str">
        <f ca="1"/>
        <v/>
      </c>
      <c r="O18" s="1027" t="str">
        <f ca="1"/>
        <v/>
      </c>
      <c r="P18" s="1017" t="str">
        <f ca="1"/>
        <v/>
      </c>
      <c r="Q18" s="1018" t="str">
        <f ca="1"/>
        <v/>
      </c>
      <c r="R18" s="1016" t="str">
        <f ca="1"/>
        <v/>
      </c>
      <c r="S18" s="1004" t="str">
        <f ca="1"/>
        <v/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3.0382860999999997E-2</v>
      </c>
      <c r="G19" t="s">
        <v>12</v>
      </c>
      <c r="H19" s="1015" t="str">
        <f ca="1"/>
        <v/>
      </c>
      <c r="I19" s="1006" t="str">
        <f ca="1"/>
        <v/>
      </c>
      <c r="J19" s="1016" t="str">
        <f ca="1"/>
        <v/>
      </c>
      <c r="K19" s="1017" t="str">
        <f ca="1"/>
        <v/>
      </c>
      <c r="L19" s="1006" t="str">
        <f ca="1"/>
        <v/>
      </c>
      <c r="M19" s="1016" t="str">
        <f ca="1"/>
        <v/>
      </c>
      <c r="N19" s="1016" t="str">
        <f ca="1"/>
        <v/>
      </c>
      <c r="O19" s="1027" t="str">
        <f ca="1"/>
        <v/>
      </c>
      <c r="P19" s="1017" t="str">
        <f ca="1"/>
        <v/>
      </c>
      <c r="Q19" s="1018" t="str">
        <f ca="1"/>
        <v/>
      </c>
      <c r="R19" s="1016" t="str">
        <f ca="1"/>
        <v/>
      </c>
      <c r="S19" s="1004" t="str">
        <f ca="1"/>
        <v/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1769</v>
      </c>
      <c r="C20" s="539" t="s">
        <v>1472</v>
      </c>
      <c r="E20" s="577" t="s">
        <v>1855</v>
      </c>
      <c r="F20" s="635"/>
      <c r="G20" t="s">
        <v>12</v>
      </c>
      <c r="H20" s="1015" t="str">
        <f ca="1"/>
        <v/>
      </c>
      <c r="I20" s="1006" t="str">
        <f ca="1"/>
        <v/>
      </c>
      <c r="J20" s="1016" t="str">
        <f ca="1"/>
        <v/>
      </c>
      <c r="K20" s="1017" t="str">
        <f ca="1"/>
        <v/>
      </c>
      <c r="L20" s="1006" t="str">
        <f ca="1"/>
        <v/>
      </c>
      <c r="M20" s="1016" t="str">
        <f ca="1"/>
        <v/>
      </c>
      <c r="N20" s="1016" t="str">
        <f ca="1"/>
        <v/>
      </c>
      <c r="O20" s="1027" t="str">
        <f ca="1"/>
        <v/>
      </c>
      <c r="P20" s="1017" t="str">
        <f ca="1"/>
        <v/>
      </c>
      <c r="Q20" s="1018" t="str">
        <f ca="1"/>
        <v/>
      </c>
      <c r="R20" s="1016" t="str">
        <f ca="1"/>
        <v/>
      </c>
      <c r="S20" s="1004" t="str">
        <f ca="1"/>
        <v/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1843</v>
      </c>
      <c r="F21" s="636" t="str">
        <f ca="1">_xll.meProductSwapParRate(_xll.meUtilityLVBFromKeysValues($E$25:$E$57,$F$25:$F$57),FALSE)</f>
        <v>[2018/05/04 09:52] #Error: Invalid Curve: CurveCollection 'USDYC' does not exist</v>
      </c>
      <c r="G21" s="647" t="s">
        <v>1859</v>
      </c>
      <c r="H21" s="1015" t="str">
        <f ca="1"/>
        <v/>
      </c>
      <c r="I21" s="1006" t="str">
        <f ca="1"/>
        <v/>
      </c>
      <c r="J21" s="1016" t="str">
        <f ca="1"/>
        <v/>
      </c>
      <c r="K21" s="1017" t="str">
        <f ca="1"/>
        <v/>
      </c>
      <c r="L21" s="1006" t="str">
        <f ca="1"/>
        <v/>
      </c>
      <c r="M21" s="1016" t="str">
        <f ca="1"/>
        <v/>
      </c>
      <c r="N21" s="1016" t="str">
        <f ca="1"/>
        <v/>
      </c>
      <c r="O21" s="1027" t="str">
        <f ca="1"/>
        <v/>
      </c>
      <c r="P21" s="1017" t="str">
        <f ca="1"/>
        <v/>
      </c>
      <c r="Q21" s="1018" t="str">
        <f ca="1"/>
        <v/>
      </c>
      <c r="R21" s="1016" t="str">
        <f ca="1"/>
        <v/>
      </c>
      <c r="S21" s="1004" t="str">
        <f ca="1"/>
        <v/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1857</v>
      </c>
      <c r="F22" s="633" t="e">
        <f ca="1">(IF(ISBLANK($F$20),$F$19,$F$20)-$F$21)*10000</f>
        <v>#VALUE!</v>
      </c>
      <c r="G22" s="234" t="e">
        <f ca="1">ROUND(F22,1)&amp;" bps"</f>
        <v>#VALUE!</v>
      </c>
      <c r="H22" s="1015" t="str">
        <f ca="1"/>
        <v/>
      </c>
      <c r="I22" s="1006" t="str">
        <f ca="1"/>
        <v/>
      </c>
      <c r="J22" s="1016" t="str">
        <f ca="1"/>
        <v/>
      </c>
      <c r="K22" s="1017" t="str">
        <f ca="1"/>
        <v/>
      </c>
      <c r="L22" s="1006" t="str">
        <f ca="1"/>
        <v/>
      </c>
      <c r="M22" s="1016" t="str">
        <f ca="1"/>
        <v/>
      </c>
      <c r="N22" s="1016" t="str">
        <f ca="1"/>
        <v/>
      </c>
      <c r="O22" s="1027" t="str">
        <f ca="1"/>
        <v/>
      </c>
      <c r="P22" s="1017" t="str">
        <f ca="1"/>
        <v/>
      </c>
      <c r="Q22" s="1018" t="str">
        <f ca="1"/>
        <v/>
      </c>
      <c r="R22" s="1016" t="str">
        <f ca="1"/>
        <v/>
      </c>
      <c r="S22" s="1004" t="str">
        <f ca="1"/>
        <v/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 t="str">
        <f ca="1"/>
        <v/>
      </c>
      <c r="I23" s="1006" t="str">
        <f ca="1"/>
        <v/>
      </c>
      <c r="J23" s="1016" t="str">
        <f ca="1"/>
        <v/>
      </c>
      <c r="K23" s="1017" t="str">
        <f ca="1"/>
        <v/>
      </c>
      <c r="L23" s="1006" t="str">
        <f ca="1"/>
        <v/>
      </c>
      <c r="M23" s="1016" t="str">
        <f ca="1"/>
        <v/>
      </c>
      <c r="N23" s="1016" t="str">
        <f ca="1"/>
        <v/>
      </c>
      <c r="O23" s="1027" t="str">
        <f ca="1"/>
        <v/>
      </c>
      <c r="P23" s="1017" t="str">
        <f ca="1"/>
        <v/>
      </c>
      <c r="Q23" s="1018" t="str">
        <f ca="1"/>
        <v/>
      </c>
      <c r="R23" s="1016" t="str">
        <f ca="1"/>
        <v/>
      </c>
      <c r="S23" s="1004" t="str">
        <f ca="1"/>
        <v/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 t="str">
        <f ca="1"/>
        <v/>
      </c>
      <c r="I24" s="1006" t="str">
        <f ca="1"/>
        <v/>
      </c>
      <c r="J24" s="1016" t="str">
        <f ca="1"/>
        <v/>
      </c>
      <c r="K24" s="1017" t="str">
        <f ca="1"/>
        <v/>
      </c>
      <c r="L24" s="1006" t="str">
        <f ca="1"/>
        <v/>
      </c>
      <c r="M24" s="1016" t="str">
        <f ca="1"/>
        <v/>
      </c>
      <c r="N24" s="1016" t="str">
        <f ca="1"/>
        <v/>
      </c>
      <c r="O24" s="1027" t="str">
        <f ca="1"/>
        <v/>
      </c>
      <c r="P24" s="1017" t="str">
        <f ca="1"/>
        <v/>
      </c>
      <c r="Q24" s="1018" t="str">
        <f ca="1"/>
        <v/>
      </c>
      <c r="R24" s="1016" t="str">
        <f ca="1"/>
        <v/>
      </c>
      <c r="S24" s="1004" t="str">
        <f ca="1"/>
        <v/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1847</v>
      </c>
      <c r="C25" s="539" t="s">
        <v>1848</v>
      </c>
      <c r="E25" s="571" t="s">
        <v>1869</v>
      </c>
      <c r="F25" s="764" t="str">
        <f>IF(ISBLANK(AssetSwap.ISIN1),"",AssetSwap.ISIN1)</f>
        <v>US912810RS96 Govt</v>
      </c>
      <c r="G25" t="s">
        <v>12</v>
      </c>
      <c r="H25" s="1015" t="str">
        <f ca="1"/>
        <v/>
      </c>
      <c r="I25" s="1006" t="str">
        <f ca="1"/>
        <v/>
      </c>
      <c r="J25" s="1016" t="str">
        <f ca="1"/>
        <v/>
      </c>
      <c r="K25" s="1017" t="str">
        <f ca="1"/>
        <v/>
      </c>
      <c r="L25" s="1006" t="str">
        <f ca="1"/>
        <v/>
      </c>
      <c r="M25" s="1016" t="str">
        <f ca="1"/>
        <v/>
      </c>
      <c r="N25" s="1016" t="str">
        <f ca="1"/>
        <v/>
      </c>
      <c r="O25" s="1027" t="str">
        <f ca="1"/>
        <v/>
      </c>
      <c r="P25" s="1017" t="str">
        <f ca="1"/>
        <v/>
      </c>
      <c r="Q25" s="1018" t="str">
        <f ca="1"/>
        <v/>
      </c>
      <c r="R25" s="1016" t="str">
        <f ca="1"/>
        <v/>
      </c>
      <c r="S25" s="1004" t="str">
        <f ca="1"/>
        <v/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1803</v>
      </c>
      <c r="F26" s="1268" t="s">
        <v>1822</v>
      </c>
      <c r="G26" t="s">
        <v>12</v>
      </c>
      <c r="H26" s="1015" t="str">
        <f ca="1"/>
        <v/>
      </c>
      <c r="I26" s="1006" t="str">
        <f ca="1"/>
        <v/>
      </c>
      <c r="J26" s="1016" t="str">
        <f ca="1"/>
        <v/>
      </c>
      <c r="K26" s="1017" t="str">
        <f ca="1"/>
        <v/>
      </c>
      <c r="L26" s="1006" t="str">
        <f ca="1"/>
        <v/>
      </c>
      <c r="M26" s="1016" t="str">
        <f ca="1"/>
        <v/>
      </c>
      <c r="N26" s="1016" t="str">
        <f ca="1"/>
        <v/>
      </c>
      <c r="O26" s="1027" t="str">
        <f ca="1"/>
        <v/>
      </c>
      <c r="P26" s="1017" t="str">
        <f ca="1"/>
        <v/>
      </c>
      <c r="Q26" s="1018" t="str">
        <f ca="1"/>
        <v/>
      </c>
      <c r="R26" s="1016" t="str">
        <f ca="1"/>
        <v/>
      </c>
      <c r="S26" s="1004" t="str">
        <f ca="1"/>
        <v/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1831</v>
      </c>
      <c r="C27" s="539" t="s">
        <v>1835</v>
      </c>
      <c r="E27" s="639" t="s">
        <v>354</v>
      </c>
      <c r="F27" s="1269">
        <v>1000000</v>
      </c>
      <c r="G27" t="s">
        <v>12</v>
      </c>
      <c r="H27" s="1015" t="str">
        <f ca="1"/>
        <v/>
      </c>
      <c r="I27" s="1006" t="str">
        <f ca="1"/>
        <v/>
      </c>
      <c r="J27" s="1016" t="str">
        <f ca="1"/>
        <v/>
      </c>
      <c r="K27" s="1017" t="str">
        <f ca="1"/>
        <v/>
      </c>
      <c r="L27" s="1006" t="str">
        <f ca="1"/>
        <v/>
      </c>
      <c r="M27" s="1016" t="str">
        <f ca="1"/>
        <v/>
      </c>
      <c r="N27" s="1016" t="str">
        <f ca="1"/>
        <v/>
      </c>
      <c r="O27" s="1027" t="str">
        <f ca="1"/>
        <v/>
      </c>
      <c r="P27" s="1017" t="str">
        <f ca="1"/>
        <v/>
      </c>
      <c r="Q27" s="1018" t="str">
        <f ca="1"/>
        <v/>
      </c>
      <c r="R27" s="1016" t="str">
        <f ca="1"/>
        <v/>
      </c>
      <c r="S27" s="1004" t="str">
        <f ca="1"/>
        <v/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1832</v>
      </c>
      <c r="C28" s="539" t="s">
        <v>1836</v>
      </c>
      <c r="D28" s="563"/>
      <c r="E28" s="639" t="s">
        <v>1823</v>
      </c>
      <c r="F28" s="621">
        <f>$H$6</f>
        <v>43054</v>
      </c>
      <c r="G28" t="s">
        <v>12</v>
      </c>
      <c r="H28" s="1015" t="str">
        <f ca="1"/>
        <v/>
      </c>
      <c r="I28" s="1006" t="str">
        <f ca="1"/>
        <v/>
      </c>
      <c r="J28" s="1016" t="str">
        <f ca="1"/>
        <v/>
      </c>
      <c r="K28" s="1017" t="str">
        <f ca="1"/>
        <v/>
      </c>
      <c r="L28" s="1006" t="str">
        <f ca="1"/>
        <v/>
      </c>
      <c r="M28" s="1016" t="str">
        <f ca="1"/>
        <v/>
      </c>
      <c r="N28" s="1016" t="str">
        <f ca="1"/>
        <v/>
      </c>
      <c r="O28" s="1027" t="str">
        <f ca="1"/>
        <v/>
      </c>
      <c r="P28" s="1017" t="str">
        <f ca="1"/>
        <v/>
      </c>
      <c r="Q28" s="1018" t="str">
        <f ca="1"/>
        <v/>
      </c>
      <c r="R28" s="1016" t="str">
        <f ca="1"/>
        <v/>
      </c>
      <c r="S28" s="1004" t="str">
        <f ca="1"/>
        <v/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1833</v>
      </c>
      <c r="C29" s="539" t="s">
        <v>2362</v>
      </c>
      <c r="D29" s="564" t="s">
        <v>361</v>
      </c>
      <c r="E29" s="639" t="s">
        <v>1768</v>
      </c>
      <c r="F29" s="621">
        <f ca="1">_xll.meDateFromTenor(COB,D29,F38,F39)</f>
        <v>43229</v>
      </c>
      <c r="G29" t="s">
        <v>12</v>
      </c>
      <c r="H29" s="1015" t="str">
        <f ca="1"/>
        <v/>
      </c>
      <c r="I29" s="1006" t="str">
        <f ca="1"/>
        <v/>
      </c>
      <c r="J29" s="1016" t="str">
        <f ca="1"/>
        <v/>
      </c>
      <c r="K29" s="1017" t="str">
        <f ca="1"/>
        <v/>
      </c>
      <c r="L29" s="1006" t="str">
        <f ca="1"/>
        <v/>
      </c>
      <c r="M29" s="1016" t="str">
        <f ca="1"/>
        <v/>
      </c>
      <c r="N29" s="1016" t="str">
        <f ca="1"/>
        <v/>
      </c>
      <c r="O29" s="1027" t="str">
        <f ca="1"/>
        <v/>
      </c>
      <c r="P29" s="1017" t="str">
        <f ca="1"/>
        <v/>
      </c>
      <c r="Q29" s="1018" t="str">
        <f ca="1"/>
        <v/>
      </c>
      <c r="R29" s="1016" t="str">
        <f ca="1"/>
        <v/>
      </c>
      <c r="S29" s="1004" t="str">
        <f ca="1"/>
        <v/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1834</v>
      </c>
      <c r="C30" s="539" t="s">
        <v>2363</v>
      </c>
      <c r="D30" s="565"/>
      <c r="E30" s="639" t="s">
        <v>1769</v>
      </c>
      <c r="F30" s="621">
        <f>$J$6</f>
        <v>53462</v>
      </c>
      <c r="G30" t="s">
        <v>12</v>
      </c>
      <c r="H30" s="1015" t="str">
        <f ca="1"/>
        <v/>
      </c>
      <c r="I30" s="1006" t="str">
        <f ca="1"/>
        <v/>
      </c>
      <c r="J30" s="1016" t="str">
        <f ca="1"/>
        <v/>
      </c>
      <c r="K30" s="1017" t="str">
        <f ca="1"/>
        <v/>
      </c>
      <c r="L30" s="1006" t="str">
        <f ca="1"/>
        <v/>
      </c>
      <c r="M30" s="1016" t="str">
        <f ca="1"/>
        <v/>
      </c>
      <c r="N30" s="1016" t="str">
        <f ca="1"/>
        <v/>
      </c>
      <c r="O30" s="1027" t="str">
        <f ca="1"/>
        <v/>
      </c>
      <c r="P30" s="1017" t="str">
        <f ca="1"/>
        <v/>
      </c>
      <c r="Q30" s="1018" t="str">
        <f ca="1"/>
        <v/>
      </c>
      <c r="R30" s="1016" t="str">
        <f ca="1"/>
        <v/>
      </c>
      <c r="S30" s="1004" t="str">
        <f ca="1"/>
        <v/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1770</v>
      </c>
      <c r="F31" s="528" t="s">
        <v>1044</v>
      </c>
      <c r="G31" t="s">
        <v>12</v>
      </c>
      <c r="H31" s="1015" t="str">
        <f ca="1"/>
        <v/>
      </c>
      <c r="I31" s="1006" t="str">
        <f ca="1"/>
        <v/>
      </c>
      <c r="J31" s="1016" t="str">
        <f ca="1"/>
        <v/>
      </c>
      <c r="K31" s="1017" t="str">
        <f ca="1"/>
        <v/>
      </c>
      <c r="L31" s="1006" t="str">
        <f ca="1"/>
        <v/>
      </c>
      <c r="M31" s="1016" t="str">
        <f ca="1"/>
        <v/>
      </c>
      <c r="N31" s="1016" t="str">
        <f ca="1"/>
        <v/>
      </c>
      <c r="O31" s="1027" t="str">
        <f ca="1"/>
        <v/>
      </c>
      <c r="P31" s="1017" t="str">
        <f ca="1"/>
        <v/>
      </c>
      <c r="Q31" s="1018" t="str">
        <f ca="1"/>
        <v/>
      </c>
      <c r="R31" s="1016" t="str">
        <f ca="1"/>
        <v/>
      </c>
      <c r="S31" s="1004" t="str">
        <f ca="1"/>
        <v/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1443</v>
      </c>
      <c r="F32" s="532" t="str">
        <f>LEFT(F31,3)&amp;IF($E$3="Semi-Annual","6ML","3ML")</f>
        <v>USD3ML</v>
      </c>
      <c r="G32" t="s">
        <v>12</v>
      </c>
      <c r="H32" s="1015" t="str">
        <f ca="1"/>
        <v/>
      </c>
      <c r="I32" s="1006" t="str">
        <f ca="1"/>
        <v/>
      </c>
      <c r="J32" s="1016" t="str">
        <f ca="1"/>
        <v/>
      </c>
      <c r="K32" s="1017" t="str">
        <f ca="1"/>
        <v/>
      </c>
      <c r="L32" s="1006" t="str">
        <f ca="1"/>
        <v/>
      </c>
      <c r="M32" s="1016" t="str">
        <f ca="1"/>
        <v/>
      </c>
      <c r="N32" s="1016" t="str">
        <f ca="1"/>
        <v/>
      </c>
      <c r="O32" s="1027" t="str">
        <f ca="1"/>
        <v/>
      </c>
      <c r="P32" s="1017" t="str">
        <f ca="1"/>
        <v/>
      </c>
      <c r="Q32" s="1018" t="str">
        <f ca="1"/>
        <v/>
      </c>
      <c r="R32" s="1016" t="str">
        <f ca="1"/>
        <v/>
      </c>
      <c r="S32" s="1004" t="str">
        <f ca="1"/>
        <v/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1444</v>
      </c>
      <c r="F33" s="532" t="str">
        <f>LEFT(F31,3)&amp;"DF_"&amp;$D$33</f>
        <v>USDDF_NOCSA</v>
      </c>
      <c r="G33" t="s">
        <v>12</v>
      </c>
      <c r="H33" s="1015" t="str">
        <f ca="1"/>
        <v/>
      </c>
      <c r="I33" s="1006" t="str">
        <f ca="1"/>
        <v/>
      </c>
      <c r="J33" s="1016" t="str">
        <f ca="1"/>
        <v/>
      </c>
      <c r="K33" s="1017" t="str">
        <f ca="1"/>
        <v/>
      </c>
      <c r="L33" s="1006" t="str">
        <f ca="1"/>
        <v/>
      </c>
      <c r="M33" s="1016" t="str">
        <f ca="1"/>
        <v/>
      </c>
      <c r="N33" s="1016" t="str">
        <f ca="1"/>
        <v/>
      </c>
      <c r="O33" s="1027" t="str">
        <f ca="1"/>
        <v/>
      </c>
      <c r="P33" s="1017" t="str">
        <f ca="1"/>
        <v/>
      </c>
      <c r="Q33" s="1018" t="str">
        <f ca="1"/>
        <v/>
      </c>
      <c r="R33" s="1016" t="str">
        <f ca="1"/>
        <v/>
      </c>
      <c r="S33" s="1004" t="str">
        <f ca="1"/>
        <v/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1824</v>
      </c>
      <c r="F34" s="622" t="b">
        <f>$O$6="CLEAN"</f>
        <v>1</v>
      </c>
      <c r="G34" s="578" t="str">
        <f>IF(F34,"Clean Bond Px","Dirty Bond Px")</f>
        <v>Clean Bond Px</v>
      </c>
      <c r="H34" s="1015" t="str">
        <f ca="1"/>
        <v/>
      </c>
      <c r="I34" s="1006" t="str">
        <f ca="1"/>
        <v/>
      </c>
      <c r="J34" s="1016" t="str">
        <f ca="1"/>
        <v/>
      </c>
      <c r="K34" s="1017" t="str">
        <f ca="1"/>
        <v/>
      </c>
      <c r="L34" s="1006" t="str">
        <f ca="1"/>
        <v/>
      </c>
      <c r="M34" s="1016" t="str">
        <f ca="1"/>
        <v/>
      </c>
      <c r="N34" s="1016" t="str">
        <f ca="1"/>
        <v/>
      </c>
      <c r="O34" s="1027" t="str">
        <f ca="1"/>
        <v/>
      </c>
      <c r="P34" s="1017" t="str">
        <f ca="1"/>
        <v/>
      </c>
      <c r="Q34" s="1018" t="str">
        <f ca="1"/>
        <v/>
      </c>
      <c r="R34" s="1016" t="str">
        <f ca="1"/>
        <v/>
      </c>
      <c r="S34" s="1004" t="str">
        <f ca="1"/>
        <v/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1771</v>
      </c>
      <c r="F35" s="623" t="str">
        <f>VLOOKUP($M6,Settings.FrequencyLookupTable,2,0)</f>
        <v>Semi-Annual</v>
      </c>
      <c r="G35" t="s">
        <v>12</v>
      </c>
      <c r="H35" s="1015" t="str">
        <f ca="1"/>
        <v/>
      </c>
      <c r="I35" s="1006" t="str">
        <f ca="1"/>
        <v/>
      </c>
      <c r="J35" s="1016" t="str">
        <f ca="1"/>
        <v/>
      </c>
      <c r="K35" s="1017" t="str">
        <f ca="1"/>
        <v/>
      </c>
      <c r="L35" s="1006" t="str">
        <f ca="1"/>
        <v/>
      </c>
      <c r="M35" s="1016" t="str">
        <f ca="1"/>
        <v/>
      </c>
      <c r="N35" s="1016" t="str">
        <f ca="1"/>
        <v/>
      </c>
      <c r="O35" s="1027" t="str">
        <f ca="1"/>
        <v/>
      </c>
      <c r="P35" s="1017" t="str">
        <f ca="1"/>
        <v/>
      </c>
      <c r="Q35" s="1018" t="str">
        <f ca="1"/>
        <v/>
      </c>
      <c r="R35" s="1016" t="str">
        <f ca="1"/>
        <v/>
      </c>
      <c r="S35" s="1004" t="str">
        <f ca="1"/>
        <v/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1772</v>
      </c>
      <c r="F36" s="624">
        <f>$K$6/100</f>
        <v>2.5000000000000001E-2</v>
      </c>
      <c r="G36" t="s">
        <v>12</v>
      </c>
      <c r="H36" s="1015" t="str">
        <f ca="1"/>
        <v/>
      </c>
      <c r="I36" s="1006" t="str">
        <f ca="1"/>
        <v/>
      </c>
      <c r="J36" s="1016" t="str">
        <f ca="1"/>
        <v/>
      </c>
      <c r="K36" s="1017" t="str">
        <f ca="1"/>
        <v/>
      </c>
      <c r="L36" s="1006" t="str">
        <f ca="1"/>
        <v/>
      </c>
      <c r="M36" s="1016" t="str">
        <f ca="1"/>
        <v/>
      </c>
      <c r="N36" s="1016" t="str">
        <f ca="1"/>
        <v/>
      </c>
      <c r="O36" s="1027" t="str">
        <f ca="1"/>
        <v/>
      </c>
      <c r="P36" s="1017" t="str">
        <f ca="1"/>
        <v/>
      </c>
      <c r="Q36" s="1018" t="str">
        <f ca="1"/>
        <v/>
      </c>
      <c r="R36" s="1016" t="str">
        <f ca="1"/>
        <v/>
      </c>
      <c r="S36" s="1004" t="str">
        <f ca="1"/>
        <v/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1825</v>
      </c>
      <c r="F37" s="619" t="str">
        <f>IF(UPPER(LEFT($L$6,3))="BAD"="#","ACT/365",IF($L$6="NL/365","ACT/365",$L$6))</f>
        <v>ACT/ACT</v>
      </c>
      <c r="G37" t="s">
        <v>12</v>
      </c>
      <c r="H37" s="1015" t="str">
        <f ca="1"/>
        <v/>
      </c>
      <c r="I37" s="1006" t="str">
        <f ca="1"/>
        <v/>
      </c>
      <c r="J37" s="1016" t="str">
        <f ca="1"/>
        <v/>
      </c>
      <c r="K37" s="1017" t="str">
        <f ca="1"/>
        <v/>
      </c>
      <c r="L37" s="1006" t="str">
        <f ca="1"/>
        <v/>
      </c>
      <c r="M37" s="1016" t="str">
        <f ca="1"/>
        <v/>
      </c>
      <c r="N37" s="1016" t="str">
        <f ca="1"/>
        <v/>
      </c>
      <c r="O37" s="1027" t="str">
        <f ca="1"/>
        <v/>
      </c>
      <c r="P37" s="1017" t="str">
        <f ca="1"/>
        <v/>
      </c>
      <c r="Q37" s="1018" t="str">
        <f ca="1"/>
        <v/>
      </c>
      <c r="R37" s="1016" t="str">
        <f ca="1"/>
        <v/>
      </c>
      <c r="S37" s="1004" t="str">
        <f ca="1"/>
        <v/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1826</v>
      </c>
      <c r="F38" s="625" t="s">
        <v>38</v>
      </c>
      <c r="G38" t="s">
        <v>12</v>
      </c>
      <c r="H38" s="1015" t="str">
        <f ca="1"/>
        <v/>
      </c>
      <c r="I38" s="1006" t="str">
        <f ca="1"/>
        <v/>
      </c>
      <c r="J38" s="1016" t="str">
        <f ca="1"/>
        <v/>
      </c>
      <c r="K38" s="1017" t="str">
        <f ca="1"/>
        <v/>
      </c>
      <c r="L38" s="1006" t="str">
        <f ca="1"/>
        <v/>
      </c>
      <c r="M38" s="1016" t="str">
        <f ca="1"/>
        <v/>
      </c>
      <c r="N38" s="1016" t="str">
        <f ca="1"/>
        <v/>
      </c>
      <c r="O38" s="1027" t="str">
        <f ca="1"/>
        <v/>
      </c>
      <c r="P38" s="1017" t="str">
        <f ca="1"/>
        <v/>
      </c>
      <c r="Q38" s="1018" t="str">
        <f ca="1"/>
        <v/>
      </c>
      <c r="R38" s="1016" t="str">
        <f ca="1"/>
        <v/>
      </c>
      <c r="S38" s="1004" t="str">
        <f ca="1"/>
        <v/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1827</v>
      </c>
      <c r="F39" s="625" t="s">
        <v>357</v>
      </c>
      <c r="G39" t="s">
        <v>12</v>
      </c>
      <c r="H39" s="1015" t="str">
        <f ca="1"/>
        <v/>
      </c>
      <c r="I39" s="1006" t="str">
        <f ca="1"/>
        <v/>
      </c>
      <c r="J39" s="1016" t="str">
        <f ca="1"/>
        <v/>
      </c>
      <c r="K39" s="1017" t="str">
        <f ca="1"/>
        <v/>
      </c>
      <c r="L39" s="1006" t="str">
        <f ca="1"/>
        <v/>
      </c>
      <c r="M39" s="1016" t="str">
        <f ca="1"/>
        <v/>
      </c>
      <c r="N39" s="1016" t="str">
        <f ca="1"/>
        <v/>
      </c>
      <c r="O39" s="1027" t="str">
        <f ca="1"/>
        <v/>
      </c>
      <c r="P39" s="1017" t="str">
        <f ca="1"/>
        <v/>
      </c>
      <c r="Q39" s="1018" t="str">
        <f ca="1"/>
        <v/>
      </c>
      <c r="R39" s="1016" t="str">
        <f ca="1"/>
        <v/>
      </c>
      <c r="S39" s="1004" t="str">
        <f ca="1"/>
        <v/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1778</v>
      </c>
      <c r="F40" s="626">
        <f>$I$6</f>
        <v>43235</v>
      </c>
      <c r="G40" t="s">
        <v>12</v>
      </c>
      <c r="H40" s="1015" t="str">
        <f ca="1"/>
        <v/>
      </c>
      <c r="I40" s="1006" t="str">
        <f ca="1"/>
        <v/>
      </c>
      <c r="J40" s="1016" t="str">
        <f ca="1"/>
        <v/>
      </c>
      <c r="K40" s="1017" t="str">
        <f ca="1"/>
        <v/>
      </c>
      <c r="L40" s="1006" t="str">
        <f ca="1"/>
        <v/>
      </c>
      <c r="M40" s="1016" t="str">
        <f ca="1"/>
        <v/>
      </c>
      <c r="N40" s="1016" t="str">
        <f ca="1"/>
        <v/>
      </c>
      <c r="O40" s="1027" t="str">
        <f ca="1"/>
        <v/>
      </c>
      <c r="P40" s="1017" t="str">
        <f ca="1"/>
        <v/>
      </c>
      <c r="Q40" s="1018" t="str">
        <f ca="1"/>
        <v/>
      </c>
      <c r="R40" s="1016" t="str">
        <f ca="1"/>
        <v/>
      </c>
      <c r="S40" s="1004" t="str">
        <f ca="1"/>
        <v/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1779</v>
      </c>
      <c r="F41" s="627"/>
      <c r="G41" t="s">
        <v>12</v>
      </c>
      <c r="H41" s="1015" t="str">
        <f ca="1"/>
        <v/>
      </c>
      <c r="I41" s="1006" t="str">
        <f ca="1"/>
        <v/>
      </c>
      <c r="J41" s="1016" t="str">
        <f ca="1"/>
        <v/>
      </c>
      <c r="K41" s="1017" t="str">
        <f ca="1"/>
        <v/>
      </c>
      <c r="L41" s="1006" t="str">
        <f ca="1"/>
        <v/>
      </c>
      <c r="M41" s="1016" t="str">
        <f ca="1"/>
        <v/>
      </c>
      <c r="N41" s="1016" t="str">
        <f ca="1"/>
        <v/>
      </c>
      <c r="O41" s="1027" t="str">
        <f ca="1"/>
        <v/>
      </c>
      <c r="P41" s="1017" t="str">
        <f ca="1"/>
        <v/>
      </c>
      <c r="Q41" s="1018" t="str">
        <f ca="1"/>
        <v/>
      </c>
      <c r="R41" s="1016" t="str">
        <f ca="1"/>
        <v/>
      </c>
      <c r="S41" s="1004" t="str">
        <f ca="1"/>
        <v/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1780</v>
      </c>
      <c r="F42" s="590"/>
      <c r="G42" t="s">
        <v>12</v>
      </c>
      <c r="H42" s="1015" t="str">
        <f ca="1"/>
        <v/>
      </c>
      <c r="I42" s="1006" t="str">
        <f ca="1"/>
        <v/>
      </c>
      <c r="J42" s="1016" t="str">
        <f ca="1"/>
        <v/>
      </c>
      <c r="K42" s="1017" t="str">
        <f ca="1"/>
        <v/>
      </c>
      <c r="L42" s="1006" t="str">
        <f ca="1"/>
        <v/>
      </c>
      <c r="M42" s="1016" t="str">
        <f ca="1"/>
        <v/>
      </c>
      <c r="N42" s="1016" t="str">
        <f ca="1"/>
        <v/>
      </c>
      <c r="O42" s="1027" t="str">
        <f ca="1"/>
        <v/>
      </c>
      <c r="P42" s="1017" t="str">
        <f ca="1"/>
        <v/>
      </c>
      <c r="Q42" s="1018" t="str">
        <f ca="1"/>
        <v/>
      </c>
      <c r="R42" s="1016" t="str">
        <f ca="1"/>
        <v/>
      </c>
      <c r="S42" s="1004" t="str">
        <f ca="1"/>
        <v/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1782</v>
      </c>
      <c r="F43" s="593"/>
      <c r="G43" t="s">
        <v>12</v>
      </c>
      <c r="H43" s="1015" t="str">
        <f ca="1"/>
        <v/>
      </c>
      <c r="I43" s="1006" t="str">
        <f ca="1"/>
        <v/>
      </c>
      <c r="J43" s="1016" t="str">
        <f ca="1"/>
        <v/>
      </c>
      <c r="K43" s="1017" t="str">
        <f ca="1"/>
        <v/>
      </c>
      <c r="L43" s="1006" t="str">
        <f ca="1"/>
        <v/>
      </c>
      <c r="M43" s="1016" t="str">
        <f ca="1"/>
        <v/>
      </c>
      <c r="N43" s="1016" t="str">
        <f ca="1"/>
        <v/>
      </c>
      <c r="O43" s="1027" t="str">
        <f ca="1"/>
        <v/>
      </c>
      <c r="P43" s="1017" t="str">
        <f ca="1"/>
        <v/>
      </c>
      <c r="Q43" s="1018" t="str">
        <f ca="1"/>
        <v/>
      </c>
      <c r="R43" s="1016" t="str">
        <f ca="1"/>
        <v/>
      </c>
      <c r="S43" s="1004" t="str">
        <f ca="1"/>
        <v/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1781</v>
      </c>
      <c r="F44" s="531" t="s">
        <v>356</v>
      </c>
      <c r="G44" t="s">
        <v>12</v>
      </c>
      <c r="H44" s="1015" t="str">
        <f ca="1"/>
        <v/>
      </c>
      <c r="I44" s="1006" t="str">
        <f ca="1"/>
        <v/>
      </c>
      <c r="J44" s="1016" t="str">
        <f ca="1"/>
        <v/>
      </c>
      <c r="K44" s="1017" t="str">
        <f ca="1"/>
        <v/>
      </c>
      <c r="L44" s="1006" t="str">
        <f ca="1"/>
        <v/>
      </c>
      <c r="M44" s="1016" t="str">
        <f ca="1"/>
        <v/>
      </c>
      <c r="N44" s="1016" t="str">
        <f ca="1"/>
        <v/>
      </c>
      <c r="O44" s="1027" t="str">
        <f ca="1"/>
        <v/>
      </c>
      <c r="P44" s="1017" t="str">
        <f ca="1"/>
        <v/>
      </c>
      <c r="Q44" s="1018" t="str">
        <f ca="1"/>
        <v/>
      </c>
      <c r="R44" s="1016" t="str">
        <f ca="1"/>
        <v/>
      </c>
      <c r="S44" s="1004" t="str">
        <f ca="1"/>
        <v/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1783</v>
      </c>
      <c r="F45" s="619" t="str">
        <f>$E$3</f>
        <v>Quarterly</v>
      </c>
      <c r="G45" t="s">
        <v>12</v>
      </c>
      <c r="H45" s="1015" t="str">
        <f ca="1"/>
        <v/>
      </c>
      <c r="I45" s="1006" t="str">
        <f ca="1"/>
        <v/>
      </c>
      <c r="J45" s="1016" t="str">
        <f ca="1"/>
        <v/>
      </c>
      <c r="K45" s="1017" t="str">
        <f ca="1"/>
        <v/>
      </c>
      <c r="L45" s="1006" t="str">
        <f ca="1"/>
        <v/>
      </c>
      <c r="M45" s="1016" t="str">
        <f ca="1"/>
        <v/>
      </c>
      <c r="N45" s="1016" t="str">
        <f ca="1"/>
        <v/>
      </c>
      <c r="O45" s="1027" t="str">
        <f ca="1"/>
        <v/>
      </c>
      <c r="P45" s="1017" t="str">
        <f ca="1"/>
        <v/>
      </c>
      <c r="Q45" s="1018" t="str">
        <f ca="1"/>
        <v/>
      </c>
      <c r="R45" s="1016" t="str">
        <f ca="1"/>
        <v/>
      </c>
      <c r="S45" s="1004" t="str">
        <f ca="1"/>
        <v/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1784</v>
      </c>
      <c r="F46" s="601">
        <v>0</v>
      </c>
      <c r="G46" t="s">
        <v>12</v>
      </c>
      <c r="H46" s="1015" t="str">
        <f ca="1"/>
        <v/>
      </c>
      <c r="I46" s="1006" t="str">
        <f ca="1"/>
        <v/>
      </c>
      <c r="J46" s="1016" t="str">
        <f ca="1"/>
        <v/>
      </c>
      <c r="K46" s="1017" t="str">
        <f ca="1"/>
        <v/>
      </c>
      <c r="L46" s="1006" t="str">
        <f ca="1"/>
        <v/>
      </c>
      <c r="M46" s="1016" t="str">
        <f ca="1"/>
        <v/>
      </c>
      <c r="N46" s="1016" t="str">
        <f ca="1"/>
        <v/>
      </c>
      <c r="O46" s="1027" t="str">
        <f ca="1"/>
        <v/>
      </c>
      <c r="P46" s="1017" t="str">
        <f ca="1"/>
        <v/>
      </c>
      <c r="Q46" s="1018" t="str">
        <f ca="1"/>
        <v/>
      </c>
      <c r="R46" s="1016" t="str">
        <f ca="1"/>
        <v/>
      </c>
      <c r="S46" s="1004" t="str">
        <f ca="1"/>
        <v/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1828</v>
      </c>
      <c r="F47" s="590" t="s">
        <v>3</v>
      </c>
      <c r="G47" t="s">
        <v>12</v>
      </c>
      <c r="H47" s="1015" t="str">
        <f ca="1"/>
        <v/>
      </c>
      <c r="I47" s="1006" t="str">
        <f ca="1"/>
        <v/>
      </c>
      <c r="J47" s="1016" t="str">
        <f ca="1"/>
        <v/>
      </c>
      <c r="K47" s="1017" t="str">
        <f ca="1"/>
        <v/>
      </c>
      <c r="L47" s="1006" t="str">
        <f ca="1"/>
        <v/>
      </c>
      <c r="M47" s="1016" t="str">
        <f ca="1"/>
        <v/>
      </c>
      <c r="N47" s="1016" t="str">
        <f ca="1"/>
        <v/>
      </c>
      <c r="O47" s="1027" t="str">
        <f ca="1"/>
        <v/>
      </c>
      <c r="P47" s="1017" t="str">
        <f ca="1"/>
        <v/>
      </c>
      <c r="Q47" s="1018" t="str">
        <f ca="1"/>
        <v/>
      </c>
      <c r="R47" s="1016" t="str">
        <f ca="1"/>
        <v/>
      </c>
      <c r="S47" s="1004" t="str">
        <f ca="1"/>
        <v/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1829</v>
      </c>
      <c r="F48" s="625" t="s">
        <v>38</v>
      </c>
      <c r="G48" t="s">
        <v>12</v>
      </c>
      <c r="H48" s="1015" t="str">
        <f ca="1"/>
        <v/>
      </c>
      <c r="I48" s="1006" t="str">
        <f ca="1"/>
        <v/>
      </c>
      <c r="J48" s="1016" t="str">
        <f ca="1"/>
        <v/>
      </c>
      <c r="K48" s="1017" t="str">
        <f ca="1"/>
        <v/>
      </c>
      <c r="L48" s="1006" t="str">
        <f ca="1"/>
        <v/>
      </c>
      <c r="M48" s="1016" t="str">
        <f ca="1"/>
        <v/>
      </c>
      <c r="N48" s="1016" t="str">
        <f ca="1"/>
        <v/>
      </c>
      <c r="O48" s="1027" t="str">
        <f ca="1"/>
        <v/>
      </c>
      <c r="P48" s="1017" t="str">
        <f ca="1"/>
        <v/>
      </c>
      <c r="Q48" s="1018" t="str">
        <f ca="1"/>
        <v/>
      </c>
      <c r="R48" s="1016" t="str">
        <f ca="1"/>
        <v/>
      </c>
      <c r="S48" s="1004" t="str">
        <f ca="1"/>
        <v/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1830</v>
      </c>
      <c r="F49" s="625" t="s">
        <v>357</v>
      </c>
      <c r="G49" t="s">
        <v>12</v>
      </c>
      <c r="H49" s="1015" t="str">
        <f ca="1"/>
        <v/>
      </c>
      <c r="I49" s="1006" t="str">
        <f ca="1"/>
        <v/>
      </c>
      <c r="J49" s="1016" t="str">
        <f ca="1"/>
        <v/>
      </c>
      <c r="K49" s="1017" t="str">
        <f ca="1"/>
        <v/>
      </c>
      <c r="L49" s="1006" t="str">
        <f ca="1"/>
        <v/>
      </c>
      <c r="M49" s="1016" t="str">
        <f ca="1"/>
        <v/>
      </c>
      <c r="N49" s="1016" t="str">
        <f ca="1"/>
        <v/>
      </c>
      <c r="O49" s="1027" t="str">
        <f ca="1"/>
        <v/>
      </c>
      <c r="P49" s="1017" t="str">
        <f ca="1"/>
        <v/>
      </c>
      <c r="Q49" s="1018" t="str">
        <f ca="1"/>
        <v/>
      </c>
      <c r="R49" s="1016" t="str">
        <f ca="1"/>
        <v/>
      </c>
      <c r="S49" s="1004" t="str">
        <f ca="1"/>
        <v/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1792</v>
      </c>
      <c r="F50" s="628"/>
      <c r="G50" t="s">
        <v>12</v>
      </c>
      <c r="H50" s="1015" t="str">
        <f ca="1"/>
        <v/>
      </c>
      <c r="I50" s="1006" t="str">
        <f ca="1"/>
        <v/>
      </c>
      <c r="J50" s="1016" t="str">
        <f ca="1"/>
        <v/>
      </c>
      <c r="K50" s="1017" t="str">
        <f ca="1"/>
        <v/>
      </c>
      <c r="L50" s="1006" t="str">
        <f ca="1"/>
        <v/>
      </c>
      <c r="M50" s="1016" t="str">
        <f ca="1"/>
        <v/>
      </c>
      <c r="N50" s="1016" t="str">
        <f ca="1"/>
        <v/>
      </c>
      <c r="O50" s="1027" t="str">
        <f ca="1"/>
        <v/>
      </c>
      <c r="P50" s="1017" t="str">
        <f ca="1"/>
        <v/>
      </c>
      <c r="Q50" s="1018" t="str">
        <f ca="1"/>
        <v/>
      </c>
      <c r="R50" s="1016" t="str">
        <f ca="1"/>
        <v/>
      </c>
      <c r="S50" s="1004" t="str">
        <f ca="1"/>
        <v/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1793</v>
      </c>
      <c r="F51" s="628"/>
      <c r="G51" t="s">
        <v>12</v>
      </c>
      <c r="H51" s="1015" t="str">
        <f ca="1"/>
        <v/>
      </c>
      <c r="I51" s="1006" t="str">
        <f ca="1"/>
        <v/>
      </c>
      <c r="J51" s="1016" t="str">
        <f ca="1"/>
        <v/>
      </c>
      <c r="K51" s="1017" t="str">
        <f ca="1"/>
        <v/>
      </c>
      <c r="L51" s="1006" t="str">
        <f ca="1"/>
        <v/>
      </c>
      <c r="M51" s="1016" t="str">
        <f ca="1"/>
        <v/>
      </c>
      <c r="N51" s="1016" t="str">
        <f ca="1"/>
        <v/>
      </c>
      <c r="O51" s="1027" t="str">
        <f ca="1"/>
        <v/>
      </c>
      <c r="P51" s="1017" t="str">
        <f ca="1"/>
        <v/>
      </c>
      <c r="Q51" s="1018" t="str">
        <f ca="1"/>
        <v/>
      </c>
      <c r="R51" s="1016" t="str">
        <f ca="1"/>
        <v/>
      </c>
      <c r="S51" s="1004" t="str">
        <f ca="1"/>
        <v/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1794</v>
      </c>
      <c r="F52" s="629"/>
      <c r="G52" t="s">
        <v>12</v>
      </c>
      <c r="H52" s="1015" t="str">
        <f ca="1"/>
        <v/>
      </c>
      <c r="I52" s="1006" t="str">
        <f ca="1"/>
        <v/>
      </c>
      <c r="J52" s="1016" t="str">
        <f ca="1"/>
        <v/>
      </c>
      <c r="K52" s="1017" t="str">
        <f ca="1"/>
        <v/>
      </c>
      <c r="L52" s="1006" t="str">
        <f ca="1"/>
        <v/>
      </c>
      <c r="M52" s="1016" t="str">
        <f ca="1"/>
        <v/>
      </c>
      <c r="N52" s="1016" t="str">
        <f ca="1"/>
        <v/>
      </c>
      <c r="O52" s="1027" t="str">
        <f ca="1"/>
        <v/>
      </c>
      <c r="P52" s="1017" t="str">
        <f ca="1"/>
        <v/>
      </c>
      <c r="Q52" s="1018" t="str">
        <f ca="1"/>
        <v/>
      </c>
      <c r="R52" s="1016" t="str">
        <f ca="1"/>
        <v/>
      </c>
      <c r="S52" s="1004" t="str">
        <f ca="1"/>
        <v/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1799</v>
      </c>
      <c r="F53" s="593" t="s">
        <v>358</v>
      </c>
      <c r="G53" t="s">
        <v>12</v>
      </c>
      <c r="H53" s="1015" t="str">
        <f ca="1"/>
        <v/>
      </c>
      <c r="I53" s="1006" t="str">
        <f ca="1"/>
        <v/>
      </c>
      <c r="J53" s="1016" t="str">
        <f ca="1"/>
        <v/>
      </c>
      <c r="K53" s="1017" t="str">
        <f ca="1"/>
        <v/>
      </c>
      <c r="L53" s="1006" t="str">
        <f ca="1"/>
        <v/>
      </c>
      <c r="M53" s="1016" t="str">
        <f ca="1"/>
        <v/>
      </c>
      <c r="N53" s="1016" t="str">
        <f ca="1"/>
        <v/>
      </c>
      <c r="O53" s="1027" t="str">
        <f ca="1"/>
        <v/>
      </c>
      <c r="P53" s="1017" t="str">
        <f ca="1"/>
        <v/>
      </c>
      <c r="Q53" s="1018" t="str">
        <f ca="1"/>
        <v/>
      </c>
      <c r="R53" s="1016" t="str">
        <f ca="1"/>
        <v/>
      </c>
      <c r="S53" s="1004" t="str">
        <f ca="1"/>
        <v/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1795</v>
      </c>
      <c r="F54" s="531" t="s">
        <v>356</v>
      </c>
      <c r="G54" t="s">
        <v>12</v>
      </c>
      <c r="H54" s="1015" t="str">
        <f ca="1"/>
        <v/>
      </c>
      <c r="I54" s="1006" t="str">
        <f ca="1"/>
        <v/>
      </c>
      <c r="J54" s="1016" t="str">
        <f ca="1"/>
        <v/>
      </c>
      <c r="K54" s="1017" t="str">
        <f ca="1"/>
        <v/>
      </c>
      <c r="L54" s="1006" t="str">
        <f ca="1"/>
        <v/>
      </c>
      <c r="M54" s="1016" t="str">
        <f ca="1"/>
        <v/>
      </c>
      <c r="N54" s="1016" t="str">
        <f ca="1"/>
        <v/>
      </c>
      <c r="O54" s="1027" t="str">
        <f ca="1"/>
        <v/>
      </c>
      <c r="P54" s="1017" t="str">
        <f ca="1"/>
        <v/>
      </c>
      <c r="Q54" s="1018" t="str">
        <f ca="1"/>
        <v/>
      </c>
      <c r="R54" s="1016" t="str">
        <f ca="1"/>
        <v/>
      </c>
      <c r="S54" s="1004" t="str">
        <f ca="1"/>
        <v/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1798</v>
      </c>
      <c r="F55" s="531" t="s">
        <v>356</v>
      </c>
      <c r="G55" t="s">
        <v>12</v>
      </c>
      <c r="H55" s="1015" t="str">
        <f ca="1"/>
        <v/>
      </c>
      <c r="I55" s="1006" t="str">
        <f ca="1"/>
        <v/>
      </c>
      <c r="J55" s="1016" t="str">
        <f ca="1"/>
        <v/>
      </c>
      <c r="K55" s="1017" t="str">
        <f ca="1"/>
        <v/>
      </c>
      <c r="L55" s="1006" t="str">
        <f ca="1"/>
        <v/>
      </c>
      <c r="M55" s="1016" t="str">
        <f ca="1"/>
        <v/>
      </c>
      <c r="N55" s="1016" t="str">
        <f ca="1"/>
        <v/>
      </c>
      <c r="O55" s="1027" t="str">
        <f ca="1"/>
        <v/>
      </c>
      <c r="P55" s="1017" t="str">
        <f ca="1"/>
        <v/>
      </c>
      <c r="Q55" s="1018" t="str">
        <f ca="1"/>
        <v/>
      </c>
      <c r="R55" s="1016" t="str">
        <f ca="1"/>
        <v/>
      </c>
      <c r="S55" s="1004" t="str">
        <f ca="1"/>
        <v/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1796</v>
      </c>
      <c r="F56" s="597" t="str">
        <f ca="1">_xll.meProductSwapStubRate($F$61:$F$65,$E$61:$E$65,,_xll.meUtilityLVBFromKeysValues($E$25:$E$55,F25:F55),FALSE)</f>
        <v>[2018/05/04 09:52] #Error: Invalid Curve: CurveCollection 'USDYC' does not exist</v>
      </c>
      <c r="G56" s="315" t="s">
        <v>1858</v>
      </c>
      <c r="H56" s="1015" t="str">
        <f ca="1"/>
        <v/>
      </c>
      <c r="I56" s="1006" t="str">
        <f ca="1"/>
        <v/>
      </c>
      <c r="J56" s="1016" t="str">
        <f ca="1"/>
        <v/>
      </c>
      <c r="K56" s="1017" t="str">
        <f ca="1"/>
        <v/>
      </c>
      <c r="L56" s="1006" t="str">
        <f ca="1"/>
        <v/>
      </c>
      <c r="M56" s="1016" t="str">
        <f ca="1"/>
        <v/>
      </c>
      <c r="N56" s="1016" t="str">
        <f ca="1"/>
        <v/>
      </c>
      <c r="O56" s="1027" t="str">
        <f ca="1"/>
        <v/>
      </c>
      <c r="P56" s="1017" t="str">
        <f ca="1"/>
        <v/>
      </c>
      <c r="Q56" s="1018" t="str">
        <f ca="1"/>
        <v/>
      </c>
      <c r="R56" s="1016" t="str">
        <f ca="1"/>
        <v/>
      </c>
      <c r="S56" s="1004" t="str">
        <f ca="1"/>
        <v/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1797</v>
      </c>
      <c r="F57" s="591"/>
      <c r="H57" s="1015" t="str">
        <f ca="1"/>
        <v/>
      </c>
      <c r="I57" s="1006" t="str">
        <f ca="1"/>
        <v/>
      </c>
      <c r="J57" s="1016" t="str">
        <f ca="1"/>
        <v/>
      </c>
      <c r="K57" s="1017" t="str">
        <f ca="1"/>
        <v/>
      </c>
      <c r="L57" s="1006" t="str">
        <f ca="1"/>
        <v/>
      </c>
      <c r="M57" s="1016" t="str">
        <f ca="1"/>
        <v/>
      </c>
      <c r="N57" s="1016" t="str">
        <f ca="1"/>
        <v/>
      </c>
      <c r="O57" s="1027" t="str">
        <f ca="1"/>
        <v/>
      </c>
      <c r="P57" s="1017" t="str">
        <f ca="1"/>
        <v/>
      </c>
      <c r="Q57" s="1018" t="str">
        <f ca="1"/>
        <v/>
      </c>
      <c r="R57" s="1016" t="str">
        <f ca="1"/>
        <v/>
      </c>
      <c r="S57" s="1004" t="str">
        <f ca="1"/>
        <v/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 t="str">
        <f ca="1"/>
        <v/>
      </c>
      <c r="I58" s="1006" t="str">
        <f ca="1"/>
        <v/>
      </c>
      <c r="J58" s="1016" t="str">
        <f ca="1"/>
        <v/>
      </c>
      <c r="K58" s="1017" t="str">
        <f ca="1"/>
        <v/>
      </c>
      <c r="L58" s="1006" t="str">
        <f ca="1"/>
        <v/>
      </c>
      <c r="M58" s="1016" t="str">
        <f ca="1"/>
        <v/>
      </c>
      <c r="N58" s="1016" t="str">
        <f ca="1"/>
        <v/>
      </c>
      <c r="O58" s="1027" t="str">
        <f ca="1"/>
        <v/>
      </c>
      <c r="P58" s="1017" t="str">
        <f ca="1"/>
        <v/>
      </c>
      <c r="Q58" s="1018" t="str">
        <f ca="1"/>
        <v/>
      </c>
      <c r="R58" s="1016" t="str">
        <f ca="1"/>
        <v/>
      </c>
      <c r="S58" s="1004" t="str">
        <f ca="1"/>
        <v/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 t="str">
        <f ca="1"/>
        <v/>
      </c>
      <c r="I59" s="1006" t="str">
        <f ca="1"/>
        <v/>
      </c>
      <c r="J59" s="1016" t="str">
        <f ca="1"/>
        <v/>
      </c>
      <c r="K59" s="1017" t="str">
        <f ca="1"/>
        <v/>
      </c>
      <c r="L59" s="1006" t="str">
        <f ca="1"/>
        <v/>
      </c>
      <c r="M59" s="1016" t="str">
        <f ca="1"/>
        <v/>
      </c>
      <c r="N59" s="1016" t="str">
        <f ca="1"/>
        <v/>
      </c>
      <c r="O59" s="1027" t="str">
        <f ca="1"/>
        <v/>
      </c>
      <c r="P59" s="1017" t="str">
        <f ca="1"/>
        <v/>
      </c>
      <c r="Q59" s="1018" t="str">
        <f ca="1"/>
        <v/>
      </c>
      <c r="R59" s="1016" t="str">
        <f ca="1"/>
        <v/>
      </c>
      <c r="S59" s="1004" t="str">
        <f ca="1"/>
        <v/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1873</v>
      </c>
      <c r="F60" s="592"/>
      <c r="H60" s="1015" t="str">
        <f ca="1"/>
        <v/>
      </c>
      <c r="I60" s="1006" t="str">
        <f ca="1"/>
        <v/>
      </c>
      <c r="J60" s="1016" t="str">
        <f ca="1"/>
        <v/>
      </c>
      <c r="K60" s="1017" t="str">
        <f ca="1"/>
        <v/>
      </c>
      <c r="L60" s="1006" t="str">
        <f ca="1"/>
        <v/>
      </c>
      <c r="M60" s="1016" t="str">
        <f ca="1"/>
        <v/>
      </c>
      <c r="N60" s="1016" t="str">
        <f ca="1"/>
        <v/>
      </c>
      <c r="O60" s="1027" t="str">
        <f ca="1"/>
        <v/>
      </c>
      <c r="P60" s="1017" t="str">
        <f ca="1"/>
        <v/>
      </c>
      <c r="Q60" s="1018" t="str">
        <f ca="1"/>
        <v/>
      </c>
      <c r="R60" s="1016" t="str">
        <f ca="1"/>
        <v/>
      </c>
      <c r="S60" s="1004" t="str">
        <f ca="1"/>
        <v/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1434</v>
      </c>
      <c r="F61" s="594" t="s">
        <v>1915</v>
      </c>
      <c r="H61" s="1015" t="str">
        <f ca="1"/>
        <v/>
      </c>
      <c r="I61" s="1006" t="str">
        <f ca="1"/>
        <v/>
      </c>
      <c r="J61" s="1016" t="str">
        <f ca="1"/>
        <v/>
      </c>
      <c r="K61" s="1017" t="str">
        <f ca="1"/>
        <v/>
      </c>
      <c r="L61" s="1006" t="str">
        <f ca="1"/>
        <v/>
      </c>
      <c r="M61" s="1016" t="str">
        <f ca="1"/>
        <v/>
      </c>
      <c r="N61" s="1016" t="str">
        <f ca="1"/>
        <v/>
      </c>
      <c r="O61" s="1027" t="str">
        <f ca="1"/>
        <v/>
      </c>
      <c r="P61" s="1017" t="str">
        <f ca="1"/>
        <v/>
      </c>
      <c r="Q61" s="1018" t="str">
        <f ca="1"/>
        <v/>
      </c>
      <c r="R61" s="1016" t="str">
        <f ca="1"/>
        <v/>
      </c>
      <c r="S61" s="1004" t="str">
        <f ca="1"/>
        <v/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1916</v>
      </c>
      <c r="H62" s="1015" t="str">
        <f ca="1"/>
        <v/>
      </c>
      <c r="I62" s="1006" t="str">
        <f ca="1"/>
        <v/>
      </c>
      <c r="J62" s="1016" t="str">
        <f ca="1"/>
        <v/>
      </c>
      <c r="K62" s="1017" t="str">
        <f ca="1"/>
        <v/>
      </c>
      <c r="L62" s="1006" t="str">
        <f ca="1"/>
        <v/>
      </c>
      <c r="M62" s="1016" t="str">
        <f ca="1"/>
        <v/>
      </c>
      <c r="N62" s="1016" t="str">
        <f ca="1"/>
        <v/>
      </c>
      <c r="O62" s="1027" t="str">
        <f ca="1"/>
        <v/>
      </c>
      <c r="P62" s="1017" t="str">
        <f ca="1"/>
        <v/>
      </c>
      <c r="Q62" s="1018" t="str">
        <f ca="1"/>
        <v/>
      </c>
      <c r="R62" s="1016" t="str">
        <f ca="1"/>
        <v/>
      </c>
      <c r="S62" s="1004" t="str">
        <f ca="1"/>
        <v/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1040</v>
      </c>
      <c r="H63" s="1015" t="str">
        <f ca="1"/>
        <v/>
      </c>
      <c r="I63" s="1006" t="str">
        <f ca="1"/>
        <v/>
      </c>
      <c r="J63" s="1016" t="str">
        <f ca="1"/>
        <v/>
      </c>
      <c r="K63" s="1017" t="str">
        <f ca="1"/>
        <v/>
      </c>
      <c r="L63" s="1006" t="str">
        <f ca="1"/>
        <v/>
      </c>
      <c r="M63" s="1016" t="str">
        <f ca="1"/>
        <v/>
      </c>
      <c r="N63" s="1016" t="str">
        <f ca="1"/>
        <v/>
      </c>
      <c r="O63" s="1027" t="str">
        <f ca="1"/>
        <v/>
      </c>
      <c r="P63" s="1017" t="str">
        <f ca="1"/>
        <v/>
      </c>
      <c r="Q63" s="1018" t="str">
        <f ca="1"/>
        <v/>
      </c>
      <c r="R63" s="1016" t="str">
        <f ca="1"/>
        <v/>
      </c>
      <c r="S63" s="1004" t="str">
        <f ca="1"/>
        <v/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1917</v>
      </c>
      <c r="H64" s="1015" t="str">
        <f ca="1"/>
        <v/>
      </c>
      <c r="I64" s="1006" t="str">
        <f ca="1"/>
        <v/>
      </c>
      <c r="J64" s="1016" t="str">
        <f ca="1"/>
        <v/>
      </c>
      <c r="K64" s="1017" t="str">
        <f ca="1"/>
        <v/>
      </c>
      <c r="L64" s="1006" t="str">
        <f ca="1"/>
        <v/>
      </c>
      <c r="M64" s="1016" t="str">
        <f ca="1"/>
        <v/>
      </c>
      <c r="N64" s="1016" t="str">
        <f ca="1"/>
        <v/>
      </c>
      <c r="O64" s="1027" t="str">
        <f ca="1"/>
        <v/>
      </c>
      <c r="P64" s="1017" t="str">
        <f ca="1"/>
        <v/>
      </c>
      <c r="Q64" s="1018" t="str">
        <f ca="1"/>
        <v/>
      </c>
      <c r="R64" s="1016" t="str">
        <f ca="1"/>
        <v/>
      </c>
      <c r="S64" s="1004" t="str">
        <f ca="1"/>
        <v/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 t="s">
        <v>250</v>
      </c>
      <c r="F65" s="596" t="s">
        <v>1918</v>
      </c>
      <c r="H65" s="1015" t="str">
        <f ca="1"/>
        <v/>
      </c>
      <c r="I65" s="1006" t="str">
        <f ca="1"/>
        <v/>
      </c>
      <c r="J65" s="1016" t="str">
        <f ca="1"/>
        <v/>
      </c>
      <c r="K65" s="1017" t="str">
        <f ca="1"/>
        <v/>
      </c>
      <c r="L65" s="1006" t="str">
        <f ca="1"/>
        <v/>
      </c>
      <c r="M65" s="1016" t="str">
        <f ca="1"/>
        <v/>
      </c>
      <c r="N65" s="1016" t="str">
        <f ca="1"/>
        <v/>
      </c>
      <c r="O65" s="1027" t="str">
        <f ca="1"/>
        <v/>
      </c>
      <c r="P65" s="1017" t="str">
        <f ca="1"/>
        <v/>
      </c>
      <c r="Q65" s="1018" t="str">
        <f ca="1"/>
        <v/>
      </c>
      <c r="R65" s="1016" t="str">
        <f ca="1"/>
        <v/>
      </c>
      <c r="S65" s="1004" t="str">
        <f ca="1"/>
        <v/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 t="str">
        <f ca="1"/>
        <v/>
      </c>
      <c r="I66" s="1006" t="str">
        <f ca="1"/>
        <v/>
      </c>
      <c r="J66" s="1016" t="str">
        <f ca="1"/>
        <v/>
      </c>
      <c r="K66" s="1017" t="str">
        <f ca="1"/>
        <v/>
      </c>
      <c r="L66" s="1006" t="str">
        <f ca="1"/>
        <v/>
      </c>
      <c r="M66" s="1016" t="str">
        <f ca="1"/>
        <v/>
      </c>
      <c r="N66" s="1016" t="str">
        <f ca="1"/>
        <v/>
      </c>
      <c r="O66" s="1027" t="str">
        <f ca="1"/>
        <v/>
      </c>
      <c r="P66" s="1017" t="str">
        <f ca="1"/>
        <v/>
      </c>
      <c r="Q66" s="1018" t="str">
        <f ca="1"/>
        <v/>
      </c>
      <c r="R66" s="1016" t="str">
        <f ca="1"/>
        <v/>
      </c>
      <c r="S66" s="1004" t="str">
        <f ca="1"/>
        <v/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 t="str">
        <f ca="1"/>
        <v/>
      </c>
      <c r="I67" s="1006" t="str">
        <f ca="1"/>
        <v/>
      </c>
      <c r="J67" s="1016" t="str">
        <f ca="1"/>
        <v/>
      </c>
      <c r="K67" s="1017" t="str">
        <f ca="1"/>
        <v/>
      </c>
      <c r="L67" s="1006" t="str">
        <f ca="1"/>
        <v/>
      </c>
      <c r="M67" s="1016" t="str">
        <f ca="1"/>
        <v/>
      </c>
      <c r="N67" s="1016" t="str">
        <f ca="1"/>
        <v/>
      </c>
      <c r="O67" s="1027" t="str">
        <f ca="1"/>
        <v/>
      </c>
      <c r="P67" s="1017" t="str">
        <f ca="1"/>
        <v/>
      </c>
      <c r="Q67" s="1018" t="str">
        <f ca="1"/>
        <v/>
      </c>
      <c r="R67" s="1016" t="str">
        <f ca="1"/>
        <v/>
      </c>
      <c r="S67" s="1004" t="str">
        <f ca="1"/>
        <v/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 t="str">
        <f ca="1"/>
        <v/>
      </c>
      <c r="I68" s="1006" t="str">
        <f ca="1"/>
        <v/>
      </c>
      <c r="J68" s="1016" t="str">
        <f ca="1"/>
        <v/>
      </c>
      <c r="K68" s="1017" t="str">
        <f ca="1"/>
        <v/>
      </c>
      <c r="L68" s="1006" t="str">
        <f ca="1"/>
        <v/>
      </c>
      <c r="M68" s="1016" t="str">
        <f ca="1"/>
        <v/>
      </c>
      <c r="N68" s="1016" t="str">
        <f ca="1"/>
        <v/>
      </c>
      <c r="O68" s="1027" t="str">
        <f ca="1"/>
        <v/>
      </c>
      <c r="P68" s="1017" t="str">
        <f ca="1"/>
        <v/>
      </c>
      <c r="Q68" s="1018" t="str">
        <f ca="1"/>
        <v/>
      </c>
      <c r="R68" s="1016" t="str">
        <f ca="1"/>
        <v/>
      </c>
      <c r="S68" s="1004" t="str">
        <f ca="1"/>
        <v/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 t="str">
        <f ca="1"/>
        <v/>
      </c>
      <c r="I69" s="1006" t="str">
        <f ca="1"/>
        <v/>
      </c>
      <c r="J69" s="1016" t="str">
        <f ca="1"/>
        <v/>
      </c>
      <c r="K69" s="1017" t="str">
        <f ca="1"/>
        <v/>
      </c>
      <c r="L69" s="1006" t="str">
        <f ca="1"/>
        <v/>
      </c>
      <c r="M69" s="1016" t="str">
        <f ca="1"/>
        <v/>
      </c>
      <c r="N69" s="1016" t="str">
        <f ca="1"/>
        <v/>
      </c>
      <c r="O69" s="1027" t="str">
        <f ca="1"/>
        <v/>
      </c>
      <c r="P69" s="1017" t="str">
        <f ca="1"/>
        <v/>
      </c>
      <c r="Q69" s="1018" t="str">
        <f ca="1"/>
        <v/>
      </c>
      <c r="R69" s="1016" t="str">
        <f ca="1"/>
        <v/>
      </c>
      <c r="S69" s="1004" t="str">
        <f ca="1"/>
        <v/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V17:AH53">
    <cfRule type="expression" dxfId="31" priority="3">
      <formula>ISNA(V17)</formula>
    </cfRule>
  </conditionalFormatting>
  <conditionalFormatting sqref="H53:T190">
    <cfRule type="expression" dxfId="30" priority="2">
      <formula>ISNA(H53)</formula>
    </cfRule>
  </conditionalFormatting>
  <conditionalFormatting sqref="H17:T52">
    <cfRule type="expression" dxfId="29" priority="4">
      <formula>ISNA(H17)</formula>
    </cfRule>
  </conditionalFormatting>
  <conditionalFormatting sqref="V54:AH190">
    <cfRule type="expression" dxfId="28" priority="1">
      <formula>ISNA(V54)</formula>
    </cfRule>
  </conditionalFormatting>
  <conditionalFormatting sqref="V16:AH16 W15:AH15">
    <cfRule type="expression" dxfId="27" priority="6">
      <formula>ISNA(V15)</formula>
    </cfRule>
  </conditionalFormatting>
  <conditionalFormatting sqref="V15">
    <cfRule type="expression" dxfId="26" priority="5">
      <formula>ISNA(V15)</formula>
    </cfRule>
  </conditionalFormatting>
  <conditionalFormatting sqref="H16:T16 I15:T15">
    <cfRule type="expression" dxfId="25" priority="8">
      <formula>ISNA(H15)</formula>
    </cfRule>
  </conditionalFormatting>
  <conditionalFormatting sqref="H15">
    <cfRule type="expression" dxfId="24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3" width="12.7109375" customWidth="1"/>
    <col min="14" max="14" width="17.28515625" bestFit="1" customWidth="1"/>
    <col min="15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5703125" bestFit="1" customWidth="1"/>
    <col min="25" max="25" width="15.7109375" customWidth="1"/>
    <col min="26" max="26" width="19.85546875" bestFit="1" customWidth="1"/>
    <col min="27" max="27" width="14.7109375" bestFit="1" customWidth="1"/>
    <col min="28" max="28" width="9.28515625" customWidth="1"/>
    <col min="29" max="29" width="17.42578125" bestFit="1" customWidth="1"/>
    <col min="30" max="30" width="13.140625" customWidth="1"/>
    <col min="31" max="32" width="15.7109375" customWidth="1"/>
    <col min="33" max="33" width="14.28515625" bestFit="1" customWidth="1"/>
    <col min="34" max="34" width="9.28515625" bestFit="1" customWidth="1"/>
    <col min="35" max="35" width="14.42578125" bestFit="1" customWidth="1"/>
    <col min="36" max="36" width="10.28515625" bestFit="1" customWidth="1"/>
  </cols>
  <sheetData>
    <row r="1" spans="2:36">
      <c r="D1" s="9" t="s">
        <v>1851</v>
      </c>
    </row>
    <row r="2" spans="2:36">
      <c r="D2" s="9"/>
      <c r="E2" s="107" t="s">
        <v>1921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1862</v>
      </c>
      <c r="C6" s="580" t="s">
        <v>2513</v>
      </c>
      <c r="D6" s="335"/>
      <c r="E6" s="387" t="s">
        <v>1889</v>
      </c>
      <c r="F6" s="541" t="s">
        <v>1889</v>
      </c>
      <c r="G6" s="542" t="s">
        <v>1892</v>
      </c>
      <c r="H6" s="543">
        <v>43122</v>
      </c>
      <c r="I6" s="543">
        <v>43303</v>
      </c>
      <c r="J6" s="543">
        <v>52984</v>
      </c>
      <c r="K6" s="587">
        <v>3.5</v>
      </c>
      <c r="L6" s="583" t="s">
        <v>1440</v>
      </c>
      <c r="M6" s="584">
        <v>2</v>
      </c>
      <c r="N6" s="583" t="s">
        <v>1441</v>
      </c>
      <c r="O6" s="544" t="s">
        <v>1849</v>
      </c>
      <c r="P6" s="544">
        <v>137.47399999999999</v>
      </c>
      <c r="Q6" s="544">
        <v>137.43199999999999</v>
      </c>
      <c r="R6" s="545">
        <v>137.51499999999999</v>
      </c>
      <c r="S6" s="546">
        <v>1.7459647352439185</v>
      </c>
      <c r="T6" s="544">
        <v>1.7427768430924169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1863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1864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1865</v>
      </c>
      <c r="C9" s="581"/>
      <c r="D9" s="579" t="s">
        <v>1841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1866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1867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1850</v>
      </c>
      <c r="E14" s="571" t="s">
        <v>1844</v>
      </c>
      <c r="F14" s="630" t="str">
        <f>IF(ISBLANK(AssetSwap.ISIN1),"",AssetSwap.ISIN1)</f>
        <v>GB00BN65R313 Govt</v>
      </c>
      <c r="H14" s="998" t="s">
        <v>1852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1853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1838</v>
      </c>
      <c r="C15" s="576" t="s">
        <v>1839</v>
      </c>
      <c r="E15" s="405" t="s">
        <v>1845</v>
      </c>
      <c r="F15" s="631">
        <f>IF(ISBLANK(AssetSwap.ISIN1),"",AVERAGE($Q6:$R6))</f>
        <v>137.4735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[2018/05/04 09:52] #Error: Invalid Curve: CurveIndex 'GBP6ML' in collection GBPYC does not exist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1934</v>
      </c>
      <c r="F16" s="646" t="str">
        <f>IF(ISBLANK(AssetSwap.ISIN1),"",$O$6)</f>
        <v>CLEAN</v>
      </c>
      <c r="G16" t="s">
        <v>12</v>
      </c>
      <c r="H16" s="1015">
        <f ca="1"/>
        <v>43122</v>
      </c>
      <c r="I16" s="1006">
        <f ca="1"/>
        <v>43304</v>
      </c>
      <c r="J16" s="1016">
        <f ca="1"/>
        <v>182</v>
      </c>
      <c r="K16" s="1017">
        <f ca="1"/>
        <v>0.49863013698630099</v>
      </c>
      <c r="L16" s="1006">
        <f ca="1"/>
        <v>43304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3.5000000000000003E-2</v>
      </c>
      <c r="Q16" s="1018">
        <f ca="1"/>
        <v>-17452.0547945205</v>
      </c>
      <c r="R16" s="1016">
        <f ca="1"/>
        <v>0.99890210496885001</v>
      </c>
      <c r="S16" s="1004">
        <f ca="1"/>
        <v>-17432.894270278201</v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1821</v>
      </c>
      <c r="C17" s="539" t="s">
        <v>1471</v>
      </c>
      <c r="E17" s="577" t="s">
        <v>1854</v>
      </c>
      <c r="F17" s="632"/>
      <c r="G17" s="647" t="s">
        <v>1935</v>
      </c>
      <c r="H17" s="1015">
        <f ca="1"/>
        <v>43304</v>
      </c>
      <c r="I17" s="1006">
        <f ca="1"/>
        <v>43487</v>
      </c>
      <c r="J17" s="1016">
        <f ca="1"/>
        <v>183</v>
      </c>
      <c r="K17" s="1017">
        <f ca="1"/>
        <v>0.50136986301369901</v>
      </c>
      <c r="L17" s="1006">
        <f ca="1"/>
        <v>43487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3.5000000000000003E-2</v>
      </c>
      <c r="Q17" s="1018">
        <f ca="1"/>
        <v>-17547.9452054795</v>
      </c>
      <c r="R17" s="1016">
        <f ca="1"/>
        <v>0.99561815459523895</v>
      </c>
      <c r="S17" s="1004">
        <f ca="1"/>
        <v>-17471.052822417802</v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1939</v>
      </c>
      <c r="C18" s="539" t="s">
        <v>1938</v>
      </c>
      <c r="E18" s="568" t="s">
        <v>1856</v>
      </c>
      <c r="F18" s="633" t="str">
        <f ca="1">_xll.meProductAssetSwapSpread(IF(ISBLANK($F$17),$F$15,$F$17),_xll.meUtilityLVBFromKeysValues($E$25:$E$57,$F$25:$F$57),FALSE)</f>
        <v>[2018/05/04 09:52] #Error: Invalid Curve: CurveIndex 'GBP6ML' in collection GBPYC does not exist</v>
      </c>
      <c r="G18" s="234" t="e">
        <f ca="1">ROUND(F18,1)&amp;" bps"</f>
        <v>#VALUE!</v>
      </c>
      <c r="H18" s="1015">
        <f ca="1"/>
        <v>43487</v>
      </c>
      <c r="I18" s="1006">
        <f ca="1"/>
        <v>43668</v>
      </c>
      <c r="J18" s="1016">
        <f ca="1"/>
        <v>181</v>
      </c>
      <c r="K18" s="1017">
        <f ca="1"/>
        <v>0.49589041095890402</v>
      </c>
      <c r="L18" s="1006">
        <f ca="1"/>
        <v>43668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3.5000000000000003E-2</v>
      </c>
      <c r="Q18" s="1018">
        <f ca="1"/>
        <v>-17356.164383561601</v>
      </c>
      <c r="R18" s="1016">
        <f ca="1"/>
        <v>0.99186911883641304</v>
      </c>
      <c r="S18" s="1004">
        <f ca="1"/>
        <v>-17215.043473503199</v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1.7443707891681676E-2</v>
      </c>
      <c r="G19" t="s">
        <v>12</v>
      </c>
      <c r="H19" s="1015">
        <f ca="1"/>
        <v>43668</v>
      </c>
      <c r="I19" s="1006">
        <f ca="1"/>
        <v>43852</v>
      </c>
      <c r="J19" s="1016">
        <f ca="1"/>
        <v>184</v>
      </c>
      <c r="K19" s="1017">
        <f ca="1"/>
        <v>0.50395239164608097</v>
      </c>
      <c r="L19" s="1006">
        <f ca="1"/>
        <v>43852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3.5000000000000003E-2</v>
      </c>
      <c r="Q19" s="1018">
        <f ca="1"/>
        <v>-17638.333707612801</v>
      </c>
      <c r="R19" s="1016">
        <f ca="1"/>
        <v>0.98781511328152505</v>
      </c>
      <c r="S19" s="1004">
        <f ca="1"/>
        <v>-17423.412609482901</v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1769</v>
      </c>
      <c r="C20" s="539" t="s">
        <v>1472</v>
      </c>
      <c r="E20" s="577" t="s">
        <v>1855</v>
      </c>
      <c r="F20" s="635"/>
      <c r="G20" t="s">
        <v>12</v>
      </c>
      <c r="H20" s="1015">
        <f ca="1"/>
        <v>43852</v>
      </c>
      <c r="I20" s="1006">
        <f ca="1"/>
        <v>44034</v>
      </c>
      <c r="J20" s="1016">
        <f ca="1"/>
        <v>182</v>
      </c>
      <c r="K20" s="1017">
        <f ca="1"/>
        <v>0.49726775956284203</v>
      </c>
      <c r="L20" s="1006">
        <f ca="1"/>
        <v>44034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3.5000000000000003E-2</v>
      </c>
      <c r="Q20" s="1018">
        <f ca="1"/>
        <v>-17404.3715846995</v>
      </c>
      <c r="R20" s="1016">
        <f ca="1"/>
        <v>0.982700931681044</v>
      </c>
      <c r="S20" s="1004">
        <f ca="1"/>
        <v>-17103.292171607201</v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1843</v>
      </c>
      <c r="F21" s="636" t="str">
        <f ca="1">_xll.meProductSwapParRate(_xll.meUtilityLVBFromKeysValues($E$25:$E$57,$F$25:$F$57),FALSE)</f>
        <v>[2018/05/04 09:52] #Error: Invalid Curve: CurveIndex 'GBP6ML' in collection GBPYC does not exist</v>
      </c>
      <c r="G21" s="647" t="s">
        <v>1859</v>
      </c>
      <c r="H21" s="1015">
        <f ca="1"/>
        <v>44034</v>
      </c>
      <c r="I21" s="1006">
        <f ca="1"/>
        <v>44218</v>
      </c>
      <c r="J21" s="1016">
        <f ca="1"/>
        <v>184</v>
      </c>
      <c r="K21" s="1017">
        <f ca="1"/>
        <v>0.50288943783217299</v>
      </c>
      <c r="L21" s="1006">
        <f ca="1"/>
        <v>44218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3.5000000000000003E-2</v>
      </c>
      <c r="Q21" s="1018">
        <f ca="1"/>
        <v>-17601.130324126101</v>
      </c>
      <c r="R21" s="1016">
        <f ca="1"/>
        <v>0.97639726915370595</v>
      </c>
      <c r="S21" s="1004">
        <f ca="1"/>
        <v>-17185.695582495198</v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1857</v>
      </c>
      <c r="F22" s="633" t="e">
        <f ca="1">(IF(ISBLANK($F$20),$F$19,$F$20)-$F$21)*10000</f>
        <v>#VALUE!</v>
      </c>
      <c r="G22" s="234" t="e">
        <f ca="1">ROUND(F22,1)&amp;" bps"</f>
        <v>#VALUE!</v>
      </c>
      <c r="H22" s="1015">
        <f ca="1"/>
        <v>44218</v>
      </c>
      <c r="I22" s="1006">
        <f ca="1"/>
        <v>44399</v>
      </c>
      <c r="J22" s="1016">
        <f ca="1"/>
        <v>181</v>
      </c>
      <c r="K22" s="1017">
        <f ca="1"/>
        <v>0.49589041095890402</v>
      </c>
      <c r="L22" s="1006">
        <f ca="1"/>
        <v>44399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3.5000000000000003E-2</v>
      </c>
      <c r="Q22" s="1018">
        <f ca="1"/>
        <v>-17356.164383561601</v>
      </c>
      <c r="R22" s="1016">
        <f ca="1"/>
        <v>0.970162455449467</v>
      </c>
      <c r="S22" s="1004">
        <f ca="1"/>
        <v>-16838.299055540701</v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F23" s="244"/>
      <c r="G23" t="s">
        <v>12</v>
      </c>
      <c r="H23" s="1015">
        <f ca="1"/>
        <v>44399</v>
      </c>
      <c r="I23" s="1006">
        <f ca="1"/>
        <v>44585</v>
      </c>
      <c r="J23" s="1016">
        <f ca="1"/>
        <v>186</v>
      </c>
      <c r="K23" s="1017">
        <f ca="1"/>
        <v>0.50958904109588998</v>
      </c>
      <c r="L23" s="1006">
        <f ca="1"/>
        <v>44585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3.5000000000000003E-2</v>
      </c>
      <c r="Q23" s="1018">
        <f ca="1"/>
        <v>-17835.616438356199</v>
      </c>
      <c r="R23" s="1016">
        <f ca="1"/>
        <v>0.96416796431773499</v>
      </c>
      <c r="S23" s="1004">
        <f ca="1"/>
        <v>-17196.529993721801</v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44585</v>
      </c>
      <c r="I24" s="1006">
        <f ca="1"/>
        <v>44764</v>
      </c>
      <c r="J24" s="1016">
        <f ca="1"/>
        <v>179</v>
      </c>
      <c r="K24" s="1017">
        <f ca="1"/>
        <v>0.49041095890411002</v>
      </c>
      <c r="L24" s="1006">
        <f ca="1"/>
        <v>44764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3.5000000000000003E-2</v>
      </c>
      <c r="Q24" s="1018">
        <f ca="1"/>
        <v>-17164.383561643801</v>
      </c>
      <c r="R24" s="1016">
        <f ca="1"/>
        <v>0.95834918033149996</v>
      </c>
      <c r="S24" s="1004">
        <f ca="1"/>
        <v>-16449.472917196799</v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1847</v>
      </c>
      <c r="C25" s="539" t="s">
        <v>1848</v>
      </c>
      <c r="E25" s="571" t="s">
        <v>1869</v>
      </c>
      <c r="F25" s="764" t="str">
        <f>IF(ISBLANK(AssetSwap.ISIN1),"",AssetSwap.ISIN1)</f>
        <v>GB00BN65R313 Govt</v>
      </c>
      <c r="G25" t="s">
        <v>12</v>
      </c>
      <c r="H25" s="1015">
        <f ca="1"/>
        <v>44764</v>
      </c>
      <c r="I25" s="1006">
        <f ca="1"/>
        <v>44949</v>
      </c>
      <c r="J25" s="1016">
        <f ca="1"/>
        <v>185</v>
      </c>
      <c r="K25" s="1017">
        <f ca="1"/>
        <v>0.50684931506849296</v>
      </c>
      <c r="L25" s="1006">
        <f ca="1"/>
        <v>44949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3.5000000000000003E-2</v>
      </c>
      <c r="Q25" s="1018">
        <f ca="1"/>
        <v>-17739.726027397301</v>
      </c>
      <c r="R25" s="1016">
        <f ca="1"/>
        <v>0.95209185402381702</v>
      </c>
      <c r="S25" s="1004">
        <f ca="1"/>
        <v>-16889.848643299199</v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1803</v>
      </c>
      <c r="F26" s="1268" t="s">
        <v>1822</v>
      </c>
      <c r="G26" t="s">
        <v>12</v>
      </c>
      <c r="H26" s="1015">
        <f ca="1"/>
        <v>44949</v>
      </c>
      <c r="I26" s="1006">
        <f ca="1"/>
        <v>45131</v>
      </c>
      <c r="J26" s="1016">
        <f ca="1"/>
        <v>182</v>
      </c>
      <c r="K26" s="1017">
        <f ca="1"/>
        <v>0.49863013698630099</v>
      </c>
      <c r="L26" s="1006">
        <f ca="1"/>
        <v>45131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3.5000000000000003E-2</v>
      </c>
      <c r="Q26" s="1018">
        <f ca="1"/>
        <v>-17452.0547945205</v>
      </c>
      <c r="R26" s="1016">
        <f ca="1"/>
        <v>0.94586966950974005</v>
      </c>
      <c r="S26" s="1004">
        <f ca="1"/>
        <v>-16507.369300759001</v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1831</v>
      </c>
      <c r="C27" s="539" t="s">
        <v>1835</v>
      </c>
      <c r="E27" s="639" t="s">
        <v>354</v>
      </c>
      <c r="F27" s="1269">
        <v>1000000</v>
      </c>
      <c r="G27" t="s">
        <v>12</v>
      </c>
      <c r="H27" s="1015">
        <f ca="1"/>
        <v>45131</v>
      </c>
      <c r="I27" s="1006">
        <f ca="1"/>
        <v>45313</v>
      </c>
      <c r="J27" s="1016">
        <f ca="1"/>
        <v>182</v>
      </c>
      <c r="K27" s="1017">
        <f ca="1"/>
        <v>0.49847293959128702</v>
      </c>
      <c r="L27" s="1006">
        <f ca="1"/>
        <v>45313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3.5000000000000003E-2</v>
      </c>
      <c r="Q27" s="1018">
        <f ca="1"/>
        <v>-17446.552885695</v>
      </c>
      <c r="R27" s="1016">
        <f ca="1"/>
        <v>0.93965757153885898</v>
      </c>
      <c r="S27" s="1004">
        <f ca="1"/>
        <v>-16393.785516296499</v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1832</v>
      </c>
      <c r="C28" s="539" t="s">
        <v>1836</v>
      </c>
      <c r="D28" s="563"/>
      <c r="E28" s="639" t="s">
        <v>1823</v>
      </c>
      <c r="F28" s="621">
        <f>$H$6</f>
        <v>43122</v>
      </c>
      <c r="G28" t="s">
        <v>12</v>
      </c>
      <c r="H28" s="1015">
        <f ca="1"/>
        <v>45313</v>
      </c>
      <c r="I28" s="1006">
        <f ca="1"/>
        <v>45495</v>
      </c>
      <c r="J28" s="1016">
        <f ca="1"/>
        <v>182</v>
      </c>
      <c r="K28" s="1017">
        <f ca="1"/>
        <v>0.49726775956284203</v>
      </c>
      <c r="L28" s="1006">
        <f ca="1"/>
        <v>45495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3.5000000000000003E-2</v>
      </c>
      <c r="Q28" s="1018">
        <f ca="1"/>
        <v>-17404.3715846995</v>
      </c>
      <c r="R28" s="1016">
        <f ca="1"/>
        <v>0.93340329361279195</v>
      </c>
      <c r="S28" s="1004">
        <f ca="1"/>
        <v>-16245.2977604194</v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1833</v>
      </c>
      <c r="C29" s="539" t="s">
        <v>2362</v>
      </c>
      <c r="D29" s="564" t="s">
        <v>356</v>
      </c>
      <c r="E29" s="639" t="s">
        <v>1768</v>
      </c>
      <c r="F29" s="621">
        <f ca="1">_xll.meDateFromTenor(COB,D29,F38,F39)</f>
        <v>43224</v>
      </c>
      <c r="G29" t="s">
        <v>12</v>
      </c>
      <c r="H29" s="1015">
        <f ca="1"/>
        <v>45495</v>
      </c>
      <c r="I29" s="1006">
        <f ca="1"/>
        <v>45679</v>
      </c>
      <c r="J29" s="1016">
        <f ca="1"/>
        <v>184</v>
      </c>
      <c r="K29" s="1017">
        <f ca="1"/>
        <v>0.50288943783217299</v>
      </c>
      <c r="L29" s="1006">
        <f ca="1"/>
        <v>45679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3.5000000000000003E-2</v>
      </c>
      <c r="Q29" s="1018">
        <f ca="1"/>
        <v>-17601.130324126101</v>
      </c>
      <c r="R29" s="1016">
        <f ca="1"/>
        <v>0.92699253553377603</v>
      </c>
      <c r="S29" s="1004">
        <f ca="1"/>
        <v>-16316.116427422099</v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1834</v>
      </c>
      <c r="C30" s="539" t="s">
        <v>2363</v>
      </c>
      <c r="D30" s="565"/>
      <c r="E30" s="639" t="s">
        <v>1769</v>
      </c>
      <c r="F30" s="621">
        <f>$J$6</f>
        <v>52984</v>
      </c>
      <c r="G30" t="s">
        <v>12</v>
      </c>
      <c r="H30" s="1015">
        <f ca="1"/>
        <v>45679</v>
      </c>
      <c r="I30" s="1006">
        <f ca="1"/>
        <v>45860</v>
      </c>
      <c r="J30" s="1016">
        <f ca="1"/>
        <v>181</v>
      </c>
      <c r="K30" s="1017">
        <f ca="1"/>
        <v>0.49589041095890402</v>
      </c>
      <c r="L30" s="1006">
        <f ca="1"/>
        <v>45860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3.5000000000000003E-2</v>
      </c>
      <c r="Q30" s="1018">
        <f ca="1"/>
        <v>-17356.164383561601</v>
      </c>
      <c r="R30" s="1016">
        <f ca="1"/>
        <v>0.92061493663369298</v>
      </c>
      <c r="S30" s="1004">
        <f ca="1"/>
        <v>-15978.3441741766</v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1770</v>
      </c>
      <c r="F31" s="528" t="s">
        <v>1046</v>
      </c>
      <c r="G31" t="s">
        <v>12</v>
      </c>
      <c r="H31" s="1015">
        <f ca="1"/>
        <v>45860</v>
      </c>
      <c r="I31" s="1006">
        <f ca="1"/>
        <v>46044</v>
      </c>
      <c r="J31" s="1016">
        <f ca="1"/>
        <v>184</v>
      </c>
      <c r="K31" s="1017">
        <f ca="1"/>
        <v>0.50410958904109604</v>
      </c>
      <c r="L31" s="1006">
        <f ca="1"/>
        <v>46044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3.5000000000000003E-2</v>
      </c>
      <c r="Q31" s="1018">
        <f ca="1"/>
        <v>-17643.835616438399</v>
      </c>
      <c r="R31" s="1016">
        <f ca="1"/>
        <v>0.91407362690570304</v>
      </c>
      <c r="S31" s="1004">
        <f ca="1"/>
        <v>-16127.7648144458</v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1443</v>
      </c>
      <c r="F32" s="532" t="str">
        <f>LEFT(F31,3)&amp;IF($E$3="Semi-Annual","6ML","3ML")</f>
        <v>GBP6ML</v>
      </c>
      <c r="G32" t="s">
        <v>12</v>
      </c>
      <c r="H32" s="1015">
        <f ca="1"/>
        <v>46044</v>
      </c>
      <c r="I32" s="1006">
        <f ca="1"/>
        <v>46225</v>
      </c>
      <c r="J32" s="1016">
        <f ca="1"/>
        <v>181</v>
      </c>
      <c r="K32" s="1017">
        <f ca="1"/>
        <v>0.49589041095890402</v>
      </c>
      <c r="L32" s="1006">
        <f ca="1"/>
        <v>46225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3.5000000000000003E-2</v>
      </c>
      <c r="Q32" s="1018">
        <f ca="1"/>
        <v>-17356.164383561601</v>
      </c>
      <c r="R32" s="1016">
        <f ca="1"/>
        <v>0.90754246039945496</v>
      </c>
      <c r="S32" s="1004">
        <f ca="1"/>
        <v>-15751.4561277549</v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1444</v>
      </c>
      <c r="F33" s="532" t="str">
        <f>LEFT(F31,3)&amp;"DF_"&amp;$D$33</f>
        <v>GBPDF_NOCSA</v>
      </c>
      <c r="G33" t="s">
        <v>12</v>
      </c>
      <c r="H33" s="1015">
        <f ca="1"/>
        <v>46225</v>
      </c>
      <c r="I33" s="1006">
        <f ca="1"/>
        <v>46409</v>
      </c>
      <c r="J33" s="1016">
        <f ca="1"/>
        <v>184</v>
      </c>
      <c r="K33" s="1017">
        <f ca="1"/>
        <v>0.50410958904109604</v>
      </c>
      <c r="L33" s="1006">
        <f ca="1"/>
        <v>46409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3.5000000000000003E-2</v>
      </c>
      <c r="Q33" s="1018">
        <f ca="1"/>
        <v>-17643.835616438399</v>
      </c>
      <c r="R33" s="1016">
        <f ca="1"/>
        <v>0.90079059237306802</v>
      </c>
      <c r="S33" s="1004">
        <f ca="1"/>
        <v>-15893.401136664501</v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1824</v>
      </c>
      <c r="F34" s="622" t="b">
        <f>$O$6="CLEAN"</f>
        <v>1</v>
      </c>
      <c r="G34" s="578" t="str">
        <f>IF(F34,"Clean Bond Px","Dirty Bond Px")</f>
        <v>Clean Bond Px</v>
      </c>
      <c r="H34" s="1015">
        <f ca="1"/>
        <v>46409</v>
      </c>
      <c r="I34" s="1006">
        <f ca="1"/>
        <v>46590</v>
      </c>
      <c r="J34" s="1016">
        <f ca="1"/>
        <v>181</v>
      </c>
      <c r="K34" s="1017">
        <f ca="1"/>
        <v>0.49589041095890402</v>
      </c>
      <c r="L34" s="1006">
        <f ca="1"/>
        <v>46590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3.5000000000000003E-2</v>
      </c>
      <c r="Q34" s="1018">
        <f ca="1"/>
        <v>-17356.164383561601</v>
      </c>
      <c r="R34" s="1016">
        <f ca="1"/>
        <v>0.89405854363165105</v>
      </c>
      <c r="S34" s="1004">
        <f ca="1"/>
        <v>-15517.427051798701</v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1771</v>
      </c>
      <c r="F35" s="623" t="str">
        <f>VLOOKUP($M6,Settings.FrequencyLookupTable,2,0)</f>
        <v>Semi-Annual</v>
      </c>
      <c r="G35" t="s">
        <v>12</v>
      </c>
      <c r="H35" s="1015">
        <f ca="1"/>
        <v>46590</v>
      </c>
      <c r="I35" s="1006">
        <f ca="1"/>
        <v>46776</v>
      </c>
      <c r="J35" s="1016">
        <f ca="1"/>
        <v>186</v>
      </c>
      <c r="K35" s="1017">
        <f ca="1"/>
        <v>0.50941687252039802</v>
      </c>
      <c r="L35" s="1006">
        <f ca="1"/>
        <v>46776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3.5000000000000003E-2</v>
      </c>
      <c r="Q35" s="1018">
        <f ca="1"/>
        <v>-17829.590538213899</v>
      </c>
      <c r="R35" s="1016">
        <f ca="1"/>
        <v>0.88711234420228402</v>
      </c>
      <c r="S35" s="1004">
        <f ca="1"/>
        <v>-15816.8498585218</v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1772</v>
      </c>
      <c r="F36" s="624">
        <f>$K$6/100</f>
        <v>3.5000000000000003E-2</v>
      </c>
      <c r="G36" t="s">
        <v>12</v>
      </c>
      <c r="H36" s="1015">
        <f ca="1"/>
        <v>46776</v>
      </c>
      <c r="I36" s="1006">
        <f ca="1"/>
        <v>46958</v>
      </c>
      <c r="J36" s="1016">
        <f ca="1"/>
        <v>182</v>
      </c>
      <c r="K36" s="1017">
        <f ca="1"/>
        <v>0.49726775956284203</v>
      </c>
      <c r="L36" s="1006">
        <f ca="1"/>
        <v>46958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3.5000000000000003E-2</v>
      </c>
      <c r="Q36" s="1018">
        <f ca="1"/>
        <v>-17404.3715846995</v>
      </c>
      <c r="R36" s="1016">
        <f ca="1"/>
        <v>0.88040564255444798</v>
      </c>
      <c r="S36" s="1004">
        <f ca="1"/>
        <v>-15322.9069482837</v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1825</v>
      </c>
      <c r="F37" s="619" t="str">
        <f>IF(UPPER(LEFT($L$6,3))="BAD"="#","ACT/365",IF($L$6="NL/365","ACT/365",$L$6))</f>
        <v>ACT/ACT</v>
      </c>
      <c r="G37" t="s">
        <v>12</v>
      </c>
      <c r="H37" s="1015">
        <f ca="1"/>
        <v>46958</v>
      </c>
      <c r="I37" s="1006">
        <f ca="1"/>
        <v>47140</v>
      </c>
      <c r="J37" s="1016">
        <f ca="1"/>
        <v>182</v>
      </c>
      <c r="K37" s="1017">
        <f ca="1"/>
        <v>0.49742495695785599</v>
      </c>
      <c r="L37" s="1006">
        <f ca="1"/>
        <v>47140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3.5000000000000003E-2</v>
      </c>
      <c r="Q37" s="1018">
        <f ca="1"/>
        <v>-17409.873493525</v>
      </c>
      <c r="R37" s="1016">
        <f ca="1"/>
        <v>0.87381736672728805</v>
      </c>
      <c r="S37" s="1004">
        <f ca="1"/>
        <v>-15213.0498111672</v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1826</v>
      </c>
      <c r="F38" s="625" t="s">
        <v>38</v>
      </c>
      <c r="G38" t="s">
        <v>12</v>
      </c>
      <c r="H38" s="1015">
        <f ca="1"/>
        <v>47140</v>
      </c>
      <c r="I38" s="1006">
        <f ca="1"/>
        <v>47322</v>
      </c>
      <c r="J38" s="1016">
        <f ca="1"/>
        <v>182</v>
      </c>
      <c r="K38" s="1017">
        <f ca="1"/>
        <v>0.49863013698630099</v>
      </c>
      <c r="L38" s="1006">
        <f ca="1"/>
        <v>47322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3.5000000000000003E-2</v>
      </c>
      <c r="Q38" s="1018">
        <f ca="1"/>
        <v>-17452.0547945205</v>
      </c>
      <c r="R38" s="1016">
        <f ca="1"/>
        <v>0.86731410988235202</v>
      </c>
      <c r="S38" s="1004">
        <f ca="1"/>
        <v>-15136.413369727599</v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1827</v>
      </c>
      <c r="F39" s="625" t="s">
        <v>185</v>
      </c>
      <c r="G39" t="s">
        <v>12</v>
      </c>
      <c r="H39" s="1015">
        <f ca="1"/>
        <v>47322</v>
      </c>
      <c r="I39" s="1006">
        <f ca="1"/>
        <v>47505</v>
      </c>
      <c r="J39" s="1016">
        <f ca="1"/>
        <v>183</v>
      </c>
      <c r="K39" s="1017">
        <f ca="1"/>
        <v>0.50136986301369901</v>
      </c>
      <c r="L39" s="1006">
        <f ca="1"/>
        <v>47505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3.5000000000000003E-2</v>
      </c>
      <c r="Q39" s="1018">
        <f ca="1"/>
        <v>-17547.9452054795</v>
      </c>
      <c r="R39" s="1016">
        <f ca="1"/>
        <v>0.86084336187905497</v>
      </c>
      <c r="S39" s="1004">
        <f ca="1"/>
        <v>-15106.032144754399</v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1778</v>
      </c>
      <c r="F40" s="626">
        <f>$I$6</f>
        <v>43303</v>
      </c>
      <c r="G40" t="s">
        <v>12</v>
      </c>
      <c r="H40" s="1015">
        <f ca="1"/>
        <v>47505</v>
      </c>
      <c r="I40" s="1006">
        <f ca="1"/>
        <v>47686</v>
      </c>
      <c r="J40" s="1016">
        <f ca="1"/>
        <v>181</v>
      </c>
      <c r="K40" s="1017">
        <f ca="1"/>
        <v>0.49589041095890402</v>
      </c>
      <c r="L40" s="1006">
        <f ca="1"/>
        <v>47686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3.5000000000000003E-2</v>
      </c>
      <c r="Q40" s="1018">
        <f ca="1"/>
        <v>-17356.164383561601</v>
      </c>
      <c r="R40" s="1016">
        <f ca="1"/>
        <v>0.854467551986829</v>
      </c>
      <c r="S40" s="1004">
        <f ca="1"/>
        <v>-14830.2792927029</v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1779</v>
      </c>
      <c r="F41" s="627"/>
      <c r="G41" t="s">
        <v>12</v>
      </c>
      <c r="H41" s="1015">
        <f ca="1"/>
        <v>47686</v>
      </c>
      <c r="I41" s="1006">
        <f ca="1"/>
        <v>47870</v>
      </c>
      <c r="J41" s="1016">
        <f ca="1"/>
        <v>184</v>
      </c>
      <c r="K41" s="1017">
        <f ca="1"/>
        <v>0.50410958904109604</v>
      </c>
      <c r="L41" s="1006">
        <f ca="1"/>
        <v>47870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3.5000000000000003E-2</v>
      </c>
      <c r="Q41" s="1018">
        <f ca="1"/>
        <v>-17643.835616438399</v>
      </c>
      <c r="R41" s="1016">
        <f ca="1"/>
        <v>0.84799378607210596</v>
      </c>
      <c r="S41" s="1004">
        <f ca="1"/>
        <v>-14961.8629652174</v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1780</v>
      </c>
      <c r="F42" s="590"/>
      <c r="G42" t="s">
        <v>12</v>
      </c>
      <c r="H42" s="1015">
        <f ca="1"/>
        <v>47870</v>
      </c>
      <c r="I42" s="1006">
        <f ca="1"/>
        <v>48051</v>
      </c>
      <c r="J42" s="1016">
        <f ca="1"/>
        <v>181</v>
      </c>
      <c r="K42" s="1017">
        <f ca="1"/>
        <v>0.49589041095890402</v>
      </c>
      <c r="L42" s="1006">
        <f ca="1"/>
        <v>48051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3.5000000000000003E-2</v>
      </c>
      <c r="Q42" s="1018">
        <f ca="1"/>
        <v>-17356.164383561601</v>
      </c>
      <c r="R42" s="1016">
        <f ca="1"/>
        <v>0.84164995181833502</v>
      </c>
      <c r="S42" s="1004">
        <f ca="1"/>
        <v>-14607.8149171758</v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1782</v>
      </c>
      <c r="F43" s="593"/>
      <c r="G43" t="s">
        <v>12</v>
      </c>
      <c r="H43" s="1015">
        <f ca="1"/>
        <v>48051</v>
      </c>
      <c r="I43" s="1006">
        <f ca="1"/>
        <v>48235</v>
      </c>
      <c r="J43" s="1016">
        <f ca="1"/>
        <v>184</v>
      </c>
      <c r="K43" s="1017">
        <f ca="1"/>
        <v>0.50395239164608097</v>
      </c>
      <c r="L43" s="1006">
        <f ca="1"/>
        <v>48235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3.5000000000000003E-2</v>
      </c>
      <c r="Q43" s="1018">
        <f ca="1"/>
        <v>-17638.333707612801</v>
      </c>
      <c r="R43" s="1016">
        <f ca="1"/>
        <v>0.83524894097354396</v>
      </c>
      <c r="S43" s="1004">
        <f ca="1"/>
        <v>-14732.399549821601</v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1781</v>
      </c>
      <c r="F44" s="531" t="s">
        <v>356</v>
      </c>
      <c r="G44" t="s">
        <v>12</v>
      </c>
      <c r="H44" s="1015">
        <f ca="1"/>
        <v>48235</v>
      </c>
      <c r="I44" s="1006">
        <f ca="1"/>
        <v>48417</v>
      </c>
      <c r="J44" s="1016">
        <f ca="1"/>
        <v>182</v>
      </c>
      <c r="K44" s="1017">
        <f ca="1"/>
        <v>0.49726775956284203</v>
      </c>
      <c r="L44" s="1006">
        <f ca="1"/>
        <v>48417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3.5000000000000003E-2</v>
      </c>
      <c r="Q44" s="1018">
        <f ca="1"/>
        <v>-17404.3715846995</v>
      </c>
      <c r="R44" s="1016">
        <f ca="1"/>
        <v>0.82900107138342805</v>
      </c>
      <c r="S44" s="1004">
        <f ca="1"/>
        <v>-14428.242690471099</v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1783</v>
      </c>
      <c r="F45" s="619" t="str">
        <f>$E$3</f>
        <v>Semi-Annual</v>
      </c>
      <c r="G45" t="s">
        <v>12</v>
      </c>
      <c r="H45" s="1015">
        <f ca="1"/>
        <v>48417</v>
      </c>
      <c r="I45" s="1006">
        <f ca="1"/>
        <v>48603</v>
      </c>
      <c r="J45" s="1016">
        <f ca="1"/>
        <v>186</v>
      </c>
      <c r="K45" s="1017">
        <f ca="1"/>
        <v>0.50836888988696805</v>
      </c>
      <c r="L45" s="1006">
        <f ca="1"/>
        <v>48603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3.5000000000000003E-2</v>
      </c>
      <c r="Q45" s="1018">
        <f ca="1"/>
        <v>-17792.911146043902</v>
      </c>
      <c r="R45" s="1016">
        <f ca="1"/>
        <v>0.82270915622032503</v>
      </c>
      <c r="S45" s="1004">
        <f ca="1"/>
        <v>-14638.390915665001</v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1784</v>
      </c>
      <c r="F46" s="601">
        <v>0</v>
      </c>
      <c r="G46" t="s">
        <v>12</v>
      </c>
      <c r="H46" s="1015">
        <f ca="1"/>
        <v>48603</v>
      </c>
      <c r="I46" s="1006">
        <f ca="1"/>
        <v>48782</v>
      </c>
      <c r="J46" s="1016">
        <f ca="1"/>
        <v>179</v>
      </c>
      <c r="K46" s="1017">
        <f ca="1"/>
        <v>0.49041095890411002</v>
      </c>
      <c r="L46" s="1006">
        <f ca="1"/>
        <v>48782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3.5000000000000003E-2</v>
      </c>
      <c r="Q46" s="1018">
        <f ca="1"/>
        <v>-17164.383561643801</v>
      </c>
      <c r="R46" s="1016">
        <f ca="1"/>
        <v>0.81675638557601404</v>
      </c>
      <c r="S46" s="1004">
        <f ca="1"/>
        <v>-14019.119878448601</v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1828</v>
      </c>
      <c r="F47" s="590" t="s">
        <v>186</v>
      </c>
      <c r="G47" t="s">
        <v>12</v>
      </c>
      <c r="H47" s="1015">
        <f ca="1"/>
        <v>48782</v>
      </c>
      <c r="I47" s="1006">
        <f ca="1"/>
        <v>48967</v>
      </c>
      <c r="J47" s="1016">
        <f ca="1"/>
        <v>185</v>
      </c>
      <c r="K47" s="1017">
        <f ca="1"/>
        <v>0.50684931506849296</v>
      </c>
      <c r="L47" s="1006">
        <f ca="1"/>
        <v>48967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3.5000000000000003E-2</v>
      </c>
      <c r="Q47" s="1018">
        <f ca="1"/>
        <v>-17739.726027397301</v>
      </c>
      <c r="R47" s="1016">
        <f ca="1"/>
        <v>0.81073848117634195</v>
      </c>
      <c r="S47" s="1004">
        <f ca="1"/>
        <v>-14382.278535936501</v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1829</v>
      </c>
      <c r="F48" s="625" t="s">
        <v>38</v>
      </c>
      <c r="G48" t="s">
        <v>12</v>
      </c>
      <c r="H48" s="1015">
        <f ca="1"/>
        <v>48967</v>
      </c>
      <c r="I48" s="1006">
        <f ca="1"/>
        <v>49149</v>
      </c>
      <c r="J48" s="1016">
        <f ca="1"/>
        <v>182</v>
      </c>
      <c r="K48" s="1017">
        <f ca="1"/>
        <v>0.49863013698630099</v>
      </c>
      <c r="L48" s="1006">
        <f ca="1"/>
        <v>49149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3.5000000000000003E-2</v>
      </c>
      <c r="Q48" s="1018">
        <f ca="1"/>
        <v>-17452.0547945205</v>
      </c>
      <c r="R48" s="1016">
        <f ca="1"/>
        <v>0.80495079028455796</v>
      </c>
      <c r="S48" s="1004">
        <f ca="1"/>
        <v>-14048.045298938699</v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1830</v>
      </c>
      <c r="F49" s="625" t="s">
        <v>185</v>
      </c>
      <c r="G49" t="s">
        <v>12</v>
      </c>
      <c r="H49" s="1015">
        <f ca="1"/>
        <v>49149</v>
      </c>
      <c r="I49" s="1006">
        <f ca="1"/>
        <v>49331</v>
      </c>
      <c r="J49" s="1016">
        <f ca="1"/>
        <v>182</v>
      </c>
      <c r="K49" s="1017">
        <f ca="1"/>
        <v>0.49863013698630099</v>
      </c>
      <c r="L49" s="1006">
        <f ca="1"/>
        <v>49331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3.5000000000000003E-2</v>
      </c>
      <c r="Q49" s="1018">
        <f ca="1"/>
        <v>-17452.0547945205</v>
      </c>
      <c r="R49" s="1016">
        <f ca="1"/>
        <v>0.79929179498202996</v>
      </c>
      <c r="S49" s="1004">
        <f ca="1"/>
        <v>-13949.2842028371</v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1792</v>
      </c>
      <c r="F50" s="628"/>
      <c r="G50" t="s">
        <v>12</v>
      </c>
      <c r="H50" s="1015">
        <f ca="1"/>
        <v>49331</v>
      </c>
      <c r="I50" s="1006">
        <f ca="1"/>
        <v>49513</v>
      </c>
      <c r="J50" s="1016">
        <f ca="1"/>
        <v>182</v>
      </c>
      <c r="K50" s="1017">
        <f ca="1"/>
        <v>0.49863013698630099</v>
      </c>
      <c r="L50" s="1006">
        <f ca="1"/>
        <v>49513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3.5000000000000003E-2</v>
      </c>
      <c r="Q50" s="1018">
        <f ca="1"/>
        <v>-17452.0547945205</v>
      </c>
      <c r="R50" s="1016">
        <f ca="1"/>
        <v>0.79375702464619202</v>
      </c>
      <c r="S50" s="1004">
        <f ca="1"/>
        <v>-13852.6910876609</v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1793</v>
      </c>
      <c r="F51" s="628"/>
      <c r="G51" t="s">
        <v>12</v>
      </c>
      <c r="H51" s="1015">
        <f ca="1"/>
        <v>49513</v>
      </c>
      <c r="I51" s="1006">
        <f ca="1"/>
        <v>49696</v>
      </c>
      <c r="J51" s="1016">
        <f ca="1"/>
        <v>183</v>
      </c>
      <c r="K51" s="1017">
        <f ca="1"/>
        <v>0.50121266561868405</v>
      </c>
      <c r="L51" s="1006">
        <f ca="1"/>
        <v>49696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3.5000000000000003E-2</v>
      </c>
      <c r="Q51" s="1018">
        <f ca="1"/>
        <v>-17542.443296653899</v>
      </c>
      <c r="R51" s="1016">
        <f ca="1"/>
        <v>0.78831316874480395</v>
      </c>
      <c r="S51" s="1004">
        <f ca="1"/>
        <v>-13828.939062711301</v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1794</v>
      </c>
      <c r="F52" s="629"/>
      <c r="G52" t="s">
        <v>12</v>
      </c>
      <c r="H52" s="1015">
        <f ca="1"/>
        <v>49696</v>
      </c>
      <c r="I52" s="1006">
        <f ca="1"/>
        <v>49878</v>
      </c>
      <c r="J52" s="1016">
        <f ca="1"/>
        <v>182</v>
      </c>
      <c r="K52" s="1017">
        <f ca="1"/>
        <v>0.49726775956284203</v>
      </c>
      <c r="L52" s="1006">
        <f ca="1"/>
        <v>49878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3.5000000000000003E-2</v>
      </c>
      <c r="Q52" s="1018">
        <f ca="1"/>
        <v>-17404.3715846995</v>
      </c>
      <c r="R52" s="1016">
        <f ca="1"/>
        <v>0.78302355454095995</v>
      </c>
      <c r="S52" s="1004">
        <f ca="1"/>
        <v>-13628.032902803099</v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1799</v>
      </c>
      <c r="F53" s="593" t="s">
        <v>358</v>
      </c>
      <c r="G53" t="s">
        <v>12</v>
      </c>
      <c r="H53" s="1015">
        <f ca="1"/>
        <v>49878</v>
      </c>
      <c r="I53" s="1006">
        <f ca="1"/>
        <v>50062</v>
      </c>
      <c r="J53" s="1016">
        <f ca="1"/>
        <v>184</v>
      </c>
      <c r="K53" s="1017">
        <f ca="1"/>
        <v>0.50288943783217299</v>
      </c>
      <c r="L53" s="1006">
        <f ca="1"/>
        <v>50062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3.5000000000000003E-2</v>
      </c>
      <c r="Q53" s="1018">
        <f ca="1"/>
        <v>-17601.130324126101</v>
      </c>
      <c r="R53" s="1016">
        <f ca="1"/>
        <v>0.77777884672236697</v>
      </c>
      <c r="S53" s="1004">
        <f ca="1"/>
        <v>-13689.786844508801</v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1795</v>
      </c>
      <c r="F54" s="531" t="s">
        <v>356</v>
      </c>
      <c r="G54" t="s">
        <v>12</v>
      </c>
      <c r="H54" s="1015">
        <f ca="1"/>
        <v>50062</v>
      </c>
      <c r="I54" s="1006">
        <f ca="1"/>
        <v>50243</v>
      </c>
      <c r="J54" s="1016">
        <f ca="1"/>
        <v>181</v>
      </c>
      <c r="K54" s="1017">
        <f ca="1"/>
        <v>0.49589041095890402</v>
      </c>
      <c r="L54" s="1006">
        <f ca="1"/>
        <v>50243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3.5000000000000003E-2</v>
      </c>
      <c r="Q54" s="1018">
        <f ca="1"/>
        <v>-17356.164383561601</v>
      </c>
      <c r="R54" s="1016">
        <f ca="1"/>
        <v>0.77270113191003198</v>
      </c>
      <c r="S54" s="1004">
        <f ca="1"/>
        <v>-13411.1278647947</v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1798</v>
      </c>
      <c r="F55" s="531" t="s">
        <v>356</v>
      </c>
      <c r="G55" t="s">
        <v>12</v>
      </c>
      <c r="H55" s="1015">
        <f ca="1"/>
        <v>50243</v>
      </c>
      <c r="I55" s="1006">
        <f ca="1"/>
        <v>50427</v>
      </c>
      <c r="J55" s="1016">
        <f ca="1"/>
        <v>184</v>
      </c>
      <c r="K55" s="1017">
        <f ca="1"/>
        <v>0.50410958904109604</v>
      </c>
      <c r="L55" s="1006">
        <f ca="1"/>
        <v>50427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3.5000000000000003E-2</v>
      </c>
      <c r="Q55" s="1018">
        <f ca="1"/>
        <v>-17643.835616438399</v>
      </c>
      <c r="R55" s="1016">
        <f ca="1"/>
        <v>0.76762427164748903</v>
      </c>
      <c r="S55" s="1004">
        <f ca="1"/>
        <v>-13543.836464136501</v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1796</v>
      </c>
      <c r="F56" s="597" t="str">
        <f ca="1">_xll.meProductSwapStubRate($F$61:$F$65,$E$61:$E$65,,_xll.meUtilityLVBFromKeysValues($E$25:$E$55,F25:F55),FALSE)</f>
        <v>[2018/05/04 09:52] #Error: Invalid Curve: CurveIndex 'GBP1ML' in collection GBPYC does not exist</v>
      </c>
      <c r="G56" s="315" t="s">
        <v>1858</v>
      </c>
      <c r="H56" s="1015">
        <f ca="1"/>
        <v>50427</v>
      </c>
      <c r="I56" s="1006">
        <f ca="1"/>
        <v>50608</v>
      </c>
      <c r="J56" s="1016">
        <f ca="1"/>
        <v>181</v>
      </c>
      <c r="K56" s="1017">
        <f ca="1"/>
        <v>0.49589041095890402</v>
      </c>
      <c r="L56" s="1006">
        <f ca="1"/>
        <v>50608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3.5000000000000003E-2</v>
      </c>
      <c r="Q56" s="1018">
        <f ca="1"/>
        <v>-17356.164383561601</v>
      </c>
      <c r="R56" s="1016">
        <f ca="1"/>
        <v>0.76270240011171897</v>
      </c>
      <c r="S56" s="1004">
        <f ca="1"/>
        <v>-13237.588232075999</v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1797</v>
      </c>
      <c r="F57" s="591"/>
      <c r="H57" s="1015">
        <f ca="1"/>
        <v>50608</v>
      </c>
      <c r="I57" s="1006">
        <f ca="1"/>
        <v>50794</v>
      </c>
      <c r="J57" s="1016">
        <f ca="1"/>
        <v>186</v>
      </c>
      <c r="K57" s="1017">
        <f ca="1"/>
        <v>0.50958904109588998</v>
      </c>
      <c r="L57" s="1006">
        <f ca="1"/>
        <v>50794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3.5000000000000003E-2</v>
      </c>
      <c r="Q57" s="1018">
        <f ca="1"/>
        <v>-17835.616438356199</v>
      </c>
      <c r="R57" s="1016">
        <f ca="1"/>
        <v>0.757712269276276</v>
      </c>
      <c r="S57" s="1004">
        <f ca="1"/>
        <v>-13514.265405448101</v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>
        <f ca="1"/>
        <v>50794</v>
      </c>
      <c r="I58" s="1006">
        <f ca="1"/>
        <v>50973</v>
      </c>
      <c r="J58" s="1016">
        <f ca="1"/>
        <v>179</v>
      </c>
      <c r="K58" s="1017">
        <f ca="1"/>
        <v>0.49041095890411002</v>
      </c>
      <c r="L58" s="1006">
        <f ca="1"/>
        <v>50973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3.5000000000000003E-2</v>
      </c>
      <c r="Q58" s="1018">
        <f ca="1"/>
        <v>-17164.383561643801</v>
      </c>
      <c r="R58" s="1016">
        <f ca="1"/>
        <v>0.75297380547299997</v>
      </c>
      <c r="S58" s="1004">
        <f ca="1"/>
        <v>-12924.3312090092</v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>
        <f ca="1"/>
        <v>50973</v>
      </c>
      <c r="I59" s="1006">
        <f ca="1"/>
        <v>51158</v>
      </c>
      <c r="J59" s="1016">
        <f ca="1"/>
        <v>185</v>
      </c>
      <c r="K59" s="1017">
        <f ca="1"/>
        <v>0.50668463208323999</v>
      </c>
      <c r="L59" s="1006">
        <f ca="1"/>
        <v>51158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3.5000000000000003E-2</v>
      </c>
      <c r="Q59" s="1018">
        <f ca="1"/>
        <v>-17733.962122913399</v>
      </c>
      <c r="R59" s="1016">
        <f ca="1"/>
        <v>0.74814326603358405</v>
      </c>
      <c r="S59" s="1004">
        <f ca="1"/>
        <v>-13267.544342352299</v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1873</v>
      </c>
      <c r="F60" s="592"/>
      <c r="H60" s="1015">
        <f ca="1"/>
        <v>51158</v>
      </c>
      <c r="I60" s="1006">
        <f ca="1"/>
        <v>51340</v>
      </c>
      <c r="J60" s="1016">
        <f ca="1"/>
        <v>182</v>
      </c>
      <c r="K60" s="1017">
        <f ca="1"/>
        <v>0.49726775956284203</v>
      </c>
      <c r="L60" s="1006">
        <f ca="1"/>
        <v>51340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3.5000000000000003E-2</v>
      </c>
      <c r="Q60" s="1018">
        <f ca="1"/>
        <v>-17404.3715846995</v>
      </c>
      <c r="R60" s="1016">
        <f ca="1"/>
        <v>0.74346599485384102</v>
      </c>
      <c r="S60" s="1004">
        <f ca="1"/>
        <v>-12939.558435024501</v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1434</v>
      </c>
      <c r="F61" s="594" t="s">
        <v>1886</v>
      </c>
      <c r="H61" s="1015">
        <f ca="1"/>
        <v>51340</v>
      </c>
      <c r="I61" s="1006">
        <f ca="1"/>
        <v>51523</v>
      </c>
      <c r="J61" s="1016">
        <f ca="1"/>
        <v>183</v>
      </c>
      <c r="K61" s="1017">
        <f ca="1"/>
        <v>0.50015719739501496</v>
      </c>
      <c r="L61" s="1006">
        <f ca="1"/>
        <v>51523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3.5000000000000003E-2</v>
      </c>
      <c r="Q61" s="1018">
        <f ca="1"/>
        <v>-17505.501908825499</v>
      </c>
      <c r="R61" s="1016">
        <f ca="1"/>
        <v>0.73882409929350001</v>
      </c>
      <c r="S61" s="1004">
        <f ca="1"/>
        <v>-12933.486680468701</v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1887</v>
      </c>
      <c r="H62" s="1015">
        <f ca="1"/>
        <v>51523</v>
      </c>
      <c r="I62" s="1006">
        <f ca="1"/>
        <v>51704</v>
      </c>
      <c r="J62" s="1016">
        <f ca="1"/>
        <v>181</v>
      </c>
      <c r="K62" s="1017">
        <f ca="1"/>
        <v>0.49589041095890402</v>
      </c>
      <c r="L62" s="1006">
        <f ca="1"/>
        <v>51704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3.5000000000000003E-2</v>
      </c>
      <c r="Q62" s="1018">
        <f ca="1"/>
        <v>-17356.164383561601</v>
      </c>
      <c r="R62" s="1016">
        <f ca="1"/>
        <v>0.73428285132326698</v>
      </c>
      <c r="S62" s="1004">
        <f ca="1"/>
        <v>-12744.333871597</v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1032</v>
      </c>
      <c r="H63" s="1015">
        <f ca="1"/>
        <v>51704</v>
      </c>
      <c r="I63" s="1006">
        <f ca="1"/>
        <v>51888</v>
      </c>
      <c r="J63" s="1016">
        <f ca="1"/>
        <v>184</v>
      </c>
      <c r="K63" s="1017">
        <f ca="1"/>
        <v>0.50410958904109604</v>
      </c>
      <c r="L63" s="1006">
        <f ca="1"/>
        <v>51888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3.5000000000000003E-2</v>
      </c>
      <c r="Q63" s="1018">
        <f ca="1"/>
        <v>-17643.835616438399</v>
      </c>
      <c r="R63" s="1016">
        <f ca="1"/>
        <v>0.72972741847175604</v>
      </c>
      <c r="S63" s="1004">
        <f ca="1"/>
        <v>-12875.1906163236</v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1041</v>
      </c>
      <c r="H64" s="1015">
        <f ca="1"/>
        <v>51888</v>
      </c>
      <c r="I64" s="1006">
        <f ca="1"/>
        <v>52069</v>
      </c>
      <c r="J64" s="1016">
        <f ca="1"/>
        <v>181</v>
      </c>
      <c r="K64" s="1017">
        <f ca="1"/>
        <v>0.49589041095890402</v>
      </c>
      <c r="L64" s="1006">
        <f ca="1"/>
        <v>52069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3.5000000000000003E-2</v>
      </c>
      <c r="Q64" s="1018">
        <f ca="1"/>
        <v>-17356.164383561601</v>
      </c>
      <c r="R64" s="1016">
        <f ca="1"/>
        <v>0.72530510361850997</v>
      </c>
      <c r="S64" s="1004">
        <f ca="1"/>
        <v>-12588.514606639101</v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 t="s">
        <v>250</v>
      </c>
      <c r="F65" s="596" t="s">
        <v>1888</v>
      </c>
      <c r="H65" s="1015">
        <f ca="1"/>
        <v>52069</v>
      </c>
      <c r="I65" s="1006">
        <f ca="1"/>
        <v>52253</v>
      </c>
      <c r="J65" s="1016">
        <f ca="1"/>
        <v>184</v>
      </c>
      <c r="K65" s="1017">
        <f ca="1"/>
        <v>0.50410958904109604</v>
      </c>
      <c r="L65" s="1006">
        <f ca="1"/>
        <v>52253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3.5000000000000003E-2</v>
      </c>
      <c r="Q65" s="1018">
        <f ca="1"/>
        <v>-17643.835616438399</v>
      </c>
      <c r="R65" s="1016">
        <f ca="1"/>
        <v>0.72086792703061597</v>
      </c>
      <c r="S65" s="1004">
        <f ca="1"/>
        <v>-12718.8752056909</v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>
        <f ca="1"/>
        <v>52253</v>
      </c>
      <c r="I66" s="1006">
        <f ca="1"/>
        <v>52434</v>
      </c>
      <c r="J66" s="1016">
        <f ca="1"/>
        <v>181</v>
      </c>
      <c r="K66" s="1017">
        <f ca="1"/>
        <v>0.49589041095890402</v>
      </c>
      <c r="L66" s="1006">
        <f ca="1"/>
        <v>52434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3.5000000000000003E-2</v>
      </c>
      <c r="Q66" s="1018">
        <f ca="1"/>
        <v>-17356.164383561601</v>
      </c>
      <c r="R66" s="1016">
        <f ca="1"/>
        <v>0.71655914308952295</v>
      </c>
      <c r="S66" s="1004">
        <f ca="1"/>
        <v>-12436.718278005799</v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>
        <f ca="1"/>
        <v>52434</v>
      </c>
      <c r="I67" s="1006">
        <f ca="1"/>
        <v>52618</v>
      </c>
      <c r="J67" s="1016">
        <f ca="1"/>
        <v>184</v>
      </c>
      <c r="K67" s="1017">
        <f ca="1"/>
        <v>0.50395239164608097</v>
      </c>
      <c r="L67" s="1006">
        <f ca="1"/>
        <v>52618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3.5000000000000003E-2</v>
      </c>
      <c r="Q67" s="1018">
        <f ca="1"/>
        <v>-17638.333707612801</v>
      </c>
      <c r="R67" s="1016">
        <f ca="1"/>
        <v>0.71223728390584695</v>
      </c>
      <c r="S67" s="1004">
        <f ca="1"/>
        <v>-12562.678892535099</v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>
        <f ca="1"/>
        <v>52618</v>
      </c>
      <c r="I68" s="1006">
        <f ca="1"/>
        <v>52800</v>
      </c>
      <c r="J68" s="1016">
        <f ca="1"/>
        <v>182</v>
      </c>
      <c r="K68" s="1017">
        <f ca="1"/>
        <v>0.49726775956284203</v>
      </c>
      <c r="L68" s="1006">
        <f ca="1"/>
        <v>52800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3.5000000000000003E-2</v>
      </c>
      <c r="Q68" s="1018">
        <f ca="1"/>
        <v>-17404.3715846995</v>
      </c>
      <c r="R68" s="1016">
        <f ca="1"/>
        <v>0.70803057697745697</v>
      </c>
      <c r="S68" s="1004">
        <f ca="1"/>
        <v>-12322.8272550448</v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>
        <f ca="1"/>
        <v>52800</v>
      </c>
      <c r="I69" s="1006">
        <f ca="1"/>
        <v>52985</v>
      </c>
      <c r="J69" s="1016">
        <f ca="1"/>
        <v>185</v>
      </c>
      <c r="K69" s="1017">
        <f ca="1"/>
        <v>0.50562916385957002</v>
      </c>
      <c r="L69" s="1006">
        <f ca="1"/>
        <v>52985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3.5000000000000003E-2</v>
      </c>
      <c r="Q69" s="1018">
        <f ca="1"/>
        <v>-17697.020735085</v>
      </c>
      <c r="R69" s="1016">
        <f ca="1"/>
        <v>0.70381391271457405</v>
      </c>
      <c r="S69" s="1004">
        <f ca="1"/>
        <v>-12455.409406951099</v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 t="str">
        <f ca="1"/>
        <v/>
      </c>
      <c r="I70" s="1006" t="str">
        <f ca="1"/>
        <v/>
      </c>
      <c r="J70" s="1016" t="str">
        <f ca="1"/>
        <v/>
      </c>
      <c r="K70" s="1017" t="str">
        <f ca="1"/>
        <v/>
      </c>
      <c r="L70" s="1006" t="str">
        <f ca="1"/>
        <v/>
      </c>
      <c r="M70" s="1016" t="str">
        <f ca="1"/>
        <v/>
      </c>
      <c r="N70" s="1016" t="str">
        <f ca="1"/>
        <v/>
      </c>
      <c r="O70" s="1027" t="str">
        <f ca="1"/>
        <v/>
      </c>
      <c r="P70" s="1017" t="str">
        <f ca="1"/>
        <v/>
      </c>
      <c r="Q70" s="1018" t="str">
        <f ca="1"/>
        <v/>
      </c>
      <c r="R70" s="1016" t="str">
        <f ca="1"/>
        <v/>
      </c>
      <c r="S70" s="1004" t="str">
        <f ca="1"/>
        <v/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 t="str">
        <f ca="1"/>
        <v/>
      </c>
      <c r="I71" s="1006" t="str">
        <f ca="1"/>
        <v/>
      </c>
      <c r="J71" s="1016" t="str">
        <f ca="1"/>
        <v/>
      </c>
      <c r="K71" s="1017" t="str">
        <f ca="1"/>
        <v/>
      </c>
      <c r="L71" s="1006" t="str">
        <f ca="1"/>
        <v/>
      </c>
      <c r="M71" s="1016" t="str">
        <f ca="1"/>
        <v/>
      </c>
      <c r="N71" s="1016" t="str">
        <f ca="1"/>
        <v/>
      </c>
      <c r="O71" s="1027" t="str">
        <f ca="1"/>
        <v/>
      </c>
      <c r="P71" s="1017" t="str">
        <f ca="1"/>
        <v/>
      </c>
      <c r="Q71" s="1018" t="str">
        <f ca="1"/>
        <v/>
      </c>
      <c r="R71" s="1016" t="str">
        <f ca="1"/>
        <v/>
      </c>
      <c r="S71" s="1004" t="str">
        <f ca="1"/>
        <v/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 t="str">
        <f ca="1"/>
        <v/>
      </c>
      <c r="I72" s="1006" t="str">
        <f ca="1"/>
        <v/>
      </c>
      <c r="J72" s="1016" t="str">
        <f ca="1"/>
        <v/>
      </c>
      <c r="K72" s="1017" t="str">
        <f ca="1"/>
        <v/>
      </c>
      <c r="L72" s="1006" t="str">
        <f ca="1"/>
        <v/>
      </c>
      <c r="M72" s="1016" t="str">
        <f ca="1"/>
        <v/>
      </c>
      <c r="N72" s="1016" t="str">
        <f ca="1"/>
        <v/>
      </c>
      <c r="O72" s="1027" t="str">
        <f ca="1"/>
        <v/>
      </c>
      <c r="P72" s="1017" t="str">
        <f ca="1"/>
        <v/>
      </c>
      <c r="Q72" s="1018" t="str">
        <f ca="1"/>
        <v/>
      </c>
      <c r="R72" s="1016" t="str">
        <f ca="1"/>
        <v/>
      </c>
      <c r="S72" s="1004" t="str">
        <f ca="1"/>
        <v/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T13">
    <cfRule type="expression" dxfId="23" priority="26">
      <formula>ISNA(T13)</formula>
    </cfRule>
  </conditionalFormatting>
  <conditionalFormatting sqref="H13">
    <cfRule type="expression" dxfId="22" priority="25">
      <formula>ISNA(H13)</formula>
    </cfRule>
  </conditionalFormatting>
  <conditionalFormatting sqref="I13:R13">
    <cfRule type="expression" dxfId="21" priority="28">
      <formula>ISNA(I13)</formula>
    </cfRule>
  </conditionalFormatting>
  <conditionalFormatting sqref="U13:AF13">
    <cfRule type="expression" dxfId="20" priority="27">
      <formula>ISNA(U13)</formula>
    </cfRule>
  </conditionalFormatting>
  <conditionalFormatting sqref="H17:T52">
    <cfRule type="expression" dxfId="19" priority="4">
      <formula>ISNA(H17)</formula>
    </cfRule>
  </conditionalFormatting>
  <conditionalFormatting sqref="V17:AH53">
    <cfRule type="expression" dxfId="18" priority="3">
      <formula>ISNA(V17)</formula>
    </cfRule>
  </conditionalFormatting>
  <conditionalFormatting sqref="H53:T190">
    <cfRule type="expression" dxfId="17" priority="2">
      <formula>ISNA(H53)</formula>
    </cfRule>
  </conditionalFormatting>
  <conditionalFormatting sqref="V54:AH190">
    <cfRule type="expression" dxfId="16" priority="1">
      <formula>ISNA(V54)</formula>
    </cfRule>
  </conditionalFormatting>
  <conditionalFormatting sqref="V16:AH16 W15:AH15">
    <cfRule type="expression" dxfId="15" priority="6">
      <formula>ISNA(V15)</formula>
    </cfRule>
  </conditionalFormatting>
  <conditionalFormatting sqref="V15">
    <cfRule type="expression" dxfId="14" priority="5">
      <formula>ISNA(V15)</formula>
    </cfRule>
  </conditionalFormatting>
  <conditionalFormatting sqref="H16:T16 I15:T15">
    <cfRule type="expression" dxfId="13" priority="8">
      <formula>ISNA(H15)</formula>
    </cfRule>
  </conditionalFormatting>
  <conditionalFormatting sqref="H15">
    <cfRule type="expression" dxfId="12" priority="7">
      <formula>ISNA(H15)</formula>
    </cfRule>
  </conditionalFormatting>
  <dataValidations disablePrompts="1" count="7"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39 F49">
      <formula1>"TGT,NYB:LNB,LNB,TKB:LNB"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3" tint="0.59999389629810485"/>
  </sheetPr>
  <dimension ref="A1:AJ190"/>
  <sheetViews>
    <sheetView showGridLines="0" topLeftCell="D1" zoomScaleNormal="100" workbookViewId="0">
      <selection activeCell="D1" sqref="D1"/>
    </sheetView>
  </sheetViews>
  <sheetFormatPr defaultRowHeight="15" outlineLevelCol="1"/>
  <cols>
    <col min="1" max="1" width="9.140625" hidden="1" customWidth="1" outlineLevel="1"/>
    <col min="2" max="2" width="19.7109375" hidden="1" customWidth="1" outlineLevel="1"/>
    <col min="3" max="3" width="50.140625" hidden="1" customWidth="1" outlineLevel="1"/>
    <col min="4" max="4" width="19.140625" customWidth="1" collapsed="1"/>
    <col min="5" max="5" width="36" bestFit="1" customWidth="1"/>
    <col min="6" max="7" width="20.7109375" customWidth="1"/>
    <col min="8" max="10" width="15.7109375" customWidth="1"/>
    <col min="11" max="11" width="20.42578125" bestFit="1" customWidth="1"/>
    <col min="12" max="12" width="15.7109375" customWidth="1"/>
    <col min="13" max="15" width="12.7109375" customWidth="1"/>
    <col min="16" max="16" width="14.7109375" bestFit="1" customWidth="1"/>
    <col min="17" max="17" width="15.7109375" customWidth="1"/>
    <col min="18" max="18" width="12.7109375" customWidth="1"/>
    <col min="19" max="22" width="15.7109375" customWidth="1"/>
    <col min="23" max="24" width="20.42578125" bestFit="1" customWidth="1"/>
    <col min="25" max="25" width="15.7109375" customWidth="1"/>
    <col min="26" max="26" width="19.7109375" bestFit="1" customWidth="1"/>
    <col min="27" max="27" width="15" bestFit="1" customWidth="1"/>
    <col min="28" max="28" width="9.28515625" customWidth="1"/>
    <col min="29" max="29" width="17.28515625" bestFit="1" customWidth="1"/>
    <col min="30" max="30" width="13.140625" customWidth="1"/>
    <col min="31" max="32" width="15.7109375" customWidth="1"/>
    <col min="33" max="33" width="11" customWidth="1"/>
    <col min="34" max="34" width="8.85546875" customWidth="1"/>
    <col min="35" max="35" width="14.28515625" bestFit="1" customWidth="1"/>
    <col min="36" max="36" width="10.28515625" bestFit="1" customWidth="1"/>
  </cols>
  <sheetData>
    <row r="1" spans="2:36">
      <c r="D1" s="9" t="s">
        <v>1851</v>
      </c>
    </row>
    <row r="2" spans="2:36">
      <c r="D2" s="9"/>
      <c r="E2" s="107" t="s">
        <v>1921</v>
      </c>
    </row>
    <row r="3" spans="2:36">
      <c r="D3" s="9"/>
      <c r="E3" s="380" t="s">
        <v>76</v>
      </c>
    </row>
    <row r="4" spans="2:36">
      <c r="E4" s="335"/>
      <c r="F4" s="335"/>
    </row>
    <row r="5" spans="2:36">
      <c r="B5" s="234" t="s">
        <v>1868</v>
      </c>
      <c r="D5" s="579" t="s">
        <v>1840</v>
      </c>
      <c r="E5" s="424" t="s">
        <v>1090</v>
      </c>
      <c r="F5" s="579" t="s">
        <v>1837</v>
      </c>
      <c r="G5" s="536" t="str">
        <f t="array" ref="G5:AD5">TRANSPOSE(AssetSwap.FieldNames)</f>
        <v>SecurityName</v>
      </c>
      <c r="H5" s="537" t="str">
        <v>CouponStartDate</v>
      </c>
      <c r="I5" s="536" t="str">
        <v>CouponEndDate</v>
      </c>
      <c r="J5" s="536" t="str">
        <v>MaturityDate</v>
      </c>
      <c r="K5" s="538" t="str">
        <v>Coupon</v>
      </c>
      <c r="L5" s="537" t="str">
        <v>Daycount</v>
      </c>
      <c r="M5" s="537" t="str">
        <v>Coupon Freq</v>
      </c>
      <c r="N5" s="537" t="str">
        <v>Coupon Desc</v>
      </c>
      <c r="O5" s="537" t="str">
        <v>Dirty/Clean</v>
      </c>
      <c r="P5" s="537" t="str">
        <v>Last Price</v>
      </c>
      <c r="Q5" s="537" t="str">
        <v>Bid Price</v>
      </c>
      <c r="R5" s="537" t="str">
        <v>Ask Price</v>
      </c>
      <c r="S5" s="537" t="str">
        <v>Bid Yield</v>
      </c>
      <c r="T5" s="537" t="str">
        <v>Ask Yield</v>
      </c>
      <c r="U5" s="537" t="e">
        <v>#N/A</v>
      </c>
      <c r="V5" s="537" t="e">
        <v>#N/A</v>
      </c>
      <c r="W5" s="534" t="e">
        <v>#N/A</v>
      </c>
      <c r="X5" s="534" t="e">
        <v>#N/A</v>
      </c>
      <c r="Y5" s="534" t="e">
        <v>#N/A</v>
      </c>
      <c r="Z5" s="534" t="e">
        <v>#N/A</v>
      </c>
      <c r="AA5" s="534" t="e">
        <v>#N/A</v>
      </c>
      <c r="AB5" s="534" t="e">
        <v>#N/A</v>
      </c>
      <c r="AC5" s="534" t="e">
        <v>#N/A</v>
      </c>
      <c r="AD5" s="534" t="e">
        <v>#N/A</v>
      </c>
      <c r="AE5" t="s">
        <v>12</v>
      </c>
    </row>
    <row r="6" spans="2:36">
      <c r="B6" s="509" t="s">
        <v>1862</v>
      </c>
      <c r="C6" s="580" t="s">
        <v>2512</v>
      </c>
      <c r="D6" s="335"/>
      <c r="E6" s="387" t="s">
        <v>1922</v>
      </c>
      <c r="F6" s="541" t="s">
        <v>1922</v>
      </c>
      <c r="G6" s="542" t="s">
        <v>1923</v>
      </c>
      <c r="H6" s="543">
        <v>43089</v>
      </c>
      <c r="I6" s="543">
        <v>43271</v>
      </c>
      <c r="J6" s="543">
        <v>53498</v>
      </c>
      <c r="K6" s="587">
        <v>0.3</v>
      </c>
      <c r="L6" s="583" t="s">
        <v>1442</v>
      </c>
      <c r="M6" s="584">
        <v>2</v>
      </c>
      <c r="N6" s="583" t="s">
        <v>1441</v>
      </c>
      <c r="O6" s="544" t="s">
        <v>1849</v>
      </c>
      <c r="P6" s="544">
        <v>89.694999999999993</v>
      </c>
      <c r="Q6" s="544">
        <v>89.558999999999997</v>
      </c>
      <c r="R6" s="545">
        <v>89.831000000000003</v>
      </c>
      <c r="S6" s="546">
        <v>0.74800000000000044</v>
      </c>
      <c r="T6" s="544">
        <v>0.73499999999999999</v>
      </c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7"/>
      <c r="AG6" s="392"/>
      <c r="AH6" s="392"/>
    </row>
    <row r="7" spans="2:36">
      <c r="B7" s="510" t="s">
        <v>1863</v>
      </c>
      <c r="C7" s="581"/>
      <c r="D7" s="335"/>
      <c r="E7" s="650"/>
      <c r="F7" s="548"/>
      <c r="G7" s="549"/>
      <c r="H7" s="550"/>
      <c r="I7" s="550"/>
      <c r="J7" s="550"/>
      <c r="K7" s="588"/>
      <c r="L7" s="351"/>
      <c r="M7" s="585"/>
      <c r="N7" s="351"/>
      <c r="O7" s="551"/>
      <c r="P7" s="551"/>
      <c r="Q7" s="551"/>
      <c r="R7" s="552"/>
      <c r="S7" s="553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4"/>
    </row>
    <row r="8" spans="2:36">
      <c r="B8" s="510" t="s">
        <v>1864</v>
      </c>
      <c r="C8" s="581"/>
      <c r="E8" s="648"/>
      <c r="F8" s="548"/>
      <c r="G8" s="549"/>
      <c r="H8" s="550"/>
      <c r="I8" s="550"/>
      <c r="J8" s="550"/>
      <c r="K8" s="588"/>
      <c r="L8" s="351"/>
      <c r="M8" s="585"/>
      <c r="N8" s="351"/>
      <c r="O8" s="551"/>
      <c r="P8" s="551"/>
      <c r="Q8" s="551"/>
      <c r="R8" s="552"/>
      <c r="S8" s="553"/>
      <c r="T8" s="551"/>
      <c r="U8" s="551"/>
      <c r="V8" s="551"/>
      <c r="W8" s="551"/>
      <c r="X8" s="551"/>
      <c r="Y8" s="551"/>
      <c r="Z8" s="551"/>
      <c r="AA8" s="551"/>
      <c r="AB8" s="551"/>
      <c r="AC8" s="551"/>
      <c r="AD8" s="551"/>
      <c r="AE8" s="551"/>
      <c r="AF8" s="554"/>
    </row>
    <row r="9" spans="2:36">
      <c r="B9" s="510" t="s">
        <v>1865</v>
      </c>
      <c r="C9" s="581"/>
      <c r="D9" s="579" t="s">
        <v>1841</v>
      </c>
      <c r="E9" s="648"/>
      <c r="F9" s="548"/>
      <c r="G9" s="549"/>
      <c r="H9" s="550"/>
      <c r="I9" s="550"/>
      <c r="J9" s="550"/>
      <c r="K9" s="588"/>
      <c r="L9" s="351"/>
      <c r="M9" s="585"/>
      <c r="N9" s="351"/>
      <c r="O9" s="551"/>
      <c r="P9" s="551"/>
      <c r="Q9" s="551"/>
      <c r="R9" s="552"/>
      <c r="S9" s="553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4"/>
    </row>
    <row r="10" spans="2:36">
      <c r="B10" s="510" t="s">
        <v>1866</v>
      </c>
      <c r="C10" s="581"/>
      <c r="E10" s="648"/>
      <c r="F10" s="548"/>
      <c r="G10" s="549"/>
      <c r="H10" s="550"/>
      <c r="I10" s="550"/>
      <c r="J10" s="550"/>
      <c r="K10" s="588"/>
      <c r="L10" s="351"/>
      <c r="M10" s="585"/>
      <c r="N10" s="351"/>
      <c r="O10" s="551"/>
      <c r="P10" s="551"/>
      <c r="Q10" s="551"/>
      <c r="R10" s="552"/>
      <c r="S10" s="553"/>
      <c r="T10" s="551"/>
      <c r="U10" s="551"/>
      <c r="V10" s="551"/>
      <c r="W10" s="551"/>
      <c r="X10" s="551"/>
      <c r="Y10" s="551"/>
      <c r="Z10" s="551"/>
      <c r="AA10" s="551"/>
      <c r="AB10" s="551"/>
      <c r="AC10" s="551"/>
      <c r="AD10" s="551"/>
      <c r="AE10" s="551"/>
      <c r="AF10" s="554"/>
    </row>
    <row r="11" spans="2:36">
      <c r="B11" s="511" t="s">
        <v>1867</v>
      </c>
      <c r="C11" s="582"/>
      <c r="E11" s="649"/>
      <c r="F11" s="555"/>
      <c r="G11" s="556"/>
      <c r="H11" s="557"/>
      <c r="I11" s="557"/>
      <c r="J11" s="557"/>
      <c r="K11" s="589"/>
      <c r="L11" s="558"/>
      <c r="M11" s="586"/>
      <c r="N11" s="558"/>
      <c r="O11" s="559"/>
      <c r="P11" s="559"/>
      <c r="Q11" s="559"/>
      <c r="R11" s="560"/>
      <c r="S11" s="561"/>
      <c r="T11" s="559"/>
      <c r="U11" s="559"/>
      <c r="V11" s="559"/>
      <c r="W11" s="559"/>
      <c r="X11" s="559"/>
      <c r="Y11" s="559"/>
      <c r="Z11" s="559"/>
      <c r="AA11" s="559"/>
      <c r="AB11" s="559"/>
      <c r="AC11" s="559"/>
      <c r="AD11" s="559"/>
      <c r="AE11" s="559"/>
      <c r="AF11" s="562"/>
    </row>
    <row r="14" spans="2:36">
      <c r="B14" s="234" t="s">
        <v>1850</v>
      </c>
      <c r="E14" s="571" t="s">
        <v>1844</v>
      </c>
      <c r="F14" s="630" t="str">
        <f>IF(ISBLANK(AssetSwap.ISIN1),"",AssetSwap.ISIN1)</f>
        <v>JP1300511G61 Govt</v>
      </c>
      <c r="H14" s="998" t="s">
        <v>1852</v>
      </c>
      <c r="I14" s="995"/>
      <c r="J14" s="995"/>
      <c r="K14" s="995"/>
      <c r="L14" s="995"/>
      <c r="M14" s="1002"/>
      <c r="N14" s="995"/>
      <c r="O14" s="995"/>
      <c r="P14" s="995"/>
      <c r="Q14" s="995"/>
      <c r="R14" s="995"/>
      <c r="S14" s="995"/>
      <c r="T14" s="995"/>
      <c r="U14" s="995"/>
      <c r="V14" s="998" t="s">
        <v>1853</v>
      </c>
      <c r="W14" s="995"/>
      <c r="X14" s="995"/>
      <c r="Y14" s="995"/>
      <c r="Z14" s="995"/>
      <c r="AA14" s="1002"/>
      <c r="AB14" s="995"/>
      <c r="AC14" s="995"/>
      <c r="AD14" s="995"/>
      <c r="AE14" s="995"/>
      <c r="AF14" s="995"/>
      <c r="AG14" s="995"/>
      <c r="AH14" s="995"/>
      <c r="AI14" s="995"/>
      <c r="AJ14" s="995"/>
    </row>
    <row r="15" spans="2:36">
      <c r="B15" s="575" t="s">
        <v>1838</v>
      </c>
      <c r="C15" s="576" t="s">
        <v>1839</v>
      </c>
      <c r="E15" s="405" t="s">
        <v>1845</v>
      </c>
      <c r="F15" s="631">
        <f>IF(ISBLANK(AssetSwap.ISIN1),"",AVERAGE($Q6:$R6))</f>
        <v>89.694999999999993</v>
      </c>
      <c r="G15" t="s">
        <v>12</v>
      </c>
      <c r="H15" s="1010" t="str">
        <f t="array" aca="1" ref="H15:T190" ca="1">_xll.meUtilityResize(_xll.meProductSwapLegDisplay(_xll.meUtilityLVBFromMultipleKeysValues($E$27:$E$27,$F$27:$F$27,"","EffectiveDate",$F$28,"",$E$30:$E$57,$F$30:$F$57,,"LegType","Leg1:Fixed",,"PAYRECEIVE",$F$26),FALSE),200,50)</f>
        <v>AccrualStart</v>
      </c>
      <c r="I15" s="1011" t="str">
        <f ca="1"/>
        <v>AccrualEnd</v>
      </c>
      <c r="J15" s="1011" t="str">
        <f ca="1"/>
        <v>AccrualDays</v>
      </c>
      <c r="K15" s="1012" t="str">
        <f ca="1"/>
        <v>AccrualYearFractions</v>
      </c>
      <c r="L15" s="1011" t="str">
        <f ca="1"/>
        <v>PaymentDate</v>
      </c>
      <c r="M15" s="1095" t="str">
        <f ca="1"/>
        <v>Notional</v>
      </c>
      <c r="N15" s="1095" t="str">
        <f ca="1"/>
        <v>NotionalExchange</v>
      </c>
      <c r="O15" s="1091" t="str">
        <f ca="1"/>
        <v>Leverage</v>
      </c>
      <c r="P15" s="1092" t="str">
        <f ca="1"/>
        <v>FixedRate</v>
      </c>
      <c r="Q15" s="1093" t="str">
        <f ca="1"/>
        <v>Coupon</v>
      </c>
      <c r="R15" s="1012" t="str">
        <f ca="1"/>
        <v>DiscountFactor</v>
      </c>
      <c r="S15" s="1012" t="str">
        <f ca="1"/>
        <v>CouponPV</v>
      </c>
      <c r="T15" s="1031" t="str">
        <f ca="1"/>
        <v/>
      </c>
      <c r="U15" s="995"/>
      <c r="V15" s="1010" t="str">
        <f t="array" aca="1" ref="V15:AJ190" ca="1">_xll.meUtilityResize(_xll.meProductSwapLegDisplay(_xll.meUtilityLVBFromMultipleKeysValues($E$27:$E$57,$F$27:$F$57,,"LegType","Leg2:Float",,"PAYRECEIVE",IF($F$26="PAYER","RECEIVE","PAY")),FALSE),200,50)</f>
        <v>[2018/05/04 09:52] #Error: Invalid Curve: CurveIndex 'JPY6ML' in collection JPYYC does not exist</v>
      </c>
      <c r="W15" s="1011" t="str">
        <f ca="1"/>
        <v/>
      </c>
      <c r="X15" s="1011" t="str">
        <f ca="1"/>
        <v/>
      </c>
      <c r="Y15" s="1012" t="str">
        <f ca="1"/>
        <v/>
      </c>
      <c r="Z15" s="1012" t="str">
        <f ca="1"/>
        <v/>
      </c>
      <c r="AA15" s="1011" t="str">
        <f ca="1"/>
        <v/>
      </c>
      <c r="AB15" s="1095" t="str">
        <f ca="1"/>
        <v/>
      </c>
      <c r="AC15" s="1095" t="str">
        <f ca="1"/>
        <v/>
      </c>
      <c r="AD15" s="1091" t="str">
        <f ca="1"/>
        <v/>
      </c>
      <c r="AE15" s="1092" t="str">
        <f ca="1"/>
        <v/>
      </c>
      <c r="AF15" s="1091" t="str">
        <f ca="1"/>
        <v/>
      </c>
      <c r="AG15" s="1094" t="str">
        <f ca="1"/>
        <v/>
      </c>
      <c r="AH15" s="1012" t="str">
        <f ca="1"/>
        <v/>
      </c>
      <c r="AI15" s="1012" t="str">
        <f ca="1"/>
        <v/>
      </c>
      <c r="AJ15" s="1031" t="str">
        <f ca="1"/>
        <v/>
      </c>
    </row>
    <row r="16" spans="2:36">
      <c r="B16" s="643"/>
      <c r="C16" s="644"/>
      <c r="E16" s="651" t="s">
        <v>1934</v>
      </c>
      <c r="F16" s="646" t="str">
        <f>IF(ISBLANK(AssetSwap.ISIN1),"",$O$6)</f>
        <v>CLEAN</v>
      </c>
      <c r="G16" t="s">
        <v>12</v>
      </c>
      <c r="H16" s="1015">
        <f ca="1"/>
        <v>43089</v>
      </c>
      <c r="I16" s="1006">
        <f ca="1"/>
        <v>43271</v>
      </c>
      <c r="J16" s="1016">
        <f ca="1"/>
        <v>182</v>
      </c>
      <c r="K16" s="1017">
        <f ca="1"/>
        <v>0.49863013698630099</v>
      </c>
      <c r="L16" s="1006">
        <f ca="1"/>
        <v>43271</v>
      </c>
      <c r="M16" s="1016">
        <f ca="1"/>
        <v>-1000000</v>
      </c>
      <c r="N16" s="1016">
        <f ca="1"/>
        <v>0</v>
      </c>
      <c r="O16" s="1027">
        <f ca="1"/>
        <v>1</v>
      </c>
      <c r="P16" s="1017">
        <f ca="1"/>
        <v>3.0000000000000001E-3</v>
      </c>
      <c r="Q16" s="1018">
        <f ca="1"/>
        <v>-1496</v>
      </c>
      <c r="R16" s="1016">
        <f ca="1"/>
        <v>1.00007122232427</v>
      </c>
      <c r="S16" s="1004">
        <f ca="1"/>
        <v>-1496</v>
      </c>
      <c r="T16" s="1028" t="str">
        <f ca="1"/>
        <v/>
      </c>
      <c r="U16" s="995"/>
      <c r="V16" s="1015" t="str">
        <f ca="1"/>
        <v/>
      </c>
      <c r="W16" s="1006" t="str">
        <f ca="1"/>
        <v/>
      </c>
      <c r="X16" s="1006" t="str">
        <f ca="1"/>
        <v/>
      </c>
      <c r="Y16" s="1004" t="str">
        <f ca="1"/>
        <v/>
      </c>
      <c r="Z16" s="1017" t="str">
        <f ca="1"/>
        <v/>
      </c>
      <c r="AA16" s="1006" t="str">
        <f ca="1"/>
        <v/>
      </c>
      <c r="AB16" s="1016" t="str">
        <f ca="1"/>
        <v/>
      </c>
      <c r="AC16" s="1016" t="str">
        <f ca="1"/>
        <v/>
      </c>
      <c r="AD16" s="1027" t="str">
        <f ca="1"/>
        <v/>
      </c>
      <c r="AE16" s="1017" t="str">
        <f ca="1"/>
        <v/>
      </c>
      <c r="AF16" s="1027" t="str">
        <f ca="1"/>
        <v/>
      </c>
      <c r="AG16" s="1036" t="str">
        <f ca="1"/>
        <v/>
      </c>
      <c r="AH16" s="1016" t="str">
        <f ca="1"/>
        <v/>
      </c>
      <c r="AI16" s="1019" t="str">
        <f ca="1"/>
        <v/>
      </c>
      <c r="AJ16" s="1028" t="str">
        <f ca="1"/>
        <v/>
      </c>
    </row>
    <row r="17" spans="2:36">
      <c r="B17" s="573" t="s">
        <v>1821</v>
      </c>
      <c r="C17" s="539" t="s">
        <v>1471</v>
      </c>
      <c r="E17" s="577" t="s">
        <v>1854</v>
      </c>
      <c r="F17" s="632"/>
      <c r="G17" s="647" t="s">
        <v>1935</v>
      </c>
      <c r="H17" s="1015">
        <f ca="1"/>
        <v>43271</v>
      </c>
      <c r="I17" s="1006">
        <f ca="1"/>
        <v>43454</v>
      </c>
      <c r="J17" s="1016">
        <f ca="1"/>
        <v>183</v>
      </c>
      <c r="K17" s="1017">
        <f ca="1"/>
        <v>0.50136986301369901</v>
      </c>
      <c r="L17" s="1006">
        <f ca="1"/>
        <v>43454</v>
      </c>
      <c r="M17" s="1016">
        <f ca="1"/>
        <v>-1000000</v>
      </c>
      <c r="N17" s="1016">
        <f ca="1"/>
        <v>0</v>
      </c>
      <c r="O17" s="1027">
        <f ca="1"/>
        <v>1</v>
      </c>
      <c r="P17" s="1017">
        <f ca="1"/>
        <v>3.0000000000000001E-3</v>
      </c>
      <c r="Q17" s="1018">
        <f ca="1"/>
        <v>-1504</v>
      </c>
      <c r="R17" s="1016">
        <f ca="1"/>
        <v>1.0002822856433999</v>
      </c>
      <c r="S17" s="1004">
        <f ca="1"/>
        <v>-1505</v>
      </c>
      <c r="T17" s="1028" t="str">
        <f ca="1"/>
        <v/>
      </c>
      <c r="U17" s="995"/>
      <c r="V17" s="1015" t="str">
        <f ca="1"/>
        <v/>
      </c>
      <c r="W17" s="1006" t="str">
        <f ca="1"/>
        <v/>
      </c>
      <c r="X17" s="1006" t="str">
        <f ca="1"/>
        <v/>
      </c>
      <c r="Y17" s="1004" t="str">
        <f ca="1"/>
        <v/>
      </c>
      <c r="Z17" s="1017" t="str">
        <f ca="1"/>
        <v/>
      </c>
      <c r="AA17" s="1006" t="str">
        <f ca="1"/>
        <v/>
      </c>
      <c r="AB17" s="1016" t="str">
        <f ca="1"/>
        <v/>
      </c>
      <c r="AC17" s="1016" t="str">
        <f ca="1"/>
        <v/>
      </c>
      <c r="AD17" s="1027" t="str">
        <f ca="1"/>
        <v/>
      </c>
      <c r="AE17" s="1017" t="str">
        <f ca="1"/>
        <v/>
      </c>
      <c r="AF17" s="1027" t="str">
        <f ca="1"/>
        <v/>
      </c>
      <c r="AG17" s="1036" t="str">
        <f ca="1"/>
        <v/>
      </c>
      <c r="AH17" s="1016" t="str">
        <f ca="1"/>
        <v/>
      </c>
      <c r="AI17" s="1019" t="str">
        <f ca="1"/>
        <v/>
      </c>
      <c r="AJ17" s="1028" t="str">
        <f ca="1"/>
        <v/>
      </c>
    </row>
    <row r="18" spans="2:36">
      <c r="B18" s="573" t="s">
        <v>1939</v>
      </c>
      <c r="C18" s="539" t="s">
        <v>1938</v>
      </c>
      <c r="E18" s="568" t="s">
        <v>1856</v>
      </c>
      <c r="F18" s="633" t="str">
        <f ca="1">_xll.meProductAssetSwapSpread(IF(ISBLANK($F$17),$F$15,$F$17),_xll.meUtilityLVBFromKeysValues($E$25:$E$57,$F$25:$F$57),FALSE)</f>
        <v>[2018/05/04 09:52] #Error: Invalid Curve: CurveIndex 'JPY6ML' in collection JPYYC does not exist</v>
      </c>
      <c r="G18" s="234" t="e">
        <f ca="1">ROUND(F18,1)&amp;" bps"</f>
        <v>#VALUE!</v>
      </c>
      <c r="H18" s="1015">
        <f ca="1"/>
        <v>43454</v>
      </c>
      <c r="I18" s="1006">
        <f ca="1"/>
        <v>43636</v>
      </c>
      <c r="J18" s="1016">
        <f ca="1"/>
        <v>182</v>
      </c>
      <c r="K18" s="1017">
        <f ca="1"/>
        <v>0.49863013698630099</v>
      </c>
      <c r="L18" s="1006">
        <f ca="1"/>
        <v>43636</v>
      </c>
      <c r="M18" s="1016">
        <f ca="1"/>
        <v>-1000000</v>
      </c>
      <c r="N18" s="1016">
        <f ca="1"/>
        <v>0</v>
      </c>
      <c r="O18" s="1027">
        <f ca="1"/>
        <v>1</v>
      </c>
      <c r="P18" s="1017">
        <f ca="1"/>
        <v>3.0000000000000001E-3</v>
      </c>
      <c r="Q18" s="1018">
        <f ca="1"/>
        <v>-1496</v>
      </c>
      <c r="R18" s="1016">
        <f ca="1"/>
        <v>1.00036911557428</v>
      </c>
      <c r="S18" s="1004">
        <f ca="1"/>
        <v>-1496</v>
      </c>
      <c r="T18" s="1028" t="str">
        <f ca="1"/>
        <v/>
      </c>
      <c r="U18" s="995"/>
      <c r="V18" s="1015" t="str">
        <f ca="1"/>
        <v/>
      </c>
      <c r="W18" s="1006" t="str">
        <f ca="1"/>
        <v/>
      </c>
      <c r="X18" s="1006" t="str">
        <f ca="1"/>
        <v/>
      </c>
      <c r="Y18" s="1004" t="str">
        <f ca="1"/>
        <v/>
      </c>
      <c r="Z18" s="1017" t="str">
        <f ca="1"/>
        <v/>
      </c>
      <c r="AA18" s="1006" t="str">
        <f ca="1"/>
        <v/>
      </c>
      <c r="AB18" s="1016" t="str">
        <f ca="1"/>
        <v/>
      </c>
      <c r="AC18" s="1016" t="str">
        <f ca="1"/>
        <v/>
      </c>
      <c r="AD18" s="1027" t="str">
        <f ca="1"/>
        <v/>
      </c>
      <c r="AE18" s="1017" t="str">
        <f ca="1"/>
        <v/>
      </c>
      <c r="AF18" s="1027" t="str">
        <f ca="1"/>
        <v/>
      </c>
      <c r="AG18" s="1036" t="str">
        <f ca="1"/>
        <v/>
      </c>
      <c r="AH18" s="1016" t="str">
        <f ca="1"/>
        <v/>
      </c>
      <c r="AI18" s="1019" t="str">
        <f ca="1"/>
        <v/>
      </c>
      <c r="AJ18" s="1028" t="str">
        <f ca="1"/>
        <v/>
      </c>
    </row>
    <row r="19" spans="2:36">
      <c r="B19" s="573" t="s">
        <v>1940</v>
      </c>
      <c r="C19" s="539" t="s">
        <v>1846</v>
      </c>
      <c r="E19" s="569" t="s">
        <v>1842</v>
      </c>
      <c r="F19" s="634">
        <f>IF(ISBLANK(AssetSwap.ISIN1),"",AVERAGE($S6:$T6)/100)</f>
        <v>7.4150000000000023E-3</v>
      </c>
      <c r="G19" t="s">
        <v>12</v>
      </c>
      <c r="H19" s="1015">
        <f ca="1"/>
        <v>43636</v>
      </c>
      <c r="I19" s="1006">
        <f ca="1"/>
        <v>43819</v>
      </c>
      <c r="J19" s="1016">
        <f ca="1"/>
        <v>183</v>
      </c>
      <c r="K19" s="1017">
        <f ca="1"/>
        <v>0.50136986301369901</v>
      </c>
      <c r="L19" s="1006">
        <f ca="1"/>
        <v>43819</v>
      </c>
      <c r="M19" s="1016">
        <f ca="1"/>
        <v>-1000000</v>
      </c>
      <c r="N19" s="1016">
        <f ca="1"/>
        <v>0</v>
      </c>
      <c r="O19" s="1027">
        <f ca="1"/>
        <v>1</v>
      </c>
      <c r="P19" s="1017">
        <f ca="1"/>
        <v>3.0000000000000001E-3</v>
      </c>
      <c r="Q19" s="1018">
        <f ca="1"/>
        <v>-1504</v>
      </c>
      <c r="R19" s="1016">
        <f ca="1"/>
        <v>1.0003699488289399</v>
      </c>
      <c r="S19" s="1004">
        <f ca="1"/>
        <v>-1505</v>
      </c>
      <c r="T19" s="1028" t="str">
        <f ca="1"/>
        <v/>
      </c>
      <c r="U19" s="995"/>
      <c r="V19" s="1015" t="str">
        <f ca="1"/>
        <v/>
      </c>
      <c r="W19" s="1006" t="str">
        <f ca="1"/>
        <v/>
      </c>
      <c r="X19" s="1006" t="str">
        <f ca="1"/>
        <v/>
      </c>
      <c r="Y19" s="1004" t="str">
        <f ca="1"/>
        <v/>
      </c>
      <c r="Z19" s="1017" t="str">
        <f ca="1"/>
        <v/>
      </c>
      <c r="AA19" s="1006" t="str">
        <f ca="1"/>
        <v/>
      </c>
      <c r="AB19" s="1016" t="str">
        <f ca="1"/>
        <v/>
      </c>
      <c r="AC19" s="1016" t="str">
        <f ca="1"/>
        <v/>
      </c>
      <c r="AD19" s="1027" t="str">
        <f ca="1"/>
        <v/>
      </c>
      <c r="AE19" s="1017" t="str">
        <f ca="1"/>
        <v/>
      </c>
      <c r="AF19" s="1027" t="str">
        <f ca="1"/>
        <v/>
      </c>
      <c r="AG19" s="1036" t="str">
        <f ca="1"/>
        <v/>
      </c>
      <c r="AH19" s="1016" t="str">
        <f ca="1"/>
        <v/>
      </c>
      <c r="AI19" s="1019" t="str">
        <f ca="1"/>
        <v/>
      </c>
      <c r="AJ19" s="1028" t="str">
        <f ca="1"/>
        <v/>
      </c>
    </row>
    <row r="20" spans="2:36">
      <c r="B20" s="573" t="s">
        <v>1769</v>
      </c>
      <c r="C20" s="539" t="s">
        <v>1472</v>
      </c>
      <c r="E20" s="577" t="s">
        <v>1855</v>
      </c>
      <c r="F20" s="635"/>
      <c r="G20" t="s">
        <v>12</v>
      </c>
      <c r="H20" s="1015">
        <f ca="1"/>
        <v>43819</v>
      </c>
      <c r="I20" s="1006">
        <f ca="1"/>
        <v>44004</v>
      </c>
      <c r="J20" s="1016">
        <f ca="1"/>
        <v>185</v>
      </c>
      <c r="K20" s="1017">
        <f ca="1"/>
        <v>0.50684931506849296</v>
      </c>
      <c r="L20" s="1006">
        <f ca="1"/>
        <v>44004</v>
      </c>
      <c r="M20" s="1016">
        <f ca="1"/>
        <v>-1000000</v>
      </c>
      <c r="N20" s="1016">
        <f ca="1"/>
        <v>0</v>
      </c>
      <c r="O20" s="1027">
        <f ca="1"/>
        <v>1</v>
      </c>
      <c r="P20" s="1017">
        <f ca="1"/>
        <v>3.0000000000000001E-3</v>
      </c>
      <c r="Q20" s="1018">
        <f ca="1"/>
        <v>-1521</v>
      </c>
      <c r="R20" s="1016">
        <f ca="1"/>
        <v>1.0003168103967901</v>
      </c>
      <c r="S20" s="1004">
        <f ca="1"/>
        <v>-1521</v>
      </c>
      <c r="T20" s="1028" t="str">
        <f ca="1"/>
        <v/>
      </c>
      <c r="U20" s="995"/>
      <c r="V20" s="1015" t="str">
        <f ca="1"/>
        <v/>
      </c>
      <c r="W20" s="1006" t="str">
        <f ca="1"/>
        <v/>
      </c>
      <c r="X20" s="1006" t="str">
        <f ca="1"/>
        <v/>
      </c>
      <c r="Y20" s="1004" t="str">
        <f ca="1"/>
        <v/>
      </c>
      <c r="Z20" s="1017" t="str">
        <f ca="1"/>
        <v/>
      </c>
      <c r="AA20" s="1006" t="str">
        <f ca="1"/>
        <v/>
      </c>
      <c r="AB20" s="1016" t="str">
        <f ca="1"/>
        <v/>
      </c>
      <c r="AC20" s="1016" t="str">
        <f ca="1"/>
        <v/>
      </c>
      <c r="AD20" s="1027" t="str">
        <f ca="1"/>
        <v/>
      </c>
      <c r="AE20" s="1017" t="str">
        <f ca="1"/>
        <v/>
      </c>
      <c r="AF20" s="1027" t="str">
        <f ca="1"/>
        <v/>
      </c>
      <c r="AG20" s="1036" t="str">
        <f ca="1"/>
        <v/>
      </c>
      <c r="AH20" s="1016" t="str">
        <f ca="1"/>
        <v/>
      </c>
      <c r="AI20" s="1019" t="str">
        <f ca="1"/>
        <v/>
      </c>
      <c r="AJ20" s="1028" t="str">
        <f ca="1"/>
        <v/>
      </c>
    </row>
    <row r="21" spans="2:36">
      <c r="B21" s="573" t="s">
        <v>1083</v>
      </c>
      <c r="C21" s="539" t="s">
        <v>1473</v>
      </c>
      <c r="E21" s="570" t="s">
        <v>1843</v>
      </c>
      <c r="F21" s="636" t="str">
        <f ca="1">_xll.meProductSwapParRate(_xll.meUtilityLVBFromKeysValues($E$25:$E$57,$F$25:$F$57),FALSE)</f>
        <v>[2018/05/04 09:52] #Error: Invalid Curve: CurveIndex 'JPY6ML' in collection JPYYC does not exist</v>
      </c>
      <c r="G21" s="647" t="s">
        <v>1859</v>
      </c>
      <c r="H21" s="1015">
        <f ca="1"/>
        <v>44004</v>
      </c>
      <c r="I21" s="1006">
        <f ca="1"/>
        <v>44186</v>
      </c>
      <c r="J21" s="1016">
        <f ca="1"/>
        <v>182</v>
      </c>
      <c r="K21" s="1017">
        <f ca="1"/>
        <v>0.49863013698630099</v>
      </c>
      <c r="L21" s="1006">
        <f ca="1"/>
        <v>44186</v>
      </c>
      <c r="M21" s="1016">
        <f ca="1"/>
        <v>-1000000</v>
      </c>
      <c r="N21" s="1016">
        <f ca="1"/>
        <v>0</v>
      </c>
      <c r="O21" s="1027">
        <f ca="1"/>
        <v>1</v>
      </c>
      <c r="P21" s="1017">
        <f ca="1"/>
        <v>3.0000000000000001E-3</v>
      </c>
      <c r="Q21" s="1018">
        <f ca="1"/>
        <v>-1496</v>
      </c>
      <c r="R21" s="1016">
        <f ca="1"/>
        <v>1.00022719703925</v>
      </c>
      <c r="S21" s="1004">
        <f ca="1"/>
        <v>-1496</v>
      </c>
      <c r="T21" s="1028" t="str">
        <f ca="1"/>
        <v/>
      </c>
      <c r="U21" s="995"/>
      <c r="V21" s="1015" t="str">
        <f ca="1"/>
        <v/>
      </c>
      <c r="W21" s="1006" t="str">
        <f ca="1"/>
        <v/>
      </c>
      <c r="X21" s="1006" t="str">
        <f ca="1"/>
        <v/>
      </c>
      <c r="Y21" s="1004" t="str">
        <f ca="1"/>
        <v/>
      </c>
      <c r="Z21" s="1017" t="str">
        <f ca="1"/>
        <v/>
      </c>
      <c r="AA21" s="1006" t="str">
        <f ca="1"/>
        <v/>
      </c>
      <c r="AB21" s="1016" t="str">
        <f ca="1"/>
        <v/>
      </c>
      <c r="AC21" s="1016" t="str">
        <f ca="1"/>
        <v/>
      </c>
      <c r="AD21" s="1027" t="str">
        <f ca="1"/>
        <v/>
      </c>
      <c r="AE21" s="1017" t="str">
        <f ca="1"/>
        <v/>
      </c>
      <c r="AF21" s="1027" t="str">
        <f ca="1"/>
        <v/>
      </c>
      <c r="AG21" s="1036" t="str">
        <f ca="1"/>
        <v/>
      </c>
      <c r="AH21" s="1016" t="str">
        <f ca="1"/>
        <v/>
      </c>
      <c r="AI21" s="1019" t="str">
        <f ca="1"/>
        <v/>
      </c>
      <c r="AJ21" s="1028" t="str">
        <f ca="1"/>
        <v/>
      </c>
    </row>
    <row r="22" spans="2:36">
      <c r="B22" s="573" t="s">
        <v>120</v>
      </c>
      <c r="C22" s="539" t="s">
        <v>1474</v>
      </c>
      <c r="E22" s="568" t="s">
        <v>1857</v>
      </c>
      <c r="F22" s="633" t="e">
        <f ca="1">(IF(ISBLANK($F$20),$F$19,$F$20)-$F$21)*10000</f>
        <v>#VALUE!</v>
      </c>
      <c r="G22" s="234" t="e">
        <f ca="1">ROUND(F22,1)&amp;" bps"</f>
        <v>#VALUE!</v>
      </c>
      <c r="H22" s="1015">
        <f ca="1"/>
        <v>44186</v>
      </c>
      <c r="I22" s="1006">
        <f ca="1"/>
        <v>44368</v>
      </c>
      <c r="J22" s="1016">
        <f ca="1"/>
        <v>182</v>
      </c>
      <c r="K22" s="1017">
        <f ca="1"/>
        <v>0.49863013698630099</v>
      </c>
      <c r="L22" s="1006">
        <f ca="1"/>
        <v>44368</v>
      </c>
      <c r="M22" s="1016">
        <f ca="1"/>
        <v>-1000000</v>
      </c>
      <c r="N22" s="1016">
        <f ca="1"/>
        <v>0</v>
      </c>
      <c r="O22" s="1027">
        <f ca="1"/>
        <v>1</v>
      </c>
      <c r="P22" s="1017">
        <f ca="1"/>
        <v>3.0000000000000001E-3</v>
      </c>
      <c r="Q22" s="1018">
        <f ca="1"/>
        <v>-1496</v>
      </c>
      <c r="R22" s="1016">
        <f ca="1"/>
        <v>1.0000797861705899</v>
      </c>
      <c r="S22" s="1004">
        <f ca="1"/>
        <v>-1496</v>
      </c>
      <c r="T22" s="1028" t="str">
        <f ca="1"/>
        <v/>
      </c>
      <c r="U22" s="995"/>
      <c r="V22" s="1015" t="str">
        <f ca="1"/>
        <v/>
      </c>
      <c r="W22" s="1006" t="str">
        <f ca="1"/>
        <v/>
      </c>
      <c r="X22" s="1006" t="str">
        <f ca="1"/>
        <v/>
      </c>
      <c r="Y22" s="1004" t="str">
        <f ca="1"/>
        <v/>
      </c>
      <c r="Z22" s="1017" t="str">
        <f ca="1"/>
        <v/>
      </c>
      <c r="AA22" s="1006" t="str">
        <f ca="1"/>
        <v/>
      </c>
      <c r="AB22" s="1016" t="str">
        <f ca="1"/>
        <v/>
      </c>
      <c r="AC22" s="1016" t="str">
        <f ca="1"/>
        <v/>
      </c>
      <c r="AD22" s="1027" t="str">
        <f ca="1"/>
        <v/>
      </c>
      <c r="AE22" s="1017" t="str">
        <f ca="1"/>
        <v/>
      </c>
      <c r="AF22" s="1027" t="str">
        <f ca="1"/>
        <v/>
      </c>
      <c r="AG22" s="1036" t="str">
        <f ca="1"/>
        <v/>
      </c>
      <c r="AH22" s="1016" t="str">
        <f ca="1"/>
        <v/>
      </c>
      <c r="AI22" s="1019" t="str">
        <f ca="1"/>
        <v/>
      </c>
      <c r="AJ22" s="1028" t="str">
        <f ca="1"/>
        <v/>
      </c>
    </row>
    <row r="23" spans="2:36">
      <c r="B23" s="573" t="s">
        <v>1088</v>
      </c>
      <c r="C23" s="539" t="s">
        <v>1086</v>
      </c>
      <c r="G23" t="s">
        <v>12</v>
      </c>
      <c r="H23" s="1015">
        <f ca="1"/>
        <v>44368</v>
      </c>
      <c r="I23" s="1006">
        <f ca="1"/>
        <v>44550</v>
      </c>
      <c r="J23" s="1016">
        <f ca="1"/>
        <v>182</v>
      </c>
      <c r="K23" s="1017">
        <f ca="1"/>
        <v>0.49863013698630099</v>
      </c>
      <c r="L23" s="1006">
        <f ca="1"/>
        <v>44550</v>
      </c>
      <c r="M23" s="1016">
        <f ca="1"/>
        <v>-1000000</v>
      </c>
      <c r="N23" s="1016">
        <f ca="1"/>
        <v>0</v>
      </c>
      <c r="O23" s="1027">
        <f ca="1"/>
        <v>1</v>
      </c>
      <c r="P23" s="1017">
        <f ca="1"/>
        <v>3.0000000000000001E-3</v>
      </c>
      <c r="Q23" s="1018">
        <f ca="1"/>
        <v>-1496</v>
      </c>
      <c r="R23" s="1016">
        <f ca="1"/>
        <v>0.99985117675645696</v>
      </c>
      <c r="S23" s="1004">
        <f ca="1"/>
        <v>-1496</v>
      </c>
      <c r="T23" s="1028" t="str">
        <f ca="1"/>
        <v/>
      </c>
      <c r="U23" s="995"/>
      <c r="V23" s="1015" t="str">
        <f ca="1"/>
        <v/>
      </c>
      <c r="W23" s="1006" t="str">
        <f ca="1"/>
        <v/>
      </c>
      <c r="X23" s="1006" t="str">
        <f ca="1"/>
        <v/>
      </c>
      <c r="Y23" s="1004" t="str">
        <f ca="1"/>
        <v/>
      </c>
      <c r="Z23" s="1017" t="str">
        <f ca="1"/>
        <v/>
      </c>
      <c r="AA23" s="1006" t="str">
        <f ca="1"/>
        <v/>
      </c>
      <c r="AB23" s="1016" t="str">
        <f ca="1"/>
        <v/>
      </c>
      <c r="AC23" s="1016" t="str">
        <f ca="1"/>
        <v/>
      </c>
      <c r="AD23" s="1027" t="str">
        <f ca="1"/>
        <v/>
      </c>
      <c r="AE23" s="1017" t="str">
        <f ca="1"/>
        <v/>
      </c>
      <c r="AF23" s="1027" t="str">
        <f ca="1"/>
        <v/>
      </c>
      <c r="AG23" s="1036" t="str">
        <f ca="1"/>
        <v/>
      </c>
      <c r="AH23" s="1016" t="str">
        <f ca="1"/>
        <v/>
      </c>
      <c r="AI23" s="1019" t="str">
        <f ca="1"/>
        <v/>
      </c>
      <c r="AJ23" s="1028" t="str">
        <f ca="1"/>
        <v/>
      </c>
    </row>
    <row r="24" spans="2:36">
      <c r="B24" s="573" t="s">
        <v>1089</v>
      </c>
      <c r="C24" s="539" t="s">
        <v>1087</v>
      </c>
      <c r="G24" t="s">
        <v>12</v>
      </c>
      <c r="H24" s="1015">
        <f ca="1"/>
        <v>44550</v>
      </c>
      <c r="I24" s="1006">
        <f ca="1"/>
        <v>44732</v>
      </c>
      <c r="J24" s="1016">
        <f ca="1"/>
        <v>182</v>
      </c>
      <c r="K24" s="1017">
        <f ca="1"/>
        <v>0.49863013698630099</v>
      </c>
      <c r="L24" s="1006">
        <f ca="1"/>
        <v>44732</v>
      </c>
      <c r="M24" s="1016">
        <f ca="1"/>
        <v>-1000000</v>
      </c>
      <c r="N24" s="1016">
        <f ca="1"/>
        <v>0</v>
      </c>
      <c r="O24" s="1027">
        <f ca="1"/>
        <v>1</v>
      </c>
      <c r="P24" s="1017">
        <f ca="1"/>
        <v>3.0000000000000001E-3</v>
      </c>
      <c r="Q24" s="1018">
        <f ca="1"/>
        <v>-1496</v>
      </c>
      <c r="R24" s="1016">
        <f ca="1"/>
        <v>0.99952004128841099</v>
      </c>
      <c r="S24" s="1004">
        <f ca="1"/>
        <v>-1495</v>
      </c>
      <c r="T24" s="1028" t="str">
        <f ca="1"/>
        <v/>
      </c>
      <c r="U24" s="995"/>
      <c r="V24" s="1015" t="str">
        <f ca="1"/>
        <v/>
      </c>
      <c r="W24" s="1006" t="str">
        <f ca="1"/>
        <v/>
      </c>
      <c r="X24" s="1006" t="str">
        <f ca="1"/>
        <v/>
      </c>
      <c r="Y24" s="1004" t="str">
        <f ca="1"/>
        <v/>
      </c>
      <c r="Z24" s="1017" t="str">
        <f ca="1"/>
        <v/>
      </c>
      <c r="AA24" s="1006" t="str">
        <f ca="1"/>
        <v/>
      </c>
      <c r="AB24" s="1016" t="str">
        <f ca="1"/>
        <v/>
      </c>
      <c r="AC24" s="1016" t="str">
        <f ca="1"/>
        <v/>
      </c>
      <c r="AD24" s="1027" t="str">
        <f ca="1"/>
        <v/>
      </c>
      <c r="AE24" s="1017" t="str">
        <f ca="1"/>
        <v/>
      </c>
      <c r="AF24" s="1027" t="str">
        <f ca="1"/>
        <v/>
      </c>
      <c r="AG24" s="1036" t="str">
        <f ca="1"/>
        <v/>
      </c>
      <c r="AH24" s="1016" t="str">
        <f ca="1"/>
        <v/>
      </c>
      <c r="AI24" s="1019" t="str">
        <f ca="1"/>
        <v/>
      </c>
      <c r="AJ24" s="1028" t="str">
        <f ca="1"/>
        <v/>
      </c>
    </row>
    <row r="25" spans="2:36">
      <c r="B25" s="573" t="s">
        <v>1847</v>
      </c>
      <c r="C25" s="539" t="s">
        <v>1848</v>
      </c>
      <c r="E25" s="571" t="s">
        <v>1869</v>
      </c>
      <c r="F25" s="764" t="str">
        <f>IF(ISBLANK(AssetSwap.ISIN1),"",AssetSwap.ISIN1)</f>
        <v>JP1300511G61 Govt</v>
      </c>
      <c r="G25" t="s">
        <v>12</v>
      </c>
      <c r="H25" s="1015">
        <f ca="1"/>
        <v>44732</v>
      </c>
      <c r="I25" s="1006">
        <f ca="1"/>
        <v>44915</v>
      </c>
      <c r="J25" s="1016">
        <f ca="1"/>
        <v>183</v>
      </c>
      <c r="K25" s="1017">
        <f ca="1"/>
        <v>0.50136986301369901</v>
      </c>
      <c r="L25" s="1006">
        <f ca="1"/>
        <v>44915</v>
      </c>
      <c r="M25" s="1016">
        <f ca="1"/>
        <v>-1000000</v>
      </c>
      <c r="N25" s="1016">
        <f ca="1"/>
        <v>0</v>
      </c>
      <c r="O25" s="1027">
        <f ca="1"/>
        <v>1</v>
      </c>
      <c r="P25" s="1017">
        <f ca="1"/>
        <v>3.0000000000000001E-3</v>
      </c>
      <c r="Q25" s="1018">
        <f ca="1"/>
        <v>-1504</v>
      </c>
      <c r="R25" s="1016">
        <f ca="1"/>
        <v>0.99906547902831699</v>
      </c>
      <c r="S25" s="1004">
        <f ca="1"/>
        <v>-1503</v>
      </c>
      <c r="T25" s="1028" t="str">
        <f ca="1"/>
        <v/>
      </c>
      <c r="U25" s="995"/>
      <c r="V25" s="1015" t="str">
        <f ca="1"/>
        <v/>
      </c>
      <c r="W25" s="1006" t="str">
        <f ca="1"/>
        <v/>
      </c>
      <c r="X25" s="1006" t="str">
        <f ca="1"/>
        <v/>
      </c>
      <c r="Y25" s="1004" t="str">
        <f ca="1"/>
        <v/>
      </c>
      <c r="Z25" s="1017" t="str">
        <f ca="1"/>
        <v/>
      </c>
      <c r="AA25" s="1006" t="str">
        <f ca="1"/>
        <v/>
      </c>
      <c r="AB25" s="1016" t="str">
        <f ca="1"/>
        <v/>
      </c>
      <c r="AC25" s="1016" t="str">
        <f ca="1"/>
        <v/>
      </c>
      <c r="AD25" s="1027" t="str">
        <f ca="1"/>
        <v/>
      </c>
      <c r="AE25" s="1017" t="str">
        <f ca="1"/>
        <v/>
      </c>
      <c r="AF25" s="1027" t="str">
        <f ca="1"/>
        <v/>
      </c>
      <c r="AG25" s="1036" t="str">
        <f ca="1"/>
        <v/>
      </c>
      <c r="AH25" s="1016" t="str">
        <f ca="1"/>
        <v/>
      </c>
      <c r="AI25" s="1019" t="str">
        <f ca="1"/>
        <v/>
      </c>
      <c r="AJ25" s="1028" t="str">
        <f ca="1"/>
        <v/>
      </c>
    </row>
    <row r="26" spans="2:36">
      <c r="B26" s="573" t="s">
        <v>1084</v>
      </c>
      <c r="C26" s="539" t="s">
        <v>385</v>
      </c>
      <c r="E26" s="638" t="s">
        <v>1803</v>
      </c>
      <c r="F26" s="1268" t="s">
        <v>1822</v>
      </c>
      <c r="G26" t="s">
        <v>12</v>
      </c>
      <c r="H26" s="1015">
        <f ca="1"/>
        <v>44915</v>
      </c>
      <c r="I26" s="1006">
        <f ca="1"/>
        <v>45097</v>
      </c>
      <c r="J26" s="1016">
        <f ca="1"/>
        <v>182</v>
      </c>
      <c r="K26" s="1017">
        <f ca="1"/>
        <v>0.49863013698630099</v>
      </c>
      <c r="L26" s="1006">
        <f ca="1"/>
        <v>45097</v>
      </c>
      <c r="M26" s="1016">
        <f ca="1"/>
        <v>-1000000</v>
      </c>
      <c r="N26" s="1016">
        <f ca="1"/>
        <v>0</v>
      </c>
      <c r="O26" s="1027">
        <f ca="1"/>
        <v>1</v>
      </c>
      <c r="P26" s="1017">
        <f ca="1"/>
        <v>3.0000000000000001E-3</v>
      </c>
      <c r="Q26" s="1018">
        <f ca="1"/>
        <v>-1496</v>
      </c>
      <c r="R26" s="1016">
        <f ca="1"/>
        <v>0.99848051108041502</v>
      </c>
      <c r="S26" s="1004">
        <f ca="1"/>
        <v>-1494</v>
      </c>
      <c r="T26" s="1028" t="str">
        <f ca="1"/>
        <v/>
      </c>
      <c r="U26" s="995"/>
      <c r="V26" s="1015" t="str">
        <f ca="1"/>
        <v/>
      </c>
      <c r="W26" s="1006" t="str">
        <f ca="1"/>
        <v/>
      </c>
      <c r="X26" s="1006" t="str">
        <f ca="1"/>
        <v/>
      </c>
      <c r="Y26" s="1004" t="str">
        <f ca="1"/>
        <v/>
      </c>
      <c r="Z26" s="1017" t="str">
        <f ca="1"/>
        <v/>
      </c>
      <c r="AA26" s="1006" t="str">
        <f ca="1"/>
        <v/>
      </c>
      <c r="AB26" s="1016" t="str">
        <f ca="1"/>
        <v/>
      </c>
      <c r="AC26" s="1016" t="str">
        <f ca="1"/>
        <v/>
      </c>
      <c r="AD26" s="1027" t="str">
        <f ca="1"/>
        <v/>
      </c>
      <c r="AE26" s="1017" t="str">
        <f ca="1"/>
        <v/>
      </c>
      <c r="AF26" s="1027" t="str">
        <f ca="1"/>
        <v/>
      </c>
      <c r="AG26" s="1036" t="str">
        <f ca="1"/>
        <v/>
      </c>
      <c r="AH26" s="1016" t="str">
        <f ca="1"/>
        <v/>
      </c>
      <c r="AI26" s="1019" t="str">
        <f ca="1"/>
        <v/>
      </c>
      <c r="AJ26" s="1028" t="str">
        <f ca="1"/>
        <v/>
      </c>
    </row>
    <row r="27" spans="2:36">
      <c r="B27" s="573" t="s">
        <v>1831</v>
      </c>
      <c r="C27" s="539" t="s">
        <v>1835</v>
      </c>
      <c r="E27" s="639" t="s">
        <v>354</v>
      </c>
      <c r="F27" s="1269">
        <v>1000000</v>
      </c>
      <c r="G27" t="s">
        <v>12</v>
      </c>
      <c r="H27" s="1015">
        <f ca="1"/>
        <v>45097</v>
      </c>
      <c r="I27" s="1006">
        <f ca="1"/>
        <v>45280</v>
      </c>
      <c r="J27" s="1016">
        <f ca="1"/>
        <v>183</v>
      </c>
      <c r="K27" s="1017">
        <f ca="1"/>
        <v>0.50136986301369901</v>
      </c>
      <c r="L27" s="1006">
        <f ca="1"/>
        <v>45280</v>
      </c>
      <c r="M27" s="1016">
        <f ca="1"/>
        <v>-1000000</v>
      </c>
      <c r="N27" s="1016">
        <f ca="1"/>
        <v>0</v>
      </c>
      <c r="O27" s="1027">
        <f ca="1"/>
        <v>1</v>
      </c>
      <c r="P27" s="1017">
        <f ca="1"/>
        <v>3.0000000000000001E-3</v>
      </c>
      <c r="Q27" s="1018">
        <f ca="1"/>
        <v>-1504</v>
      </c>
      <c r="R27" s="1016">
        <f ca="1"/>
        <v>0.99774662113025303</v>
      </c>
      <c r="S27" s="1004">
        <f ca="1"/>
        <v>-1501</v>
      </c>
      <c r="T27" s="1028" t="str">
        <f ca="1"/>
        <v/>
      </c>
      <c r="U27" s="995"/>
      <c r="V27" s="1015" t="str">
        <f ca="1"/>
        <v/>
      </c>
      <c r="W27" s="1006" t="str">
        <f ca="1"/>
        <v/>
      </c>
      <c r="X27" s="1006" t="str">
        <f ca="1"/>
        <v/>
      </c>
      <c r="Y27" s="1004" t="str">
        <f ca="1"/>
        <v/>
      </c>
      <c r="Z27" s="1017" t="str">
        <f ca="1"/>
        <v/>
      </c>
      <c r="AA27" s="1006" t="str">
        <f ca="1"/>
        <v/>
      </c>
      <c r="AB27" s="1016" t="str">
        <f ca="1"/>
        <v/>
      </c>
      <c r="AC27" s="1016" t="str">
        <f ca="1"/>
        <v/>
      </c>
      <c r="AD27" s="1027" t="str">
        <f ca="1"/>
        <v/>
      </c>
      <c r="AE27" s="1017" t="str">
        <f ca="1"/>
        <v/>
      </c>
      <c r="AF27" s="1027" t="str">
        <f ca="1"/>
        <v/>
      </c>
      <c r="AG27" s="1036" t="str">
        <f ca="1"/>
        <v/>
      </c>
      <c r="AH27" s="1016" t="str">
        <f ca="1"/>
        <v/>
      </c>
      <c r="AI27" s="1019" t="str">
        <f ca="1"/>
        <v/>
      </c>
      <c r="AJ27" s="1028" t="str">
        <f ca="1"/>
        <v/>
      </c>
    </row>
    <row r="28" spans="2:36">
      <c r="B28" s="573" t="s">
        <v>1832</v>
      </c>
      <c r="C28" s="539" t="s">
        <v>1836</v>
      </c>
      <c r="D28" s="563"/>
      <c r="E28" s="639" t="s">
        <v>1823</v>
      </c>
      <c r="F28" s="621">
        <f>$H$6</f>
        <v>43089</v>
      </c>
      <c r="G28" t="s">
        <v>12</v>
      </c>
      <c r="H28" s="1015">
        <f ca="1"/>
        <v>45280</v>
      </c>
      <c r="I28" s="1006">
        <f ca="1"/>
        <v>45463</v>
      </c>
      <c r="J28" s="1016">
        <f ca="1"/>
        <v>183</v>
      </c>
      <c r="K28" s="1017">
        <f ca="1"/>
        <v>0.50136986301369901</v>
      </c>
      <c r="L28" s="1006">
        <f ca="1"/>
        <v>45463</v>
      </c>
      <c r="M28" s="1016">
        <f ca="1"/>
        <v>-1000000</v>
      </c>
      <c r="N28" s="1016">
        <f ca="1"/>
        <v>0</v>
      </c>
      <c r="O28" s="1027">
        <f ca="1"/>
        <v>1</v>
      </c>
      <c r="P28" s="1017">
        <f ca="1"/>
        <v>3.0000000000000001E-3</v>
      </c>
      <c r="Q28" s="1018">
        <f ca="1"/>
        <v>-1504</v>
      </c>
      <c r="R28" s="1016">
        <f ca="1"/>
        <v>0.99685548986104999</v>
      </c>
      <c r="S28" s="1004">
        <f ca="1"/>
        <v>-1499</v>
      </c>
      <c r="T28" s="1028" t="str">
        <f ca="1"/>
        <v/>
      </c>
      <c r="U28" s="995"/>
      <c r="V28" s="1015" t="str">
        <f ca="1"/>
        <v/>
      </c>
      <c r="W28" s="1006" t="str">
        <f ca="1"/>
        <v/>
      </c>
      <c r="X28" s="1006" t="str">
        <f ca="1"/>
        <v/>
      </c>
      <c r="Y28" s="1004" t="str">
        <f ca="1"/>
        <v/>
      </c>
      <c r="Z28" s="1017" t="str">
        <f ca="1"/>
        <v/>
      </c>
      <c r="AA28" s="1006" t="str">
        <f ca="1"/>
        <v/>
      </c>
      <c r="AB28" s="1016" t="str">
        <f ca="1"/>
        <v/>
      </c>
      <c r="AC28" s="1016" t="str">
        <f ca="1"/>
        <v/>
      </c>
      <c r="AD28" s="1027" t="str">
        <f ca="1"/>
        <v/>
      </c>
      <c r="AE28" s="1017" t="str">
        <f ca="1"/>
        <v/>
      </c>
      <c r="AF28" s="1027" t="str">
        <f ca="1"/>
        <v/>
      </c>
      <c r="AG28" s="1036" t="str">
        <f ca="1"/>
        <v/>
      </c>
      <c r="AH28" s="1016" t="str">
        <f ca="1"/>
        <v/>
      </c>
      <c r="AI28" s="1019" t="str">
        <f ca="1"/>
        <v/>
      </c>
      <c r="AJ28" s="1028" t="str">
        <f ca="1"/>
        <v/>
      </c>
    </row>
    <row r="29" spans="2:36">
      <c r="B29" s="573" t="s">
        <v>1833</v>
      </c>
      <c r="C29" s="539" t="s">
        <v>2362</v>
      </c>
      <c r="D29" s="564" t="s">
        <v>361</v>
      </c>
      <c r="E29" s="639" t="s">
        <v>1768</v>
      </c>
      <c r="F29" s="621">
        <f ca="1">_xll.meDateFromTenor(COB,D29,F38,F39)</f>
        <v>43229</v>
      </c>
      <c r="G29" t="s">
        <v>12</v>
      </c>
      <c r="H29" s="1015">
        <f ca="1"/>
        <v>45463</v>
      </c>
      <c r="I29" s="1006">
        <f ca="1"/>
        <v>45646</v>
      </c>
      <c r="J29" s="1016">
        <f ca="1"/>
        <v>183</v>
      </c>
      <c r="K29" s="1017">
        <f ca="1"/>
        <v>0.50136986301369901</v>
      </c>
      <c r="L29" s="1006">
        <f ca="1"/>
        <v>45646</v>
      </c>
      <c r="M29" s="1016">
        <f ca="1"/>
        <v>-1000000</v>
      </c>
      <c r="N29" s="1016">
        <f ca="1"/>
        <v>0</v>
      </c>
      <c r="O29" s="1027">
        <f ca="1"/>
        <v>1</v>
      </c>
      <c r="P29" s="1017">
        <f ca="1"/>
        <v>3.0000000000000001E-3</v>
      </c>
      <c r="Q29" s="1018">
        <f ca="1"/>
        <v>-1504</v>
      </c>
      <c r="R29" s="1016">
        <f ca="1"/>
        <v>0.99580891611321598</v>
      </c>
      <c r="S29" s="1004">
        <f ca="1"/>
        <v>-1498</v>
      </c>
      <c r="T29" s="1028" t="str">
        <f ca="1"/>
        <v/>
      </c>
      <c r="U29" s="995"/>
      <c r="V29" s="1015" t="str">
        <f ca="1"/>
        <v/>
      </c>
      <c r="W29" s="1006" t="str">
        <f ca="1"/>
        <v/>
      </c>
      <c r="X29" s="1006" t="str">
        <f ca="1"/>
        <v/>
      </c>
      <c r="Y29" s="1004" t="str">
        <f ca="1"/>
        <v/>
      </c>
      <c r="Z29" s="1017" t="str">
        <f ca="1"/>
        <v/>
      </c>
      <c r="AA29" s="1006" t="str">
        <f ca="1"/>
        <v/>
      </c>
      <c r="AB29" s="1016" t="str">
        <f ca="1"/>
        <v/>
      </c>
      <c r="AC29" s="1016" t="str">
        <f ca="1"/>
        <v/>
      </c>
      <c r="AD29" s="1027" t="str">
        <f ca="1"/>
        <v/>
      </c>
      <c r="AE29" s="1017" t="str">
        <f ca="1"/>
        <v/>
      </c>
      <c r="AF29" s="1027" t="str">
        <f ca="1"/>
        <v/>
      </c>
      <c r="AG29" s="1036" t="str">
        <f ca="1"/>
        <v/>
      </c>
      <c r="AH29" s="1016" t="str">
        <f ca="1"/>
        <v/>
      </c>
      <c r="AI29" s="1019" t="str">
        <f ca="1"/>
        <v/>
      </c>
      <c r="AJ29" s="1028" t="str">
        <f ca="1"/>
        <v/>
      </c>
    </row>
    <row r="30" spans="2:36">
      <c r="B30" s="573" t="s">
        <v>1834</v>
      </c>
      <c r="C30" s="539" t="s">
        <v>2363</v>
      </c>
      <c r="D30" s="565"/>
      <c r="E30" s="639" t="s">
        <v>1769</v>
      </c>
      <c r="F30" s="621">
        <f>$J$6</f>
        <v>53498</v>
      </c>
      <c r="G30" t="s">
        <v>12</v>
      </c>
      <c r="H30" s="1015">
        <f ca="1"/>
        <v>45646</v>
      </c>
      <c r="I30" s="1006">
        <f ca="1"/>
        <v>45828</v>
      </c>
      <c r="J30" s="1016">
        <f ca="1"/>
        <v>182</v>
      </c>
      <c r="K30" s="1017">
        <f ca="1"/>
        <v>0.49863013698630099</v>
      </c>
      <c r="L30" s="1006">
        <f ca="1"/>
        <v>45828</v>
      </c>
      <c r="M30" s="1016">
        <f ca="1"/>
        <v>-1000000</v>
      </c>
      <c r="N30" s="1016">
        <f ca="1"/>
        <v>0</v>
      </c>
      <c r="O30" s="1027">
        <f ca="1"/>
        <v>1</v>
      </c>
      <c r="P30" s="1017">
        <f ca="1"/>
        <v>3.0000000000000001E-3</v>
      </c>
      <c r="Q30" s="1018">
        <f ca="1"/>
        <v>-1496</v>
      </c>
      <c r="R30" s="1016">
        <f ca="1"/>
        <v>0.99464791693787802</v>
      </c>
      <c r="S30" s="1004">
        <f ca="1"/>
        <v>-1488</v>
      </c>
      <c r="T30" s="1028" t="str">
        <f ca="1"/>
        <v/>
      </c>
      <c r="U30" s="995"/>
      <c r="V30" s="1015" t="str">
        <f ca="1"/>
        <v/>
      </c>
      <c r="W30" s="1006" t="str">
        <f ca="1"/>
        <v/>
      </c>
      <c r="X30" s="1006" t="str">
        <f ca="1"/>
        <v/>
      </c>
      <c r="Y30" s="1004" t="str">
        <f ca="1"/>
        <v/>
      </c>
      <c r="Z30" s="1017" t="str">
        <f ca="1"/>
        <v/>
      </c>
      <c r="AA30" s="1006" t="str">
        <f ca="1"/>
        <v/>
      </c>
      <c r="AB30" s="1016" t="str">
        <f ca="1"/>
        <v/>
      </c>
      <c r="AC30" s="1016" t="str">
        <f ca="1"/>
        <v/>
      </c>
      <c r="AD30" s="1027" t="str">
        <f ca="1"/>
        <v/>
      </c>
      <c r="AE30" s="1017" t="str">
        <f ca="1"/>
        <v/>
      </c>
      <c r="AF30" s="1027" t="str">
        <f ca="1"/>
        <v/>
      </c>
      <c r="AG30" s="1036" t="str">
        <f ca="1"/>
        <v/>
      </c>
      <c r="AH30" s="1016" t="str">
        <f ca="1"/>
        <v/>
      </c>
      <c r="AI30" s="1019" t="str">
        <f ca="1"/>
        <v/>
      </c>
      <c r="AJ30" s="1028" t="str">
        <f ca="1"/>
        <v/>
      </c>
    </row>
    <row r="31" spans="2:36">
      <c r="B31" s="573" t="e">
        <f>NA()</f>
        <v>#N/A</v>
      </c>
      <c r="C31" s="539"/>
      <c r="D31" s="565"/>
      <c r="E31" s="639" t="s">
        <v>1770</v>
      </c>
      <c r="F31" s="528" t="s">
        <v>1047</v>
      </c>
      <c r="G31" t="s">
        <v>12</v>
      </c>
      <c r="H31" s="1015">
        <f ca="1"/>
        <v>45828</v>
      </c>
      <c r="I31" s="1006">
        <f ca="1"/>
        <v>46013</v>
      </c>
      <c r="J31" s="1016">
        <f ca="1"/>
        <v>185</v>
      </c>
      <c r="K31" s="1017">
        <f ca="1"/>
        <v>0.50684931506849296</v>
      </c>
      <c r="L31" s="1006">
        <f ca="1"/>
        <v>46013</v>
      </c>
      <c r="M31" s="1016">
        <f ca="1"/>
        <v>-1000000</v>
      </c>
      <c r="N31" s="1016">
        <f ca="1"/>
        <v>0</v>
      </c>
      <c r="O31" s="1027">
        <f ca="1"/>
        <v>1</v>
      </c>
      <c r="P31" s="1017">
        <f ca="1"/>
        <v>3.0000000000000001E-3</v>
      </c>
      <c r="Q31" s="1018">
        <f ca="1"/>
        <v>-1521</v>
      </c>
      <c r="R31" s="1016">
        <f ca="1"/>
        <v>0.99336049104669</v>
      </c>
      <c r="S31" s="1004">
        <f ca="1"/>
        <v>-1510</v>
      </c>
      <c r="T31" s="1028" t="str">
        <f ca="1"/>
        <v/>
      </c>
      <c r="U31" s="995"/>
      <c r="V31" s="1015" t="str">
        <f ca="1"/>
        <v/>
      </c>
      <c r="W31" s="1006" t="str">
        <f ca="1"/>
        <v/>
      </c>
      <c r="X31" s="1006" t="str">
        <f ca="1"/>
        <v/>
      </c>
      <c r="Y31" s="1004" t="str">
        <f ca="1"/>
        <v/>
      </c>
      <c r="Z31" s="1017" t="str">
        <f ca="1"/>
        <v/>
      </c>
      <c r="AA31" s="1006" t="str">
        <f ca="1"/>
        <v/>
      </c>
      <c r="AB31" s="1016" t="str">
        <f ca="1"/>
        <v/>
      </c>
      <c r="AC31" s="1016" t="str">
        <f ca="1"/>
        <v/>
      </c>
      <c r="AD31" s="1027" t="str">
        <f ca="1"/>
        <v/>
      </c>
      <c r="AE31" s="1017" t="str">
        <f ca="1"/>
        <v/>
      </c>
      <c r="AF31" s="1027" t="str">
        <f ca="1"/>
        <v/>
      </c>
      <c r="AG31" s="1036" t="str">
        <f ca="1"/>
        <v/>
      </c>
      <c r="AH31" s="1016" t="str">
        <f ca="1"/>
        <v/>
      </c>
      <c r="AI31" s="1019" t="str">
        <f ca="1"/>
        <v/>
      </c>
      <c r="AJ31" s="1028" t="str">
        <f ca="1"/>
        <v/>
      </c>
    </row>
    <row r="32" spans="2:36">
      <c r="B32" s="573" t="e">
        <f>NA()</f>
        <v>#N/A</v>
      </c>
      <c r="C32" s="539"/>
      <c r="D32" s="565"/>
      <c r="E32" s="639" t="s">
        <v>1443</v>
      </c>
      <c r="F32" s="532" t="str">
        <f>LEFT(F31,3)&amp;IF($E$3="Semi-Annual","6ML","3ML")</f>
        <v>JPY6ML</v>
      </c>
      <c r="G32" t="s">
        <v>12</v>
      </c>
      <c r="H32" s="1015">
        <f ca="1"/>
        <v>46013</v>
      </c>
      <c r="I32" s="1006">
        <f ca="1"/>
        <v>46195</v>
      </c>
      <c r="J32" s="1016">
        <f ca="1"/>
        <v>182</v>
      </c>
      <c r="K32" s="1017">
        <f ca="1"/>
        <v>0.49863013698630099</v>
      </c>
      <c r="L32" s="1006">
        <f ca="1"/>
        <v>46195</v>
      </c>
      <c r="M32" s="1016">
        <f ca="1"/>
        <v>-1000000</v>
      </c>
      <c r="N32" s="1016">
        <f ca="1"/>
        <v>0</v>
      </c>
      <c r="O32" s="1027">
        <f ca="1"/>
        <v>1</v>
      </c>
      <c r="P32" s="1017">
        <f ca="1"/>
        <v>3.0000000000000001E-3</v>
      </c>
      <c r="Q32" s="1018">
        <f ca="1"/>
        <v>-1496</v>
      </c>
      <c r="R32" s="1016">
        <f ca="1"/>
        <v>0.99194365733263301</v>
      </c>
      <c r="S32" s="1004">
        <f ca="1"/>
        <v>-1484</v>
      </c>
      <c r="T32" s="1028" t="str">
        <f ca="1"/>
        <v/>
      </c>
      <c r="U32" s="995"/>
      <c r="V32" s="1015" t="str">
        <f ca="1"/>
        <v/>
      </c>
      <c r="W32" s="1006" t="str">
        <f ca="1"/>
        <v/>
      </c>
      <c r="X32" s="1006" t="str">
        <f ca="1"/>
        <v/>
      </c>
      <c r="Y32" s="1004" t="str">
        <f ca="1"/>
        <v/>
      </c>
      <c r="Z32" s="1017" t="str">
        <f ca="1"/>
        <v/>
      </c>
      <c r="AA32" s="1006" t="str">
        <f ca="1"/>
        <v/>
      </c>
      <c r="AB32" s="1016" t="str">
        <f ca="1"/>
        <v/>
      </c>
      <c r="AC32" s="1016" t="str">
        <f ca="1"/>
        <v/>
      </c>
      <c r="AD32" s="1027" t="str">
        <f ca="1"/>
        <v/>
      </c>
      <c r="AE32" s="1017" t="str">
        <f ca="1"/>
        <v/>
      </c>
      <c r="AF32" s="1027" t="str">
        <f ca="1"/>
        <v/>
      </c>
      <c r="AG32" s="1036" t="str">
        <f ca="1"/>
        <v/>
      </c>
      <c r="AH32" s="1016" t="str">
        <f ca="1"/>
        <v/>
      </c>
      <c r="AI32" s="1019" t="str">
        <f ca="1"/>
        <v/>
      </c>
      <c r="AJ32" s="1028" t="str">
        <f ca="1"/>
        <v/>
      </c>
    </row>
    <row r="33" spans="2:36">
      <c r="B33" s="573" t="e">
        <f>NA()</f>
        <v>#N/A</v>
      </c>
      <c r="C33" s="539"/>
      <c r="D33" s="566" t="s">
        <v>1043</v>
      </c>
      <c r="E33" s="639" t="s">
        <v>1444</v>
      </c>
      <c r="F33" s="532" t="str">
        <f>LEFT(F31,3)&amp;"DF_"&amp;$D$33</f>
        <v>JPYDF_NOCSA</v>
      </c>
      <c r="G33" t="s">
        <v>12</v>
      </c>
      <c r="H33" s="1015">
        <f ca="1"/>
        <v>46195</v>
      </c>
      <c r="I33" s="1006">
        <f ca="1"/>
        <v>46377</v>
      </c>
      <c r="J33" s="1016">
        <f ca="1"/>
        <v>182</v>
      </c>
      <c r="K33" s="1017">
        <f ca="1"/>
        <v>0.49863013698630099</v>
      </c>
      <c r="L33" s="1006">
        <f ca="1"/>
        <v>46377</v>
      </c>
      <c r="M33" s="1016">
        <f ca="1"/>
        <v>-1000000</v>
      </c>
      <c r="N33" s="1016">
        <f ca="1"/>
        <v>0</v>
      </c>
      <c r="O33" s="1027">
        <f ca="1"/>
        <v>1</v>
      </c>
      <c r="P33" s="1017">
        <f ca="1"/>
        <v>3.0000000000000001E-3</v>
      </c>
      <c r="Q33" s="1018">
        <f ca="1"/>
        <v>-1496</v>
      </c>
      <c r="R33" s="1016">
        <f ca="1"/>
        <v>0.990344070260611</v>
      </c>
      <c r="S33" s="1004">
        <f ca="1"/>
        <v>-1481</v>
      </c>
      <c r="T33" s="1028" t="str">
        <f ca="1"/>
        <v/>
      </c>
      <c r="U33" s="995"/>
      <c r="V33" s="1015" t="str">
        <f ca="1"/>
        <v/>
      </c>
      <c r="W33" s="1006" t="str">
        <f ca="1"/>
        <v/>
      </c>
      <c r="X33" s="1006" t="str">
        <f ca="1"/>
        <v/>
      </c>
      <c r="Y33" s="1004" t="str">
        <f ca="1"/>
        <v/>
      </c>
      <c r="Z33" s="1017" t="str">
        <f ca="1"/>
        <v/>
      </c>
      <c r="AA33" s="1006" t="str">
        <f ca="1"/>
        <v/>
      </c>
      <c r="AB33" s="1016" t="str">
        <f ca="1"/>
        <v/>
      </c>
      <c r="AC33" s="1016" t="str">
        <f ca="1"/>
        <v/>
      </c>
      <c r="AD33" s="1027" t="str">
        <f ca="1"/>
        <v/>
      </c>
      <c r="AE33" s="1017" t="str">
        <f ca="1"/>
        <v/>
      </c>
      <c r="AF33" s="1027" t="str">
        <f ca="1"/>
        <v/>
      </c>
      <c r="AG33" s="1036" t="str">
        <f ca="1"/>
        <v/>
      </c>
      <c r="AH33" s="1016" t="str">
        <f ca="1"/>
        <v/>
      </c>
      <c r="AI33" s="1019" t="str">
        <f ca="1"/>
        <v/>
      </c>
      <c r="AJ33" s="1028" t="str">
        <f ca="1"/>
        <v/>
      </c>
    </row>
    <row r="34" spans="2:36">
      <c r="B34" s="573" t="e">
        <f>NA()</f>
        <v>#N/A</v>
      </c>
      <c r="C34" s="539"/>
      <c r="D34" s="563"/>
      <c r="E34" s="639" t="s">
        <v>1824</v>
      </c>
      <c r="F34" s="622" t="b">
        <f>$O$6="CLEAN"</f>
        <v>1</v>
      </c>
      <c r="G34" s="578" t="str">
        <f>IF(F34,"Clean Bond Px","Dirty Bond Px")</f>
        <v>Clean Bond Px</v>
      </c>
      <c r="H34" s="1015">
        <f ca="1"/>
        <v>46377</v>
      </c>
      <c r="I34" s="1006">
        <f ca="1"/>
        <v>46559</v>
      </c>
      <c r="J34" s="1016">
        <f ca="1"/>
        <v>182</v>
      </c>
      <c r="K34" s="1017">
        <f ca="1"/>
        <v>0.49863013698630099</v>
      </c>
      <c r="L34" s="1006">
        <f ca="1"/>
        <v>46559</v>
      </c>
      <c r="M34" s="1016">
        <f ca="1"/>
        <v>-1000000</v>
      </c>
      <c r="N34" s="1016">
        <f ca="1"/>
        <v>0</v>
      </c>
      <c r="O34" s="1027">
        <f ca="1"/>
        <v>1</v>
      </c>
      <c r="P34" s="1017">
        <f ca="1"/>
        <v>3.0000000000000001E-3</v>
      </c>
      <c r="Q34" s="1018">
        <f ca="1"/>
        <v>-1496</v>
      </c>
      <c r="R34" s="1016">
        <f ca="1"/>
        <v>0.98856282631633297</v>
      </c>
      <c r="S34" s="1004">
        <f ca="1"/>
        <v>-1479</v>
      </c>
      <c r="T34" s="1028" t="str">
        <f ca="1"/>
        <v/>
      </c>
      <c r="U34" s="995"/>
      <c r="V34" s="1015" t="str">
        <f ca="1"/>
        <v/>
      </c>
      <c r="W34" s="1006" t="str">
        <f ca="1"/>
        <v/>
      </c>
      <c r="X34" s="1006" t="str">
        <f ca="1"/>
        <v/>
      </c>
      <c r="Y34" s="1004" t="str">
        <f ca="1"/>
        <v/>
      </c>
      <c r="Z34" s="1017" t="str">
        <f ca="1"/>
        <v/>
      </c>
      <c r="AA34" s="1006" t="str">
        <f ca="1"/>
        <v/>
      </c>
      <c r="AB34" s="1016" t="str">
        <f ca="1"/>
        <v/>
      </c>
      <c r="AC34" s="1016" t="str">
        <f ca="1"/>
        <v/>
      </c>
      <c r="AD34" s="1027" t="str">
        <f ca="1"/>
        <v/>
      </c>
      <c r="AE34" s="1017" t="str">
        <f ca="1"/>
        <v/>
      </c>
      <c r="AF34" s="1027" t="str">
        <f ca="1"/>
        <v/>
      </c>
      <c r="AG34" s="1036" t="str">
        <f ca="1"/>
        <v/>
      </c>
      <c r="AH34" s="1016" t="str">
        <f ca="1"/>
        <v/>
      </c>
      <c r="AI34" s="1019" t="str">
        <f ca="1"/>
        <v/>
      </c>
      <c r="AJ34" s="1028" t="str">
        <f ca="1"/>
        <v/>
      </c>
    </row>
    <row r="35" spans="2:36">
      <c r="B35" s="573" t="e">
        <f>NA()</f>
        <v>#N/A</v>
      </c>
      <c r="C35" s="539"/>
      <c r="E35" s="639" t="s">
        <v>1771</v>
      </c>
      <c r="F35" s="623" t="str">
        <f>VLOOKUP($M6,Settings.FrequencyLookupTable,2,0)</f>
        <v>Semi-Annual</v>
      </c>
      <c r="G35" t="s">
        <v>12</v>
      </c>
      <c r="H35" s="1015">
        <f ca="1"/>
        <v>46559</v>
      </c>
      <c r="I35" s="1006">
        <f ca="1"/>
        <v>46741</v>
      </c>
      <c r="J35" s="1016">
        <f ca="1"/>
        <v>182</v>
      </c>
      <c r="K35" s="1017">
        <f ca="1"/>
        <v>0.49863013698630099</v>
      </c>
      <c r="L35" s="1006">
        <f ca="1"/>
        <v>46741</v>
      </c>
      <c r="M35" s="1016">
        <f ca="1"/>
        <v>-1000000</v>
      </c>
      <c r="N35" s="1016">
        <f ca="1"/>
        <v>0</v>
      </c>
      <c r="O35" s="1027">
        <f ca="1"/>
        <v>1</v>
      </c>
      <c r="P35" s="1017">
        <f ca="1"/>
        <v>3.0000000000000001E-3</v>
      </c>
      <c r="Q35" s="1018">
        <f ca="1"/>
        <v>-1496</v>
      </c>
      <c r="R35" s="1016">
        <f ca="1"/>
        <v>0.98658817037430602</v>
      </c>
      <c r="S35" s="1004">
        <f ca="1"/>
        <v>-1476</v>
      </c>
      <c r="T35" s="1028" t="str">
        <f ca="1"/>
        <v/>
      </c>
      <c r="U35" s="995"/>
      <c r="V35" s="1015" t="str">
        <f ca="1"/>
        <v/>
      </c>
      <c r="W35" s="1006" t="str">
        <f ca="1"/>
        <v/>
      </c>
      <c r="X35" s="1006" t="str">
        <f ca="1"/>
        <v/>
      </c>
      <c r="Y35" s="1004" t="str">
        <f ca="1"/>
        <v/>
      </c>
      <c r="Z35" s="1017" t="str">
        <f ca="1"/>
        <v/>
      </c>
      <c r="AA35" s="1006" t="str">
        <f ca="1"/>
        <v/>
      </c>
      <c r="AB35" s="1016" t="str">
        <f ca="1"/>
        <v/>
      </c>
      <c r="AC35" s="1016" t="str">
        <f ca="1"/>
        <v/>
      </c>
      <c r="AD35" s="1027" t="str">
        <f ca="1"/>
        <v/>
      </c>
      <c r="AE35" s="1017" t="str">
        <f ca="1"/>
        <v/>
      </c>
      <c r="AF35" s="1027" t="str">
        <f ca="1"/>
        <v/>
      </c>
      <c r="AG35" s="1036" t="str">
        <f ca="1"/>
        <v/>
      </c>
      <c r="AH35" s="1016" t="str">
        <f ca="1"/>
        <v/>
      </c>
      <c r="AI35" s="1019" t="str">
        <f ca="1"/>
        <v/>
      </c>
      <c r="AJ35" s="1028" t="str">
        <f ca="1"/>
        <v/>
      </c>
    </row>
    <row r="36" spans="2:36">
      <c r="B36" s="573" t="e">
        <f>NA()</f>
        <v>#N/A</v>
      </c>
      <c r="C36" s="539"/>
      <c r="E36" s="639" t="s">
        <v>1772</v>
      </c>
      <c r="F36" s="624">
        <f>$K$6/100</f>
        <v>3.0000000000000001E-3</v>
      </c>
      <c r="G36" t="s">
        <v>12</v>
      </c>
      <c r="H36" s="1015">
        <f ca="1"/>
        <v>46741</v>
      </c>
      <c r="I36" s="1006">
        <f ca="1"/>
        <v>46924</v>
      </c>
      <c r="J36" s="1016">
        <f ca="1"/>
        <v>183</v>
      </c>
      <c r="K36" s="1017">
        <f ca="1"/>
        <v>0.50136986301369901</v>
      </c>
      <c r="L36" s="1006">
        <f ca="1"/>
        <v>46924</v>
      </c>
      <c r="M36" s="1016">
        <f ca="1"/>
        <v>-1000000</v>
      </c>
      <c r="N36" s="1016">
        <f ca="1"/>
        <v>0</v>
      </c>
      <c r="O36" s="1027">
        <f ca="1"/>
        <v>1</v>
      </c>
      <c r="P36" s="1017">
        <f ca="1"/>
        <v>3.0000000000000001E-3</v>
      </c>
      <c r="Q36" s="1018">
        <f ca="1"/>
        <v>-1504</v>
      </c>
      <c r="R36" s="1016">
        <f ca="1"/>
        <v>0.984367198487198</v>
      </c>
      <c r="S36" s="1004">
        <f ca="1"/>
        <v>-1481</v>
      </c>
      <c r="T36" s="1028" t="str">
        <f ca="1"/>
        <v/>
      </c>
      <c r="U36" s="995"/>
      <c r="V36" s="1015" t="str">
        <f ca="1"/>
        <v/>
      </c>
      <c r="W36" s="1006" t="str">
        <f ca="1"/>
        <v/>
      </c>
      <c r="X36" s="1006" t="str">
        <f ca="1"/>
        <v/>
      </c>
      <c r="Y36" s="1004" t="str">
        <f ca="1"/>
        <v/>
      </c>
      <c r="Z36" s="1017" t="str">
        <f ca="1"/>
        <v/>
      </c>
      <c r="AA36" s="1006" t="str">
        <f ca="1"/>
        <v/>
      </c>
      <c r="AB36" s="1016" t="str">
        <f ca="1"/>
        <v/>
      </c>
      <c r="AC36" s="1016" t="str">
        <f ca="1"/>
        <v/>
      </c>
      <c r="AD36" s="1027" t="str">
        <f ca="1"/>
        <v/>
      </c>
      <c r="AE36" s="1017" t="str">
        <f ca="1"/>
        <v/>
      </c>
      <c r="AF36" s="1027" t="str">
        <f ca="1"/>
        <v/>
      </c>
      <c r="AG36" s="1036" t="str">
        <f ca="1"/>
        <v/>
      </c>
      <c r="AH36" s="1016" t="str">
        <f ca="1"/>
        <v/>
      </c>
      <c r="AI36" s="1019" t="str">
        <f ca="1"/>
        <v/>
      </c>
      <c r="AJ36" s="1028" t="str">
        <f ca="1"/>
        <v/>
      </c>
    </row>
    <row r="37" spans="2:36">
      <c r="B37" s="573" t="e">
        <f>NA()</f>
        <v>#N/A</v>
      </c>
      <c r="C37" s="539"/>
      <c r="E37" s="639" t="s">
        <v>1825</v>
      </c>
      <c r="F37" s="619" t="str">
        <f>IF(UPPER(LEFT($L$6,3))="BAD"="#","ACT/365",IF($L$6="NL/365","ACT/365",$L$6))</f>
        <v>ACT/365</v>
      </c>
      <c r="G37" t="s">
        <v>12</v>
      </c>
      <c r="H37" s="1015">
        <f ca="1"/>
        <v>46924</v>
      </c>
      <c r="I37" s="1006">
        <f ca="1"/>
        <v>47107</v>
      </c>
      <c r="J37" s="1016">
        <f ca="1"/>
        <v>183</v>
      </c>
      <c r="K37" s="1017">
        <f ca="1"/>
        <v>0.50136986301369901</v>
      </c>
      <c r="L37" s="1006">
        <f ca="1"/>
        <v>47107</v>
      </c>
      <c r="M37" s="1016">
        <f ca="1"/>
        <v>-1000000</v>
      </c>
      <c r="N37" s="1016">
        <f ca="1"/>
        <v>0</v>
      </c>
      <c r="O37" s="1027">
        <f ca="1"/>
        <v>1</v>
      </c>
      <c r="P37" s="1017">
        <f ca="1"/>
        <v>3.0000000000000001E-3</v>
      </c>
      <c r="Q37" s="1018">
        <f ca="1"/>
        <v>-1504</v>
      </c>
      <c r="R37" s="1016">
        <f ca="1"/>
        <v>0.98188905295893203</v>
      </c>
      <c r="S37" s="1004">
        <f ca="1"/>
        <v>-1477</v>
      </c>
      <c r="T37" s="1028" t="str">
        <f ca="1"/>
        <v/>
      </c>
      <c r="U37" s="995"/>
      <c r="V37" s="1015" t="str">
        <f ca="1"/>
        <v/>
      </c>
      <c r="W37" s="1006" t="str">
        <f ca="1"/>
        <v/>
      </c>
      <c r="X37" s="1006" t="str">
        <f ca="1"/>
        <v/>
      </c>
      <c r="Y37" s="1004" t="str">
        <f ca="1"/>
        <v/>
      </c>
      <c r="Z37" s="1017" t="str">
        <f ca="1"/>
        <v/>
      </c>
      <c r="AA37" s="1006" t="str">
        <f ca="1"/>
        <v/>
      </c>
      <c r="AB37" s="1016" t="str">
        <f ca="1"/>
        <v/>
      </c>
      <c r="AC37" s="1016" t="str">
        <f ca="1"/>
        <v/>
      </c>
      <c r="AD37" s="1027" t="str">
        <f ca="1"/>
        <v/>
      </c>
      <c r="AE37" s="1017" t="str">
        <f ca="1"/>
        <v/>
      </c>
      <c r="AF37" s="1027" t="str">
        <f ca="1"/>
        <v/>
      </c>
      <c r="AG37" s="1036" t="str">
        <f ca="1"/>
        <v/>
      </c>
      <c r="AH37" s="1016" t="str">
        <f ca="1"/>
        <v/>
      </c>
      <c r="AI37" s="1019" t="str">
        <f ca="1"/>
        <v/>
      </c>
      <c r="AJ37" s="1028" t="str">
        <f ca="1"/>
        <v/>
      </c>
    </row>
    <row r="38" spans="2:36" ht="15" customHeight="1">
      <c r="B38" s="573" t="e">
        <f>NA()</f>
        <v>#N/A</v>
      </c>
      <c r="C38" s="539"/>
      <c r="E38" s="500" t="s">
        <v>1826</v>
      </c>
      <c r="F38" s="625" t="s">
        <v>38</v>
      </c>
      <c r="G38" t="s">
        <v>12</v>
      </c>
      <c r="H38" s="1015">
        <f ca="1"/>
        <v>47107</v>
      </c>
      <c r="I38" s="1006">
        <f ca="1"/>
        <v>47289</v>
      </c>
      <c r="J38" s="1016">
        <f ca="1"/>
        <v>182</v>
      </c>
      <c r="K38" s="1017">
        <f ca="1"/>
        <v>0.49863013698630099</v>
      </c>
      <c r="L38" s="1006">
        <f ca="1"/>
        <v>47289</v>
      </c>
      <c r="M38" s="1016">
        <f ca="1"/>
        <v>-1000000</v>
      </c>
      <c r="N38" s="1016">
        <f ca="1"/>
        <v>0</v>
      </c>
      <c r="O38" s="1027">
        <f ca="1"/>
        <v>1</v>
      </c>
      <c r="P38" s="1017">
        <f ca="1"/>
        <v>3.0000000000000001E-3</v>
      </c>
      <c r="Q38" s="1018">
        <f ca="1"/>
        <v>-1496</v>
      </c>
      <c r="R38" s="1016">
        <f ca="1"/>
        <v>0.979213265894056</v>
      </c>
      <c r="S38" s="1004">
        <f ca="1"/>
        <v>-1465</v>
      </c>
      <c r="T38" s="1028" t="str">
        <f ca="1"/>
        <v/>
      </c>
      <c r="U38" s="995"/>
      <c r="V38" s="1015" t="str">
        <f ca="1"/>
        <v/>
      </c>
      <c r="W38" s="1006" t="str">
        <f ca="1"/>
        <v/>
      </c>
      <c r="X38" s="1006" t="str">
        <f ca="1"/>
        <v/>
      </c>
      <c r="Y38" s="1004" t="str">
        <f ca="1"/>
        <v/>
      </c>
      <c r="Z38" s="1017" t="str">
        <f ca="1"/>
        <v/>
      </c>
      <c r="AA38" s="1006" t="str">
        <f ca="1"/>
        <v/>
      </c>
      <c r="AB38" s="1016" t="str">
        <f ca="1"/>
        <v/>
      </c>
      <c r="AC38" s="1016" t="str">
        <f ca="1"/>
        <v/>
      </c>
      <c r="AD38" s="1027" t="str">
        <f ca="1"/>
        <v/>
      </c>
      <c r="AE38" s="1017" t="str">
        <f ca="1"/>
        <v/>
      </c>
      <c r="AF38" s="1027" t="str">
        <f ca="1"/>
        <v/>
      </c>
      <c r="AG38" s="1036" t="str">
        <f ca="1"/>
        <v/>
      </c>
      <c r="AH38" s="1016" t="str">
        <f ca="1"/>
        <v/>
      </c>
      <c r="AI38" s="1019" t="str">
        <f ca="1"/>
        <v/>
      </c>
      <c r="AJ38" s="1028" t="str">
        <f ca="1"/>
        <v/>
      </c>
    </row>
    <row r="39" spans="2:36" ht="15" customHeight="1">
      <c r="B39" s="573" t="e">
        <f>NA()</f>
        <v>#N/A</v>
      </c>
      <c r="C39" s="539"/>
      <c r="E39" s="500" t="s">
        <v>1827</v>
      </c>
      <c r="F39" s="625" t="s">
        <v>359</v>
      </c>
      <c r="G39" t="s">
        <v>12</v>
      </c>
      <c r="H39" s="1015">
        <f ca="1"/>
        <v>47289</v>
      </c>
      <c r="I39" s="1006">
        <f ca="1"/>
        <v>47472</v>
      </c>
      <c r="J39" s="1016">
        <f ca="1"/>
        <v>183</v>
      </c>
      <c r="K39" s="1017">
        <f ca="1"/>
        <v>0.50136986301369901</v>
      </c>
      <c r="L39" s="1006">
        <f ca="1"/>
        <v>47472</v>
      </c>
      <c r="M39" s="1016">
        <f ca="1"/>
        <v>-1000000</v>
      </c>
      <c r="N39" s="1016">
        <f ca="1"/>
        <v>0</v>
      </c>
      <c r="O39" s="1027">
        <f ca="1"/>
        <v>1</v>
      </c>
      <c r="P39" s="1017">
        <f ca="1"/>
        <v>3.0000000000000001E-3</v>
      </c>
      <c r="Q39" s="1018">
        <f ca="1"/>
        <v>-1504</v>
      </c>
      <c r="R39" s="1016">
        <f ca="1"/>
        <v>0.97634598986035703</v>
      </c>
      <c r="S39" s="1004">
        <f ca="1"/>
        <v>-1469</v>
      </c>
      <c r="T39" s="1028" t="str">
        <f ca="1"/>
        <v/>
      </c>
      <c r="U39" s="995"/>
      <c r="V39" s="1015" t="str">
        <f ca="1"/>
        <v/>
      </c>
      <c r="W39" s="1006" t="str">
        <f ca="1"/>
        <v/>
      </c>
      <c r="X39" s="1006" t="str">
        <f ca="1"/>
        <v/>
      </c>
      <c r="Y39" s="1004" t="str">
        <f ca="1"/>
        <v/>
      </c>
      <c r="Z39" s="1017" t="str">
        <f ca="1"/>
        <v/>
      </c>
      <c r="AA39" s="1006" t="str">
        <f ca="1"/>
        <v/>
      </c>
      <c r="AB39" s="1016" t="str">
        <f ca="1"/>
        <v/>
      </c>
      <c r="AC39" s="1016" t="str">
        <f ca="1"/>
        <v/>
      </c>
      <c r="AD39" s="1027" t="str">
        <f ca="1"/>
        <v/>
      </c>
      <c r="AE39" s="1017" t="str">
        <f ca="1"/>
        <v/>
      </c>
      <c r="AF39" s="1027" t="str">
        <f ca="1"/>
        <v/>
      </c>
      <c r="AG39" s="1036" t="str">
        <f ca="1"/>
        <v/>
      </c>
      <c r="AH39" s="1016" t="str">
        <f ca="1"/>
        <v/>
      </c>
      <c r="AI39" s="1019" t="str">
        <f ca="1"/>
        <v/>
      </c>
      <c r="AJ39" s="1028" t="str">
        <f ca="1"/>
        <v/>
      </c>
    </row>
    <row r="40" spans="2:36" ht="15" customHeight="1">
      <c r="B40" s="574" t="e">
        <f>NA()</f>
        <v>#N/A</v>
      </c>
      <c r="C40" s="540"/>
      <c r="E40" s="639" t="s">
        <v>1778</v>
      </c>
      <c r="F40" s="626">
        <f>$I$6</f>
        <v>43271</v>
      </c>
      <c r="G40" t="s">
        <v>12</v>
      </c>
      <c r="H40" s="1015">
        <f ca="1"/>
        <v>47472</v>
      </c>
      <c r="I40" s="1006">
        <f ca="1"/>
        <v>47654</v>
      </c>
      <c r="J40" s="1016">
        <f ca="1"/>
        <v>182</v>
      </c>
      <c r="K40" s="1017">
        <f ca="1"/>
        <v>0.49863013698630099</v>
      </c>
      <c r="L40" s="1006">
        <f ca="1"/>
        <v>47654</v>
      </c>
      <c r="M40" s="1016">
        <f ca="1"/>
        <v>-1000000</v>
      </c>
      <c r="N40" s="1016">
        <f ca="1"/>
        <v>0</v>
      </c>
      <c r="O40" s="1027">
        <f ca="1"/>
        <v>1</v>
      </c>
      <c r="P40" s="1017">
        <f ca="1"/>
        <v>3.0000000000000001E-3</v>
      </c>
      <c r="Q40" s="1018">
        <f ca="1"/>
        <v>-1496</v>
      </c>
      <c r="R40" s="1016">
        <f ca="1"/>
        <v>0.97328819771286101</v>
      </c>
      <c r="S40" s="1004">
        <f ca="1"/>
        <v>-1456</v>
      </c>
      <c r="T40" s="1028" t="str">
        <f ca="1"/>
        <v/>
      </c>
      <c r="U40" s="995"/>
      <c r="V40" s="1015" t="str">
        <f ca="1"/>
        <v/>
      </c>
      <c r="W40" s="1006" t="str">
        <f ca="1"/>
        <v/>
      </c>
      <c r="X40" s="1006" t="str">
        <f ca="1"/>
        <v/>
      </c>
      <c r="Y40" s="1004" t="str">
        <f ca="1"/>
        <v/>
      </c>
      <c r="Z40" s="1017" t="str">
        <f ca="1"/>
        <v/>
      </c>
      <c r="AA40" s="1006" t="str">
        <f ca="1"/>
        <v/>
      </c>
      <c r="AB40" s="1016" t="str">
        <f ca="1"/>
        <v/>
      </c>
      <c r="AC40" s="1016" t="str">
        <f ca="1"/>
        <v/>
      </c>
      <c r="AD40" s="1027" t="str">
        <f ca="1"/>
        <v/>
      </c>
      <c r="AE40" s="1017" t="str">
        <f ca="1"/>
        <v/>
      </c>
      <c r="AF40" s="1027" t="str">
        <f ca="1"/>
        <v/>
      </c>
      <c r="AG40" s="1036" t="str">
        <f ca="1"/>
        <v/>
      </c>
      <c r="AH40" s="1016" t="str">
        <f ca="1"/>
        <v/>
      </c>
      <c r="AI40" s="1019" t="str">
        <f ca="1"/>
        <v/>
      </c>
      <c r="AJ40" s="1028" t="str">
        <f ca="1"/>
        <v/>
      </c>
    </row>
    <row r="41" spans="2:36">
      <c r="E41" s="639" t="s">
        <v>1779</v>
      </c>
      <c r="F41" s="627"/>
      <c r="G41" t="s">
        <v>12</v>
      </c>
      <c r="H41" s="1015">
        <f ca="1"/>
        <v>47654</v>
      </c>
      <c r="I41" s="1006">
        <f ca="1"/>
        <v>47837</v>
      </c>
      <c r="J41" s="1016">
        <f ca="1"/>
        <v>183</v>
      </c>
      <c r="K41" s="1017">
        <f ca="1"/>
        <v>0.50136986301369901</v>
      </c>
      <c r="L41" s="1006">
        <f ca="1"/>
        <v>47837</v>
      </c>
      <c r="M41" s="1016">
        <f ca="1"/>
        <v>-1000000</v>
      </c>
      <c r="N41" s="1016">
        <f ca="1"/>
        <v>0</v>
      </c>
      <c r="O41" s="1027">
        <f ca="1"/>
        <v>1</v>
      </c>
      <c r="P41" s="1017">
        <f ca="1"/>
        <v>3.0000000000000001E-3</v>
      </c>
      <c r="Q41" s="1018">
        <f ca="1"/>
        <v>-1504</v>
      </c>
      <c r="R41" s="1016">
        <f ca="1"/>
        <v>0.96998379551033997</v>
      </c>
      <c r="S41" s="1004">
        <f ca="1"/>
        <v>-1459</v>
      </c>
      <c r="T41" s="1028" t="str">
        <f ca="1"/>
        <v/>
      </c>
      <c r="U41" s="995"/>
      <c r="V41" s="1015" t="str">
        <f ca="1"/>
        <v/>
      </c>
      <c r="W41" s="1006" t="str">
        <f ca="1"/>
        <v/>
      </c>
      <c r="X41" s="1006" t="str">
        <f ca="1"/>
        <v/>
      </c>
      <c r="Y41" s="1004" t="str">
        <f ca="1"/>
        <v/>
      </c>
      <c r="Z41" s="1017" t="str">
        <f ca="1"/>
        <v/>
      </c>
      <c r="AA41" s="1006" t="str">
        <f ca="1"/>
        <v/>
      </c>
      <c r="AB41" s="1016" t="str">
        <f ca="1"/>
        <v/>
      </c>
      <c r="AC41" s="1016" t="str">
        <f ca="1"/>
        <v/>
      </c>
      <c r="AD41" s="1027" t="str">
        <f ca="1"/>
        <v/>
      </c>
      <c r="AE41" s="1017" t="str">
        <f ca="1"/>
        <v/>
      </c>
      <c r="AF41" s="1027" t="str">
        <f ca="1"/>
        <v/>
      </c>
      <c r="AG41" s="1036" t="str">
        <f ca="1"/>
        <v/>
      </c>
      <c r="AH41" s="1016" t="str">
        <f ca="1"/>
        <v/>
      </c>
      <c r="AI41" s="1019" t="str">
        <f ca="1"/>
        <v/>
      </c>
      <c r="AJ41" s="1028" t="str">
        <f ca="1"/>
        <v/>
      </c>
    </row>
    <row r="42" spans="2:36">
      <c r="E42" s="639" t="s">
        <v>1780</v>
      </c>
      <c r="F42" s="590"/>
      <c r="G42" t="s">
        <v>12</v>
      </c>
      <c r="H42" s="1015">
        <f ca="1"/>
        <v>47837</v>
      </c>
      <c r="I42" s="1006">
        <f ca="1"/>
        <v>48019</v>
      </c>
      <c r="J42" s="1016">
        <f ca="1"/>
        <v>182</v>
      </c>
      <c r="K42" s="1017">
        <f ca="1"/>
        <v>0.49863013698630099</v>
      </c>
      <c r="L42" s="1006">
        <f ca="1"/>
        <v>48019</v>
      </c>
      <c r="M42" s="1016">
        <f ca="1"/>
        <v>-1000000</v>
      </c>
      <c r="N42" s="1016">
        <f ca="1"/>
        <v>0</v>
      </c>
      <c r="O42" s="1027">
        <f ca="1"/>
        <v>1</v>
      </c>
      <c r="P42" s="1017">
        <f ca="1"/>
        <v>3.0000000000000001E-3</v>
      </c>
      <c r="Q42" s="1018">
        <f ca="1"/>
        <v>-1496</v>
      </c>
      <c r="R42" s="1016">
        <f ca="1"/>
        <v>0.96647824911186897</v>
      </c>
      <c r="S42" s="1004">
        <f ca="1"/>
        <v>-1446</v>
      </c>
      <c r="T42" s="1028" t="str">
        <f ca="1"/>
        <v/>
      </c>
      <c r="U42" s="995"/>
      <c r="V42" s="1015" t="str">
        <f ca="1"/>
        <v/>
      </c>
      <c r="W42" s="1006" t="str">
        <f ca="1"/>
        <v/>
      </c>
      <c r="X42" s="1006" t="str">
        <f ca="1"/>
        <v/>
      </c>
      <c r="Y42" s="1004" t="str">
        <f ca="1"/>
        <v/>
      </c>
      <c r="Z42" s="1017" t="str">
        <f ca="1"/>
        <v/>
      </c>
      <c r="AA42" s="1006" t="str">
        <f ca="1"/>
        <v/>
      </c>
      <c r="AB42" s="1016" t="str">
        <f ca="1"/>
        <v/>
      </c>
      <c r="AC42" s="1016" t="str">
        <f ca="1"/>
        <v/>
      </c>
      <c r="AD42" s="1027" t="str">
        <f ca="1"/>
        <v/>
      </c>
      <c r="AE42" s="1017" t="str">
        <f ca="1"/>
        <v/>
      </c>
      <c r="AF42" s="1027" t="str">
        <f ca="1"/>
        <v/>
      </c>
      <c r="AG42" s="1036" t="str">
        <f ca="1"/>
        <v/>
      </c>
      <c r="AH42" s="1016" t="str">
        <f ca="1"/>
        <v/>
      </c>
      <c r="AI42" s="1019" t="str">
        <f ca="1"/>
        <v/>
      </c>
      <c r="AJ42" s="1028" t="str">
        <f ca="1"/>
        <v/>
      </c>
    </row>
    <row r="43" spans="2:36">
      <c r="E43" s="639" t="s">
        <v>1782</v>
      </c>
      <c r="F43" s="593"/>
      <c r="G43" t="s">
        <v>12</v>
      </c>
      <c r="H43" s="1015">
        <f ca="1"/>
        <v>48019</v>
      </c>
      <c r="I43" s="1006">
        <f ca="1"/>
        <v>48204</v>
      </c>
      <c r="J43" s="1016">
        <f ca="1"/>
        <v>185</v>
      </c>
      <c r="K43" s="1017">
        <f ca="1"/>
        <v>0.50684931506849296</v>
      </c>
      <c r="L43" s="1006">
        <f ca="1"/>
        <v>48204</v>
      </c>
      <c r="M43" s="1016">
        <f ca="1"/>
        <v>-1000000</v>
      </c>
      <c r="N43" s="1016">
        <f ca="1"/>
        <v>0</v>
      </c>
      <c r="O43" s="1027">
        <f ca="1"/>
        <v>1</v>
      </c>
      <c r="P43" s="1017">
        <f ca="1"/>
        <v>3.0000000000000001E-3</v>
      </c>
      <c r="Q43" s="1018">
        <f ca="1"/>
        <v>-1521</v>
      </c>
      <c r="R43" s="1016">
        <f ca="1"/>
        <v>0.96270695402672801</v>
      </c>
      <c r="S43" s="1004">
        <f ca="1"/>
        <v>-1464</v>
      </c>
      <c r="T43" s="1028" t="str">
        <f ca="1"/>
        <v/>
      </c>
      <c r="U43" s="995"/>
      <c r="V43" s="1015" t="str">
        <f ca="1"/>
        <v/>
      </c>
      <c r="W43" s="1006" t="str">
        <f ca="1"/>
        <v/>
      </c>
      <c r="X43" s="1006" t="str">
        <f ca="1"/>
        <v/>
      </c>
      <c r="Y43" s="1004" t="str">
        <f ca="1"/>
        <v/>
      </c>
      <c r="Z43" s="1017" t="str">
        <f ca="1"/>
        <v/>
      </c>
      <c r="AA43" s="1006" t="str">
        <f ca="1"/>
        <v/>
      </c>
      <c r="AB43" s="1016" t="str">
        <f ca="1"/>
        <v/>
      </c>
      <c r="AC43" s="1016" t="str">
        <f ca="1"/>
        <v/>
      </c>
      <c r="AD43" s="1027" t="str">
        <f ca="1"/>
        <v/>
      </c>
      <c r="AE43" s="1017" t="str">
        <f ca="1"/>
        <v/>
      </c>
      <c r="AF43" s="1027" t="str">
        <f ca="1"/>
        <v/>
      </c>
      <c r="AG43" s="1036" t="str">
        <f ca="1"/>
        <v/>
      </c>
      <c r="AH43" s="1016" t="str">
        <f ca="1"/>
        <v/>
      </c>
      <c r="AI43" s="1019" t="str">
        <f ca="1"/>
        <v/>
      </c>
      <c r="AJ43" s="1028" t="str">
        <f ca="1"/>
        <v/>
      </c>
    </row>
    <row r="44" spans="2:36">
      <c r="E44" s="639" t="s">
        <v>1781</v>
      </c>
      <c r="F44" s="531" t="s">
        <v>356</v>
      </c>
      <c r="G44" t="s">
        <v>12</v>
      </c>
      <c r="H44" s="1015">
        <f ca="1"/>
        <v>48204</v>
      </c>
      <c r="I44" s="1006">
        <f ca="1"/>
        <v>48386</v>
      </c>
      <c r="J44" s="1016">
        <f ca="1"/>
        <v>182</v>
      </c>
      <c r="K44" s="1017">
        <f ca="1"/>
        <v>0.49863013698630099</v>
      </c>
      <c r="L44" s="1006">
        <f ca="1"/>
        <v>48386</v>
      </c>
      <c r="M44" s="1016">
        <f ca="1"/>
        <v>-1000000</v>
      </c>
      <c r="N44" s="1016">
        <f ca="1"/>
        <v>0</v>
      </c>
      <c r="O44" s="1027">
        <f ca="1"/>
        <v>1</v>
      </c>
      <c r="P44" s="1017">
        <f ca="1"/>
        <v>3.0000000000000001E-3</v>
      </c>
      <c r="Q44" s="1018">
        <f ca="1"/>
        <v>-1496</v>
      </c>
      <c r="R44" s="1016">
        <f ca="1"/>
        <v>0.95882336612622798</v>
      </c>
      <c r="S44" s="1004">
        <f ca="1"/>
        <v>-1434</v>
      </c>
      <c r="T44" s="1028" t="str">
        <f ca="1"/>
        <v/>
      </c>
      <c r="U44" s="995"/>
      <c r="V44" s="1015" t="str">
        <f ca="1"/>
        <v/>
      </c>
      <c r="W44" s="1006" t="str">
        <f ca="1"/>
        <v/>
      </c>
      <c r="X44" s="1006" t="str">
        <f ca="1"/>
        <v/>
      </c>
      <c r="Y44" s="1004" t="str">
        <f ca="1"/>
        <v/>
      </c>
      <c r="Z44" s="1017" t="str">
        <f ca="1"/>
        <v/>
      </c>
      <c r="AA44" s="1006" t="str">
        <f ca="1"/>
        <v/>
      </c>
      <c r="AB44" s="1016" t="str">
        <f ca="1"/>
        <v/>
      </c>
      <c r="AC44" s="1016" t="str">
        <f ca="1"/>
        <v/>
      </c>
      <c r="AD44" s="1027" t="str">
        <f ca="1"/>
        <v/>
      </c>
      <c r="AE44" s="1017" t="str">
        <f ca="1"/>
        <v/>
      </c>
      <c r="AF44" s="1027" t="str">
        <f ca="1"/>
        <v/>
      </c>
      <c r="AG44" s="1036" t="str">
        <f ca="1"/>
        <v/>
      </c>
      <c r="AH44" s="1016" t="str">
        <f ca="1"/>
        <v/>
      </c>
      <c r="AI44" s="1019" t="str">
        <f ca="1"/>
        <v/>
      </c>
      <c r="AJ44" s="1028" t="str">
        <f ca="1"/>
        <v/>
      </c>
    </row>
    <row r="45" spans="2:36">
      <c r="E45" s="639" t="s">
        <v>1783</v>
      </c>
      <c r="F45" s="619" t="str">
        <f>$E$3</f>
        <v>Semi-Annual</v>
      </c>
      <c r="G45" t="s">
        <v>12</v>
      </c>
      <c r="H45" s="1015">
        <f ca="1"/>
        <v>48386</v>
      </c>
      <c r="I45" s="1006">
        <f ca="1"/>
        <v>48568</v>
      </c>
      <c r="J45" s="1016">
        <f ca="1"/>
        <v>182</v>
      </c>
      <c r="K45" s="1017">
        <f ca="1"/>
        <v>0.49863013698630099</v>
      </c>
      <c r="L45" s="1006">
        <f ca="1"/>
        <v>48568</v>
      </c>
      <c r="M45" s="1016">
        <f ca="1"/>
        <v>-1000000</v>
      </c>
      <c r="N45" s="1016">
        <f ca="1"/>
        <v>0</v>
      </c>
      <c r="O45" s="1027">
        <f ca="1"/>
        <v>1</v>
      </c>
      <c r="P45" s="1017">
        <f ca="1"/>
        <v>3.0000000000000001E-3</v>
      </c>
      <c r="Q45" s="1018">
        <f ca="1"/>
        <v>-1496</v>
      </c>
      <c r="R45" s="1016">
        <f ca="1"/>
        <v>0.95478167455924601</v>
      </c>
      <c r="S45" s="1004">
        <f ca="1"/>
        <v>-1428</v>
      </c>
      <c r="T45" s="1028" t="str">
        <f ca="1"/>
        <v/>
      </c>
      <c r="U45" s="995"/>
      <c r="V45" s="1015" t="str">
        <f ca="1"/>
        <v/>
      </c>
      <c r="W45" s="1006" t="str">
        <f ca="1"/>
        <v/>
      </c>
      <c r="X45" s="1006" t="str">
        <f ca="1"/>
        <v/>
      </c>
      <c r="Y45" s="1004" t="str">
        <f ca="1"/>
        <v/>
      </c>
      <c r="Z45" s="1017" t="str">
        <f ca="1"/>
        <v/>
      </c>
      <c r="AA45" s="1006" t="str">
        <f ca="1"/>
        <v/>
      </c>
      <c r="AB45" s="1016" t="str">
        <f ca="1"/>
        <v/>
      </c>
      <c r="AC45" s="1016" t="str">
        <f ca="1"/>
        <v/>
      </c>
      <c r="AD45" s="1027" t="str">
        <f ca="1"/>
        <v/>
      </c>
      <c r="AE45" s="1017" t="str">
        <f ca="1"/>
        <v/>
      </c>
      <c r="AF45" s="1027" t="str">
        <f ca="1"/>
        <v/>
      </c>
      <c r="AG45" s="1036" t="str">
        <f ca="1"/>
        <v/>
      </c>
      <c r="AH45" s="1016" t="str">
        <f ca="1"/>
        <v/>
      </c>
      <c r="AI45" s="1019" t="str">
        <f ca="1"/>
        <v/>
      </c>
      <c r="AJ45" s="1028" t="str">
        <f ca="1"/>
        <v/>
      </c>
    </row>
    <row r="46" spans="2:36">
      <c r="E46" s="639" t="s">
        <v>1784</v>
      </c>
      <c r="F46" s="601">
        <v>0</v>
      </c>
      <c r="G46" t="s">
        <v>12</v>
      </c>
      <c r="H46" s="1015">
        <f ca="1"/>
        <v>48568</v>
      </c>
      <c r="I46" s="1006">
        <f ca="1"/>
        <v>48750</v>
      </c>
      <c r="J46" s="1016">
        <f ca="1"/>
        <v>182</v>
      </c>
      <c r="K46" s="1017">
        <f ca="1"/>
        <v>0.49863013698630099</v>
      </c>
      <c r="L46" s="1006">
        <f ca="1"/>
        <v>48750</v>
      </c>
      <c r="M46" s="1016">
        <f ca="1"/>
        <v>-1000000</v>
      </c>
      <c r="N46" s="1016">
        <f ca="1"/>
        <v>0</v>
      </c>
      <c r="O46" s="1027">
        <f ca="1"/>
        <v>1</v>
      </c>
      <c r="P46" s="1017">
        <f ca="1"/>
        <v>3.0000000000000001E-3</v>
      </c>
      <c r="Q46" s="1018">
        <f ca="1"/>
        <v>-1496</v>
      </c>
      <c r="R46" s="1016">
        <f ca="1"/>
        <v>0.95059626380928297</v>
      </c>
      <c r="S46" s="1004">
        <f ca="1"/>
        <v>-1422</v>
      </c>
      <c r="T46" s="1028" t="str">
        <f ca="1"/>
        <v/>
      </c>
      <c r="U46" s="995"/>
      <c r="V46" s="1015" t="str">
        <f ca="1"/>
        <v/>
      </c>
      <c r="W46" s="1006" t="str">
        <f ca="1"/>
        <v/>
      </c>
      <c r="X46" s="1006" t="str">
        <f ca="1"/>
        <v/>
      </c>
      <c r="Y46" s="1004" t="str">
        <f ca="1"/>
        <v/>
      </c>
      <c r="Z46" s="1017" t="str">
        <f ca="1"/>
        <v/>
      </c>
      <c r="AA46" s="1006" t="str">
        <f ca="1"/>
        <v/>
      </c>
      <c r="AB46" s="1016" t="str">
        <f ca="1"/>
        <v/>
      </c>
      <c r="AC46" s="1016" t="str">
        <f ca="1"/>
        <v/>
      </c>
      <c r="AD46" s="1027" t="str">
        <f ca="1"/>
        <v/>
      </c>
      <c r="AE46" s="1017" t="str">
        <f ca="1"/>
        <v/>
      </c>
      <c r="AF46" s="1027" t="str">
        <f ca="1"/>
        <v/>
      </c>
      <c r="AG46" s="1036" t="str">
        <f ca="1"/>
        <v/>
      </c>
      <c r="AH46" s="1016" t="str">
        <f ca="1"/>
        <v/>
      </c>
      <c r="AI46" s="1019" t="str">
        <f ca="1"/>
        <v/>
      </c>
      <c r="AJ46" s="1028" t="str">
        <f ca="1"/>
        <v/>
      </c>
    </row>
    <row r="47" spans="2:36">
      <c r="E47" s="639" t="s">
        <v>1828</v>
      </c>
      <c r="F47" s="590" t="s">
        <v>3</v>
      </c>
      <c r="G47" t="s">
        <v>12</v>
      </c>
      <c r="H47" s="1015">
        <f ca="1"/>
        <v>48750</v>
      </c>
      <c r="I47" s="1006">
        <f ca="1"/>
        <v>48933</v>
      </c>
      <c r="J47" s="1016">
        <f ca="1"/>
        <v>183</v>
      </c>
      <c r="K47" s="1017">
        <f ca="1"/>
        <v>0.50136986301369901</v>
      </c>
      <c r="L47" s="1006">
        <f ca="1"/>
        <v>48933</v>
      </c>
      <c r="M47" s="1016">
        <f ca="1"/>
        <v>-1000000</v>
      </c>
      <c r="N47" s="1016">
        <f ca="1"/>
        <v>0</v>
      </c>
      <c r="O47" s="1027">
        <f ca="1"/>
        <v>1</v>
      </c>
      <c r="P47" s="1017">
        <f ca="1"/>
        <v>3.0000000000000001E-3</v>
      </c>
      <c r="Q47" s="1018">
        <f ca="1"/>
        <v>-1504</v>
      </c>
      <c r="R47" s="1016">
        <f ca="1"/>
        <v>0.94627472133217205</v>
      </c>
      <c r="S47" s="1004">
        <f ca="1"/>
        <v>-1423</v>
      </c>
      <c r="T47" s="1028" t="str">
        <f ca="1"/>
        <v/>
      </c>
      <c r="U47" s="995"/>
      <c r="V47" s="1015" t="str">
        <f ca="1"/>
        <v/>
      </c>
      <c r="W47" s="1006" t="str">
        <f ca="1"/>
        <v/>
      </c>
      <c r="X47" s="1006" t="str">
        <f ca="1"/>
        <v/>
      </c>
      <c r="Y47" s="1004" t="str">
        <f ca="1"/>
        <v/>
      </c>
      <c r="Z47" s="1017" t="str">
        <f ca="1"/>
        <v/>
      </c>
      <c r="AA47" s="1006" t="str">
        <f ca="1"/>
        <v/>
      </c>
      <c r="AB47" s="1016" t="str">
        <f ca="1"/>
        <v/>
      </c>
      <c r="AC47" s="1016" t="str">
        <f ca="1"/>
        <v/>
      </c>
      <c r="AD47" s="1027" t="str">
        <f ca="1"/>
        <v/>
      </c>
      <c r="AE47" s="1017" t="str">
        <f ca="1"/>
        <v/>
      </c>
      <c r="AF47" s="1027" t="str">
        <f ca="1"/>
        <v/>
      </c>
      <c r="AG47" s="1036" t="str">
        <f ca="1"/>
        <v/>
      </c>
      <c r="AH47" s="1016" t="str">
        <f ca="1"/>
        <v/>
      </c>
      <c r="AI47" s="1019" t="str">
        <f ca="1"/>
        <v/>
      </c>
      <c r="AJ47" s="1028" t="str">
        <f ca="1"/>
        <v/>
      </c>
    </row>
    <row r="48" spans="2:36">
      <c r="E48" s="500" t="s">
        <v>1829</v>
      </c>
      <c r="F48" s="625" t="s">
        <v>38</v>
      </c>
      <c r="G48" t="s">
        <v>12</v>
      </c>
      <c r="H48" s="1015">
        <f ca="1"/>
        <v>48933</v>
      </c>
      <c r="I48" s="1006">
        <f ca="1"/>
        <v>49115</v>
      </c>
      <c r="J48" s="1016">
        <f ca="1"/>
        <v>182</v>
      </c>
      <c r="K48" s="1017">
        <f ca="1"/>
        <v>0.49863013698630099</v>
      </c>
      <c r="L48" s="1006">
        <f ca="1"/>
        <v>49115</v>
      </c>
      <c r="M48" s="1016">
        <f ca="1"/>
        <v>-1000000</v>
      </c>
      <c r="N48" s="1016">
        <f ca="1"/>
        <v>0</v>
      </c>
      <c r="O48" s="1027">
        <f ca="1"/>
        <v>1</v>
      </c>
      <c r="P48" s="1017">
        <f ca="1"/>
        <v>3.0000000000000001E-3</v>
      </c>
      <c r="Q48" s="1018">
        <f ca="1"/>
        <v>-1496</v>
      </c>
      <c r="R48" s="1016">
        <f ca="1"/>
        <v>0.94187799241987502</v>
      </c>
      <c r="S48" s="1004">
        <f ca="1"/>
        <v>-1409</v>
      </c>
      <c r="T48" s="1028" t="str">
        <f ca="1"/>
        <v/>
      </c>
      <c r="U48" s="995"/>
      <c r="V48" s="1015" t="str">
        <f ca="1"/>
        <v/>
      </c>
      <c r="W48" s="1006" t="str">
        <f ca="1"/>
        <v/>
      </c>
      <c r="X48" s="1006" t="str">
        <f ca="1"/>
        <v/>
      </c>
      <c r="Y48" s="1004" t="str">
        <f ca="1"/>
        <v/>
      </c>
      <c r="Z48" s="1017" t="str">
        <f ca="1"/>
        <v/>
      </c>
      <c r="AA48" s="1006" t="str">
        <f ca="1"/>
        <v/>
      </c>
      <c r="AB48" s="1016" t="str">
        <f ca="1"/>
        <v/>
      </c>
      <c r="AC48" s="1016" t="str">
        <f ca="1"/>
        <v/>
      </c>
      <c r="AD48" s="1027" t="str">
        <f ca="1"/>
        <v/>
      </c>
      <c r="AE48" s="1017" t="str">
        <f ca="1"/>
        <v/>
      </c>
      <c r="AF48" s="1027" t="str">
        <f ca="1"/>
        <v/>
      </c>
      <c r="AG48" s="1036" t="str">
        <f ca="1"/>
        <v/>
      </c>
      <c r="AH48" s="1016" t="str">
        <f ca="1"/>
        <v/>
      </c>
      <c r="AI48" s="1019" t="str">
        <f ca="1"/>
        <v/>
      </c>
      <c r="AJ48" s="1028" t="str">
        <f ca="1"/>
        <v/>
      </c>
    </row>
    <row r="49" spans="5:36">
      <c r="E49" s="500" t="s">
        <v>1830</v>
      </c>
      <c r="F49" s="625" t="s">
        <v>359</v>
      </c>
      <c r="G49" t="s">
        <v>12</v>
      </c>
      <c r="H49" s="1015">
        <f ca="1"/>
        <v>49115</v>
      </c>
      <c r="I49" s="1006">
        <f ca="1"/>
        <v>49298</v>
      </c>
      <c r="J49" s="1016">
        <f ca="1"/>
        <v>183</v>
      </c>
      <c r="K49" s="1017">
        <f ca="1"/>
        <v>0.50136986301369901</v>
      </c>
      <c r="L49" s="1006">
        <f ca="1"/>
        <v>49298</v>
      </c>
      <c r="M49" s="1016">
        <f ca="1"/>
        <v>-1000000</v>
      </c>
      <c r="N49" s="1016">
        <f ca="1"/>
        <v>0</v>
      </c>
      <c r="O49" s="1027">
        <f ca="1"/>
        <v>1</v>
      </c>
      <c r="P49" s="1017">
        <f ca="1"/>
        <v>3.0000000000000001E-3</v>
      </c>
      <c r="Q49" s="1018">
        <f ca="1"/>
        <v>-1504</v>
      </c>
      <c r="R49" s="1016">
        <f ca="1"/>
        <v>0.93736997755162599</v>
      </c>
      <c r="S49" s="1004">
        <f ca="1"/>
        <v>-1410</v>
      </c>
      <c r="T49" s="1028" t="str">
        <f ca="1"/>
        <v/>
      </c>
      <c r="U49" s="995"/>
      <c r="V49" s="1015" t="str">
        <f ca="1"/>
        <v/>
      </c>
      <c r="W49" s="1006" t="str">
        <f ca="1"/>
        <v/>
      </c>
      <c r="X49" s="1006" t="str">
        <f ca="1"/>
        <v/>
      </c>
      <c r="Y49" s="1004" t="str">
        <f ca="1"/>
        <v/>
      </c>
      <c r="Z49" s="1017" t="str">
        <f ca="1"/>
        <v/>
      </c>
      <c r="AA49" s="1006" t="str">
        <f ca="1"/>
        <v/>
      </c>
      <c r="AB49" s="1016" t="str">
        <f ca="1"/>
        <v/>
      </c>
      <c r="AC49" s="1016" t="str">
        <f ca="1"/>
        <v/>
      </c>
      <c r="AD49" s="1027" t="str">
        <f ca="1"/>
        <v/>
      </c>
      <c r="AE49" s="1017" t="str">
        <f ca="1"/>
        <v/>
      </c>
      <c r="AF49" s="1027" t="str">
        <f ca="1"/>
        <v/>
      </c>
      <c r="AG49" s="1036" t="str">
        <f ca="1"/>
        <v/>
      </c>
      <c r="AH49" s="1016" t="str">
        <f ca="1"/>
        <v/>
      </c>
      <c r="AI49" s="1019" t="str">
        <f ca="1"/>
        <v/>
      </c>
      <c r="AJ49" s="1028" t="str">
        <f ca="1"/>
        <v/>
      </c>
    </row>
    <row r="50" spans="5:36">
      <c r="E50" s="639" t="s">
        <v>1792</v>
      </c>
      <c r="F50" s="628"/>
      <c r="G50" t="s">
        <v>12</v>
      </c>
      <c r="H50" s="1015">
        <f ca="1"/>
        <v>49298</v>
      </c>
      <c r="I50" s="1006">
        <f ca="1"/>
        <v>49480</v>
      </c>
      <c r="J50" s="1016">
        <f ca="1"/>
        <v>182</v>
      </c>
      <c r="K50" s="1017">
        <f ca="1"/>
        <v>0.49863013698630099</v>
      </c>
      <c r="L50" s="1006">
        <f ca="1"/>
        <v>49480</v>
      </c>
      <c r="M50" s="1016">
        <f ca="1"/>
        <v>-1000000</v>
      </c>
      <c r="N50" s="1016">
        <f ca="1"/>
        <v>0</v>
      </c>
      <c r="O50" s="1027">
        <f ca="1"/>
        <v>1</v>
      </c>
      <c r="P50" s="1017">
        <f ca="1"/>
        <v>3.0000000000000001E-3</v>
      </c>
      <c r="Q50" s="1018">
        <f ca="1"/>
        <v>-1496</v>
      </c>
      <c r="R50" s="1016">
        <f ca="1"/>
        <v>0.932812472543466</v>
      </c>
      <c r="S50" s="1004">
        <f ca="1"/>
        <v>-1395</v>
      </c>
      <c r="T50" s="1028" t="str">
        <f ca="1"/>
        <v/>
      </c>
      <c r="U50" s="995"/>
      <c r="V50" s="1015" t="str">
        <f ca="1"/>
        <v/>
      </c>
      <c r="W50" s="1006" t="str">
        <f ca="1"/>
        <v/>
      </c>
      <c r="X50" s="1006" t="str">
        <f ca="1"/>
        <v/>
      </c>
      <c r="Y50" s="1004" t="str">
        <f ca="1"/>
        <v/>
      </c>
      <c r="Z50" s="1017" t="str">
        <f ca="1"/>
        <v/>
      </c>
      <c r="AA50" s="1006" t="str">
        <f ca="1"/>
        <v/>
      </c>
      <c r="AB50" s="1016" t="str">
        <f ca="1"/>
        <v/>
      </c>
      <c r="AC50" s="1016" t="str">
        <f ca="1"/>
        <v/>
      </c>
      <c r="AD50" s="1027" t="str">
        <f ca="1"/>
        <v/>
      </c>
      <c r="AE50" s="1017" t="str">
        <f ca="1"/>
        <v/>
      </c>
      <c r="AF50" s="1027" t="str">
        <f ca="1"/>
        <v/>
      </c>
      <c r="AG50" s="1036" t="str">
        <f ca="1"/>
        <v/>
      </c>
      <c r="AH50" s="1016" t="str">
        <f ca="1"/>
        <v/>
      </c>
      <c r="AI50" s="1019" t="str">
        <f ca="1"/>
        <v/>
      </c>
      <c r="AJ50" s="1028" t="str">
        <f ca="1"/>
        <v/>
      </c>
    </row>
    <row r="51" spans="5:36">
      <c r="E51" s="639" t="s">
        <v>1793</v>
      </c>
      <c r="F51" s="628"/>
      <c r="G51" t="s">
        <v>12</v>
      </c>
      <c r="H51" s="1015">
        <f ca="1"/>
        <v>49480</v>
      </c>
      <c r="I51" s="1006">
        <f ca="1"/>
        <v>49663</v>
      </c>
      <c r="J51" s="1016">
        <f ca="1"/>
        <v>183</v>
      </c>
      <c r="K51" s="1017">
        <f ca="1"/>
        <v>0.50136986301369901</v>
      </c>
      <c r="L51" s="1006">
        <f ca="1"/>
        <v>49663</v>
      </c>
      <c r="M51" s="1016">
        <f ca="1"/>
        <v>-1000000</v>
      </c>
      <c r="N51" s="1016">
        <f ca="1"/>
        <v>0</v>
      </c>
      <c r="O51" s="1027">
        <f ca="1"/>
        <v>1</v>
      </c>
      <c r="P51" s="1017">
        <f ca="1"/>
        <v>3.0000000000000001E-3</v>
      </c>
      <c r="Q51" s="1018">
        <f ca="1"/>
        <v>-1504</v>
      </c>
      <c r="R51" s="1016">
        <f ca="1"/>
        <v>0.92816835873315096</v>
      </c>
      <c r="S51" s="1004">
        <f ca="1"/>
        <v>-1396</v>
      </c>
      <c r="T51" s="1028" t="str">
        <f ca="1"/>
        <v/>
      </c>
      <c r="U51" s="995"/>
      <c r="V51" s="1015" t="str">
        <f ca="1"/>
        <v/>
      </c>
      <c r="W51" s="1006" t="str">
        <f ca="1"/>
        <v/>
      </c>
      <c r="X51" s="1006" t="str">
        <f ca="1"/>
        <v/>
      </c>
      <c r="Y51" s="1004" t="str">
        <f ca="1"/>
        <v/>
      </c>
      <c r="Z51" s="1017" t="str">
        <f ca="1"/>
        <v/>
      </c>
      <c r="AA51" s="1006" t="str">
        <f ca="1"/>
        <v/>
      </c>
      <c r="AB51" s="1016" t="str">
        <f ca="1"/>
        <v/>
      </c>
      <c r="AC51" s="1016" t="str">
        <f ca="1"/>
        <v/>
      </c>
      <c r="AD51" s="1027" t="str">
        <f ca="1"/>
        <v/>
      </c>
      <c r="AE51" s="1017" t="str">
        <f ca="1"/>
        <v/>
      </c>
      <c r="AF51" s="1027" t="str">
        <f ca="1"/>
        <v/>
      </c>
      <c r="AG51" s="1036" t="str">
        <f ca="1"/>
        <v/>
      </c>
      <c r="AH51" s="1016" t="str">
        <f ca="1"/>
        <v/>
      </c>
      <c r="AI51" s="1019" t="str">
        <f ca="1"/>
        <v/>
      </c>
      <c r="AJ51" s="1028" t="str">
        <f ca="1"/>
        <v/>
      </c>
    </row>
    <row r="52" spans="5:36">
      <c r="E52" s="639" t="s">
        <v>1794</v>
      </c>
      <c r="F52" s="629"/>
      <c r="G52" t="s">
        <v>12</v>
      </c>
      <c r="H52" s="1015">
        <f ca="1"/>
        <v>49663</v>
      </c>
      <c r="I52" s="1006">
        <f ca="1"/>
        <v>49846</v>
      </c>
      <c r="J52" s="1016">
        <f ca="1"/>
        <v>183</v>
      </c>
      <c r="K52" s="1017">
        <f ca="1"/>
        <v>0.50136986301369901</v>
      </c>
      <c r="L52" s="1006">
        <f ca="1"/>
        <v>49846</v>
      </c>
      <c r="M52" s="1016">
        <f ca="1"/>
        <v>-1000000</v>
      </c>
      <c r="N52" s="1016">
        <f ca="1"/>
        <v>0</v>
      </c>
      <c r="O52" s="1027">
        <f ca="1"/>
        <v>1</v>
      </c>
      <c r="P52" s="1017">
        <f ca="1"/>
        <v>3.0000000000000001E-3</v>
      </c>
      <c r="Q52" s="1018">
        <f ca="1"/>
        <v>-1504</v>
      </c>
      <c r="R52" s="1016">
        <f ca="1"/>
        <v>0.92348820689229505</v>
      </c>
      <c r="S52" s="1004">
        <f ca="1"/>
        <v>-1389</v>
      </c>
      <c r="T52" s="1028" t="str">
        <f ca="1"/>
        <v/>
      </c>
      <c r="U52" s="995"/>
      <c r="V52" s="1015" t="str">
        <f ca="1"/>
        <v/>
      </c>
      <c r="W52" s="1006" t="str">
        <f ca="1"/>
        <v/>
      </c>
      <c r="X52" s="1006" t="str">
        <f ca="1"/>
        <v/>
      </c>
      <c r="Y52" s="1004" t="str">
        <f ca="1"/>
        <v/>
      </c>
      <c r="Z52" s="1017" t="str">
        <f ca="1"/>
        <v/>
      </c>
      <c r="AA52" s="1006" t="str">
        <f ca="1"/>
        <v/>
      </c>
      <c r="AB52" s="1016" t="str">
        <f ca="1"/>
        <v/>
      </c>
      <c r="AC52" s="1016" t="str">
        <f ca="1"/>
        <v/>
      </c>
      <c r="AD52" s="1027" t="str">
        <f ca="1"/>
        <v/>
      </c>
      <c r="AE52" s="1017" t="str">
        <f ca="1"/>
        <v/>
      </c>
      <c r="AF52" s="1027" t="str">
        <f ca="1"/>
        <v/>
      </c>
      <c r="AG52" s="1036" t="str">
        <f ca="1"/>
        <v/>
      </c>
      <c r="AH52" s="1016" t="str">
        <f ca="1"/>
        <v/>
      </c>
      <c r="AI52" s="1019" t="str">
        <f ca="1"/>
        <v/>
      </c>
      <c r="AJ52" s="1028" t="str">
        <f ca="1"/>
        <v/>
      </c>
    </row>
    <row r="53" spans="5:36">
      <c r="E53" s="639" t="s">
        <v>1799</v>
      </c>
      <c r="F53" s="593" t="s">
        <v>358</v>
      </c>
      <c r="G53" t="s">
        <v>12</v>
      </c>
      <c r="H53" s="1015">
        <f ca="1"/>
        <v>49846</v>
      </c>
      <c r="I53" s="1006">
        <f ca="1"/>
        <v>50031</v>
      </c>
      <c r="J53" s="1016">
        <f ca="1"/>
        <v>185</v>
      </c>
      <c r="K53" s="1017">
        <f ca="1"/>
        <v>0.50684931506849296</v>
      </c>
      <c r="L53" s="1006">
        <f ca="1"/>
        <v>50031</v>
      </c>
      <c r="M53" s="1016">
        <f ca="1"/>
        <v>-1000000</v>
      </c>
      <c r="N53" s="1016">
        <f ca="1"/>
        <v>0</v>
      </c>
      <c r="O53" s="1027">
        <f ca="1"/>
        <v>1</v>
      </c>
      <c r="P53" s="1017">
        <f ca="1"/>
        <v>3.0000000000000001E-3</v>
      </c>
      <c r="Q53" s="1018">
        <f ca="1"/>
        <v>-1521</v>
      </c>
      <c r="R53" s="1016">
        <f ca="1"/>
        <v>0.91872310307371696</v>
      </c>
      <c r="S53" s="1004">
        <f ca="1"/>
        <v>-1397</v>
      </c>
      <c r="T53" s="1028" t="str">
        <f ca="1"/>
        <v/>
      </c>
      <c r="U53" s="995"/>
      <c r="V53" s="1015" t="str">
        <f ca="1"/>
        <v/>
      </c>
      <c r="W53" s="1006" t="str">
        <f ca="1"/>
        <v/>
      </c>
      <c r="X53" s="1006" t="str">
        <f ca="1"/>
        <v/>
      </c>
      <c r="Y53" s="1004" t="str">
        <f ca="1"/>
        <v/>
      </c>
      <c r="Z53" s="1017" t="str">
        <f ca="1"/>
        <v/>
      </c>
      <c r="AA53" s="1006" t="str">
        <f ca="1"/>
        <v/>
      </c>
      <c r="AB53" s="1016" t="str">
        <f ca="1"/>
        <v/>
      </c>
      <c r="AC53" s="1016" t="str">
        <f ca="1"/>
        <v/>
      </c>
      <c r="AD53" s="1027" t="str">
        <f ca="1"/>
        <v/>
      </c>
      <c r="AE53" s="1017" t="str">
        <f ca="1"/>
        <v/>
      </c>
      <c r="AF53" s="1027" t="str">
        <f ca="1"/>
        <v/>
      </c>
      <c r="AG53" s="1036" t="str">
        <f ca="1"/>
        <v/>
      </c>
      <c r="AH53" s="1016" t="str">
        <f ca="1"/>
        <v/>
      </c>
      <c r="AI53" s="1019" t="str">
        <f ca="1"/>
        <v/>
      </c>
      <c r="AJ53" s="1028" t="str">
        <f ca="1"/>
        <v/>
      </c>
    </row>
    <row r="54" spans="5:36">
      <c r="E54" s="639" t="s">
        <v>1795</v>
      </c>
      <c r="F54" s="531" t="s">
        <v>356</v>
      </c>
      <c r="G54" t="s">
        <v>12</v>
      </c>
      <c r="H54" s="1015">
        <f ca="1"/>
        <v>50031</v>
      </c>
      <c r="I54" s="1006">
        <f ca="1"/>
        <v>50213</v>
      </c>
      <c r="J54" s="1016">
        <f ca="1"/>
        <v>182</v>
      </c>
      <c r="K54" s="1017">
        <f ca="1"/>
        <v>0.49863013698630099</v>
      </c>
      <c r="L54" s="1006">
        <f ca="1"/>
        <v>50213</v>
      </c>
      <c r="M54" s="1016">
        <f ca="1"/>
        <v>-1000000</v>
      </c>
      <c r="N54" s="1016">
        <f ca="1"/>
        <v>0</v>
      </c>
      <c r="O54" s="1027">
        <f ca="1"/>
        <v>1</v>
      </c>
      <c r="P54" s="1017">
        <f ca="1"/>
        <v>3.0000000000000001E-3</v>
      </c>
      <c r="Q54" s="1018">
        <f ca="1"/>
        <v>-1496</v>
      </c>
      <c r="R54" s="1016">
        <f ca="1"/>
        <v>0.91400330968289001</v>
      </c>
      <c r="S54" s="1004">
        <f ca="1"/>
        <v>-1367</v>
      </c>
      <c r="T54" s="1028" t="str">
        <f ca="1"/>
        <v/>
      </c>
      <c r="U54" s="995"/>
      <c r="V54" s="1015" t="str">
        <f ca="1"/>
        <v/>
      </c>
      <c r="W54" s="1006" t="str">
        <f ca="1"/>
        <v/>
      </c>
      <c r="X54" s="1006" t="str">
        <f ca="1"/>
        <v/>
      </c>
      <c r="Y54" s="1004" t="str">
        <f ca="1"/>
        <v/>
      </c>
      <c r="Z54" s="1017" t="str">
        <f ca="1"/>
        <v/>
      </c>
      <c r="AA54" s="1006" t="str">
        <f ca="1"/>
        <v/>
      </c>
      <c r="AB54" s="1016" t="str">
        <f ca="1"/>
        <v/>
      </c>
      <c r="AC54" s="1016" t="str">
        <f ca="1"/>
        <v/>
      </c>
      <c r="AD54" s="1027" t="str">
        <f ca="1"/>
        <v/>
      </c>
      <c r="AE54" s="1017" t="str">
        <f ca="1"/>
        <v/>
      </c>
      <c r="AF54" s="1027" t="str">
        <f ca="1"/>
        <v/>
      </c>
      <c r="AG54" s="1036" t="str">
        <f ca="1"/>
        <v/>
      </c>
      <c r="AH54" s="1016" t="str">
        <f ca="1"/>
        <v/>
      </c>
      <c r="AI54" s="1019" t="str">
        <f ca="1"/>
        <v/>
      </c>
      <c r="AJ54" s="1028" t="str">
        <f ca="1"/>
        <v/>
      </c>
    </row>
    <row r="55" spans="5:36">
      <c r="E55" s="639" t="s">
        <v>1798</v>
      </c>
      <c r="F55" s="531" t="s">
        <v>356</v>
      </c>
      <c r="G55" t="s">
        <v>12</v>
      </c>
      <c r="H55" s="1015">
        <f ca="1"/>
        <v>50213</v>
      </c>
      <c r="I55" s="1006">
        <f ca="1"/>
        <v>50395</v>
      </c>
      <c r="J55" s="1016">
        <f ca="1"/>
        <v>182</v>
      </c>
      <c r="K55" s="1017">
        <f ca="1"/>
        <v>0.49863013698630099</v>
      </c>
      <c r="L55" s="1006">
        <f ca="1"/>
        <v>50395</v>
      </c>
      <c r="M55" s="1016">
        <f ca="1"/>
        <v>-1000000</v>
      </c>
      <c r="N55" s="1016">
        <f ca="1"/>
        <v>0</v>
      </c>
      <c r="O55" s="1027">
        <f ca="1"/>
        <v>1</v>
      </c>
      <c r="P55" s="1017">
        <f ca="1"/>
        <v>3.0000000000000001E-3</v>
      </c>
      <c r="Q55" s="1018">
        <f ca="1"/>
        <v>-1496</v>
      </c>
      <c r="R55" s="1016">
        <f ca="1"/>
        <v>0.90927775778372499</v>
      </c>
      <c r="S55" s="1004">
        <f ca="1"/>
        <v>-1360</v>
      </c>
      <c r="T55" s="1028" t="str">
        <f ca="1"/>
        <v/>
      </c>
      <c r="U55" s="995"/>
      <c r="V55" s="1015" t="str">
        <f ca="1"/>
        <v/>
      </c>
      <c r="W55" s="1006" t="str">
        <f ca="1"/>
        <v/>
      </c>
      <c r="X55" s="1006" t="str">
        <f ca="1"/>
        <v/>
      </c>
      <c r="Y55" s="1004" t="str">
        <f ca="1"/>
        <v/>
      </c>
      <c r="Z55" s="1017" t="str">
        <f ca="1"/>
        <v/>
      </c>
      <c r="AA55" s="1006" t="str">
        <f ca="1"/>
        <v/>
      </c>
      <c r="AB55" s="1016" t="str">
        <f ca="1"/>
        <v/>
      </c>
      <c r="AC55" s="1016" t="str">
        <f ca="1"/>
        <v/>
      </c>
      <c r="AD55" s="1027" t="str">
        <f ca="1"/>
        <v/>
      </c>
      <c r="AE55" s="1017" t="str">
        <f ca="1"/>
        <v/>
      </c>
      <c r="AF55" s="1027" t="str">
        <f ca="1"/>
        <v/>
      </c>
      <c r="AG55" s="1036" t="str">
        <f ca="1"/>
        <v/>
      </c>
      <c r="AH55" s="1016" t="str">
        <f ca="1"/>
        <v/>
      </c>
      <c r="AI55" s="1019" t="str">
        <f ca="1"/>
        <v/>
      </c>
      <c r="AJ55" s="1028" t="str">
        <f ca="1"/>
        <v/>
      </c>
    </row>
    <row r="56" spans="5:36">
      <c r="E56" s="639" t="s">
        <v>1796</v>
      </c>
      <c r="F56" s="597" t="str">
        <f ca="1">_xll.meProductSwapStubRate($F$61:$F$65,$E$61:$E$65,,_xll.meUtilityLVBFromKeysValues($E$25:$E$55,F25:F55),FALSE)</f>
        <v>[2018/05/04 09:52] #Error: Invalid Curve: CurveIndex 'JPY1ML' in collection JPYYC does not exist</v>
      </c>
      <c r="G56" s="315" t="s">
        <v>1858</v>
      </c>
      <c r="H56" s="1015">
        <f ca="1"/>
        <v>50395</v>
      </c>
      <c r="I56" s="1006">
        <f ca="1"/>
        <v>50577</v>
      </c>
      <c r="J56" s="1016">
        <f ca="1"/>
        <v>182</v>
      </c>
      <c r="K56" s="1017">
        <f ca="1"/>
        <v>0.49863013698630099</v>
      </c>
      <c r="L56" s="1006">
        <f ca="1"/>
        <v>50577</v>
      </c>
      <c r="M56" s="1016">
        <f ca="1"/>
        <v>-1000000</v>
      </c>
      <c r="N56" s="1016">
        <f ca="1"/>
        <v>0</v>
      </c>
      <c r="O56" s="1027">
        <f ca="1"/>
        <v>1</v>
      </c>
      <c r="P56" s="1017">
        <f ca="1"/>
        <v>3.0000000000000001E-3</v>
      </c>
      <c r="Q56" s="1018">
        <f ca="1"/>
        <v>-1496</v>
      </c>
      <c r="R56" s="1016">
        <f ca="1"/>
        <v>0.90456199247023905</v>
      </c>
      <c r="S56" s="1004">
        <f ca="1"/>
        <v>-1353</v>
      </c>
      <c r="T56" s="1028" t="str">
        <f ca="1"/>
        <v/>
      </c>
      <c r="U56" s="995"/>
      <c r="V56" s="1015" t="str">
        <f ca="1"/>
        <v/>
      </c>
      <c r="W56" s="1006" t="str">
        <f ca="1"/>
        <v/>
      </c>
      <c r="X56" s="1006" t="str">
        <f ca="1"/>
        <v/>
      </c>
      <c r="Y56" s="1004" t="str">
        <f ca="1"/>
        <v/>
      </c>
      <c r="Z56" s="1017" t="str">
        <f ca="1"/>
        <v/>
      </c>
      <c r="AA56" s="1006" t="str">
        <f ca="1"/>
        <v/>
      </c>
      <c r="AB56" s="1016" t="str">
        <f ca="1"/>
        <v/>
      </c>
      <c r="AC56" s="1016" t="str">
        <f ca="1"/>
        <v/>
      </c>
      <c r="AD56" s="1027" t="str">
        <f ca="1"/>
        <v/>
      </c>
      <c r="AE56" s="1017" t="str">
        <f ca="1"/>
        <v/>
      </c>
      <c r="AF56" s="1027" t="str">
        <f ca="1"/>
        <v/>
      </c>
      <c r="AG56" s="1036" t="str">
        <f ca="1"/>
        <v/>
      </c>
      <c r="AH56" s="1016" t="str">
        <f ca="1"/>
        <v/>
      </c>
      <c r="AI56" s="1019" t="str">
        <f ca="1"/>
        <v/>
      </c>
      <c r="AJ56" s="1028" t="str">
        <f ca="1"/>
        <v/>
      </c>
    </row>
    <row r="57" spans="5:36">
      <c r="E57" s="640" t="s">
        <v>1797</v>
      </c>
      <c r="F57" s="591"/>
      <c r="H57" s="1015">
        <f ca="1"/>
        <v>50577</v>
      </c>
      <c r="I57" s="1006">
        <f ca="1"/>
        <v>50759</v>
      </c>
      <c r="J57" s="1016">
        <f ca="1"/>
        <v>182</v>
      </c>
      <c r="K57" s="1017">
        <f ca="1"/>
        <v>0.49863013698630099</v>
      </c>
      <c r="L57" s="1006">
        <f ca="1"/>
        <v>50759</v>
      </c>
      <c r="M57" s="1016">
        <f ca="1"/>
        <v>-1000000</v>
      </c>
      <c r="N57" s="1016">
        <f ca="1"/>
        <v>0</v>
      </c>
      <c r="O57" s="1027">
        <f ca="1"/>
        <v>1</v>
      </c>
      <c r="P57" s="1017">
        <f ca="1"/>
        <v>3.0000000000000001E-3</v>
      </c>
      <c r="Q57" s="1018">
        <f ca="1"/>
        <v>-1496</v>
      </c>
      <c r="R57" s="1016">
        <f ca="1"/>
        <v>0.89986768417425</v>
      </c>
      <c r="S57" s="1004">
        <f ca="1"/>
        <v>-1346</v>
      </c>
      <c r="T57" s="1028" t="str">
        <f ca="1"/>
        <v/>
      </c>
      <c r="U57" s="995"/>
      <c r="V57" s="1015" t="str">
        <f ca="1"/>
        <v/>
      </c>
      <c r="W57" s="1006" t="str">
        <f ca="1"/>
        <v/>
      </c>
      <c r="X57" s="1006" t="str">
        <f ca="1"/>
        <v/>
      </c>
      <c r="Y57" s="1004" t="str">
        <f ca="1"/>
        <v/>
      </c>
      <c r="Z57" s="1017" t="str">
        <f ca="1"/>
        <v/>
      </c>
      <c r="AA57" s="1006" t="str">
        <f ca="1"/>
        <v/>
      </c>
      <c r="AB57" s="1016" t="str">
        <f ca="1"/>
        <v/>
      </c>
      <c r="AC57" s="1016" t="str">
        <f ca="1"/>
        <v/>
      </c>
      <c r="AD57" s="1027" t="str">
        <f ca="1"/>
        <v/>
      </c>
      <c r="AE57" s="1017" t="str">
        <f ca="1"/>
        <v/>
      </c>
      <c r="AF57" s="1027" t="str">
        <f ca="1"/>
        <v/>
      </c>
      <c r="AG57" s="1036" t="str">
        <f ca="1"/>
        <v/>
      </c>
      <c r="AH57" s="1016" t="str">
        <f ca="1"/>
        <v/>
      </c>
      <c r="AI57" s="1019" t="str">
        <f ca="1"/>
        <v/>
      </c>
      <c r="AJ57" s="1028" t="str">
        <f ca="1"/>
        <v/>
      </c>
    </row>
    <row r="58" spans="5:36">
      <c r="H58" s="1015">
        <f ca="1"/>
        <v>50759</v>
      </c>
      <c r="I58" s="1006">
        <f ca="1"/>
        <v>50941</v>
      </c>
      <c r="J58" s="1016">
        <f ca="1"/>
        <v>182</v>
      </c>
      <c r="K58" s="1017">
        <f ca="1"/>
        <v>0.49863013698630099</v>
      </c>
      <c r="L58" s="1006">
        <f ca="1"/>
        <v>50941</v>
      </c>
      <c r="M58" s="1016">
        <f ca="1"/>
        <v>-1000000</v>
      </c>
      <c r="N58" s="1016">
        <f ca="1"/>
        <v>0</v>
      </c>
      <c r="O58" s="1027">
        <f ca="1"/>
        <v>1</v>
      </c>
      <c r="P58" s="1017">
        <f ca="1"/>
        <v>3.0000000000000001E-3</v>
      </c>
      <c r="Q58" s="1018">
        <f ca="1"/>
        <v>-1496</v>
      </c>
      <c r="R58" s="1016">
        <f ca="1"/>
        <v>0.89519975308326805</v>
      </c>
      <c r="S58" s="1004">
        <f ca="1"/>
        <v>-1339</v>
      </c>
      <c r="T58" s="1028" t="str">
        <f ca="1"/>
        <v/>
      </c>
      <c r="U58" s="995"/>
      <c r="V58" s="1015" t="str">
        <f ca="1"/>
        <v/>
      </c>
      <c r="W58" s="1006" t="str">
        <f ca="1"/>
        <v/>
      </c>
      <c r="X58" s="1006" t="str">
        <f ca="1"/>
        <v/>
      </c>
      <c r="Y58" s="1004" t="str">
        <f ca="1"/>
        <v/>
      </c>
      <c r="Z58" s="1017" t="str">
        <f ca="1"/>
        <v/>
      </c>
      <c r="AA58" s="1006" t="str">
        <f ca="1"/>
        <v/>
      </c>
      <c r="AB58" s="1016" t="str">
        <f ca="1"/>
        <v/>
      </c>
      <c r="AC58" s="1016" t="str">
        <f ca="1"/>
        <v/>
      </c>
      <c r="AD58" s="1027" t="str">
        <f ca="1"/>
        <v/>
      </c>
      <c r="AE58" s="1017" t="str">
        <f ca="1"/>
        <v/>
      </c>
      <c r="AF58" s="1027" t="str">
        <f ca="1"/>
        <v/>
      </c>
      <c r="AG58" s="1036" t="str">
        <f ca="1"/>
        <v/>
      </c>
      <c r="AH58" s="1016" t="str">
        <f ca="1"/>
        <v/>
      </c>
      <c r="AI58" s="1019" t="str">
        <f ca="1"/>
        <v/>
      </c>
      <c r="AJ58" s="1028" t="str">
        <f ca="1"/>
        <v/>
      </c>
    </row>
    <row r="59" spans="5:36">
      <c r="H59" s="1015">
        <f ca="1"/>
        <v>50941</v>
      </c>
      <c r="I59" s="1006">
        <f ca="1"/>
        <v>51124</v>
      </c>
      <c r="J59" s="1016">
        <f ca="1"/>
        <v>183</v>
      </c>
      <c r="K59" s="1017">
        <f ca="1"/>
        <v>0.50136986301369901</v>
      </c>
      <c r="L59" s="1006">
        <f ca="1"/>
        <v>51124</v>
      </c>
      <c r="M59" s="1016">
        <f ca="1"/>
        <v>-1000000</v>
      </c>
      <c r="N59" s="1016">
        <f ca="1"/>
        <v>0</v>
      </c>
      <c r="O59" s="1027">
        <f ca="1"/>
        <v>1</v>
      </c>
      <c r="P59" s="1017">
        <f ca="1"/>
        <v>3.0000000000000001E-3</v>
      </c>
      <c r="Q59" s="1018">
        <f ca="1"/>
        <v>-1504</v>
      </c>
      <c r="R59" s="1016">
        <f ca="1"/>
        <v>0.89053655783025498</v>
      </c>
      <c r="S59" s="1004">
        <f ca="1"/>
        <v>-1339</v>
      </c>
      <c r="T59" s="1028" t="str">
        <f ca="1"/>
        <v/>
      </c>
      <c r="U59" s="995"/>
      <c r="V59" s="1015" t="str">
        <f ca="1"/>
        <v/>
      </c>
      <c r="W59" s="1006" t="str">
        <f ca="1"/>
        <v/>
      </c>
      <c r="X59" s="1006" t="str">
        <f ca="1"/>
        <v/>
      </c>
      <c r="Y59" s="1004" t="str">
        <f ca="1"/>
        <v/>
      </c>
      <c r="Z59" s="1017" t="str">
        <f ca="1"/>
        <v/>
      </c>
      <c r="AA59" s="1006" t="str">
        <f ca="1"/>
        <v/>
      </c>
      <c r="AB59" s="1016" t="str">
        <f ca="1"/>
        <v/>
      </c>
      <c r="AC59" s="1016" t="str">
        <f ca="1"/>
        <v/>
      </c>
      <c r="AD59" s="1027" t="str">
        <f ca="1"/>
        <v/>
      </c>
      <c r="AE59" s="1017" t="str">
        <f ca="1"/>
        <v/>
      </c>
      <c r="AF59" s="1027" t="str">
        <f ca="1"/>
        <v/>
      </c>
      <c r="AG59" s="1036" t="str">
        <f ca="1"/>
        <v/>
      </c>
      <c r="AH59" s="1016" t="str">
        <f ca="1"/>
        <v/>
      </c>
      <c r="AI59" s="1019" t="str">
        <f ca="1"/>
        <v/>
      </c>
      <c r="AJ59" s="1028" t="str">
        <f ca="1"/>
        <v/>
      </c>
    </row>
    <row r="60" spans="5:36">
      <c r="E60" s="571" t="s">
        <v>1873</v>
      </c>
      <c r="F60" s="592"/>
      <c r="H60" s="1015">
        <f ca="1"/>
        <v>51124</v>
      </c>
      <c r="I60" s="1006">
        <f ca="1"/>
        <v>51307</v>
      </c>
      <c r="J60" s="1016">
        <f ca="1"/>
        <v>183</v>
      </c>
      <c r="K60" s="1017">
        <f ca="1"/>
        <v>0.50136986301369901</v>
      </c>
      <c r="L60" s="1006">
        <f ca="1"/>
        <v>51307</v>
      </c>
      <c r="M60" s="1016">
        <f ca="1"/>
        <v>-1000000</v>
      </c>
      <c r="N60" s="1016">
        <f ca="1"/>
        <v>0</v>
      </c>
      <c r="O60" s="1027">
        <f ca="1"/>
        <v>1</v>
      </c>
      <c r="P60" s="1017">
        <f ca="1"/>
        <v>3.0000000000000001E-3</v>
      </c>
      <c r="Q60" s="1018">
        <f ca="1"/>
        <v>-1504</v>
      </c>
      <c r="R60" s="1016">
        <f ca="1"/>
        <v>0.88591876744040798</v>
      </c>
      <c r="S60" s="1004">
        <f ca="1"/>
        <v>-1333</v>
      </c>
      <c r="T60" s="1028" t="str">
        <f ca="1"/>
        <v/>
      </c>
      <c r="U60" s="995"/>
      <c r="V60" s="1015" t="str">
        <f ca="1"/>
        <v/>
      </c>
      <c r="W60" s="1006" t="str">
        <f ca="1"/>
        <v/>
      </c>
      <c r="X60" s="1006" t="str">
        <f ca="1"/>
        <v/>
      </c>
      <c r="Y60" s="1004" t="str">
        <f ca="1"/>
        <v/>
      </c>
      <c r="Z60" s="1017" t="str">
        <f ca="1"/>
        <v/>
      </c>
      <c r="AA60" s="1006" t="str">
        <f ca="1"/>
        <v/>
      </c>
      <c r="AB60" s="1016" t="str">
        <f ca="1"/>
        <v/>
      </c>
      <c r="AC60" s="1016" t="str">
        <f ca="1"/>
        <v/>
      </c>
      <c r="AD60" s="1027" t="str">
        <f ca="1"/>
        <v/>
      </c>
      <c r="AE60" s="1017" t="str">
        <f ca="1"/>
        <v/>
      </c>
      <c r="AF60" s="1027" t="str">
        <f ca="1"/>
        <v/>
      </c>
      <c r="AG60" s="1036" t="str">
        <f ca="1"/>
        <v/>
      </c>
      <c r="AH60" s="1016" t="str">
        <f ca="1"/>
        <v/>
      </c>
      <c r="AI60" s="1019" t="str">
        <f ca="1"/>
        <v/>
      </c>
      <c r="AJ60" s="1028" t="str">
        <f ca="1"/>
        <v/>
      </c>
    </row>
    <row r="61" spans="5:36">
      <c r="E61" s="509" t="s">
        <v>1434</v>
      </c>
      <c r="F61" s="594" t="s">
        <v>1919</v>
      </c>
      <c r="H61" s="1015">
        <f ca="1"/>
        <v>51307</v>
      </c>
      <c r="I61" s="1006">
        <f ca="1"/>
        <v>51490</v>
      </c>
      <c r="J61" s="1016">
        <f ca="1"/>
        <v>183</v>
      </c>
      <c r="K61" s="1017">
        <f ca="1"/>
        <v>0.50136986301369901</v>
      </c>
      <c r="L61" s="1006">
        <f ca="1"/>
        <v>51490</v>
      </c>
      <c r="M61" s="1016">
        <f ca="1"/>
        <v>-1000000</v>
      </c>
      <c r="N61" s="1016">
        <f ca="1"/>
        <v>0</v>
      </c>
      <c r="O61" s="1027">
        <f ca="1"/>
        <v>1</v>
      </c>
      <c r="P61" s="1017">
        <f ca="1"/>
        <v>3.0000000000000001E-3</v>
      </c>
      <c r="Q61" s="1018">
        <f ca="1"/>
        <v>-1504</v>
      </c>
      <c r="R61" s="1016">
        <f ca="1"/>
        <v>0.88133782021641105</v>
      </c>
      <c r="S61" s="1004">
        <f ca="1"/>
        <v>-1326</v>
      </c>
      <c r="T61" s="1028" t="str">
        <f ca="1"/>
        <v/>
      </c>
      <c r="U61" s="995"/>
      <c r="V61" s="1015" t="str">
        <f ca="1"/>
        <v/>
      </c>
      <c r="W61" s="1006" t="str">
        <f ca="1"/>
        <v/>
      </c>
      <c r="X61" s="1006" t="str">
        <f ca="1"/>
        <v/>
      </c>
      <c r="Y61" s="1004" t="str">
        <f ca="1"/>
        <v/>
      </c>
      <c r="Z61" s="1017" t="str">
        <f ca="1"/>
        <v/>
      </c>
      <c r="AA61" s="1006" t="str">
        <f ca="1"/>
        <v/>
      </c>
      <c r="AB61" s="1016" t="str">
        <f ca="1"/>
        <v/>
      </c>
      <c r="AC61" s="1016" t="str">
        <f ca="1"/>
        <v/>
      </c>
      <c r="AD61" s="1027" t="str">
        <f ca="1"/>
        <v/>
      </c>
      <c r="AE61" s="1017" t="str">
        <f ca="1"/>
        <v/>
      </c>
      <c r="AF61" s="1027" t="str">
        <f ca="1"/>
        <v/>
      </c>
      <c r="AG61" s="1036" t="str">
        <f ca="1"/>
        <v/>
      </c>
      <c r="AH61" s="1016" t="str">
        <f ca="1"/>
        <v/>
      </c>
      <c r="AI61" s="1019" t="str">
        <f ca="1"/>
        <v/>
      </c>
      <c r="AJ61" s="1028" t="str">
        <f ca="1"/>
        <v/>
      </c>
    </row>
    <row r="62" spans="5:36">
      <c r="E62" s="510" t="s">
        <v>20</v>
      </c>
      <c r="F62" s="595" t="s">
        <v>1920</v>
      </c>
      <c r="H62" s="1015">
        <f ca="1"/>
        <v>51490</v>
      </c>
      <c r="I62" s="1006">
        <f ca="1"/>
        <v>51672</v>
      </c>
      <c r="J62" s="1016">
        <f ca="1"/>
        <v>182</v>
      </c>
      <c r="K62" s="1017">
        <f ca="1"/>
        <v>0.49863013698630099</v>
      </c>
      <c r="L62" s="1006">
        <f ca="1"/>
        <v>51672</v>
      </c>
      <c r="M62" s="1016">
        <f ca="1"/>
        <v>-1000000</v>
      </c>
      <c r="N62" s="1016">
        <f ca="1"/>
        <v>0</v>
      </c>
      <c r="O62" s="1027">
        <f ca="1"/>
        <v>1</v>
      </c>
      <c r="P62" s="1017">
        <f ca="1"/>
        <v>3.0000000000000001E-3</v>
      </c>
      <c r="Q62" s="1018">
        <f ca="1"/>
        <v>-1496</v>
      </c>
      <c r="R62" s="1016">
        <f ca="1"/>
        <v>0.87680820645787905</v>
      </c>
      <c r="S62" s="1004">
        <f ca="1"/>
        <v>-1312</v>
      </c>
      <c r="T62" s="1028" t="str">
        <f ca="1"/>
        <v/>
      </c>
      <c r="U62" s="995"/>
      <c r="V62" s="1015" t="str">
        <f ca="1"/>
        <v/>
      </c>
      <c r="W62" s="1006" t="str">
        <f ca="1"/>
        <v/>
      </c>
      <c r="X62" s="1006" t="str">
        <f ca="1"/>
        <v/>
      </c>
      <c r="Y62" s="1004" t="str">
        <f ca="1"/>
        <v/>
      </c>
      <c r="Z62" s="1017" t="str">
        <f ca="1"/>
        <v/>
      </c>
      <c r="AA62" s="1006" t="str">
        <f ca="1"/>
        <v/>
      </c>
      <c r="AB62" s="1016" t="str">
        <f ca="1"/>
        <v/>
      </c>
      <c r="AC62" s="1016" t="str">
        <f ca="1"/>
        <v/>
      </c>
      <c r="AD62" s="1027" t="str">
        <f ca="1"/>
        <v/>
      </c>
      <c r="AE62" s="1017" t="str">
        <f ca="1"/>
        <v/>
      </c>
      <c r="AF62" s="1027" t="str">
        <f ca="1"/>
        <v/>
      </c>
      <c r="AG62" s="1036" t="str">
        <f ca="1"/>
        <v/>
      </c>
      <c r="AH62" s="1016" t="str">
        <f ca="1"/>
        <v/>
      </c>
      <c r="AI62" s="1019" t="str">
        <f ca="1"/>
        <v/>
      </c>
      <c r="AJ62" s="1028" t="str">
        <f ca="1"/>
        <v/>
      </c>
    </row>
    <row r="63" spans="5:36">
      <c r="E63" s="510" t="s">
        <v>51</v>
      </c>
      <c r="F63" s="595" t="s">
        <v>1033</v>
      </c>
      <c r="H63" s="1015">
        <f ca="1"/>
        <v>51672</v>
      </c>
      <c r="I63" s="1006">
        <f ca="1"/>
        <v>51855</v>
      </c>
      <c r="J63" s="1016">
        <f ca="1"/>
        <v>183</v>
      </c>
      <c r="K63" s="1017">
        <f ca="1"/>
        <v>0.50136986301369901</v>
      </c>
      <c r="L63" s="1006">
        <f ca="1"/>
        <v>51855</v>
      </c>
      <c r="M63" s="1016">
        <f ca="1"/>
        <v>-1000000</v>
      </c>
      <c r="N63" s="1016">
        <f ca="1"/>
        <v>0</v>
      </c>
      <c r="O63" s="1027">
        <f ca="1"/>
        <v>1</v>
      </c>
      <c r="P63" s="1017">
        <f ca="1"/>
        <v>3.0000000000000001E-3</v>
      </c>
      <c r="Q63" s="1018">
        <f ca="1"/>
        <v>-1504</v>
      </c>
      <c r="R63" s="1016">
        <f ca="1"/>
        <v>0.87229301300204898</v>
      </c>
      <c r="S63" s="1004">
        <f ca="1"/>
        <v>-1312</v>
      </c>
      <c r="T63" s="1028" t="str">
        <f ca="1"/>
        <v/>
      </c>
      <c r="U63" s="995"/>
      <c r="V63" s="1015" t="str">
        <f ca="1"/>
        <v/>
      </c>
      <c r="W63" s="1006" t="str">
        <f ca="1"/>
        <v/>
      </c>
      <c r="X63" s="1006" t="str">
        <f ca="1"/>
        <v/>
      </c>
      <c r="Y63" s="1004" t="str">
        <f ca="1"/>
        <v/>
      </c>
      <c r="Z63" s="1017" t="str">
        <f ca="1"/>
        <v/>
      </c>
      <c r="AA63" s="1006" t="str">
        <f ca="1"/>
        <v/>
      </c>
      <c r="AB63" s="1016" t="str">
        <f ca="1"/>
        <v/>
      </c>
      <c r="AC63" s="1016" t="str">
        <f ca="1"/>
        <v/>
      </c>
      <c r="AD63" s="1027" t="str">
        <f ca="1"/>
        <v/>
      </c>
      <c r="AE63" s="1017" t="str">
        <f ca="1"/>
        <v/>
      </c>
      <c r="AF63" s="1027" t="str">
        <f ca="1"/>
        <v/>
      </c>
      <c r="AG63" s="1036" t="str">
        <f ca="1"/>
        <v/>
      </c>
      <c r="AH63" s="1016" t="str">
        <f ca="1"/>
        <v/>
      </c>
      <c r="AI63" s="1019" t="str">
        <f ca="1"/>
        <v/>
      </c>
      <c r="AJ63" s="1028" t="str">
        <f ca="1"/>
        <v/>
      </c>
    </row>
    <row r="64" spans="5:36">
      <c r="E64" s="510" t="s">
        <v>22</v>
      </c>
      <c r="F64" s="595" t="s">
        <v>1042</v>
      </c>
      <c r="H64" s="1015">
        <f ca="1"/>
        <v>51855</v>
      </c>
      <c r="I64" s="1006">
        <f ca="1"/>
        <v>52037</v>
      </c>
      <c r="J64" s="1016">
        <f ca="1"/>
        <v>182</v>
      </c>
      <c r="K64" s="1017">
        <f ca="1"/>
        <v>0.49863013698630099</v>
      </c>
      <c r="L64" s="1006">
        <f ca="1"/>
        <v>52037</v>
      </c>
      <c r="M64" s="1016">
        <f ca="1"/>
        <v>-1000000</v>
      </c>
      <c r="N64" s="1016">
        <f ca="1"/>
        <v>0</v>
      </c>
      <c r="O64" s="1027">
        <f ca="1"/>
        <v>1</v>
      </c>
      <c r="P64" s="1017">
        <f ca="1"/>
        <v>3.0000000000000001E-3</v>
      </c>
      <c r="Q64" s="1018">
        <f ca="1"/>
        <v>-1496</v>
      </c>
      <c r="R64" s="1016">
        <f ca="1"/>
        <v>0.86784351468347098</v>
      </c>
      <c r="S64" s="1004">
        <f ca="1"/>
        <v>-1298</v>
      </c>
      <c r="T64" s="1028" t="str">
        <f ca="1"/>
        <v/>
      </c>
      <c r="U64" s="995"/>
      <c r="V64" s="1015" t="str">
        <f ca="1"/>
        <v/>
      </c>
      <c r="W64" s="1006" t="str">
        <f ca="1"/>
        <v/>
      </c>
      <c r="X64" s="1006" t="str">
        <f ca="1"/>
        <v/>
      </c>
      <c r="Y64" s="1004" t="str">
        <f ca="1"/>
        <v/>
      </c>
      <c r="Z64" s="1017" t="str">
        <f ca="1"/>
        <v/>
      </c>
      <c r="AA64" s="1006" t="str">
        <f ca="1"/>
        <v/>
      </c>
      <c r="AB64" s="1016" t="str">
        <f ca="1"/>
        <v/>
      </c>
      <c r="AC64" s="1016" t="str">
        <f ca="1"/>
        <v/>
      </c>
      <c r="AD64" s="1027" t="str">
        <f ca="1"/>
        <v/>
      </c>
      <c r="AE64" s="1017" t="str">
        <f ca="1"/>
        <v/>
      </c>
      <c r="AF64" s="1027" t="str">
        <f ca="1"/>
        <v/>
      </c>
      <c r="AG64" s="1036" t="str">
        <f ca="1"/>
        <v/>
      </c>
      <c r="AH64" s="1016" t="str">
        <f ca="1"/>
        <v/>
      </c>
      <c r="AI64" s="1019" t="str">
        <f ca="1"/>
        <v/>
      </c>
      <c r="AJ64" s="1028" t="str">
        <f ca="1"/>
        <v/>
      </c>
    </row>
    <row r="65" spans="5:36">
      <c r="E65" s="511"/>
      <c r="F65" s="596"/>
      <c r="H65" s="1015">
        <f ca="1"/>
        <v>52037</v>
      </c>
      <c r="I65" s="1006">
        <f ca="1"/>
        <v>52222</v>
      </c>
      <c r="J65" s="1016">
        <f ca="1"/>
        <v>185</v>
      </c>
      <c r="K65" s="1017">
        <f ca="1"/>
        <v>0.50684931506849296</v>
      </c>
      <c r="L65" s="1006">
        <f ca="1"/>
        <v>52222</v>
      </c>
      <c r="M65" s="1016">
        <f ca="1"/>
        <v>-1000000</v>
      </c>
      <c r="N65" s="1016">
        <f ca="1"/>
        <v>0</v>
      </c>
      <c r="O65" s="1027">
        <f ca="1"/>
        <v>1</v>
      </c>
      <c r="P65" s="1017">
        <f ca="1"/>
        <v>3.0000000000000001E-3</v>
      </c>
      <c r="Q65" s="1018">
        <f ca="1"/>
        <v>-1521</v>
      </c>
      <c r="R65" s="1016">
        <f ca="1"/>
        <v>0.86336346125037899</v>
      </c>
      <c r="S65" s="1004">
        <f ca="1"/>
        <v>-1313</v>
      </c>
      <c r="T65" s="1028" t="str">
        <f ca="1"/>
        <v/>
      </c>
      <c r="U65" s="995"/>
      <c r="V65" s="1015" t="str">
        <f ca="1"/>
        <v/>
      </c>
      <c r="W65" s="1006" t="str">
        <f ca="1"/>
        <v/>
      </c>
      <c r="X65" s="1006" t="str">
        <f ca="1"/>
        <v/>
      </c>
      <c r="Y65" s="1004" t="str">
        <f ca="1"/>
        <v/>
      </c>
      <c r="Z65" s="1017" t="str">
        <f ca="1"/>
        <v/>
      </c>
      <c r="AA65" s="1006" t="str">
        <f ca="1"/>
        <v/>
      </c>
      <c r="AB65" s="1016" t="str">
        <f ca="1"/>
        <v/>
      </c>
      <c r="AC65" s="1016" t="str">
        <f ca="1"/>
        <v/>
      </c>
      <c r="AD65" s="1027" t="str">
        <f ca="1"/>
        <v/>
      </c>
      <c r="AE65" s="1017" t="str">
        <f ca="1"/>
        <v/>
      </c>
      <c r="AF65" s="1027" t="str">
        <f ca="1"/>
        <v/>
      </c>
      <c r="AG65" s="1036" t="str">
        <f ca="1"/>
        <v/>
      </c>
      <c r="AH65" s="1016" t="str">
        <f ca="1"/>
        <v/>
      </c>
      <c r="AI65" s="1019" t="str">
        <f ca="1"/>
        <v/>
      </c>
      <c r="AJ65" s="1028" t="str">
        <f ca="1"/>
        <v/>
      </c>
    </row>
    <row r="66" spans="5:36">
      <c r="E66" s="571"/>
      <c r="F66" s="424"/>
      <c r="H66" s="1015">
        <f ca="1"/>
        <v>52222</v>
      </c>
      <c r="I66" s="1006">
        <f ca="1"/>
        <v>52404</v>
      </c>
      <c r="J66" s="1016">
        <f ca="1"/>
        <v>182</v>
      </c>
      <c r="K66" s="1017">
        <f ca="1"/>
        <v>0.49863013698630099</v>
      </c>
      <c r="L66" s="1006">
        <f ca="1"/>
        <v>52404</v>
      </c>
      <c r="M66" s="1016">
        <f ca="1"/>
        <v>-1000000</v>
      </c>
      <c r="N66" s="1016">
        <f ca="1"/>
        <v>0</v>
      </c>
      <c r="O66" s="1027">
        <f ca="1"/>
        <v>1</v>
      </c>
      <c r="P66" s="1017">
        <f ca="1"/>
        <v>3.0000000000000001E-3</v>
      </c>
      <c r="Q66" s="1018">
        <f ca="1"/>
        <v>-1496</v>
      </c>
      <c r="R66" s="1016">
        <f ca="1"/>
        <v>0.858998442514188</v>
      </c>
      <c r="S66" s="1004">
        <f ca="1"/>
        <v>-1285</v>
      </c>
      <c r="T66" s="1028" t="str">
        <f ca="1"/>
        <v/>
      </c>
      <c r="U66" s="995"/>
      <c r="V66" s="1015" t="str">
        <f ca="1"/>
        <v/>
      </c>
      <c r="W66" s="1006" t="str">
        <f ca="1"/>
        <v/>
      </c>
      <c r="X66" s="1006" t="str">
        <f ca="1"/>
        <v/>
      </c>
      <c r="Y66" s="1004" t="str">
        <f ca="1"/>
        <v/>
      </c>
      <c r="Z66" s="1017" t="str">
        <f ca="1"/>
        <v/>
      </c>
      <c r="AA66" s="1006" t="str">
        <f ca="1"/>
        <v/>
      </c>
      <c r="AB66" s="1016" t="str">
        <f ca="1"/>
        <v/>
      </c>
      <c r="AC66" s="1016" t="str">
        <f ca="1"/>
        <v/>
      </c>
      <c r="AD66" s="1027" t="str">
        <f ca="1"/>
        <v/>
      </c>
      <c r="AE66" s="1017" t="str">
        <f ca="1"/>
        <v/>
      </c>
      <c r="AF66" s="1027" t="str">
        <f ca="1"/>
        <v/>
      </c>
      <c r="AG66" s="1036" t="str">
        <f ca="1"/>
        <v/>
      </c>
      <c r="AH66" s="1016" t="str">
        <f ca="1"/>
        <v/>
      </c>
      <c r="AI66" s="1019" t="str">
        <f ca="1"/>
        <v/>
      </c>
      <c r="AJ66" s="1028" t="str">
        <f ca="1"/>
        <v/>
      </c>
    </row>
    <row r="67" spans="5:36">
      <c r="H67" s="1015">
        <f ca="1"/>
        <v>52404</v>
      </c>
      <c r="I67" s="1006">
        <f ca="1"/>
        <v>52586</v>
      </c>
      <c r="J67" s="1016">
        <f ca="1"/>
        <v>182</v>
      </c>
      <c r="K67" s="1017">
        <f ca="1"/>
        <v>0.49863013698630099</v>
      </c>
      <c r="L67" s="1006">
        <f ca="1"/>
        <v>52586</v>
      </c>
      <c r="M67" s="1016">
        <f ca="1"/>
        <v>-1000000</v>
      </c>
      <c r="N67" s="1016">
        <f ca="1"/>
        <v>0</v>
      </c>
      <c r="O67" s="1027">
        <f ca="1"/>
        <v>1</v>
      </c>
      <c r="P67" s="1017">
        <f ca="1"/>
        <v>3.0000000000000001E-3</v>
      </c>
      <c r="Q67" s="1018">
        <f ca="1"/>
        <v>-1496</v>
      </c>
      <c r="R67" s="1016">
        <f ca="1"/>
        <v>0.85467418610343704</v>
      </c>
      <c r="S67" s="1004">
        <f ca="1"/>
        <v>-1278</v>
      </c>
      <c r="T67" s="1028" t="str">
        <f ca="1"/>
        <v/>
      </c>
      <c r="U67" s="995"/>
      <c r="V67" s="1015" t="str">
        <f ca="1"/>
        <v/>
      </c>
      <c r="W67" s="1006" t="str">
        <f ca="1"/>
        <v/>
      </c>
      <c r="X67" s="1006" t="str">
        <f ca="1"/>
        <v/>
      </c>
      <c r="Y67" s="1004" t="str">
        <f ca="1"/>
        <v/>
      </c>
      <c r="Z67" s="1017" t="str">
        <f ca="1"/>
        <v/>
      </c>
      <c r="AA67" s="1006" t="str">
        <f ca="1"/>
        <v/>
      </c>
      <c r="AB67" s="1016" t="str">
        <f ca="1"/>
        <v/>
      </c>
      <c r="AC67" s="1016" t="str">
        <f ca="1"/>
        <v/>
      </c>
      <c r="AD67" s="1027" t="str">
        <f ca="1"/>
        <v/>
      </c>
      <c r="AE67" s="1017" t="str">
        <f ca="1"/>
        <v/>
      </c>
      <c r="AF67" s="1027" t="str">
        <f ca="1"/>
        <v/>
      </c>
      <c r="AG67" s="1036" t="str">
        <f ca="1"/>
        <v/>
      </c>
      <c r="AH67" s="1016" t="str">
        <f ca="1"/>
        <v/>
      </c>
      <c r="AI67" s="1019" t="str">
        <f ca="1"/>
        <v/>
      </c>
      <c r="AJ67" s="1028" t="str">
        <f ca="1"/>
        <v/>
      </c>
    </row>
    <row r="68" spans="5:36">
      <c r="F68" s="424"/>
      <c r="H68" s="1015">
        <f ca="1"/>
        <v>52586</v>
      </c>
      <c r="I68" s="1006">
        <f ca="1"/>
        <v>52768</v>
      </c>
      <c r="J68" s="1016">
        <f ca="1"/>
        <v>182</v>
      </c>
      <c r="K68" s="1017">
        <f ca="1"/>
        <v>0.49863013698630099</v>
      </c>
      <c r="L68" s="1006">
        <f ca="1"/>
        <v>52768</v>
      </c>
      <c r="M68" s="1016">
        <f ca="1"/>
        <v>-1000000</v>
      </c>
      <c r="N68" s="1016">
        <f ca="1"/>
        <v>0</v>
      </c>
      <c r="O68" s="1027">
        <f ca="1"/>
        <v>1</v>
      </c>
      <c r="P68" s="1017">
        <f ca="1"/>
        <v>3.0000000000000001E-3</v>
      </c>
      <c r="Q68" s="1018">
        <f ca="1"/>
        <v>-1496</v>
      </c>
      <c r="R68" s="1016">
        <f ca="1"/>
        <v>0.85039750293359695</v>
      </c>
      <c r="S68" s="1004">
        <f ca="1"/>
        <v>-1272</v>
      </c>
      <c r="T68" s="1028" t="str">
        <f ca="1"/>
        <v/>
      </c>
      <c r="U68" s="995"/>
      <c r="V68" s="1015" t="str">
        <f ca="1"/>
        <v/>
      </c>
      <c r="W68" s="1006" t="str">
        <f ca="1"/>
        <v/>
      </c>
      <c r="X68" s="1006" t="str">
        <f ca="1"/>
        <v/>
      </c>
      <c r="Y68" s="1004" t="str">
        <f ca="1"/>
        <v/>
      </c>
      <c r="Z68" s="1017" t="str">
        <f ca="1"/>
        <v/>
      </c>
      <c r="AA68" s="1006" t="str">
        <f ca="1"/>
        <v/>
      </c>
      <c r="AB68" s="1016" t="str">
        <f ca="1"/>
        <v/>
      </c>
      <c r="AC68" s="1016" t="str">
        <f ca="1"/>
        <v/>
      </c>
      <c r="AD68" s="1027" t="str">
        <f ca="1"/>
        <v/>
      </c>
      <c r="AE68" s="1017" t="str">
        <f ca="1"/>
        <v/>
      </c>
      <c r="AF68" s="1027" t="str">
        <f ca="1"/>
        <v/>
      </c>
      <c r="AG68" s="1036" t="str">
        <f ca="1"/>
        <v/>
      </c>
      <c r="AH68" s="1016" t="str">
        <f ca="1"/>
        <v/>
      </c>
      <c r="AI68" s="1019" t="str">
        <f ca="1"/>
        <v/>
      </c>
      <c r="AJ68" s="1028" t="str">
        <f ca="1"/>
        <v/>
      </c>
    </row>
    <row r="69" spans="5:36">
      <c r="F69" s="424"/>
      <c r="H69" s="1015">
        <f ca="1"/>
        <v>52768</v>
      </c>
      <c r="I69" s="1006">
        <f ca="1"/>
        <v>52951</v>
      </c>
      <c r="J69" s="1016">
        <f ca="1"/>
        <v>183</v>
      </c>
      <c r="K69" s="1017">
        <f ca="1"/>
        <v>0.50136986301369901</v>
      </c>
      <c r="L69" s="1006">
        <f ca="1"/>
        <v>52951</v>
      </c>
      <c r="M69" s="1016">
        <f ca="1"/>
        <v>-1000000</v>
      </c>
      <c r="N69" s="1016">
        <f ca="1"/>
        <v>0</v>
      </c>
      <c r="O69" s="1027">
        <f ca="1"/>
        <v>1</v>
      </c>
      <c r="P69" s="1017">
        <f ca="1"/>
        <v>3.0000000000000001E-3</v>
      </c>
      <c r="Q69" s="1018">
        <f ca="1"/>
        <v>-1504</v>
      </c>
      <c r="R69" s="1016">
        <f ca="1"/>
        <v>0.84612953818255199</v>
      </c>
      <c r="S69" s="1004">
        <f ca="1"/>
        <v>-1273</v>
      </c>
      <c r="T69" s="1028" t="str">
        <f ca="1"/>
        <v/>
      </c>
      <c r="U69" s="995"/>
      <c r="V69" s="1015" t="str">
        <f ca="1"/>
        <v/>
      </c>
      <c r="W69" s="1006" t="str">
        <f ca="1"/>
        <v/>
      </c>
      <c r="X69" s="1006" t="str">
        <f ca="1"/>
        <v/>
      </c>
      <c r="Y69" s="1004" t="str">
        <f ca="1"/>
        <v/>
      </c>
      <c r="Z69" s="1017" t="str">
        <f ca="1"/>
        <v/>
      </c>
      <c r="AA69" s="1006" t="str">
        <f ca="1"/>
        <v/>
      </c>
      <c r="AB69" s="1016" t="str">
        <f ca="1"/>
        <v/>
      </c>
      <c r="AC69" s="1016" t="str">
        <f ca="1"/>
        <v/>
      </c>
      <c r="AD69" s="1027" t="str">
        <f ca="1"/>
        <v/>
      </c>
      <c r="AE69" s="1017" t="str">
        <f ca="1"/>
        <v/>
      </c>
      <c r="AF69" s="1027" t="str">
        <f ca="1"/>
        <v/>
      </c>
      <c r="AG69" s="1036" t="str">
        <f ca="1"/>
        <v/>
      </c>
      <c r="AH69" s="1016" t="str">
        <f ca="1"/>
        <v/>
      </c>
      <c r="AI69" s="1019" t="str">
        <f ca="1"/>
        <v/>
      </c>
      <c r="AJ69" s="1028" t="str">
        <f ca="1"/>
        <v/>
      </c>
    </row>
    <row r="70" spans="5:36">
      <c r="F70" s="424"/>
      <c r="H70" s="1015">
        <f ca="1"/>
        <v>52951</v>
      </c>
      <c r="I70" s="1006">
        <f ca="1"/>
        <v>53133</v>
      </c>
      <c r="J70" s="1016">
        <f ca="1"/>
        <v>182</v>
      </c>
      <c r="K70" s="1017">
        <f ca="1"/>
        <v>0.49863013698630099</v>
      </c>
      <c r="L70" s="1006">
        <f ca="1"/>
        <v>53133</v>
      </c>
      <c r="M70" s="1016">
        <f ca="1"/>
        <v>-1000000</v>
      </c>
      <c r="N70" s="1016">
        <f ca="1"/>
        <v>0</v>
      </c>
      <c r="O70" s="1027">
        <f ca="1"/>
        <v>1</v>
      </c>
      <c r="P70" s="1017">
        <f ca="1"/>
        <v>3.0000000000000001E-3</v>
      </c>
      <c r="Q70" s="1018">
        <f ca="1"/>
        <v>-1496</v>
      </c>
      <c r="R70" s="1016">
        <f ca="1"/>
        <v>0.84189936866334303</v>
      </c>
      <c r="S70" s="1004">
        <f ca="1"/>
        <v>-1259</v>
      </c>
      <c r="T70" s="1028" t="str">
        <f ca="1"/>
        <v/>
      </c>
      <c r="U70" s="995"/>
      <c r="V70" s="1015" t="str">
        <f ca="1"/>
        <v/>
      </c>
      <c r="W70" s="1006" t="str">
        <f ca="1"/>
        <v/>
      </c>
      <c r="X70" s="1006" t="str">
        <f ca="1"/>
        <v/>
      </c>
      <c r="Y70" s="1004" t="str">
        <f ca="1"/>
        <v/>
      </c>
      <c r="Z70" s="1017" t="str">
        <f ca="1"/>
        <v/>
      </c>
      <c r="AA70" s="1006" t="str">
        <f ca="1"/>
        <v/>
      </c>
      <c r="AB70" s="1016" t="str">
        <f ca="1"/>
        <v/>
      </c>
      <c r="AC70" s="1016" t="str">
        <f ca="1"/>
        <v/>
      </c>
      <c r="AD70" s="1027" t="str">
        <f ca="1"/>
        <v/>
      </c>
      <c r="AE70" s="1017" t="str">
        <f ca="1"/>
        <v/>
      </c>
      <c r="AF70" s="1027" t="str">
        <f ca="1"/>
        <v/>
      </c>
      <c r="AG70" s="1036" t="str">
        <f ca="1"/>
        <v/>
      </c>
      <c r="AH70" s="1016" t="str">
        <f ca="1"/>
        <v/>
      </c>
      <c r="AI70" s="1019" t="str">
        <f ca="1"/>
        <v/>
      </c>
      <c r="AJ70" s="1028" t="str">
        <f ca="1"/>
        <v/>
      </c>
    </row>
    <row r="71" spans="5:36">
      <c r="F71" s="424"/>
      <c r="H71" s="1015">
        <f ca="1"/>
        <v>53133</v>
      </c>
      <c r="I71" s="1006">
        <f ca="1"/>
        <v>53316</v>
      </c>
      <c r="J71" s="1016">
        <f ca="1"/>
        <v>183</v>
      </c>
      <c r="K71" s="1017">
        <f ca="1"/>
        <v>0.50136986301369901</v>
      </c>
      <c r="L71" s="1006">
        <f ca="1"/>
        <v>53316</v>
      </c>
      <c r="M71" s="1016">
        <f ca="1"/>
        <v>-1000000</v>
      </c>
      <c r="N71" s="1016">
        <f ca="1"/>
        <v>0</v>
      </c>
      <c r="O71" s="1027">
        <f ca="1"/>
        <v>1</v>
      </c>
      <c r="P71" s="1017">
        <f ca="1"/>
        <v>3.0000000000000001E-3</v>
      </c>
      <c r="Q71" s="1018">
        <f ca="1"/>
        <v>-1504</v>
      </c>
      <c r="R71" s="1016">
        <f ca="1"/>
        <v>0.83766466818456498</v>
      </c>
      <c r="S71" s="1004">
        <f ca="1"/>
        <v>-1260</v>
      </c>
      <c r="T71" s="1028" t="str">
        <f ca="1"/>
        <v/>
      </c>
      <c r="U71" s="995"/>
      <c r="V71" s="1015" t="str">
        <f ca="1"/>
        <v/>
      </c>
      <c r="W71" s="1006" t="str">
        <f ca="1"/>
        <v/>
      </c>
      <c r="X71" s="1006" t="str">
        <f ca="1"/>
        <v/>
      </c>
      <c r="Y71" s="1004" t="str">
        <f ca="1"/>
        <v/>
      </c>
      <c r="Z71" s="1017" t="str">
        <f ca="1"/>
        <v/>
      </c>
      <c r="AA71" s="1006" t="str">
        <f ca="1"/>
        <v/>
      </c>
      <c r="AB71" s="1016" t="str">
        <f ca="1"/>
        <v/>
      </c>
      <c r="AC71" s="1016" t="str">
        <f ca="1"/>
        <v/>
      </c>
      <c r="AD71" s="1027" t="str">
        <f ca="1"/>
        <v/>
      </c>
      <c r="AE71" s="1017" t="str">
        <f ca="1"/>
        <v/>
      </c>
      <c r="AF71" s="1027" t="str">
        <f ca="1"/>
        <v/>
      </c>
      <c r="AG71" s="1036" t="str">
        <f ca="1"/>
        <v/>
      </c>
      <c r="AH71" s="1016" t="str">
        <f ca="1"/>
        <v/>
      </c>
      <c r="AI71" s="1019" t="str">
        <f ca="1"/>
        <v/>
      </c>
      <c r="AJ71" s="1028" t="str">
        <f ca="1"/>
        <v/>
      </c>
    </row>
    <row r="72" spans="5:36">
      <c r="F72" s="424"/>
      <c r="H72" s="1015">
        <f ca="1"/>
        <v>53316</v>
      </c>
      <c r="I72" s="1006">
        <f ca="1"/>
        <v>53498</v>
      </c>
      <c r="J72" s="1016">
        <f ca="1"/>
        <v>182</v>
      </c>
      <c r="K72" s="1017">
        <f ca="1"/>
        <v>0.49863013698630099</v>
      </c>
      <c r="L72" s="1006">
        <f ca="1"/>
        <v>53498</v>
      </c>
      <c r="M72" s="1016">
        <f ca="1"/>
        <v>-1000000</v>
      </c>
      <c r="N72" s="1016">
        <f ca="1"/>
        <v>0</v>
      </c>
      <c r="O72" s="1027">
        <f ca="1"/>
        <v>1</v>
      </c>
      <c r="P72" s="1017">
        <f ca="1"/>
        <v>3.0000000000000001E-3</v>
      </c>
      <c r="Q72" s="1018">
        <f ca="1"/>
        <v>-1496</v>
      </c>
      <c r="R72" s="1016">
        <f ca="1"/>
        <v>0.83346655820318505</v>
      </c>
      <c r="S72" s="1004">
        <f ca="1"/>
        <v>-1247</v>
      </c>
      <c r="T72" s="1028" t="str">
        <f ca="1"/>
        <v/>
      </c>
      <c r="U72" s="995"/>
      <c r="V72" s="1015" t="str">
        <f ca="1"/>
        <v/>
      </c>
      <c r="W72" s="1006" t="str">
        <f ca="1"/>
        <v/>
      </c>
      <c r="X72" s="1006" t="str">
        <f ca="1"/>
        <v/>
      </c>
      <c r="Y72" s="1004" t="str">
        <f ca="1"/>
        <v/>
      </c>
      <c r="Z72" s="1017" t="str">
        <f ca="1"/>
        <v/>
      </c>
      <c r="AA72" s="1006" t="str">
        <f ca="1"/>
        <v/>
      </c>
      <c r="AB72" s="1016" t="str">
        <f ca="1"/>
        <v/>
      </c>
      <c r="AC72" s="1016" t="str">
        <f ca="1"/>
        <v/>
      </c>
      <c r="AD72" s="1027" t="str">
        <f ca="1"/>
        <v/>
      </c>
      <c r="AE72" s="1017" t="str">
        <f ca="1"/>
        <v/>
      </c>
      <c r="AF72" s="1027" t="str">
        <f ca="1"/>
        <v/>
      </c>
      <c r="AG72" s="1036" t="str">
        <f ca="1"/>
        <v/>
      </c>
      <c r="AH72" s="1016" t="str">
        <f ca="1"/>
        <v/>
      </c>
      <c r="AI72" s="1019" t="str">
        <f ca="1"/>
        <v/>
      </c>
      <c r="AJ72" s="1028" t="str">
        <f ca="1"/>
        <v/>
      </c>
    </row>
    <row r="73" spans="5:36">
      <c r="F73" s="424"/>
      <c r="H73" s="1015" t="str">
        <f ca="1"/>
        <v/>
      </c>
      <c r="I73" s="1006" t="str">
        <f ca="1"/>
        <v/>
      </c>
      <c r="J73" s="1016" t="str">
        <f ca="1"/>
        <v/>
      </c>
      <c r="K73" s="1017" t="str">
        <f ca="1"/>
        <v/>
      </c>
      <c r="L73" s="1006" t="str">
        <f ca="1"/>
        <v/>
      </c>
      <c r="M73" s="1016" t="str">
        <f ca="1"/>
        <v/>
      </c>
      <c r="N73" s="1016" t="str">
        <f ca="1"/>
        <v/>
      </c>
      <c r="O73" s="1027" t="str">
        <f ca="1"/>
        <v/>
      </c>
      <c r="P73" s="1017" t="str">
        <f ca="1"/>
        <v/>
      </c>
      <c r="Q73" s="1018" t="str">
        <f ca="1"/>
        <v/>
      </c>
      <c r="R73" s="1016" t="str">
        <f ca="1"/>
        <v/>
      </c>
      <c r="S73" s="1004" t="str">
        <f ca="1"/>
        <v/>
      </c>
      <c r="T73" s="1028" t="str">
        <f ca="1"/>
        <v/>
      </c>
      <c r="U73" s="995"/>
      <c r="V73" s="1015" t="str">
        <f ca="1"/>
        <v/>
      </c>
      <c r="W73" s="1006" t="str">
        <f ca="1"/>
        <v/>
      </c>
      <c r="X73" s="1006" t="str">
        <f ca="1"/>
        <v/>
      </c>
      <c r="Y73" s="1004" t="str">
        <f ca="1"/>
        <v/>
      </c>
      <c r="Z73" s="1017" t="str">
        <f ca="1"/>
        <v/>
      </c>
      <c r="AA73" s="1006" t="str">
        <f ca="1"/>
        <v/>
      </c>
      <c r="AB73" s="1016" t="str">
        <f ca="1"/>
        <v/>
      </c>
      <c r="AC73" s="1016" t="str">
        <f ca="1"/>
        <v/>
      </c>
      <c r="AD73" s="1027" t="str">
        <f ca="1"/>
        <v/>
      </c>
      <c r="AE73" s="1017" t="str">
        <f ca="1"/>
        <v/>
      </c>
      <c r="AF73" s="1027" t="str">
        <f ca="1"/>
        <v/>
      </c>
      <c r="AG73" s="1036" t="str">
        <f ca="1"/>
        <v/>
      </c>
      <c r="AH73" s="1016" t="str">
        <f ca="1"/>
        <v/>
      </c>
      <c r="AI73" s="1019" t="str">
        <f ca="1"/>
        <v/>
      </c>
      <c r="AJ73" s="1028" t="str">
        <f ca="1"/>
        <v/>
      </c>
    </row>
    <row r="74" spans="5:36">
      <c r="H74" s="1015" t="str">
        <f ca="1"/>
        <v/>
      </c>
      <c r="I74" s="1006" t="str">
        <f ca="1"/>
        <v/>
      </c>
      <c r="J74" s="1016" t="str">
        <f ca="1"/>
        <v/>
      </c>
      <c r="K74" s="1017" t="str">
        <f ca="1"/>
        <v/>
      </c>
      <c r="L74" s="1006" t="str">
        <f ca="1"/>
        <v/>
      </c>
      <c r="M74" s="1016" t="str">
        <f ca="1"/>
        <v/>
      </c>
      <c r="N74" s="1016" t="str">
        <f ca="1"/>
        <v/>
      </c>
      <c r="O74" s="1027" t="str">
        <f ca="1"/>
        <v/>
      </c>
      <c r="P74" s="1017" t="str">
        <f ca="1"/>
        <v/>
      </c>
      <c r="Q74" s="1018" t="str">
        <f ca="1"/>
        <v/>
      </c>
      <c r="R74" s="1016" t="str">
        <f ca="1"/>
        <v/>
      </c>
      <c r="S74" s="1004" t="str">
        <f ca="1"/>
        <v/>
      </c>
      <c r="T74" s="1028" t="str">
        <f ca="1"/>
        <v/>
      </c>
      <c r="U74" s="995"/>
      <c r="V74" s="1015" t="str">
        <f ca="1"/>
        <v/>
      </c>
      <c r="W74" s="1006" t="str">
        <f ca="1"/>
        <v/>
      </c>
      <c r="X74" s="1006" t="str">
        <f ca="1"/>
        <v/>
      </c>
      <c r="Y74" s="1004" t="str">
        <f ca="1"/>
        <v/>
      </c>
      <c r="Z74" s="1017" t="str">
        <f ca="1"/>
        <v/>
      </c>
      <c r="AA74" s="1006" t="str">
        <f ca="1"/>
        <v/>
      </c>
      <c r="AB74" s="1016" t="str">
        <f ca="1"/>
        <v/>
      </c>
      <c r="AC74" s="1016" t="str">
        <f ca="1"/>
        <v/>
      </c>
      <c r="AD74" s="1027" t="str">
        <f ca="1"/>
        <v/>
      </c>
      <c r="AE74" s="1017" t="str">
        <f ca="1"/>
        <v/>
      </c>
      <c r="AF74" s="1027" t="str">
        <f ca="1"/>
        <v/>
      </c>
      <c r="AG74" s="1036" t="str">
        <f ca="1"/>
        <v/>
      </c>
      <c r="AH74" s="1016" t="str">
        <f ca="1"/>
        <v/>
      </c>
      <c r="AI74" s="1019" t="str">
        <f ca="1"/>
        <v/>
      </c>
      <c r="AJ74" s="1028" t="str">
        <f ca="1"/>
        <v/>
      </c>
    </row>
    <row r="75" spans="5:36">
      <c r="H75" s="1015" t="str">
        <f ca="1"/>
        <v/>
      </c>
      <c r="I75" s="1006" t="str">
        <f ca="1"/>
        <v/>
      </c>
      <c r="J75" s="1016" t="str">
        <f ca="1"/>
        <v/>
      </c>
      <c r="K75" s="1017" t="str">
        <f ca="1"/>
        <v/>
      </c>
      <c r="L75" s="1006" t="str">
        <f ca="1"/>
        <v/>
      </c>
      <c r="M75" s="1016" t="str">
        <f ca="1"/>
        <v/>
      </c>
      <c r="N75" s="1016" t="str">
        <f ca="1"/>
        <v/>
      </c>
      <c r="O75" s="1027" t="str">
        <f ca="1"/>
        <v/>
      </c>
      <c r="P75" s="1017" t="str">
        <f ca="1"/>
        <v/>
      </c>
      <c r="Q75" s="1018" t="str">
        <f ca="1"/>
        <v/>
      </c>
      <c r="R75" s="1016" t="str">
        <f ca="1"/>
        <v/>
      </c>
      <c r="S75" s="1004" t="str">
        <f ca="1"/>
        <v/>
      </c>
      <c r="T75" s="1028" t="str">
        <f ca="1"/>
        <v/>
      </c>
      <c r="U75" s="995"/>
      <c r="V75" s="1015" t="str">
        <f ca="1"/>
        <v/>
      </c>
      <c r="W75" s="1006" t="str">
        <f ca="1"/>
        <v/>
      </c>
      <c r="X75" s="1006" t="str">
        <f ca="1"/>
        <v/>
      </c>
      <c r="Y75" s="1004" t="str">
        <f ca="1"/>
        <v/>
      </c>
      <c r="Z75" s="1017" t="str">
        <f ca="1"/>
        <v/>
      </c>
      <c r="AA75" s="1006" t="str">
        <f ca="1"/>
        <v/>
      </c>
      <c r="AB75" s="1016" t="str">
        <f ca="1"/>
        <v/>
      </c>
      <c r="AC75" s="1016" t="str">
        <f ca="1"/>
        <v/>
      </c>
      <c r="AD75" s="1027" t="str">
        <f ca="1"/>
        <v/>
      </c>
      <c r="AE75" s="1017" t="str">
        <f ca="1"/>
        <v/>
      </c>
      <c r="AF75" s="1027" t="str">
        <f ca="1"/>
        <v/>
      </c>
      <c r="AG75" s="1036" t="str">
        <f ca="1"/>
        <v/>
      </c>
      <c r="AH75" s="1016" t="str">
        <f ca="1"/>
        <v/>
      </c>
      <c r="AI75" s="1019" t="str">
        <f ca="1"/>
        <v/>
      </c>
      <c r="AJ75" s="1028" t="str">
        <f ca="1"/>
        <v/>
      </c>
    </row>
    <row r="76" spans="5:36">
      <c r="H76" s="1015" t="str">
        <f ca="1"/>
        <v/>
      </c>
      <c r="I76" s="1006" t="str">
        <f ca="1"/>
        <v/>
      </c>
      <c r="J76" s="1016" t="str">
        <f ca="1"/>
        <v/>
      </c>
      <c r="K76" s="1017" t="str">
        <f ca="1"/>
        <v/>
      </c>
      <c r="L76" s="1006" t="str">
        <f ca="1"/>
        <v/>
      </c>
      <c r="M76" s="1016" t="str">
        <f ca="1"/>
        <v/>
      </c>
      <c r="N76" s="1016" t="str">
        <f ca="1"/>
        <v/>
      </c>
      <c r="O76" s="1027" t="str">
        <f ca="1"/>
        <v/>
      </c>
      <c r="P76" s="1017" t="str">
        <f ca="1"/>
        <v/>
      </c>
      <c r="Q76" s="1018" t="str">
        <f ca="1"/>
        <v/>
      </c>
      <c r="R76" s="1016" t="str">
        <f ca="1"/>
        <v/>
      </c>
      <c r="S76" s="1004" t="str">
        <f ca="1"/>
        <v/>
      </c>
      <c r="T76" s="1028" t="str">
        <f ca="1"/>
        <v/>
      </c>
      <c r="U76" s="995"/>
      <c r="V76" s="1015" t="str">
        <f ca="1"/>
        <v/>
      </c>
      <c r="W76" s="1006" t="str">
        <f ca="1"/>
        <v/>
      </c>
      <c r="X76" s="1006" t="str">
        <f ca="1"/>
        <v/>
      </c>
      <c r="Y76" s="1004" t="str">
        <f ca="1"/>
        <v/>
      </c>
      <c r="Z76" s="1017" t="str">
        <f ca="1"/>
        <v/>
      </c>
      <c r="AA76" s="1006" t="str">
        <f ca="1"/>
        <v/>
      </c>
      <c r="AB76" s="1016" t="str">
        <f ca="1"/>
        <v/>
      </c>
      <c r="AC76" s="1016" t="str">
        <f ca="1"/>
        <v/>
      </c>
      <c r="AD76" s="1027" t="str">
        <f ca="1"/>
        <v/>
      </c>
      <c r="AE76" s="1017" t="str">
        <f ca="1"/>
        <v/>
      </c>
      <c r="AF76" s="1027" t="str">
        <f ca="1"/>
        <v/>
      </c>
      <c r="AG76" s="1036" t="str">
        <f ca="1"/>
        <v/>
      </c>
      <c r="AH76" s="1016" t="str">
        <f ca="1"/>
        <v/>
      </c>
      <c r="AI76" s="1019" t="str">
        <f ca="1"/>
        <v/>
      </c>
      <c r="AJ76" s="1028" t="str">
        <f ca="1"/>
        <v/>
      </c>
    </row>
    <row r="77" spans="5:36">
      <c r="H77" s="1015" t="str">
        <f ca="1"/>
        <v/>
      </c>
      <c r="I77" s="1006" t="str">
        <f ca="1"/>
        <v/>
      </c>
      <c r="J77" s="1016" t="str">
        <f ca="1"/>
        <v/>
      </c>
      <c r="K77" s="1017" t="str">
        <f ca="1"/>
        <v/>
      </c>
      <c r="L77" s="1006" t="str">
        <f ca="1"/>
        <v/>
      </c>
      <c r="M77" s="1016" t="str">
        <f ca="1"/>
        <v/>
      </c>
      <c r="N77" s="1016" t="str">
        <f ca="1"/>
        <v/>
      </c>
      <c r="O77" s="1027" t="str">
        <f ca="1"/>
        <v/>
      </c>
      <c r="P77" s="1017" t="str">
        <f ca="1"/>
        <v/>
      </c>
      <c r="Q77" s="1018" t="str">
        <f ca="1"/>
        <v/>
      </c>
      <c r="R77" s="1016" t="str">
        <f ca="1"/>
        <v/>
      </c>
      <c r="S77" s="1004" t="str">
        <f ca="1"/>
        <v/>
      </c>
      <c r="T77" s="1028" t="str">
        <f ca="1"/>
        <v/>
      </c>
      <c r="U77" s="995"/>
      <c r="V77" s="1015" t="str">
        <f ca="1"/>
        <v/>
      </c>
      <c r="W77" s="1006" t="str">
        <f ca="1"/>
        <v/>
      </c>
      <c r="X77" s="1006" t="str">
        <f ca="1"/>
        <v/>
      </c>
      <c r="Y77" s="1004" t="str">
        <f ca="1"/>
        <v/>
      </c>
      <c r="Z77" s="1017" t="str">
        <f ca="1"/>
        <v/>
      </c>
      <c r="AA77" s="1006" t="str">
        <f ca="1"/>
        <v/>
      </c>
      <c r="AB77" s="1016" t="str">
        <f ca="1"/>
        <v/>
      </c>
      <c r="AC77" s="1016" t="str">
        <f ca="1"/>
        <v/>
      </c>
      <c r="AD77" s="1027" t="str">
        <f ca="1"/>
        <v/>
      </c>
      <c r="AE77" s="1017" t="str">
        <f ca="1"/>
        <v/>
      </c>
      <c r="AF77" s="1027" t="str">
        <f ca="1"/>
        <v/>
      </c>
      <c r="AG77" s="1036" t="str">
        <f ca="1"/>
        <v/>
      </c>
      <c r="AH77" s="1016" t="str">
        <f ca="1"/>
        <v/>
      </c>
      <c r="AI77" s="1019" t="str">
        <f ca="1"/>
        <v/>
      </c>
      <c r="AJ77" s="1028" t="str">
        <f ca="1"/>
        <v/>
      </c>
    </row>
    <row r="78" spans="5:36">
      <c r="H78" s="1015" t="str">
        <f ca="1"/>
        <v/>
      </c>
      <c r="I78" s="1006" t="str">
        <f ca="1"/>
        <v/>
      </c>
      <c r="J78" s="1016" t="str">
        <f ca="1"/>
        <v/>
      </c>
      <c r="K78" s="1017" t="str">
        <f ca="1"/>
        <v/>
      </c>
      <c r="L78" s="1006" t="str">
        <f ca="1"/>
        <v/>
      </c>
      <c r="M78" s="1016" t="str">
        <f ca="1"/>
        <v/>
      </c>
      <c r="N78" s="1016" t="str">
        <f ca="1"/>
        <v/>
      </c>
      <c r="O78" s="1027" t="str">
        <f ca="1"/>
        <v/>
      </c>
      <c r="P78" s="1017" t="str">
        <f ca="1"/>
        <v/>
      </c>
      <c r="Q78" s="1018" t="str">
        <f ca="1"/>
        <v/>
      </c>
      <c r="R78" s="1016" t="str">
        <f ca="1"/>
        <v/>
      </c>
      <c r="S78" s="1004" t="str">
        <f ca="1"/>
        <v/>
      </c>
      <c r="T78" s="1028" t="str">
        <f ca="1"/>
        <v/>
      </c>
      <c r="U78" s="995"/>
      <c r="V78" s="1015" t="str">
        <f ca="1"/>
        <v/>
      </c>
      <c r="W78" s="1006" t="str">
        <f ca="1"/>
        <v/>
      </c>
      <c r="X78" s="1006" t="str">
        <f ca="1"/>
        <v/>
      </c>
      <c r="Y78" s="1004" t="str">
        <f ca="1"/>
        <v/>
      </c>
      <c r="Z78" s="1017" t="str">
        <f ca="1"/>
        <v/>
      </c>
      <c r="AA78" s="1006" t="str">
        <f ca="1"/>
        <v/>
      </c>
      <c r="AB78" s="1016" t="str">
        <f ca="1"/>
        <v/>
      </c>
      <c r="AC78" s="1016" t="str">
        <f ca="1"/>
        <v/>
      </c>
      <c r="AD78" s="1027" t="str">
        <f ca="1"/>
        <v/>
      </c>
      <c r="AE78" s="1017" t="str">
        <f ca="1"/>
        <v/>
      </c>
      <c r="AF78" s="1027" t="str">
        <f ca="1"/>
        <v/>
      </c>
      <c r="AG78" s="1036" t="str">
        <f ca="1"/>
        <v/>
      </c>
      <c r="AH78" s="1016" t="str">
        <f ca="1"/>
        <v/>
      </c>
      <c r="AI78" s="1019" t="str">
        <f ca="1"/>
        <v/>
      </c>
      <c r="AJ78" s="1028" t="str">
        <f ca="1"/>
        <v/>
      </c>
    </row>
    <row r="79" spans="5:36">
      <c r="H79" s="1015" t="str">
        <f ca="1"/>
        <v/>
      </c>
      <c r="I79" s="1006" t="str">
        <f ca="1"/>
        <v/>
      </c>
      <c r="J79" s="1016" t="str">
        <f ca="1"/>
        <v/>
      </c>
      <c r="K79" s="1017" t="str">
        <f ca="1"/>
        <v/>
      </c>
      <c r="L79" s="1006" t="str">
        <f ca="1"/>
        <v/>
      </c>
      <c r="M79" s="1016" t="str">
        <f ca="1"/>
        <v/>
      </c>
      <c r="N79" s="1016" t="str">
        <f ca="1"/>
        <v/>
      </c>
      <c r="O79" s="1027" t="str">
        <f ca="1"/>
        <v/>
      </c>
      <c r="P79" s="1017" t="str">
        <f ca="1"/>
        <v/>
      </c>
      <c r="Q79" s="1018" t="str">
        <f ca="1"/>
        <v/>
      </c>
      <c r="R79" s="1016" t="str">
        <f ca="1"/>
        <v/>
      </c>
      <c r="S79" s="1004" t="str">
        <f ca="1"/>
        <v/>
      </c>
      <c r="T79" s="1028" t="str">
        <f ca="1"/>
        <v/>
      </c>
      <c r="U79" s="995"/>
      <c r="V79" s="1015" t="str">
        <f ca="1"/>
        <v/>
      </c>
      <c r="W79" s="1006" t="str">
        <f ca="1"/>
        <v/>
      </c>
      <c r="X79" s="1006" t="str">
        <f ca="1"/>
        <v/>
      </c>
      <c r="Y79" s="1004" t="str">
        <f ca="1"/>
        <v/>
      </c>
      <c r="Z79" s="1017" t="str">
        <f ca="1"/>
        <v/>
      </c>
      <c r="AA79" s="1006" t="str">
        <f ca="1"/>
        <v/>
      </c>
      <c r="AB79" s="1016" t="str">
        <f ca="1"/>
        <v/>
      </c>
      <c r="AC79" s="1016" t="str">
        <f ca="1"/>
        <v/>
      </c>
      <c r="AD79" s="1027" t="str">
        <f ca="1"/>
        <v/>
      </c>
      <c r="AE79" s="1017" t="str">
        <f ca="1"/>
        <v/>
      </c>
      <c r="AF79" s="1027" t="str">
        <f ca="1"/>
        <v/>
      </c>
      <c r="AG79" s="1036" t="str">
        <f ca="1"/>
        <v/>
      </c>
      <c r="AH79" s="1016" t="str">
        <f ca="1"/>
        <v/>
      </c>
      <c r="AI79" s="1019" t="str">
        <f ca="1"/>
        <v/>
      </c>
      <c r="AJ79" s="1028" t="str">
        <f ca="1"/>
        <v/>
      </c>
    </row>
    <row r="80" spans="5:36">
      <c r="H80" s="1015" t="str">
        <f ca="1"/>
        <v/>
      </c>
      <c r="I80" s="1006" t="str">
        <f ca="1"/>
        <v/>
      </c>
      <c r="J80" s="1016" t="str">
        <f ca="1"/>
        <v/>
      </c>
      <c r="K80" s="1017" t="str">
        <f ca="1"/>
        <v/>
      </c>
      <c r="L80" s="1006" t="str">
        <f ca="1"/>
        <v/>
      </c>
      <c r="M80" s="1016" t="str">
        <f ca="1"/>
        <v/>
      </c>
      <c r="N80" s="1016" t="str">
        <f ca="1"/>
        <v/>
      </c>
      <c r="O80" s="1027" t="str">
        <f ca="1"/>
        <v/>
      </c>
      <c r="P80" s="1017" t="str">
        <f ca="1"/>
        <v/>
      </c>
      <c r="Q80" s="1018" t="str">
        <f ca="1"/>
        <v/>
      </c>
      <c r="R80" s="1016" t="str">
        <f ca="1"/>
        <v/>
      </c>
      <c r="S80" s="1004" t="str">
        <f ca="1"/>
        <v/>
      </c>
      <c r="T80" s="1028" t="str">
        <f ca="1"/>
        <v/>
      </c>
      <c r="U80" s="995"/>
      <c r="V80" s="1015" t="str">
        <f ca="1"/>
        <v/>
      </c>
      <c r="W80" s="1006" t="str">
        <f ca="1"/>
        <v/>
      </c>
      <c r="X80" s="1006" t="str">
        <f ca="1"/>
        <v/>
      </c>
      <c r="Y80" s="1004" t="str">
        <f ca="1"/>
        <v/>
      </c>
      <c r="Z80" s="1017" t="str">
        <f ca="1"/>
        <v/>
      </c>
      <c r="AA80" s="1006" t="str">
        <f ca="1"/>
        <v/>
      </c>
      <c r="AB80" s="1016" t="str">
        <f ca="1"/>
        <v/>
      </c>
      <c r="AC80" s="1016" t="str">
        <f ca="1"/>
        <v/>
      </c>
      <c r="AD80" s="1027" t="str">
        <f ca="1"/>
        <v/>
      </c>
      <c r="AE80" s="1017" t="str">
        <f ca="1"/>
        <v/>
      </c>
      <c r="AF80" s="1027" t="str">
        <f ca="1"/>
        <v/>
      </c>
      <c r="AG80" s="1036" t="str">
        <f ca="1"/>
        <v/>
      </c>
      <c r="AH80" s="1016" t="str">
        <f ca="1"/>
        <v/>
      </c>
      <c r="AI80" s="1019" t="str">
        <f ca="1"/>
        <v/>
      </c>
      <c r="AJ80" s="1028" t="str">
        <f ca="1"/>
        <v/>
      </c>
    </row>
    <row r="81" spans="8:36">
      <c r="H81" s="1015" t="str">
        <f ca="1"/>
        <v/>
      </c>
      <c r="I81" s="1006" t="str">
        <f ca="1"/>
        <v/>
      </c>
      <c r="J81" s="1016" t="str">
        <f ca="1"/>
        <v/>
      </c>
      <c r="K81" s="1017" t="str">
        <f ca="1"/>
        <v/>
      </c>
      <c r="L81" s="1006" t="str">
        <f ca="1"/>
        <v/>
      </c>
      <c r="M81" s="1016" t="str">
        <f ca="1"/>
        <v/>
      </c>
      <c r="N81" s="1016" t="str">
        <f ca="1"/>
        <v/>
      </c>
      <c r="O81" s="1027" t="str">
        <f ca="1"/>
        <v/>
      </c>
      <c r="P81" s="1017" t="str">
        <f ca="1"/>
        <v/>
      </c>
      <c r="Q81" s="1018" t="str">
        <f ca="1"/>
        <v/>
      </c>
      <c r="R81" s="1016" t="str">
        <f ca="1"/>
        <v/>
      </c>
      <c r="S81" s="1004" t="str">
        <f ca="1"/>
        <v/>
      </c>
      <c r="T81" s="1028" t="str">
        <f ca="1"/>
        <v/>
      </c>
      <c r="U81" s="995"/>
      <c r="V81" s="1015" t="str">
        <f ca="1"/>
        <v/>
      </c>
      <c r="W81" s="1006" t="str">
        <f ca="1"/>
        <v/>
      </c>
      <c r="X81" s="1006" t="str">
        <f ca="1"/>
        <v/>
      </c>
      <c r="Y81" s="1004" t="str">
        <f ca="1"/>
        <v/>
      </c>
      <c r="Z81" s="1017" t="str">
        <f ca="1"/>
        <v/>
      </c>
      <c r="AA81" s="1006" t="str">
        <f ca="1"/>
        <v/>
      </c>
      <c r="AB81" s="1016" t="str">
        <f ca="1"/>
        <v/>
      </c>
      <c r="AC81" s="1016" t="str">
        <f ca="1"/>
        <v/>
      </c>
      <c r="AD81" s="1027" t="str">
        <f ca="1"/>
        <v/>
      </c>
      <c r="AE81" s="1017" t="str">
        <f ca="1"/>
        <v/>
      </c>
      <c r="AF81" s="1027" t="str">
        <f ca="1"/>
        <v/>
      </c>
      <c r="AG81" s="1036" t="str">
        <f ca="1"/>
        <v/>
      </c>
      <c r="AH81" s="1016" t="str">
        <f ca="1"/>
        <v/>
      </c>
      <c r="AI81" s="1019" t="str">
        <f ca="1"/>
        <v/>
      </c>
      <c r="AJ81" s="1028" t="str">
        <f ca="1"/>
        <v/>
      </c>
    </row>
    <row r="82" spans="8:36">
      <c r="H82" s="1015" t="str">
        <f ca="1"/>
        <v/>
      </c>
      <c r="I82" s="1006" t="str">
        <f ca="1"/>
        <v/>
      </c>
      <c r="J82" s="1016" t="str">
        <f ca="1"/>
        <v/>
      </c>
      <c r="K82" s="1017" t="str">
        <f ca="1"/>
        <v/>
      </c>
      <c r="L82" s="1006" t="str">
        <f ca="1"/>
        <v/>
      </c>
      <c r="M82" s="1016" t="str">
        <f ca="1"/>
        <v/>
      </c>
      <c r="N82" s="1016" t="str">
        <f ca="1"/>
        <v/>
      </c>
      <c r="O82" s="1027" t="str">
        <f ca="1"/>
        <v/>
      </c>
      <c r="P82" s="1017" t="str">
        <f ca="1"/>
        <v/>
      </c>
      <c r="Q82" s="1018" t="str">
        <f ca="1"/>
        <v/>
      </c>
      <c r="R82" s="1016" t="str">
        <f ca="1"/>
        <v/>
      </c>
      <c r="S82" s="1004" t="str">
        <f ca="1"/>
        <v/>
      </c>
      <c r="T82" s="1028" t="str">
        <f ca="1"/>
        <v/>
      </c>
      <c r="U82" s="995"/>
      <c r="V82" s="1015" t="str">
        <f ca="1"/>
        <v/>
      </c>
      <c r="W82" s="1006" t="str">
        <f ca="1"/>
        <v/>
      </c>
      <c r="X82" s="1006" t="str">
        <f ca="1"/>
        <v/>
      </c>
      <c r="Y82" s="1004" t="str">
        <f ca="1"/>
        <v/>
      </c>
      <c r="Z82" s="1017" t="str">
        <f ca="1"/>
        <v/>
      </c>
      <c r="AA82" s="1006" t="str">
        <f ca="1"/>
        <v/>
      </c>
      <c r="AB82" s="1016" t="str">
        <f ca="1"/>
        <v/>
      </c>
      <c r="AC82" s="1016" t="str">
        <f ca="1"/>
        <v/>
      </c>
      <c r="AD82" s="1027" t="str">
        <f ca="1"/>
        <v/>
      </c>
      <c r="AE82" s="1017" t="str">
        <f ca="1"/>
        <v/>
      </c>
      <c r="AF82" s="1027" t="str">
        <f ca="1"/>
        <v/>
      </c>
      <c r="AG82" s="1036" t="str">
        <f ca="1"/>
        <v/>
      </c>
      <c r="AH82" s="1016" t="str">
        <f ca="1"/>
        <v/>
      </c>
      <c r="AI82" s="1019" t="str">
        <f ca="1"/>
        <v/>
      </c>
      <c r="AJ82" s="1028" t="str">
        <f ca="1"/>
        <v/>
      </c>
    </row>
    <row r="83" spans="8:36">
      <c r="H83" s="1015" t="str">
        <f ca="1"/>
        <v/>
      </c>
      <c r="I83" s="1006" t="str">
        <f ca="1"/>
        <v/>
      </c>
      <c r="J83" s="1016" t="str">
        <f ca="1"/>
        <v/>
      </c>
      <c r="K83" s="1017" t="str">
        <f ca="1"/>
        <v/>
      </c>
      <c r="L83" s="1006" t="str">
        <f ca="1"/>
        <v/>
      </c>
      <c r="M83" s="1016" t="str">
        <f ca="1"/>
        <v/>
      </c>
      <c r="N83" s="1016" t="str">
        <f ca="1"/>
        <v/>
      </c>
      <c r="O83" s="1027" t="str">
        <f ca="1"/>
        <v/>
      </c>
      <c r="P83" s="1017" t="str">
        <f ca="1"/>
        <v/>
      </c>
      <c r="Q83" s="1018" t="str">
        <f ca="1"/>
        <v/>
      </c>
      <c r="R83" s="1016" t="str">
        <f ca="1"/>
        <v/>
      </c>
      <c r="S83" s="1004" t="str">
        <f ca="1"/>
        <v/>
      </c>
      <c r="T83" s="1028" t="str">
        <f ca="1"/>
        <v/>
      </c>
      <c r="U83" s="995"/>
      <c r="V83" s="1015" t="str">
        <f ca="1"/>
        <v/>
      </c>
      <c r="W83" s="1006" t="str">
        <f ca="1"/>
        <v/>
      </c>
      <c r="X83" s="1006" t="str">
        <f ca="1"/>
        <v/>
      </c>
      <c r="Y83" s="1004" t="str">
        <f ca="1"/>
        <v/>
      </c>
      <c r="Z83" s="1017" t="str">
        <f ca="1"/>
        <v/>
      </c>
      <c r="AA83" s="1006" t="str">
        <f ca="1"/>
        <v/>
      </c>
      <c r="AB83" s="1016" t="str">
        <f ca="1"/>
        <v/>
      </c>
      <c r="AC83" s="1016" t="str">
        <f ca="1"/>
        <v/>
      </c>
      <c r="AD83" s="1027" t="str">
        <f ca="1"/>
        <v/>
      </c>
      <c r="AE83" s="1017" t="str">
        <f ca="1"/>
        <v/>
      </c>
      <c r="AF83" s="1027" t="str">
        <f ca="1"/>
        <v/>
      </c>
      <c r="AG83" s="1036" t="str">
        <f ca="1"/>
        <v/>
      </c>
      <c r="AH83" s="1016" t="str">
        <f ca="1"/>
        <v/>
      </c>
      <c r="AI83" s="1019" t="str">
        <f ca="1"/>
        <v/>
      </c>
      <c r="AJ83" s="1028" t="str">
        <f ca="1"/>
        <v/>
      </c>
    </row>
    <row r="84" spans="8:36">
      <c r="H84" s="1015" t="str">
        <f ca="1"/>
        <v/>
      </c>
      <c r="I84" s="1006" t="str">
        <f ca="1"/>
        <v/>
      </c>
      <c r="J84" s="1016" t="str">
        <f ca="1"/>
        <v/>
      </c>
      <c r="K84" s="1017" t="str">
        <f ca="1"/>
        <v/>
      </c>
      <c r="L84" s="1006" t="str">
        <f ca="1"/>
        <v/>
      </c>
      <c r="M84" s="1016" t="str">
        <f ca="1"/>
        <v/>
      </c>
      <c r="N84" s="1016" t="str">
        <f ca="1"/>
        <v/>
      </c>
      <c r="O84" s="1027" t="str">
        <f ca="1"/>
        <v/>
      </c>
      <c r="P84" s="1017" t="str">
        <f ca="1"/>
        <v/>
      </c>
      <c r="Q84" s="1018" t="str">
        <f ca="1"/>
        <v/>
      </c>
      <c r="R84" s="1016" t="str">
        <f ca="1"/>
        <v/>
      </c>
      <c r="S84" s="1004" t="str">
        <f ca="1"/>
        <v/>
      </c>
      <c r="T84" s="1028" t="str">
        <f ca="1"/>
        <v/>
      </c>
      <c r="U84" s="995"/>
      <c r="V84" s="1015" t="str">
        <f ca="1"/>
        <v/>
      </c>
      <c r="W84" s="1006" t="str">
        <f ca="1"/>
        <v/>
      </c>
      <c r="X84" s="1006" t="str">
        <f ca="1"/>
        <v/>
      </c>
      <c r="Y84" s="1004" t="str">
        <f ca="1"/>
        <v/>
      </c>
      <c r="Z84" s="1017" t="str">
        <f ca="1"/>
        <v/>
      </c>
      <c r="AA84" s="1006" t="str">
        <f ca="1"/>
        <v/>
      </c>
      <c r="AB84" s="1016" t="str">
        <f ca="1"/>
        <v/>
      </c>
      <c r="AC84" s="1016" t="str">
        <f ca="1"/>
        <v/>
      </c>
      <c r="AD84" s="1027" t="str">
        <f ca="1"/>
        <v/>
      </c>
      <c r="AE84" s="1017" t="str">
        <f ca="1"/>
        <v/>
      </c>
      <c r="AF84" s="1027" t="str">
        <f ca="1"/>
        <v/>
      </c>
      <c r="AG84" s="1036" t="str">
        <f ca="1"/>
        <v/>
      </c>
      <c r="AH84" s="1016" t="str">
        <f ca="1"/>
        <v/>
      </c>
      <c r="AI84" s="1019" t="str">
        <f ca="1"/>
        <v/>
      </c>
      <c r="AJ84" s="1028" t="str">
        <f ca="1"/>
        <v/>
      </c>
    </row>
    <row r="85" spans="8:36">
      <c r="H85" s="1015" t="str">
        <f ca="1"/>
        <v/>
      </c>
      <c r="I85" s="1006" t="str">
        <f ca="1"/>
        <v/>
      </c>
      <c r="J85" s="1016" t="str">
        <f ca="1"/>
        <v/>
      </c>
      <c r="K85" s="1017" t="str">
        <f ca="1"/>
        <v/>
      </c>
      <c r="L85" s="1006" t="str">
        <f ca="1"/>
        <v/>
      </c>
      <c r="M85" s="1016" t="str">
        <f ca="1"/>
        <v/>
      </c>
      <c r="N85" s="1016" t="str">
        <f ca="1"/>
        <v/>
      </c>
      <c r="O85" s="1027" t="str">
        <f ca="1"/>
        <v/>
      </c>
      <c r="P85" s="1017" t="str">
        <f ca="1"/>
        <v/>
      </c>
      <c r="Q85" s="1018" t="str">
        <f ca="1"/>
        <v/>
      </c>
      <c r="R85" s="1016" t="str">
        <f ca="1"/>
        <v/>
      </c>
      <c r="S85" s="1004" t="str">
        <f ca="1"/>
        <v/>
      </c>
      <c r="T85" s="1028" t="str">
        <f ca="1"/>
        <v/>
      </c>
      <c r="U85" s="995"/>
      <c r="V85" s="1015" t="str">
        <f ca="1"/>
        <v/>
      </c>
      <c r="W85" s="1006" t="str">
        <f ca="1"/>
        <v/>
      </c>
      <c r="X85" s="1006" t="str">
        <f ca="1"/>
        <v/>
      </c>
      <c r="Y85" s="1004" t="str">
        <f ca="1"/>
        <v/>
      </c>
      <c r="Z85" s="1017" t="str">
        <f ca="1"/>
        <v/>
      </c>
      <c r="AA85" s="1006" t="str">
        <f ca="1"/>
        <v/>
      </c>
      <c r="AB85" s="1016" t="str">
        <f ca="1"/>
        <v/>
      </c>
      <c r="AC85" s="1016" t="str">
        <f ca="1"/>
        <v/>
      </c>
      <c r="AD85" s="1027" t="str">
        <f ca="1"/>
        <v/>
      </c>
      <c r="AE85" s="1017" t="str">
        <f ca="1"/>
        <v/>
      </c>
      <c r="AF85" s="1027" t="str">
        <f ca="1"/>
        <v/>
      </c>
      <c r="AG85" s="1036" t="str">
        <f ca="1"/>
        <v/>
      </c>
      <c r="AH85" s="1016" t="str">
        <f ca="1"/>
        <v/>
      </c>
      <c r="AI85" s="1019" t="str">
        <f ca="1"/>
        <v/>
      </c>
      <c r="AJ85" s="1028" t="str">
        <f ca="1"/>
        <v/>
      </c>
    </row>
    <row r="86" spans="8:36">
      <c r="H86" s="1015" t="str">
        <f ca="1"/>
        <v/>
      </c>
      <c r="I86" s="1006" t="str">
        <f ca="1"/>
        <v/>
      </c>
      <c r="J86" s="1016" t="str">
        <f ca="1"/>
        <v/>
      </c>
      <c r="K86" s="1017" t="str">
        <f ca="1"/>
        <v/>
      </c>
      <c r="L86" s="1006" t="str">
        <f ca="1"/>
        <v/>
      </c>
      <c r="M86" s="1016" t="str">
        <f ca="1"/>
        <v/>
      </c>
      <c r="N86" s="1016" t="str">
        <f ca="1"/>
        <v/>
      </c>
      <c r="O86" s="1027" t="str">
        <f ca="1"/>
        <v/>
      </c>
      <c r="P86" s="1017" t="str">
        <f ca="1"/>
        <v/>
      </c>
      <c r="Q86" s="1018" t="str">
        <f ca="1"/>
        <v/>
      </c>
      <c r="R86" s="1016" t="str">
        <f ca="1"/>
        <v/>
      </c>
      <c r="S86" s="1004" t="str">
        <f ca="1"/>
        <v/>
      </c>
      <c r="T86" s="1028" t="str">
        <f ca="1"/>
        <v/>
      </c>
      <c r="U86" s="995"/>
      <c r="V86" s="1015" t="str">
        <f ca="1"/>
        <v/>
      </c>
      <c r="W86" s="1006" t="str">
        <f ca="1"/>
        <v/>
      </c>
      <c r="X86" s="1006" t="str">
        <f ca="1"/>
        <v/>
      </c>
      <c r="Y86" s="1004" t="str">
        <f ca="1"/>
        <v/>
      </c>
      <c r="Z86" s="1017" t="str">
        <f ca="1"/>
        <v/>
      </c>
      <c r="AA86" s="1006" t="str">
        <f ca="1"/>
        <v/>
      </c>
      <c r="AB86" s="1016" t="str">
        <f ca="1"/>
        <v/>
      </c>
      <c r="AC86" s="1016" t="str">
        <f ca="1"/>
        <v/>
      </c>
      <c r="AD86" s="1027" t="str">
        <f ca="1"/>
        <v/>
      </c>
      <c r="AE86" s="1017" t="str">
        <f ca="1"/>
        <v/>
      </c>
      <c r="AF86" s="1027" t="str">
        <f ca="1"/>
        <v/>
      </c>
      <c r="AG86" s="1036" t="str">
        <f ca="1"/>
        <v/>
      </c>
      <c r="AH86" s="1016" t="str">
        <f ca="1"/>
        <v/>
      </c>
      <c r="AI86" s="1019" t="str">
        <f ca="1"/>
        <v/>
      </c>
      <c r="AJ86" s="1028" t="str">
        <f ca="1"/>
        <v/>
      </c>
    </row>
    <row r="87" spans="8:36">
      <c r="H87" s="1015" t="str">
        <f ca="1"/>
        <v/>
      </c>
      <c r="I87" s="1006" t="str">
        <f ca="1"/>
        <v/>
      </c>
      <c r="J87" s="1016" t="str">
        <f ca="1"/>
        <v/>
      </c>
      <c r="K87" s="1017" t="str">
        <f ca="1"/>
        <v/>
      </c>
      <c r="L87" s="1006" t="str">
        <f ca="1"/>
        <v/>
      </c>
      <c r="M87" s="1016" t="str">
        <f ca="1"/>
        <v/>
      </c>
      <c r="N87" s="1016" t="str">
        <f ca="1"/>
        <v/>
      </c>
      <c r="O87" s="1027" t="str">
        <f ca="1"/>
        <v/>
      </c>
      <c r="P87" s="1017" t="str">
        <f ca="1"/>
        <v/>
      </c>
      <c r="Q87" s="1018" t="str">
        <f ca="1"/>
        <v/>
      </c>
      <c r="R87" s="1016" t="str">
        <f ca="1"/>
        <v/>
      </c>
      <c r="S87" s="1004" t="str">
        <f ca="1"/>
        <v/>
      </c>
      <c r="T87" s="1028" t="str">
        <f ca="1"/>
        <v/>
      </c>
      <c r="U87" s="995"/>
      <c r="V87" s="1015" t="str">
        <f ca="1"/>
        <v/>
      </c>
      <c r="W87" s="1006" t="str">
        <f ca="1"/>
        <v/>
      </c>
      <c r="X87" s="1006" t="str">
        <f ca="1"/>
        <v/>
      </c>
      <c r="Y87" s="1004" t="str">
        <f ca="1"/>
        <v/>
      </c>
      <c r="Z87" s="1017" t="str">
        <f ca="1"/>
        <v/>
      </c>
      <c r="AA87" s="1006" t="str">
        <f ca="1"/>
        <v/>
      </c>
      <c r="AB87" s="1016" t="str">
        <f ca="1"/>
        <v/>
      </c>
      <c r="AC87" s="1016" t="str">
        <f ca="1"/>
        <v/>
      </c>
      <c r="AD87" s="1027" t="str">
        <f ca="1"/>
        <v/>
      </c>
      <c r="AE87" s="1017" t="str">
        <f ca="1"/>
        <v/>
      </c>
      <c r="AF87" s="1027" t="str">
        <f ca="1"/>
        <v/>
      </c>
      <c r="AG87" s="1036" t="str">
        <f ca="1"/>
        <v/>
      </c>
      <c r="AH87" s="1016" t="str">
        <f ca="1"/>
        <v/>
      </c>
      <c r="AI87" s="1019" t="str">
        <f ca="1"/>
        <v/>
      </c>
      <c r="AJ87" s="1028" t="str">
        <f ca="1"/>
        <v/>
      </c>
    </row>
    <row r="88" spans="8:36">
      <c r="H88" s="1015" t="str">
        <f ca="1"/>
        <v/>
      </c>
      <c r="I88" s="1006" t="str">
        <f ca="1"/>
        <v/>
      </c>
      <c r="J88" s="1016" t="str">
        <f ca="1"/>
        <v/>
      </c>
      <c r="K88" s="1017" t="str">
        <f ca="1"/>
        <v/>
      </c>
      <c r="L88" s="1006" t="str">
        <f ca="1"/>
        <v/>
      </c>
      <c r="M88" s="1016" t="str">
        <f ca="1"/>
        <v/>
      </c>
      <c r="N88" s="1016" t="str">
        <f ca="1"/>
        <v/>
      </c>
      <c r="O88" s="1027" t="str">
        <f ca="1"/>
        <v/>
      </c>
      <c r="P88" s="1017" t="str">
        <f ca="1"/>
        <v/>
      </c>
      <c r="Q88" s="1018" t="str">
        <f ca="1"/>
        <v/>
      </c>
      <c r="R88" s="1016" t="str">
        <f ca="1"/>
        <v/>
      </c>
      <c r="S88" s="1004" t="str">
        <f ca="1"/>
        <v/>
      </c>
      <c r="T88" s="1028" t="str">
        <f ca="1"/>
        <v/>
      </c>
      <c r="U88" s="995"/>
      <c r="V88" s="1015" t="str">
        <f ca="1"/>
        <v/>
      </c>
      <c r="W88" s="1006" t="str">
        <f ca="1"/>
        <v/>
      </c>
      <c r="X88" s="1006" t="str">
        <f ca="1"/>
        <v/>
      </c>
      <c r="Y88" s="1004" t="str">
        <f ca="1"/>
        <v/>
      </c>
      <c r="Z88" s="1017" t="str">
        <f ca="1"/>
        <v/>
      </c>
      <c r="AA88" s="1006" t="str">
        <f ca="1"/>
        <v/>
      </c>
      <c r="AB88" s="1016" t="str">
        <f ca="1"/>
        <v/>
      </c>
      <c r="AC88" s="1016" t="str">
        <f ca="1"/>
        <v/>
      </c>
      <c r="AD88" s="1027" t="str">
        <f ca="1"/>
        <v/>
      </c>
      <c r="AE88" s="1017" t="str">
        <f ca="1"/>
        <v/>
      </c>
      <c r="AF88" s="1027" t="str">
        <f ca="1"/>
        <v/>
      </c>
      <c r="AG88" s="1036" t="str">
        <f ca="1"/>
        <v/>
      </c>
      <c r="AH88" s="1016" t="str">
        <f ca="1"/>
        <v/>
      </c>
      <c r="AI88" s="1019" t="str">
        <f ca="1"/>
        <v/>
      </c>
      <c r="AJ88" s="1028" t="str">
        <f ca="1"/>
        <v/>
      </c>
    </row>
    <row r="89" spans="8:36">
      <c r="H89" s="1015" t="str">
        <f ca="1"/>
        <v/>
      </c>
      <c r="I89" s="1006" t="str">
        <f ca="1"/>
        <v/>
      </c>
      <c r="J89" s="1016" t="str">
        <f ca="1"/>
        <v/>
      </c>
      <c r="K89" s="1017" t="str">
        <f ca="1"/>
        <v/>
      </c>
      <c r="L89" s="1006" t="str">
        <f ca="1"/>
        <v/>
      </c>
      <c r="M89" s="1016" t="str">
        <f ca="1"/>
        <v/>
      </c>
      <c r="N89" s="1016" t="str">
        <f ca="1"/>
        <v/>
      </c>
      <c r="O89" s="1027" t="str">
        <f ca="1"/>
        <v/>
      </c>
      <c r="P89" s="1017" t="str">
        <f ca="1"/>
        <v/>
      </c>
      <c r="Q89" s="1018" t="str">
        <f ca="1"/>
        <v/>
      </c>
      <c r="R89" s="1016" t="str">
        <f ca="1"/>
        <v/>
      </c>
      <c r="S89" s="1004" t="str">
        <f ca="1"/>
        <v/>
      </c>
      <c r="T89" s="1028" t="str">
        <f ca="1"/>
        <v/>
      </c>
      <c r="U89" s="995"/>
      <c r="V89" s="1015" t="str">
        <f ca="1"/>
        <v/>
      </c>
      <c r="W89" s="1006" t="str">
        <f ca="1"/>
        <v/>
      </c>
      <c r="X89" s="1006" t="str">
        <f ca="1"/>
        <v/>
      </c>
      <c r="Y89" s="1004" t="str">
        <f ca="1"/>
        <v/>
      </c>
      <c r="Z89" s="1017" t="str">
        <f ca="1"/>
        <v/>
      </c>
      <c r="AA89" s="1006" t="str">
        <f ca="1"/>
        <v/>
      </c>
      <c r="AB89" s="1016" t="str">
        <f ca="1"/>
        <v/>
      </c>
      <c r="AC89" s="1016" t="str">
        <f ca="1"/>
        <v/>
      </c>
      <c r="AD89" s="1027" t="str">
        <f ca="1"/>
        <v/>
      </c>
      <c r="AE89" s="1017" t="str">
        <f ca="1"/>
        <v/>
      </c>
      <c r="AF89" s="1027" t="str">
        <f ca="1"/>
        <v/>
      </c>
      <c r="AG89" s="1036" t="str">
        <f ca="1"/>
        <v/>
      </c>
      <c r="AH89" s="1016" t="str">
        <f ca="1"/>
        <v/>
      </c>
      <c r="AI89" s="1019" t="str">
        <f ca="1"/>
        <v/>
      </c>
      <c r="AJ89" s="1028" t="str">
        <f ca="1"/>
        <v/>
      </c>
    </row>
    <row r="90" spans="8:36">
      <c r="H90" s="1015" t="str">
        <f ca="1"/>
        <v/>
      </c>
      <c r="I90" s="1006" t="str">
        <f ca="1"/>
        <v/>
      </c>
      <c r="J90" s="1016" t="str">
        <f ca="1"/>
        <v/>
      </c>
      <c r="K90" s="1017" t="str">
        <f ca="1"/>
        <v/>
      </c>
      <c r="L90" s="1006" t="str">
        <f ca="1"/>
        <v/>
      </c>
      <c r="M90" s="1016" t="str">
        <f ca="1"/>
        <v/>
      </c>
      <c r="N90" s="1016" t="str">
        <f ca="1"/>
        <v/>
      </c>
      <c r="O90" s="1027" t="str">
        <f ca="1"/>
        <v/>
      </c>
      <c r="P90" s="1017" t="str">
        <f ca="1"/>
        <v/>
      </c>
      <c r="Q90" s="1018" t="str">
        <f ca="1"/>
        <v/>
      </c>
      <c r="R90" s="1016" t="str">
        <f ca="1"/>
        <v/>
      </c>
      <c r="S90" s="1004" t="str">
        <f ca="1"/>
        <v/>
      </c>
      <c r="T90" s="1028" t="str">
        <f ca="1"/>
        <v/>
      </c>
      <c r="U90" s="995"/>
      <c r="V90" s="1015" t="str">
        <f ca="1"/>
        <v/>
      </c>
      <c r="W90" s="1006" t="str">
        <f ca="1"/>
        <v/>
      </c>
      <c r="X90" s="1006" t="str">
        <f ca="1"/>
        <v/>
      </c>
      <c r="Y90" s="1004" t="str">
        <f ca="1"/>
        <v/>
      </c>
      <c r="Z90" s="1017" t="str">
        <f ca="1"/>
        <v/>
      </c>
      <c r="AA90" s="1006" t="str">
        <f ca="1"/>
        <v/>
      </c>
      <c r="AB90" s="1016" t="str">
        <f ca="1"/>
        <v/>
      </c>
      <c r="AC90" s="1016" t="str">
        <f ca="1"/>
        <v/>
      </c>
      <c r="AD90" s="1027" t="str">
        <f ca="1"/>
        <v/>
      </c>
      <c r="AE90" s="1017" t="str">
        <f ca="1"/>
        <v/>
      </c>
      <c r="AF90" s="1027" t="str">
        <f ca="1"/>
        <v/>
      </c>
      <c r="AG90" s="1036" t="str">
        <f ca="1"/>
        <v/>
      </c>
      <c r="AH90" s="1016" t="str">
        <f ca="1"/>
        <v/>
      </c>
      <c r="AI90" s="1019" t="str">
        <f ca="1"/>
        <v/>
      </c>
      <c r="AJ90" s="1028" t="str">
        <f ca="1"/>
        <v/>
      </c>
    </row>
    <row r="91" spans="8:36">
      <c r="H91" s="1015" t="str">
        <f ca="1"/>
        <v/>
      </c>
      <c r="I91" s="1006" t="str">
        <f ca="1"/>
        <v/>
      </c>
      <c r="J91" s="1016" t="str">
        <f ca="1"/>
        <v/>
      </c>
      <c r="K91" s="1017" t="str">
        <f ca="1"/>
        <v/>
      </c>
      <c r="L91" s="1006" t="str">
        <f ca="1"/>
        <v/>
      </c>
      <c r="M91" s="1016" t="str">
        <f ca="1"/>
        <v/>
      </c>
      <c r="N91" s="1016" t="str">
        <f ca="1"/>
        <v/>
      </c>
      <c r="O91" s="1027" t="str">
        <f ca="1"/>
        <v/>
      </c>
      <c r="P91" s="1017" t="str">
        <f ca="1"/>
        <v/>
      </c>
      <c r="Q91" s="1018" t="str">
        <f ca="1"/>
        <v/>
      </c>
      <c r="R91" s="1016" t="str">
        <f ca="1"/>
        <v/>
      </c>
      <c r="S91" s="1004" t="str">
        <f ca="1"/>
        <v/>
      </c>
      <c r="T91" s="1028" t="str">
        <f ca="1"/>
        <v/>
      </c>
      <c r="U91" s="995"/>
      <c r="V91" s="1015" t="str">
        <f ca="1"/>
        <v/>
      </c>
      <c r="W91" s="1006" t="str">
        <f ca="1"/>
        <v/>
      </c>
      <c r="X91" s="1006" t="str">
        <f ca="1"/>
        <v/>
      </c>
      <c r="Y91" s="1004" t="str">
        <f ca="1"/>
        <v/>
      </c>
      <c r="Z91" s="1017" t="str">
        <f ca="1"/>
        <v/>
      </c>
      <c r="AA91" s="1006" t="str">
        <f ca="1"/>
        <v/>
      </c>
      <c r="AB91" s="1016" t="str">
        <f ca="1"/>
        <v/>
      </c>
      <c r="AC91" s="1016" t="str">
        <f ca="1"/>
        <v/>
      </c>
      <c r="AD91" s="1027" t="str">
        <f ca="1"/>
        <v/>
      </c>
      <c r="AE91" s="1017" t="str">
        <f ca="1"/>
        <v/>
      </c>
      <c r="AF91" s="1027" t="str">
        <f ca="1"/>
        <v/>
      </c>
      <c r="AG91" s="1036" t="str">
        <f ca="1"/>
        <v/>
      </c>
      <c r="AH91" s="1016" t="str">
        <f ca="1"/>
        <v/>
      </c>
      <c r="AI91" s="1019" t="str">
        <f ca="1"/>
        <v/>
      </c>
      <c r="AJ91" s="1028" t="str">
        <f ca="1"/>
        <v/>
      </c>
    </row>
    <row r="92" spans="8:36">
      <c r="H92" s="1015" t="str">
        <f ca="1"/>
        <v/>
      </c>
      <c r="I92" s="1006" t="str">
        <f ca="1"/>
        <v/>
      </c>
      <c r="J92" s="1016" t="str">
        <f ca="1"/>
        <v/>
      </c>
      <c r="K92" s="1017" t="str">
        <f ca="1"/>
        <v/>
      </c>
      <c r="L92" s="1006" t="str">
        <f ca="1"/>
        <v/>
      </c>
      <c r="M92" s="1016" t="str">
        <f ca="1"/>
        <v/>
      </c>
      <c r="N92" s="1016" t="str">
        <f ca="1"/>
        <v/>
      </c>
      <c r="O92" s="1027" t="str">
        <f ca="1"/>
        <v/>
      </c>
      <c r="P92" s="1017" t="str">
        <f ca="1"/>
        <v/>
      </c>
      <c r="Q92" s="1018" t="str">
        <f ca="1"/>
        <v/>
      </c>
      <c r="R92" s="1016" t="str">
        <f ca="1"/>
        <v/>
      </c>
      <c r="S92" s="1004" t="str">
        <f ca="1"/>
        <v/>
      </c>
      <c r="T92" s="1028" t="str">
        <f ca="1"/>
        <v/>
      </c>
      <c r="U92" s="995"/>
      <c r="V92" s="1015" t="str">
        <f ca="1"/>
        <v/>
      </c>
      <c r="W92" s="1006" t="str">
        <f ca="1"/>
        <v/>
      </c>
      <c r="X92" s="1006" t="str">
        <f ca="1"/>
        <v/>
      </c>
      <c r="Y92" s="1004" t="str">
        <f ca="1"/>
        <v/>
      </c>
      <c r="Z92" s="1017" t="str">
        <f ca="1"/>
        <v/>
      </c>
      <c r="AA92" s="1006" t="str">
        <f ca="1"/>
        <v/>
      </c>
      <c r="AB92" s="1016" t="str">
        <f ca="1"/>
        <v/>
      </c>
      <c r="AC92" s="1016" t="str">
        <f ca="1"/>
        <v/>
      </c>
      <c r="AD92" s="1027" t="str">
        <f ca="1"/>
        <v/>
      </c>
      <c r="AE92" s="1017" t="str">
        <f ca="1"/>
        <v/>
      </c>
      <c r="AF92" s="1027" t="str">
        <f ca="1"/>
        <v/>
      </c>
      <c r="AG92" s="1036" t="str">
        <f ca="1"/>
        <v/>
      </c>
      <c r="AH92" s="1016" t="str">
        <f ca="1"/>
        <v/>
      </c>
      <c r="AI92" s="1019" t="str">
        <f ca="1"/>
        <v/>
      </c>
      <c r="AJ92" s="1028" t="str">
        <f ca="1"/>
        <v/>
      </c>
    </row>
    <row r="93" spans="8:36">
      <c r="H93" s="1015" t="str">
        <f ca="1"/>
        <v/>
      </c>
      <c r="I93" s="1006" t="str">
        <f ca="1"/>
        <v/>
      </c>
      <c r="J93" s="1016" t="str">
        <f ca="1"/>
        <v/>
      </c>
      <c r="K93" s="1017" t="str">
        <f ca="1"/>
        <v/>
      </c>
      <c r="L93" s="1006" t="str">
        <f ca="1"/>
        <v/>
      </c>
      <c r="M93" s="1016" t="str">
        <f ca="1"/>
        <v/>
      </c>
      <c r="N93" s="1016" t="str">
        <f ca="1"/>
        <v/>
      </c>
      <c r="O93" s="1027" t="str">
        <f ca="1"/>
        <v/>
      </c>
      <c r="P93" s="1017" t="str">
        <f ca="1"/>
        <v/>
      </c>
      <c r="Q93" s="1018" t="str">
        <f ca="1"/>
        <v/>
      </c>
      <c r="R93" s="1016" t="str">
        <f ca="1"/>
        <v/>
      </c>
      <c r="S93" s="1004" t="str">
        <f ca="1"/>
        <v/>
      </c>
      <c r="T93" s="1028" t="str">
        <f ca="1"/>
        <v/>
      </c>
      <c r="U93" s="995"/>
      <c r="V93" s="1015" t="str">
        <f ca="1"/>
        <v/>
      </c>
      <c r="W93" s="1006" t="str">
        <f ca="1"/>
        <v/>
      </c>
      <c r="X93" s="1006" t="str">
        <f ca="1"/>
        <v/>
      </c>
      <c r="Y93" s="1004" t="str">
        <f ca="1"/>
        <v/>
      </c>
      <c r="Z93" s="1017" t="str">
        <f ca="1"/>
        <v/>
      </c>
      <c r="AA93" s="1006" t="str">
        <f ca="1"/>
        <v/>
      </c>
      <c r="AB93" s="1016" t="str">
        <f ca="1"/>
        <v/>
      </c>
      <c r="AC93" s="1016" t="str">
        <f ca="1"/>
        <v/>
      </c>
      <c r="AD93" s="1027" t="str">
        <f ca="1"/>
        <v/>
      </c>
      <c r="AE93" s="1017" t="str">
        <f ca="1"/>
        <v/>
      </c>
      <c r="AF93" s="1027" t="str">
        <f ca="1"/>
        <v/>
      </c>
      <c r="AG93" s="1036" t="str">
        <f ca="1"/>
        <v/>
      </c>
      <c r="AH93" s="1016" t="str">
        <f ca="1"/>
        <v/>
      </c>
      <c r="AI93" s="1019" t="str">
        <f ca="1"/>
        <v/>
      </c>
      <c r="AJ93" s="1028" t="str">
        <f ca="1"/>
        <v/>
      </c>
    </row>
    <row r="94" spans="8:36">
      <c r="H94" s="1015" t="str">
        <f ca="1"/>
        <v/>
      </c>
      <c r="I94" s="1006" t="str">
        <f ca="1"/>
        <v/>
      </c>
      <c r="J94" s="1016" t="str">
        <f ca="1"/>
        <v/>
      </c>
      <c r="K94" s="1017" t="str">
        <f ca="1"/>
        <v/>
      </c>
      <c r="L94" s="1006" t="str">
        <f ca="1"/>
        <v/>
      </c>
      <c r="M94" s="1016" t="str">
        <f ca="1"/>
        <v/>
      </c>
      <c r="N94" s="1016" t="str">
        <f ca="1"/>
        <v/>
      </c>
      <c r="O94" s="1027" t="str">
        <f ca="1"/>
        <v/>
      </c>
      <c r="P94" s="1017" t="str">
        <f ca="1"/>
        <v/>
      </c>
      <c r="Q94" s="1018" t="str">
        <f ca="1"/>
        <v/>
      </c>
      <c r="R94" s="1016" t="str">
        <f ca="1"/>
        <v/>
      </c>
      <c r="S94" s="1004" t="str">
        <f ca="1"/>
        <v/>
      </c>
      <c r="T94" s="1028" t="str">
        <f ca="1"/>
        <v/>
      </c>
      <c r="U94" s="995"/>
      <c r="V94" s="1015" t="str">
        <f ca="1"/>
        <v/>
      </c>
      <c r="W94" s="1006" t="str">
        <f ca="1"/>
        <v/>
      </c>
      <c r="X94" s="1006" t="str">
        <f ca="1"/>
        <v/>
      </c>
      <c r="Y94" s="1004" t="str">
        <f ca="1"/>
        <v/>
      </c>
      <c r="Z94" s="1017" t="str">
        <f ca="1"/>
        <v/>
      </c>
      <c r="AA94" s="1006" t="str">
        <f ca="1"/>
        <v/>
      </c>
      <c r="AB94" s="1016" t="str">
        <f ca="1"/>
        <v/>
      </c>
      <c r="AC94" s="1016" t="str">
        <f ca="1"/>
        <v/>
      </c>
      <c r="AD94" s="1027" t="str">
        <f ca="1"/>
        <v/>
      </c>
      <c r="AE94" s="1017" t="str">
        <f ca="1"/>
        <v/>
      </c>
      <c r="AF94" s="1027" t="str">
        <f ca="1"/>
        <v/>
      </c>
      <c r="AG94" s="1036" t="str">
        <f ca="1"/>
        <v/>
      </c>
      <c r="AH94" s="1016" t="str">
        <f ca="1"/>
        <v/>
      </c>
      <c r="AI94" s="1019" t="str">
        <f ca="1"/>
        <v/>
      </c>
      <c r="AJ94" s="1028" t="str">
        <f ca="1"/>
        <v/>
      </c>
    </row>
    <row r="95" spans="8:36">
      <c r="H95" s="1015" t="str">
        <f ca="1"/>
        <v/>
      </c>
      <c r="I95" s="1006" t="str">
        <f ca="1"/>
        <v/>
      </c>
      <c r="J95" s="1016" t="str">
        <f ca="1"/>
        <v/>
      </c>
      <c r="K95" s="1017" t="str">
        <f ca="1"/>
        <v/>
      </c>
      <c r="L95" s="1006" t="str">
        <f ca="1"/>
        <v/>
      </c>
      <c r="M95" s="1016" t="str">
        <f ca="1"/>
        <v/>
      </c>
      <c r="N95" s="1016" t="str">
        <f ca="1"/>
        <v/>
      </c>
      <c r="O95" s="1027" t="str">
        <f ca="1"/>
        <v/>
      </c>
      <c r="P95" s="1017" t="str">
        <f ca="1"/>
        <v/>
      </c>
      <c r="Q95" s="1018" t="str">
        <f ca="1"/>
        <v/>
      </c>
      <c r="R95" s="1016" t="str">
        <f ca="1"/>
        <v/>
      </c>
      <c r="S95" s="1004" t="str">
        <f ca="1"/>
        <v/>
      </c>
      <c r="T95" s="1028" t="str">
        <f ca="1"/>
        <v/>
      </c>
      <c r="U95" s="995"/>
      <c r="V95" s="1015" t="str">
        <f ca="1"/>
        <v/>
      </c>
      <c r="W95" s="1006" t="str">
        <f ca="1"/>
        <v/>
      </c>
      <c r="X95" s="1006" t="str">
        <f ca="1"/>
        <v/>
      </c>
      <c r="Y95" s="1004" t="str">
        <f ca="1"/>
        <v/>
      </c>
      <c r="Z95" s="1017" t="str">
        <f ca="1"/>
        <v/>
      </c>
      <c r="AA95" s="1006" t="str">
        <f ca="1"/>
        <v/>
      </c>
      <c r="AB95" s="1016" t="str">
        <f ca="1"/>
        <v/>
      </c>
      <c r="AC95" s="1016" t="str">
        <f ca="1"/>
        <v/>
      </c>
      <c r="AD95" s="1027" t="str">
        <f ca="1"/>
        <v/>
      </c>
      <c r="AE95" s="1017" t="str">
        <f ca="1"/>
        <v/>
      </c>
      <c r="AF95" s="1027" t="str">
        <f ca="1"/>
        <v/>
      </c>
      <c r="AG95" s="1036" t="str">
        <f ca="1"/>
        <v/>
      </c>
      <c r="AH95" s="1016" t="str">
        <f ca="1"/>
        <v/>
      </c>
      <c r="AI95" s="1019" t="str">
        <f ca="1"/>
        <v/>
      </c>
      <c r="AJ95" s="1028" t="str">
        <f ca="1"/>
        <v/>
      </c>
    </row>
    <row r="96" spans="8:36">
      <c r="H96" s="1015" t="str">
        <f ca="1"/>
        <v/>
      </c>
      <c r="I96" s="1006" t="str">
        <f ca="1"/>
        <v/>
      </c>
      <c r="J96" s="1016" t="str">
        <f ca="1"/>
        <v/>
      </c>
      <c r="K96" s="1017" t="str">
        <f ca="1"/>
        <v/>
      </c>
      <c r="L96" s="1006" t="str">
        <f ca="1"/>
        <v/>
      </c>
      <c r="M96" s="1016" t="str">
        <f ca="1"/>
        <v/>
      </c>
      <c r="N96" s="1016" t="str">
        <f ca="1"/>
        <v/>
      </c>
      <c r="O96" s="1027" t="str">
        <f ca="1"/>
        <v/>
      </c>
      <c r="P96" s="1017" t="str">
        <f ca="1"/>
        <v/>
      </c>
      <c r="Q96" s="1018" t="str">
        <f ca="1"/>
        <v/>
      </c>
      <c r="R96" s="1016" t="str">
        <f ca="1"/>
        <v/>
      </c>
      <c r="S96" s="1004" t="str">
        <f ca="1"/>
        <v/>
      </c>
      <c r="T96" s="1028" t="str">
        <f ca="1"/>
        <v/>
      </c>
      <c r="U96" s="995"/>
      <c r="V96" s="1015" t="str">
        <f ca="1"/>
        <v/>
      </c>
      <c r="W96" s="1006" t="str">
        <f ca="1"/>
        <v/>
      </c>
      <c r="X96" s="1006" t="str">
        <f ca="1"/>
        <v/>
      </c>
      <c r="Y96" s="1004" t="str">
        <f ca="1"/>
        <v/>
      </c>
      <c r="Z96" s="1017" t="str">
        <f ca="1"/>
        <v/>
      </c>
      <c r="AA96" s="1006" t="str">
        <f ca="1"/>
        <v/>
      </c>
      <c r="AB96" s="1016" t="str">
        <f ca="1"/>
        <v/>
      </c>
      <c r="AC96" s="1016" t="str">
        <f ca="1"/>
        <v/>
      </c>
      <c r="AD96" s="1027" t="str">
        <f ca="1"/>
        <v/>
      </c>
      <c r="AE96" s="1017" t="str">
        <f ca="1"/>
        <v/>
      </c>
      <c r="AF96" s="1027" t="str">
        <f ca="1"/>
        <v/>
      </c>
      <c r="AG96" s="1036" t="str">
        <f ca="1"/>
        <v/>
      </c>
      <c r="AH96" s="1016" t="str">
        <f ca="1"/>
        <v/>
      </c>
      <c r="AI96" s="1019" t="str">
        <f ca="1"/>
        <v/>
      </c>
      <c r="AJ96" s="1028" t="str">
        <f ca="1"/>
        <v/>
      </c>
    </row>
    <row r="97" spans="8:36">
      <c r="H97" s="1015" t="str">
        <f ca="1"/>
        <v/>
      </c>
      <c r="I97" s="1006" t="str">
        <f ca="1"/>
        <v/>
      </c>
      <c r="J97" s="1016" t="str">
        <f ca="1"/>
        <v/>
      </c>
      <c r="K97" s="1017" t="str">
        <f ca="1"/>
        <v/>
      </c>
      <c r="L97" s="1006" t="str">
        <f ca="1"/>
        <v/>
      </c>
      <c r="M97" s="1016" t="str">
        <f ca="1"/>
        <v/>
      </c>
      <c r="N97" s="1016" t="str">
        <f ca="1"/>
        <v/>
      </c>
      <c r="O97" s="1027" t="str">
        <f ca="1"/>
        <v/>
      </c>
      <c r="P97" s="1017" t="str">
        <f ca="1"/>
        <v/>
      </c>
      <c r="Q97" s="1018" t="str">
        <f ca="1"/>
        <v/>
      </c>
      <c r="R97" s="1016" t="str">
        <f ca="1"/>
        <v/>
      </c>
      <c r="S97" s="1004" t="str">
        <f ca="1"/>
        <v/>
      </c>
      <c r="T97" s="1028" t="str">
        <f ca="1"/>
        <v/>
      </c>
      <c r="U97" s="995"/>
      <c r="V97" s="1015" t="str">
        <f ca="1"/>
        <v/>
      </c>
      <c r="W97" s="1006" t="str">
        <f ca="1"/>
        <v/>
      </c>
      <c r="X97" s="1006" t="str">
        <f ca="1"/>
        <v/>
      </c>
      <c r="Y97" s="1004" t="str">
        <f ca="1"/>
        <v/>
      </c>
      <c r="Z97" s="1017" t="str">
        <f ca="1"/>
        <v/>
      </c>
      <c r="AA97" s="1006" t="str">
        <f ca="1"/>
        <v/>
      </c>
      <c r="AB97" s="1016" t="str">
        <f ca="1"/>
        <v/>
      </c>
      <c r="AC97" s="1016" t="str">
        <f ca="1"/>
        <v/>
      </c>
      <c r="AD97" s="1027" t="str">
        <f ca="1"/>
        <v/>
      </c>
      <c r="AE97" s="1017" t="str">
        <f ca="1"/>
        <v/>
      </c>
      <c r="AF97" s="1027" t="str">
        <f ca="1"/>
        <v/>
      </c>
      <c r="AG97" s="1036" t="str">
        <f ca="1"/>
        <v/>
      </c>
      <c r="AH97" s="1016" t="str">
        <f ca="1"/>
        <v/>
      </c>
      <c r="AI97" s="1019" t="str">
        <f ca="1"/>
        <v/>
      </c>
      <c r="AJ97" s="1028" t="str">
        <f ca="1"/>
        <v/>
      </c>
    </row>
    <row r="98" spans="8:36">
      <c r="H98" s="1015" t="str">
        <f ca="1"/>
        <v/>
      </c>
      <c r="I98" s="1006" t="str">
        <f ca="1"/>
        <v/>
      </c>
      <c r="J98" s="1016" t="str">
        <f ca="1"/>
        <v/>
      </c>
      <c r="K98" s="1017" t="str">
        <f ca="1"/>
        <v/>
      </c>
      <c r="L98" s="1006" t="str">
        <f ca="1"/>
        <v/>
      </c>
      <c r="M98" s="1016" t="str">
        <f ca="1"/>
        <v/>
      </c>
      <c r="N98" s="1016" t="str">
        <f ca="1"/>
        <v/>
      </c>
      <c r="O98" s="1027" t="str">
        <f ca="1"/>
        <v/>
      </c>
      <c r="P98" s="1017" t="str">
        <f ca="1"/>
        <v/>
      </c>
      <c r="Q98" s="1018" t="str">
        <f ca="1"/>
        <v/>
      </c>
      <c r="R98" s="1016" t="str">
        <f ca="1"/>
        <v/>
      </c>
      <c r="S98" s="1004" t="str">
        <f ca="1"/>
        <v/>
      </c>
      <c r="T98" s="1028" t="str">
        <f ca="1"/>
        <v/>
      </c>
      <c r="U98" s="995"/>
      <c r="V98" s="1015" t="str">
        <f ca="1"/>
        <v/>
      </c>
      <c r="W98" s="1006" t="str">
        <f ca="1"/>
        <v/>
      </c>
      <c r="X98" s="1006" t="str">
        <f ca="1"/>
        <v/>
      </c>
      <c r="Y98" s="1004" t="str">
        <f ca="1"/>
        <v/>
      </c>
      <c r="Z98" s="1017" t="str">
        <f ca="1"/>
        <v/>
      </c>
      <c r="AA98" s="1006" t="str">
        <f ca="1"/>
        <v/>
      </c>
      <c r="AB98" s="1016" t="str">
        <f ca="1"/>
        <v/>
      </c>
      <c r="AC98" s="1016" t="str">
        <f ca="1"/>
        <v/>
      </c>
      <c r="AD98" s="1027" t="str">
        <f ca="1"/>
        <v/>
      </c>
      <c r="AE98" s="1017" t="str">
        <f ca="1"/>
        <v/>
      </c>
      <c r="AF98" s="1027" t="str">
        <f ca="1"/>
        <v/>
      </c>
      <c r="AG98" s="1036" t="str">
        <f ca="1"/>
        <v/>
      </c>
      <c r="AH98" s="1016" t="str">
        <f ca="1"/>
        <v/>
      </c>
      <c r="AI98" s="1019" t="str">
        <f ca="1"/>
        <v/>
      </c>
      <c r="AJ98" s="1028" t="str">
        <f ca="1"/>
        <v/>
      </c>
    </row>
    <row r="99" spans="8:36">
      <c r="H99" s="1015" t="str">
        <f ca="1"/>
        <v/>
      </c>
      <c r="I99" s="1006" t="str">
        <f ca="1"/>
        <v/>
      </c>
      <c r="J99" s="1016" t="str">
        <f ca="1"/>
        <v/>
      </c>
      <c r="K99" s="1017" t="str">
        <f ca="1"/>
        <v/>
      </c>
      <c r="L99" s="1006" t="str">
        <f ca="1"/>
        <v/>
      </c>
      <c r="M99" s="1016" t="str">
        <f ca="1"/>
        <v/>
      </c>
      <c r="N99" s="1016" t="str">
        <f ca="1"/>
        <v/>
      </c>
      <c r="O99" s="1027" t="str">
        <f ca="1"/>
        <v/>
      </c>
      <c r="P99" s="1017" t="str">
        <f ca="1"/>
        <v/>
      </c>
      <c r="Q99" s="1018" t="str">
        <f ca="1"/>
        <v/>
      </c>
      <c r="R99" s="1016" t="str">
        <f ca="1"/>
        <v/>
      </c>
      <c r="S99" s="1004" t="str">
        <f ca="1"/>
        <v/>
      </c>
      <c r="T99" s="1028" t="str">
        <f ca="1"/>
        <v/>
      </c>
      <c r="U99" s="995"/>
      <c r="V99" s="1015" t="str">
        <f ca="1"/>
        <v/>
      </c>
      <c r="W99" s="1006" t="str">
        <f ca="1"/>
        <v/>
      </c>
      <c r="X99" s="1006" t="str">
        <f ca="1"/>
        <v/>
      </c>
      <c r="Y99" s="1004" t="str">
        <f ca="1"/>
        <v/>
      </c>
      <c r="Z99" s="1017" t="str">
        <f ca="1"/>
        <v/>
      </c>
      <c r="AA99" s="1006" t="str">
        <f ca="1"/>
        <v/>
      </c>
      <c r="AB99" s="1016" t="str">
        <f ca="1"/>
        <v/>
      </c>
      <c r="AC99" s="1016" t="str">
        <f ca="1"/>
        <v/>
      </c>
      <c r="AD99" s="1027" t="str">
        <f ca="1"/>
        <v/>
      </c>
      <c r="AE99" s="1017" t="str">
        <f ca="1"/>
        <v/>
      </c>
      <c r="AF99" s="1027" t="str">
        <f ca="1"/>
        <v/>
      </c>
      <c r="AG99" s="1036" t="str">
        <f ca="1"/>
        <v/>
      </c>
      <c r="AH99" s="1016" t="str">
        <f ca="1"/>
        <v/>
      </c>
      <c r="AI99" s="1019" t="str">
        <f ca="1"/>
        <v/>
      </c>
      <c r="AJ99" s="1028" t="str">
        <f ca="1"/>
        <v/>
      </c>
    </row>
    <row r="100" spans="8:36">
      <c r="H100" s="1015" t="str">
        <f ca="1"/>
        <v/>
      </c>
      <c r="I100" s="1006" t="str">
        <f ca="1"/>
        <v/>
      </c>
      <c r="J100" s="1016" t="str">
        <f ca="1"/>
        <v/>
      </c>
      <c r="K100" s="1017" t="str">
        <f ca="1"/>
        <v/>
      </c>
      <c r="L100" s="1006" t="str">
        <f ca="1"/>
        <v/>
      </c>
      <c r="M100" s="1016" t="str">
        <f ca="1"/>
        <v/>
      </c>
      <c r="N100" s="1016" t="str">
        <f ca="1"/>
        <v/>
      </c>
      <c r="O100" s="1027" t="str">
        <f ca="1"/>
        <v/>
      </c>
      <c r="P100" s="1017" t="str">
        <f ca="1"/>
        <v/>
      </c>
      <c r="Q100" s="1018" t="str">
        <f ca="1"/>
        <v/>
      </c>
      <c r="R100" s="1016" t="str">
        <f ca="1"/>
        <v/>
      </c>
      <c r="S100" s="1004" t="str">
        <f ca="1"/>
        <v/>
      </c>
      <c r="T100" s="1028" t="str">
        <f ca="1"/>
        <v/>
      </c>
      <c r="U100" s="995"/>
      <c r="V100" s="1015" t="str">
        <f ca="1"/>
        <v/>
      </c>
      <c r="W100" s="1006" t="str">
        <f ca="1"/>
        <v/>
      </c>
      <c r="X100" s="1006" t="str">
        <f ca="1"/>
        <v/>
      </c>
      <c r="Y100" s="1004" t="str">
        <f ca="1"/>
        <v/>
      </c>
      <c r="Z100" s="1017" t="str">
        <f ca="1"/>
        <v/>
      </c>
      <c r="AA100" s="1006" t="str">
        <f ca="1"/>
        <v/>
      </c>
      <c r="AB100" s="1016" t="str">
        <f ca="1"/>
        <v/>
      </c>
      <c r="AC100" s="1016" t="str">
        <f ca="1"/>
        <v/>
      </c>
      <c r="AD100" s="1027" t="str">
        <f ca="1"/>
        <v/>
      </c>
      <c r="AE100" s="1017" t="str">
        <f ca="1"/>
        <v/>
      </c>
      <c r="AF100" s="1027" t="str">
        <f ca="1"/>
        <v/>
      </c>
      <c r="AG100" s="1036" t="str">
        <f ca="1"/>
        <v/>
      </c>
      <c r="AH100" s="1016" t="str">
        <f ca="1"/>
        <v/>
      </c>
      <c r="AI100" s="1019" t="str">
        <f ca="1"/>
        <v/>
      </c>
      <c r="AJ100" s="1028" t="str">
        <f ca="1"/>
        <v/>
      </c>
    </row>
    <row r="101" spans="8:36">
      <c r="H101" s="1015" t="str">
        <f ca="1"/>
        <v/>
      </c>
      <c r="I101" s="1006" t="str">
        <f ca="1"/>
        <v/>
      </c>
      <c r="J101" s="1016" t="str">
        <f ca="1"/>
        <v/>
      </c>
      <c r="K101" s="1017" t="str">
        <f ca="1"/>
        <v/>
      </c>
      <c r="L101" s="1006" t="str">
        <f ca="1"/>
        <v/>
      </c>
      <c r="M101" s="1016" t="str">
        <f ca="1"/>
        <v/>
      </c>
      <c r="N101" s="1016" t="str">
        <f ca="1"/>
        <v/>
      </c>
      <c r="O101" s="1027" t="str">
        <f ca="1"/>
        <v/>
      </c>
      <c r="P101" s="1017" t="str">
        <f ca="1"/>
        <v/>
      </c>
      <c r="Q101" s="1018" t="str">
        <f ca="1"/>
        <v/>
      </c>
      <c r="R101" s="1016" t="str">
        <f ca="1"/>
        <v/>
      </c>
      <c r="S101" s="1004" t="str">
        <f ca="1"/>
        <v/>
      </c>
      <c r="T101" s="1028" t="str">
        <f ca="1"/>
        <v/>
      </c>
      <c r="U101" s="995"/>
      <c r="V101" s="1015" t="str">
        <f ca="1"/>
        <v/>
      </c>
      <c r="W101" s="1006" t="str">
        <f ca="1"/>
        <v/>
      </c>
      <c r="X101" s="1006" t="str">
        <f ca="1"/>
        <v/>
      </c>
      <c r="Y101" s="1004" t="str">
        <f ca="1"/>
        <v/>
      </c>
      <c r="Z101" s="1017" t="str">
        <f ca="1"/>
        <v/>
      </c>
      <c r="AA101" s="1006" t="str">
        <f ca="1"/>
        <v/>
      </c>
      <c r="AB101" s="1016" t="str">
        <f ca="1"/>
        <v/>
      </c>
      <c r="AC101" s="1016" t="str">
        <f ca="1"/>
        <v/>
      </c>
      <c r="AD101" s="1027" t="str">
        <f ca="1"/>
        <v/>
      </c>
      <c r="AE101" s="1017" t="str">
        <f ca="1"/>
        <v/>
      </c>
      <c r="AF101" s="1027" t="str">
        <f ca="1"/>
        <v/>
      </c>
      <c r="AG101" s="1036" t="str">
        <f ca="1"/>
        <v/>
      </c>
      <c r="AH101" s="1016" t="str">
        <f ca="1"/>
        <v/>
      </c>
      <c r="AI101" s="1019" t="str">
        <f ca="1"/>
        <v/>
      </c>
      <c r="AJ101" s="1028" t="str">
        <f ca="1"/>
        <v/>
      </c>
    </row>
    <row r="102" spans="8:36">
      <c r="H102" s="1015" t="str">
        <f ca="1"/>
        <v/>
      </c>
      <c r="I102" s="1006" t="str">
        <f ca="1"/>
        <v/>
      </c>
      <c r="J102" s="1016" t="str">
        <f ca="1"/>
        <v/>
      </c>
      <c r="K102" s="1017" t="str">
        <f ca="1"/>
        <v/>
      </c>
      <c r="L102" s="1006" t="str">
        <f ca="1"/>
        <v/>
      </c>
      <c r="M102" s="1016" t="str">
        <f ca="1"/>
        <v/>
      </c>
      <c r="N102" s="1016" t="str">
        <f ca="1"/>
        <v/>
      </c>
      <c r="O102" s="1027" t="str">
        <f ca="1"/>
        <v/>
      </c>
      <c r="P102" s="1017" t="str">
        <f ca="1"/>
        <v/>
      </c>
      <c r="Q102" s="1018" t="str">
        <f ca="1"/>
        <v/>
      </c>
      <c r="R102" s="1016" t="str">
        <f ca="1"/>
        <v/>
      </c>
      <c r="S102" s="1004" t="str">
        <f ca="1"/>
        <v/>
      </c>
      <c r="T102" s="1028" t="str">
        <f ca="1"/>
        <v/>
      </c>
      <c r="U102" s="995"/>
      <c r="V102" s="1015" t="str">
        <f ca="1"/>
        <v/>
      </c>
      <c r="W102" s="1006" t="str">
        <f ca="1"/>
        <v/>
      </c>
      <c r="X102" s="1006" t="str">
        <f ca="1"/>
        <v/>
      </c>
      <c r="Y102" s="1004" t="str">
        <f ca="1"/>
        <v/>
      </c>
      <c r="Z102" s="1017" t="str">
        <f ca="1"/>
        <v/>
      </c>
      <c r="AA102" s="1006" t="str">
        <f ca="1"/>
        <v/>
      </c>
      <c r="AB102" s="1016" t="str">
        <f ca="1"/>
        <v/>
      </c>
      <c r="AC102" s="1016" t="str">
        <f ca="1"/>
        <v/>
      </c>
      <c r="AD102" s="1027" t="str">
        <f ca="1"/>
        <v/>
      </c>
      <c r="AE102" s="1017" t="str">
        <f ca="1"/>
        <v/>
      </c>
      <c r="AF102" s="1027" t="str">
        <f ca="1"/>
        <v/>
      </c>
      <c r="AG102" s="1036" t="str">
        <f ca="1"/>
        <v/>
      </c>
      <c r="AH102" s="1016" t="str">
        <f ca="1"/>
        <v/>
      </c>
      <c r="AI102" s="1019" t="str">
        <f ca="1"/>
        <v/>
      </c>
      <c r="AJ102" s="1028" t="str">
        <f ca="1"/>
        <v/>
      </c>
    </row>
    <row r="103" spans="8:36">
      <c r="H103" s="1015" t="str">
        <f ca="1"/>
        <v/>
      </c>
      <c r="I103" s="1006" t="str">
        <f ca="1"/>
        <v/>
      </c>
      <c r="J103" s="1016" t="str">
        <f ca="1"/>
        <v/>
      </c>
      <c r="K103" s="1017" t="str">
        <f ca="1"/>
        <v/>
      </c>
      <c r="L103" s="1006" t="str">
        <f ca="1"/>
        <v/>
      </c>
      <c r="M103" s="1016" t="str">
        <f ca="1"/>
        <v/>
      </c>
      <c r="N103" s="1016" t="str">
        <f ca="1"/>
        <v/>
      </c>
      <c r="O103" s="1027" t="str">
        <f ca="1"/>
        <v/>
      </c>
      <c r="P103" s="1017" t="str">
        <f ca="1"/>
        <v/>
      </c>
      <c r="Q103" s="1018" t="str">
        <f ca="1"/>
        <v/>
      </c>
      <c r="R103" s="1016" t="str">
        <f ca="1"/>
        <v/>
      </c>
      <c r="S103" s="1004" t="str">
        <f ca="1"/>
        <v/>
      </c>
      <c r="T103" s="1028" t="str">
        <f ca="1"/>
        <v/>
      </c>
      <c r="U103" s="995"/>
      <c r="V103" s="1015" t="str">
        <f ca="1"/>
        <v/>
      </c>
      <c r="W103" s="1006" t="str">
        <f ca="1"/>
        <v/>
      </c>
      <c r="X103" s="1006" t="str">
        <f ca="1"/>
        <v/>
      </c>
      <c r="Y103" s="1004" t="str">
        <f ca="1"/>
        <v/>
      </c>
      <c r="Z103" s="1017" t="str">
        <f ca="1"/>
        <v/>
      </c>
      <c r="AA103" s="1006" t="str">
        <f ca="1"/>
        <v/>
      </c>
      <c r="AB103" s="1016" t="str">
        <f ca="1"/>
        <v/>
      </c>
      <c r="AC103" s="1016" t="str">
        <f ca="1"/>
        <v/>
      </c>
      <c r="AD103" s="1027" t="str">
        <f ca="1"/>
        <v/>
      </c>
      <c r="AE103" s="1017" t="str">
        <f ca="1"/>
        <v/>
      </c>
      <c r="AF103" s="1027" t="str">
        <f ca="1"/>
        <v/>
      </c>
      <c r="AG103" s="1036" t="str">
        <f ca="1"/>
        <v/>
      </c>
      <c r="AH103" s="1016" t="str">
        <f ca="1"/>
        <v/>
      </c>
      <c r="AI103" s="1019" t="str">
        <f ca="1"/>
        <v/>
      </c>
      <c r="AJ103" s="1028" t="str">
        <f ca="1"/>
        <v/>
      </c>
    </row>
    <row r="104" spans="8:36">
      <c r="H104" s="1015" t="str">
        <f ca="1"/>
        <v/>
      </c>
      <c r="I104" s="1006" t="str">
        <f ca="1"/>
        <v/>
      </c>
      <c r="J104" s="1016" t="str">
        <f ca="1"/>
        <v/>
      </c>
      <c r="K104" s="1017" t="str">
        <f ca="1"/>
        <v/>
      </c>
      <c r="L104" s="1006" t="str">
        <f ca="1"/>
        <v/>
      </c>
      <c r="M104" s="1016" t="str">
        <f ca="1"/>
        <v/>
      </c>
      <c r="N104" s="1016" t="str">
        <f ca="1"/>
        <v/>
      </c>
      <c r="O104" s="1027" t="str">
        <f ca="1"/>
        <v/>
      </c>
      <c r="P104" s="1017" t="str">
        <f ca="1"/>
        <v/>
      </c>
      <c r="Q104" s="1018" t="str">
        <f ca="1"/>
        <v/>
      </c>
      <c r="R104" s="1016" t="str">
        <f ca="1"/>
        <v/>
      </c>
      <c r="S104" s="1004" t="str">
        <f ca="1"/>
        <v/>
      </c>
      <c r="T104" s="1028" t="str">
        <f ca="1"/>
        <v/>
      </c>
      <c r="U104" s="995"/>
      <c r="V104" s="1015" t="str">
        <f ca="1"/>
        <v/>
      </c>
      <c r="W104" s="1006" t="str">
        <f ca="1"/>
        <v/>
      </c>
      <c r="X104" s="1006" t="str">
        <f ca="1"/>
        <v/>
      </c>
      <c r="Y104" s="1004" t="str">
        <f ca="1"/>
        <v/>
      </c>
      <c r="Z104" s="1017" t="str">
        <f ca="1"/>
        <v/>
      </c>
      <c r="AA104" s="1006" t="str">
        <f ca="1"/>
        <v/>
      </c>
      <c r="AB104" s="1016" t="str">
        <f ca="1"/>
        <v/>
      </c>
      <c r="AC104" s="1016" t="str">
        <f ca="1"/>
        <v/>
      </c>
      <c r="AD104" s="1027" t="str">
        <f ca="1"/>
        <v/>
      </c>
      <c r="AE104" s="1017" t="str">
        <f ca="1"/>
        <v/>
      </c>
      <c r="AF104" s="1027" t="str">
        <f ca="1"/>
        <v/>
      </c>
      <c r="AG104" s="1036" t="str">
        <f ca="1"/>
        <v/>
      </c>
      <c r="AH104" s="1016" t="str">
        <f ca="1"/>
        <v/>
      </c>
      <c r="AI104" s="1019" t="str">
        <f ca="1"/>
        <v/>
      </c>
      <c r="AJ104" s="1028" t="str">
        <f ca="1"/>
        <v/>
      </c>
    </row>
    <row r="105" spans="8:36">
      <c r="H105" s="1015" t="str">
        <f ca="1"/>
        <v/>
      </c>
      <c r="I105" s="1006" t="str">
        <f ca="1"/>
        <v/>
      </c>
      <c r="J105" s="1016" t="str">
        <f ca="1"/>
        <v/>
      </c>
      <c r="K105" s="1017" t="str">
        <f ca="1"/>
        <v/>
      </c>
      <c r="L105" s="1006" t="str">
        <f ca="1"/>
        <v/>
      </c>
      <c r="M105" s="1016" t="str">
        <f ca="1"/>
        <v/>
      </c>
      <c r="N105" s="1016" t="str">
        <f ca="1"/>
        <v/>
      </c>
      <c r="O105" s="1027" t="str">
        <f ca="1"/>
        <v/>
      </c>
      <c r="P105" s="1017" t="str">
        <f ca="1"/>
        <v/>
      </c>
      <c r="Q105" s="1018" t="str">
        <f ca="1"/>
        <v/>
      </c>
      <c r="R105" s="1016" t="str">
        <f ca="1"/>
        <v/>
      </c>
      <c r="S105" s="1004" t="str">
        <f ca="1"/>
        <v/>
      </c>
      <c r="T105" s="1028" t="str">
        <f ca="1"/>
        <v/>
      </c>
      <c r="U105" s="995"/>
      <c r="V105" s="1015" t="str">
        <f ca="1"/>
        <v/>
      </c>
      <c r="W105" s="1006" t="str">
        <f ca="1"/>
        <v/>
      </c>
      <c r="X105" s="1006" t="str">
        <f ca="1"/>
        <v/>
      </c>
      <c r="Y105" s="1004" t="str">
        <f ca="1"/>
        <v/>
      </c>
      <c r="Z105" s="1017" t="str">
        <f ca="1"/>
        <v/>
      </c>
      <c r="AA105" s="1006" t="str">
        <f ca="1"/>
        <v/>
      </c>
      <c r="AB105" s="1016" t="str">
        <f ca="1"/>
        <v/>
      </c>
      <c r="AC105" s="1016" t="str">
        <f ca="1"/>
        <v/>
      </c>
      <c r="AD105" s="1027" t="str">
        <f ca="1"/>
        <v/>
      </c>
      <c r="AE105" s="1017" t="str">
        <f ca="1"/>
        <v/>
      </c>
      <c r="AF105" s="1027" t="str">
        <f ca="1"/>
        <v/>
      </c>
      <c r="AG105" s="1036" t="str">
        <f ca="1"/>
        <v/>
      </c>
      <c r="AH105" s="1016" t="str">
        <f ca="1"/>
        <v/>
      </c>
      <c r="AI105" s="1019" t="str">
        <f ca="1"/>
        <v/>
      </c>
      <c r="AJ105" s="1028" t="str">
        <f ca="1"/>
        <v/>
      </c>
    </row>
    <row r="106" spans="8:36">
      <c r="H106" s="1015" t="str">
        <f ca="1"/>
        <v/>
      </c>
      <c r="I106" s="1006" t="str">
        <f ca="1"/>
        <v/>
      </c>
      <c r="J106" s="1016" t="str">
        <f ca="1"/>
        <v/>
      </c>
      <c r="K106" s="1017" t="str">
        <f ca="1"/>
        <v/>
      </c>
      <c r="L106" s="1006" t="str">
        <f ca="1"/>
        <v/>
      </c>
      <c r="M106" s="1016" t="str">
        <f ca="1"/>
        <v/>
      </c>
      <c r="N106" s="1016" t="str">
        <f ca="1"/>
        <v/>
      </c>
      <c r="O106" s="1027" t="str">
        <f ca="1"/>
        <v/>
      </c>
      <c r="P106" s="1017" t="str">
        <f ca="1"/>
        <v/>
      </c>
      <c r="Q106" s="1018" t="str">
        <f ca="1"/>
        <v/>
      </c>
      <c r="R106" s="1016" t="str">
        <f ca="1"/>
        <v/>
      </c>
      <c r="S106" s="1004" t="str">
        <f ca="1"/>
        <v/>
      </c>
      <c r="T106" s="1028" t="str">
        <f ca="1"/>
        <v/>
      </c>
      <c r="U106" s="995"/>
      <c r="V106" s="1015" t="str">
        <f ca="1"/>
        <v/>
      </c>
      <c r="W106" s="1006" t="str">
        <f ca="1"/>
        <v/>
      </c>
      <c r="X106" s="1006" t="str">
        <f ca="1"/>
        <v/>
      </c>
      <c r="Y106" s="1004" t="str">
        <f ca="1"/>
        <v/>
      </c>
      <c r="Z106" s="1017" t="str">
        <f ca="1"/>
        <v/>
      </c>
      <c r="AA106" s="1006" t="str">
        <f ca="1"/>
        <v/>
      </c>
      <c r="AB106" s="1016" t="str">
        <f ca="1"/>
        <v/>
      </c>
      <c r="AC106" s="1016" t="str">
        <f ca="1"/>
        <v/>
      </c>
      <c r="AD106" s="1027" t="str">
        <f ca="1"/>
        <v/>
      </c>
      <c r="AE106" s="1017" t="str">
        <f ca="1"/>
        <v/>
      </c>
      <c r="AF106" s="1027" t="str">
        <f ca="1"/>
        <v/>
      </c>
      <c r="AG106" s="1036" t="str">
        <f ca="1"/>
        <v/>
      </c>
      <c r="AH106" s="1016" t="str">
        <f ca="1"/>
        <v/>
      </c>
      <c r="AI106" s="1019" t="str">
        <f ca="1"/>
        <v/>
      </c>
      <c r="AJ106" s="1028" t="str">
        <f ca="1"/>
        <v/>
      </c>
    </row>
    <row r="107" spans="8:36">
      <c r="H107" s="1015" t="str">
        <f ca="1"/>
        <v/>
      </c>
      <c r="I107" s="1006" t="str">
        <f ca="1"/>
        <v/>
      </c>
      <c r="J107" s="1016" t="str">
        <f ca="1"/>
        <v/>
      </c>
      <c r="K107" s="1017" t="str">
        <f ca="1"/>
        <v/>
      </c>
      <c r="L107" s="1006" t="str">
        <f ca="1"/>
        <v/>
      </c>
      <c r="M107" s="1016" t="str">
        <f ca="1"/>
        <v/>
      </c>
      <c r="N107" s="1016" t="str">
        <f ca="1"/>
        <v/>
      </c>
      <c r="O107" s="1027" t="str">
        <f ca="1"/>
        <v/>
      </c>
      <c r="P107" s="1017" t="str">
        <f ca="1"/>
        <v/>
      </c>
      <c r="Q107" s="1018" t="str">
        <f ca="1"/>
        <v/>
      </c>
      <c r="R107" s="1016" t="str">
        <f ca="1"/>
        <v/>
      </c>
      <c r="S107" s="1004" t="str">
        <f ca="1"/>
        <v/>
      </c>
      <c r="T107" s="1028" t="str">
        <f ca="1"/>
        <v/>
      </c>
      <c r="U107" s="995"/>
      <c r="V107" s="1015" t="str">
        <f ca="1"/>
        <v/>
      </c>
      <c r="W107" s="1006" t="str">
        <f ca="1"/>
        <v/>
      </c>
      <c r="X107" s="1006" t="str">
        <f ca="1"/>
        <v/>
      </c>
      <c r="Y107" s="1004" t="str">
        <f ca="1"/>
        <v/>
      </c>
      <c r="Z107" s="1017" t="str">
        <f ca="1"/>
        <v/>
      </c>
      <c r="AA107" s="1006" t="str">
        <f ca="1"/>
        <v/>
      </c>
      <c r="AB107" s="1016" t="str">
        <f ca="1"/>
        <v/>
      </c>
      <c r="AC107" s="1016" t="str">
        <f ca="1"/>
        <v/>
      </c>
      <c r="AD107" s="1027" t="str">
        <f ca="1"/>
        <v/>
      </c>
      <c r="AE107" s="1017" t="str">
        <f ca="1"/>
        <v/>
      </c>
      <c r="AF107" s="1027" t="str">
        <f ca="1"/>
        <v/>
      </c>
      <c r="AG107" s="1036" t="str">
        <f ca="1"/>
        <v/>
      </c>
      <c r="AH107" s="1016" t="str">
        <f ca="1"/>
        <v/>
      </c>
      <c r="AI107" s="1019" t="str">
        <f ca="1"/>
        <v/>
      </c>
      <c r="AJ107" s="1028" t="str">
        <f ca="1"/>
        <v/>
      </c>
    </row>
    <row r="108" spans="8:36">
      <c r="H108" s="1015" t="str">
        <f ca="1"/>
        <v/>
      </c>
      <c r="I108" s="1006" t="str">
        <f ca="1"/>
        <v/>
      </c>
      <c r="J108" s="1016" t="str">
        <f ca="1"/>
        <v/>
      </c>
      <c r="K108" s="1017" t="str">
        <f ca="1"/>
        <v/>
      </c>
      <c r="L108" s="1006" t="str">
        <f ca="1"/>
        <v/>
      </c>
      <c r="M108" s="1016" t="str">
        <f ca="1"/>
        <v/>
      </c>
      <c r="N108" s="1016" t="str">
        <f ca="1"/>
        <v/>
      </c>
      <c r="O108" s="1027" t="str">
        <f ca="1"/>
        <v/>
      </c>
      <c r="P108" s="1017" t="str">
        <f ca="1"/>
        <v/>
      </c>
      <c r="Q108" s="1018" t="str">
        <f ca="1"/>
        <v/>
      </c>
      <c r="R108" s="1016" t="str">
        <f ca="1"/>
        <v/>
      </c>
      <c r="S108" s="1004" t="str">
        <f ca="1"/>
        <v/>
      </c>
      <c r="T108" s="1028" t="str">
        <f ca="1"/>
        <v/>
      </c>
      <c r="U108" s="995"/>
      <c r="V108" s="1015" t="str">
        <f ca="1"/>
        <v/>
      </c>
      <c r="W108" s="1006" t="str">
        <f ca="1"/>
        <v/>
      </c>
      <c r="X108" s="1006" t="str">
        <f ca="1"/>
        <v/>
      </c>
      <c r="Y108" s="1004" t="str">
        <f ca="1"/>
        <v/>
      </c>
      <c r="Z108" s="1017" t="str">
        <f ca="1"/>
        <v/>
      </c>
      <c r="AA108" s="1006" t="str">
        <f ca="1"/>
        <v/>
      </c>
      <c r="AB108" s="1016" t="str">
        <f ca="1"/>
        <v/>
      </c>
      <c r="AC108" s="1016" t="str">
        <f ca="1"/>
        <v/>
      </c>
      <c r="AD108" s="1027" t="str">
        <f ca="1"/>
        <v/>
      </c>
      <c r="AE108" s="1017" t="str">
        <f ca="1"/>
        <v/>
      </c>
      <c r="AF108" s="1027" t="str">
        <f ca="1"/>
        <v/>
      </c>
      <c r="AG108" s="1036" t="str">
        <f ca="1"/>
        <v/>
      </c>
      <c r="AH108" s="1016" t="str">
        <f ca="1"/>
        <v/>
      </c>
      <c r="AI108" s="1019" t="str">
        <f ca="1"/>
        <v/>
      </c>
      <c r="AJ108" s="1028" t="str">
        <f ca="1"/>
        <v/>
      </c>
    </row>
    <row r="109" spans="8:36">
      <c r="H109" s="1015" t="str">
        <f ca="1"/>
        <v/>
      </c>
      <c r="I109" s="1006" t="str">
        <f ca="1"/>
        <v/>
      </c>
      <c r="J109" s="1016" t="str">
        <f ca="1"/>
        <v/>
      </c>
      <c r="K109" s="1017" t="str">
        <f ca="1"/>
        <v/>
      </c>
      <c r="L109" s="1006" t="str">
        <f ca="1"/>
        <v/>
      </c>
      <c r="M109" s="1016" t="str">
        <f ca="1"/>
        <v/>
      </c>
      <c r="N109" s="1016" t="str">
        <f ca="1"/>
        <v/>
      </c>
      <c r="O109" s="1027" t="str">
        <f ca="1"/>
        <v/>
      </c>
      <c r="P109" s="1017" t="str">
        <f ca="1"/>
        <v/>
      </c>
      <c r="Q109" s="1018" t="str">
        <f ca="1"/>
        <v/>
      </c>
      <c r="R109" s="1016" t="str">
        <f ca="1"/>
        <v/>
      </c>
      <c r="S109" s="1004" t="str">
        <f ca="1"/>
        <v/>
      </c>
      <c r="T109" s="1028" t="str">
        <f ca="1"/>
        <v/>
      </c>
      <c r="U109" s="995"/>
      <c r="V109" s="1015" t="str">
        <f ca="1"/>
        <v/>
      </c>
      <c r="W109" s="1006" t="str">
        <f ca="1"/>
        <v/>
      </c>
      <c r="X109" s="1006" t="str">
        <f ca="1"/>
        <v/>
      </c>
      <c r="Y109" s="1004" t="str">
        <f ca="1"/>
        <v/>
      </c>
      <c r="Z109" s="1017" t="str">
        <f ca="1"/>
        <v/>
      </c>
      <c r="AA109" s="1006" t="str">
        <f ca="1"/>
        <v/>
      </c>
      <c r="AB109" s="1016" t="str">
        <f ca="1"/>
        <v/>
      </c>
      <c r="AC109" s="1016" t="str">
        <f ca="1"/>
        <v/>
      </c>
      <c r="AD109" s="1027" t="str">
        <f ca="1"/>
        <v/>
      </c>
      <c r="AE109" s="1017" t="str">
        <f ca="1"/>
        <v/>
      </c>
      <c r="AF109" s="1027" t="str">
        <f ca="1"/>
        <v/>
      </c>
      <c r="AG109" s="1036" t="str">
        <f ca="1"/>
        <v/>
      </c>
      <c r="AH109" s="1016" t="str">
        <f ca="1"/>
        <v/>
      </c>
      <c r="AI109" s="1019" t="str">
        <f ca="1"/>
        <v/>
      </c>
      <c r="AJ109" s="1028" t="str">
        <f ca="1"/>
        <v/>
      </c>
    </row>
    <row r="110" spans="8:36">
      <c r="H110" s="1015" t="str">
        <f ca="1"/>
        <v/>
      </c>
      <c r="I110" s="1006" t="str">
        <f ca="1"/>
        <v/>
      </c>
      <c r="J110" s="1016" t="str">
        <f ca="1"/>
        <v/>
      </c>
      <c r="K110" s="1017" t="str">
        <f ca="1"/>
        <v/>
      </c>
      <c r="L110" s="1006" t="str">
        <f ca="1"/>
        <v/>
      </c>
      <c r="M110" s="1016" t="str">
        <f ca="1"/>
        <v/>
      </c>
      <c r="N110" s="1016" t="str">
        <f ca="1"/>
        <v/>
      </c>
      <c r="O110" s="1027" t="str">
        <f ca="1"/>
        <v/>
      </c>
      <c r="P110" s="1017" t="str">
        <f ca="1"/>
        <v/>
      </c>
      <c r="Q110" s="1018" t="str">
        <f ca="1"/>
        <v/>
      </c>
      <c r="R110" s="1016" t="str">
        <f ca="1"/>
        <v/>
      </c>
      <c r="S110" s="1004" t="str">
        <f ca="1"/>
        <v/>
      </c>
      <c r="T110" s="1028" t="str">
        <f ca="1"/>
        <v/>
      </c>
      <c r="U110" s="995"/>
      <c r="V110" s="1015" t="str">
        <f ca="1"/>
        <v/>
      </c>
      <c r="W110" s="1006" t="str">
        <f ca="1"/>
        <v/>
      </c>
      <c r="X110" s="1006" t="str">
        <f ca="1"/>
        <v/>
      </c>
      <c r="Y110" s="1004" t="str">
        <f ca="1"/>
        <v/>
      </c>
      <c r="Z110" s="1017" t="str">
        <f ca="1"/>
        <v/>
      </c>
      <c r="AA110" s="1006" t="str">
        <f ca="1"/>
        <v/>
      </c>
      <c r="AB110" s="1016" t="str">
        <f ca="1"/>
        <v/>
      </c>
      <c r="AC110" s="1016" t="str">
        <f ca="1"/>
        <v/>
      </c>
      <c r="AD110" s="1027" t="str">
        <f ca="1"/>
        <v/>
      </c>
      <c r="AE110" s="1017" t="str">
        <f ca="1"/>
        <v/>
      </c>
      <c r="AF110" s="1027" t="str">
        <f ca="1"/>
        <v/>
      </c>
      <c r="AG110" s="1036" t="str">
        <f ca="1"/>
        <v/>
      </c>
      <c r="AH110" s="1016" t="str">
        <f ca="1"/>
        <v/>
      </c>
      <c r="AI110" s="1019" t="str">
        <f ca="1"/>
        <v/>
      </c>
      <c r="AJ110" s="1028" t="str">
        <f ca="1"/>
        <v/>
      </c>
    </row>
    <row r="111" spans="8:36">
      <c r="H111" s="1015" t="str">
        <f ca="1"/>
        <v/>
      </c>
      <c r="I111" s="1006" t="str">
        <f ca="1"/>
        <v/>
      </c>
      <c r="J111" s="1016" t="str">
        <f ca="1"/>
        <v/>
      </c>
      <c r="K111" s="1017" t="str">
        <f ca="1"/>
        <v/>
      </c>
      <c r="L111" s="1006" t="str">
        <f ca="1"/>
        <v/>
      </c>
      <c r="M111" s="1016" t="str">
        <f ca="1"/>
        <v/>
      </c>
      <c r="N111" s="1016" t="str">
        <f ca="1"/>
        <v/>
      </c>
      <c r="O111" s="1027" t="str">
        <f ca="1"/>
        <v/>
      </c>
      <c r="P111" s="1017" t="str">
        <f ca="1"/>
        <v/>
      </c>
      <c r="Q111" s="1018" t="str">
        <f ca="1"/>
        <v/>
      </c>
      <c r="R111" s="1016" t="str">
        <f ca="1"/>
        <v/>
      </c>
      <c r="S111" s="1004" t="str">
        <f ca="1"/>
        <v/>
      </c>
      <c r="T111" s="1028" t="str">
        <f ca="1"/>
        <v/>
      </c>
      <c r="U111" s="995"/>
      <c r="V111" s="1015" t="str">
        <f ca="1"/>
        <v/>
      </c>
      <c r="W111" s="1006" t="str">
        <f ca="1"/>
        <v/>
      </c>
      <c r="X111" s="1006" t="str">
        <f ca="1"/>
        <v/>
      </c>
      <c r="Y111" s="1004" t="str">
        <f ca="1"/>
        <v/>
      </c>
      <c r="Z111" s="1017" t="str">
        <f ca="1"/>
        <v/>
      </c>
      <c r="AA111" s="1006" t="str">
        <f ca="1"/>
        <v/>
      </c>
      <c r="AB111" s="1016" t="str">
        <f ca="1"/>
        <v/>
      </c>
      <c r="AC111" s="1016" t="str">
        <f ca="1"/>
        <v/>
      </c>
      <c r="AD111" s="1027" t="str">
        <f ca="1"/>
        <v/>
      </c>
      <c r="AE111" s="1017" t="str">
        <f ca="1"/>
        <v/>
      </c>
      <c r="AF111" s="1027" t="str">
        <f ca="1"/>
        <v/>
      </c>
      <c r="AG111" s="1036" t="str">
        <f ca="1"/>
        <v/>
      </c>
      <c r="AH111" s="1016" t="str">
        <f ca="1"/>
        <v/>
      </c>
      <c r="AI111" s="1019" t="str">
        <f ca="1"/>
        <v/>
      </c>
      <c r="AJ111" s="1028" t="str">
        <f ca="1"/>
        <v/>
      </c>
    </row>
    <row r="112" spans="8:36">
      <c r="H112" s="1015" t="str">
        <f ca="1"/>
        <v/>
      </c>
      <c r="I112" s="1006" t="str">
        <f ca="1"/>
        <v/>
      </c>
      <c r="J112" s="1016" t="str">
        <f ca="1"/>
        <v/>
      </c>
      <c r="K112" s="1017" t="str">
        <f ca="1"/>
        <v/>
      </c>
      <c r="L112" s="1006" t="str">
        <f ca="1"/>
        <v/>
      </c>
      <c r="M112" s="1016" t="str">
        <f ca="1"/>
        <v/>
      </c>
      <c r="N112" s="1016" t="str">
        <f ca="1"/>
        <v/>
      </c>
      <c r="O112" s="1027" t="str">
        <f ca="1"/>
        <v/>
      </c>
      <c r="P112" s="1017" t="str">
        <f ca="1"/>
        <v/>
      </c>
      <c r="Q112" s="1018" t="str">
        <f ca="1"/>
        <v/>
      </c>
      <c r="R112" s="1016" t="str">
        <f ca="1"/>
        <v/>
      </c>
      <c r="S112" s="1004" t="str">
        <f ca="1"/>
        <v/>
      </c>
      <c r="T112" s="1028" t="str">
        <f ca="1"/>
        <v/>
      </c>
      <c r="U112" s="995"/>
      <c r="V112" s="1015" t="str">
        <f ca="1"/>
        <v/>
      </c>
      <c r="W112" s="1006" t="str">
        <f ca="1"/>
        <v/>
      </c>
      <c r="X112" s="1006" t="str">
        <f ca="1"/>
        <v/>
      </c>
      <c r="Y112" s="1004" t="str">
        <f ca="1"/>
        <v/>
      </c>
      <c r="Z112" s="1017" t="str">
        <f ca="1"/>
        <v/>
      </c>
      <c r="AA112" s="1006" t="str">
        <f ca="1"/>
        <v/>
      </c>
      <c r="AB112" s="1016" t="str">
        <f ca="1"/>
        <v/>
      </c>
      <c r="AC112" s="1016" t="str">
        <f ca="1"/>
        <v/>
      </c>
      <c r="AD112" s="1027" t="str">
        <f ca="1"/>
        <v/>
      </c>
      <c r="AE112" s="1017" t="str">
        <f ca="1"/>
        <v/>
      </c>
      <c r="AF112" s="1027" t="str">
        <f ca="1"/>
        <v/>
      </c>
      <c r="AG112" s="1036" t="str">
        <f ca="1"/>
        <v/>
      </c>
      <c r="AH112" s="1016" t="str">
        <f ca="1"/>
        <v/>
      </c>
      <c r="AI112" s="1019" t="str">
        <f ca="1"/>
        <v/>
      </c>
      <c r="AJ112" s="1028" t="str">
        <f ca="1"/>
        <v/>
      </c>
    </row>
    <row r="113" spans="8:36">
      <c r="H113" s="1015" t="str">
        <f ca="1"/>
        <v/>
      </c>
      <c r="I113" s="1006" t="str">
        <f ca="1"/>
        <v/>
      </c>
      <c r="J113" s="1016" t="str">
        <f ca="1"/>
        <v/>
      </c>
      <c r="K113" s="1017" t="str">
        <f ca="1"/>
        <v/>
      </c>
      <c r="L113" s="1006" t="str">
        <f ca="1"/>
        <v/>
      </c>
      <c r="M113" s="1016" t="str">
        <f ca="1"/>
        <v/>
      </c>
      <c r="N113" s="1016" t="str">
        <f ca="1"/>
        <v/>
      </c>
      <c r="O113" s="1027" t="str">
        <f ca="1"/>
        <v/>
      </c>
      <c r="P113" s="1017" t="str">
        <f ca="1"/>
        <v/>
      </c>
      <c r="Q113" s="1018" t="str">
        <f ca="1"/>
        <v/>
      </c>
      <c r="R113" s="1016" t="str">
        <f ca="1"/>
        <v/>
      </c>
      <c r="S113" s="1004" t="str">
        <f ca="1"/>
        <v/>
      </c>
      <c r="T113" s="1028" t="str">
        <f ca="1"/>
        <v/>
      </c>
      <c r="U113" s="995"/>
      <c r="V113" s="1015" t="str">
        <f ca="1"/>
        <v/>
      </c>
      <c r="W113" s="1006" t="str">
        <f ca="1"/>
        <v/>
      </c>
      <c r="X113" s="1006" t="str">
        <f ca="1"/>
        <v/>
      </c>
      <c r="Y113" s="1004" t="str">
        <f ca="1"/>
        <v/>
      </c>
      <c r="Z113" s="1017" t="str">
        <f ca="1"/>
        <v/>
      </c>
      <c r="AA113" s="1006" t="str">
        <f ca="1"/>
        <v/>
      </c>
      <c r="AB113" s="1016" t="str">
        <f ca="1"/>
        <v/>
      </c>
      <c r="AC113" s="1016" t="str">
        <f ca="1"/>
        <v/>
      </c>
      <c r="AD113" s="1027" t="str">
        <f ca="1"/>
        <v/>
      </c>
      <c r="AE113" s="1017" t="str">
        <f ca="1"/>
        <v/>
      </c>
      <c r="AF113" s="1027" t="str">
        <f ca="1"/>
        <v/>
      </c>
      <c r="AG113" s="1036" t="str">
        <f ca="1"/>
        <v/>
      </c>
      <c r="AH113" s="1016" t="str">
        <f ca="1"/>
        <v/>
      </c>
      <c r="AI113" s="1019" t="str">
        <f ca="1"/>
        <v/>
      </c>
      <c r="AJ113" s="1028" t="str">
        <f ca="1"/>
        <v/>
      </c>
    </row>
    <row r="114" spans="8:36">
      <c r="H114" s="1015" t="str">
        <f ca="1"/>
        <v/>
      </c>
      <c r="I114" s="1006" t="str">
        <f ca="1"/>
        <v/>
      </c>
      <c r="J114" s="1016" t="str">
        <f ca="1"/>
        <v/>
      </c>
      <c r="K114" s="1017" t="str">
        <f ca="1"/>
        <v/>
      </c>
      <c r="L114" s="1006" t="str">
        <f ca="1"/>
        <v/>
      </c>
      <c r="M114" s="1016" t="str">
        <f ca="1"/>
        <v/>
      </c>
      <c r="N114" s="1016" t="str">
        <f ca="1"/>
        <v/>
      </c>
      <c r="O114" s="1027" t="str">
        <f ca="1"/>
        <v/>
      </c>
      <c r="P114" s="1017" t="str">
        <f ca="1"/>
        <v/>
      </c>
      <c r="Q114" s="1018" t="str">
        <f ca="1"/>
        <v/>
      </c>
      <c r="R114" s="1016" t="str">
        <f ca="1"/>
        <v/>
      </c>
      <c r="S114" s="1004" t="str">
        <f ca="1"/>
        <v/>
      </c>
      <c r="T114" s="1028" t="str">
        <f ca="1"/>
        <v/>
      </c>
      <c r="U114" s="995"/>
      <c r="V114" s="1015" t="str">
        <f ca="1"/>
        <v/>
      </c>
      <c r="W114" s="1006" t="str">
        <f ca="1"/>
        <v/>
      </c>
      <c r="X114" s="1006" t="str">
        <f ca="1"/>
        <v/>
      </c>
      <c r="Y114" s="1004" t="str">
        <f ca="1"/>
        <v/>
      </c>
      <c r="Z114" s="1017" t="str">
        <f ca="1"/>
        <v/>
      </c>
      <c r="AA114" s="1006" t="str">
        <f ca="1"/>
        <v/>
      </c>
      <c r="AB114" s="1016" t="str">
        <f ca="1"/>
        <v/>
      </c>
      <c r="AC114" s="1016" t="str">
        <f ca="1"/>
        <v/>
      </c>
      <c r="AD114" s="1027" t="str">
        <f ca="1"/>
        <v/>
      </c>
      <c r="AE114" s="1017" t="str">
        <f ca="1"/>
        <v/>
      </c>
      <c r="AF114" s="1027" t="str">
        <f ca="1"/>
        <v/>
      </c>
      <c r="AG114" s="1036" t="str">
        <f ca="1"/>
        <v/>
      </c>
      <c r="AH114" s="1016" t="str">
        <f ca="1"/>
        <v/>
      </c>
      <c r="AI114" s="1019" t="str">
        <f ca="1"/>
        <v/>
      </c>
      <c r="AJ114" s="1028" t="str">
        <f ca="1"/>
        <v/>
      </c>
    </row>
    <row r="115" spans="8:36">
      <c r="H115" s="1015" t="str">
        <f ca="1"/>
        <v/>
      </c>
      <c r="I115" s="1006" t="str">
        <f ca="1"/>
        <v/>
      </c>
      <c r="J115" s="1016" t="str">
        <f ca="1"/>
        <v/>
      </c>
      <c r="K115" s="1017" t="str">
        <f ca="1"/>
        <v/>
      </c>
      <c r="L115" s="1006" t="str">
        <f ca="1"/>
        <v/>
      </c>
      <c r="M115" s="1016" t="str">
        <f ca="1"/>
        <v/>
      </c>
      <c r="N115" s="1016" t="str">
        <f ca="1"/>
        <v/>
      </c>
      <c r="O115" s="1027" t="str">
        <f ca="1"/>
        <v/>
      </c>
      <c r="P115" s="1017" t="str">
        <f ca="1"/>
        <v/>
      </c>
      <c r="Q115" s="1018" t="str">
        <f ca="1"/>
        <v/>
      </c>
      <c r="R115" s="1016" t="str">
        <f ca="1"/>
        <v/>
      </c>
      <c r="S115" s="1004" t="str">
        <f ca="1"/>
        <v/>
      </c>
      <c r="T115" s="1028" t="str">
        <f ca="1"/>
        <v/>
      </c>
      <c r="U115" s="995"/>
      <c r="V115" s="1015" t="str">
        <f ca="1"/>
        <v/>
      </c>
      <c r="W115" s="1006" t="str">
        <f ca="1"/>
        <v/>
      </c>
      <c r="X115" s="1006" t="str">
        <f ca="1"/>
        <v/>
      </c>
      <c r="Y115" s="1004" t="str">
        <f ca="1"/>
        <v/>
      </c>
      <c r="Z115" s="1017" t="str">
        <f ca="1"/>
        <v/>
      </c>
      <c r="AA115" s="1006" t="str">
        <f ca="1"/>
        <v/>
      </c>
      <c r="AB115" s="1016" t="str">
        <f ca="1"/>
        <v/>
      </c>
      <c r="AC115" s="1016" t="str">
        <f ca="1"/>
        <v/>
      </c>
      <c r="AD115" s="1027" t="str">
        <f ca="1"/>
        <v/>
      </c>
      <c r="AE115" s="1017" t="str">
        <f ca="1"/>
        <v/>
      </c>
      <c r="AF115" s="1027" t="str">
        <f ca="1"/>
        <v/>
      </c>
      <c r="AG115" s="1036" t="str">
        <f ca="1"/>
        <v/>
      </c>
      <c r="AH115" s="1016" t="str">
        <f ca="1"/>
        <v/>
      </c>
      <c r="AI115" s="1019" t="str">
        <f ca="1"/>
        <v/>
      </c>
      <c r="AJ115" s="1028" t="str">
        <f ca="1"/>
        <v/>
      </c>
    </row>
    <row r="116" spans="8:36">
      <c r="H116" s="1015" t="str">
        <f ca="1"/>
        <v/>
      </c>
      <c r="I116" s="1006" t="str">
        <f ca="1"/>
        <v/>
      </c>
      <c r="J116" s="1016" t="str">
        <f ca="1"/>
        <v/>
      </c>
      <c r="K116" s="1017" t="str">
        <f ca="1"/>
        <v/>
      </c>
      <c r="L116" s="1006" t="str">
        <f ca="1"/>
        <v/>
      </c>
      <c r="M116" s="1016" t="str">
        <f ca="1"/>
        <v/>
      </c>
      <c r="N116" s="1016" t="str">
        <f ca="1"/>
        <v/>
      </c>
      <c r="O116" s="1027" t="str">
        <f ca="1"/>
        <v/>
      </c>
      <c r="P116" s="1017" t="str">
        <f ca="1"/>
        <v/>
      </c>
      <c r="Q116" s="1018" t="str">
        <f ca="1"/>
        <v/>
      </c>
      <c r="R116" s="1016" t="str">
        <f ca="1"/>
        <v/>
      </c>
      <c r="S116" s="1004" t="str">
        <f ca="1"/>
        <v/>
      </c>
      <c r="T116" s="1028" t="str">
        <f ca="1"/>
        <v/>
      </c>
      <c r="U116" s="995"/>
      <c r="V116" s="1015" t="str">
        <f ca="1"/>
        <v/>
      </c>
      <c r="W116" s="1006" t="str">
        <f ca="1"/>
        <v/>
      </c>
      <c r="X116" s="1006" t="str">
        <f ca="1"/>
        <v/>
      </c>
      <c r="Y116" s="1004" t="str">
        <f ca="1"/>
        <v/>
      </c>
      <c r="Z116" s="1017" t="str">
        <f ca="1"/>
        <v/>
      </c>
      <c r="AA116" s="1006" t="str">
        <f ca="1"/>
        <v/>
      </c>
      <c r="AB116" s="1016" t="str">
        <f ca="1"/>
        <v/>
      </c>
      <c r="AC116" s="1016" t="str">
        <f ca="1"/>
        <v/>
      </c>
      <c r="AD116" s="1027" t="str">
        <f ca="1"/>
        <v/>
      </c>
      <c r="AE116" s="1017" t="str">
        <f ca="1"/>
        <v/>
      </c>
      <c r="AF116" s="1027" t="str">
        <f ca="1"/>
        <v/>
      </c>
      <c r="AG116" s="1036" t="str">
        <f ca="1"/>
        <v/>
      </c>
      <c r="AH116" s="1016" t="str">
        <f ca="1"/>
        <v/>
      </c>
      <c r="AI116" s="1019" t="str">
        <f ca="1"/>
        <v/>
      </c>
      <c r="AJ116" s="1028" t="str">
        <f ca="1"/>
        <v/>
      </c>
    </row>
    <row r="117" spans="8:36">
      <c r="H117" s="1015" t="str">
        <f ca="1"/>
        <v/>
      </c>
      <c r="I117" s="1006" t="str">
        <f ca="1"/>
        <v/>
      </c>
      <c r="J117" s="1016" t="str">
        <f ca="1"/>
        <v/>
      </c>
      <c r="K117" s="1017" t="str">
        <f ca="1"/>
        <v/>
      </c>
      <c r="L117" s="1006" t="str">
        <f ca="1"/>
        <v/>
      </c>
      <c r="M117" s="1016" t="str">
        <f ca="1"/>
        <v/>
      </c>
      <c r="N117" s="1016" t="str">
        <f ca="1"/>
        <v/>
      </c>
      <c r="O117" s="1027" t="str">
        <f ca="1"/>
        <v/>
      </c>
      <c r="P117" s="1017" t="str">
        <f ca="1"/>
        <v/>
      </c>
      <c r="Q117" s="1018" t="str">
        <f ca="1"/>
        <v/>
      </c>
      <c r="R117" s="1016" t="str">
        <f ca="1"/>
        <v/>
      </c>
      <c r="S117" s="1004" t="str">
        <f ca="1"/>
        <v/>
      </c>
      <c r="T117" s="1028" t="str">
        <f ca="1"/>
        <v/>
      </c>
      <c r="U117" s="995"/>
      <c r="V117" s="1015" t="str">
        <f ca="1"/>
        <v/>
      </c>
      <c r="W117" s="1006" t="str">
        <f ca="1"/>
        <v/>
      </c>
      <c r="X117" s="1006" t="str">
        <f ca="1"/>
        <v/>
      </c>
      <c r="Y117" s="1004" t="str">
        <f ca="1"/>
        <v/>
      </c>
      <c r="Z117" s="1017" t="str">
        <f ca="1"/>
        <v/>
      </c>
      <c r="AA117" s="1006" t="str">
        <f ca="1"/>
        <v/>
      </c>
      <c r="AB117" s="1016" t="str">
        <f ca="1"/>
        <v/>
      </c>
      <c r="AC117" s="1016" t="str">
        <f ca="1"/>
        <v/>
      </c>
      <c r="AD117" s="1027" t="str">
        <f ca="1"/>
        <v/>
      </c>
      <c r="AE117" s="1017" t="str">
        <f ca="1"/>
        <v/>
      </c>
      <c r="AF117" s="1027" t="str">
        <f ca="1"/>
        <v/>
      </c>
      <c r="AG117" s="1036" t="str">
        <f ca="1"/>
        <v/>
      </c>
      <c r="AH117" s="1016" t="str">
        <f ca="1"/>
        <v/>
      </c>
      <c r="AI117" s="1019" t="str">
        <f ca="1"/>
        <v/>
      </c>
      <c r="AJ117" s="1028" t="str">
        <f ca="1"/>
        <v/>
      </c>
    </row>
    <row r="118" spans="8:36">
      <c r="H118" s="1015" t="str">
        <f ca="1"/>
        <v/>
      </c>
      <c r="I118" s="1006" t="str">
        <f ca="1"/>
        <v/>
      </c>
      <c r="J118" s="1016" t="str">
        <f ca="1"/>
        <v/>
      </c>
      <c r="K118" s="1017" t="str">
        <f ca="1"/>
        <v/>
      </c>
      <c r="L118" s="1006" t="str">
        <f ca="1"/>
        <v/>
      </c>
      <c r="M118" s="1016" t="str">
        <f ca="1"/>
        <v/>
      </c>
      <c r="N118" s="1016" t="str">
        <f ca="1"/>
        <v/>
      </c>
      <c r="O118" s="1027" t="str">
        <f ca="1"/>
        <v/>
      </c>
      <c r="P118" s="1017" t="str">
        <f ca="1"/>
        <v/>
      </c>
      <c r="Q118" s="1018" t="str">
        <f ca="1"/>
        <v/>
      </c>
      <c r="R118" s="1016" t="str">
        <f ca="1"/>
        <v/>
      </c>
      <c r="S118" s="1004" t="str">
        <f ca="1"/>
        <v/>
      </c>
      <c r="T118" s="1028" t="str">
        <f ca="1"/>
        <v/>
      </c>
      <c r="U118" s="995"/>
      <c r="V118" s="1015" t="str">
        <f ca="1"/>
        <v/>
      </c>
      <c r="W118" s="1006" t="str">
        <f ca="1"/>
        <v/>
      </c>
      <c r="X118" s="1006" t="str">
        <f ca="1"/>
        <v/>
      </c>
      <c r="Y118" s="1004" t="str">
        <f ca="1"/>
        <v/>
      </c>
      <c r="Z118" s="1017" t="str">
        <f ca="1"/>
        <v/>
      </c>
      <c r="AA118" s="1006" t="str">
        <f ca="1"/>
        <v/>
      </c>
      <c r="AB118" s="1016" t="str">
        <f ca="1"/>
        <v/>
      </c>
      <c r="AC118" s="1016" t="str">
        <f ca="1"/>
        <v/>
      </c>
      <c r="AD118" s="1027" t="str">
        <f ca="1"/>
        <v/>
      </c>
      <c r="AE118" s="1017" t="str">
        <f ca="1"/>
        <v/>
      </c>
      <c r="AF118" s="1027" t="str">
        <f ca="1"/>
        <v/>
      </c>
      <c r="AG118" s="1036" t="str">
        <f ca="1"/>
        <v/>
      </c>
      <c r="AH118" s="1016" t="str">
        <f ca="1"/>
        <v/>
      </c>
      <c r="AI118" s="1019" t="str">
        <f ca="1"/>
        <v/>
      </c>
      <c r="AJ118" s="1028" t="str">
        <f ca="1"/>
        <v/>
      </c>
    </row>
    <row r="119" spans="8:36">
      <c r="H119" s="1015" t="str">
        <f ca="1"/>
        <v/>
      </c>
      <c r="I119" s="1006" t="str">
        <f ca="1"/>
        <v/>
      </c>
      <c r="J119" s="1016" t="str">
        <f ca="1"/>
        <v/>
      </c>
      <c r="K119" s="1017" t="str">
        <f ca="1"/>
        <v/>
      </c>
      <c r="L119" s="1006" t="str">
        <f ca="1"/>
        <v/>
      </c>
      <c r="M119" s="1016" t="str">
        <f ca="1"/>
        <v/>
      </c>
      <c r="N119" s="1016" t="str">
        <f ca="1"/>
        <v/>
      </c>
      <c r="O119" s="1027" t="str">
        <f ca="1"/>
        <v/>
      </c>
      <c r="P119" s="1017" t="str">
        <f ca="1"/>
        <v/>
      </c>
      <c r="Q119" s="1018" t="str">
        <f ca="1"/>
        <v/>
      </c>
      <c r="R119" s="1016" t="str">
        <f ca="1"/>
        <v/>
      </c>
      <c r="S119" s="1004" t="str">
        <f ca="1"/>
        <v/>
      </c>
      <c r="T119" s="1028" t="str">
        <f ca="1"/>
        <v/>
      </c>
      <c r="U119" s="995"/>
      <c r="V119" s="1015" t="str">
        <f ca="1"/>
        <v/>
      </c>
      <c r="W119" s="1006" t="str">
        <f ca="1"/>
        <v/>
      </c>
      <c r="X119" s="1006" t="str">
        <f ca="1"/>
        <v/>
      </c>
      <c r="Y119" s="1004" t="str">
        <f ca="1"/>
        <v/>
      </c>
      <c r="Z119" s="1017" t="str">
        <f ca="1"/>
        <v/>
      </c>
      <c r="AA119" s="1006" t="str">
        <f ca="1"/>
        <v/>
      </c>
      <c r="AB119" s="1016" t="str">
        <f ca="1"/>
        <v/>
      </c>
      <c r="AC119" s="1016" t="str">
        <f ca="1"/>
        <v/>
      </c>
      <c r="AD119" s="1027" t="str">
        <f ca="1"/>
        <v/>
      </c>
      <c r="AE119" s="1017" t="str">
        <f ca="1"/>
        <v/>
      </c>
      <c r="AF119" s="1027" t="str">
        <f ca="1"/>
        <v/>
      </c>
      <c r="AG119" s="1036" t="str">
        <f ca="1"/>
        <v/>
      </c>
      <c r="AH119" s="1016" t="str">
        <f ca="1"/>
        <v/>
      </c>
      <c r="AI119" s="1019" t="str">
        <f ca="1"/>
        <v/>
      </c>
      <c r="AJ119" s="1028" t="str">
        <f ca="1"/>
        <v/>
      </c>
    </row>
    <row r="120" spans="8:36">
      <c r="H120" s="1015" t="str">
        <f ca="1"/>
        <v/>
      </c>
      <c r="I120" s="1006" t="str">
        <f ca="1"/>
        <v/>
      </c>
      <c r="J120" s="1016" t="str">
        <f ca="1"/>
        <v/>
      </c>
      <c r="K120" s="1017" t="str">
        <f ca="1"/>
        <v/>
      </c>
      <c r="L120" s="1006" t="str">
        <f ca="1"/>
        <v/>
      </c>
      <c r="M120" s="1016" t="str">
        <f ca="1"/>
        <v/>
      </c>
      <c r="N120" s="1016" t="str">
        <f ca="1"/>
        <v/>
      </c>
      <c r="O120" s="1027" t="str">
        <f ca="1"/>
        <v/>
      </c>
      <c r="P120" s="1017" t="str">
        <f ca="1"/>
        <v/>
      </c>
      <c r="Q120" s="1018" t="str">
        <f ca="1"/>
        <v/>
      </c>
      <c r="R120" s="1016" t="str">
        <f ca="1"/>
        <v/>
      </c>
      <c r="S120" s="1004" t="str">
        <f ca="1"/>
        <v/>
      </c>
      <c r="T120" s="1028" t="str">
        <f ca="1"/>
        <v/>
      </c>
      <c r="U120" s="995"/>
      <c r="V120" s="1015" t="str">
        <f ca="1"/>
        <v/>
      </c>
      <c r="W120" s="1006" t="str">
        <f ca="1"/>
        <v/>
      </c>
      <c r="X120" s="1006" t="str">
        <f ca="1"/>
        <v/>
      </c>
      <c r="Y120" s="1004" t="str">
        <f ca="1"/>
        <v/>
      </c>
      <c r="Z120" s="1017" t="str">
        <f ca="1"/>
        <v/>
      </c>
      <c r="AA120" s="1006" t="str">
        <f ca="1"/>
        <v/>
      </c>
      <c r="AB120" s="1016" t="str">
        <f ca="1"/>
        <v/>
      </c>
      <c r="AC120" s="1016" t="str">
        <f ca="1"/>
        <v/>
      </c>
      <c r="AD120" s="1027" t="str">
        <f ca="1"/>
        <v/>
      </c>
      <c r="AE120" s="1017" t="str">
        <f ca="1"/>
        <v/>
      </c>
      <c r="AF120" s="1027" t="str">
        <f ca="1"/>
        <v/>
      </c>
      <c r="AG120" s="1036" t="str">
        <f ca="1"/>
        <v/>
      </c>
      <c r="AH120" s="1016" t="str">
        <f ca="1"/>
        <v/>
      </c>
      <c r="AI120" s="1019" t="str">
        <f ca="1"/>
        <v/>
      </c>
      <c r="AJ120" s="1028" t="str">
        <f ca="1"/>
        <v/>
      </c>
    </row>
    <row r="121" spans="8:36">
      <c r="H121" s="1015" t="str">
        <f ca="1"/>
        <v/>
      </c>
      <c r="I121" s="1006" t="str">
        <f ca="1"/>
        <v/>
      </c>
      <c r="J121" s="1016" t="str">
        <f ca="1"/>
        <v/>
      </c>
      <c r="K121" s="1017" t="str">
        <f ca="1"/>
        <v/>
      </c>
      <c r="L121" s="1006" t="str">
        <f ca="1"/>
        <v/>
      </c>
      <c r="M121" s="1016" t="str">
        <f ca="1"/>
        <v/>
      </c>
      <c r="N121" s="1016" t="str">
        <f ca="1"/>
        <v/>
      </c>
      <c r="O121" s="1027" t="str">
        <f ca="1"/>
        <v/>
      </c>
      <c r="P121" s="1017" t="str">
        <f ca="1"/>
        <v/>
      </c>
      <c r="Q121" s="1018" t="str">
        <f ca="1"/>
        <v/>
      </c>
      <c r="R121" s="1016" t="str">
        <f ca="1"/>
        <v/>
      </c>
      <c r="S121" s="1004" t="str">
        <f ca="1"/>
        <v/>
      </c>
      <c r="T121" s="1028" t="str">
        <f ca="1"/>
        <v/>
      </c>
      <c r="U121" s="995"/>
      <c r="V121" s="1015" t="str">
        <f ca="1"/>
        <v/>
      </c>
      <c r="W121" s="1006" t="str">
        <f ca="1"/>
        <v/>
      </c>
      <c r="X121" s="1006" t="str">
        <f ca="1"/>
        <v/>
      </c>
      <c r="Y121" s="1004" t="str">
        <f ca="1"/>
        <v/>
      </c>
      <c r="Z121" s="1017" t="str">
        <f ca="1"/>
        <v/>
      </c>
      <c r="AA121" s="1006" t="str">
        <f ca="1"/>
        <v/>
      </c>
      <c r="AB121" s="1016" t="str">
        <f ca="1"/>
        <v/>
      </c>
      <c r="AC121" s="1016" t="str">
        <f ca="1"/>
        <v/>
      </c>
      <c r="AD121" s="1027" t="str">
        <f ca="1"/>
        <v/>
      </c>
      <c r="AE121" s="1017" t="str">
        <f ca="1"/>
        <v/>
      </c>
      <c r="AF121" s="1027" t="str">
        <f ca="1"/>
        <v/>
      </c>
      <c r="AG121" s="1036" t="str">
        <f ca="1"/>
        <v/>
      </c>
      <c r="AH121" s="1016" t="str">
        <f ca="1"/>
        <v/>
      </c>
      <c r="AI121" s="1019" t="str">
        <f ca="1"/>
        <v/>
      </c>
      <c r="AJ121" s="1028" t="str">
        <f ca="1"/>
        <v/>
      </c>
    </row>
    <row r="122" spans="8:36">
      <c r="H122" s="1015" t="str">
        <f ca="1"/>
        <v/>
      </c>
      <c r="I122" s="1006" t="str">
        <f ca="1"/>
        <v/>
      </c>
      <c r="J122" s="1016" t="str">
        <f ca="1"/>
        <v/>
      </c>
      <c r="K122" s="1017" t="str">
        <f ca="1"/>
        <v/>
      </c>
      <c r="L122" s="1006" t="str">
        <f ca="1"/>
        <v/>
      </c>
      <c r="M122" s="1016" t="str">
        <f ca="1"/>
        <v/>
      </c>
      <c r="N122" s="1016" t="str">
        <f ca="1"/>
        <v/>
      </c>
      <c r="O122" s="1027" t="str">
        <f ca="1"/>
        <v/>
      </c>
      <c r="P122" s="1017" t="str">
        <f ca="1"/>
        <v/>
      </c>
      <c r="Q122" s="1018" t="str">
        <f ca="1"/>
        <v/>
      </c>
      <c r="R122" s="1016" t="str">
        <f ca="1"/>
        <v/>
      </c>
      <c r="S122" s="1004" t="str">
        <f ca="1"/>
        <v/>
      </c>
      <c r="T122" s="1028" t="str">
        <f ca="1"/>
        <v/>
      </c>
      <c r="U122" s="995"/>
      <c r="V122" s="1015" t="str">
        <f ca="1"/>
        <v/>
      </c>
      <c r="W122" s="1006" t="str">
        <f ca="1"/>
        <v/>
      </c>
      <c r="X122" s="1006" t="str">
        <f ca="1"/>
        <v/>
      </c>
      <c r="Y122" s="1004" t="str">
        <f ca="1"/>
        <v/>
      </c>
      <c r="Z122" s="1017" t="str">
        <f ca="1"/>
        <v/>
      </c>
      <c r="AA122" s="1006" t="str">
        <f ca="1"/>
        <v/>
      </c>
      <c r="AB122" s="1016" t="str">
        <f ca="1"/>
        <v/>
      </c>
      <c r="AC122" s="1016" t="str">
        <f ca="1"/>
        <v/>
      </c>
      <c r="AD122" s="1027" t="str">
        <f ca="1"/>
        <v/>
      </c>
      <c r="AE122" s="1017" t="str">
        <f ca="1"/>
        <v/>
      </c>
      <c r="AF122" s="1027" t="str">
        <f ca="1"/>
        <v/>
      </c>
      <c r="AG122" s="1036" t="str">
        <f ca="1"/>
        <v/>
      </c>
      <c r="AH122" s="1016" t="str">
        <f ca="1"/>
        <v/>
      </c>
      <c r="AI122" s="1019" t="str">
        <f ca="1"/>
        <v/>
      </c>
      <c r="AJ122" s="1028" t="str">
        <f ca="1"/>
        <v/>
      </c>
    </row>
    <row r="123" spans="8:36">
      <c r="H123" s="1015" t="str">
        <f ca="1"/>
        <v/>
      </c>
      <c r="I123" s="1006" t="str">
        <f ca="1"/>
        <v/>
      </c>
      <c r="J123" s="1016" t="str">
        <f ca="1"/>
        <v/>
      </c>
      <c r="K123" s="1017" t="str">
        <f ca="1"/>
        <v/>
      </c>
      <c r="L123" s="1006" t="str">
        <f ca="1"/>
        <v/>
      </c>
      <c r="M123" s="1016" t="str">
        <f ca="1"/>
        <v/>
      </c>
      <c r="N123" s="1016" t="str">
        <f ca="1"/>
        <v/>
      </c>
      <c r="O123" s="1027" t="str">
        <f ca="1"/>
        <v/>
      </c>
      <c r="P123" s="1017" t="str">
        <f ca="1"/>
        <v/>
      </c>
      <c r="Q123" s="1018" t="str">
        <f ca="1"/>
        <v/>
      </c>
      <c r="R123" s="1016" t="str">
        <f ca="1"/>
        <v/>
      </c>
      <c r="S123" s="1004" t="str">
        <f ca="1"/>
        <v/>
      </c>
      <c r="T123" s="1028" t="str">
        <f ca="1"/>
        <v/>
      </c>
      <c r="U123" s="995"/>
      <c r="V123" s="1015" t="str">
        <f ca="1"/>
        <v/>
      </c>
      <c r="W123" s="1006" t="str">
        <f ca="1"/>
        <v/>
      </c>
      <c r="X123" s="1006" t="str">
        <f ca="1"/>
        <v/>
      </c>
      <c r="Y123" s="1004" t="str">
        <f ca="1"/>
        <v/>
      </c>
      <c r="Z123" s="1017" t="str">
        <f ca="1"/>
        <v/>
      </c>
      <c r="AA123" s="1006" t="str">
        <f ca="1"/>
        <v/>
      </c>
      <c r="AB123" s="1016" t="str">
        <f ca="1"/>
        <v/>
      </c>
      <c r="AC123" s="1016" t="str">
        <f ca="1"/>
        <v/>
      </c>
      <c r="AD123" s="1027" t="str">
        <f ca="1"/>
        <v/>
      </c>
      <c r="AE123" s="1017" t="str">
        <f ca="1"/>
        <v/>
      </c>
      <c r="AF123" s="1027" t="str">
        <f ca="1"/>
        <v/>
      </c>
      <c r="AG123" s="1036" t="str">
        <f ca="1"/>
        <v/>
      </c>
      <c r="AH123" s="1016" t="str">
        <f ca="1"/>
        <v/>
      </c>
      <c r="AI123" s="1019" t="str">
        <f ca="1"/>
        <v/>
      </c>
      <c r="AJ123" s="1028" t="str">
        <f ca="1"/>
        <v/>
      </c>
    </row>
    <row r="124" spans="8:36">
      <c r="H124" s="1015" t="str">
        <f ca="1"/>
        <v/>
      </c>
      <c r="I124" s="1006" t="str">
        <f ca="1"/>
        <v/>
      </c>
      <c r="J124" s="1016" t="str">
        <f ca="1"/>
        <v/>
      </c>
      <c r="K124" s="1017" t="str">
        <f ca="1"/>
        <v/>
      </c>
      <c r="L124" s="1006" t="str">
        <f ca="1"/>
        <v/>
      </c>
      <c r="M124" s="1016" t="str">
        <f ca="1"/>
        <v/>
      </c>
      <c r="N124" s="1016" t="str">
        <f ca="1"/>
        <v/>
      </c>
      <c r="O124" s="1027" t="str">
        <f ca="1"/>
        <v/>
      </c>
      <c r="P124" s="1017" t="str">
        <f ca="1"/>
        <v/>
      </c>
      <c r="Q124" s="1018" t="str">
        <f ca="1"/>
        <v/>
      </c>
      <c r="R124" s="1016" t="str">
        <f ca="1"/>
        <v/>
      </c>
      <c r="S124" s="1004" t="str">
        <f ca="1"/>
        <v/>
      </c>
      <c r="T124" s="1028" t="str">
        <f ca="1"/>
        <v/>
      </c>
      <c r="U124" s="995"/>
      <c r="V124" s="1015" t="str">
        <f ca="1"/>
        <v/>
      </c>
      <c r="W124" s="1006" t="str">
        <f ca="1"/>
        <v/>
      </c>
      <c r="X124" s="1006" t="str">
        <f ca="1"/>
        <v/>
      </c>
      <c r="Y124" s="1004" t="str">
        <f ca="1"/>
        <v/>
      </c>
      <c r="Z124" s="1017" t="str">
        <f ca="1"/>
        <v/>
      </c>
      <c r="AA124" s="1006" t="str">
        <f ca="1"/>
        <v/>
      </c>
      <c r="AB124" s="1016" t="str">
        <f ca="1"/>
        <v/>
      </c>
      <c r="AC124" s="1016" t="str">
        <f ca="1"/>
        <v/>
      </c>
      <c r="AD124" s="1027" t="str">
        <f ca="1"/>
        <v/>
      </c>
      <c r="AE124" s="1017" t="str">
        <f ca="1"/>
        <v/>
      </c>
      <c r="AF124" s="1027" t="str">
        <f ca="1"/>
        <v/>
      </c>
      <c r="AG124" s="1036" t="str">
        <f ca="1"/>
        <v/>
      </c>
      <c r="AH124" s="1016" t="str">
        <f ca="1"/>
        <v/>
      </c>
      <c r="AI124" s="1019" t="str">
        <f ca="1"/>
        <v/>
      </c>
      <c r="AJ124" s="1028" t="str">
        <f ca="1"/>
        <v/>
      </c>
    </row>
    <row r="125" spans="8:36">
      <c r="H125" s="1015" t="str">
        <f ca="1"/>
        <v/>
      </c>
      <c r="I125" s="1006" t="str">
        <f ca="1"/>
        <v/>
      </c>
      <c r="J125" s="1016" t="str">
        <f ca="1"/>
        <v/>
      </c>
      <c r="K125" s="1017" t="str">
        <f ca="1"/>
        <v/>
      </c>
      <c r="L125" s="1006" t="str">
        <f ca="1"/>
        <v/>
      </c>
      <c r="M125" s="1016" t="str">
        <f ca="1"/>
        <v/>
      </c>
      <c r="N125" s="1016" t="str">
        <f ca="1"/>
        <v/>
      </c>
      <c r="O125" s="1027" t="str">
        <f ca="1"/>
        <v/>
      </c>
      <c r="P125" s="1017" t="str">
        <f ca="1"/>
        <v/>
      </c>
      <c r="Q125" s="1018" t="str">
        <f ca="1"/>
        <v/>
      </c>
      <c r="R125" s="1016" t="str">
        <f ca="1"/>
        <v/>
      </c>
      <c r="S125" s="1004" t="str">
        <f ca="1"/>
        <v/>
      </c>
      <c r="T125" s="1028" t="str">
        <f ca="1"/>
        <v/>
      </c>
      <c r="U125" s="995"/>
      <c r="V125" s="1015" t="str">
        <f ca="1"/>
        <v/>
      </c>
      <c r="W125" s="1006" t="str">
        <f ca="1"/>
        <v/>
      </c>
      <c r="X125" s="1006" t="str">
        <f ca="1"/>
        <v/>
      </c>
      <c r="Y125" s="1004" t="str">
        <f ca="1"/>
        <v/>
      </c>
      <c r="Z125" s="1017" t="str">
        <f ca="1"/>
        <v/>
      </c>
      <c r="AA125" s="1006" t="str">
        <f ca="1"/>
        <v/>
      </c>
      <c r="AB125" s="1016" t="str">
        <f ca="1"/>
        <v/>
      </c>
      <c r="AC125" s="1016" t="str">
        <f ca="1"/>
        <v/>
      </c>
      <c r="AD125" s="1027" t="str">
        <f ca="1"/>
        <v/>
      </c>
      <c r="AE125" s="1017" t="str">
        <f ca="1"/>
        <v/>
      </c>
      <c r="AF125" s="1027" t="str">
        <f ca="1"/>
        <v/>
      </c>
      <c r="AG125" s="1036" t="str">
        <f ca="1"/>
        <v/>
      </c>
      <c r="AH125" s="1016" t="str">
        <f ca="1"/>
        <v/>
      </c>
      <c r="AI125" s="1019" t="str">
        <f ca="1"/>
        <v/>
      </c>
      <c r="AJ125" s="1028" t="str">
        <f ca="1"/>
        <v/>
      </c>
    </row>
    <row r="126" spans="8:36">
      <c r="H126" s="1015" t="str">
        <f ca="1"/>
        <v/>
      </c>
      <c r="I126" s="1006" t="str">
        <f ca="1"/>
        <v/>
      </c>
      <c r="J126" s="1016" t="str">
        <f ca="1"/>
        <v/>
      </c>
      <c r="K126" s="1017" t="str">
        <f ca="1"/>
        <v/>
      </c>
      <c r="L126" s="1006" t="str">
        <f ca="1"/>
        <v/>
      </c>
      <c r="M126" s="1016" t="str">
        <f ca="1"/>
        <v/>
      </c>
      <c r="N126" s="1016" t="str">
        <f ca="1"/>
        <v/>
      </c>
      <c r="O126" s="1027" t="str">
        <f ca="1"/>
        <v/>
      </c>
      <c r="P126" s="1017" t="str">
        <f ca="1"/>
        <v/>
      </c>
      <c r="Q126" s="1018" t="str">
        <f ca="1"/>
        <v/>
      </c>
      <c r="R126" s="1016" t="str">
        <f ca="1"/>
        <v/>
      </c>
      <c r="S126" s="1004" t="str">
        <f ca="1"/>
        <v/>
      </c>
      <c r="T126" s="1028" t="str">
        <f ca="1"/>
        <v/>
      </c>
      <c r="U126" s="995"/>
      <c r="V126" s="1015" t="str">
        <f ca="1"/>
        <v/>
      </c>
      <c r="W126" s="1006" t="str">
        <f ca="1"/>
        <v/>
      </c>
      <c r="X126" s="1006" t="str">
        <f ca="1"/>
        <v/>
      </c>
      <c r="Y126" s="1004" t="str">
        <f ca="1"/>
        <v/>
      </c>
      <c r="Z126" s="1017" t="str">
        <f ca="1"/>
        <v/>
      </c>
      <c r="AA126" s="1006" t="str">
        <f ca="1"/>
        <v/>
      </c>
      <c r="AB126" s="1016" t="str">
        <f ca="1"/>
        <v/>
      </c>
      <c r="AC126" s="1016" t="str">
        <f ca="1"/>
        <v/>
      </c>
      <c r="AD126" s="1027" t="str">
        <f ca="1"/>
        <v/>
      </c>
      <c r="AE126" s="1017" t="str">
        <f ca="1"/>
        <v/>
      </c>
      <c r="AF126" s="1027" t="str">
        <f ca="1"/>
        <v/>
      </c>
      <c r="AG126" s="1036" t="str">
        <f ca="1"/>
        <v/>
      </c>
      <c r="AH126" s="1016" t="str">
        <f ca="1"/>
        <v/>
      </c>
      <c r="AI126" s="1019" t="str">
        <f ca="1"/>
        <v/>
      </c>
      <c r="AJ126" s="1028" t="str">
        <f ca="1"/>
        <v/>
      </c>
    </row>
    <row r="127" spans="8:36">
      <c r="H127" s="1015" t="str">
        <f ca="1"/>
        <v/>
      </c>
      <c r="I127" s="1006" t="str">
        <f ca="1"/>
        <v/>
      </c>
      <c r="J127" s="1016" t="str">
        <f ca="1"/>
        <v/>
      </c>
      <c r="K127" s="1017" t="str">
        <f ca="1"/>
        <v/>
      </c>
      <c r="L127" s="1006" t="str">
        <f ca="1"/>
        <v/>
      </c>
      <c r="M127" s="1016" t="str">
        <f ca="1"/>
        <v/>
      </c>
      <c r="N127" s="1016" t="str">
        <f ca="1"/>
        <v/>
      </c>
      <c r="O127" s="1027" t="str">
        <f ca="1"/>
        <v/>
      </c>
      <c r="P127" s="1017" t="str">
        <f ca="1"/>
        <v/>
      </c>
      <c r="Q127" s="1018" t="str">
        <f ca="1"/>
        <v/>
      </c>
      <c r="R127" s="1016" t="str">
        <f ca="1"/>
        <v/>
      </c>
      <c r="S127" s="1004" t="str">
        <f ca="1"/>
        <v/>
      </c>
      <c r="T127" s="1028" t="str">
        <f ca="1"/>
        <v/>
      </c>
      <c r="U127" s="995"/>
      <c r="V127" s="1015" t="str">
        <f ca="1"/>
        <v/>
      </c>
      <c r="W127" s="1006" t="str">
        <f ca="1"/>
        <v/>
      </c>
      <c r="X127" s="1006" t="str">
        <f ca="1"/>
        <v/>
      </c>
      <c r="Y127" s="1004" t="str">
        <f ca="1"/>
        <v/>
      </c>
      <c r="Z127" s="1017" t="str">
        <f ca="1"/>
        <v/>
      </c>
      <c r="AA127" s="1006" t="str">
        <f ca="1"/>
        <v/>
      </c>
      <c r="AB127" s="1016" t="str">
        <f ca="1"/>
        <v/>
      </c>
      <c r="AC127" s="1016" t="str">
        <f ca="1"/>
        <v/>
      </c>
      <c r="AD127" s="1027" t="str">
        <f ca="1"/>
        <v/>
      </c>
      <c r="AE127" s="1017" t="str">
        <f ca="1"/>
        <v/>
      </c>
      <c r="AF127" s="1027" t="str">
        <f ca="1"/>
        <v/>
      </c>
      <c r="AG127" s="1036" t="str">
        <f ca="1"/>
        <v/>
      </c>
      <c r="AH127" s="1016" t="str">
        <f ca="1"/>
        <v/>
      </c>
      <c r="AI127" s="1019" t="str">
        <f ca="1"/>
        <v/>
      </c>
      <c r="AJ127" s="1028" t="str">
        <f ca="1"/>
        <v/>
      </c>
    </row>
    <row r="128" spans="8:36">
      <c r="H128" s="1015" t="str">
        <f ca="1"/>
        <v/>
      </c>
      <c r="I128" s="1006" t="str">
        <f ca="1"/>
        <v/>
      </c>
      <c r="J128" s="1016" t="str">
        <f ca="1"/>
        <v/>
      </c>
      <c r="K128" s="1017" t="str">
        <f ca="1"/>
        <v/>
      </c>
      <c r="L128" s="1006" t="str">
        <f ca="1"/>
        <v/>
      </c>
      <c r="M128" s="1016" t="str">
        <f ca="1"/>
        <v/>
      </c>
      <c r="N128" s="1016" t="str">
        <f ca="1"/>
        <v/>
      </c>
      <c r="O128" s="1027" t="str">
        <f ca="1"/>
        <v/>
      </c>
      <c r="P128" s="1017" t="str">
        <f ca="1"/>
        <v/>
      </c>
      <c r="Q128" s="1018" t="str">
        <f ca="1"/>
        <v/>
      </c>
      <c r="R128" s="1016" t="str">
        <f ca="1"/>
        <v/>
      </c>
      <c r="S128" s="1004" t="str">
        <f ca="1"/>
        <v/>
      </c>
      <c r="T128" s="1028" t="str">
        <f ca="1"/>
        <v/>
      </c>
      <c r="U128" s="995"/>
      <c r="V128" s="1015" t="str">
        <f ca="1"/>
        <v/>
      </c>
      <c r="W128" s="1006" t="str">
        <f ca="1"/>
        <v/>
      </c>
      <c r="X128" s="1006" t="str">
        <f ca="1"/>
        <v/>
      </c>
      <c r="Y128" s="1004" t="str">
        <f ca="1"/>
        <v/>
      </c>
      <c r="Z128" s="1017" t="str">
        <f ca="1"/>
        <v/>
      </c>
      <c r="AA128" s="1006" t="str">
        <f ca="1"/>
        <v/>
      </c>
      <c r="AB128" s="1016" t="str">
        <f ca="1"/>
        <v/>
      </c>
      <c r="AC128" s="1016" t="str">
        <f ca="1"/>
        <v/>
      </c>
      <c r="AD128" s="1027" t="str">
        <f ca="1"/>
        <v/>
      </c>
      <c r="AE128" s="1017" t="str">
        <f ca="1"/>
        <v/>
      </c>
      <c r="AF128" s="1027" t="str">
        <f ca="1"/>
        <v/>
      </c>
      <c r="AG128" s="1036" t="str">
        <f ca="1"/>
        <v/>
      </c>
      <c r="AH128" s="1016" t="str">
        <f ca="1"/>
        <v/>
      </c>
      <c r="AI128" s="1019" t="str">
        <f ca="1"/>
        <v/>
      </c>
      <c r="AJ128" s="1028" t="str">
        <f ca="1"/>
        <v/>
      </c>
    </row>
    <row r="129" spans="8:36">
      <c r="H129" s="1015" t="str">
        <f ca="1"/>
        <v/>
      </c>
      <c r="I129" s="1006" t="str">
        <f ca="1"/>
        <v/>
      </c>
      <c r="J129" s="1016" t="str">
        <f ca="1"/>
        <v/>
      </c>
      <c r="K129" s="1017" t="str">
        <f ca="1"/>
        <v/>
      </c>
      <c r="L129" s="1006" t="str">
        <f ca="1"/>
        <v/>
      </c>
      <c r="M129" s="1016" t="str">
        <f ca="1"/>
        <v/>
      </c>
      <c r="N129" s="1016" t="str">
        <f ca="1"/>
        <v/>
      </c>
      <c r="O129" s="1027" t="str">
        <f ca="1"/>
        <v/>
      </c>
      <c r="P129" s="1017" t="str">
        <f ca="1"/>
        <v/>
      </c>
      <c r="Q129" s="1018" t="str">
        <f ca="1"/>
        <v/>
      </c>
      <c r="R129" s="1016" t="str">
        <f ca="1"/>
        <v/>
      </c>
      <c r="S129" s="1004" t="str">
        <f ca="1"/>
        <v/>
      </c>
      <c r="T129" s="1028" t="str">
        <f ca="1"/>
        <v/>
      </c>
      <c r="U129" s="995"/>
      <c r="V129" s="1015" t="str">
        <f ca="1"/>
        <v/>
      </c>
      <c r="W129" s="1006" t="str">
        <f ca="1"/>
        <v/>
      </c>
      <c r="X129" s="1006" t="str">
        <f ca="1"/>
        <v/>
      </c>
      <c r="Y129" s="1004" t="str">
        <f ca="1"/>
        <v/>
      </c>
      <c r="Z129" s="1017" t="str">
        <f ca="1"/>
        <v/>
      </c>
      <c r="AA129" s="1006" t="str">
        <f ca="1"/>
        <v/>
      </c>
      <c r="AB129" s="1016" t="str">
        <f ca="1"/>
        <v/>
      </c>
      <c r="AC129" s="1016" t="str">
        <f ca="1"/>
        <v/>
      </c>
      <c r="AD129" s="1027" t="str">
        <f ca="1"/>
        <v/>
      </c>
      <c r="AE129" s="1017" t="str">
        <f ca="1"/>
        <v/>
      </c>
      <c r="AF129" s="1027" t="str">
        <f ca="1"/>
        <v/>
      </c>
      <c r="AG129" s="1036" t="str">
        <f ca="1"/>
        <v/>
      </c>
      <c r="AH129" s="1016" t="str">
        <f ca="1"/>
        <v/>
      </c>
      <c r="AI129" s="1019" t="str">
        <f ca="1"/>
        <v/>
      </c>
      <c r="AJ129" s="1028" t="str">
        <f ca="1"/>
        <v/>
      </c>
    </row>
    <row r="130" spans="8:36">
      <c r="H130" s="1015" t="str">
        <f ca="1"/>
        <v/>
      </c>
      <c r="I130" s="1006" t="str">
        <f ca="1"/>
        <v/>
      </c>
      <c r="J130" s="1016" t="str">
        <f ca="1"/>
        <v/>
      </c>
      <c r="K130" s="1017" t="str">
        <f ca="1"/>
        <v/>
      </c>
      <c r="L130" s="1006" t="str">
        <f ca="1"/>
        <v/>
      </c>
      <c r="M130" s="1016" t="str">
        <f ca="1"/>
        <v/>
      </c>
      <c r="N130" s="1016" t="str">
        <f ca="1"/>
        <v/>
      </c>
      <c r="O130" s="1027" t="str">
        <f ca="1"/>
        <v/>
      </c>
      <c r="P130" s="1017" t="str">
        <f ca="1"/>
        <v/>
      </c>
      <c r="Q130" s="1018" t="str">
        <f ca="1"/>
        <v/>
      </c>
      <c r="R130" s="1016" t="str">
        <f ca="1"/>
        <v/>
      </c>
      <c r="S130" s="1004" t="str">
        <f ca="1"/>
        <v/>
      </c>
      <c r="T130" s="1028" t="str">
        <f ca="1"/>
        <v/>
      </c>
      <c r="U130" s="995"/>
      <c r="V130" s="1015" t="str">
        <f ca="1"/>
        <v/>
      </c>
      <c r="W130" s="1006" t="str">
        <f ca="1"/>
        <v/>
      </c>
      <c r="X130" s="1006" t="str">
        <f ca="1"/>
        <v/>
      </c>
      <c r="Y130" s="1004" t="str">
        <f ca="1"/>
        <v/>
      </c>
      <c r="Z130" s="1017" t="str">
        <f ca="1"/>
        <v/>
      </c>
      <c r="AA130" s="1006" t="str">
        <f ca="1"/>
        <v/>
      </c>
      <c r="AB130" s="1016" t="str">
        <f ca="1"/>
        <v/>
      </c>
      <c r="AC130" s="1016" t="str">
        <f ca="1"/>
        <v/>
      </c>
      <c r="AD130" s="1027" t="str">
        <f ca="1"/>
        <v/>
      </c>
      <c r="AE130" s="1017" t="str">
        <f ca="1"/>
        <v/>
      </c>
      <c r="AF130" s="1027" t="str">
        <f ca="1"/>
        <v/>
      </c>
      <c r="AG130" s="1036" t="str">
        <f ca="1"/>
        <v/>
      </c>
      <c r="AH130" s="1016" t="str">
        <f ca="1"/>
        <v/>
      </c>
      <c r="AI130" s="1019" t="str">
        <f ca="1"/>
        <v/>
      </c>
      <c r="AJ130" s="1028" t="str">
        <f ca="1"/>
        <v/>
      </c>
    </row>
    <row r="131" spans="8:36">
      <c r="H131" s="1015" t="str">
        <f ca="1"/>
        <v/>
      </c>
      <c r="I131" s="1006" t="str">
        <f ca="1"/>
        <v/>
      </c>
      <c r="J131" s="1016" t="str">
        <f ca="1"/>
        <v/>
      </c>
      <c r="K131" s="1017" t="str">
        <f ca="1"/>
        <v/>
      </c>
      <c r="L131" s="1006" t="str">
        <f ca="1"/>
        <v/>
      </c>
      <c r="M131" s="1016" t="str">
        <f ca="1"/>
        <v/>
      </c>
      <c r="N131" s="1016" t="str">
        <f ca="1"/>
        <v/>
      </c>
      <c r="O131" s="1027" t="str">
        <f ca="1"/>
        <v/>
      </c>
      <c r="P131" s="1017" t="str">
        <f ca="1"/>
        <v/>
      </c>
      <c r="Q131" s="1018" t="str">
        <f ca="1"/>
        <v/>
      </c>
      <c r="R131" s="1016" t="str">
        <f ca="1"/>
        <v/>
      </c>
      <c r="S131" s="1004" t="str">
        <f ca="1"/>
        <v/>
      </c>
      <c r="T131" s="1028" t="str">
        <f ca="1"/>
        <v/>
      </c>
      <c r="U131" s="995"/>
      <c r="V131" s="1015" t="str">
        <f ca="1"/>
        <v/>
      </c>
      <c r="W131" s="1006" t="str">
        <f ca="1"/>
        <v/>
      </c>
      <c r="X131" s="1006" t="str">
        <f ca="1"/>
        <v/>
      </c>
      <c r="Y131" s="1004" t="str">
        <f ca="1"/>
        <v/>
      </c>
      <c r="Z131" s="1017" t="str">
        <f ca="1"/>
        <v/>
      </c>
      <c r="AA131" s="1006" t="str">
        <f ca="1"/>
        <v/>
      </c>
      <c r="AB131" s="1016" t="str">
        <f ca="1"/>
        <v/>
      </c>
      <c r="AC131" s="1016" t="str">
        <f ca="1"/>
        <v/>
      </c>
      <c r="AD131" s="1027" t="str">
        <f ca="1"/>
        <v/>
      </c>
      <c r="AE131" s="1017" t="str">
        <f ca="1"/>
        <v/>
      </c>
      <c r="AF131" s="1027" t="str">
        <f ca="1"/>
        <v/>
      </c>
      <c r="AG131" s="1036" t="str">
        <f ca="1"/>
        <v/>
      </c>
      <c r="AH131" s="1016" t="str">
        <f ca="1"/>
        <v/>
      </c>
      <c r="AI131" s="1019" t="str">
        <f ca="1"/>
        <v/>
      </c>
      <c r="AJ131" s="1028" t="str">
        <f ca="1"/>
        <v/>
      </c>
    </row>
    <row r="132" spans="8:36">
      <c r="H132" s="1015" t="str">
        <f ca="1"/>
        <v/>
      </c>
      <c r="I132" s="1006" t="str">
        <f ca="1"/>
        <v/>
      </c>
      <c r="J132" s="1016" t="str">
        <f ca="1"/>
        <v/>
      </c>
      <c r="K132" s="1017" t="str">
        <f ca="1"/>
        <v/>
      </c>
      <c r="L132" s="1006" t="str">
        <f ca="1"/>
        <v/>
      </c>
      <c r="M132" s="1016" t="str">
        <f ca="1"/>
        <v/>
      </c>
      <c r="N132" s="1016" t="str">
        <f ca="1"/>
        <v/>
      </c>
      <c r="O132" s="1027" t="str">
        <f ca="1"/>
        <v/>
      </c>
      <c r="P132" s="1017" t="str">
        <f ca="1"/>
        <v/>
      </c>
      <c r="Q132" s="1018" t="str">
        <f ca="1"/>
        <v/>
      </c>
      <c r="R132" s="1016" t="str">
        <f ca="1"/>
        <v/>
      </c>
      <c r="S132" s="1004" t="str">
        <f ca="1"/>
        <v/>
      </c>
      <c r="T132" s="1028" t="str">
        <f ca="1"/>
        <v/>
      </c>
      <c r="U132" s="995"/>
      <c r="V132" s="1015" t="str">
        <f ca="1"/>
        <v/>
      </c>
      <c r="W132" s="1006" t="str">
        <f ca="1"/>
        <v/>
      </c>
      <c r="X132" s="1006" t="str">
        <f ca="1"/>
        <v/>
      </c>
      <c r="Y132" s="1004" t="str">
        <f ca="1"/>
        <v/>
      </c>
      <c r="Z132" s="1017" t="str">
        <f ca="1"/>
        <v/>
      </c>
      <c r="AA132" s="1006" t="str">
        <f ca="1"/>
        <v/>
      </c>
      <c r="AB132" s="1016" t="str">
        <f ca="1"/>
        <v/>
      </c>
      <c r="AC132" s="1016" t="str">
        <f ca="1"/>
        <v/>
      </c>
      <c r="AD132" s="1027" t="str">
        <f ca="1"/>
        <v/>
      </c>
      <c r="AE132" s="1017" t="str">
        <f ca="1"/>
        <v/>
      </c>
      <c r="AF132" s="1027" t="str">
        <f ca="1"/>
        <v/>
      </c>
      <c r="AG132" s="1036" t="str">
        <f ca="1"/>
        <v/>
      </c>
      <c r="AH132" s="1016" t="str">
        <f ca="1"/>
        <v/>
      </c>
      <c r="AI132" s="1019" t="str">
        <f ca="1"/>
        <v/>
      </c>
      <c r="AJ132" s="1028" t="str">
        <f ca="1"/>
        <v/>
      </c>
    </row>
    <row r="133" spans="8:36">
      <c r="H133" s="1015" t="str">
        <f ca="1"/>
        <v/>
      </c>
      <c r="I133" s="1006" t="str">
        <f ca="1"/>
        <v/>
      </c>
      <c r="J133" s="1016" t="str">
        <f ca="1"/>
        <v/>
      </c>
      <c r="K133" s="1017" t="str">
        <f ca="1"/>
        <v/>
      </c>
      <c r="L133" s="1006" t="str">
        <f ca="1"/>
        <v/>
      </c>
      <c r="M133" s="1016" t="str">
        <f ca="1"/>
        <v/>
      </c>
      <c r="N133" s="1016" t="str">
        <f ca="1"/>
        <v/>
      </c>
      <c r="O133" s="1027" t="str">
        <f ca="1"/>
        <v/>
      </c>
      <c r="P133" s="1017" t="str">
        <f ca="1"/>
        <v/>
      </c>
      <c r="Q133" s="1018" t="str">
        <f ca="1"/>
        <v/>
      </c>
      <c r="R133" s="1016" t="str">
        <f ca="1"/>
        <v/>
      </c>
      <c r="S133" s="1004" t="str">
        <f ca="1"/>
        <v/>
      </c>
      <c r="T133" s="1028" t="str">
        <f ca="1"/>
        <v/>
      </c>
      <c r="U133" s="995"/>
      <c r="V133" s="1015" t="str">
        <f ca="1"/>
        <v/>
      </c>
      <c r="W133" s="1006" t="str">
        <f ca="1"/>
        <v/>
      </c>
      <c r="X133" s="1006" t="str">
        <f ca="1"/>
        <v/>
      </c>
      <c r="Y133" s="1004" t="str">
        <f ca="1"/>
        <v/>
      </c>
      <c r="Z133" s="1017" t="str">
        <f ca="1"/>
        <v/>
      </c>
      <c r="AA133" s="1006" t="str">
        <f ca="1"/>
        <v/>
      </c>
      <c r="AB133" s="1016" t="str">
        <f ca="1"/>
        <v/>
      </c>
      <c r="AC133" s="1016" t="str">
        <f ca="1"/>
        <v/>
      </c>
      <c r="AD133" s="1027" t="str">
        <f ca="1"/>
        <v/>
      </c>
      <c r="AE133" s="1017" t="str">
        <f ca="1"/>
        <v/>
      </c>
      <c r="AF133" s="1027" t="str">
        <f ca="1"/>
        <v/>
      </c>
      <c r="AG133" s="1036" t="str">
        <f ca="1"/>
        <v/>
      </c>
      <c r="AH133" s="1016" t="str">
        <f ca="1"/>
        <v/>
      </c>
      <c r="AI133" s="1019" t="str">
        <f ca="1"/>
        <v/>
      </c>
      <c r="AJ133" s="1028" t="str">
        <f ca="1"/>
        <v/>
      </c>
    </row>
    <row r="134" spans="8:36">
      <c r="H134" s="1015" t="str">
        <f ca="1"/>
        <v/>
      </c>
      <c r="I134" s="1006" t="str">
        <f ca="1"/>
        <v/>
      </c>
      <c r="J134" s="1016" t="str">
        <f ca="1"/>
        <v/>
      </c>
      <c r="K134" s="1017" t="str">
        <f ca="1"/>
        <v/>
      </c>
      <c r="L134" s="1006" t="str">
        <f ca="1"/>
        <v/>
      </c>
      <c r="M134" s="1016" t="str">
        <f ca="1"/>
        <v/>
      </c>
      <c r="N134" s="1016" t="str">
        <f ca="1"/>
        <v/>
      </c>
      <c r="O134" s="1027" t="str">
        <f ca="1"/>
        <v/>
      </c>
      <c r="P134" s="1017" t="str">
        <f ca="1"/>
        <v/>
      </c>
      <c r="Q134" s="1018" t="str">
        <f ca="1"/>
        <v/>
      </c>
      <c r="R134" s="1016" t="str">
        <f ca="1"/>
        <v/>
      </c>
      <c r="S134" s="1004" t="str">
        <f ca="1"/>
        <v/>
      </c>
      <c r="T134" s="1028" t="str">
        <f ca="1"/>
        <v/>
      </c>
      <c r="U134" s="995"/>
      <c r="V134" s="1015" t="str">
        <f ca="1"/>
        <v/>
      </c>
      <c r="W134" s="1006" t="str">
        <f ca="1"/>
        <v/>
      </c>
      <c r="X134" s="1006" t="str">
        <f ca="1"/>
        <v/>
      </c>
      <c r="Y134" s="1004" t="str">
        <f ca="1"/>
        <v/>
      </c>
      <c r="Z134" s="1017" t="str">
        <f ca="1"/>
        <v/>
      </c>
      <c r="AA134" s="1006" t="str">
        <f ca="1"/>
        <v/>
      </c>
      <c r="AB134" s="1016" t="str">
        <f ca="1"/>
        <v/>
      </c>
      <c r="AC134" s="1016" t="str">
        <f ca="1"/>
        <v/>
      </c>
      <c r="AD134" s="1027" t="str">
        <f ca="1"/>
        <v/>
      </c>
      <c r="AE134" s="1017" t="str">
        <f ca="1"/>
        <v/>
      </c>
      <c r="AF134" s="1027" t="str">
        <f ca="1"/>
        <v/>
      </c>
      <c r="AG134" s="1036" t="str">
        <f ca="1"/>
        <v/>
      </c>
      <c r="AH134" s="1016" t="str">
        <f ca="1"/>
        <v/>
      </c>
      <c r="AI134" s="1019" t="str">
        <f ca="1"/>
        <v/>
      </c>
      <c r="AJ134" s="1028" t="str">
        <f ca="1"/>
        <v/>
      </c>
    </row>
    <row r="135" spans="8:36">
      <c r="H135" s="1015" t="str">
        <f ca="1"/>
        <v/>
      </c>
      <c r="I135" s="1006" t="str">
        <f ca="1"/>
        <v/>
      </c>
      <c r="J135" s="1016" t="str">
        <f ca="1"/>
        <v/>
      </c>
      <c r="K135" s="1017" t="str">
        <f ca="1"/>
        <v/>
      </c>
      <c r="L135" s="1006" t="str">
        <f ca="1"/>
        <v/>
      </c>
      <c r="M135" s="1016" t="str">
        <f ca="1"/>
        <v/>
      </c>
      <c r="N135" s="1016" t="str">
        <f ca="1"/>
        <v/>
      </c>
      <c r="O135" s="1027" t="str">
        <f ca="1"/>
        <v/>
      </c>
      <c r="P135" s="1017" t="str">
        <f ca="1"/>
        <v/>
      </c>
      <c r="Q135" s="1018" t="str">
        <f ca="1"/>
        <v/>
      </c>
      <c r="R135" s="1016" t="str">
        <f ca="1"/>
        <v/>
      </c>
      <c r="S135" s="1004" t="str">
        <f ca="1"/>
        <v/>
      </c>
      <c r="T135" s="1028" t="str">
        <f ca="1"/>
        <v/>
      </c>
      <c r="U135" s="995"/>
      <c r="V135" s="1015" t="str">
        <f ca="1"/>
        <v/>
      </c>
      <c r="W135" s="1006" t="str">
        <f ca="1"/>
        <v/>
      </c>
      <c r="X135" s="1006" t="str">
        <f ca="1"/>
        <v/>
      </c>
      <c r="Y135" s="1004" t="str">
        <f ca="1"/>
        <v/>
      </c>
      <c r="Z135" s="1017" t="str">
        <f ca="1"/>
        <v/>
      </c>
      <c r="AA135" s="1006" t="str">
        <f ca="1"/>
        <v/>
      </c>
      <c r="AB135" s="1016" t="str">
        <f ca="1"/>
        <v/>
      </c>
      <c r="AC135" s="1016" t="str">
        <f ca="1"/>
        <v/>
      </c>
      <c r="AD135" s="1027" t="str">
        <f ca="1"/>
        <v/>
      </c>
      <c r="AE135" s="1017" t="str">
        <f ca="1"/>
        <v/>
      </c>
      <c r="AF135" s="1027" t="str">
        <f ca="1"/>
        <v/>
      </c>
      <c r="AG135" s="1036" t="str">
        <f ca="1"/>
        <v/>
      </c>
      <c r="AH135" s="1016" t="str">
        <f ca="1"/>
        <v/>
      </c>
      <c r="AI135" s="1019" t="str">
        <f ca="1"/>
        <v/>
      </c>
      <c r="AJ135" s="1028" t="str">
        <f ca="1"/>
        <v/>
      </c>
    </row>
    <row r="136" spans="8:36">
      <c r="H136" s="1015" t="str">
        <f ca="1"/>
        <v/>
      </c>
      <c r="I136" s="1006" t="str">
        <f ca="1"/>
        <v/>
      </c>
      <c r="J136" s="1016" t="str">
        <f ca="1"/>
        <v/>
      </c>
      <c r="K136" s="1017" t="str">
        <f ca="1"/>
        <v/>
      </c>
      <c r="L136" s="1006" t="str">
        <f ca="1"/>
        <v/>
      </c>
      <c r="M136" s="1016" t="str">
        <f ca="1"/>
        <v/>
      </c>
      <c r="N136" s="1016" t="str">
        <f ca="1"/>
        <v/>
      </c>
      <c r="O136" s="1027" t="str">
        <f ca="1"/>
        <v/>
      </c>
      <c r="P136" s="1017" t="str">
        <f ca="1"/>
        <v/>
      </c>
      <c r="Q136" s="1018" t="str">
        <f ca="1"/>
        <v/>
      </c>
      <c r="R136" s="1016" t="str">
        <f ca="1"/>
        <v/>
      </c>
      <c r="S136" s="1004" t="str">
        <f ca="1"/>
        <v/>
      </c>
      <c r="T136" s="1028" t="str">
        <f ca="1"/>
        <v/>
      </c>
      <c r="U136" s="995"/>
      <c r="V136" s="1015" t="str">
        <f ca="1"/>
        <v/>
      </c>
      <c r="W136" s="1006" t="str">
        <f ca="1"/>
        <v/>
      </c>
      <c r="X136" s="1006" t="str">
        <f ca="1"/>
        <v/>
      </c>
      <c r="Y136" s="1004" t="str">
        <f ca="1"/>
        <v/>
      </c>
      <c r="Z136" s="1017" t="str">
        <f ca="1"/>
        <v/>
      </c>
      <c r="AA136" s="1006" t="str">
        <f ca="1"/>
        <v/>
      </c>
      <c r="AB136" s="1016" t="str">
        <f ca="1"/>
        <v/>
      </c>
      <c r="AC136" s="1016" t="str">
        <f ca="1"/>
        <v/>
      </c>
      <c r="AD136" s="1027" t="str">
        <f ca="1"/>
        <v/>
      </c>
      <c r="AE136" s="1017" t="str">
        <f ca="1"/>
        <v/>
      </c>
      <c r="AF136" s="1027" t="str">
        <f ca="1"/>
        <v/>
      </c>
      <c r="AG136" s="1036" t="str">
        <f ca="1"/>
        <v/>
      </c>
      <c r="AH136" s="1016" t="str">
        <f ca="1"/>
        <v/>
      </c>
      <c r="AI136" s="1019" t="str">
        <f ca="1"/>
        <v/>
      </c>
      <c r="AJ136" s="1028" t="str">
        <f ca="1"/>
        <v/>
      </c>
    </row>
    <row r="137" spans="8:36">
      <c r="H137" s="1015" t="str">
        <f ca="1"/>
        <v/>
      </c>
      <c r="I137" s="1006" t="str">
        <f ca="1"/>
        <v/>
      </c>
      <c r="J137" s="1016" t="str">
        <f ca="1"/>
        <v/>
      </c>
      <c r="K137" s="1017" t="str">
        <f ca="1"/>
        <v/>
      </c>
      <c r="L137" s="1006" t="str">
        <f ca="1"/>
        <v/>
      </c>
      <c r="M137" s="1016" t="str">
        <f ca="1"/>
        <v/>
      </c>
      <c r="N137" s="1016" t="str">
        <f ca="1"/>
        <v/>
      </c>
      <c r="O137" s="1027" t="str">
        <f ca="1"/>
        <v/>
      </c>
      <c r="P137" s="1017" t="str">
        <f ca="1"/>
        <v/>
      </c>
      <c r="Q137" s="1018" t="str">
        <f ca="1"/>
        <v/>
      </c>
      <c r="R137" s="1016" t="str">
        <f ca="1"/>
        <v/>
      </c>
      <c r="S137" s="1004" t="str">
        <f ca="1"/>
        <v/>
      </c>
      <c r="T137" s="1028" t="str">
        <f ca="1"/>
        <v/>
      </c>
      <c r="U137" s="995"/>
      <c r="V137" s="1015" t="str">
        <f ca="1"/>
        <v/>
      </c>
      <c r="W137" s="1006" t="str">
        <f ca="1"/>
        <v/>
      </c>
      <c r="X137" s="1006" t="str">
        <f ca="1"/>
        <v/>
      </c>
      <c r="Y137" s="1004" t="str">
        <f ca="1"/>
        <v/>
      </c>
      <c r="Z137" s="1017" t="str">
        <f ca="1"/>
        <v/>
      </c>
      <c r="AA137" s="1006" t="str">
        <f ca="1"/>
        <v/>
      </c>
      <c r="AB137" s="1016" t="str">
        <f ca="1"/>
        <v/>
      </c>
      <c r="AC137" s="1016" t="str">
        <f ca="1"/>
        <v/>
      </c>
      <c r="AD137" s="1027" t="str">
        <f ca="1"/>
        <v/>
      </c>
      <c r="AE137" s="1017" t="str">
        <f ca="1"/>
        <v/>
      </c>
      <c r="AF137" s="1027" t="str">
        <f ca="1"/>
        <v/>
      </c>
      <c r="AG137" s="1036" t="str">
        <f ca="1"/>
        <v/>
      </c>
      <c r="AH137" s="1016" t="str">
        <f ca="1"/>
        <v/>
      </c>
      <c r="AI137" s="1019" t="str">
        <f ca="1"/>
        <v/>
      </c>
      <c r="AJ137" s="1028" t="str">
        <f ca="1"/>
        <v/>
      </c>
    </row>
    <row r="138" spans="8:36">
      <c r="H138" s="1015" t="str">
        <f ca="1"/>
        <v/>
      </c>
      <c r="I138" s="1006" t="str">
        <f ca="1"/>
        <v/>
      </c>
      <c r="J138" s="1016" t="str">
        <f ca="1"/>
        <v/>
      </c>
      <c r="K138" s="1017" t="str">
        <f ca="1"/>
        <v/>
      </c>
      <c r="L138" s="1006" t="str">
        <f ca="1"/>
        <v/>
      </c>
      <c r="M138" s="1016" t="str">
        <f ca="1"/>
        <v/>
      </c>
      <c r="N138" s="1016" t="str">
        <f ca="1"/>
        <v/>
      </c>
      <c r="O138" s="1027" t="str">
        <f ca="1"/>
        <v/>
      </c>
      <c r="P138" s="1017" t="str">
        <f ca="1"/>
        <v/>
      </c>
      <c r="Q138" s="1018" t="str">
        <f ca="1"/>
        <v/>
      </c>
      <c r="R138" s="1016" t="str">
        <f ca="1"/>
        <v/>
      </c>
      <c r="S138" s="1004" t="str">
        <f ca="1"/>
        <v/>
      </c>
      <c r="T138" s="1028" t="str">
        <f ca="1"/>
        <v/>
      </c>
      <c r="U138" s="995"/>
      <c r="V138" s="1015" t="str">
        <f ca="1"/>
        <v/>
      </c>
      <c r="W138" s="1006" t="str">
        <f ca="1"/>
        <v/>
      </c>
      <c r="X138" s="1006" t="str">
        <f ca="1"/>
        <v/>
      </c>
      <c r="Y138" s="1004" t="str">
        <f ca="1"/>
        <v/>
      </c>
      <c r="Z138" s="1017" t="str">
        <f ca="1"/>
        <v/>
      </c>
      <c r="AA138" s="1006" t="str">
        <f ca="1"/>
        <v/>
      </c>
      <c r="AB138" s="1016" t="str">
        <f ca="1"/>
        <v/>
      </c>
      <c r="AC138" s="1016" t="str">
        <f ca="1"/>
        <v/>
      </c>
      <c r="AD138" s="1027" t="str">
        <f ca="1"/>
        <v/>
      </c>
      <c r="AE138" s="1017" t="str">
        <f ca="1"/>
        <v/>
      </c>
      <c r="AF138" s="1027" t="str">
        <f ca="1"/>
        <v/>
      </c>
      <c r="AG138" s="1036" t="str">
        <f ca="1"/>
        <v/>
      </c>
      <c r="AH138" s="1016" t="str">
        <f ca="1"/>
        <v/>
      </c>
      <c r="AI138" s="1019" t="str">
        <f ca="1"/>
        <v/>
      </c>
      <c r="AJ138" s="1028" t="str">
        <f ca="1"/>
        <v/>
      </c>
    </row>
    <row r="139" spans="8:36">
      <c r="H139" s="1015" t="str">
        <f ca="1"/>
        <v/>
      </c>
      <c r="I139" s="1006" t="str">
        <f ca="1"/>
        <v/>
      </c>
      <c r="J139" s="1016" t="str">
        <f ca="1"/>
        <v/>
      </c>
      <c r="K139" s="1017" t="str">
        <f ca="1"/>
        <v/>
      </c>
      <c r="L139" s="1006" t="str">
        <f ca="1"/>
        <v/>
      </c>
      <c r="M139" s="1016" t="str">
        <f ca="1"/>
        <v/>
      </c>
      <c r="N139" s="1016" t="str">
        <f ca="1"/>
        <v/>
      </c>
      <c r="O139" s="1027" t="str">
        <f ca="1"/>
        <v/>
      </c>
      <c r="P139" s="1017" t="str">
        <f ca="1"/>
        <v/>
      </c>
      <c r="Q139" s="1018" t="str">
        <f ca="1"/>
        <v/>
      </c>
      <c r="R139" s="1016" t="str">
        <f ca="1"/>
        <v/>
      </c>
      <c r="S139" s="1004" t="str">
        <f ca="1"/>
        <v/>
      </c>
      <c r="T139" s="1028" t="str">
        <f ca="1"/>
        <v/>
      </c>
      <c r="U139" s="995"/>
      <c r="V139" s="1015" t="str">
        <f ca="1"/>
        <v/>
      </c>
      <c r="W139" s="1006" t="str">
        <f ca="1"/>
        <v/>
      </c>
      <c r="X139" s="1006" t="str">
        <f ca="1"/>
        <v/>
      </c>
      <c r="Y139" s="1004" t="str">
        <f ca="1"/>
        <v/>
      </c>
      <c r="Z139" s="1017" t="str">
        <f ca="1"/>
        <v/>
      </c>
      <c r="AA139" s="1006" t="str">
        <f ca="1"/>
        <v/>
      </c>
      <c r="AB139" s="1016" t="str">
        <f ca="1"/>
        <v/>
      </c>
      <c r="AC139" s="1016" t="str">
        <f ca="1"/>
        <v/>
      </c>
      <c r="AD139" s="1027" t="str">
        <f ca="1"/>
        <v/>
      </c>
      <c r="AE139" s="1017" t="str">
        <f ca="1"/>
        <v/>
      </c>
      <c r="AF139" s="1027" t="str">
        <f ca="1"/>
        <v/>
      </c>
      <c r="AG139" s="1036" t="str">
        <f ca="1"/>
        <v/>
      </c>
      <c r="AH139" s="1016" t="str">
        <f ca="1"/>
        <v/>
      </c>
      <c r="AI139" s="1019" t="str">
        <f ca="1"/>
        <v/>
      </c>
      <c r="AJ139" s="1028" t="str">
        <f ca="1"/>
        <v/>
      </c>
    </row>
    <row r="140" spans="8:36">
      <c r="H140" s="1015" t="str">
        <f ca="1"/>
        <v/>
      </c>
      <c r="I140" s="1006" t="str">
        <f ca="1"/>
        <v/>
      </c>
      <c r="J140" s="1016" t="str">
        <f ca="1"/>
        <v/>
      </c>
      <c r="K140" s="1017" t="str">
        <f ca="1"/>
        <v/>
      </c>
      <c r="L140" s="1006" t="str">
        <f ca="1"/>
        <v/>
      </c>
      <c r="M140" s="1016" t="str">
        <f ca="1"/>
        <v/>
      </c>
      <c r="N140" s="1016" t="str">
        <f ca="1"/>
        <v/>
      </c>
      <c r="O140" s="1027" t="str">
        <f ca="1"/>
        <v/>
      </c>
      <c r="P140" s="1017" t="str">
        <f ca="1"/>
        <v/>
      </c>
      <c r="Q140" s="1018" t="str">
        <f ca="1"/>
        <v/>
      </c>
      <c r="R140" s="1016" t="str">
        <f ca="1"/>
        <v/>
      </c>
      <c r="S140" s="1004" t="str">
        <f ca="1"/>
        <v/>
      </c>
      <c r="T140" s="1028" t="str">
        <f ca="1"/>
        <v/>
      </c>
      <c r="U140" s="995"/>
      <c r="V140" s="1015" t="str">
        <f ca="1"/>
        <v/>
      </c>
      <c r="W140" s="1006" t="str">
        <f ca="1"/>
        <v/>
      </c>
      <c r="X140" s="1006" t="str">
        <f ca="1"/>
        <v/>
      </c>
      <c r="Y140" s="1004" t="str">
        <f ca="1"/>
        <v/>
      </c>
      <c r="Z140" s="1017" t="str">
        <f ca="1"/>
        <v/>
      </c>
      <c r="AA140" s="1006" t="str">
        <f ca="1"/>
        <v/>
      </c>
      <c r="AB140" s="1016" t="str">
        <f ca="1"/>
        <v/>
      </c>
      <c r="AC140" s="1016" t="str">
        <f ca="1"/>
        <v/>
      </c>
      <c r="AD140" s="1027" t="str">
        <f ca="1"/>
        <v/>
      </c>
      <c r="AE140" s="1017" t="str">
        <f ca="1"/>
        <v/>
      </c>
      <c r="AF140" s="1027" t="str">
        <f ca="1"/>
        <v/>
      </c>
      <c r="AG140" s="1036" t="str">
        <f ca="1"/>
        <v/>
      </c>
      <c r="AH140" s="1016" t="str">
        <f ca="1"/>
        <v/>
      </c>
      <c r="AI140" s="1019" t="str">
        <f ca="1"/>
        <v/>
      </c>
      <c r="AJ140" s="1028" t="str">
        <f ca="1"/>
        <v/>
      </c>
    </row>
    <row r="141" spans="8:36">
      <c r="H141" s="1015" t="str">
        <f ca="1"/>
        <v/>
      </c>
      <c r="I141" s="1006" t="str">
        <f ca="1"/>
        <v/>
      </c>
      <c r="J141" s="1016" t="str">
        <f ca="1"/>
        <v/>
      </c>
      <c r="K141" s="1017" t="str">
        <f ca="1"/>
        <v/>
      </c>
      <c r="L141" s="1006" t="str">
        <f ca="1"/>
        <v/>
      </c>
      <c r="M141" s="1016" t="str">
        <f ca="1"/>
        <v/>
      </c>
      <c r="N141" s="1016" t="str">
        <f ca="1"/>
        <v/>
      </c>
      <c r="O141" s="1027" t="str">
        <f ca="1"/>
        <v/>
      </c>
      <c r="P141" s="1017" t="str">
        <f ca="1"/>
        <v/>
      </c>
      <c r="Q141" s="1018" t="str">
        <f ca="1"/>
        <v/>
      </c>
      <c r="R141" s="1016" t="str">
        <f ca="1"/>
        <v/>
      </c>
      <c r="S141" s="1004" t="str">
        <f ca="1"/>
        <v/>
      </c>
      <c r="T141" s="1028" t="str">
        <f ca="1"/>
        <v/>
      </c>
      <c r="U141" s="995"/>
      <c r="V141" s="1015" t="str">
        <f ca="1"/>
        <v/>
      </c>
      <c r="W141" s="1006" t="str">
        <f ca="1"/>
        <v/>
      </c>
      <c r="X141" s="1006" t="str">
        <f ca="1"/>
        <v/>
      </c>
      <c r="Y141" s="1004" t="str">
        <f ca="1"/>
        <v/>
      </c>
      <c r="Z141" s="1017" t="str">
        <f ca="1"/>
        <v/>
      </c>
      <c r="AA141" s="1006" t="str">
        <f ca="1"/>
        <v/>
      </c>
      <c r="AB141" s="1016" t="str">
        <f ca="1"/>
        <v/>
      </c>
      <c r="AC141" s="1016" t="str">
        <f ca="1"/>
        <v/>
      </c>
      <c r="AD141" s="1027" t="str">
        <f ca="1"/>
        <v/>
      </c>
      <c r="AE141" s="1017" t="str">
        <f ca="1"/>
        <v/>
      </c>
      <c r="AF141" s="1027" t="str">
        <f ca="1"/>
        <v/>
      </c>
      <c r="AG141" s="1036" t="str">
        <f ca="1"/>
        <v/>
      </c>
      <c r="AH141" s="1016" t="str">
        <f ca="1"/>
        <v/>
      </c>
      <c r="AI141" s="1019" t="str">
        <f ca="1"/>
        <v/>
      </c>
      <c r="AJ141" s="1028" t="str">
        <f ca="1"/>
        <v/>
      </c>
    </row>
    <row r="142" spans="8:36">
      <c r="H142" s="1015" t="str">
        <f ca="1"/>
        <v/>
      </c>
      <c r="I142" s="1006" t="str">
        <f ca="1"/>
        <v/>
      </c>
      <c r="J142" s="1016" t="str">
        <f ca="1"/>
        <v/>
      </c>
      <c r="K142" s="1017" t="str">
        <f ca="1"/>
        <v/>
      </c>
      <c r="L142" s="1006" t="str">
        <f ca="1"/>
        <v/>
      </c>
      <c r="M142" s="1016" t="str">
        <f ca="1"/>
        <v/>
      </c>
      <c r="N142" s="1016" t="str">
        <f ca="1"/>
        <v/>
      </c>
      <c r="O142" s="1027" t="str">
        <f ca="1"/>
        <v/>
      </c>
      <c r="P142" s="1017" t="str">
        <f ca="1"/>
        <v/>
      </c>
      <c r="Q142" s="1018" t="str">
        <f ca="1"/>
        <v/>
      </c>
      <c r="R142" s="1016" t="str">
        <f ca="1"/>
        <v/>
      </c>
      <c r="S142" s="1004" t="str">
        <f ca="1"/>
        <v/>
      </c>
      <c r="T142" s="1028" t="str">
        <f ca="1"/>
        <v/>
      </c>
      <c r="U142" s="995"/>
      <c r="V142" s="1015" t="str">
        <f ca="1"/>
        <v/>
      </c>
      <c r="W142" s="1006" t="str">
        <f ca="1"/>
        <v/>
      </c>
      <c r="X142" s="1006" t="str">
        <f ca="1"/>
        <v/>
      </c>
      <c r="Y142" s="1004" t="str">
        <f ca="1"/>
        <v/>
      </c>
      <c r="Z142" s="1017" t="str">
        <f ca="1"/>
        <v/>
      </c>
      <c r="AA142" s="1006" t="str">
        <f ca="1"/>
        <v/>
      </c>
      <c r="AB142" s="1016" t="str">
        <f ca="1"/>
        <v/>
      </c>
      <c r="AC142" s="1016" t="str">
        <f ca="1"/>
        <v/>
      </c>
      <c r="AD142" s="1027" t="str">
        <f ca="1"/>
        <v/>
      </c>
      <c r="AE142" s="1017" t="str">
        <f ca="1"/>
        <v/>
      </c>
      <c r="AF142" s="1027" t="str">
        <f ca="1"/>
        <v/>
      </c>
      <c r="AG142" s="1036" t="str">
        <f ca="1"/>
        <v/>
      </c>
      <c r="AH142" s="1016" t="str">
        <f ca="1"/>
        <v/>
      </c>
      <c r="AI142" s="1019" t="str">
        <f ca="1"/>
        <v/>
      </c>
      <c r="AJ142" s="1028" t="str">
        <f ca="1"/>
        <v/>
      </c>
    </row>
    <row r="143" spans="8:36">
      <c r="H143" s="1015" t="str">
        <f ca="1"/>
        <v/>
      </c>
      <c r="I143" s="1006" t="str">
        <f ca="1"/>
        <v/>
      </c>
      <c r="J143" s="1016" t="str">
        <f ca="1"/>
        <v/>
      </c>
      <c r="K143" s="1017" t="str">
        <f ca="1"/>
        <v/>
      </c>
      <c r="L143" s="1006" t="str">
        <f ca="1"/>
        <v/>
      </c>
      <c r="M143" s="1016" t="str">
        <f ca="1"/>
        <v/>
      </c>
      <c r="N143" s="1016" t="str">
        <f ca="1"/>
        <v/>
      </c>
      <c r="O143" s="1027" t="str">
        <f ca="1"/>
        <v/>
      </c>
      <c r="P143" s="1017" t="str">
        <f ca="1"/>
        <v/>
      </c>
      <c r="Q143" s="1018" t="str">
        <f ca="1"/>
        <v/>
      </c>
      <c r="R143" s="1016" t="str">
        <f ca="1"/>
        <v/>
      </c>
      <c r="S143" s="1004" t="str">
        <f ca="1"/>
        <v/>
      </c>
      <c r="T143" s="1028" t="str">
        <f ca="1"/>
        <v/>
      </c>
      <c r="U143" s="995"/>
      <c r="V143" s="1015" t="str">
        <f ca="1"/>
        <v/>
      </c>
      <c r="W143" s="1006" t="str">
        <f ca="1"/>
        <v/>
      </c>
      <c r="X143" s="1006" t="str">
        <f ca="1"/>
        <v/>
      </c>
      <c r="Y143" s="1004" t="str">
        <f ca="1"/>
        <v/>
      </c>
      <c r="Z143" s="1017" t="str">
        <f ca="1"/>
        <v/>
      </c>
      <c r="AA143" s="1006" t="str">
        <f ca="1"/>
        <v/>
      </c>
      <c r="AB143" s="1016" t="str">
        <f ca="1"/>
        <v/>
      </c>
      <c r="AC143" s="1016" t="str">
        <f ca="1"/>
        <v/>
      </c>
      <c r="AD143" s="1027" t="str">
        <f ca="1"/>
        <v/>
      </c>
      <c r="AE143" s="1017" t="str">
        <f ca="1"/>
        <v/>
      </c>
      <c r="AF143" s="1027" t="str">
        <f ca="1"/>
        <v/>
      </c>
      <c r="AG143" s="1036" t="str">
        <f ca="1"/>
        <v/>
      </c>
      <c r="AH143" s="1016" t="str">
        <f ca="1"/>
        <v/>
      </c>
      <c r="AI143" s="1019" t="str">
        <f ca="1"/>
        <v/>
      </c>
      <c r="AJ143" s="1028" t="str">
        <f ca="1"/>
        <v/>
      </c>
    </row>
    <row r="144" spans="8:36">
      <c r="H144" s="1015" t="str">
        <f ca="1"/>
        <v/>
      </c>
      <c r="I144" s="1006" t="str">
        <f ca="1"/>
        <v/>
      </c>
      <c r="J144" s="1016" t="str">
        <f ca="1"/>
        <v/>
      </c>
      <c r="K144" s="1017" t="str">
        <f ca="1"/>
        <v/>
      </c>
      <c r="L144" s="1006" t="str">
        <f ca="1"/>
        <v/>
      </c>
      <c r="M144" s="1016" t="str">
        <f ca="1"/>
        <v/>
      </c>
      <c r="N144" s="1016" t="str">
        <f ca="1"/>
        <v/>
      </c>
      <c r="O144" s="1027" t="str">
        <f ca="1"/>
        <v/>
      </c>
      <c r="P144" s="1017" t="str">
        <f ca="1"/>
        <v/>
      </c>
      <c r="Q144" s="1018" t="str">
        <f ca="1"/>
        <v/>
      </c>
      <c r="R144" s="1016" t="str">
        <f ca="1"/>
        <v/>
      </c>
      <c r="S144" s="1004" t="str">
        <f ca="1"/>
        <v/>
      </c>
      <c r="T144" s="1028" t="str">
        <f ca="1"/>
        <v/>
      </c>
      <c r="U144" s="995"/>
      <c r="V144" s="1015" t="str">
        <f ca="1"/>
        <v/>
      </c>
      <c r="W144" s="1006" t="str">
        <f ca="1"/>
        <v/>
      </c>
      <c r="X144" s="1006" t="str">
        <f ca="1"/>
        <v/>
      </c>
      <c r="Y144" s="1004" t="str">
        <f ca="1"/>
        <v/>
      </c>
      <c r="Z144" s="1017" t="str">
        <f ca="1"/>
        <v/>
      </c>
      <c r="AA144" s="1006" t="str">
        <f ca="1"/>
        <v/>
      </c>
      <c r="AB144" s="1016" t="str">
        <f ca="1"/>
        <v/>
      </c>
      <c r="AC144" s="1016" t="str">
        <f ca="1"/>
        <v/>
      </c>
      <c r="AD144" s="1027" t="str">
        <f ca="1"/>
        <v/>
      </c>
      <c r="AE144" s="1017" t="str">
        <f ca="1"/>
        <v/>
      </c>
      <c r="AF144" s="1027" t="str">
        <f ca="1"/>
        <v/>
      </c>
      <c r="AG144" s="1036" t="str">
        <f ca="1"/>
        <v/>
      </c>
      <c r="AH144" s="1016" t="str">
        <f ca="1"/>
        <v/>
      </c>
      <c r="AI144" s="1019" t="str">
        <f ca="1"/>
        <v/>
      </c>
      <c r="AJ144" s="1028" t="str">
        <f ca="1"/>
        <v/>
      </c>
    </row>
    <row r="145" spans="8:36">
      <c r="H145" s="1015" t="str">
        <f ca="1"/>
        <v/>
      </c>
      <c r="I145" s="1006" t="str">
        <f ca="1"/>
        <v/>
      </c>
      <c r="J145" s="1016" t="str">
        <f ca="1"/>
        <v/>
      </c>
      <c r="K145" s="1017" t="str">
        <f ca="1"/>
        <v/>
      </c>
      <c r="L145" s="1006" t="str">
        <f ca="1"/>
        <v/>
      </c>
      <c r="M145" s="1016" t="str">
        <f ca="1"/>
        <v/>
      </c>
      <c r="N145" s="1016" t="str">
        <f ca="1"/>
        <v/>
      </c>
      <c r="O145" s="1027" t="str">
        <f ca="1"/>
        <v/>
      </c>
      <c r="P145" s="1017" t="str">
        <f ca="1"/>
        <v/>
      </c>
      <c r="Q145" s="1018" t="str">
        <f ca="1"/>
        <v/>
      </c>
      <c r="R145" s="1016" t="str">
        <f ca="1"/>
        <v/>
      </c>
      <c r="S145" s="1004" t="str">
        <f ca="1"/>
        <v/>
      </c>
      <c r="T145" s="1028" t="str">
        <f ca="1"/>
        <v/>
      </c>
      <c r="U145" s="995"/>
      <c r="V145" s="1015" t="str">
        <f ca="1"/>
        <v/>
      </c>
      <c r="W145" s="1006" t="str">
        <f ca="1"/>
        <v/>
      </c>
      <c r="X145" s="1006" t="str">
        <f ca="1"/>
        <v/>
      </c>
      <c r="Y145" s="1004" t="str">
        <f ca="1"/>
        <v/>
      </c>
      <c r="Z145" s="1017" t="str">
        <f ca="1"/>
        <v/>
      </c>
      <c r="AA145" s="1006" t="str">
        <f ca="1"/>
        <v/>
      </c>
      <c r="AB145" s="1016" t="str">
        <f ca="1"/>
        <v/>
      </c>
      <c r="AC145" s="1016" t="str">
        <f ca="1"/>
        <v/>
      </c>
      <c r="AD145" s="1027" t="str">
        <f ca="1"/>
        <v/>
      </c>
      <c r="AE145" s="1017" t="str">
        <f ca="1"/>
        <v/>
      </c>
      <c r="AF145" s="1027" t="str">
        <f ca="1"/>
        <v/>
      </c>
      <c r="AG145" s="1036" t="str">
        <f ca="1"/>
        <v/>
      </c>
      <c r="AH145" s="1016" t="str">
        <f ca="1"/>
        <v/>
      </c>
      <c r="AI145" s="1019" t="str">
        <f ca="1"/>
        <v/>
      </c>
      <c r="AJ145" s="1028" t="str">
        <f ca="1"/>
        <v/>
      </c>
    </row>
    <row r="146" spans="8:36">
      <c r="H146" s="1015" t="str">
        <f ca="1"/>
        <v/>
      </c>
      <c r="I146" s="1006" t="str">
        <f ca="1"/>
        <v/>
      </c>
      <c r="J146" s="1016" t="str">
        <f ca="1"/>
        <v/>
      </c>
      <c r="K146" s="1017" t="str">
        <f ca="1"/>
        <v/>
      </c>
      <c r="L146" s="1006" t="str">
        <f ca="1"/>
        <v/>
      </c>
      <c r="M146" s="1016" t="str">
        <f ca="1"/>
        <v/>
      </c>
      <c r="N146" s="1016" t="str">
        <f ca="1"/>
        <v/>
      </c>
      <c r="O146" s="1027" t="str">
        <f ca="1"/>
        <v/>
      </c>
      <c r="P146" s="1017" t="str">
        <f ca="1"/>
        <v/>
      </c>
      <c r="Q146" s="1018" t="str">
        <f ca="1"/>
        <v/>
      </c>
      <c r="R146" s="1016" t="str">
        <f ca="1"/>
        <v/>
      </c>
      <c r="S146" s="1004" t="str">
        <f ca="1"/>
        <v/>
      </c>
      <c r="T146" s="1028" t="str">
        <f ca="1"/>
        <v/>
      </c>
      <c r="U146" s="995"/>
      <c r="V146" s="1015" t="str">
        <f ca="1"/>
        <v/>
      </c>
      <c r="W146" s="1006" t="str">
        <f ca="1"/>
        <v/>
      </c>
      <c r="X146" s="1006" t="str">
        <f ca="1"/>
        <v/>
      </c>
      <c r="Y146" s="1004" t="str">
        <f ca="1"/>
        <v/>
      </c>
      <c r="Z146" s="1017" t="str">
        <f ca="1"/>
        <v/>
      </c>
      <c r="AA146" s="1006" t="str">
        <f ca="1"/>
        <v/>
      </c>
      <c r="AB146" s="1016" t="str">
        <f ca="1"/>
        <v/>
      </c>
      <c r="AC146" s="1016" t="str">
        <f ca="1"/>
        <v/>
      </c>
      <c r="AD146" s="1027" t="str">
        <f ca="1"/>
        <v/>
      </c>
      <c r="AE146" s="1017" t="str">
        <f ca="1"/>
        <v/>
      </c>
      <c r="AF146" s="1027" t="str">
        <f ca="1"/>
        <v/>
      </c>
      <c r="AG146" s="1036" t="str">
        <f ca="1"/>
        <v/>
      </c>
      <c r="AH146" s="1016" t="str">
        <f ca="1"/>
        <v/>
      </c>
      <c r="AI146" s="1019" t="str">
        <f ca="1"/>
        <v/>
      </c>
      <c r="AJ146" s="1028" t="str">
        <f ca="1"/>
        <v/>
      </c>
    </row>
    <row r="147" spans="8:36">
      <c r="H147" s="1015" t="str">
        <f ca="1"/>
        <v/>
      </c>
      <c r="I147" s="1006" t="str">
        <f ca="1"/>
        <v/>
      </c>
      <c r="J147" s="1016" t="str">
        <f ca="1"/>
        <v/>
      </c>
      <c r="K147" s="1017" t="str">
        <f ca="1"/>
        <v/>
      </c>
      <c r="L147" s="1006" t="str">
        <f ca="1"/>
        <v/>
      </c>
      <c r="M147" s="1016" t="str">
        <f ca="1"/>
        <v/>
      </c>
      <c r="N147" s="1016" t="str">
        <f ca="1"/>
        <v/>
      </c>
      <c r="O147" s="1027" t="str">
        <f ca="1"/>
        <v/>
      </c>
      <c r="P147" s="1017" t="str">
        <f ca="1"/>
        <v/>
      </c>
      <c r="Q147" s="1018" t="str">
        <f ca="1"/>
        <v/>
      </c>
      <c r="R147" s="1016" t="str">
        <f ca="1"/>
        <v/>
      </c>
      <c r="S147" s="1004" t="str">
        <f ca="1"/>
        <v/>
      </c>
      <c r="T147" s="1028" t="str">
        <f ca="1"/>
        <v/>
      </c>
      <c r="U147" s="995"/>
      <c r="V147" s="1015" t="str">
        <f ca="1"/>
        <v/>
      </c>
      <c r="W147" s="1006" t="str">
        <f ca="1"/>
        <v/>
      </c>
      <c r="X147" s="1006" t="str">
        <f ca="1"/>
        <v/>
      </c>
      <c r="Y147" s="1004" t="str">
        <f ca="1"/>
        <v/>
      </c>
      <c r="Z147" s="1017" t="str">
        <f ca="1"/>
        <v/>
      </c>
      <c r="AA147" s="1006" t="str">
        <f ca="1"/>
        <v/>
      </c>
      <c r="AB147" s="1016" t="str">
        <f ca="1"/>
        <v/>
      </c>
      <c r="AC147" s="1016" t="str">
        <f ca="1"/>
        <v/>
      </c>
      <c r="AD147" s="1027" t="str">
        <f ca="1"/>
        <v/>
      </c>
      <c r="AE147" s="1017" t="str">
        <f ca="1"/>
        <v/>
      </c>
      <c r="AF147" s="1027" t="str">
        <f ca="1"/>
        <v/>
      </c>
      <c r="AG147" s="1036" t="str">
        <f ca="1"/>
        <v/>
      </c>
      <c r="AH147" s="1016" t="str">
        <f ca="1"/>
        <v/>
      </c>
      <c r="AI147" s="1019" t="str">
        <f ca="1"/>
        <v/>
      </c>
      <c r="AJ147" s="1028" t="str">
        <f ca="1"/>
        <v/>
      </c>
    </row>
    <row r="148" spans="8:36">
      <c r="H148" s="1015" t="str">
        <f ca="1"/>
        <v/>
      </c>
      <c r="I148" s="1006" t="str">
        <f ca="1"/>
        <v/>
      </c>
      <c r="J148" s="1016" t="str">
        <f ca="1"/>
        <v/>
      </c>
      <c r="K148" s="1017" t="str">
        <f ca="1"/>
        <v/>
      </c>
      <c r="L148" s="1006" t="str">
        <f ca="1"/>
        <v/>
      </c>
      <c r="M148" s="1016" t="str">
        <f ca="1"/>
        <v/>
      </c>
      <c r="N148" s="1016" t="str">
        <f ca="1"/>
        <v/>
      </c>
      <c r="O148" s="1027" t="str">
        <f ca="1"/>
        <v/>
      </c>
      <c r="P148" s="1017" t="str">
        <f ca="1"/>
        <v/>
      </c>
      <c r="Q148" s="1018" t="str">
        <f ca="1"/>
        <v/>
      </c>
      <c r="R148" s="1016" t="str">
        <f ca="1"/>
        <v/>
      </c>
      <c r="S148" s="1004" t="str">
        <f ca="1"/>
        <v/>
      </c>
      <c r="T148" s="1028" t="str">
        <f ca="1"/>
        <v/>
      </c>
      <c r="U148" s="995"/>
      <c r="V148" s="1015" t="str">
        <f ca="1"/>
        <v/>
      </c>
      <c r="W148" s="1006" t="str">
        <f ca="1"/>
        <v/>
      </c>
      <c r="X148" s="1006" t="str">
        <f ca="1"/>
        <v/>
      </c>
      <c r="Y148" s="1004" t="str">
        <f ca="1"/>
        <v/>
      </c>
      <c r="Z148" s="1017" t="str">
        <f ca="1"/>
        <v/>
      </c>
      <c r="AA148" s="1006" t="str">
        <f ca="1"/>
        <v/>
      </c>
      <c r="AB148" s="1016" t="str">
        <f ca="1"/>
        <v/>
      </c>
      <c r="AC148" s="1016" t="str">
        <f ca="1"/>
        <v/>
      </c>
      <c r="AD148" s="1027" t="str">
        <f ca="1"/>
        <v/>
      </c>
      <c r="AE148" s="1017" t="str">
        <f ca="1"/>
        <v/>
      </c>
      <c r="AF148" s="1027" t="str">
        <f ca="1"/>
        <v/>
      </c>
      <c r="AG148" s="1036" t="str">
        <f ca="1"/>
        <v/>
      </c>
      <c r="AH148" s="1016" t="str">
        <f ca="1"/>
        <v/>
      </c>
      <c r="AI148" s="1019" t="str">
        <f ca="1"/>
        <v/>
      </c>
      <c r="AJ148" s="1028" t="str">
        <f ca="1"/>
        <v/>
      </c>
    </row>
    <row r="149" spans="8:36">
      <c r="H149" s="1015" t="str">
        <f ca="1"/>
        <v/>
      </c>
      <c r="I149" s="1006" t="str">
        <f ca="1"/>
        <v/>
      </c>
      <c r="J149" s="1016" t="str">
        <f ca="1"/>
        <v/>
      </c>
      <c r="K149" s="1017" t="str">
        <f ca="1"/>
        <v/>
      </c>
      <c r="L149" s="1006" t="str">
        <f ca="1"/>
        <v/>
      </c>
      <c r="M149" s="1016" t="str">
        <f ca="1"/>
        <v/>
      </c>
      <c r="N149" s="1016" t="str">
        <f ca="1"/>
        <v/>
      </c>
      <c r="O149" s="1027" t="str">
        <f ca="1"/>
        <v/>
      </c>
      <c r="P149" s="1017" t="str">
        <f ca="1"/>
        <v/>
      </c>
      <c r="Q149" s="1018" t="str">
        <f ca="1"/>
        <v/>
      </c>
      <c r="R149" s="1016" t="str">
        <f ca="1"/>
        <v/>
      </c>
      <c r="S149" s="1004" t="str">
        <f ca="1"/>
        <v/>
      </c>
      <c r="T149" s="1028" t="str">
        <f ca="1"/>
        <v/>
      </c>
      <c r="U149" s="995"/>
      <c r="V149" s="1015" t="str">
        <f ca="1"/>
        <v/>
      </c>
      <c r="W149" s="1006" t="str">
        <f ca="1"/>
        <v/>
      </c>
      <c r="X149" s="1006" t="str">
        <f ca="1"/>
        <v/>
      </c>
      <c r="Y149" s="1004" t="str">
        <f ca="1"/>
        <v/>
      </c>
      <c r="Z149" s="1017" t="str">
        <f ca="1"/>
        <v/>
      </c>
      <c r="AA149" s="1006" t="str">
        <f ca="1"/>
        <v/>
      </c>
      <c r="AB149" s="1016" t="str">
        <f ca="1"/>
        <v/>
      </c>
      <c r="AC149" s="1016" t="str">
        <f ca="1"/>
        <v/>
      </c>
      <c r="AD149" s="1027" t="str">
        <f ca="1"/>
        <v/>
      </c>
      <c r="AE149" s="1017" t="str">
        <f ca="1"/>
        <v/>
      </c>
      <c r="AF149" s="1027" t="str">
        <f ca="1"/>
        <v/>
      </c>
      <c r="AG149" s="1036" t="str">
        <f ca="1"/>
        <v/>
      </c>
      <c r="AH149" s="1016" t="str">
        <f ca="1"/>
        <v/>
      </c>
      <c r="AI149" s="1019" t="str">
        <f ca="1"/>
        <v/>
      </c>
      <c r="AJ149" s="1028" t="str">
        <f ca="1"/>
        <v/>
      </c>
    </row>
    <row r="150" spans="8:36">
      <c r="H150" s="1015" t="str">
        <f ca="1"/>
        <v/>
      </c>
      <c r="I150" s="1006" t="str">
        <f ca="1"/>
        <v/>
      </c>
      <c r="J150" s="1016" t="str">
        <f ca="1"/>
        <v/>
      </c>
      <c r="K150" s="1017" t="str">
        <f ca="1"/>
        <v/>
      </c>
      <c r="L150" s="1006" t="str">
        <f ca="1"/>
        <v/>
      </c>
      <c r="M150" s="1016" t="str">
        <f ca="1"/>
        <v/>
      </c>
      <c r="N150" s="1016" t="str">
        <f ca="1"/>
        <v/>
      </c>
      <c r="O150" s="1027" t="str">
        <f ca="1"/>
        <v/>
      </c>
      <c r="P150" s="1017" t="str">
        <f ca="1"/>
        <v/>
      </c>
      <c r="Q150" s="1018" t="str">
        <f ca="1"/>
        <v/>
      </c>
      <c r="R150" s="1016" t="str">
        <f ca="1"/>
        <v/>
      </c>
      <c r="S150" s="1004" t="str">
        <f ca="1"/>
        <v/>
      </c>
      <c r="T150" s="1028" t="str">
        <f ca="1"/>
        <v/>
      </c>
      <c r="U150" s="995"/>
      <c r="V150" s="1015" t="str">
        <f ca="1"/>
        <v/>
      </c>
      <c r="W150" s="1006" t="str">
        <f ca="1"/>
        <v/>
      </c>
      <c r="X150" s="1006" t="str">
        <f ca="1"/>
        <v/>
      </c>
      <c r="Y150" s="1004" t="str">
        <f ca="1"/>
        <v/>
      </c>
      <c r="Z150" s="1017" t="str">
        <f ca="1"/>
        <v/>
      </c>
      <c r="AA150" s="1006" t="str">
        <f ca="1"/>
        <v/>
      </c>
      <c r="AB150" s="1016" t="str">
        <f ca="1"/>
        <v/>
      </c>
      <c r="AC150" s="1016" t="str">
        <f ca="1"/>
        <v/>
      </c>
      <c r="AD150" s="1027" t="str">
        <f ca="1"/>
        <v/>
      </c>
      <c r="AE150" s="1017" t="str">
        <f ca="1"/>
        <v/>
      </c>
      <c r="AF150" s="1027" t="str">
        <f ca="1"/>
        <v/>
      </c>
      <c r="AG150" s="1036" t="str">
        <f ca="1"/>
        <v/>
      </c>
      <c r="AH150" s="1016" t="str">
        <f ca="1"/>
        <v/>
      </c>
      <c r="AI150" s="1019" t="str">
        <f ca="1"/>
        <v/>
      </c>
      <c r="AJ150" s="1028" t="str">
        <f ca="1"/>
        <v/>
      </c>
    </row>
    <row r="151" spans="8:36">
      <c r="H151" s="1015" t="str">
        <f ca="1"/>
        <v/>
      </c>
      <c r="I151" s="1006" t="str">
        <f ca="1"/>
        <v/>
      </c>
      <c r="J151" s="1016" t="str">
        <f ca="1"/>
        <v/>
      </c>
      <c r="K151" s="1017" t="str">
        <f ca="1"/>
        <v/>
      </c>
      <c r="L151" s="1006" t="str">
        <f ca="1"/>
        <v/>
      </c>
      <c r="M151" s="1016" t="str">
        <f ca="1"/>
        <v/>
      </c>
      <c r="N151" s="1016" t="str">
        <f ca="1"/>
        <v/>
      </c>
      <c r="O151" s="1027" t="str">
        <f ca="1"/>
        <v/>
      </c>
      <c r="P151" s="1017" t="str">
        <f ca="1"/>
        <v/>
      </c>
      <c r="Q151" s="1018" t="str">
        <f ca="1"/>
        <v/>
      </c>
      <c r="R151" s="1016" t="str">
        <f ca="1"/>
        <v/>
      </c>
      <c r="S151" s="1004" t="str">
        <f ca="1"/>
        <v/>
      </c>
      <c r="T151" s="1028" t="str">
        <f ca="1"/>
        <v/>
      </c>
      <c r="U151" s="995"/>
      <c r="V151" s="1015" t="str">
        <f ca="1"/>
        <v/>
      </c>
      <c r="W151" s="1006" t="str">
        <f ca="1"/>
        <v/>
      </c>
      <c r="X151" s="1006" t="str">
        <f ca="1"/>
        <v/>
      </c>
      <c r="Y151" s="1004" t="str">
        <f ca="1"/>
        <v/>
      </c>
      <c r="Z151" s="1017" t="str">
        <f ca="1"/>
        <v/>
      </c>
      <c r="AA151" s="1006" t="str">
        <f ca="1"/>
        <v/>
      </c>
      <c r="AB151" s="1016" t="str">
        <f ca="1"/>
        <v/>
      </c>
      <c r="AC151" s="1016" t="str">
        <f ca="1"/>
        <v/>
      </c>
      <c r="AD151" s="1027" t="str">
        <f ca="1"/>
        <v/>
      </c>
      <c r="AE151" s="1017" t="str">
        <f ca="1"/>
        <v/>
      </c>
      <c r="AF151" s="1027" t="str">
        <f ca="1"/>
        <v/>
      </c>
      <c r="AG151" s="1036" t="str">
        <f ca="1"/>
        <v/>
      </c>
      <c r="AH151" s="1016" t="str">
        <f ca="1"/>
        <v/>
      </c>
      <c r="AI151" s="1019" t="str">
        <f ca="1"/>
        <v/>
      </c>
      <c r="AJ151" s="1028" t="str">
        <f ca="1"/>
        <v/>
      </c>
    </row>
    <row r="152" spans="8:36">
      <c r="H152" s="1015" t="str">
        <f ca="1"/>
        <v/>
      </c>
      <c r="I152" s="1006" t="str">
        <f ca="1"/>
        <v/>
      </c>
      <c r="J152" s="1016" t="str">
        <f ca="1"/>
        <v/>
      </c>
      <c r="K152" s="1017" t="str">
        <f ca="1"/>
        <v/>
      </c>
      <c r="L152" s="1006" t="str">
        <f ca="1"/>
        <v/>
      </c>
      <c r="M152" s="1016" t="str">
        <f ca="1"/>
        <v/>
      </c>
      <c r="N152" s="1016" t="str">
        <f ca="1"/>
        <v/>
      </c>
      <c r="O152" s="1027" t="str">
        <f ca="1"/>
        <v/>
      </c>
      <c r="P152" s="1017" t="str">
        <f ca="1"/>
        <v/>
      </c>
      <c r="Q152" s="1018" t="str">
        <f ca="1"/>
        <v/>
      </c>
      <c r="R152" s="1016" t="str">
        <f ca="1"/>
        <v/>
      </c>
      <c r="S152" s="1004" t="str">
        <f ca="1"/>
        <v/>
      </c>
      <c r="T152" s="1028" t="str">
        <f ca="1"/>
        <v/>
      </c>
      <c r="U152" s="995"/>
      <c r="V152" s="1015" t="str">
        <f ca="1"/>
        <v/>
      </c>
      <c r="W152" s="1006" t="str">
        <f ca="1"/>
        <v/>
      </c>
      <c r="X152" s="1006" t="str">
        <f ca="1"/>
        <v/>
      </c>
      <c r="Y152" s="1004" t="str">
        <f ca="1"/>
        <v/>
      </c>
      <c r="Z152" s="1017" t="str">
        <f ca="1"/>
        <v/>
      </c>
      <c r="AA152" s="1006" t="str">
        <f ca="1"/>
        <v/>
      </c>
      <c r="AB152" s="1016" t="str">
        <f ca="1"/>
        <v/>
      </c>
      <c r="AC152" s="1016" t="str">
        <f ca="1"/>
        <v/>
      </c>
      <c r="AD152" s="1027" t="str">
        <f ca="1"/>
        <v/>
      </c>
      <c r="AE152" s="1017" t="str">
        <f ca="1"/>
        <v/>
      </c>
      <c r="AF152" s="1027" t="str">
        <f ca="1"/>
        <v/>
      </c>
      <c r="AG152" s="1036" t="str">
        <f ca="1"/>
        <v/>
      </c>
      <c r="AH152" s="1016" t="str">
        <f ca="1"/>
        <v/>
      </c>
      <c r="AI152" s="1019" t="str">
        <f ca="1"/>
        <v/>
      </c>
      <c r="AJ152" s="1028" t="str">
        <f ca="1"/>
        <v/>
      </c>
    </row>
    <row r="153" spans="8:36">
      <c r="H153" s="1015" t="str">
        <f ca="1"/>
        <v/>
      </c>
      <c r="I153" s="1006" t="str">
        <f ca="1"/>
        <v/>
      </c>
      <c r="J153" s="1016" t="str">
        <f ca="1"/>
        <v/>
      </c>
      <c r="K153" s="1017" t="str">
        <f ca="1"/>
        <v/>
      </c>
      <c r="L153" s="1006" t="str">
        <f ca="1"/>
        <v/>
      </c>
      <c r="M153" s="1016" t="str">
        <f ca="1"/>
        <v/>
      </c>
      <c r="N153" s="1016" t="str">
        <f ca="1"/>
        <v/>
      </c>
      <c r="O153" s="1027" t="str">
        <f ca="1"/>
        <v/>
      </c>
      <c r="P153" s="1017" t="str">
        <f ca="1"/>
        <v/>
      </c>
      <c r="Q153" s="1018" t="str">
        <f ca="1"/>
        <v/>
      </c>
      <c r="R153" s="1016" t="str">
        <f ca="1"/>
        <v/>
      </c>
      <c r="S153" s="1004" t="str">
        <f ca="1"/>
        <v/>
      </c>
      <c r="T153" s="1028" t="str">
        <f ca="1"/>
        <v/>
      </c>
      <c r="U153" s="995"/>
      <c r="V153" s="1015" t="str">
        <f ca="1"/>
        <v/>
      </c>
      <c r="W153" s="1006" t="str">
        <f ca="1"/>
        <v/>
      </c>
      <c r="X153" s="1006" t="str">
        <f ca="1"/>
        <v/>
      </c>
      <c r="Y153" s="1004" t="str">
        <f ca="1"/>
        <v/>
      </c>
      <c r="Z153" s="1017" t="str">
        <f ca="1"/>
        <v/>
      </c>
      <c r="AA153" s="1006" t="str">
        <f ca="1"/>
        <v/>
      </c>
      <c r="AB153" s="1016" t="str">
        <f ca="1"/>
        <v/>
      </c>
      <c r="AC153" s="1016" t="str">
        <f ca="1"/>
        <v/>
      </c>
      <c r="AD153" s="1027" t="str">
        <f ca="1"/>
        <v/>
      </c>
      <c r="AE153" s="1017" t="str">
        <f ca="1"/>
        <v/>
      </c>
      <c r="AF153" s="1027" t="str">
        <f ca="1"/>
        <v/>
      </c>
      <c r="AG153" s="1036" t="str">
        <f ca="1"/>
        <v/>
      </c>
      <c r="AH153" s="1016" t="str">
        <f ca="1"/>
        <v/>
      </c>
      <c r="AI153" s="1019" t="str">
        <f ca="1"/>
        <v/>
      </c>
      <c r="AJ153" s="1028" t="str">
        <f ca="1"/>
        <v/>
      </c>
    </row>
    <row r="154" spans="8:36">
      <c r="H154" s="1015" t="str">
        <f ca="1"/>
        <v/>
      </c>
      <c r="I154" s="1006" t="str">
        <f ca="1"/>
        <v/>
      </c>
      <c r="J154" s="1016" t="str">
        <f ca="1"/>
        <v/>
      </c>
      <c r="K154" s="1017" t="str">
        <f ca="1"/>
        <v/>
      </c>
      <c r="L154" s="1006" t="str">
        <f ca="1"/>
        <v/>
      </c>
      <c r="M154" s="1016" t="str">
        <f ca="1"/>
        <v/>
      </c>
      <c r="N154" s="1016" t="str">
        <f ca="1"/>
        <v/>
      </c>
      <c r="O154" s="1027" t="str">
        <f ca="1"/>
        <v/>
      </c>
      <c r="P154" s="1017" t="str">
        <f ca="1"/>
        <v/>
      </c>
      <c r="Q154" s="1018" t="str">
        <f ca="1"/>
        <v/>
      </c>
      <c r="R154" s="1016" t="str">
        <f ca="1"/>
        <v/>
      </c>
      <c r="S154" s="1004" t="str">
        <f ca="1"/>
        <v/>
      </c>
      <c r="T154" s="1028" t="str">
        <f ca="1"/>
        <v/>
      </c>
      <c r="U154" s="995"/>
      <c r="V154" s="1015" t="str">
        <f ca="1"/>
        <v/>
      </c>
      <c r="W154" s="1006" t="str">
        <f ca="1"/>
        <v/>
      </c>
      <c r="X154" s="1006" t="str">
        <f ca="1"/>
        <v/>
      </c>
      <c r="Y154" s="1004" t="str">
        <f ca="1"/>
        <v/>
      </c>
      <c r="Z154" s="1017" t="str">
        <f ca="1"/>
        <v/>
      </c>
      <c r="AA154" s="1006" t="str">
        <f ca="1"/>
        <v/>
      </c>
      <c r="AB154" s="1016" t="str">
        <f ca="1"/>
        <v/>
      </c>
      <c r="AC154" s="1016" t="str">
        <f ca="1"/>
        <v/>
      </c>
      <c r="AD154" s="1027" t="str">
        <f ca="1"/>
        <v/>
      </c>
      <c r="AE154" s="1017" t="str">
        <f ca="1"/>
        <v/>
      </c>
      <c r="AF154" s="1027" t="str">
        <f ca="1"/>
        <v/>
      </c>
      <c r="AG154" s="1036" t="str">
        <f ca="1"/>
        <v/>
      </c>
      <c r="AH154" s="1016" t="str">
        <f ca="1"/>
        <v/>
      </c>
      <c r="AI154" s="1019" t="str">
        <f ca="1"/>
        <v/>
      </c>
      <c r="AJ154" s="1028" t="str">
        <f ca="1"/>
        <v/>
      </c>
    </row>
    <row r="155" spans="8:36">
      <c r="H155" s="1015" t="str">
        <f ca="1"/>
        <v/>
      </c>
      <c r="I155" s="1006" t="str">
        <f ca="1"/>
        <v/>
      </c>
      <c r="J155" s="1016" t="str">
        <f ca="1"/>
        <v/>
      </c>
      <c r="K155" s="1017" t="str">
        <f ca="1"/>
        <v/>
      </c>
      <c r="L155" s="1006" t="str">
        <f ca="1"/>
        <v/>
      </c>
      <c r="M155" s="1016" t="str">
        <f ca="1"/>
        <v/>
      </c>
      <c r="N155" s="1016" t="str">
        <f ca="1"/>
        <v/>
      </c>
      <c r="O155" s="1027" t="str">
        <f ca="1"/>
        <v/>
      </c>
      <c r="P155" s="1017" t="str">
        <f ca="1"/>
        <v/>
      </c>
      <c r="Q155" s="1018" t="str">
        <f ca="1"/>
        <v/>
      </c>
      <c r="R155" s="1016" t="str">
        <f ca="1"/>
        <v/>
      </c>
      <c r="S155" s="1004" t="str">
        <f ca="1"/>
        <v/>
      </c>
      <c r="T155" s="1028" t="str">
        <f ca="1"/>
        <v/>
      </c>
      <c r="U155" s="995"/>
      <c r="V155" s="1015" t="str">
        <f ca="1"/>
        <v/>
      </c>
      <c r="W155" s="1006" t="str">
        <f ca="1"/>
        <v/>
      </c>
      <c r="X155" s="1006" t="str">
        <f ca="1"/>
        <v/>
      </c>
      <c r="Y155" s="1004" t="str">
        <f ca="1"/>
        <v/>
      </c>
      <c r="Z155" s="1017" t="str">
        <f ca="1"/>
        <v/>
      </c>
      <c r="AA155" s="1006" t="str">
        <f ca="1"/>
        <v/>
      </c>
      <c r="AB155" s="1016" t="str">
        <f ca="1"/>
        <v/>
      </c>
      <c r="AC155" s="1016" t="str">
        <f ca="1"/>
        <v/>
      </c>
      <c r="AD155" s="1027" t="str">
        <f ca="1"/>
        <v/>
      </c>
      <c r="AE155" s="1017" t="str">
        <f ca="1"/>
        <v/>
      </c>
      <c r="AF155" s="1027" t="str">
        <f ca="1"/>
        <v/>
      </c>
      <c r="AG155" s="1036" t="str">
        <f ca="1"/>
        <v/>
      </c>
      <c r="AH155" s="1016" t="str">
        <f ca="1"/>
        <v/>
      </c>
      <c r="AI155" s="1019" t="str">
        <f ca="1"/>
        <v/>
      </c>
      <c r="AJ155" s="1028" t="str">
        <f ca="1"/>
        <v/>
      </c>
    </row>
    <row r="156" spans="8:36">
      <c r="H156" s="1015" t="str">
        <f ca="1"/>
        <v/>
      </c>
      <c r="I156" s="1006" t="str">
        <f ca="1"/>
        <v/>
      </c>
      <c r="J156" s="1016" t="str">
        <f ca="1"/>
        <v/>
      </c>
      <c r="K156" s="1017" t="str">
        <f ca="1"/>
        <v/>
      </c>
      <c r="L156" s="1006" t="str">
        <f ca="1"/>
        <v/>
      </c>
      <c r="M156" s="1016" t="str">
        <f ca="1"/>
        <v/>
      </c>
      <c r="N156" s="1016" t="str">
        <f ca="1"/>
        <v/>
      </c>
      <c r="O156" s="1027" t="str">
        <f ca="1"/>
        <v/>
      </c>
      <c r="P156" s="1017" t="str">
        <f ca="1"/>
        <v/>
      </c>
      <c r="Q156" s="1018" t="str">
        <f ca="1"/>
        <v/>
      </c>
      <c r="R156" s="1016" t="str">
        <f ca="1"/>
        <v/>
      </c>
      <c r="S156" s="1004" t="str">
        <f ca="1"/>
        <v/>
      </c>
      <c r="T156" s="1028" t="str">
        <f ca="1"/>
        <v/>
      </c>
      <c r="U156" s="995"/>
      <c r="V156" s="1015" t="str">
        <f ca="1"/>
        <v/>
      </c>
      <c r="W156" s="1006" t="str">
        <f ca="1"/>
        <v/>
      </c>
      <c r="X156" s="1006" t="str">
        <f ca="1"/>
        <v/>
      </c>
      <c r="Y156" s="1004" t="str">
        <f ca="1"/>
        <v/>
      </c>
      <c r="Z156" s="1017" t="str">
        <f ca="1"/>
        <v/>
      </c>
      <c r="AA156" s="1006" t="str">
        <f ca="1"/>
        <v/>
      </c>
      <c r="AB156" s="1016" t="str">
        <f ca="1"/>
        <v/>
      </c>
      <c r="AC156" s="1016" t="str">
        <f ca="1"/>
        <v/>
      </c>
      <c r="AD156" s="1027" t="str">
        <f ca="1"/>
        <v/>
      </c>
      <c r="AE156" s="1017" t="str">
        <f ca="1"/>
        <v/>
      </c>
      <c r="AF156" s="1027" t="str">
        <f ca="1"/>
        <v/>
      </c>
      <c r="AG156" s="1036" t="str">
        <f ca="1"/>
        <v/>
      </c>
      <c r="AH156" s="1016" t="str">
        <f ca="1"/>
        <v/>
      </c>
      <c r="AI156" s="1019" t="str">
        <f ca="1"/>
        <v/>
      </c>
      <c r="AJ156" s="1028" t="str">
        <f ca="1"/>
        <v/>
      </c>
    </row>
    <row r="157" spans="8:36">
      <c r="H157" s="1015" t="str">
        <f ca="1"/>
        <v/>
      </c>
      <c r="I157" s="1006" t="str">
        <f ca="1"/>
        <v/>
      </c>
      <c r="J157" s="1016" t="str">
        <f ca="1"/>
        <v/>
      </c>
      <c r="K157" s="1017" t="str">
        <f ca="1"/>
        <v/>
      </c>
      <c r="L157" s="1006" t="str">
        <f ca="1"/>
        <v/>
      </c>
      <c r="M157" s="1016" t="str">
        <f ca="1"/>
        <v/>
      </c>
      <c r="N157" s="1016" t="str">
        <f ca="1"/>
        <v/>
      </c>
      <c r="O157" s="1027" t="str">
        <f ca="1"/>
        <v/>
      </c>
      <c r="P157" s="1017" t="str">
        <f ca="1"/>
        <v/>
      </c>
      <c r="Q157" s="1018" t="str">
        <f ca="1"/>
        <v/>
      </c>
      <c r="R157" s="1016" t="str">
        <f ca="1"/>
        <v/>
      </c>
      <c r="S157" s="1004" t="str">
        <f ca="1"/>
        <v/>
      </c>
      <c r="T157" s="1028" t="str">
        <f ca="1"/>
        <v/>
      </c>
      <c r="U157" s="995"/>
      <c r="V157" s="1015" t="str">
        <f ca="1"/>
        <v/>
      </c>
      <c r="W157" s="1006" t="str">
        <f ca="1"/>
        <v/>
      </c>
      <c r="X157" s="1006" t="str">
        <f ca="1"/>
        <v/>
      </c>
      <c r="Y157" s="1004" t="str">
        <f ca="1"/>
        <v/>
      </c>
      <c r="Z157" s="1017" t="str">
        <f ca="1"/>
        <v/>
      </c>
      <c r="AA157" s="1006" t="str">
        <f ca="1"/>
        <v/>
      </c>
      <c r="AB157" s="1016" t="str">
        <f ca="1"/>
        <v/>
      </c>
      <c r="AC157" s="1016" t="str">
        <f ca="1"/>
        <v/>
      </c>
      <c r="AD157" s="1027" t="str">
        <f ca="1"/>
        <v/>
      </c>
      <c r="AE157" s="1017" t="str">
        <f ca="1"/>
        <v/>
      </c>
      <c r="AF157" s="1027" t="str">
        <f ca="1"/>
        <v/>
      </c>
      <c r="AG157" s="1036" t="str">
        <f ca="1"/>
        <v/>
      </c>
      <c r="AH157" s="1016" t="str">
        <f ca="1"/>
        <v/>
      </c>
      <c r="AI157" s="1019" t="str">
        <f ca="1"/>
        <v/>
      </c>
      <c r="AJ157" s="1028" t="str">
        <f ca="1"/>
        <v/>
      </c>
    </row>
    <row r="158" spans="8:36">
      <c r="H158" s="1015" t="str">
        <f ca="1"/>
        <v/>
      </c>
      <c r="I158" s="1006" t="str">
        <f ca="1"/>
        <v/>
      </c>
      <c r="J158" s="1016" t="str">
        <f ca="1"/>
        <v/>
      </c>
      <c r="K158" s="1017" t="str">
        <f ca="1"/>
        <v/>
      </c>
      <c r="L158" s="1006" t="str">
        <f ca="1"/>
        <v/>
      </c>
      <c r="M158" s="1016" t="str">
        <f ca="1"/>
        <v/>
      </c>
      <c r="N158" s="1016" t="str">
        <f ca="1"/>
        <v/>
      </c>
      <c r="O158" s="1027" t="str">
        <f ca="1"/>
        <v/>
      </c>
      <c r="P158" s="1017" t="str">
        <f ca="1"/>
        <v/>
      </c>
      <c r="Q158" s="1018" t="str">
        <f ca="1"/>
        <v/>
      </c>
      <c r="R158" s="1016" t="str">
        <f ca="1"/>
        <v/>
      </c>
      <c r="S158" s="1004" t="str">
        <f ca="1"/>
        <v/>
      </c>
      <c r="T158" s="1028" t="str">
        <f ca="1"/>
        <v/>
      </c>
      <c r="U158" s="995"/>
      <c r="V158" s="1015" t="str">
        <f ca="1"/>
        <v/>
      </c>
      <c r="W158" s="1006" t="str">
        <f ca="1"/>
        <v/>
      </c>
      <c r="X158" s="1006" t="str">
        <f ca="1"/>
        <v/>
      </c>
      <c r="Y158" s="1004" t="str">
        <f ca="1"/>
        <v/>
      </c>
      <c r="Z158" s="1017" t="str">
        <f ca="1"/>
        <v/>
      </c>
      <c r="AA158" s="1006" t="str">
        <f ca="1"/>
        <v/>
      </c>
      <c r="AB158" s="1016" t="str">
        <f ca="1"/>
        <v/>
      </c>
      <c r="AC158" s="1016" t="str">
        <f ca="1"/>
        <v/>
      </c>
      <c r="AD158" s="1027" t="str">
        <f ca="1"/>
        <v/>
      </c>
      <c r="AE158" s="1017" t="str">
        <f ca="1"/>
        <v/>
      </c>
      <c r="AF158" s="1027" t="str">
        <f ca="1"/>
        <v/>
      </c>
      <c r="AG158" s="1036" t="str">
        <f ca="1"/>
        <v/>
      </c>
      <c r="AH158" s="1016" t="str">
        <f ca="1"/>
        <v/>
      </c>
      <c r="AI158" s="1019" t="str">
        <f ca="1"/>
        <v/>
      </c>
      <c r="AJ158" s="1028" t="str">
        <f ca="1"/>
        <v/>
      </c>
    </row>
    <row r="159" spans="8:36">
      <c r="H159" s="1015" t="str">
        <f ca="1"/>
        <v/>
      </c>
      <c r="I159" s="1006" t="str">
        <f ca="1"/>
        <v/>
      </c>
      <c r="J159" s="1016" t="str">
        <f ca="1"/>
        <v/>
      </c>
      <c r="K159" s="1017" t="str">
        <f ca="1"/>
        <v/>
      </c>
      <c r="L159" s="1006" t="str">
        <f ca="1"/>
        <v/>
      </c>
      <c r="M159" s="1016" t="str">
        <f ca="1"/>
        <v/>
      </c>
      <c r="N159" s="1016" t="str">
        <f ca="1"/>
        <v/>
      </c>
      <c r="O159" s="1027" t="str">
        <f ca="1"/>
        <v/>
      </c>
      <c r="P159" s="1017" t="str">
        <f ca="1"/>
        <v/>
      </c>
      <c r="Q159" s="1018" t="str">
        <f ca="1"/>
        <v/>
      </c>
      <c r="R159" s="1016" t="str">
        <f ca="1"/>
        <v/>
      </c>
      <c r="S159" s="1004" t="str">
        <f ca="1"/>
        <v/>
      </c>
      <c r="T159" s="1028" t="str">
        <f ca="1"/>
        <v/>
      </c>
      <c r="U159" s="995"/>
      <c r="V159" s="1015" t="str">
        <f ca="1"/>
        <v/>
      </c>
      <c r="W159" s="1006" t="str">
        <f ca="1"/>
        <v/>
      </c>
      <c r="X159" s="1006" t="str">
        <f ca="1"/>
        <v/>
      </c>
      <c r="Y159" s="1004" t="str">
        <f ca="1"/>
        <v/>
      </c>
      <c r="Z159" s="1017" t="str">
        <f ca="1"/>
        <v/>
      </c>
      <c r="AA159" s="1006" t="str">
        <f ca="1"/>
        <v/>
      </c>
      <c r="AB159" s="1016" t="str">
        <f ca="1"/>
        <v/>
      </c>
      <c r="AC159" s="1016" t="str">
        <f ca="1"/>
        <v/>
      </c>
      <c r="AD159" s="1027" t="str">
        <f ca="1"/>
        <v/>
      </c>
      <c r="AE159" s="1017" t="str">
        <f ca="1"/>
        <v/>
      </c>
      <c r="AF159" s="1027" t="str">
        <f ca="1"/>
        <v/>
      </c>
      <c r="AG159" s="1036" t="str">
        <f ca="1"/>
        <v/>
      </c>
      <c r="AH159" s="1016" t="str">
        <f ca="1"/>
        <v/>
      </c>
      <c r="AI159" s="1019" t="str">
        <f ca="1"/>
        <v/>
      </c>
      <c r="AJ159" s="1028" t="str">
        <f ca="1"/>
        <v/>
      </c>
    </row>
    <row r="160" spans="8:36">
      <c r="H160" s="1015" t="str">
        <f ca="1"/>
        <v/>
      </c>
      <c r="I160" s="1006" t="str">
        <f ca="1"/>
        <v/>
      </c>
      <c r="J160" s="1016" t="str">
        <f ca="1"/>
        <v/>
      </c>
      <c r="K160" s="1017" t="str">
        <f ca="1"/>
        <v/>
      </c>
      <c r="L160" s="1006" t="str">
        <f ca="1"/>
        <v/>
      </c>
      <c r="M160" s="1016" t="str">
        <f ca="1"/>
        <v/>
      </c>
      <c r="N160" s="1016" t="str">
        <f ca="1"/>
        <v/>
      </c>
      <c r="O160" s="1027" t="str">
        <f ca="1"/>
        <v/>
      </c>
      <c r="P160" s="1017" t="str">
        <f ca="1"/>
        <v/>
      </c>
      <c r="Q160" s="1018" t="str">
        <f ca="1"/>
        <v/>
      </c>
      <c r="R160" s="1016" t="str">
        <f ca="1"/>
        <v/>
      </c>
      <c r="S160" s="1004" t="str">
        <f ca="1"/>
        <v/>
      </c>
      <c r="T160" s="1028" t="str">
        <f ca="1"/>
        <v/>
      </c>
      <c r="U160" s="995"/>
      <c r="V160" s="1015" t="str">
        <f ca="1"/>
        <v/>
      </c>
      <c r="W160" s="1006" t="str">
        <f ca="1"/>
        <v/>
      </c>
      <c r="X160" s="1006" t="str">
        <f ca="1"/>
        <v/>
      </c>
      <c r="Y160" s="1004" t="str">
        <f ca="1"/>
        <v/>
      </c>
      <c r="Z160" s="1017" t="str">
        <f ca="1"/>
        <v/>
      </c>
      <c r="AA160" s="1006" t="str">
        <f ca="1"/>
        <v/>
      </c>
      <c r="AB160" s="1016" t="str">
        <f ca="1"/>
        <v/>
      </c>
      <c r="AC160" s="1016" t="str">
        <f ca="1"/>
        <v/>
      </c>
      <c r="AD160" s="1027" t="str">
        <f ca="1"/>
        <v/>
      </c>
      <c r="AE160" s="1017" t="str">
        <f ca="1"/>
        <v/>
      </c>
      <c r="AF160" s="1027" t="str">
        <f ca="1"/>
        <v/>
      </c>
      <c r="AG160" s="1036" t="str">
        <f ca="1"/>
        <v/>
      </c>
      <c r="AH160" s="1016" t="str">
        <f ca="1"/>
        <v/>
      </c>
      <c r="AI160" s="1019" t="str">
        <f ca="1"/>
        <v/>
      </c>
      <c r="AJ160" s="1028" t="str">
        <f ca="1"/>
        <v/>
      </c>
    </row>
    <row r="161" spans="8:36">
      <c r="H161" s="1015" t="str">
        <f ca="1"/>
        <v/>
      </c>
      <c r="I161" s="1006" t="str">
        <f ca="1"/>
        <v/>
      </c>
      <c r="J161" s="1016" t="str">
        <f ca="1"/>
        <v/>
      </c>
      <c r="K161" s="1017" t="str">
        <f ca="1"/>
        <v/>
      </c>
      <c r="L161" s="1006" t="str">
        <f ca="1"/>
        <v/>
      </c>
      <c r="M161" s="1016" t="str">
        <f ca="1"/>
        <v/>
      </c>
      <c r="N161" s="1016" t="str">
        <f ca="1"/>
        <v/>
      </c>
      <c r="O161" s="1027" t="str">
        <f ca="1"/>
        <v/>
      </c>
      <c r="P161" s="1017" t="str">
        <f ca="1"/>
        <v/>
      </c>
      <c r="Q161" s="1018" t="str">
        <f ca="1"/>
        <v/>
      </c>
      <c r="R161" s="1016" t="str">
        <f ca="1"/>
        <v/>
      </c>
      <c r="S161" s="1004" t="str">
        <f ca="1"/>
        <v/>
      </c>
      <c r="T161" s="1028" t="str">
        <f ca="1"/>
        <v/>
      </c>
      <c r="U161" s="995"/>
      <c r="V161" s="1015" t="str">
        <f ca="1"/>
        <v/>
      </c>
      <c r="W161" s="1006" t="str">
        <f ca="1"/>
        <v/>
      </c>
      <c r="X161" s="1006" t="str">
        <f ca="1"/>
        <v/>
      </c>
      <c r="Y161" s="1004" t="str">
        <f ca="1"/>
        <v/>
      </c>
      <c r="Z161" s="1017" t="str">
        <f ca="1"/>
        <v/>
      </c>
      <c r="AA161" s="1006" t="str">
        <f ca="1"/>
        <v/>
      </c>
      <c r="AB161" s="1016" t="str">
        <f ca="1"/>
        <v/>
      </c>
      <c r="AC161" s="1016" t="str">
        <f ca="1"/>
        <v/>
      </c>
      <c r="AD161" s="1027" t="str">
        <f ca="1"/>
        <v/>
      </c>
      <c r="AE161" s="1017" t="str">
        <f ca="1"/>
        <v/>
      </c>
      <c r="AF161" s="1027" t="str">
        <f ca="1"/>
        <v/>
      </c>
      <c r="AG161" s="1036" t="str">
        <f ca="1"/>
        <v/>
      </c>
      <c r="AH161" s="1016" t="str">
        <f ca="1"/>
        <v/>
      </c>
      <c r="AI161" s="1019" t="str">
        <f ca="1"/>
        <v/>
      </c>
      <c r="AJ161" s="1028" t="str">
        <f ca="1"/>
        <v/>
      </c>
    </row>
    <row r="162" spans="8:36">
      <c r="H162" s="1015" t="str">
        <f ca="1"/>
        <v/>
      </c>
      <c r="I162" s="1006" t="str">
        <f ca="1"/>
        <v/>
      </c>
      <c r="J162" s="1016" t="str">
        <f ca="1"/>
        <v/>
      </c>
      <c r="K162" s="1017" t="str">
        <f ca="1"/>
        <v/>
      </c>
      <c r="L162" s="1006" t="str">
        <f ca="1"/>
        <v/>
      </c>
      <c r="M162" s="1016" t="str">
        <f ca="1"/>
        <v/>
      </c>
      <c r="N162" s="1016" t="str">
        <f ca="1"/>
        <v/>
      </c>
      <c r="O162" s="1027" t="str">
        <f ca="1"/>
        <v/>
      </c>
      <c r="P162" s="1017" t="str">
        <f ca="1"/>
        <v/>
      </c>
      <c r="Q162" s="1018" t="str">
        <f ca="1"/>
        <v/>
      </c>
      <c r="R162" s="1016" t="str">
        <f ca="1"/>
        <v/>
      </c>
      <c r="S162" s="1004" t="str">
        <f ca="1"/>
        <v/>
      </c>
      <c r="T162" s="1028" t="str">
        <f ca="1"/>
        <v/>
      </c>
      <c r="U162" s="995"/>
      <c r="V162" s="1015" t="str">
        <f ca="1"/>
        <v/>
      </c>
      <c r="W162" s="1006" t="str">
        <f ca="1"/>
        <v/>
      </c>
      <c r="X162" s="1006" t="str">
        <f ca="1"/>
        <v/>
      </c>
      <c r="Y162" s="1004" t="str">
        <f ca="1"/>
        <v/>
      </c>
      <c r="Z162" s="1017" t="str">
        <f ca="1"/>
        <v/>
      </c>
      <c r="AA162" s="1006" t="str">
        <f ca="1"/>
        <v/>
      </c>
      <c r="AB162" s="1016" t="str">
        <f ca="1"/>
        <v/>
      </c>
      <c r="AC162" s="1016" t="str">
        <f ca="1"/>
        <v/>
      </c>
      <c r="AD162" s="1027" t="str">
        <f ca="1"/>
        <v/>
      </c>
      <c r="AE162" s="1017" t="str">
        <f ca="1"/>
        <v/>
      </c>
      <c r="AF162" s="1027" t="str">
        <f ca="1"/>
        <v/>
      </c>
      <c r="AG162" s="1036" t="str">
        <f ca="1"/>
        <v/>
      </c>
      <c r="AH162" s="1016" t="str">
        <f ca="1"/>
        <v/>
      </c>
      <c r="AI162" s="1019" t="str">
        <f ca="1"/>
        <v/>
      </c>
      <c r="AJ162" s="1028" t="str">
        <f ca="1"/>
        <v/>
      </c>
    </row>
    <row r="163" spans="8:36">
      <c r="H163" s="1015" t="str">
        <f ca="1"/>
        <v/>
      </c>
      <c r="I163" s="1006" t="str">
        <f ca="1"/>
        <v/>
      </c>
      <c r="J163" s="1016" t="str">
        <f ca="1"/>
        <v/>
      </c>
      <c r="K163" s="1017" t="str">
        <f ca="1"/>
        <v/>
      </c>
      <c r="L163" s="1006" t="str">
        <f ca="1"/>
        <v/>
      </c>
      <c r="M163" s="1016" t="str">
        <f ca="1"/>
        <v/>
      </c>
      <c r="N163" s="1016" t="str">
        <f ca="1"/>
        <v/>
      </c>
      <c r="O163" s="1027" t="str">
        <f ca="1"/>
        <v/>
      </c>
      <c r="P163" s="1017" t="str">
        <f ca="1"/>
        <v/>
      </c>
      <c r="Q163" s="1018" t="str">
        <f ca="1"/>
        <v/>
      </c>
      <c r="R163" s="1016" t="str">
        <f ca="1"/>
        <v/>
      </c>
      <c r="S163" s="1004" t="str">
        <f ca="1"/>
        <v/>
      </c>
      <c r="T163" s="1028" t="str">
        <f ca="1"/>
        <v/>
      </c>
      <c r="U163" s="995"/>
      <c r="V163" s="1015" t="str">
        <f ca="1"/>
        <v/>
      </c>
      <c r="W163" s="1006" t="str">
        <f ca="1"/>
        <v/>
      </c>
      <c r="X163" s="1006" t="str">
        <f ca="1"/>
        <v/>
      </c>
      <c r="Y163" s="1004" t="str">
        <f ca="1"/>
        <v/>
      </c>
      <c r="Z163" s="1017" t="str">
        <f ca="1"/>
        <v/>
      </c>
      <c r="AA163" s="1006" t="str">
        <f ca="1"/>
        <v/>
      </c>
      <c r="AB163" s="1016" t="str">
        <f ca="1"/>
        <v/>
      </c>
      <c r="AC163" s="1016" t="str">
        <f ca="1"/>
        <v/>
      </c>
      <c r="AD163" s="1027" t="str">
        <f ca="1"/>
        <v/>
      </c>
      <c r="AE163" s="1017" t="str">
        <f ca="1"/>
        <v/>
      </c>
      <c r="AF163" s="1027" t="str">
        <f ca="1"/>
        <v/>
      </c>
      <c r="AG163" s="1036" t="str">
        <f ca="1"/>
        <v/>
      </c>
      <c r="AH163" s="1016" t="str">
        <f ca="1"/>
        <v/>
      </c>
      <c r="AI163" s="1019" t="str">
        <f ca="1"/>
        <v/>
      </c>
      <c r="AJ163" s="1028" t="str">
        <f ca="1"/>
        <v/>
      </c>
    </row>
    <row r="164" spans="8:36">
      <c r="H164" s="1015" t="str">
        <f ca="1"/>
        <v/>
      </c>
      <c r="I164" s="1006" t="str">
        <f ca="1"/>
        <v/>
      </c>
      <c r="J164" s="1016" t="str">
        <f ca="1"/>
        <v/>
      </c>
      <c r="K164" s="1017" t="str">
        <f ca="1"/>
        <v/>
      </c>
      <c r="L164" s="1006" t="str">
        <f ca="1"/>
        <v/>
      </c>
      <c r="M164" s="1016" t="str">
        <f ca="1"/>
        <v/>
      </c>
      <c r="N164" s="1016" t="str">
        <f ca="1"/>
        <v/>
      </c>
      <c r="O164" s="1027" t="str">
        <f ca="1"/>
        <v/>
      </c>
      <c r="P164" s="1017" t="str">
        <f ca="1"/>
        <v/>
      </c>
      <c r="Q164" s="1018" t="str">
        <f ca="1"/>
        <v/>
      </c>
      <c r="R164" s="1016" t="str">
        <f ca="1"/>
        <v/>
      </c>
      <c r="S164" s="1004" t="str">
        <f ca="1"/>
        <v/>
      </c>
      <c r="T164" s="1028" t="str">
        <f ca="1"/>
        <v/>
      </c>
      <c r="U164" s="995"/>
      <c r="V164" s="1015" t="str">
        <f ca="1"/>
        <v/>
      </c>
      <c r="W164" s="1006" t="str">
        <f ca="1"/>
        <v/>
      </c>
      <c r="X164" s="1006" t="str">
        <f ca="1"/>
        <v/>
      </c>
      <c r="Y164" s="1004" t="str">
        <f ca="1"/>
        <v/>
      </c>
      <c r="Z164" s="1017" t="str">
        <f ca="1"/>
        <v/>
      </c>
      <c r="AA164" s="1006" t="str">
        <f ca="1"/>
        <v/>
      </c>
      <c r="AB164" s="1016" t="str">
        <f ca="1"/>
        <v/>
      </c>
      <c r="AC164" s="1016" t="str">
        <f ca="1"/>
        <v/>
      </c>
      <c r="AD164" s="1027" t="str">
        <f ca="1"/>
        <v/>
      </c>
      <c r="AE164" s="1017" t="str">
        <f ca="1"/>
        <v/>
      </c>
      <c r="AF164" s="1027" t="str">
        <f ca="1"/>
        <v/>
      </c>
      <c r="AG164" s="1036" t="str">
        <f ca="1"/>
        <v/>
      </c>
      <c r="AH164" s="1016" t="str">
        <f ca="1"/>
        <v/>
      </c>
      <c r="AI164" s="1019" t="str">
        <f ca="1"/>
        <v/>
      </c>
      <c r="AJ164" s="1028" t="str">
        <f ca="1"/>
        <v/>
      </c>
    </row>
    <row r="165" spans="8:36">
      <c r="H165" s="1015" t="str">
        <f ca="1"/>
        <v/>
      </c>
      <c r="I165" s="1006" t="str">
        <f ca="1"/>
        <v/>
      </c>
      <c r="J165" s="1016" t="str">
        <f ca="1"/>
        <v/>
      </c>
      <c r="K165" s="1017" t="str">
        <f ca="1"/>
        <v/>
      </c>
      <c r="L165" s="1006" t="str">
        <f ca="1"/>
        <v/>
      </c>
      <c r="M165" s="1016" t="str">
        <f ca="1"/>
        <v/>
      </c>
      <c r="N165" s="1016" t="str">
        <f ca="1"/>
        <v/>
      </c>
      <c r="O165" s="1027" t="str">
        <f ca="1"/>
        <v/>
      </c>
      <c r="P165" s="1017" t="str">
        <f ca="1"/>
        <v/>
      </c>
      <c r="Q165" s="1018" t="str">
        <f ca="1"/>
        <v/>
      </c>
      <c r="R165" s="1016" t="str">
        <f ca="1"/>
        <v/>
      </c>
      <c r="S165" s="1004" t="str">
        <f ca="1"/>
        <v/>
      </c>
      <c r="T165" s="1028" t="str">
        <f ca="1"/>
        <v/>
      </c>
      <c r="U165" s="995"/>
      <c r="V165" s="1015" t="str">
        <f ca="1"/>
        <v/>
      </c>
      <c r="W165" s="1006" t="str">
        <f ca="1"/>
        <v/>
      </c>
      <c r="X165" s="1006" t="str">
        <f ca="1"/>
        <v/>
      </c>
      <c r="Y165" s="1004" t="str">
        <f ca="1"/>
        <v/>
      </c>
      <c r="Z165" s="1017" t="str">
        <f ca="1"/>
        <v/>
      </c>
      <c r="AA165" s="1006" t="str">
        <f ca="1"/>
        <v/>
      </c>
      <c r="AB165" s="1016" t="str">
        <f ca="1"/>
        <v/>
      </c>
      <c r="AC165" s="1016" t="str">
        <f ca="1"/>
        <v/>
      </c>
      <c r="AD165" s="1027" t="str">
        <f ca="1"/>
        <v/>
      </c>
      <c r="AE165" s="1017" t="str">
        <f ca="1"/>
        <v/>
      </c>
      <c r="AF165" s="1027" t="str">
        <f ca="1"/>
        <v/>
      </c>
      <c r="AG165" s="1036" t="str">
        <f ca="1"/>
        <v/>
      </c>
      <c r="AH165" s="1016" t="str">
        <f ca="1"/>
        <v/>
      </c>
      <c r="AI165" s="1019" t="str">
        <f ca="1"/>
        <v/>
      </c>
      <c r="AJ165" s="1028" t="str">
        <f ca="1"/>
        <v/>
      </c>
    </row>
    <row r="166" spans="8:36">
      <c r="H166" s="1015" t="str">
        <f ca="1"/>
        <v/>
      </c>
      <c r="I166" s="1006" t="str">
        <f ca="1"/>
        <v/>
      </c>
      <c r="J166" s="1016" t="str">
        <f ca="1"/>
        <v/>
      </c>
      <c r="K166" s="1017" t="str">
        <f ca="1"/>
        <v/>
      </c>
      <c r="L166" s="1006" t="str">
        <f ca="1"/>
        <v/>
      </c>
      <c r="M166" s="1016" t="str">
        <f ca="1"/>
        <v/>
      </c>
      <c r="N166" s="1016" t="str">
        <f ca="1"/>
        <v/>
      </c>
      <c r="O166" s="1027" t="str">
        <f ca="1"/>
        <v/>
      </c>
      <c r="P166" s="1017" t="str">
        <f ca="1"/>
        <v/>
      </c>
      <c r="Q166" s="1018" t="str">
        <f ca="1"/>
        <v/>
      </c>
      <c r="R166" s="1016" t="str">
        <f ca="1"/>
        <v/>
      </c>
      <c r="S166" s="1004" t="str">
        <f ca="1"/>
        <v/>
      </c>
      <c r="T166" s="1028" t="str">
        <f ca="1"/>
        <v/>
      </c>
      <c r="U166" s="995"/>
      <c r="V166" s="1015" t="str">
        <f ca="1"/>
        <v/>
      </c>
      <c r="W166" s="1006" t="str">
        <f ca="1"/>
        <v/>
      </c>
      <c r="X166" s="1006" t="str">
        <f ca="1"/>
        <v/>
      </c>
      <c r="Y166" s="1004" t="str">
        <f ca="1"/>
        <v/>
      </c>
      <c r="Z166" s="1017" t="str">
        <f ca="1"/>
        <v/>
      </c>
      <c r="AA166" s="1006" t="str">
        <f ca="1"/>
        <v/>
      </c>
      <c r="AB166" s="1016" t="str">
        <f ca="1"/>
        <v/>
      </c>
      <c r="AC166" s="1016" t="str">
        <f ca="1"/>
        <v/>
      </c>
      <c r="AD166" s="1027" t="str">
        <f ca="1"/>
        <v/>
      </c>
      <c r="AE166" s="1017" t="str">
        <f ca="1"/>
        <v/>
      </c>
      <c r="AF166" s="1027" t="str">
        <f ca="1"/>
        <v/>
      </c>
      <c r="AG166" s="1036" t="str">
        <f ca="1"/>
        <v/>
      </c>
      <c r="AH166" s="1016" t="str">
        <f ca="1"/>
        <v/>
      </c>
      <c r="AI166" s="1019" t="str">
        <f ca="1"/>
        <v/>
      </c>
      <c r="AJ166" s="1028" t="str">
        <f ca="1"/>
        <v/>
      </c>
    </row>
    <row r="167" spans="8:36">
      <c r="H167" s="1015" t="str">
        <f ca="1"/>
        <v/>
      </c>
      <c r="I167" s="1006" t="str">
        <f ca="1"/>
        <v/>
      </c>
      <c r="J167" s="1016" t="str">
        <f ca="1"/>
        <v/>
      </c>
      <c r="K167" s="1017" t="str">
        <f ca="1"/>
        <v/>
      </c>
      <c r="L167" s="1006" t="str">
        <f ca="1"/>
        <v/>
      </c>
      <c r="M167" s="1016" t="str">
        <f ca="1"/>
        <v/>
      </c>
      <c r="N167" s="1016" t="str">
        <f ca="1"/>
        <v/>
      </c>
      <c r="O167" s="1027" t="str">
        <f ca="1"/>
        <v/>
      </c>
      <c r="P167" s="1017" t="str">
        <f ca="1"/>
        <v/>
      </c>
      <c r="Q167" s="1018" t="str">
        <f ca="1"/>
        <v/>
      </c>
      <c r="R167" s="1016" t="str">
        <f ca="1"/>
        <v/>
      </c>
      <c r="S167" s="1004" t="str">
        <f ca="1"/>
        <v/>
      </c>
      <c r="T167" s="1028" t="str">
        <f ca="1"/>
        <v/>
      </c>
      <c r="U167" s="995"/>
      <c r="V167" s="1015" t="str">
        <f ca="1"/>
        <v/>
      </c>
      <c r="W167" s="1006" t="str">
        <f ca="1"/>
        <v/>
      </c>
      <c r="X167" s="1006" t="str">
        <f ca="1"/>
        <v/>
      </c>
      <c r="Y167" s="1004" t="str">
        <f ca="1"/>
        <v/>
      </c>
      <c r="Z167" s="1017" t="str">
        <f ca="1"/>
        <v/>
      </c>
      <c r="AA167" s="1006" t="str">
        <f ca="1"/>
        <v/>
      </c>
      <c r="AB167" s="1016" t="str">
        <f ca="1"/>
        <v/>
      </c>
      <c r="AC167" s="1016" t="str">
        <f ca="1"/>
        <v/>
      </c>
      <c r="AD167" s="1027" t="str">
        <f ca="1"/>
        <v/>
      </c>
      <c r="AE167" s="1017" t="str">
        <f ca="1"/>
        <v/>
      </c>
      <c r="AF167" s="1027" t="str">
        <f ca="1"/>
        <v/>
      </c>
      <c r="AG167" s="1036" t="str">
        <f ca="1"/>
        <v/>
      </c>
      <c r="AH167" s="1016" t="str">
        <f ca="1"/>
        <v/>
      </c>
      <c r="AI167" s="1019" t="str">
        <f ca="1"/>
        <v/>
      </c>
      <c r="AJ167" s="1028" t="str">
        <f ca="1"/>
        <v/>
      </c>
    </row>
    <row r="168" spans="8:36">
      <c r="H168" s="1015" t="str">
        <f ca="1"/>
        <v/>
      </c>
      <c r="I168" s="1006" t="str">
        <f ca="1"/>
        <v/>
      </c>
      <c r="J168" s="1016" t="str">
        <f ca="1"/>
        <v/>
      </c>
      <c r="K168" s="1017" t="str">
        <f ca="1"/>
        <v/>
      </c>
      <c r="L168" s="1006" t="str">
        <f ca="1"/>
        <v/>
      </c>
      <c r="M168" s="1016" t="str">
        <f ca="1"/>
        <v/>
      </c>
      <c r="N168" s="1016" t="str">
        <f ca="1"/>
        <v/>
      </c>
      <c r="O168" s="1027" t="str">
        <f ca="1"/>
        <v/>
      </c>
      <c r="P168" s="1017" t="str">
        <f ca="1"/>
        <v/>
      </c>
      <c r="Q168" s="1018" t="str">
        <f ca="1"/>
        <v/>
      </c>
      <c r="R168" s="1016" t="str">
        <f ca="1"/>
        <v/>
      </c>
      <c r="S168" s="1004" t="str">
        <f ca="1"/>
        <v/>
      </c>
      <c r="T168" s="1028" t="str">
        <f ca="1"/>
        <v/>
      </c>
      <c r="U168" s="995"/>
      <c r="V168" s="1015" t="str">
        <f ca="1"/>
        <v/>
      </c>
      <c r="W168" s="1006" t="str">
        <f ca="1"/>
        <v/>
      </c>
      <c r="X168" s="1006" t="str">
        <f ca="1"/>
        <v/>
      </c>
      <c r="Y168" s="1004" t="str">
        <f ca="1"/>
        <v/>
      </c>
      <c r="Z168" s="1017" t="str">
        <f ca="1"/>
        <v/>
      </c>
      <c r="AA168" s="1006" t="str">
        <f ca="1"/>
        <v/>
      </c>
      <c r="AB168" s="1016" t="str">
        <f ca="1"/>
        <v/>
      </c>
      <c r="AC168" s="1016" t="str">
        <f ca="1"/>
        <v/>
      </c>
      <c r="AD168" s="1027" t="str">
        <f ca="1"/>
        <v/>
      </c>
      <c r="AE168" s="1017" t="str">
        <f ca="1"/>
        <v/>
      </c>
      <c r="AF168" s="1027" t="str">
        <f ca="1"/>
        <v/>
      </c>
      <c r="AG168" s="1036" t="str">
        <f ca="1"/>
        <v/>
      </c>
      <c r="AH168" s="1016" t="str">
        <f ca="1"/>
        <v/>
      </c>
      <c r="AI168" s="1019" t="str">
        <f ca="1"/>
        <v/>
      </c>
      <c r="AJ168" s="1028" t="str">
        <f ca="1"/>
        <v/>
      </c>
    </row>
    <row r="169" spans="8:36">
      <c r="H169" s="1015" t="str">
        <f ca="1"/>
        <v/>
      </c>
      <c r="I169" s="1006" t="str">
        <f ca="1"/>
        <v/>
      </c>
      <c r="J169" s="1016" t="str">
        <f ca="1"/>
        <v/>
      </c>
      <c r="K169" s="1017" t="str">
        <f ca="1"/>
        <v/>
      </c>
      <c r="L169" s="1006" t="str">
        <f ca="1"/>
        <v/>
      </c>
      <c r="M169" s="1016" t="str">
        <f ca="1"/>
        <v/>
      </c>
      <c r="N169" s="1016" t="str">
        <f ca="1"/>
        <v/>
      </c>
      <c r="O169" s="1027" t="str">
        <f ca="1"/>
        <v/>
      </c>
      <c r="P169" s="1017" t="str">
        <f ca="1"/>
        <v/>
      </c>
      <c r="Q169" s="1018" t="str">
        <f ca="1"/>
        <v/>
      </c>
      <c r="R169" s="1016" t="str">
        <f ca="1"/>
        <v/>
      </c>
      <c r="S169" s="1004" t="str">
        <f ca="1"/>
        <v/>
      </c>
      <c r="T169" s="1028" t="str">
        <f ca="1"/>
        <v/>
      </c>
      <c r="U169" s="995"/>
      <c r="V169" s="1015" t="str">
        <f ca="1"/>
        <v/>
      </c>
      <c r="W169" s="1006" t="str">
        <f ca="1"/>
        <v/>
      </c>
      <c r="X169" s="1006" t="str">
        <f ca="1"/>
        <v/>
      </c>
      <c r="Y169" s="1004" t="str">
        <f ca="1"/>
        <v/>
      </c>
      <c r="Z169" s="1017" t="str">
        <f ca="1"/>
        <v/>
      </c>
      <c r="AA169" s="1006" t="str">
        <f ca="1"/>
        <v/>
      </c>
      <c r="AB169" s="1016" t="str">
        <f ca="1"/>
        <v/>
      </c>
      <c r="AC169" s="1016" t="str">
        <f ca="1"/>
        <v/>
      </c>
      <c r="AD169" s="1027" t="str">
        <f ca="1"/>
        <v/>
      </c>
      <c r="AE169" s="1017" t="str">
        <f ca="1"/>
        <v/>
      </c>
      <c r="AF169" s="1027" t="str">
        <f ca="1"/>
        <v/>
      </c>
      <c r="AG169" s="1036" t="str">
        <f ca="1"/>
        <v/>
      </c>
      <c r="AH169" s="1016" t="str">
        <f ca="1"/>
        <v/>
      </c>
      <c r="AI169" s="1019" t="str">
        <f ca="1"/>
        <v/>
      </c>
      <c r="AJ169" s="1028" t="str">
        <f ca="1"/>
        <v/>
      </c>
    </row>
    <row r="170" spans="8:36">
      <c r="H170" s="1015" t="str">
        <f ca="1"/>
        <v/>
      </c>
      <c r="I170" s="1006" t="str">
        <f ca="1"/>
        <v/>
      </c>
      <c r="J170" s="1016" t="str">
        <f ca="1"/>
        <v/>
      </c>
      <c r="K170" s="1017" t="str">
        <f ca="1"/>
        <v/>
      </c>
      <c r="L170" s="1006" t="str">
        <f ca="1"/>
        <v/>
      </c>
      <c r="M170" s="1016" t="str">
        <f ca="1"/>
        <v/>
      </c>
      <c r="N170" s="1016" t="str">
        <f ca="1"/>
        <v/>
      </c>
      <c r="O170" s="1027" t="str">
        <f ca="1"/>
        <v/>
      </c>
      <c r="P170" s="1017" t="str">
        <f ca="1"/>
        <v/>
      </c>
      <c r="Q170" s="1018" t="str">
        <f ca="1"/>
        <v/>
      </c>
      <c r="R170" s="1016" t="str">
        <f ca="1"/>
        <v/>
      </c>
      <c r="S170" s="1004" t="str">
        <f ca="1"/>
        <v/>
      </c>
      <c r="T170" s="1028" t="str">
        <f ca="1"/>
        <v/>
      </c>
      <c r="U170" s="995"/>
      <c r="V170" s="1015" t="str">
        <f ca="1"/>
        <v/>
      </c>
      <c r="W170" s="1006" t="str">
        <f ca="1"/>
        <v/>
      </c>
      <c r="X170" s="1006" t="str">
        <f ca="1"/>
        <v/>
      </c>
      <c r="Y170" s="1004" t="str">
        <f ca="1"/>
        <v/>
      </c>
      <c r="Z170" s="1017" t="str">
        <f ca="1"/>
        <v/>
      </c>
      <c r="AA170" s="1006" t="str">
        <f ca="1"/>
        <v/>
      </c>
      <c r="AB170" s="1016" t="str">
        <f ca="1"/>
        <v/>
      </c>
      <c r="AC170" s="1016" t="str">
        <f ca="1"/>
        <v/>
      </c>
      <c r="AD170" s="1027" t="str">
        <f ca="1"/>
        <v/>
      </c>
      <c r="AE170" s="1017" t="str">
        <f ca="1"/>
        <v/>
      </c>
      <c r="AF170" s="1027" t="str">
        <f ca="1"/>
        <v/>
      </c>
      <c r="AG170" s="1036" t="str">
        <f ca="1"/>
        <v/>
      </c>
      <c r="AH170" s="1016" t="str">
        <f ca="1"/>
        <v/>
      </c>
      <c r="AI170" s="1019" t="str">
        <f ca="1"/>
        <v/>
      </c>
      <c r="AJ170" s="1028" t="str">
        <f ca="1"/>
        <v/>
      </c>
    </row>
    <row r="171" spans="8:36">
      <c r="H171" s="1015" t="str">
        <f ca="1"/>
        <v/>
      </c>
      <c r="I171" s="1006" t="str">
        <f ca="1"/>
        <v/>
      </c>
      <c r="J171" s="1016" t="str">
        <f ca="1"/>
        <v/>
      </c>
      <c r="K171" s="1017" t="str">
        <f ca="1"/>
        <v/>
      </c>
      <c r="L171" s="1006" t="str">
        <f ca="1"/>
        <v/>
      </c>
      <c r="M171" s="1016" t="str">
        <f ca="1"/>
        <v/>
      </c>
      <c r="N171" s="1016" t="str">
        <f ca="1"/>
        <v/>
      </c>
      <c r="O171" s="1027" t="str">
        <f ca="1"/>
        <v/>
      </c>
      <c r="P171" s="1017" t="str">
        <f ca="1"/>
        <v/>
      </c>
      <c r="Q171" s="1018" t="str">
        <f ca="1"/>
        <v/>
      </c>
      <c r="R171" s="1016" t="str">
        <f ca="1"/>
        <v/>
      </c>
      <c r="S171" s="1004" t="str">
        <f ca="1"/>
        <v/>
      </c>
      <c r="T171" s="1028" t="str">
        <f ca="1"/>
        <v/>
      </c>
      <c r="U171" s="995"/>
      <c r="V171" s="1015" t="str">
        <f ca="1"/>
        <v/>
      </c>
      <c r="W171" s="1006" t="str">
        <f ca="1"/>
        <v/>
      </c>
      <c r="X171" s="1006" t="str">
        <f ca="1"/>
        <v/>
      </c>
      <c r="Y171" s="1004" t="str">
        <f ca="1"/>
        <v/>
      </c>
      <c r="Z171" s="1017" t="str">
        <f ca="1"/>
        <v/>
      </c>
      <c r="AA171" s="1006" t="str">
        <f ca="1"/>
        <v/>
      </c>
      <c r="AB171" s="1016" t="str">
        <f ca="1"/>
        <v/>
      </c>
      <c r="AC171" s="1016" t="str">
        <f ca="1"/>
        <v/>
      </c>
      <c r="AD171" s="1027" t="str">
        <f ca="1"/>
        <v/>
      </c>
      <c r="AE171" s="1017" t="str">
        <f ca="1"/>
        <v/>
      </c>
      <c r="AF171" s="1027" t="str">
        <f ca="1"/>
        <v/>
      </c>
      <c r="AG171" s="1036" t="str">
        <f ca="1"/>
        <v/>
      </c>
      <c r="AH171" s="1016" t="str">
        <f ca="1"/>
        <v/>
      </c>
      <c r="AI171" s="1019" t="str">
        <f ca="1"/>
        <v/>
      </c>
      <c r="AJ171" s="1028" t="str">
        <f ca="1"/>
        <v/>
      </c>
    </row>
    <row r="172" spans="8:36">
      <c r="H172" s="1015" t="str">
        <f ca="1"/>
        <v/>
      </c>
      <c r="I172" s="1006" t="str">
        <f ca="1"/>
        <v/>
      </c>
      <c r="J172" s="1016" t="str">
        <f ca="1"/>
        <v/>
      </c>
      <c r="K172" s="1017" t="str">
        <f ca="1"/>
        <v/>
      </c>
      <c r="L172" s="1006" t="str">
        <f ca="1"/>
        <v/>
      </c>
      <c r="M172" s="1016" t="str">
        <f ca="1"/>
        <v/>
      </c>
      <c r="N172" s="1016" t="str">
        <f ca="1"/>
        <v/>
      </c>
      <c r="O172" s="1027" t="str">
        <f ca="1"/>
        <v/>
      </c>
      <c r="P172" s="1017" t="str">
        <f ca="1"/>
        <v/>
      </c>
      <c r="Q172" s="1018" t="str">
        <f ca="1"/>
        <v/>
      </c>
      <c r="R172" s="1016" t="str">
        <f ca="1"/>
        <v/>
      </c>
      <c r="S172" s="1004" t="str">
        <f ca="1"/>
        <v/>
      </c>
      <c r="T172" s="1028" t="str">
        <f ca="1"/>
        <v/>
      </c>
      <c r="U172" s="995"/>
      <c r="V172" s="1015" t="str">
        <f ca="1"/>
        <v/>
      </c>
      <c r="W172" s="1006" t="str">
        <f ca="1"/>
        <v/>
      </c>
      <c r="X172" s="1006" t="str">
        <f ca="1"/>
        <v/>
      </c>
      <c r="Y172" s="1004" t="str">
        <f ca="1"/>
        <v/>
      </c>
      <c r="Z172" s="1017" t="str">
        <f ca="1"/>
        <v/>
      </c>
      <c r="AA172" s="1006" t="str">
        <f ca="1"/>
        <v/>
      </c>
      <c r="AB172" s="1016" t="str">
        <f ca="1"/>
        <v/>
      </c>
      <c r="AC172" s="1016" t="str">
        <f ca="1"/>
        <v/>
      </c>
      <c r="AD172" s="1027" t="str">
        <f ca="1"/>
        <v/>
      </c>
      <c r="AE172" s="1017" t="str">
        <f ca="1"/>
        <v/>
      </c>
      <c r="AF172" s="1027" t="str">
        <f ca="1"/>
        <v/>
      </c>
      <c r="AG172" s="1036" t="str">
        <f ca="1"/>
        <v/>
      </c>
      <c r="AH172" s="1016" t="str">
        <f ca="1"/>
        <v/>
      </c>
      <c r="AI172" s="1019" t="str">
        <f ca="1"/>
        <v/>
      </c>
      <c r="AJ172" s="1028" t="str">
        <f ca="1"/>
        <v/>
      </c>
    </row>
    <row r="173" spans="8:36">
      <c r="H173" s="1015" t="str">
        <f ca="1"/>
        <v/>
      </c>
      <c r="I173" s="1006" t="str">
        <f ca="1"/>
        <v/>
      </c>
      <c r="J173" s="1016" t="str">
        <f ca="1"/>
        <v/>
      </c>
      <c r="K173" s="1017" t="str">
        <f ca="1"/>
        <v/>
      </c>
      <c r="L173" s="1006" t="str">
        <f ca="1"/>
        <v/>
      </c>
      <c r="M173" s="1016" t="str">
        <f ca="1"/>
        <v/>
      </c>
      <c r="N173" s="1016" t="str">
        <f ca="1"/>
        <v/>
      </c>
      <c r="O173" s="1027" t="str">
        <f ca="1"/>
        <v/>
      </c>
      <c r="P173" s="1017" t="str">
        <f ca="1"/>
        <v/>
      </c>
      <c r="Q173" s="1018" t="str">
        <f ca="1"/>
        <v/>
      </c>
      <c r="R173" s="1016" t="str">
        <f ca="1"/>
        <v/>
      </c>
      <c r="S173" s="1004" t="str">
        <f ca="1"/>
        <v/>
      </c>
      <c r="T173" s="1028" t="str">
        <f ca="1"/>
        <v/>
      </c>
      <c r="U173" s="995"/>
      <c r="V173" s="1015" t="str">
        <f ca="1"/>
        <v/>
      </c>
      <c r="W173" s="1006" t="str">
        <f ca="1"/>
        <v/>
      </c>
      <c r="X173" s="1006" t="str">
        <f ca="1"/>
        <v/>
      </c>
      <c r="Y173" s="1004" t="str">
        <f ca="1"/>
        <v/>
      </c>
      <c r="Z173" s="1017" t="str">
        <f ca="1"/>
        <v/>
      </c>
      <c r="AA173" s="1006" t="str">
        <f ca="1"/>
        <v/>
      </c>
      <c r="AB173" s="1016" t="str">
        <f ca="1"/>
        <v/>
      </c>
      <c r="AC173" s="1016" t="str">
        <f ca="1"/>
        <v/>
      </c>
      <c r="AD173" s="1027" t="str">
        <f ca="1"/>
        <v/>
      </c>
      <c r="AE173" s="1017" t="str">
        <f ca="1"/>
        <v/>
      </c>
      <c r="AF173" s="1027" t="str">
        <f ca="1"/>
        <v/>
      </c>
      <c r="AG173" s="1036" t="str">
        <f ca="1"/>
        <v/>
      </c>
      <c r="AH173" s="1016" t="str">
        <f ca="1"/>
        <v/>
      </c>
      <c r="AI173" s="1019" t="str">
        <f ca="1"/>
        <v/>
      </c>
      <c r="AJ173" s="1028" t="str">
        <f ca="1"/>
        <v/>
      </c>
    </row>
    <row r="174" spans="8:36">
      <c r="H174" s="1015" t="str">
        <f ca="1"/>
        <v/>
      </c>
      <c r="I174" s="1006" t="str">
        <f ca="1"/>
        <v/>
      </c>
      <c r="J174" s="1016" t="str">
        <f ca="1"/>
        <v/>
      </c>
      <c r="K174" s="1017" t="str">
        <f ca="1"/>
        <v/>
      </c>
      <c r="L174" s="1006" t="str">
        <f ca="1"/>
        <v/>
      </c>
      <c r="M174" s="1016" t="str">
        <f ca="1"/>
        <v/>
      </c>
      <c r="N174" s="1016" t="str">
        <f ca="1"/>
        <v/>
      </c>
      <c r="O174" s="1027" t="str">
        <f ca="1"/>
        <v/>
      </c>
      <c r="P174" s="1017" t="str">
        <f ca="1"/>
        <v/>
      </c>
      <c r="Q174" s="1018" t="str">
        <f ca="1"/>
        <v/>
      </c>
      <c r="R174" s="1016" t="str">
        <f ca="1"/>
        <v/>
      </c>
      <c r="S174" s="1004" t="str">
        <f ca="1"/>
        <v/>
      </c>
      <c r="T174" s="1028" t="str">
        <f ca="1"/>
        <v/>
      </c>
      <c r="U174" s="995"/>
      <c r="V174" s="1015" t="str">
        <f ca="1"/>
        <v/>
      </c>
      <c r="W174" s="1006" t="str">
        <f ca="1"/>
        <v/>
      </c>
      <c r="X174" s="1006" t="str">
        <f ca="1"/>
        <v/>
      </c>
      <c r="Y174" s="1004" t="str">
        <f ca="1"/>
        <v/>
      </c>
      <c r="Z174" s="1017" t="str">
        <f ca="1"/>
        <v/>
      </c>
      <c r="AA174" s="1006" t="str">
        <f ca="1"/>
        <v/>
      </c>
      <c r="AB174" s="1016" t="str">
        <f ca="1"/>
        <v/>
      </c>
      <c r="AC174" s="1016" t="str">
        <f ca="1"/>
        <v/>
      </c>
      <c r="AD174" s="1027" t="str">
        <f ca="1"/>
        <v/>
      </c>
      <c r="AE174" s="1017" t="str">
        <f ca="1"/>
        <v/>
      </c>
      <c r="AF174" s="1027" t="str">
        <f ca="1"/>
        <v/>
      </c>
      <c r="AG174" s="1036" t="str">
        <f ca="1"/>
        <v/>
      </c>
      <c r="AH174" s="1016" t="str">
        <f ca="1"/>
        <v/>
      </c>
      <c r="AI174" s="1019" t="str">
        <f ca="1"/>
        <v/>
      </c>
      <c r="AJ174" s="1028" t="str">
        <f ca="1"/>
        <v/>
      </c>
    </row>
    <row r="175" spans="8:36">
      <c r="H175" s="1015" t="str">
        <f ca="1"/>
        <v/>
      </c>
      <c r="I175" s="1006" t="str">
        <f ca="1"/>
        <v/>
      </c>
      <c r="J175" s="1016" t="str">
        <f ca="1"/>
        <v/>
      </c>
      <c r="K175" s="1017" t="str">
        <f ca="1"/>
        <v/>
      </c>
      <c r="L175" s="1006" t="str">
        <f ca="1"/>
        <v/>
      </c>
      <c r="M175" s="1016" t="str">
        <f ca="1"/>
        <v/>
      </c>
      <c r="N175" s="1016" t="str">
        <f ca="1"/>
        <v/>
      </c>
      <c r="O175" s="1027" t="str">
        <f ca="1"/>
        <v/>
      </c>
      <c r="P175" s="1017" t="str">
        <f ca="1"/>
        <v/>
      </c>
      <c r="Q175" s="1018" t="str">
        <f ca="1"/>
        <v/>
      </c>
      <c r="R175" s="1016" t="str">
        <f ca="1"/>
        <v/>
      </c>
      <c r="S175" s="1004" t="str">
        <f ca="1"/>
        <v/>
      </c>
      <c r="T175" s="1028" t="str">
        <f ca="1"/>
        <v/>
      </c>
      <c r="U175" s="995"/>
      <c r="V175" s="1015" t="str">
        <f ca="1"/>
        <v/>
      </c>
      <c r="W175" s="1006" t="str">
        <f ca="1"/>
        <v/>
      </c>
      <c r="X175" s="1006" t="str">
        <f ca="1"/>
        <v/>
      </c>
      <c r="Y175" s="1004" t="str">
        <f ca="1"/>
        <v/>
      </c>
      <c r="Z175" s="1017" t="str">
        <f ca="1"/>
        <v/>
      </c>
      <c r="AA175" s="1006" t="str">
        <f ca="1"/>
        <v/>
      </c>
      <c r="AB175" s="1016" t="str">
        <f ca="1"/>
        <v/>
      </c>
      <c r="AC175" s="1016" t="str">
        <f ca="1"/>
        <v/>
      </c>
      <c r="AD175" s="1027" t="str">
        <f ca="1"/>
        <v/>
      </c>
      <c r="AE175" s="1017" t="str">
        <f ca="1"/>
        <v/>
      </c>
      <c r="AF175" s="1027" t="str">
        <f ca="1"/>
        <v/>
      </c>
      <c r="AG175" s="1036" t="str">
        <f ca="1"/>
        <v/>
      </c>
      <c r="AH175" s="1016" t="str">
        <f ca="1"/>
        <v/>
      </c>
      <c r="AI175" s="1019" t="str">
        <f ca="1"/>
        <v/>
      </c>
      <c r="AJ175" s="1028" t="str">
        <f ca="1"/>
        <v/>
      </c>
    </row>
    <row r="176" spans="8:36">
      <c r="H176" s="1015" t="str">
        <f ca="1"/>
        <v/>
      </c>
      <c r="I176" s="1006" t="str">
        <f ca="1"/>
        <v/>
      </c>
      <c r="J176" s="1016" t="str">
        <f ca="1"/>
        <v/>
      </c>
      <c r="K176" s="1017" t="str">
        <f ca="1"/>
        <v/>
      </c>
      <c r="L176" s="1006" t="str">
        <f ca="1"/>
        <v/>
      </c>
      <c r="M176" s="1016" t="str">
        <f ca="1"/>
        <v/>
      </c>
      <c r="N176" s="1016" t="str">
        <f ca="1"/>
        <v/>
      </c>
      <c r="O176" s="1027" t="str">
        <f ca="1"/>
        <v/>
      </c>
      <c r="P176" s="1017" t="str">
        <f ca="1"/>
        <v/>
      </c>
      <c r="Q176" s="1018" t="str">
        <f ca="1"/>
        <v/>
      </c>
      <c r="R176" s="1016" t="str">
        <f ca="1"/>
        <v/>
      </c>
      <c r="S176" s="1004" t="str">
        <f ca="1"/>
        <v/>
      </c>
      <c r="T176" s="1028" t="str">
        <f ca="1"/>
        <v/>
      </c>
      <c r="U176" s="995"/>
      <c r="V176" s="1015" t="str">
        <f ca="1"/>
        <v/>
      </c>
      <c r="W176" s="1006" t="str">
        <f ca="1"/>
        <v/>
      </c>
      <c r="X176" s="1006" t="str">
        <f ca="1"/>
        <v/>
      </c>
      <c r="Y176" s="1004" t="str">
        <f ca="1"/>
        <v/>
      </c>
      <c r="Z176" s="1017" t="str">
        <f ca="1"/>
        <v/>
      </c>
      <c r="AA176" s="1006" t="str">
        <f ca="1"/>
        <v/>
      </c>
      <c r="AB176" s="1016" t="str">
        <f ca="1"/>
        <v/>
      </c>
      <c r="AC176" s="1016" t="str">
        <f ca="1"/>
        <v/>
      </c>
      <c r="AD176" s="1027" t="str">
        <f ca="1"/>
        <v/>
      </c>
      <c r="AE176" s="1017" t="str">
        <f ca="1"/>
        <v/>
      </c>
      <c r="AF176" s="1027" t="str">
        <f ca="1"/>
        <v/>
      </c>
      <c r="AG176" s="1036" t="str">
        <f ca="1"/>
        <v/>
      </c>
      <c r="AH176" s="1016" t="str">
        <f ca="1"/>
        <v/>
      </c>
      <c r="AI176" s="1019" t="str">
        <f ca="1"/>
        <v/>
      </c>
      <c r="AJ176" s="1028" t="str">
        <f ca="1"/>
        <v/>
      </c>
    </row>
    <row r="177" spans="8:36">
      <c r="H177" s="1015" t="str">
        <f ca="1"/>
        <v/>
      </c>
      <c r="I177" s="1006" t="str">
        <f ca="1"/>
        <v/>
      </c>
      <c r="J177" s="1016" t="str">
        <f ca="1"/>
        <v/>
      </c>
      <c r="K177" s="1017" t="str">
        <f ca="1"/>
        <v/>
      </c>
      <c r="L177" s="1006" t="str">
        <f ca="1"/>
        <v/>
      </c>
      <c r="M177" s="1016" t="str">
        <f ca="1"/>
        <v/>
      </c>
      <c r="N177" s="1016" t="str">
        <f ca="1"/>
        <v/>
      </c>
      <c r="O177" s="1027" t="str">
        <f ca="1"/>
        <v/>
      </c>
      <c r="P177" s="1017" t="str">
        <f ca="1"/>
        <v/>
      </c>
      <c r="Q177" s="1018" t="str">
        <f ca="1"/>
        <v/>
      </c>
      <c r="R177" s="1016" t="str">
        <f ca="1"/>
        <v/>
      </c>
      <c r="S177" s="1004" t="str">
        <f ca="1"/>
        <v/>
      </c>
      <c r="T177" s="1028" t="str">
        <f ca="1"/>
        <v/>
      </c>
      <c r="U177" s="995"/>
      <c r="V177" s="1015" t="str">
        <f ca="1"/>
        <v/>
      </c>
      <c r="W177" s="1006" t="str">
        <f ca="1"/>
        <v/>
      </c>
      <c r="X177" s="1006" t="str">
        <f ca="1"/>
        <v/>
      </c>
      <c r="Y177" s="1004" t="str">
        <f ca="1"/>
        <v/>
      </c>
      <c r="Z177" s="1017" t="str">
        <f ca="1"/>
        <v/>
      </c>
      <c r="AA177" s="1006" t="str">
        <f ca="1"/>
        <v/>
      </c>
      <c r="AB177" s="1016" t="str">
        <f ca="1"/>
        <v/>
      </c>
      <c r="AC177" s="1016" t="str">
        <f ca="1"/>
        <v/>
      </c>
      <c r="AD177" s="1027" t="str">
        <f ca="1"/>
        <v/>
      </c>
      <c r="AE177" s="1017" t="str">
        <f ca="1"/>
        <v/>
      </c>
      <c r="AF177" s="1027" t="str">
        <f ca="1"/>
        <v/>
      </c>
      <c r="AG177" s="1036" t="str">
        <f ca="1"/>
        <v/>
      </c>
      <c r="AH177" s="1016" t="str">
        <f ca="1"/>
        <v/>
      </c>
      <c r="AI177" s="1019" t="str">
        <f ca="1"/>
        <v/>
      </c>
      <c r="AJ177" s="1028" t="str">
        <f ca="1"/>
        <v/>
      </c>
    </row>
    <row r="178" spans="8:36">
      <c r="H178" s="1015" t="str">
        <f ca="1"/>
        <v/>
      </c>
      <c r="I178" s="1006" t="str">
        <f ca="1"/>
        <v/>
      </c>
      <c r="J178" s="1016" t="str">
        <f ca="1"/>
        <v/>
      </c>
      <c r="K178" s="1017" t="str">
        <f ca="1"/>
        <v/>
      </c>
      <c r="L178" s="1006" t="str">
        <f ca="1"/>
        <v/>
      </c>
      <c r="M178" s="1016" t="str">
        <f ca="1"/>
        <v/>
      </c>
      <c r="N178" s="1016" t="str">
        <f ca="1"/>
        <v/>
      </c>
      <c r="O178" s="1027" t="str">
        <f ca="1"/>
        <v/>
      </c>
      <c r="P178" s="1017" t="str">
        <f ca="1"/>
        <v/>
      </c>
      <c r="Q178" s="1018" t="str">
        <f ca="1"/>
        <v/>
      </c>
      <c r="R178" s="1016" t="str">
        <f ca="1"/>
        <v/>
      </c>
      <c r="S178" s="1004" t="str">
        <f ca="1"/>
        <v/>
      </c>
      <c r="T178" s="1028" t="str">
        <f ca="1"/>
        <v/>
      </c>
      <c r="U178" s="995"/>
      <c r="V178" s="1015" t="str">
        <f ca="1"/>
        <v/>
      </c>
      <c r="W178" s="1006" t="str">
        <f ca="1"/>
        <v/>
      </c>
      <c r="X178" s="1006" t="str">
        <f ca="1"/>
        <v/>
      </c>
      <c r="Y178" s="1004" t="str">
        <f ca="1"/>
        <v/>
      </c>
      <c r="Z178" s="1017" t="str">
        <f ca="1"/>
        <v/>
      </c>
      <c r="AA178" s="1006" t="str">
        <f ca="1"/>
        <v/>
      </c>
      <c r="AB178" s="1016" t="str">
        <f ca="1"/>
        <v/>
      </c>
      <c r="AC178" s="1016" t="str">
        <f ca="1"/>
        <v/>
      </c>
      <c r="AD178" s="1027" t="str">
        <f ca="1"/>
        <v/>
      </c>
      <c r="AE178" s="1017" t="str">
        <f ca="1"/>
        <v/>
      </c>
      <c r="AF178" s="1027" t="str">
        <f ca="1"/>
        <v/>
      </c>
      <c r="AG178" s="1036" t="str">
        <f ca="1"/>
        <v/>
      </c>
      <c r="AH178" s="1016" t="str">
        <f ca="1"/>
        <v/>
      </c>
      <c r="AI178" s="1019" t="str">
        <f ca="1"/>
        <v/>
      </c>
      <c r="AJ178" s="1028" t="str">
        <f ca="1"/>
        <v/>
      </c>
    </row>
    <row r="179" spans="8:36">
      <c r="H179" s="1015" t="str">
        <f ca="1"/>
        <v/>
      </c>
      <c r="I179" s="1006" t="str">
        <f ca="1"/>
        <v/>
      </c>
      <c r="J179" s="1016" t="str">
        <f ca="1"/>
        <v/>
      </c>
      <c r="K179" s="1017" t="str">
        <f ca="1"/>
        <v/>
      </c>
      <c r="L179" s="1006" t="str">
        <f ca="1"/>
        <v/>
      </c>
      <c r="M179" s="1016" t="str">
        <f ca="1"/>
        <v/>
      </c>
      <c r="N179" s="1016" t="str">
        <f ca="1"/>
        <v/>
      </c>
      <c r="O179" s="1027" t="str">
        <f ca="1"/>
        <v/>
      </c>
      <c r="P179" s="1017" t="str">
        <f ca="1"/>
        <v/>
      </c>
      <c r="Q179" s="1018" t="str">
        <f ca="1"/>
        <v/>
      </c>
      <c r="R179" s="1016" t="str">
        <f ca="1"/>
        <v/>
      </c>
      <c r="S179" s="1004" t="str">
        <f ca="1"/>
        <v/>
      </c>
      <c r="T179" s="1028" t="str">
        <f ca="1"/>
        <v/>
      </c>
      <c r="U179" s="995"/>
      <c r="V179" s="1015" t="str">
        <f ca="1"/>
        <v/>
      </c>
      <c r="W179" s="1006" t="str">
        <f ca="1"/>
        <v/>
      </c>
      <c r="X179" s="1006" t="str">
        <f ca="1"/>
        <v/>
      </c>
      <c r="Y179" s="1004" t="str">
        <f ca="1"/>
        <v/>
      </c>
      <c r="Z179" s="1017" t="str">
        <f ca="1"/>
        <v/>
      </c>
      <c r="AA179" s="1006" t="str">
        <f ca="1"/>
        <v/>
      </c>
      <c r="AB179" s="1016" t="str">
        <f ca="1"/>
        <v/>
      </c>
      <c r="AC179" s="1016" t="str">
        <f ca="1"/>
        <v/>
      </c>
      <c r="AD179" s="1027" t="str">
        <f ca="1"/>
        <v/>
      </c>
      <c r="AE179" s="1017" t="str">
        <f ca="1"/>
        <v/>
      </c>
      <c r="AF179" s="1027" t="str">
        <f ca="1"/>
        <v/>
      </c>
      <c r="AG179" s="1036" t="str">
        <f ca="1"/>
        <v/>
      </c>
      <c r="AH179" s="1016" t="str">
        <f ca="1"/>
        <v/>
      </c>
      <c r="AI179" s="1019" t="str">
        <f ca="1"/>
        <v/>
      </c>
      <c r="AJ179" s="1028" t="str">
        <f ca="1"/>
        <v/>
      </c>
    </row>
    <row r="180" spans="8:36">
      <c r="H180" s="1015" t="str">
        <f ca="1"/>
        <v/>
      </c>
      <c r="I180" s="1006" t="str">
        <f ca="1"/>
        <v/>
      </c>
      <c r="J180" s="1016" t="str">
        <f ca="1"/>
        <v/>
      </c>
      <c r="K180" s="1017" t="str">
        <f ca="1"/>
        <v/>
      </c>
      <c r="L180" s="1006" t="str">
        <f ca="1"/>
        <v/>
      </c>
      <c r="M180" s="1016" t="str">
        <f ca="1"/>
        <v/>
      </c>
      <c r="N180" s="1016" t="str">
        <f ca="1"/>
        <v/>
      </c>
      <c r="O180" s="1027" t="str">
        <f ca="1"/>
        <v/>
      </c>
      <c r="P180" s="1017" t="str">
        <f ca="1"/>
        <v/>
      </c>
      <c r="Q180" s="1018" t="str">
        <f ca="1"/>
        <v/>
      </c>
      <c r="R180" s="1016" t="str">
        <f ca="1"/>
        <v/>
      </c>
      <c r="S180" s="1004" t="str">
        <f ca="1"/>
        <v/>
      </c>
      <c r="T180" s="1028" t="str">
        <f ca="1"/>
        <v/>
      </c>
      <c r="U180" s="995"/>
      <c r="V180" s="1015" t="str">
        <f ca="1"/>
        <v/>
      </c>
      <c r="W180" s="1006" t="str">
        <f ca="1"/>
        <v/>
      </c>
      <c r="X180" s="1006" t="str">
        <f ca="1"/>
        <v/>
      </c>
      <c r="Y180" s="1004" t="str">
        <f ca="1"/>
        <v/>
      </c>
      <c r="Z180" s="1017" t="str">
        <f ca="1"/>
        <v/>
      </c>
      <c r="AA180" s="1006" t="str">
        <f ca="1"/>
        <v/>
      </c>
      <c r="AB180" s="1016" t="str">
        <f ca="1"/>
        <v/>
      </c>
      <c r="AC180" s="1016" t="str">
        <f ca="1"/>
        <v/>
      </c>
      <c r="AD180" s="1027" t="str">
        <f ca="1"/>
        <v/>
      </c>
      <c r="AE180" s="1017" t="str">
        <f ca="1"/>
        <v/>
      </c>
      <c r="AF180" s="1027" t="str">
        <f ca="1"/>
        <v/>
      </c>
      <c r="AG180" s="1036" t="str">
        <f ca="1"/>
        <v/>
      </c>
      <c r="AH180" s="1016" t="str">
        <f ca="1"/>
        <v/>
      </c>
      <c r="AI180" s="1019" t="str">
        <f ca="1"/>
        <v/>
      </c>
      <c r="AJ180" s="1028" t="str">
        <f ca="1"/>
        <v/>
      </c>
    </row>
    <row r="181" spans="8:36">
      <c r="H181" s="1015" t="str">
        <f ca="1"/>
        <v/>
      </c>
      <c r="I181" s="1006" t="str">
        <f ca="1"/>
        <v/>
      </c>
      <c r="J181" s="1016" t="str">
        <f ca="1"/>
        <v/>
      </c>
      <c r="K181" s="1017" t="str">
        <f ca="1"/>
        <v/>
      </c>
      <c r="L181" s="1006" t="str">
        <f ca="1"/>
        <v/>
      </c>
      <c r="M181" s="1016" t="str">
        <f ca="1"/>
        <v/>
      </c>
      <c r="N181" s="1016" t="str">
        <f ca="1"/>
        <v/>
      </c>
      <c r="O181" s="1027" t="str">
        <f ca="1"/>
        <v/>
      </c>
      <c r="P181" s="1017" t="str">
        <f ca="1"/>
        <v/>
      </c>
      <c r="Q181" s="1018" t="str">
        <f ca="1"/>
        <v/>
      </c>
      <c r="R181" s="1016" t="str">
        <f ca="1"/>
        <v/>
      </c>
      <c r="S181" s="1004" t="str">
        <f ca="1"/>
        <v/>
      </c>
      <c r="T181" s="1028" t="str">
        <f ca="1"/>
        <v/>
      </c>
      <c r="U181" s="995"/>
      <c r="V181" s="1015" t="str">
        <f ca="1"/>
        <v/>
      </c>
      <c r="W181" s="1006" t="str">
        <f ca="1"/>
        <v/>
      </c>
      <c r="X181" s="1006" t="str">
        <f ca="1"/>
        <v/>
      </c>
      <c r="Y181" s="1004" t="str">
        <f ca="1"/>
        <v/>
      </c>
      <c r="Z181" s="1017" t="str">
        <f ca="1"/>
        <v/>
      </c>
      <c r="AA181" s="1006" t="str">
        <f ca="1"/>
        <v/>
      </c>
      <c r="AB181" s="1016" t="str">
        <f ca="1"/>
        <v/>
      </c>
      <c r="AC181" s="1016" t="str">
        <f ca="1"/>
        <v/>
      </c>
      <c r="AD181" s="1027" t="str">
        <f ca="1"/>
        <v/>
      </c>
      <c r="AE181" s="1017" t="str">
        <f ca="1"/>
        <v/>
      </c>
      <c r="AF181" s="1027" t="str">
        <f ca="1"/>
        <v/>
      </c>
      <c r="AG181" s="1036" t="str">
        <f ca="1"/>
        <v/>
      </c>
      <c r="AH181" s="1016" t="str">
        <f ca="1"/>
        <v/>
      </c>
      <c r="AI181" s="1019" t="str">
        <f ca="1"/>
        <v/>
      </c>
      <c r="AJ181" s="1028" t="str">
        <f ca="1"/>
        <v/>
      </c>
    </row>
    <row r="182" spans="8:36">
      <c r="H182" s="1015" t="str">
        <f ca="1"/>
        <v/>
      </c>
      <c r="I182" s="1006" t="str">
        <f ca="1"/>
        <v/>
      </c>
      <c r="J182" s="1016" t="str">
        <f ca="1"/>
        <v/>
      </c>
      <c r="K182" s="1017" t="str">
        <f ca="1"/>
        <v/>
      </c>
      <c r="L182" s="1006" t="str">
        <f ca="1"/>
        <v/>
      </c>
      <c r="M182" s="1016" t="str">
        <f ca="1"/>
        <v/>
      </c>
      <c r="N182" s="1016" t="str">
        <f ca="1"/>
        <v/>
      </c>
      <c r="O182" s="1027" t="str">
        <f ca="1"/>
        <v/>
      </c>
      <c r="P182" s="1017" t="str">
        <f ca="1"/>
        <v/>
      </c>
      <c r="Q182" s="1018" t="str">
        <f ca="1"/>
        <v/>
      </c>
      <c r="R182" s="1016" t="str">
        <f ca="1"/>
        <v/>
      </c>
      <c r="S182" s="1004" t="str">
        <f ca="1"/>
        <v/>
      </c>
      <c r="T182" s="1028" t="str">
        <f ca="1"/>
        <v/>
      </c>
      <c r="U182" s="995"/>
      <c r="V182" s="1015" t="str">
        <f ca="1"/>
        <v/>
      </c>
      <c r="W182" s="1006" t="str">
        <f ca="1"/>
        <v/>
      </c>
      <c r="X182" s="1006" t="str">
        <f ca="1"/>
        <v/>
      </c>
      <c r="Y182" s="1004" t="str">
        <f ca="1"/>
        <v/>
      </c>
      <c r="Z182" s="1017" t="str">
        <f ca="1"/>
        <v/>
      </c>
      <c r="AA182" s="1006" t="str">
        <f ca="1"/>
        <v/>
      </c>
      <c r="AB182" s="1016" t="str">
        <f ca="1"/>
        <v/>
      </c>
      <c r="AC182" s="1016" t="str">
        <f ca="1"/>
        <v/>
      </c>
      <c r="AD182" s="1027" t="str">
        <f ca="1"/>
        <v/>
      </c>
      <c r="AE182" s="1017" t="str">
        <f ca="1"/>
        <v/>
      </c>
      <c r="AF182" s="1027" t="str">
        <f ca="1"/>
        <v/>
      </c>
      <c r="AG182" s="1036" t="str">
        <f ca="1"/>
        <v/>
      </c>
      <c r="AH182" s="1016" t="str">
        <f ca="1"/>
        <v/>
      </c>
      <c r="AI182" s="1019" t="str">
        <f ca="1"/>
        <v/>
      </c>
      <c r="AJ182" s="1028" t="str">
        <f ca="1"/>
        <v/>
      </c>
    </row>
    <row r="183" spans="8:36">
      <c r="H183" s="1015" t="str">
        <f ca="1"/>
        <v/>
      </c>
      <c r="I183" s="1006" t="str">
        <f ca="1"/>
        <v/>
      </c>
      <c r="J183" s="1016" t="str">
        <f ca="1"/>
        <v/>
      </c>
      <c r="K183" s="1017" t="str">
        <f ca="1"/>
        <v/>
      </c>
      <c r="L183" s="1006" t="str">
        <f ca="1"/>
        <v/>
      </c>
      <c r="M183" s="1016" t="str">
        <f ca="1"/>
        <v/>
      </c>
      <c r="N183" s="1016" t="str">
        <f ca="1"/>
        <v/>
      </c>
      <c r="O183" s="1027" t="str">
        <f ca="1"/>
        <v/>
      </c>
      <c r="P183" s="1017" t="str">
        <f ca="1"/>
        <v/>
      </c>
      <c r="Q183" s="1018" t="str">
        <f ca="1"/>
        <v/>
      </c>
      <c r="R183" s="1016" t="str">
        <f ca="1"/>
        <v/>
      </c>
      <c r="S183" s="1004" t="str">
        <f ca="1"/>
        <v/>
      </c>
      <c r="T183" s="1028" t="str">
        <f ca="1"/>
        <v/>
      </c>
      <c r="U183" s="995"/>
      <c r="V183" s="1015" t="str">
        <f ca="1"/>
        <v/>
      </c>
      <c r="W183" s="1006" t="str">
        <f ca="1"/>
        <v/>
      </c>
      <c r="X183" s="1006" t="str">
        <f ca="1"/>
        <v/>
      </c>
      <c r="Y183" s="1004" t="str">
        <f ca="1"/>
        <v/>
      </c>
      <c r="Z183" s="1017" t="str">
        <f ca="1"/>
        <v/>
      </c>
      <c r="AA183" s="1006" t="str">
        <f ca="1"/>
        <v/>
      </c>
      <c r="AB183" s="1016" t="str">
        <f ca="1"/>
        <v/>
      </c>
      <c r="AC183" s="1016" t="str">
        <f ca="1"/>
        <v/>
      </c>
      <c r="AD183" s="1027" t="str">
        <f ca="1"/>
        <v/>
      </c>
      <c r="AE183" s="1017" t="str">
        <f ca="1"/>
        <v/>
      </c>
      <c r="AF183" s="1027" t="str">
        <f ca="1"/>
        <v/>
      </c>
      <c r="AG183" s="1036" t="str">
        <f ca="1"/>
        <v/>
      </c>
      <c r="AH183" s="1016" t="str">
        <f ca="1"/>
        <v/>
      </c>
      <c r="AI183" s="1019" t="str">
        <f ca="1"/>
        <v/>
      </c>
      <c r="AJ183" s="1028" t="str">
        <f ca="1"/>
        <v/>
      </c>
    </row>
    <row r="184" spans="8:36">
      <c r="H184" s="1015" t="str">
        <f ca="1"/>
        <v/>
      </c>
      <c r="I184" s="1006" t="str">
        <f ca="1"/>
        <v/>
      </c>
      <c r="J184" s="1016" t="str">
        <f ca="1"/>
        <v/>
      </c>
      <c r="K184" s="1017" t="str">
        <f ca="1"/>
        <v/>
      </c>
      <c r="L184" s="1006" t="str">
        <f ca="1"/>
        <v/>
      </c>
      <c r="M184" s="1016" t="str">
        <f ca="1"/>
        <v/>
      </c>
      <c r="N184" s="1016" t="str">
        <f ca="1"/>
        <v/>
      </c>
      <c r="O184" s="1027" t="str">
        <f ca="1"/>
        <v/>
      </c>
      <c r="P184" s="1017" t="str">
        <f ca="1"/>
        <v/>
      </c>
      <c r="Q184" s="1018" t="str">
        <f ca="1"/>
        <v/>
      </c>
      <c r="R184" s="1016" t="str">
        <f ca="1"/>
        <v/>
      </c>
      <c r="S184" s="1004" t="str">
        <f ca="1"/>
        <v/>
      </c>
      <c r="T184" s="1028" t="str">
        <f ca="1"/>
        <v/>
      </c>
      <c r="U184" s="995"/>
      <c r="V184" s="1015" t="str">
        <f ca="1"/>
        <v/>
      </c>
      <c r="W184" s="1006" t="str">
        <f ca="1"/>
        <v/>
      </c>
      <c r="X184" s="1006" t="str">
        <f ca="1"/>
        <v/>
      </c>
      <c r="Y184" s="1004" t="str">
        <f ca="1"/>
        <v/>
      </c>
      <c r="Z184" s="1017" t="str">
        <f ca="1"/>
        <v/>
      </c>
      <c r="AA184" s="1006" t="str">
        <f ca="1"/>
        <v/>
      </c>
      <c r="AB184" s="1016" t="str">
        <f ca="1"/>
        <v/>
      </c>
      <c r="AC184" s="1016" t="str">
        <f ca="1"/>
        <v/>
      </c>
      <c r="AD184" s="1027" t="str">
        <f ca="1"/>
        <v/>
      </c>
      <c r="AE184" s="1017" t="str">
        <f ca="1"/>
        <v/>
      </c>
      <c r="AF184" s="1027" t="str">
        <f ca="1"/>
        <v/>
      </c>
      <c r="AG184" s="1036" t="str">
        <f ca="1"/>
        <v/>
      </c>
      <c r="AH184" s="1016" t="str">
        <f ca="1"/>
        <v/>
      </c>
      <c r="AI184" s="1019" t="str">
        <f ca="1"/>
        <v/>
      </c>
      <c r="AJ184" s="1028" t="str">
        <f ca="1"/>
        <v/>
      </c>
    </row>
    <row r="185" spans="8:36">
      <c r="H185" s="1015" t="str">
        <f ca="1"/>
        <v/>
      </c>
      <c r="I185" s="1006" t="str">
        <f ca="1"/>
        <v/>
      </c>
      <c r="J185" s="1016" t="str">
        <f ca="1"/>
        <v/>
      </c>
      <c r="K185" s="1017" t="str">
        <f ca="1"/>
        <v/>
      </c>
      <c r="L185" s="1006" t="str">
        <f ca="1"/>
        <v/>
      </c>
      <c r="M185" s="1016" t="str">
        <f ca="1"/>
        <v/>
      </c>
      <c r="N185" s="1016" t="str">
        <f ca="1"/>
        <v/>
      </c>
      <c r="O185" s="1027" t="str">
        <f ca="1"/>
        <v/>
      </c>
      <c r="P185" s="1017" t="str">
        <f ca="1"/>
        <v/>
      </c>
      <c r="Q185" s="1018" t="str">
        <f ca="1"/>
        <v/>
      </c>
      <c r="R185" s="1016" t="str">
        <f ca="1"/>
        <v/>
      </c>
      <c r="S185" s="1004" t="str">
        <f ca="1"/>
        <v/>
      </c>
      <c r="T185" s="1028" t="str">
        <f ca="1"/>
        <v/>
      </c>
      <c r="U185" s="995"/>
      <c r="V185" s="1015" t="str">
        <f ca="1"/>
        <v/>
      </c>
      <c r="W185" s="1006" t="str">
        <f ca="1"/>
        <v/>
      </c>
      <c r="X185" s="1006" t="str">
        <f ca="1"/>
        <v/>
      </c>
      <c r="Y185" s="1004" t="str">
        <f ca="1"/>
        <v/>
      </c>
      <c r="Z185" s="1017" t="str">
        <f ca="1"/>
        <v/>
      </c>
      <c r="AA185" s="1006" t="str">
        <f ca="1"/>
        <v/>
      </c>
      <c r="AB185" s="1016" t="str">
        <f ca="1"/>
        <v/>
      </c>
      <c r="AC185" s="1016" t="str">
        <f ca="1"/>
        <v/>
      </c>
      <c r="AD185" s="1027" t="str">
        <f ca="1"/>
        <v/>
      </c>
      <c r="AE185" s="1017" t="str">
        <f ca="1"/>
        <v/>
      </c>
      <c r="AF185" s="1027" t="str">
        <f ca="1"/>
        <v/>
      </c>
      <c r="AG185" s="1036" t="str">
        <f ca="1"/>
        <v/>
      </c>
      <c r="AH185" s="1016" t="str">
        <f ca="1"/>
        <v/>
      </c>
      <c r="AI185" s="1019" t="str">
        <f ca="1"/>
        <v/>
      </c>
      <c r="AJ185" s="1028" t="str">
        <f ca="1"/>
        <v/>
      </c>
    </row>
    <row r="186" spans="8:36">
      <c r="H186" s="1015" t="str">
        <f ca="1"/>
        <v/>
      </c>
      <c r="I186" s="1006" t="str">
        <f ca="1"/>
        <v/>
      </c>
      <c r="J186" s="1016" t="str">
        <f ca="1"/>
        <v/>
      </c>
      <c r="K186" s="1017" t="str">
        <f ca="1"/>
        <v/>
      </c>
      <c r="L186" s="1006" t="str">
        <f ca="1"/>
        <v/>
      </c>
      <c r="M186" s="1016" t="str">
        <f ca="1"/>
        <v/>
      </c>
      <c r="N186" s="1016" t="str">
        <f ca="1"/>
        <v/>
      </c>
      <c r="O186" s="1027" t="str">
        <f ca="1"/>
        <v/>
      </c>
      <c r="P186" s="1017" t="str">
        <f ca="1"/>
        <v/>
      </c>
      <c r="Q186" s="1018" t="str">
        <f ca="1"/>
        <v/>
      </c>
      <c r="R186" s="1016" t="str">
        <f ca="1"/>
        <v/>
      </c>
      <c r="S186" s="1004" t="str">
        <f ca="1"/>
        <v/>
      </c>
      <c r="T186" s="1028" t="str">
        <f ca="1"/>
        <v/>
      </c>
      <c r="U186" s="995"/>
      <c r="V186" s="1015" t="str">
        <f ca="1"/>
        <v/>
      </c>
      <c r="W186" s="1006" t="str">
        <f ca="1"/>
        <v/>
      </c>
      <c r="X186" s="1006" t="str">
        <f ca="1"/>
        <v/>
      </c>
      <c r="Y186" s="1004" t="str">
        <f ca="1"/>
        <v/>
      </c>
      <c r="Z186" s="1017" t="str">
        <f ca="1"/>
        <v/>
      </c>
      <c r="AA186" s="1006" t="str">
        <f ca="1"/>
        <v/>
      </c>
      <c r="AB186" s="1016" t="str">
        <f ca="1"/>
        <v/>
      </c>
      <c r="AC186" s="1016" t="str">
        <f ca="1"/>
        <v/>
      </c>
      <c r="AD186" s="1027" t="str">
        <f ca="1"/>
        <v/>
      </c>
      <c r="AE186" s="1017" t="str">
        <f ca="1"/>
        <v/>
      </c>
      <c r="AF186" s="1027" t="str">
        <f ca="1"/>
        <v/>
      </c>
      <c r="AG186" s="1036" t="str">
        <f ca="1"/>
        <v/>
      </c>
      <c r="AH186" s="1016" t="str">
        <f ca="1"/>
        <v/>
      </c>
      <c r="AI186" s="1019" t="str">
        <f ca="1"/>
        <v/>
      </c>
      <c r="AJ186" s="1028" t="str">
        <f ca="1"/>
        <v/>
      </c>
    </row>
    <row r="187" spans="8:36">
      <c r="H187" s="1015" t="str">
        <f ca="1"/>
        <v/>
      </c>
      <c r="I187" s="1006" t="str">
        <f ca="1"/>
        <v/>
      </c>
      <c r="J187" s="1016" t="str">
        <f ca="1"/>
        <v/>
      </c>
      <c r="K187" s="1017" t="str">
        <f ca="1"/>
        <v/>
      </c>
      <c r="L187" s="1006" t="str">
        <f ca="1"/>
        <v/>
      </c>
      <c r="M187" s="1016" t="str">
        <f ca="1"/>
        <v/>
      </c>
      <c r="N187" s="1016" t="str">
        <f ca="1"/>
        <v/>
      </c>
      <c r="O187" s="1027" t="str">
        <f ca="1"/>
        <v/>
      </c>
      <c r="P187" s="1017" t="str">
        <f ca="1"/>
        <v/>
      </c>
      <c r="Q187" s="1018" t="str">
        <f ca="1"/>
        <v/>
      </c>
      <c r="R187" s="1016" t="str">
        <f ca="1"/>
        <v/>
      </c>
      <c r="S187" s="1004" t="str">
        <f ca="1"/>
        <v/>
      </c>
      <c r="T187" s="1028" t="str">
        <f ca="1"/>
        <v/>
      </c>
      <c r="U187" s="995"/>
      <c r="V187" s="1015" t="str">
        <f ca="1"/>
        <v/>
      </c>
      <c r="W187" s="1006" t="str">
        <f ca="1"/>
        <v/>
      </c>
      <c r="X187" s="1006" t="str">
        <f ca="1"/>
        <v/>
      </c>
      <c r="Y187" s="1004" t="str">
        <f ca="1"/>
        <v/>
      </c>
      <c r="Z187" s="1017" t="str">
        <f ca="1"/>
        <v/>
      </c>
      <c r="AA187" s="1006" t="str">
        <f ca="1"/>
        <v/>
      </c>
      <c r="AB187" s="1016" t="str">
        <f ca="1"/>
        <v/>
      </c>
      <c r="AC187" s="1016" t="str">
        <f ca="1"/>
        <v/>
      </c>
      <c r="AD187" s="1027" t="str">
        <f ca="1"/>
        <v/>
      </c>
      <c r="AE187" s="1017" t="str">
        <f ca="1"/>
        <v/>
      </c>
      <c r="AF187" s="1027" t="str">
        <f ca="1"/>
        <v/>
      </c>
      <c r="AG187" s="1036" t="str">
        <f ca="1"/>
        <v/>
      </c>
      <c r="AH187" s="1016" t="str">
        <f ca="1"/>
        <v/>
      </c>
      <c r="AI187" s="1019" t="str">
        <f ca="1"/>
        <v/>
      </c>
      <c r="AJ187" s="1028" t="str">
        <f ca="1"/>
        <v/>
      </c>
    </row>
    <row r="188" spans="8:36">
      <c r="H188" s="1015" t="str">
        <f ca="1"/>
        <v/>
      </c>
      <c r="I188" s="1006" t="str">
        <f ca="1"/>
        <v/>
      </c>
      <c r="J188" s="1016" t="str">
        <f ca="1"/>
        <v/>
      </c>
      <c r="K188" s="1017" t="str">
        <f ca="1"/>
        <v/>
      </c>
      <c r="L188" s="1006" t="str">
        <f ca="1"/>
        <v/>
      </c>
      <c r="M188" s="1016" t="str">
        <f ca="1"/>
        <v/>
      </c>
      <c r="N188" s="1016" t="str">
        <f ca="1"/>
        <v/>
      </c>
      <c r="O188" s="1027" t="str">
        <f ca="1"/>
        <v/>
      </c>
      <c r="P188" s="1017" t="str">
        <f ca="1"/>
        <v/>
      </c>
      <c r="Q188" s="1018" t="str">
        <f ca="1"/>
        <v/>
      </c>
      <c r="R188" s="1016" t="str">
        <f ca="1"/>
        <v/>
      </c>
      <c r="S188" s="1004" t="str">
        <f ca="1"/>
        <v/>
      </c>
      <c r="T188" s="1028" t="str">
        <f ca="1"/>
        <v/>
      </c>
      <c r="U188" s="995"/>
      <c r="V188" s="1015" t="str">
        <f ca="1"/>
        <v/>
      </c>
      <c r="W188" s="1006" t="str">
        <f ca="1"/>
        <v/>
      </c>
      <c r="X188" s="1006" t="str">
        <f ca="1"/>
        <v/>
      </c>
      <c r="Y188" s="1004" t="str">
        <f ca="1"/>
        <v/>
      </c>
      <c r="Z188" s="1017" t="str">
        <f ca="1"/>
        <v/>
      </c>
      <c r="AA188" s="1006" t="str">
        <f ca="1"/>
        <v/>
      </c>
      <c r="AB188" s="1016" t="str">
        <f ca="1"/>
        <v/>
      </c>
      <c r="AC188" s="1016" t="str">
        <f ca="1"/>
        <v/>
      </c>
      <c r="AD188" s="1027" t="str">
        <f ca="1"/>
        <v/>
      </c>
      <c r="AE188" s="1017" t="str">
        <f ca="1"/>
        <v/>
      </c>
      <c r="AF188" s="1027" t="str">
        <f ca="1"/>
        <v/>
      </c>
      <c r="AG188" s="1036" t="str">
        <f ca="1"/>
        <v/>
      </c>
      <c r="AH188" s="1016" t="str">
        <f ca="1"/>
        <v/>
      </c>
      <c r="AI188" s="1019" t="str">
        <f ca="1"/>
        <v/>
      </c>
      <c r="AJ188" s="1028" t="str">
        <f ca="1"/>
        <v/>
      </c>
    </row>
    <row r="189" spans="8:36">
      <c r="H189" s="1015" t="str">
        <f ca="1"/>
        <v/>
      </c>
      <c r="I189" s="1006" t="str">
        <f ca="1"/>
        <v/>
      </c>
      <c r="J189" s="1016" t="str">
        <f ca="1"/>
        <v/>
      </c>
      <c r="K189" s="1017" t="str">
        <f ca="1"/>
        <v/>
      </c>
      <c r="L189" s="1006" t="str">
        <f ca="1"/>
        <v/>
      </c>
      <c r="M189" s="1016" t="str">
        <f ca="1"/>
        <v/>
      </c>
      <c r="N189" s="1016" t="str">
        <f ca="1"/>
        <v/>
      </c>
      <c r="O189" s="1027" t="str">
        <f ca="1"/>
        <v/>
      </c>
      <c r="P189" s="1017" t="str">
        <f ca="1"/>
        <v/>
      </c>
      <c r="Q189" s="1018" t="str">
        <f ca="1"/>
        <v/>
      </c>
      <c r="R189" s="1016" t="str">
        <f ca="1"/>
        <v/>
      </c>
      <c r="S189" s="1004" t="str">
        <f ca="1"/>
        <v/>
      </c>
      <c r="T189" s="1028" t="str">
        <f ca="1"/>
        <v/>
      </c>
      <c r="U189" s="995"/>
      <c r="V189" s="1015" t="str">
        <f ca="1"/>
        <v/>
      </c>
      <c r="W189" s="1006" t="str">
        <f ca="1"/>
        <v/>
      </c>
      <c r="X189" s="1006" t="str">
        <f ca="1"/>
        <v/>
      </c>
      <c r="Y189" s="1004" t="str">
        <f ca="1"/>
        <v/>
      </c>
      <c r="Z189" s="1017" t="str">
        <f ca="1"/>
        <v/>
      </c>
      <c r="AA189" s="1006" t="str">
        <f ca="1"/>
        <v/>
      </c>
      <c r="AB189" s="1016" t="str">
        <f ca="1"/>
        <v/>
      </c>
      <c r="AC189" s="1016" t="str">
        <f ca="1"/>
        <v/>
      </c>
      <c r="AD189" s="1027" t="str">
        <f ca="1"/>
        <v/>
      </c>
      <c r="AE189" s="1017" t="str">
        <f ca="1"/>
        <v/>
      </c>
      <c r="AF189" s="1027" t="str">
        <f ca="1"/>
        <v/>
      </c>
      <c r="AG189" s="1036" t="str">
        <f ca="1"/>
        <v/>
      </c>
      <c r="AH189" s="1016" t="str">
        <f ca="1"/>
        <v/>
      </c>
      <c r="AI189" s="1019" t="str">
        <f ca="1"/>
        <v/>
      </c>
      <c r="AJ189" s="1028" t="str">
        <f ca="1"/>
        <v/>
      </c>
    </row>
    <row r="190" spans="8:36">
      <c r="H190" s="1021" t="str">
        <f ca="1"/>
        <v/>
      </c>
      <c r="I190" s="1005" t="str">
        <f ca="1"/>
        <v/>
      </c>
      <c r="J190" s="1022" t="str">
        <f ca="1"/>
        <v/>
      </c>
      <c r="K190" s="1023" t="str">
        <f ca="1"/>
        <v/>
      </c>
      <c r="L190" s="1005" t="str">
        <f ca="1"/>
        <v/>
      </c>
      <c r="M190" s="1022" t="str">
        <f ca="1"/>
        <v/>
      </c>
      <c r="N190" s="1022" t="str">
        <f ca="1"/>
        <v/>
      </c>
      <c r="O190" s="1029" t="str">
        <f ca="1"/>
        <v/>
      </c>
      <c r="P190" s="1023" t="str">
        <f ca="1"/>
        <v/>
      </c>
      <c r="Q190" s="1024" t="str">
        <f ca="1"/>
        <v/>
      </c>
      <c r="R190" s="1022" t="str">
        <f ca="1"/>
        <v/>
      </c>
      <c r="S190" s="1007" t="str">
        <f ca="1"/>
        <v/>
      </c>
      <c r="T190" s="1030" t="str">
        <f ca="1"/>
        <v/>
      </c>
      <c r="U190" s="995"/>
      <c r="V190" s="1021" t="str">
        <f ca="1"/>
        <v/>
      </c>
      <c r="W190" s="1005" t="str">
        <f ca="1"/>
        <v/>
      </c>
      <c r="X190" s="1005" t="str">
        <f ca="1"/>
        <v/>
      </c>
      <c r="Y190" s="1007" t="str">
        <f ca="1"/>
        <v/>
      </c>
      <c r="Z190" s="1023" t="str">
        <f ca="1"/>
        <v/>
      </c>
      <c r="AA190" s="1005" t="str">
        <f ca="1"/>
        <v/>
      </c>
      <c r="AB190" s="1022" t="str">
        <f ca="1"/>
        <v/>
      </c>
      <c r="AC190" s="1022" t="str">
        <f ca="1"/>
        <v/>
      </c>
      <c r="AD190" s="1029" t="str">
        <f ca="1"/>
        <v/>
      </c>
      <c r="AE190" s="1023" t="str">
        <f ca="1"/>
        <v/>
      </c>
      <c r="AF190" s="1029" t="str">
        <f ca="1"/>
        <v/>
      </c>
      <c r="AG190" s="1035" t="str">
        <f ca="1"/>
        <v/>
      </c>
      <c r="AH190" s="1022" t="str">
        <f ca="1"/>
        <v/>
      </c>
      <c r="AI190" s="1025" t="str">
        <f ca="1"/>
        <v/>
      </c>
      <c r="AJ190" s="1030" t="str">
        <f ca="1"/>
        <v/>
      </c>
    </row>
  </sheetData>
  <conditionalFormatting sqref="I13:R13">
    <cfRule type="expression" dxfId="11" priority="36">
      <formula>ISNA(I13)</formula>
    </cfRule>
  </conditionalFormatting>
  <conditionalFormatting sqref="U13:AF13">
    <cfRule type="expression" dxfId="10" priority="35">
      <formula>ISNA(U13)</formula>
    </cfRule>
  </conditionalFormatting>
  <conditionalFormatting sqref="T13">
    <cfRule type="expression" dxfId="9" priority="34">
      <formula>ISNA(T13)</formula>
    </cfRule>
  </conditionalFormatting>
  <conditionalFormatting sqref="H13">
    <cfRule type="expression" dxfId="8" priority="33">
      <formula>ISNA(H13)</formula>
    </cfRule>
  </conditionalFormatting>
  <conditionalFormatting sqref="H17:T52">
    <cfRule type="expression" dxfId="7" priority="4">
      <formula>ISNA(H17)</formula>
    </cfRule>
  </conditionalFormatting>
  <conditionalFormatting sqref="V17:AH53">
    <cfRule type="expression" dxfId="6" priority="3">
      <formula>ISNA(V17)</formula>
    </cfRule>
  </conditionalFormatting>
  <conditionalFormatting sqref="H53:T190">
    <cfRule type="expression" dxfId="5" priority="2">
      <formula>ISNA(H53)</formula>
    </cfRule>
  </conditionalFormatting>
  <conditionalFormatting sqref="V54:AH190">
    <cfRule type="expression" dxfId="4" priority="1">
      <formula>ISNA(V54)</formula>
    </cfRule>
  </conditionalFormatting>
  <conditionalFormatting sqref="V16:AH16 W15:AH15">
    <cfRule type="expression" dxfId="3" priority="6">
      <formula>ISNA(V15)</formula>
    </cfRule>
  </conditionalFormatting>
  <conditionalFormatting sqref="V15">
    <cfRule type="expression" dxfId="2" priority="5">
      <formula>ISNA(V15)</formula>
    </cfRule>
  </conditionalFormatting>
  <conditionalFormatting sqref="H16:T16 I15:T15">
    <cfRule type="expression" dxfId="1" priority="8">
      <formula>ISNA(H15)</formula>
    </cfRule>
  </conditionalFormatting>
  <conditionalFormatting sqref="H15">
    <cfRule type="expression" dxfId="0" priority="7">
      <formula>ISNA(H15)</formula>
    </cfRule>
  </conditionalFormatting>
  <dataValidations count="7">
    <dataValidation type="list" allowBlank="1" showInputMessage="1" showErrorMessage="1" sqref="F39 F49">
      <formula1>"TGT,NYB:LNB,LNB,TKB:LNB"</formula1>
    </dataValidation>
    <dataValidation type="list" allowBlank="1" showInputMessage="1" showErrorMessage="1" sqref="D33">
      <formula1>"NOCSA,EURCSA,USDCSA,GBPCSA,JPYCSA"</formula1>
    </dataValidation>
    <dataValidation type="list" allowBlank="1" showInputMessage="1" showErrorMessage="1" sqref="F43 F53">
      <formula1>"None,ShortStart,ShortEnd,LongStart,LongEnd,SS,SE,LS,LE"</formula1>
    </dataValidation>
    <dataValidation type="list" allowBlank="1" showInputMessage="1" showErrorMessage="1" sqref="F26">
      <formula1>"PAYER,RECEIVER"</formula1>
    </dataValidation>
    <dataValidation type="list" allowBlank="1" showInputMessage="1" showErrorMessage="1" sqref="F47 F37">
      <formula1>"ACT/ACT,ACT/365,ACT/365_ISDA,ACT/360,30/360,30E/360,ACT/365FJ"</formula1>
    </dataValidation>
    <dataValidation type="list" allowBlank="1" showInputMessage="1" showErrorMessage="1" sqref="F38 F48">
      <formula1>"MOD_FOLLOWING,FOLLOWING,MOD_PRECEDING,PRECEDING,NO_CHANGE"</formula1>
    </dataValidation>
    <dataValidation type="list" allowBlank="1" showInputMessage="1" showErrorMessage="1" sqref="E3">
      <formula1>"Semi-Annual,Quarterly"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-0.249977111117893"/>
  </sheetPr>
  <dimension ref="A1:CR72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665" hidden="1" customWidth="1" outlineLevel="1"/>
    <col min="15" max="15" width="8.85546875" style="665" hidden="1" customWidth="1" outlineLevel="1"/>
    <col min="16" max="19" width="12.7109375" style="665" hidden="1" customWidth="1" outlineLevel="1"/>
    <col min="20" max="20" width="15.140625" style="665" hidden="1" customWidth="1" outlineLevel="1"/>
    <col min="21" max="21" width="14.7109375" style="665" hidden="1" customWidth="1" outlineLevel="1"/>
    <col min="22" max="22" width="12.42578125" style="665" hidden="1" customWidth="1" outlineLevel="1"/>
    <col min="23" max="23" width="11.5703125" style="665" hidden="1" customWidth="1" outlineLevel="1"/>
    <col min="24" max="24" width="15.28515625" style="665" hidden="1" customWidth="1" outlineLevel="1"/>
    <col min="25" max="25" width="13.7109375" style="665" hidden="1" customWidth="1" outlineLevel="1"/>
    <col min="26" max="26" width="14" style="665" hidden="1" customWidth="1" outlineLevel="1"/>
    <col min="27" max="27" width="9.28515625" style="665" hidden="1" customWidth="1" outlineLevel="1"/>
    <col min="28" max="28" width="29.42578125" style="665" hidden="1" customWidth="1" outlineLevel="1"/>
    <col min="29" max="29" width="15.42578125" style="665" hidden="1" customWidth="1" outlineLevel="1"/>
    <col min="30" max="30" width="28.28515625" style="665" hidden="1" customWidth="1" outlineLevel="1"/>
    <col min="31" max="31" width="14.28515625" style="665" hidden="1" customWidth="1" outlineLevel="1"/>
    <col min="32" max="32" width="9.140625" style="665" hidden="1" customWidth="1" outlineLevel="1"/>
    <col min="33" max="33" width="31" style="665" hidden="1" customWidth="1" outlineLevel="1"/>
    <col min="34" max="34" width="16.85546875" style="665" hidden="1" customWidth="1" outlineLevel="1"/>
    <col min="35" max="35" width="11.7109375" style="665" hidden="1" customWidth="1" outlineLevel="1"/>
    <col min="36" max="36" width="8.85546875" style="665" hidden="1" customWidth="1" outlineLevel="1"/>
    <col min="37" max="38" width="12.7109375" style="665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665" hidden="1" customWidth="1" outlineLevel="1"/>
    <col min="43" max="43" width="12.28515625" style="665" hidden="1" customWidth="1" outlineLevel="1"/>
    <col min="44" max="45" width="12.7109375" style="665" hidden="1" customWidth="1" outlineLevel="1"/>
    <col min="46" max="46" width="8.85546875" style="665" hidden="1" customWidth="1" outlineLevel="1"/>
    <col min="47" max="47" width="13.28515625" style="665" hidden="1" customWidth="1" outlineLevel="1"/>
    <col min="48" max="48" width="12.7109375" style="665" hidden="1" customWidth="1" outlineLevel="1"/>
    <col min="49" max="49" width="17.28515625" style="665" hidden="1" customWidth="1" outlineLevel="1"/>
    <col min="50" max="50" width="9" style="665" hidden="1" customWidth="1" outlineLevel="1"/>
    <col min="51" max="51" width="14.85546875" style="665" hidden="1" customWidth="1" outlineLevel="1"/>
    <col min="52" max="52" width="16.28515625" style="665" hidden="1" customWidth="1" outlineLevel="1"/>
    <col min="53" max="53" width="17.85546875" style="665" hidden="1" customWidth="1" outlineLevel="1"/>
    <col min="54" max="54" width="11.5703125" style="665" hidden="1" customWidth="1" outlineLevel="1"/>
    <col min="55" max="55" width="15.28515625" style="665" hidden="1" customWidth="1" outlineLevel="1"/>
    <col min="56" max="56" width="13.7109375" style="665" hidden="1" customWidth="1" outlineLevel="1"/>
    <col min="57" max="57" width="14" style="665" hidden="1" customWidth="1" outlineLevel="1"/>
    <col min="58" max="58" width="9.28515625" style="665" hidden="1" customWidth="1" outlineLevel="1"/>
    <col min="59" max="59" width="29.42578125" style="665" hidden="1" customWidth="1" outlineLevel="1"/>
    <col min="60" max="60" width="15.42578125" style="665" hidden="1" customWidth="1" outlineLevel="1"/>
    <col min="61" max="61" width="28.28515625" style="665" hidden="1" customWidth="1" outlineLevel="1"/>
    <col min="62" max="62" width="14.28515625" style="665" hidden="1" customWidth="1" outlineLevel="1"/>
    <col min="63" max="63" width="12.7109375" style="665" hidden="1" customWidth="1" outlineLevel="1"/>
    <col min="64" max="64" width="31" style="665" hidden="1" customWidth="1" outlineLevel="1"/>
    <col min="65" max="65" width="16.85546875" style="665" hidden="1" customWidth="1" outlineLevel="1"/>
    <col min="66" max="66" width="12.7109375" style="665" hidden="1" customWidth="1" outlineLevel="1"/>
    <col min="67" max="67" width="8.85546875" style="665" hidden="1" customWidth="1" outlineLevel="1"/>
    <col min="68" max="69" width="12.7109375" style="665" hidden="1" customWidth="1" outlineLevel="1"/>
    <col min="70" max="70" width="19.28515625" style="1240" hidden="1" customWidth="1" outlineLevel="1"/>
    <col min="71" max="73" width="18.85546875" style="1240" hidden="1" customWidth="1" outlineLevel="1"/>
    <col min="74" max="75" width="12.7109375" style="665" hidden="1" customWidth="1" outlineLevel="1"/>
    <col min="76" max="76" width="13.5703125" style="665" hidden="1" customWidth="1" outlineLevel="1"/>
    <col min="77" max="77" width="9.140625" collapsed="1"/>
    <col min="78" max="78" width="17.28515625" bestFit="1" customWidth="1"/>
    <col min="79" max="79" width="12.7109375" customWidth="1"/>
    <col min="80" max="80" width="16.85546875" bestFit="1" customWidth="1"/>
    <col min="82" max="84" width="12.7109375" customWidth="1"/>
    <col min="85" max="85" width="9.7109375" customWidth="1"/>
  </cols>
  <sheetData>
    <row r="1" spans="1:87">
      <c r="H1" s="732"/>
      <c r="J1" s="9"/>
      <c r="M1" s="9"/>
      <c r="AR1" s="9"/>
      <c r="BY1" s="9" t="s">
        <v>2093</v>
      </c>
    </row>
    <row r="2" spans="1:87">
      <c r="B2" s="234" t="s">
        <v>2028</v>
      </c>
      <c r="H2" s="732"/>
      <c r="CD2" s="234" t="s">
        <v>2081</v>
      </c>
    </row>
    <row r="3" spans="1:87">
      <c r="CA3" s="345"/>
      <c r="CB3" s="731"/>
    </row>
    <row r="4" spans="1:87">
      <c r="B4" s="723" t="s">
        <v>2027</v>
      </c>
      <c r="C4" s="727"/>
      <c r="D4" s="727"/>
      <c r="E4" s="727"/>
      <c r="F4" s="727"/>
      <c r="G4" s="730" t="s">
        <v>2026</v>
      </c>
      <c r="H4" s="727"/>
      <c r="I4" s="729"/>
      <c r="J4" s="728" t="s">
        <v>2025</v>
      </c>
      <c r="K4" s="727"/>
      <c r="L4" s="726"/>
      <c r="M4" s="677"/>
      <c r="N4" s="724" t="s">
        <v>2024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2023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490"/>
      <c r="BY4" s="671" t="s">
        <v>12</v>
      </c>
      <c r="BZ4" s="723" t="s">
        <v>2022</v>
      </c>
      <c r="CA4" s="489"/>
      <c r="CB4" s="492"/>
      <c r="CC4" s="671" t="s">
        <v>12</v>
      </c>
      <c r="CD4" s="721" t="s">
        <v>2020</v>
      </c>
      <c r="CE4" s="720"/>
      <c r="CF4" s="489"/>
      <c r="CG4" s="722" t="s">
        <v>2021</v>
      </c>
      <c r="CH4" s="3"/>
      <c r="CI4" s="3"/>
    </row>
    <row r="5" spans="1:87">
      <c r="B5" s="719" t="s">
        <v>1802</v>
      </c>
      <c r="C5" s="558" t="s">
        <v>1768</v>
      </c>
      <c r="D5" s="558" t="s">
        <v>354</v>
      </c>
      <c r="E5" s="558" t="s">
        <v>156</v>
      </c>
      <c r="F5" s="558" t="s">
        <v>2019</v>
      </c>
      <c r="G5" s="718" t="s">
        <v>2018</v>
      </c>
      <c r="H5" s="713" t="s">
        <v>1804</v>
      </c>
      <c r="I5" s="717" t="s">
        <v>1998</v>
      </c>
      <c r="J5" s="713" t="s">
        <v>2018</v>
      </c>
      <c r="K5" s="713" t="s">
        <v>1804</v>
      </c>
      <c r="L5" s="716" t="s">
        <v>1998</v>
      </c>
      <c r="M5" s="677"/>
      <c r="N5" s="574" t="s">
        <v>2017</v>
      </c>
      <c r="O5" s="714" t="s">
        <v>156</v>
      </c>
      <c r="P5" s="714" t="s">
        <v>1803</v>
      </c>
      <c r="Q5" s="714" t="s">
        <v>354</v>
      </c>
      <c r="R5" s="714" t="s">
        <v>2016</v>
      </c>
      <c r="S5" s="714" t="s">
        <v>2015</v>
      </c>
      <c r="T5" s="714" t="s">
        <v>1768</v>
      </c>
      <c r="U5" s="714" t="s">
        <v>1769</v>
      </c>
      <c r="V5" s="714" t="s">
        <v>1</v>
      </c>
      <c r="W5" s="714" t="s">
        <v>1784</v>
      </c>
      <c r="X5" s="714" t="s">
        <v>1770</v>
      </c>
      <c r="Y5" s="714" t="s">
        <v>1443</v>
      </c>
      <c r="Z5" s="714" t="s">
        <v>1444</v>
      </c>
      <c r="AA5" s="714" t="s">
        <v>120</v>
      </c>
      <c r="AB5" s="714" t="s">
        <v>2014</v>
      </c>
      <c r="AC5" s="714" t="s">
        <v>2013</v>
      </c>
      <c r="AD5" s="714" t="s">
        <v>2012</v>
      </c>
      <c r="AE5" s="714" t="s">
        <v>2011</v>
      </c>
      <c r="AF5" s="714" t="s">
        <v>2010</v>
      </c>
      <c r="AG5" s="714" t="s">
        <v>2009</v>
      </c>
      <c r="AH5" s="714" t="s">
        <v>2008</v>
      </c>
      <c r="AI5" s="714" t="s">
        <v>2007</v>
      </c>
      <c r="AJ5" s="714" t="s">
        <v>2006</v>
      </c>
      <c r="AK5" s="714" t="s">
        <v>2005</v>
      </c>
      <c r="AL5" s="714" t="s">
        <v>2004</v>
      </c>
      <c r="AM5" s="1247" t="s">
        <v>2250</v>
      </c>
      <c r="AN5" s="1247" t="s">
        <v>2251</v>
      </c>
      <c r="AO5" s="714" t="s">
        <v>2003</v>
      </c>
      <c r="AP5" s="714" t="s">
        <v>2002</v>
      </c>
      <c r="AQ5" s="715" t="s">
        <v>2001</v>
      </c>
      <c r="AS5" s="574" t="s">
        <v>2017</v>
      </c>
      <c r="AT5" s="714" t="s">
        <v>156</v>
      </c>
      <c r="AU5" s="714" t="s">
        <v>1803</v>
      </c>
      <c r="AV5" s="714" t="s">
        <v>354</v>
      </c>
      <c r="AW5" s="714" t="s">
        <v>2016</v>
      </c>
      <c r="AX5" s="714" t="s">
        <v>2015</v>
      </c>
      <c r="AY5" s="714" t="s">
        <v>1768</v>
      </c>
      <c r="AZ5" s="714" t="s">
        <v>1769</v>
      </c>
      <c r="BA5" s="714" t="s">
        <v>1</v>
      </c>
      <c r="BB5" s="714" t="s">
        <v>1784</v>
      </c>
      <c r="BC5" s="714" t="s">
        <v>1770</v>
      </c>
      <c r="BD5" s="714" t="s">
        <v>1443</v>
      </c>
      <c r="BE5" s="714" t="s">
        <v>1444</v>
      </c>
      <c r="BF5" s="714" t="s">
        <v>120</v>
      </c>
      <c r="BG5" s="714" t="s">
        <v>2014</v>
      </c>
      <c r="BH5" s="714" t="s">
        <v>2013</v>
      </c>
      <c r="BI5" s="714" t="s">
        <v>2012</v>
      </c>
      <c r="BJ5" s="714" t="s">
        <v>2011</v>
      </c>
      <c r="BK5" s="714" t="s">
        <v>2010</v>
      </c>
      <c r="BL5" s="714" t="s">
        <v>2009</v>
      </c>
      <c r="BM5" s="714" t="s">
        <v>2008</v>
      </c>
      <c r="BN5" s="714" t="s">
        <v>2007</v>
      </c>
      <c r="BO5" s="714" t="s">
        <v>2006</v>
      </c>
      <c r="BP5" s="714" t="s">
        <v>2005</v>
      </c>
      <c r="BQ5" s="714" t="s">
        <v>2004</v>
      </c>
      <c r="BR5" s="1247" t="s">
        <v>2359</v>
      </c>
      <c r="BS5" s="1247" t="s">
        <v>2360</v>
      </c>
      <c r="BT5" s="1247" t="s">
        <v>2250</v>
      </c>
      <c r="BU5" s="1247" t="s">
        <v>2251</v>
      </c>
      <c r="BV5" s="714" t="s">
        <v>2003</v>
      </c>
      <c r="BW5" s="714" t="s">
        <v>2002</v>
      </c>
      <c r="BX5" s="714" t="s">
        <v>2001</v>
      </c>
      <c r="BY5" s="671" t="s">
        <v>12</v>
      </c>
      <c r="BZ5" s="806" t="s">
        <v>2000</v>
      </c>
      <c r="CA5" s="713" t="s">
        <v>1445</v>
      </c>
      <c r="CB5" s="716" t="s">
        <v>2242</v>
      </c>
      <c r="CC5" s="671" t="s">
        <v>12</v>
      </c>
      <c r="CD5" s="555" t="s">
        <v>74</v>
      </c>
      <c r="CE5" s="711" t="s">
        <v>73</v>
      </c>
      <c r="CF5" s="558" t="s">
        <v>1998</v>
      </c>
      <c r="CG5" s="712" t="s">
        <v>1999</v>
      </c>
      <c r="CH5" s="677" t="s">
        <v>12</v>
      </c>
      <c r="CI5" s="3"/>
    </row>
    <row r="6" spans="1:87">
      <c r="A6" s="203">
        <v>1</v>
      </c>
      <c r="B6" s="811" t="s">
        <v>361</v>
      </c>
      <c r="C6" s="710">
        <f ca="1">IF(OR($B6="",$D6="",$D6=0),"",_xll.meDateFromTenor(COB,$B6,$AG6,$AH6))</f>
        <v>43228</v>
      </c>
      <c r="D6" s="814">
        <v>1000000</v>
      </c>
      <c r="E6" s="815" t="s">
        <v>2</v>
      </c>
      <c r="F6" s="707" t="s">
        <v>154</v>
      </c>
      <c r="G6" s="709" t="s">
        <v>1995</v>
      </c>
      <c r="H6" s="820" t="s">
        <v>316</v>
      </c>
      <c r="I6" s="708">
        <v>0</v>
      </c>
      <c r="J6" s="707" t="s">
        <v>1997</v>
      </c>
      <c r="K6" s="820" t="s">
        <v>355</v>
      </c>
      <c r="L6" s="706">
        <v>0</v>
      </c>
      <c r="M6" s="677"/>
      <c r="N6" s="699" t="s">
        <v>1994</v>
      </c>
      <c r="O6" s="701" t="str">
        <f t="shared" ref="O6:O25" si="0">$E6</f>
        <v>EUR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1992</v>
      </c>
      <c r="S6" s="704">
        <v>1</v>
      </c>
      <c r="T6" s="703">
        <f t="shared" ref="T6:T25" ca="1" si="3">$C6</f>
        <v>43228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EURYC</v>
      </c>
      <c r="Y6" s="701" t="str">
        <f t="shared" ref="Y6:Y25" si="8">$E6&amp;$H6</f>
        <v>EUR3ML</v>
      </c>
      <c r="Z6" s="701" t="str">
        <f t="shared" ref="Z6:Z25" si="9">$E6&amp;"OIS"</f>
        <v>EUROIS</v>
      </c>
      <c r="AA6" s="701" t="s">
        <v>3</v>
      </c>
      <c r="AB6" s="701" t="s">
        <v>38</v>
      </c>
      <c r="AC6" s="701" t="s">
        <v>0</v>
      </c>
      <c r="AD6" s="701" t="s">
        <v>38</v>
      </c>
      <c r="AE6" s="701" t="s">
        <v>0</v>
      </c>
      <c r="AF6" s="701" t="s">
        <v>356</v>
      </c>
      <c r="AG6" s="701" t="s">
        <v>38</v>
      </c>
      <c r="AH6" s="701" t="s">
        <v>0</v>
      </c>
      <c r="AI6" s="701" t="s">
        <v>356</v>
      </c>
      <c r="AJ6" s="701">
        <f t="shared" ref="AJ6:AJ25" ca="1" si="10">DAY($C6)</f>
        <v>8</v>
      </c>
      <c r="AK6" s="701"/>
      <c r="AL6" s="701"/>
      <c r="AM6" s="550" t="s">
        <v>2252</v>
      </c>
      <c r="AN6" s="550" t="s">
        <v>2252</v>
      </c>
      <c r="AO6" s="701"/>
      <c r="AP6" s="701"/>
      <c r="AQ6" s="700" t="s">
        <v>1991</v>
      </c>
      <c r="AS6" s="699" t="s">
        <v>1993</v>
      </c>
      <c r="AT6" s="701" t="str">
        <f t="shared" ref="AT6:AT25" si="11">$E6</f>
        <v>EUR</v>
      </c>
      <c r="AU6" s="703" t="str">
        <f t="shared" ref="AU6:AU25" si="12">$J6</f>
        <v>RECEIVE</v>
      </c>
      <c r="AV6" s="705">
        <f t="shared" ref="AV6:AV25" si="13">$D6</f>
        <v>1000000</v>
      </c>
      <c r="AW6" s="701" t="s">
        <v>1992</v>
      </c>
      <c r="AX6" s="704">
        <v>1</v>
      </c>
      <c r="AY6" s="703">
        <f t="shared" ref="AY6:AY25" ca="1" si="14">$C6</f>
        <v>43228</v>
      </c>
      <c r="AZ6" s="703" t="str">
        <f t="shared" ref="AZ6:AZ21" si="15">F6</f>
        <v>1Y</v>
      </c>
      <c r="BA6" s="701" t="str">
        <f t="shared" ref="BA6:BA25" si="16">IF($K6="12ML","ANNUAL",IF($K6="6ML","SEMI-ANNUAL",IF($K6="3ML","QUARTERLY","MONTHLY")))</f>
        <v>SEMI-ANNUAL</v>
      </c>
      <c r="BB6" s="702">
        <f t="shared" ref="BB6:BB25" si="17">$L6</f>
        <v>0</v>
      </c>
      <c r="BC6" s="701" t="str">
        <f t="shared" ref="BC6:BC25" si="18">$E6&amp;"YC"</f>
        <v>EURYC</v>
      </c>
      <c r="BD6" s="701" t="str">
        <f t="shared" ref="BD6:BD25" si="19">$E6&amp;$K6</f>
        <v>EUR6ML</v>
      </c>
      <c r="BE6" s="701" t="str">
        <f t="shared" ref="BE6:BE25" si="20">$E6&amp;"OIS"</f>
        <v>EUROIS</v>
      </c>
      <c r="BF6" s="701" t="s">
        <v>3</v>
      </c>
      <c r="BG6" s="701" t="s">
        <v>38</v>
      </c>
      <c r="BH6" s="701" t="s">
        <v>0</v>
      </c>
      <c r="BI6" s="701" t="s">
        <v>38</v>
      </c>
      <c r="BJ6" s="701" t="s">
        <v>0</v>
      </c>
      <c r="BK6" s="701" t="s">
        <v>356</v>
      </c>
      <c r="BL6" s="701" t="s">
        <v>38</v>
      </c>
      <c r="BM6" s="701" t="s">
        <v>0</v>
      </c>
      <c r="BN6" s="701" t="s">
        <v>356</v>
      </c>
      <c r="BO6" s="701">
        <f t="shared" ref="BO6:BO25" ca="1" si="21">DAY($C6)</f>
        <v>8</v>
      </c>
      <c r="BP6" s="701"/>
      <c r="BQ6" s="701"/>
      <c r="BR6" s="550" t="str">
        <f>U6</f>
        <v>1Y</v>
      </c>
      <c r="BS6" s="550" t="str">
        <f t="shared" ref="BS6:BS25" si="22">V6</f>
        <v>QUARTERLY</v>
      </c>
      <c r="BT6" s="550" t="s">
        <v>2252</v>
      </c>
      <c r="BU6" s="550" t="s">
        <v>2252</v>
      </c>
      <c r="BV6" s="701"/>
      <c r="BW6" s="701"/>
      <c r="BX6" s="700" t="s">
        <v>1991</v>
      </c>
      <c r="BY6" s="671" t="s">
        <v>12</v>
      </c>
      <c r="BZ6" s="1038" t="str">
        <f ca="1">IF(OR($D6="",$D6=0),"",_xll.meLWOSwapCreateFromLegLVBs($E6&amp;LEFT($H6,LEN($H6)-2)&amp;"x"&amp;LEFT($K6,LEN($K6)-2)&amp;"_"&amp;$A6,_xll.meUtilityLVBFromKeysValues(Leg1Keys,$N6:$AQ6),_xll.meUtilityLVBFromKeysValues(Leg2Keys,$AS6:$BX6),FALSE))</f>
        <v>EUR3X6_1@151:0</v>
      </c>
      <c r="CA6" s="598" t="str">
        <f ca="1">IF(OR($D6="",$D6=0),"",_xll.meLWOSwapPV(BZ6,X6))</f>
        <v>[2018/05/04 09:52] #Error: Invalid Curve: CurveCollection 'EURYC' does not exist</v>
      </c>
      <c r="CB6" s="698" t="str">
        <f ca="1">IF(OR($D6="",$D6=0),"",_xll.meLWOSwapParSpread($BZ6,X6))</f>
        <v>[2018/05/04 09:52] #Error: Invalid Curve: CurveCollection 'EURYC' does not exist</v>
      </c>
      <c r="CC6" s="671" t="s">
        <v>12</v>
      </c>
      <c r="CD6" s="599" t="str">
        <f>'EUR Curve Config'!BJ9</f>
        <v>1Y</v>
      </c>
      <c r="CE6" s="697">
        <f>'EUR Curve Config'!BK9</f>
        <v>5.9000000000000003E-4</v>
      </c>
      <c r="CF6" s="808">
        <f>CE6*10000</f>
        <v>5.9</v>
      </c>
      <c r="CG6" s="931" t="e">
        <f t="shared" ref="CG6:CG25" ca="1" si="23">IF(OR(ISNA(VLOOKUP($CD6,$F$6:$CB$25,75,FALSE)),$CD6=""),"",IF(VLOOKUP($CD6,$F$6:$CB$25,75,FALSE)="","",VLOOKUP($CD6,$F$6:$CB$25,75,FALSE)-$CF6))</f>
        <v>#VALUE!</v>
      </c>
      <c r="CH6" s="677" t="s">
        <v>12</v>
      </c>
      <c r="CI6" s="3"/>
    </row>
    <row r="7" spans="1:87">
      <c r="A7" s="203">
        <f>A6+1</f>
        <v>2</v>
      </c>
      <c r="B7" s="812" t="s">
        <v>361</v>
      </c>
      <c r="C7" s="696">
        <f ca="1">IF(OR($B7="",$D7="",$D7=0),"",_xll.meDateFromTenor(COB,$B7,$AG7,$AH7))</f>
        <v>43228</v>
      </c>
      <c r="D7" s="816">
        <v>1000000</v>
      </c>
      <c r="E7" s="817" t="s">
        <v>2</v>
      </c>
      <c r="F7" s="693" t="s">
        <v>40</v>
      </c>
      <c r="G7" s="695" t="s">
        <v>1995</v>
      </c>
      <c r="H7" s="821" t="s">
        <v>316</v>
      </c>
      <c r="I7" s="694">
        <v>0</v>
      </c>
      <c r="J7" s="693" t="s">
        <v>1997</v>
      </c>
      <c r="K7" s="821" t="s">
        <v>355</v>
      </c>
      <c r="L7" s="692">
        <v>0</v>
      </c>
      <c r="M7" s="677"/>
      <c r="N7" s="686" t="s">
        <v>1994</v>
      </c>
      <c r="O7" s="687" t="str">
        <f t="shared" si="0"/>
        <v>EUR</v>
      </c>
      <c r="P7" s="689" t="str">
        <f t="shared" si="1"/>
        <v>PAY</v>
      </c>
      <c r="Q7" s="691">
        <f t="shared" si="2"/>
        <v>1000000</v>
      </c>
      <c r="R7" s="687" t="s">
        <v>1992</v>
      </c>
      <c r="S7" s="690">
        <v>1</v>
      </c>
      <c r="T7" s="689">
        <f t="shared" ca="1" si="3"/>
        <v>43228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EURYC</v>
      </c>
      <c r="Y7" s="687" t="str">
        <f t="shared" si="8"/>
        <v>EUR3ML</v>
      </c>
      <c r="Z7" s="687" t="str">
        <f t="shared" si="9"/>
        <v>EUROIS</v>
      </c>
      <c r="AA7" s="687" t="s">
        <v>3</v>
      </c>
      <c r="AB7" s="687" t="s">
        <v>38</v>
      </c>
      <c r="AC7" s="687" t="s">
        <v>0</v>
      </c>
      <c r="AD7" s="687" t="s">
        <v>38</v>
      </c>
      <c r="AE7" s="687" t="s">
        <v>0</v>
      </c>
      <c r="AF7" s="687" t="s">
        <v>356</v>
      </c>
      <c r="AG7" s="687" t="s">
        <v>38</v>
      </c>
      <c r="AH7" s="687" t="s">
        <v>0</v>
      </c>
      <c r="AI7" s="687" t="s">
        <v>356</v>
      </c>
      <c r="AJ7" s="687">
        <f t="shared" ca="1" si="10"/>
        <v>8</v>
      </c>
      <c r="AK7" s="687"/>
      <c r="AL7" s="687"/>
      <c r="AM7" s="550" t="s">
        <v>2252</v>
      </c>
      <c r="AN7" s="550" t="s">
        <v>2252</v>
      </c>
      <c r="AO7" s="687"/>
      <c r="AP7" s="687"/>
      <c r="AQ7" s="539" t="s">
        <v>1991</v>
      </c>
      <c r="AS7" s="686" t="s">
        <v>1993</v>
      </c>
      <c r="AT7" s="687" t="str">
        <f t="shared" si="11"/>
        <v>EUR</v>
      </c>
      <c r="AU7" s="689" t="str">
        <f t="shared" si="12"/>
        <v>RECEIVE</v>
      </c>
      <c r="AV7" s="691">
        <f t="shared" si="13"/>
        <v>1000000</v>
      </c>
      <c r="AW7" s="687" t="s">
        <v>1992</v>
      </c>
      <c r="AX7" s="690">
        <v>1</v>
      </c>
      <c r="AY7" s="689">
        <f t="shared" ca="1" si="14"/>
        <v>43228</v>
      </c>
      <c r="AZ7" s="689" t="str">
        <f t="shared" si="15"/>
        <v>2Y</v>
      </c>
      <c r="BA7" s="687" t="str">
        <f t="shared" si="16"/>
        <v>SEMI-ANNUAL</v>
      </c>
      <c r="BB7" s="688">
        <f t="shared" si="17"/>
        <v>0</v>
      </c>
      <c r="BC7" s="687" t="str">
        <f t="shared" si="18"/>
        <v>EURYC</v>
      </c>
      <c r="BD7" s="687" t="str">
        <f t="shared" si="19"/>
        <v>EUR6ML</v>
      </c>
      <c r="BE7" s="687" t="str">
        <f t="shared" si="20"/>
        <v>EUROIS</v>
      </c>
      <c r="BF7" s="687" t="s">
        <v>3</v>
      </c>
      <c r="BG7" s="687" t="s">
        <v>38</v>
      </c>
      <c r="BH7" s="687" t="s">
        <v>0</v>
      </c>
      <c r="BI7" s="687" t="s">
        <v>38</v>
      </c>
      <c r="BJ7" s="687" t="s">
        <v>0</v>
      </c>
      <c r="BK7" s="687" t="s">
        <v>356</v>
      </c>
      <c r="BL7" s="687" t="s">
        <v>38</v>
      </c>
      <c r="BM7" s="687" t="s">
        <v>0</v>
      </c>
      <c r="BN7" s="687" t="s">
        <v>356</v>
      </c>
      <c r="BO7" s="687">
        <f t="shared" ca="1" si="21"/>
        <v>8</v>
      </c>
      <c r="BP7" s="687"/>
      <c r="BQ7" s="687"/>
      <c r="BR7" s="550" t="str">
        <f t="shared" ref="BR7:BR25" si="24">U7</f>
        <v>2Y</v>
      </c>
      <c r="BS7" s="550" t="str">
        <f t="shared" si="22"/>
        <v>QUARTERLY</v>
      </c>
      <c r="BT7" s="550" t="s">
        <v>2252</v>
      </c>
      <c r="BU7" s="550" t="s">
        <v>2252</v>
      </c>
      <c r="BV7" s="687"/>
      <c r="BW7" s="687"/>
      <c r="BX7" s="539" t="s">
        <v>1991</v>
      </c>
      <c r="BY7" s="671" t="s">
        <v>12</v>
      </c>
      <c r="BZ7" s="686" t="str">
        <f ca="1">IF(OR($D7="",$D7=0),"",_xll.meLWOSwapCreateFromLegLVBs($E7&amp;LEFT($H7,LEN($H7)-2)&amp;"x"&amp;LEFT($K7,LEN($K7)-2)&amp;"_"&amp;$A7,_xll.meUtilityLVBFromKeysValues(Leg1Keys,$N7:$AQ7),_xll.meUtilityLVBFromKeysValues(Leg2Keys,$AS7:$BX7),FALSE))</f>
        <v>EUR3X6_2@31:0</v>
      </c>
      <c r="CA7" s="517" t="str">
        <f ca="1">IF(OR($D7="",$D7=0),"",_xll.meLWOSwapPV(BZ7,X7))</f>
        <v>[2018/05/04 09:52] #Error: Invalid Curve: CurveCollection 'EURYC' does not exist</v>
      </c>
      <c r="CB7" s="685" t="str">
        <f ca="1">IF(OR($D7="",$D7=0),"",_xll.meLWOSwapParSpread($BZ7,X7))</f>
        <v>[2018/05/04 09:52] #Error: Invalid Curve: CurveCollection 'EURYC' does not exist</v>
      </c>
      <c r="CC7" s="671" t="s">
        <v>12</v>
      </c>
      <c r="CD7" s="684" t="str">
        <f>'EUR Curve Config'!BJ10</f>
        <v>2Y</v>
      </c>
      <c r="CE7" s="683">
        <f>'EUR Curve Config'!BK10</f>
        <v>6.2750000000000002E-4</v>
      </c>
      <c r="CF7" s="809">
        <f t="shared" ref="CF7:CF21" si="25">CE7*10000</f>
        <v>6.2750000000000004</v>
      </c>
      <c r="CG7" s="932" t="e">
        <f t="shared" ca="1" si="23"/>
        <v>#VALUE!</v>
      </c>
      <c r="CH7" s="677" t="s">
        <v>12</v>
      </c>
      <c r="CI7" s="3"/>
    </row>
    <row r="8" spans="1:87">
      <c r="A8" s="203">
        <f t="shared" ref="A8:A21" si="26">A7+1</f>
        <v>3</v>
      </c>
      <c r="B8" s="812" t="s">
        <v>361</v>
      </c>
      <c r="C8" s="696">
        <f ca="1">IF(OR($B8="",$D8="",$D8=0),"",_xll.meDateFromTenor(COB,$B8,$AG8,$AH8))</f>
        <v>43228</v>
      </c>
      <c r="D8" s="816">
        <v>1000000</v>
      </c>
      <c r="E8" s="817" t="s">
        <v>2</v>
      </c>
      <c r="F8" s="693" t="s">
        <v>37</v>
      </c>
      <c r="G8" s="695" t="s">
        <v>1995</v>
      </c>
      <c r="H8" s="821" t="s">
        <v>316</v>
      </c>
      <c r="I8" s="694">
        <v>0</v>
      </c>
      <c r="J8" s="693" t="s">
        <v>1997</v>
      </c>
      <c r="K8" s="821" t="s">
        <v>355</v>
      </c>
      <c r="L8" s="692">
        <v>0</v>
      </c>
      <c r="M8" s="677"/>
      <c r="N8" s="686" t="s">
        <v>1994</v>
      </c>
      <c r="O8" s="687" t="str">
        <f t="shared" si="0"/>
        <v>EUR</v>
      </c>
      <c r="P8" s="689" t="str">
        <f t="shared" si="1"/>
        <v>PAY</v>
      </c>
      <c r="Q8" s="691">
        <f t="shared" si="2"/>
        <v>1000000</v>
      </c>
      <c r="R8" s="687" t="s">
        <v>1992</v>
      </c>
      <c r="S8" s="690">
        <v>1</v>
      </c>
      <c r="T8" s="689">
        <f t="shared" ca="1" si="3"/>
        <v>43228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EURYC</v>
      </c>
      <c r="Y8" s="687" t="str">
        <f t="shared" si="8"/>
        <v>EUR3ML</v>
      </c>
      <c r="Z8" s="687" t="str">
        <f t="shared" si="9"/>
        <v>EUROIS</v>
      </c>
      <c r="AA8" s="687" t="s">
        <v>3</v>
      </c>
      <c r="AB8" s="687" t="s">
        <v>38</v>
      </c>
      <c r="AC8" s="687" t="s">
        <v>0</v>
      </c>
      <c r="AD8" s="687" t="s">
        <v>38</v>
      </c>
      <c r="AE8" s="687" t="s">
        <v>0</v>
      </c>
      <c r="AF8" s="687" t="s">
        <v>356</v>
      </c>
      <c r="AG8" s="687" t="s">
        <v>38</v>
      </c>
      <c r="AH8" s="687" t="s">
        <v>0</v>
      </c>
      <c r="AI8" s="687" t="s">
        <v>356</v>
      </c>
      <c r="AJ8" s="687">
        <f t="shared" ca="1" si="10"/>
        <v>8</v>
      </c>
      <c r="AK8" s="687"/>
      <c r="AL8" s="687"/>
      <c r="AM8" s="550" t="s">
        <v>2252</v>
      </c>
      <c r="AN8" s="550" t="s">
        <v>2252</v>
      </c>
      <c r="AO8" s="687"/>
      <c r="AP8" s="687"/>
      <c r="AQ8" s="539" t="s">
        <v>1991</v>
      </c>
      <c r="AS8" s="686" t="s">
        <v>1993</v>
      </c>
      <c r="AT8" s="687" t="str">
        <f t="shared" si="11"/>
        <v>EUR</v>
      </c>
      <c r="AU8" s="689" t="str">
        <f t="shared" si="12"/>
        <v>RECEIVE</v>
      </c>
      <c r="AV8" s="691">
        <f t="shared" si="13"/>
        <v>1000000</v>
      </c>
      <c r="AW8" s="687" t="s">
        <v>1992</v>
      </c>
      <c r="AX8" s="690">
        <v>1</v>
      </c>
      <c r="AY8" s="689">
        <f t="shared" ca="1" si="14"/>
        <v>43228</v>
      </c>
      <c r="AZ8" s="689" t="str">
        <f t="shared" si="15"/>
        <v>3Y</v>
      </c>
      <c r="BA8" s="687" t="str">
        <f t="shared" si="16"/>
        <v>SEMI-ANNUAL</v>
      </c>
      <c r="BB8" s="688">
        <f t="shared" si="17"/>
        <v>0</v>
      </c>
      <c r="BC8" s="687" t="str">
        <f t="shared" si="18"/>
        <v>EURYC</v>
      </c>
      <c r="BD8" s="687" t="str">
        <f t="shared" si="19"/>
        <v>EUR6ML</v>
      </c>
      <c r="BE8" s="687" t="str">
        <f t="shared" si="20"/>
        <v>EUROIS</v>
      </c>
      <c r="BF8" s="687" t="s">
        <v>3</v>
      </c>
      <c r="BG8" s="687" t="s">
        <v>38</v>
      </c>
      <c r="BH8" s="687" t="s">
        <v>0</v>
      </c>
      <c r="BI8" s="687" t="s">
        <v>38</v>
      </c>
      <c r="BJ8" s="687" t="s">
        <v>0</v>
      </c>
      <c r="BK8" s="687" t="s">
        <v>356</v>
      </c>
      <c r="BL8" s="687" t="s">
        <v>38</v>
      </c>
      <c r="BM8" s="687" t="s">
        <v>0</v>
      </c>
      <c r="BN8" s="687" t="s">
        <v>356</v>
      </c>
      <c r="BO8" s="687">
        <f t="shared" ca="1" si="21"/>
        <v>8</v>
      </c>
      <c r="BP8" s="687"/>
      <c r="BQ8" s="687"/>
      <c r="BR8" s="550" t="str">
        <f t="shared" si="24"/>
        <v>3Y</v>
      </c>
      <c r="BS8" s="550" t="str">
        <f t="shared" si="22"/>
        <v>QUARTERLY</v>
      </c>
      <c r="BT8" s="550" t="s">
        <v>2252</v>
      </c>
      <c r="BU8" s="550" t="s">
        <v>2252</v>
      </c>
      <c r="BV8" s="687"/>
      <c r="BW8" s="687"/>
      <c r="BX8" s="539" t="s">
        <v>1991</v>
      </c>
      <c r="BY8" s="671" t="s">
        <v>12</v>
      </c>
      <c r="BZ8" s="686" t="str">
        <f ca="1">IF(OR($D8="",$D8=0),"",_xll.meLWOSwapCreateFromLegLVBs($E8&amp;LEFT($H8,LEN($H8)-2)&amp;"x"&amp;LEFT($K8,LEN($K8)-2)&amp;"_"&amp;$A8,_xll.meUtilityLVBFromKeysValues(Leg1Keys,$N8:$AQ8),_xll.meUtilityLVBFromKeysValues(Leg2Keys,$AS8:$BX8),FALSE))</f>
        <v>EUR3X6_3@126:0</v>
      </c>
      <c r="CA8" s="517" t="str">
        <f ca="1">IF(OR($D8="",$D8=0),"",_xll.meLWOSwapPV(BZ8,X8))</f>
        <v>[2018/05/04 09:52] #Error: Invalid Curve: CurveCollection 'EURYC' does not exist</v>
      </c>
      <c r="CB8" s="685" t="str">
        <f ca="1">IF(OR($D8="",$D8=0),"",_xll.meLWOSwapParSpread($BZ8,X8))</f>
        <v>[2018/05/04 09:52] #Error: Invalid Curve: CurveCollection 'EURYC' does not exist</v>
      </c>
      <c r="CC8" s="671" t="s">
        <v>12</v>
      </c>
      <c r="CD8" s="684" t="str">
        <f>'EUR Curve Config'!BJ11</f>
        <v>3Y</v>
      </c>
      <c r="CE8" s="683">
        <f>'EUR Curve Config'!BK11</f>
        <v>6.8250000000000006E-4</v>
      </c>
      <c r="CF8" s="809">
        <f t="shared" si="25"/>
        <v>6.8250000000000002</v>
      </c>
      <c r="CG8" s="932" t="e">
        <f t="shared" ca="1" si="23"/>
        <v>#VALUE!</v>
      </c>
      <c r="CH8" s="677" t="s">
        <v>12</v>
      </c>
      <c r="CI8" s="3"/>
    </row>
    <row r="9" spans="1:87">
      <c r="A9" s="203">
        <f t="shared" si="26"/>
        <v>4</v>
      </c>
      <c r="B9" s="812" t="s">
        <v>361</v>
      </c>
      <c r="C9" s="696">
        <f ca="1">IF(OR($B9="",$D9="",$D9=0),"",_xll.meDateFromTenor(COB,$B9,$AG9,$AH9))</f>
        <v>43228</v>
      </c>
      <c r="D9" s="816">
        <v>1000000</v>
      </c>
      <c r="E9" s="817" t="s">
        <v>2</v>
      </c>
      <c r="F9" s="693" t="s">
        <v>33</v>
      </c>
      <c r="G9" s="695" t="s">
        <v>1995</v>
      </c>
      <c r="H9" s="821" t="s">
        <v>316</v>
      </c>
      <c r="I9" s="694">
        <v>0</v>
      </c>
      <c r="J9" s="693" t="s">
        <v>1997</v>
      </c>
      <c r="K9" s="821" t="s">
        <v>355</v>
      </c>
      <c r="L9" s="692">
        <v>0</v>
      </c>
      <c r="M9" s="677"/>
      <c r="N9" s="686" t="s">
        <v>1994</v>
      </c>
      <c r="O9" s="687" t="str">
        <f t="shared" si="0"/>
        <v>EUR</v>
      </c>
      <c r="P9" s="689" t="str">
        <f t="shared" si="1"/>
        <v>PAY</v>
      </c>
      <c r="Q9" s="691">
        <f t="shared" si="2"/>
        <v>1000000</v>
      </c>
      <c r="R9" s="687" t="s">
        <v>1992</v>
      </c>
      <c r="S9" s="690">
        <v>1</v>
      </c>
      <c r="T9" s="689">
        <f t="shared" ca="1" si="3"/>
        <v>43228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EURYC</v>
      </c>
      <c r="Y9" s="687" t="str">
        <f t="shared" si="8"/>
        <v>EUR3ML</v>
      </c>
      <c r="Z9" s="687" t="str">
        <f t="shared" si="9"/>
        <v>EUROIS</v>
      </c>
      <c r="AA9" s="687" t="s">
        <v>3</v>
      </c>
      <c r="AB9" s="687" t="s">
        <v>38</v>
      </c>
      <c r="AC9" s="687" t="s">
        <v>0</v>
      </c>
      <c r="AD9" s="687" t="s">
        <v>38</v>
      </c>
      <c r="AE9" s="687" t="s">
        <v>0</v>
      </c>
      <c r="AF9" s="687" t="s">
        <v>356</v>
      </c>
      <c r="AG9" s="687" t="s">
        <v>38</v>
      </c>
      <c r="AH9" s="687" t="s">
        <v>0</v>
      </c>
      <c r="AI9" s="687" t="s">
        <v>356</v>
      </c>
      <c r="AJ9" s="687">
        <f t="shared" ca="1" si="10"/>
        <v>8</v>
      </c>
      <c r="AK9" s="687"/>
      <c r="AL9" s="687"/>
      <c r="AM9" s="550" t="s">
        <v>2252</v>
      </c>
      <c r="AN9" s="550" t="s">
        <v>2252</v>
      </c>
      <c r="AO9" s="687"/>
      <c r="AP9" s="687"/>
      <c r="AQ9" s="539" t="s">
        <v>1991</v>
      </c>
      <c r="AS9" s="686" t="s">
        <v>1993</v>
      </c>
      <c r="AT9" s="687" t="str">
        <f t="shared" si="11"/>
        <v>EUR</v>
      </c>
      <c r="AU9" s="689" t="str">
        <f t="shared" si="12"/>
        <v>RECEIVE</v>
      </c>
      <c r="AV9" s="691">
        <f t="shared" si="13"/>
        <v>1000000</v>
      </c>
      <c r="AW9" s="687" t="s">
        <v>1992</v>
      </c>
      <c r="AX9" s="690">
        <v>1</v>
      </c>
      <c r="AY9" s="689">
        <f t="shared" ca="1" si="14"/>
        <v>43228</v>
      </c>
      <c r="AZ9" s="689" t="str">
        <f t="shared" si="15"/>
        <v>4Y</v>
      </c>
      <c r="BA9" s="687" t="str">
        <f t="shared" si="16"/>
        <v>SEMI-ANNUAL</v>
      </c>
      <c r="BB9" s="688">
        <f t="shared" si="17"/>
        <v>0</v>
      </c>
      <c r="BC9" s="687" t="str">
        <f t="shared" si="18"/>
        <v>EURYC</v>
      </c>
      <c r="BD9" s="687" t="str">
        <f t="shared" si="19"/>
        <v>EUR6ML</v>
      </c>
      <c r="BE9" s="687" t="str">
        <f t="shared" si="20"/>
        <v>EUROIS</v>
      </c>
      <c r="BF9" s="687" t="s">
        <v>3</v>
      </c>
      <c r="BG9" s="687" t="s">
        <v>38</v>
      </c>
      <c r="BH9" s="687" t="s">
        <v>0</v>
      </c>
      <c r="BI9" s="687" t="s">
        <v>38</v>
      </c>
      <c r="BJ9" s="687" t="s">
        <v>0</v>
      </c>
      <c r="BK9" s="687" t="s">
        <v>356</v>
      </c>
      <c r="BL9" s="687" t="s">
        <v>38</v>
      </c>
      <c r="BM9" s="687" t="s">
        <v>0</v>
      </c>
      <c r="BN9" s="687" t="s">
        <v>356</v>
      </c>
      <c r="BO9" s="687">
        <f t="shared" ca="1" si="21"/>
        <v>8</v>
      </c>
      <c r="BP9" s="687"/>
      <c r="BQ9" s="687"/>
      <c r="BR9" s="550" t="str">
        <f t="shared" si="24"/>
        <v>4Y</v>
      </c>
      <c r="BS9" s="550" t="str">
        <f t="shared" si="22"/>
        <v>QUARTERLY</v>
      </c>
      <c r="BT9" s="550" t="s">
        <v>2252</v>
      </c>
      <c r="BU9" s="550" t="s">
        <v>2252</v>
      </c>
      <c r="BV9" s="687"/>
      <c r="BW9" s="687"/>
      <c r="BX9" s="539" t="s">
        <v>1991</v>
      </c>
      <c r="BY9" s="671" t="s">
        <v>12</v>
      </c>
      <c r="BZ9" s="686" t="str">
        <f ca="1">IF(OR($D9="",$D9=0),"",_xll.meLWOSwapCreateFromLegLVBs($E9&amp;LEFT($H9,LEN($H9)-2)&amp;"x"&amp;LEFT($K9,LEN($K9)-2)&amp;"_"&amp;$A9,_xll.meUtilityLVBFromKeysValues(Leg1Keys,$N9:$AQ9),_xll.meUtilityLVBFromKeysValues(Leg2Keys,$AS9:$BX9),FALSE))</f>
        <v>EUR3X6_4@16:0</v>
      </c>
      <c r="CA9" s="517" t="str">
        <f ca="1">IF(OR($D9="",$D9=0),"",_xll.meLWOSwapPV(BZ9,X9))</f>
        <v>[2018/05/04 09:52] #Error: Invalid Curve: CurveCollection 'EURYC' does not exist</v>
      </c>
      <c r="CB9" s="685" t="str">
        <f ca="1">IF(OR($D9="",$D9=0),"",_xll.meLWOSwapParSpread($BZ9,X9))</f>
        <v>[2018/05/04 09:52] #Error: Invalid Curve: CurveCollection 'EURYC' does not exist</v>
      </c>
      <c r="CC9" s="671" t="s">
        <v>12</v>
      </c>
      <c r="CD9" s="684" t="str">
        <f>'EUR Curve Config'!BJ12</f>
        <v>4Y</v>
      </c>
      <c r="CE9" s="683">
        <f>'EUR Curve Config'!BK12</f>
        <v>7.3749999999999998E-4</v>
      </c>
      <c r="CF9" s="809">
        <f t="shared" si="25"/>
        <v>7.375</v>
      </c>
      <c r="CG9" s="932" t="e">
        <f t="shared" ca="1" si="23"/>
        <v>#VALUE!</v>
      </c>
      <c r="CH9" s="677" t="s">
        <v>12</v>
      </c>
      <c r="CI9" s="3"/>
    </row>
    <row r="10" spans="1:87">
      <c r="A10" s="203">
        <f t="shared" si="26"/>
        <v>5</v>
      </c>
      <c r="B10" s="812" t="s">
        <v>361</v>
      </c>
      <c r="C10" s="696">
        <f ca="1">IF(OR($B10="",$D10="",$D10=0),"",_xll.meDateFromTenor(COB,$B10,$AG10,$AH10))</f>
        <v>43228</v>
      </c>
      <c r="D10" s="816">
        <v>1000000</v>
      </c>
      <c r="E10" s="817" t="s">
        <v>2</v>
      </c>
      <c r="F10" s="693" t="s">
        <v>31</v>
      </c>
      <c r="G10" s="695" t="s">
        <v>1995</v>
      </c>
      <c r="H10" s="821" t="s">
        <v>316</v>
      </c>
      <c r="I10" s="694">
        <v>0</v>
      </c>
      <c r="J10" s="693" t="s">
        <v>1997</v>
      </c>
      <c r="K10" s="821" t="s">
        <v>355</v>
      </c>
      <c r="L10" s="692">
        <v>0</v>
      </c>
      <c r="M10" s="677"/>
      <c r="N10" s="686" t="s">
        <v>1994</v>
      </c>
      <c r="O10" s="687" t="str">
        <f t="shared" si="0"/>
        <v>EUR</v>
      </c>
      <c r="P10" s="689" t="str">
        <f t="shared" si="1"/>
        <v>PAY</v>
      </c>
      <c r="Q10" s="691">
        <f t="shared" si="2"/>
        <v>1000000</v>
      </c>
      <c r="R10" s="687" t="s">
        <v>1992</v>
      </c>
      <c r="S10" s="690">
        <v>1</v>
      </c>
      <c r="T10" s="689">
        <f t="shared" ca="1" si="3"/>
        <v>43228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EURYC</v>
      </c>
      <c r="Y10" s="687" t="str">
        <f t="shared" si="8"/>
        <v>EUR3ML</v>
      </c>
      <c r="Z10" s="687" t="str">
        <f t="shared" si="9"/>
        <v>EUROIS</v>
      </c>
      <c r="AA10" s="687" t="s">
        <v>3</v>
      </c>
      <c r="AB10" s="687" t="s">
        <v>38</v>
      </c>
      <c r="AC10" s="687" t="s">
        <v>0</v>
      </c>
      <c r="AD10" s="687" t="s">
        <v>38</v>
      </c>
      <c r="AE10" s="687" t="s">
        <v>0</v>
      </c>
      <c r="AF10" s="687" t="s">
        <v>356</v>
      </c>
      <c r="AG10" s="687" t="s">
        <v>38</v>
      </c>
      <c r="AH10" s="687" t="s">
        <v>0</v>
      </c>
      <c r="AI10" s="687" t="s">
        <v>356</v>
      </c>
      <c r="AJ10" s="687">
        <f t="shared" ca="1" si="10"/>
        <v>8</v>
      </c>
      <c r="AK10" s="687"/>
      <c r="AL10" s="687"/>
      <c r="AM10" s="550" t="s">
        <v>2252</v>
      </c>
      <c r="AN10" s="550" t="s">
        <v>2252</v>
      </c>
      <c r="AO10" s="687"/>
      <c r="AP10" s="687"/>
      <c r="AQ10" s="539" t="s">
        <v>1991</v>
      </c>
      <c r="AS10" s="686" t="s">
        <v>1993</v>
      </c>
      <c r="AT10" s="687" t="str">
        <f t="shared" si="11"/>
        <v>EUR</v>
      </c>
      <c r="AU10" s="689" t="str">
        <f t="shared" si="12"/>
        <v>RECEIVE</v>
      </c>
      <c r="AV10" s="691">
        <f t="shared" si="13"/>
        <v>1000000</v>
      </c>
      <c r="AW10" s="687" t="s">
        <v>1992</v>
      </c>
      <c r="AX10" s="690">
        <v>1</v>
      </c>
      <c r="AY10" s="689">
        <f t="shared" ca="1" si="14"/>
        <v>43228</v>
      </c>
      <c r="AZ10" s="689" t="str">
        <f t="shared" si="15"/>
        <v>5Y</v>
      </c>
      <c r="BA10" s="687" t="str">
        <f t="shared" si="16"/>
        <v>SEMI-ANNUAL</v>
      </c>
      <c r="BB10" s="688">
        <f t="shared" si="17"/>
        <v>0</v>
      </c>
      <c r="BC10" s="687" t="str">
        <f t="shared" si="18"/>
        <v>EURYC</v>
      </c>
      <c r="BD10" s="687" t="str">
        <f t="shared" si="19"/>
        <v>EUR6ML</v>
      </c>
      <c r="BE10" s="687" t="str">
        <f t="shared" si="20"/>
        <v>EUROIS</v>
      </c>
      <c r="BF10" s="687" t="s">
        <v>3</v>
      </c>
      <c r="BG10" s="687" t="s">
        <v>38</v>
      </c>
      <c r="BH10" s="687" t="s">
        <v>0</v>
      </c>
      <c r="BI10" s="687" t="s">
        <v>38</v>
      </c>
      <c r="BJ10" s="687" t="s">
        <v>0</v>
      </c>
      <c r="BK10" s="687" t="s">
        <v>356</v>
      </c>
      <c r="BL10" s="687" t="s">
        <v>38</v>
      </c>
      <c r="BM10" s="687" t="s">
        <v>0</v>
      </c>
      <c r="BN10" s="687" t="s">
        <v>356</v>
      </c>
      <c r="BO10" s="687">
        <f t="shared" ca="1" si="21"/>
        <v>8</v>
      </c>
      <c r="BP10" s="687"/>
      <c r="BQ10" s="687"/>
      <c r="BR10" s="550" t="str">
        <f t="shared" si="24"/>
        <v>5Y</v>
      </c>
      <c r="BS10" s="550" t="str">
        <f t="shared" si="22"/>
        <v>QUARTERLY</v>
      </c>
      <c r="BT10" s="550" t="s">
        <v>2252</v>
      </c>
      <c r="BU10" s="550" t="s">
        <v>2252</v>
      </c>
      <c r="BV10" s="687"/>
      <c r="BW10" s="687"/>
      <c r="BX10" s="539" t="s">
        <v>1991</v>
      </c>
      <c r="BY10" s="671" t="s">
        <v>12</v>
      </c>
      <c r="BZ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IF(OR($D10="",$D10=0),"",_xll.meLWOSwapCreateFromLegLVBs($E10&amp;LEFT($H10,LEN($H10)-2)&amp;"x"&amp;LEFT($K10,LEN($K10)-2)&amp;"_"&amp;$A10,_xll.meUtilityLVBFromKeysValues(Leg1Keys,$N10:$AQ10),_xll.meUtilityLVBFromKeysValues(Leg2Keys,$AS10:$BX10),FALSE))</f>
        <v>EUR3X6_5@98:0</v>
      </c>
      <c r="CA10" s="517" t="str">
        <f ca="1">IF(OR($D10="",$D10=0),"",_xll.meLWOSwapPV(BZ10,X10))</f>
        <v>[2018/05/04 09:52] #Error: Invalid Curve: CurveCollection 'EURYC' does not exist</v>
      </c>
      <c r="CB10" s="685" t="str">
        <f ca="1">IF(OR($D10="",$D10=0),"",_xll.meLWOSwapParSpread($BZ10,X10))</f>
        <v>[2018/05/04 09:52] #Error: Invalid Curve: CurveCollection 'EURYC' does not exist</v>
      </c>
      <c r="CC10" s="671" t="s">
        <v>12</v>
      </c>
      <c r="CD10" s="684" t="str">
        <f>'EUR Curve Config'!BJ13</f>
        <v>5Y</v>
      </c>
      <c r="CE10" s="683">
        <f>'EUR Curve Config'!BK13</f>
        <v>7.7750000000000009E-4</v>
      </c>
      <c r="CF10" s="809">
        <f t="shared" si="25"/>
        <v>7.7750000000000012</v>
      </c>
      <c r="CG10" s="932" t="e">
        <f t="shared" ca="1" si="23"/>
        <v>#VALUE!</v>
      </c>
      <c r="CH10" s="677" t="s">
        <v>12</v>
      </c>
      <c r="CI10" s="3"/>
    </row>
    <row r="11" spans="1:87">
      <c r="A11" s="203">
        <f t="shared" si="26"/>
        <v>6</v>
      </c>
      <c r="B11" s="812" t="s">
        <v>361</v>
      </c>
      <c r="C11" s="696">
        <f ca="1">IF(OR($B11="",$D11="",$D11=0),"",_xll.meDateFromTenor(COB,$B11,$AG11,$AH11))</f>
        <v>43228</v>
      </c>
      <c r="D11" s="816">
        <v>1000000</v>
      </c>
      <c r="E11" s="817" t="s">
        <v>2</v>
      </c>
      <c r="F11" s="693" t="s">
        <v>127</v>
      </c>
      <c r="G11" s="695" t="s">
        <v>1995</v>
      </c>
      <c r="H11" s="821" t="s">
        <v>316</v>
      </c>
      <c r="I11" s="694">
        <v>0</v>
      </c>
      <c r="J11" s="693" t="s">
        <v>1997</v>
      </c>
      <c r="K11" s="821" t="s">
        <v>355</v>
      </c>
      <c r="L11" s="692">
        <v>0</v>
      </c>
      <c r="M11" s="677"/>
      <c r="N11" s="686" t="s">
        <v>1994</v>
      </c>
      <c r="O11" s="687" t="str">
        <f t="shared" si="0"/>
        <v>EUR</v>
      </c>
      <c r="P11" s="689" t="str">
        <f t="shared" si="1"/>
        <v>PAY</v>
      </c>
      <c r="Q11" s="691">
        <f t="shared" si="2"/>
        <v>1000000</v>
      </c>
      <c r="R11" s="687" t="s">
        <v>1992</v>
      </c>
      <c r="S11" s="690">
        <v>1</v>
      </c>
      <c r="T11" s="689">
        <f t="shared" ca="1" si="3"/>
        <v>43228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EURYC</v>
      </c>
      <c r="Y11" s="687" t="str">
        <f t="shared" si="8"/>
        <v>EUR3ML</v>
      </c>
      <c r="Z11" s="687" t="str">
        <f t="shared" si="9"/>
        <v>EUROIS</v>
      </c>
      <c r="AA11" s="687" t="s">
        <v>3</v>
      </c>
      <c r="AB11" s="687" t="s">
        <v>38</v>
      </c>
      <c r="AC11" s="687" t="s">
        <v>0</v>
      </c>
      <c r="AD11" s="687" t="s">
        <v>38</v>
      </c>
      <c r="AE11" s="687" t="s">
        <v>0</v>
      </c>
      <c r="AF11" s="687" t="s">
        <v>356</v>
      </c>
      <c r="AG11" s="687" t="s">
        <v>38</v>
      </c>
      <c r="AH11" s="687" t="s">
        <v>0</v>
      </c>
      <c r="AI11" s="687" t="s">
        <v>356</v>
      </c>
      <c r="AJ11" s="687">
        <f t="shared" ca="1" si="10"/>
        <v>8</v>
      </c>
      <c r="AK11" s="687"/>
      <c r="AL11" s="687"/>
      <c r="AM11" s="550" t="s">
        <v>2252</v>
      </c>
      <c r="AN11" s="550" t="s">
        <v>2252</v>
      </c>
      <c r="AO11" s="687"/>
      <c r="AP11" s="687"/>
      <c r="AQ11" s="539" t="s">
        <v>1991</v>
      </c>
      <c r="AS11" s="686" t="s">
        <v>1993</v>
      </c>
      <c r="AT11" s="687" t="str">
        <f t="shared" si="11"/>
        <v>EUR</v>
      </c>
      <c r="AU11" s="689" t="str">
        <f t="shared" si="12"/>
        <v>RECEIVE</v>
      </c>
      <c r="AV11" s="691">
        <f t="shared" si="13"/>
        <v>1000000</v>
      </c>
      <c r="AW11" s="687" t="s">
        <v>1992</v>
      </c>
      <c r="AX11" s="690">
        <v>1</v>
      </c>
      <c r="AY11" s="689">
        <f t="shared" ca="1" si="14"/>
        <v>43228</v>
      </c>
      <c r="AZ11" s="689" t="str">
        <f t="shared" si="15"/>
        <v>6Y</v>
      </c>
      <c r="BA11" s="687" t="str">
        <f t="shared" si="16"/>
        <v>SEMI-ANNUAL</v>
      </c>
      <c r="BB11" s="688">
        <f t="shared" si="17"/>
        <v>0</v>
      </c>
      <c r="BC11" s="687" t="str">
        <f t="shared" si="18"/>
        <v>EURYC</v>
      </c>
      <c r="BD11" s="687" t="str">
        <f t="shared" si="19"/>
        <v>EUR6ML</v>
      </c>
      <c r="BE11" s="687" t="str">
        <f t="shared" si="20"/>
        <v>EUROIS</v>
      </c>
      <c r="BF11" s="687" t="s">
        <v>3</v>
      </c>
      <c r="BG11" s="687" t="s">
        <v>38</v>
      </c>
      <c r="BH11" s="687" t="s">
        <v>0</v>
      </c>
      <c r="BI11" s="687" t="s">
        <v>38</v>
      </c>
      <c r="BJ11" s="687" t="s">
        <v>0</v>
      </c>
      <c r="BK11" s="687" t="s">
        <v>356</v>
      </c>
      <c r="BL11" s="687" t="s">
        <v>38</v>
      </c>
      <c r="BM11" s="687" t="s">
        <v>0</v>
      </c>
      <c r="BN11" s="687" t="s">
        <v>356</v>
      </c>
      <c r="BO11" s="687">
        <f t="shared" ca="1" si="21"/>
        <v>8</v>
      </c>
      <c r="BP11" s="687"/>
      <c r="BQ11" s="687"/>
      <c r="BR11" s="550" t="str">
        <f t="shared" si="24"/>
        <v>6Y</v>
      </c>
      <c r="BS11" s="550" t="str">
        <f t="shared" si="22"/>
        <v>QUARTERLY</v>
      </c>
      <c r="BT11" s="550" t="s">
        <v>2252</v>
      </c>
      <c r="BU11" s="550" t="s">
        <v>2252</v>
      </c>
      <c r="BV11" s="687"/>
      <c r="BW11" s="687"/>
      <c r="BX11" s="539" t="s">
        <v>1991</v>
      </c>
      <c r="BY11" s="671" t="s">
        <v>12</v>
      </c>
      <c r="BZ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IF(OR($D11="",$D11=0),"",_xll.meLWOSwapCreateFromLegLVBs($E11&amp;LEFT($H11,LEN($H11)-2)&amp;"x"&amp;LEFT($K11,LEN($K11)-2)&amp;"_"&amp;$A11,_xll.meUtilityLVBFromKeysValues(Leg1Keys,$N11:$AQ11),_xll.meUtilityLVBFromKeysValues(Leg2Keys,$AS11:$BX11),FALSE))</f>
        <v>EUR3X6_6@60:0</v>
      </c>
      <c r="CA11" s="517" t="str">
        <f ca="1">IF(OR($D11="",$D11=0),"",_xll.meLWOSwapPV(BZ11,X11))</f>
        <v>[2018/05/04 09:52] #Error: Invalid Curve: CurveCollection 'EURYC' does not exist</v>
      </c>
      <c r="CB11" s="685" t="str">
        <f ca="1">IF(OR($D11="",$D11=0),"",_xll.meLWOSwapParSpread($BZ11,X11))</f>
        <v>[2018/05/04 09:52] #Error: Invalid Curve: CurveCollection 'EURYC' does not exist</v>
      </c>
      <c r="CC11" s="671" t="s">
        <v>12</v>
      </c>
      <c r="CD11" s="684" t="str">
        <f>'EUR Curve Config'!BJ14</f>
        <v>6Y</v>
      </c>
      <c r="CE11" s="683">
        <f>'EUR Curve Config'!BK14</f>
        <v>8.0749999999999995E-4</v>
      </c>
      <c r="CF11" s="809">
        <f t="shared" si="25"/>
        <v>8.0749999999999993</v>
      </c>
      <c r="CG11" s="932" t="e">
        <f t="shared" ca="1" si="23"/>
        <v>#VALUE!</v>
      </c>
      <c r="CH11" s="677" t="s">
        <v>12</v>
      </c>
      <c r="CI11" s="3"/>
    </row>
    <row r="12" spans="1:87">
      <c r="A12" s="203">
        <f t="shared" si="26"/>
        <v>7</v>
      </c>
      <c r="B12" s="812" t="s">
        <v>361</v>
      </c>
      <c r="C12" s="696">
        <f ca="1">IF(OR($B12="",$D12="",$D12=0),"",_xll.meDateFromTenor(COB,$B12,$AG12,$AH12))</f>
        <v>43228</v>
      </c>
      <c r="D12" s="816">
        <v>1000000</v>
      </c>
      <c r="E12" s="817" t="s">
        <v>2</v>
      </c>
      <c r="F12" s="693" t="s">
        <v>29</v>
      </c>
      <c r="G12" s="695" t="s">
        <v>1995</v>
      </c>
      <c r="H12" s="821" t="s">
        <v>316</v>
      </c>
      <c r="I12" s="694">
        <v>0</v>
      </c>
      <c r="J12" s="693" t="s">
        <v>1997</v>
      </c>
      <c r="K12" s="821" t="s">
        <v>355</v>
      </c>
      <c r="L12" s="692">
        <v>0</v>
      </c>
      <c r="M12" s="677"/>
      <c r="N12" s="686" t="s">
        <v>1994</v>
      </c>
      <c r="O12" s="687" t="str">
        <f t="shared" si="0"/>
        <v>EUR</v>
      </c>
      <c r="P12" s="689" t="str">
        <f t="shared" si="1"/>
        <v>PAY</v>
      </c>
      <c r="Q12" s="691">
        <f t="shared" si="2"/>
        <v>1000000</v>
      </c>
      <c r="R12" s="687" t="s">
        <v>1992</v>
      </c>
      <c r="S12" s="690">
        <v>1</v>
      </c>
      <c r="T12" s="689">
        <f t="shared" ca="1" si="3"/>
        <v>43228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EURYC</v>
      </c>
      <c r="Y12" s="687" t="str">
        <f t="shared" si="8"/>
        <v>EUR3ML</v>
      </c>
      <c r="Z12" s="687" t="str">
        <f t="shared" si="9"/>
        <v>EUROIS</v>
      </c>
      <c r="AA12" s="687" t="s">
        <v>3</v>
      </c>
      <c r="AB12" s="687" t="s">
        <v>38</v>
      </c>
      <c r="AC12" s="687" t="s">
        <v>0</v>
      </c>
      <c r="AD12" s="687" t="s">
        <v>38</v>
      </c>
      <c r="AE12" s="687" t="s">
        <v>0</v>
      </c>
      <c r="AF12" s="687" t="s">
        <v>356</v>
      </c>
      <c r="AG12" s="687" t="s">
        <v>38</v>
      </c>
      <c r="AH12" s="687" t="s">
        <v>0</v>
      </c>
      <c r="AI12" s="687" t="s">
        <v>356</v>
      </c>
      <c r="AJ12" s="687">
        <f t="shared" ca="1" si="10"/>
        <v>8</v>
      </c>
      <c r="AK12" s="687"/>
      <c r="AL12" s="687"/>
      <c r="AM12" s="550" t="s">
        <v>2252</v>
      </c>
      <c r="AN12" s="550" t="s">
        <v>2252</v>
      </c>
      <c r="AO12" s="687"/>
      <c r="AP12" s="687"/>
      <c r="AQ12" s="539" t="s">
        <v>1991</v>
      </c>
      <c r="AS12" s="686" t="s">
        <v>1993</v>
      </c>
      <c r="AT12" s="687" t="str">
        <f t="shared" si="11"/>
        <v>EUR</v>
      </c>
      <c r="AU12" s="689" t="str">
        <f t="shared" si="12"/>
        <v>RECEIVE</v>
      </c>
      <c r="AV12" s="691">
        <f t="shared" si="13"/>
        <v>1000000</v>
      </c>
      <c r="AW12" s="687" t="s">
        <v>1992</v>
      </c>
      <c r="AX12" s="690">
        <v>1</v>
      </c>
      <c r="AY12" s="689">
        <f t="shared" ca="1" si="14"/>
        <v>43228</v>
      </c>
      <c r="AZ12" s="689" t="str">
        <f t="shared" si="15"/>
        <v>7Y</v>
      </c>
      <c r="BA12" s="687" t="str">
        <f t="shared" si="16"/>
        <v>SEMI-ANNUAL</v>
      </c>
      <c r="BB12" s="688">
        <f t="shared" si="17"/>
        <v>0</v>
      </c>
      <c r="BC12" s="687" t="str">
        <f t="shared" si="18"/>
        <v>EURYC</v>
      </c>
      <c r="BD12" s="687" t="str">
        <f t="shared" si="19"/>
        <v>EUR6ML</v>
      </c>
      <c r="BE12" s="687" t="str">
        <f t="shared" si="20"/>
        <v>EUROIS</v>
      </c>
      <c r="BF12" s="687" t="s">
        <v>3</v>
      </c>
      <c r="BG12" s="687" t="s">
        <v>38</v>
      </c>
      <c r="BH12" s="687" t="s">
        <v>0</v>
      </c>
      <c r="BI12" s="687" t="s">
        <v>38</v>
      </c>
      <c r="BJ12" s="687" t="s">
        <v>0</v>
      </c>
      <c r="BK12" s="687" t="s">
        <v>356</v>
      </c>
      <c r="BL12" s="687" t="s">
        <v>38</v>
      </c>
      <c r="BM12" s="687" t="s">
        <v>0</v>
      </c>
      <c r="BN12" s="687" t="s">
        <v>356</v>
      </c>
      <c r="BO12" s="687">
        <f t="shared" ca="1" si="21"/>
        <v>8</v>
      </c>
      <c r="BP12" s="687"/>
      <c r="BQ12" s="687"/>
      <c r="BR12" s="550" t="str">
        <f t="shared" si="24"/>
        <v>7Y</v>
      </c>
      <c r="BS12" s="550" t="str">
        <f t="shared" si="22"/>
        <v>QUARTERLY</v>
      </c>
      <c r="BT12" s="550" t="s">
        <v>2252</v>
      </c>
      <c r="BU12" s="550" t="s">
        <v>2252</v>
      </c>
      <c r="BV12" s="687"/>
      <c r="BW12" s="687"/>
      <c r="BX12" s="539" t="s">
        <v>1991</v>
      </c>
      <c r="BY12" s="671" t="s">
        <v>12</v>
      </c>
      <c r="BZ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IF(OR($D12="",$D12=0),"",_xll.meLWOSwapCreateFromLegLVBs($E12&amp;LEFT($H12,LEN($H12)-2)&amp;"x"&amp;LEFT($K12,LEN($K12)-2)&amp;"_"&amp;$A12,_xll.meUtilityLVBFromKeysValues(Leg1Keys,$N12:$AQ12),_xll.meUtilityLVBFromKeysValues(Leg2Keys,$AS12:$BX12),FALSE))</f>
        <v>EUR3X6_7@121:0</v>
      </c>
      <c r="CA12" s="517" t="str">
        <f ca="1">IF(OR($D12="",$D12=0),"",_xll.meLWOSwapPV(BZ12,X12))</f>
        <v>[2018/05/04 09:52] #Error: Invalid Curve: CurveCollection 'EURYC' does not exist</v>
      </c>
      <c r="CB12" s="685" t="str">
        <f ca="1">IF(OR($D12="",$D12=0),"",_xll.meLWOSwapParSpread($BZ12,X12))</f>
        <v>[2018/05/04 09:52] #Error: Invalid Curve: CurveCollection 'EURYC' does not exist</v>
      </c>
      <c r="CC12" s="671" t="s">
        <v>12</v>
      </c>
      <c r="CD12" s="684" t="str">
        <f>'EUR Curve Config'!BJ15</f>
        <v>7Y</v>
      </c>
      <c r="CE12" s="683">
        <f>'EUR Curve Config'!BK15</f>
        <v>8.275E-4</v>
      </c>
      <c r="CF12" s="809">
        <f t="shared" si="25"/>
        <v>8.2750000000000004</v>
      </c>
      <c r="CG12" s="932" t="e">
        <f t="shared" ca="1" si="23"/>
        <v>#VALUE!</v>
      </c>
      <c r="CH12" s="677" t="s">
        <v>12</v>
      </c>
      <c r="CI12" s="3"/>
    </row>
    <row r="13" spans="1:87">
      <c r="A13" s="203">
        <f t="shared" si="26"/>
        <v>8</v>
      </c>
      <c r="B13" s="812" t="s">
        <v>361</v>
      </c>
      <c r="C13" s="696">
        <f ca="1">IF(OR($B13="",$D13="",$D13=0),"",_xll.meDateFromTenor(COB,$B13,$AG13,$AH13))</f>
        <v>43228</v>
      </c>
      <c r="D13" s="816">
        <v>1000000</v>
      </c>
      <c r="E13" s="817" t="s">
        <v>2</v>
      </c>
      <c r="F13" s="693" t="s">
        <v>115</v>
      </c>
      <c r="G13" s="695" t="s">
        <v>1995</v>
      </c>
      <c r="H13" s="821" t="s">
        <v>316</v>
      </c>
      <c r="I13" s="694">
        <v>0</v>
      </c>
      <c r="J13" s="693" t="s">
        <v>1997</v>
      </c>
      <c r="K13" s="821" t="s">
        <v>355</v>
      </c>
      <c r="L13" s="692">
        <v>0</v>
      </c>
      <c r="M13" s="677"/>
      <c r="N13" s="686" t="s">
        <v>1994</v>
      </c>
      <c r="O13" s="687" t="str">
        <f t="shared" si="0"/>
        <v>EUR</v>
      </c>
      <c r="P13" s="689" t="str">
        <f t="shared" si="1"/>
        <v>PAY</v>
      </c>
      <c r="Q13" s="691">
        <f t="shared" si="2"/>
        <v>1000000</v>
      </c>
      <c r="R13" s="687" t="s">
        <v>1992</v>
      </c>
      <c r="S13" s="690">
        <v>1</v>
      </c>
      <c r="T13" s="689">
        <f t="shared" ca="1" si="3"/>
        <v>43228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EURYC</v>
      </c>
      <c r="Y13" s="687" t="str">
        <f t="shared" si="8"/>
        <v>EUR3ML</v>
      </c>
      <c r="Z13" s="687" t="str">
        <f t="shared" si="9"/>
        <v>EUROIS</v>
      </c>
      <c r="AA13" s="687" t="s">
        <v>3</v>
      </c>
      <c r="AB13" s="687" t="s">
        <v>38</v>
      </c>
      <c r="AC13" s="687" t="s">
        <v>0</v>
      </c>
      <c r="AD13" s="687" t="s">
        <v>38</v>
      </c>
      <c r="AE13" s="687" t="s">
        <v>0</v>
      </c>
      <c r="AF13" s="687" t="s">
        <v>356</v>
      </c>
      <c r="AG13" s="687" t="s">
        <v>38</v>
      </c>
      <c r="AH13" s="687" t="s">
        <v>0</v>
      </c>
      <c r="AI13" s="687" t="s">
        <v>356</v>
      </c>
      <c r="AJ13" s="687">
        <f t="shared" ca="1" si="10"/>
        <v>8</v>
      </c>
      <c r="AK13" s="687"/>
      <c r="AL13" s="687"/>
      <c r="AM13" s="550" t="s">
        <v>2252</v>
      </c>
      <c r="AN13" s="550" t="s">
        <v>2252</v>
      </c>
      <c r="AO13" s="687"/>
      <c r="AP13" s="687"/>
      <c r="AQ13" s="539" t="s">
        <v>1991</v>
      </c>
      <c r="AS13" s="686" t="s">
        <v>1993</v>
      </c>
      <c r="AT13" s="687" t="str">
        <f t="shared" si="11"/>
        <v>EUR</v>
      </c>
      <c r="AU13" s="689" t="str">
        <f t="shared" si="12"/>
        <v>RECEIVE</v>
      </c>
      <c r="AV13" s="691">
        <f t="shared" si="13"/>
        <v>1000000</v>
      </c>
      <c r="AW13" s="687" t="s">
        <v>1992</v>
      </c>
      <c r="AX13" s="690">
        <v>1</v>
      </c>
      <c r="AY13" s="689">
        <f t="shared" ca="1" si="14"/>
        <v>43228</v>
      </c>
      <c r="AZ13" s="689" t="str">
        <f t="shared" si="15"/>
        <v>8Y</v>
      </c>
      <c r="BA13" s="687" t="str">
        <f t="shared" si="16"/>
        <v>SEMI-ANNUAL</v>
      </c>
      <c r="BB13" s="688">
        <f t="shared" si="17"/>
        <v>0</v>
      </c>
      <c r="BC13" s="687" t="str">
        <f t="shared" si="18"/>
        <v>EURYC</v>
      </c>
      <c r="BD13" s="687" t="str">
        <f t="shared" si="19"/>
        <v>EUR6ML</v>
      </c>
      <c r="BE13" s="687" t="str">
        <f t="shared" si="20"/>
        <v>EUROIS</v>
      </c>
      <c r="BF13" s="687" t="s">
        <v>3</v>
      </c>
      <c r="BG13" s="687" t="s">
        <v>38</v>
      </c>
      <c r="BH13" s="687" t="s">
        <v>0</v>
      </c>
      <c r="BI13" s="687" t="s">
        <v>38</v>
      </c>
      <c r="BJ13" s="687" t="s">
        <v>0</v>
      </c>
      <c r="BK13" s="687" t="s">
        <v>356</v>
      </c>
      <c r="BL13" s="687" t="s">
        <v>38</v>
      </c>
      <c r="BM13" s="687" t="s">
        <v>0</v>
      </c>
      <c r="BN13" s="687" t="s">
        <v>356</v>
      </c>
      <c r="BO13" s="687">
        <f t="shared" ca="1" si="21"/>
        <v>8</v>
      </c>
      <c r="BP13" s="687"/>
      <c r="BQ13" s="687"/>
      <c r="BR13" s="550" t="str">
        <f t="shared" si="24"/>
        <v>8Y</v>
      </c>
      <c r="BS13" s="550" t="str">
        <f t="shared" si="22"/>
        <v>QUARTERLY</v>
      </c>
      <c r="BT13" s="550" t="s">
        <v>2252</v>
      </c>
      <c r="BU13" s="550" t="s">
        <v>2252</v>
      </c>
      <c r="BV13" s="687"/>
      <c r="BW13" s="687"/>
      <c r="BX13" s="539" t="s">
        <v>1991</v>
      </c>
      <c r="BY13" s="671" t="s">
        <v>12</v>
      </c>
      <c r="BZ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IF(OR($D13="",$D13=0),"",_xll.meLWOSwapCreateFromLegLVBs($E13&amp;LEFT($H13,LEN($H13)-2)&amp;"x"&amp;LEFT($K13,LEN($K13)-2)&amp;"_"&amp;$A13,_xll.meUtilityLVBFromKeysValues(Leg1Keys,$N13:$AQ13),_xll.meUtilityLVBFromKeysValues(Leg2Keys,$AS13:$BX13),FALSE))</f>
        <v>EUR3X6_8@78:0</v>
      </c>
      <c r="CA13" s="517" t="str">
        <f ca="1">IF(OR($D13="",$D13=0),"",_xll.meLWOSwapPV(BZ13,X13))</f>
        <v>[2018/05/04 09:52] #Error: Invalid Curve: CurveCollection 'EURYC' does not exist</v>
      </c>
      <c r="CB13" s="685" t="str">
        <f ca="1">IF(OR($D13="",$D13=0),"",_xll.meLWOSwapParSpread($BZ13,X13))</f>
        <v>[2018/05/04 09:52] #Error: Invalid Curve: CurveCollection 'EURYC' does not exist</v>
      </c>
      <c r="CC13" s="671" t="s">
        <v>12</v>
      </c>
      <c r="CD13" s="684" t="str">
        <f>'EUR Curve Config'!BJ16</f>
        <v>8Y</v>
      </c>
      <c r="CE13" s="683">
        <f>'EUR Curve Config'!BK16</f>
        <v>8.3750000000000003E-4</v>
      </c>
      <c r="CF13" s="809">
        <f t="shared" si="25"/>
        <v>8.375</v>
      </c>
      <c r="CG13" s="932" t="e">
        <f t="shared" ca="1" si="23"/>
        <v>#VALUE!</v>
      </c>
      <c r="CH13" s="677" t="s">
        <v>12</v>
      </c>
      <c r="CI13" s="3"/>
    </row>
    <row r="14" spans="1:87">
      <c r="A14" s="203">
        <f t="shared" si="26"/>
        <v>9</v>
      </c>
      <c r="B14" s="812" t="s">
        <v>361</v>
      </c>
      <c r="C14" s="696">
        <f ca="1">IF(OR($B14="",$D14="",$D14=0),"",_xll.meDateFromTenor(COB,$B14,$AG14,$AH14))</f>
        <v>43228</v>
      </c>
      <c r="D14" s="816">
        <v>1000000</v>
      </c>
      <c r="E14" s="817" t="s">
        <v>2</v>
      </c>
      <c r="F14" s="693" t="s">
        <v>109</v>
      </c>
      <c r="G14" s="695" t="s">
        <v>1995</v>
      </c>
      <c r="H14" s="821" t="s">
        <v>316</v>
      </c>
      <c r="I14" s="694">
        <v>0</v>
      </c>
      <c r="J14" s="693" t="s">
        <v>1997</v>
      </c>
      <c r="K14" s="821" t="s">
        <v>355</v>
      </c>
      <c r="L14" s="692">
        <v>0</v>
      </c>
      <c r="M14" s="677"/>
      <c r="N14" s="686" t="s">
        <v>1994</v>
      </c>
      <c r="O14" s="687" t="str">
        <f t="shared" si="0"/>
        <v>EUR</v>
      </c>
      <c r="P14" s="689" t="str">
        <f t="shared" si="1"/>
        <v>PAY</v>
      </c>
      <c r="Q14" s="691">
        <f t="shared" si="2"/>
        <v>1000000</v>
      </c>
      <c r="R14" s="687" t="s">
        <v>1992</v>
      </c>
      <c r="S14" s="690">
        <v>1</v>
      </c>
      <c r="T14" s="689">
        <f t="shared" ca="1" si="3"/>
        <v>43228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EURYC</v>
      </c>
      <c r="Y14" s="687" t="str">
        <f t="shared" si="8"/>
        <v>EUR3ML</v>
      </c>
      <c r="Z14" s="687" t="str">
        <f t="shared" si="9"/>
        <v>EUROIS</v>
      </c>
      <c r="AA14" s="687" t="s">
        <v>3</v>
      </c>
      <c r="AB14" s="687" t="s">
        <v>38</v>
      </c>
      <c r="AC14" s="687" t="s">
        <v>0</v>
      </c>
      <c r="AD14" s="687" t="s">
        <v>38</v>
      </c>
      <c r="AE14" s="687" t="s">
        <v>0</v>
      </c>
      <c r="AF14" s="687" t="s">
        <v>356</v>
      </c>
      <c r="AG14" s="687" t="s">
        <v>38</v>
      </c>
      <c r="AH14" s="687" t="s">
        <v>0</v>
      </c>
      <c r="AI14" s="687" t="s">
        <v>356</v>
      </c>
      <c r="AJ14" s="687">
        <f t="shared" ca="1" si="10"/>
        <v>8</v>
      </c>
      <c r="AK14" s="687"/>
      <c r="AL14" s="687"/>
      <c r="AM14" s="550" t="s">
        <v>2252</v>
      </c>
      <c r="AN14" s="550" t="s">
        <v>2252</v>
      </c>
      <c r="AO14" s="687"/>
      <c r="AP14" s="687"/>
      <c r="AQ14" s="539" t="s">
        <v>1991</v>
      </c>
      <c r="AS14" s="686" t="s">
        <v>1993</v>
      </c>
      <c r="AT14" s="687" t="str">
        <f t="shared" si="11"/>
        <v>EUR</v>
      </c>
      <c r="AU14" s="689" t="str">
        <f t="shared" si="12"/>
        <v>RECEIVE</v>
      </c>
      <c r="AV14" s="691">
        <f t="shared" si="13"/>
        <v>1000000</v>
      </c>
      <c r="AW14" s="687" t="s">
        <v>1992</v>
      </c>
      <c r="AX14" s="690">
        <v>1</v>
      </c>
      <c r="AY14" s="689">
        <f t="shared" ca="1" si="14"/>
        <v>43228</v>
      </c>
      <c r="AZ14" s="689" t="str">
        <f t="shared" si="15"/>
        <v>9Y</v>
      </c>
      <c r="BA14" s="687" t="str">
        <f t="shared" si="16"/>
        <v>SEMI-ANNUAL</v>
      </c>
      <c r="BB14" s="688">
        <f t="shared" si="17"/>
        <v>0</v>
      </c>
      <c r="BC14" s="687" t="str">
        <f t="shared" si="18"/>
        <v>EURYC</v>
      </c>
      <c r="BD14" s="687" t="str">
        <f t="shared" si="19"/>
        <v>EUR6ML</v>
      </c>
      <c r="BE14" s="687" t="str">
        <f t="shared" si="20"/>
        <v>EUROIS</v>
      </c>
      <c r="BF14" s="687" t="s">
        <v>3</v>
      </c>
      <c r="BG14" s="687" t="s">
        <v>38</v>
      </c>
      <c r="BH14" s="687" t="s">
        <v>0</v>
      </c>
      <c r="BI14" s="687" t="s">
        <v>38</v>
      </c>
      <c r="BJ14" s="687" t="s">
        <v>0</v>
      </c>
      <c r="BK14" s="687" t="s">
        <v>356</v>
      </c>
      <c r="BL14" s="687" t="s">
        <v>38</v>
      </c>
      <c r="BM14" s="687" t="s">
        <v>0</v>
      </c>
      <c r="BN14" s="687" t="s">
        <v>356</v>
      </c>
      <c r="BO14" s="687">
        <f t="shared" ca="1" si="21"/>
        <v>8</v>
      </c>
      <c r="BP14" s="687"/>
      <c r="BQ14" s="687"/>
      <c r="BR14" s="550" t="str">
        <f t="shared" si="24"/>
        <v>9Y</v>
      </c>
      <c r="BS14" s="550" t="str">
        <f t="shared" si="22"/>
        <v>QUARTERLY</v>
      </c>
      <c r="BT14" s="550" t="s">
        <v>2252</v>
      </c>
      <c r="BU14" s="550" t="s">
        <v>2252</v>
      </c>
      <c r="BV14" s="687"/>
      <c r="BW14" s="687"/>
      <c r="BX14" s="539" t="s">
        <v>1991</v>
      </c>
      <c r="BY14" s="671" t="s">
        <v>12</v>
      </c>
      <c r="BZ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IF(OR($D14="",$D14=0),"",_xll.meLWOSwapCreateFromLegLVBs($E14&amp;LEFT($H14,LEN($H14)-2)&amp;"x"&amp;LEFT($K14,LEN($K14)-2)&amp;"_"&amp;$A14,_xll.meUtilityLVBFromKeysValues(Leg1Keys,$N14:$AQ14),_xll.meUtilityLVBFromKeysValues(Leg2Keys,$AS14:$BX14),FALSE))</f>
        <v>EUR3X6_9@109:0</v>
      </c>
      <c r="CA14" s="517" t="str">
        <f ca="1">IF(OR($D14="",$D14=0),"",_xll.meLWOSwapPV(BZ14,X14))</f>
        <v>[2018/05/04 09:52] #Error: Invalid Curve: CurveCollection 'EURYC' does not exist</v>
      </c>
      <c r="CB14" s="685" t="str">
        <f ca="1">IF(OR($D14="",$D14=0),"",_xll.meLWOSwapParSpread($BZ14,X14))</f>
        <v>[2018/05/04 09:52] #Error: Invalid Curve: CurveCollection 'EURYC' does not exist</v>
      </c>
      <c r="CC14" s="671" t="s">
        <v>12</v>
      </c>
      <c r="CD14" s="684" t="str">
        <f>'EUR Curve Config'!BJ17</f>
        <v>9Y</v>
      </c>
      <c r="CE14" s="683">
        <f>'EUR Curve Config'!BK17</f>
        <v>8.4250000000000004E-4</v>
      </c>
      <c r="CF14" s="809">
        <f t="shared" si="25"/>
        <v>8.4250000000000007</v>
      </c>
      <c r="CG14" s="932" t="e">
        <f t="shared" ca="1" si="23"/>
        <v>#VALUE!</v>
      </c>
      <c r="CH14" s="677" t="s">
        <v>12</v>
      </c>
      <c r="CI14" s="3"/>
    </row>
    <row r="15" spans="1:87">
      <c r="A15" s="203">
        <f t="shared" si="26"/>
        <v>10</v>
      </c>
      <c r="B15" s="812" t="s">
        <v>361</v>
      </c>
      <c r="C15" s="696">
        <f ca="1">IF(OR($B15="",$D15="",$D15=0),"",_xll.meDateFromTenor(COB,$B15,$AG15,$AH15))</f>
        <v>43228</v>
      </c>
      <c r="D15" s="816">
        <v>1000000</v>
      </c>
      <c r="E15" s="817" t="s">
        <v>2</v>
      </c>
      <c r="F15" s="693" t="s">
        <v>27</v>
      </c>
      <c r="G15" s="695" t="s">
        <v>1995</v>
      </c>
      <c r="H15" s="821" t="s">
        <v>316</v>
      </c>
      <c r="I15" s="694">
        <v>0</v>
      </c>
      <c r="J15" s="693" t="s">
        <v>1997</v>
      </c>
      <c r="K15" s="821" t="s">
        <v>355</v>
      </c>
      <c r="L15" s="692">
        <v>0</v>
      </c>
      <c r="M15" s="677"/>
      <c r="N15" s="686" t="s">
        <v>1994</v>
      </c>
      <c r="O15" s="687" t="str">
        <f t="shared" si="0"/>
        <v>EUR</v>
      </c>
      <c r="P15" s="689" t="str">
        <f t="shared" si="1"/>
        <v>PAY</v>
      </c>
      <c r="Q15" s="691">
        <f t="shared" si="2"/>
        <v>1000000</v>
      </c>
      <c r="R15" s="687" t="s">
        <v>1992</v>
      </c>
      <c r="S15" s="690">
        <v>1</v>
      </c>
      <c r="T15" s="689">
        <f t="shared" ca="1" si="3"/>
        <v>43228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EURYC</v>
      </c>
      <c r="Y15" s="687" t="str">
        <f t="shared" si="8"/>
        <v>EUR3ML</v>
      </c>
      <c r="Z15" s="687" t="str">
        <f t="shared" si="9"/>
        <v>EUROIS</v>
      </c>
      <c r="AA15" s="687" t="s">
        <v>3</v>
      </c>
      <c r="AB15" s="687" t="s">
        <v>38</v>
      </c>
      <c r="AC15" s="687" t="s">
        <v>0</v>
      </c>
      <c r="AD15" s="687" t="s">
        <v>38</v>
      </c>
      <c r="AE15" s="687" t="s">
        <v>0</v>
      </c>
      <c r="AF15" s="687" t="s">
        <v>356</v>
      </c>
      <c r="AG15" s="687" t="s">
        <v>38</v>
      </c>
      <c r="AH15" s="687" t="s">
        <v>0</v>
      </c>
      <c r="AI15" s="687" t="s">
        <v>356</v>
      </c>
      <c r="AJ15" s="687">
        <f t="shared" ca="1" si="10"/>
        <v>8</v>
      </c>
      <c r="AK15" s="687"/>
      <c r="AL15" s="687"/>
      <c r="AM15" s="550" t="s">
        <v>2252</v>
      </c>
      <c r="AN15" s="550" t="s">
        <v>2252</v>
      </c>
      <c r="AO15" s="687"/>
      <c r="AP15" s="687"/>
      <c r="AQ15" s="539" t="s">
        <v>1991</v>
      </c>
      <c r="AS15" s="686" t="s">
        <v>1993</v>
      </c>
      <c r="AT15" s="687" t="str">
        <f t="shared" si="11"/>
        <v>EUR</v>
      </c>
      <c r="AU15" s="689" t="str">
        <f t="shared" si="12"/>
        <v>RECEIVE</v>
      </c>
      <c r="AV15" s="691">
        <f t="shared" si="13"/>
        <v>1000000</v>
      </c>
      <c r="AW15" s="687" t="s">
        <v>1992</v>
      </c>
      <c r="AX15" s="690">
        <v>1</v>
      </c>
      <c r="AY15" s="689">
        <f t="shared" ca="1" si="14"/>
        <v>43228</v>
      </c>
      <c r="AZ15" s="689" t="str">
        <f t="shared" si="15"/>
        <v>10Y</v>
      </c>
      <c r="BA15" s="687" t="str">
        <f t="shared" si="16"/>
        <v>SEMI-ANNUAL</v>
      </c>
      <c r="BB15" s="688">
        <f t="shared" si="17"/>
        <v>0</v>
      </c>
      <c r="BC15" s="687" t="str">
        <f t="shared" si="18"/>
        <v>EURYC</v>
      </c>
      <c r="BD15" s="687" t="str">
        <f t="shared" si="19"/>
        <v>EUR6ML</v>
      </c>
      <c r="BE15" s="687" t="str">
        <f t="shared" si="20"/>
        <v>EUROIS</v>
      </c>
      <c r="BF15" s="687" t="s">
        <v>3</v>
      </c>
      <c r="BG15" s="687" t="s">
        <v>38</v>
      </c>
      <c r="BH15" s="687" t="s">
        <v>0</v>
      </c>
      <c r="BI15" s="687" t="s">
        <v>38</v>
      </c>
      <c r="BJ15" s="687" t="s">
        <v>0</v>
      </c>
      <c r="BK15" s="687" t="s">
        <v>356</v>
      </c>
      <c r="BL15" s="687" t="s">
        <v>38</v>
      </c>
      <c r="BM15" s="687" t="s">
        <v>0</v>
      </c>
      <c r="BN15" s="687" t="s">
        <v>356</v>
      </c>
      <c r="BO15" s="687">
        <f t="shared" ca="1" si="21"/>
        <v>8</v>
      </c>
      <c r="BP15" s="687"/>
      <c r="BQ15" s="687"/>
      <c r="BR15" s="550" t="str">
        <f t="shared" si="24"/>
        <v>10Y</v>
      </c>
      <c r="BS15" s="550" t="str">
        <f t="shared" si="22"/>
        <v>QUARTERLY</v>
      </c>
      <c r="BT15" s="550" t="s">
        <v>2252</v>
      </c>
      <c r="BU15" s="550" t="s">
        <v>2252</v>
      </c>
      <c r="BV15" s="687"/>
      <c r="BW15" s="687"/>
      <c r="BX15" s="539" t="s">
        <v>1991</v>
      </c>
      <c r="BY15" s="671" t="s">
        <v>12</v>
      </c>
      <c r="BZ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IF(OR($D15="",$D15=0),"",_xll.meLWOSwapCreateFromLegLVBs($E15&amp;LEFT($H15,LEN($H15)-2)&amp;"x"&amp;LEFT($K15,LEN($K15)-2)&amp;"_"&amp;$A15,_xll.meUtilityLVBFromKeysValues(Leg1Keys,$N15:$AQ15),_xll.meUtilityLVBFromKeysValues(Leg2Keys,$AS15:$BX15),FALSE))</f>
        <v>EUR3X6_10@17:0</v>
      </c>
      <c r="CA15" s="517" t="str">
        <f ca="1">IF(OR($D15="",$D15=0),"",_xll.meLWOSwapPV(BZ15,X15))</f>
        <v>[2018/05/04 09:52] #Error: Invalid Curve: CurveCollection 'EURYC' does not exist</v>
      </c>
      <c r="CB15" s="685" t="str">
        <f ca="1">IF(OR($D15="",$D15=0),"",_xll.meLWOSwapParSpread($BZ15,X15))</f>
        <v>[2018/05/04 09:52] #Error: Invalid Curve: CurveCollection 'EURYC' does not exist</v>
      </c>
      <c r="CC15" s="671" t="s">
        <v>12</v>
      </c>
      <c r="CD15" s="684" t="str">
        <f>'EUR Curve Config'!BJ18</f>
        <v>10Y</v>
      </c>
      <c r="CE15" s="683">
        <f>'EUR Curve Config'!BK18</f>
        <v>8.4749999999999995E-4</v>
      </c>
      <c r="CF15" s="809">
        <f t="shared" si="25"/>
        <v>8.4749999999999996</v>
      </c>
      <c r="CG15" s="932" t="e">
        <f t="shared" ca="1" si="23"/>
        <v>#VALUE!</v>
      </c>
      <c r="CH15" s="677" t="s">
        <v>12</v>
      </c>
      <c r="CI15" s="3"/>
    </row>
    <row r="16" spans="1:87">
      <c r="A16" s="203">
        <f t="shared" si="26"/>
        <v>11</v>
      </c>
      <c r="B16" s="812" t="s">
        <v>361</v>
      </c>
      <c r="C16" s="696">
        <f ca="1">IF(OR($B16="",$D16="",$D16=0),"",_xll.meDateFromTenor(COB,$B16,$AG16,$AH16))</f>
        <v>43228</v>
      </c>
      <c r="D16" s="816">
        <v>1000000</v>
      </c>
      <c r="E16" s="817" t="s">
        <v>2</v>
      </c>
      <c r="F16" s="693" t="s">
        <v>318</v>
      </c>
      <c r="G16" s="695" t="s">
        <v>1995</v>
      </c>
      <c r="H16" s="821" t="s">
        <v>316</v>
      </c>
      <c r="I16" s="694">
        <v>0</v>
      </c>
      <c r="J16" s="693" t="s">
        <v>1997</v>
      </c>
      <c r="K16" s="821" t="s">
        <v>355</v>
      </c>
      <c r="L16" s="692">
        <v>0</v>
      </c>
      <c r="M16" s="677"/>
      <c r="N16" s="686" t="s">
        <v>1994</v>
      </c>
      <c r="O16" s="687" t="str">
        <f t="shared" si="0"/>
        <v>EUR</v>
      </c>
      <c r="P16" s="689" t="str">
        <f t="shared" si="1"/>
        <v>PAY</v>
      </c>
      <c r="Q16" s="691">
        <f t="shared" si="2"/>
        <v>1000000</v>
      </c>
      <c r="R16" s="687" t="s">
        <v>1992</v>
      </c>
      <c r="S16" s="690">
        <v>1</v>
      </c>
      <c r="T16" s="689">
        <f t="shared" ca="1" si="3"/>
        <v>43228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EURYC</v>
      </c>
      <c r="Y16" s="687" t="str">
        <f t="shared" si="8"/>
        <v>EUR3ML</v>
      </c>
      <c r="Z16" s="687" t="str">
        <f t="shared" si="9"/>
        <v>EUROIS</v>
      </c>
      <c r="AA16" s="687" t="s">
        <v>3</v>
      </c>
      <c r="AB16" s="687" t="s">
        <v>38</v>
      </c>
      <c r="AC16" s="687" t="s">
        <v>0</v>
      </c>
      <c r="AD16" s="687" t="s">
        <v>38</v>
      </c>
      <c r="AE16" s="687" t="s">
        <v>0</v>
      </c>
      <c r="AF16" s="687" t="s">
        <v>356</v>
      </c>
      <c r="AG16" s="687" t="s">
        <v>38</v>
      </c>
      <c r="AH16" s="687" t="s">
        <v>0</v>
      </c>
      <c r="AI16" s="687" t="s">
        <v>356</v>
      </c>
      <c r="AJ16" s="687">
        <f t="shared" ca="1" si="10"/>
        <v>8</v>
      </c>
      <c r="AK16" s="687"/>
      <c r="AL16" s="687"/>
      <c r="AM16" s="550" t="s">
        <v>2252</v>
      </c>
      <c r="AN16" s="550" t="s">
        <v>2252</v>
      </c>
      <c r="AO16" s="687"/>
      <c r="AP16" s="687"/>
      <c r="AQ16" s="539" t="s">
        <v>1991</v>
      </c>
      <c r="AS16" s="686" t="s">
        <v>1993</v>
      </c>
      <c r="AT16" s="687" t="str">
        <f t="shared" si="11"/>
        <v>EUR</v>
      </c>
      <c r="AU16" s="689" t="str">
        <f t="shared" si="12"/>
        <v>RECEIVE</v>
      </c>
      <c r="AV16" s="691">
        <f t="shared" si="13"/>
        <v>1000000</v>
      </c>
      <c r="AW16" s="687" t="s">
        <v>1992</v>
      </c>
      <c r="AX16" s="690">
        <v>1</v>
      </c>
      <c r="AY16" s="689">
        <f t="shared" ca="1" si="14"/>
        <v>43228</v>
      </c>
      <c r="AZ16" s="689" t="str">
        <f t="shared" si="15"/>
        <v>11Y</v>
      </c>
      <c r="BA16" s="687" t="str">
        <f t="shared" si="16"/>
        <v>SEMI-ANNUAL</v>
      </c>
      <c r="BB16" s="688">
        <f t="shared" si="17"/>
        <v>0</v>
      </c>
      <c r="BC16" s="687" t="str">
        <f t="shared" si="18"/>
        <v>EURYC</v>
      </c>
      <c r="BD16" s="687" t="str">
        <f t="shared" si="19"/>
        <v>EUR6ML</v>
      </c>
      <c r="BE16" s="687" t="str">
        <f t="shared" si="20"/>
        <v>EUROIS</v>
      </c>
      <c r="BF16" s="687" t="s">
        <v>3</v>
      </c>
      <c r="BG16" s="687" t="s">
        <v>38</v>
      </c>
      <c r="BH16" s="687" t="s">
        <v>0</v>
      </c>
      <c r="BI16" s="687" t="s">
        <v>38</v>
      </c>
      <c r="BJ16" s="687" t="s">
        <v>0</v>
      </c>
      <c r="BK16" s="687" t="s">
        <v>356</v>
      </c>
      <c r="BL16" s="687" t="s">
        <v>38</v>
      </c>
      <c r="BM16" s="687" t="s">
        <v>0</v>
      </c>
      <c r="BN16" s="687" t="s">
        <v>356</v>
      </c>
      <c r="BO16" s="687">
        <f t="shared" ca="1" si="21"/>
        <v>8</v>
      </c>
      <c r="BP16" s="687"/>
      <c r="BQ16" s="687"/>
      <c r="BR16" s="550" t="str">
        <f t="shared" si="24"/>
        <v>11Y</v>
      </c>
      <c r="BS16" s="550" t="str">
        <f t="shared" si="22"/>
        <v>QUARTERLY</v>
      </c>
      <c r="BT16" s="550" t="s">
        <v>2252</v>
      </c>
      <c r="BU16" s="550" t="s">
        <v>2252</v>
      </c>
      <c r="BV16" s="687"/>
      <c r="BW16" s="687"/>
      <c r="BX16" s="539" t="s">
        <v>1991</v>
      </c>
      <c r="BY16" s="671" t="s">
        <v>12</v>
      </c>
      <c r="BZ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IF(OR($D16="",$D16=0),"",_xll.meLWOSwapCreateFromLegLVBs($E16&amp;LEFT($H16,LEN($H16)-2)&amp;"x"&amp;LEFT($K16,LEN($K16)-2)&amp;"_"&amp;$A16,_xll.meUtilityLVBFromKeysValues(Leg1Keys,$N16:$AQ16),_xll.meUtilityLVBFromKeysValues(Leg2Keys,$AS16:$BX16),FALSE))</f>
        <v>EUR3X6_11@32:0</v>
      </c>
      <c r="CA16" s="517" t="str">
        <f ca="1">IF(OR($D16="",$D16=0),"",_xll.meLWOSwapPV(BZ16,X16))</f>
        <v>[2018/05/04 09:52] #Error: Invalid Curve: CurveCollection 'EURYC' does not exist</v>
      </c>
      <c r="CB16" s="685" t="str">
        <f ca="1">IF(OR($D16="",$D16=0),"",_xll.meLWOSwapParSpread($BZ16,X16))</f>
        <v>[2018/05/04 09:52] #Error: Invalid Curve: CurveCollection 'EURYC' does not exist</v>
      </c>
      <c r="CC16" s="671" t="s">
        <v>12</v>
      </c>
      <c r="CD16" s="684" t="str">
        <f>'EUR Curve Config'!BJ19</f>
        <v>11Y</v>
      </c>
      <c r="CE16" s="683">
        <f>'EUR Curve Config'!BK19</f>
        <v>8.4250000000000004E-4</v>
      </c>
      <c r="CF16" s="809">
        <f t="shared" si="25"/>
        <v>8.4250000000000007</v>
      </c>
      <c r="CG16" s="932" t="e">
        <f t="shared" ca="1" si="23"/>
        <v>#VALUE!</v>
      </c>
      <c r="CH16" s="677" t="s">
        <v>12</v>
      </c>
      <c r="CI16" s="3"/>
    </row>
    <row r="17" spans="1:96">
      <c r="A17" s="203">
        <f t="shared" si="26"/>
        <v>12</v>
      </c>
      <c r="B17" s="812" t="s">
        <v>361</v>
      </c>
      <c r="C17" s="696">
        <f ca="1">IF(OR($B17="",$D17="",$D17=0),"",_xll.meDateFromTenor(COB,$B17,$AG17,$AH17))</f>
        <v>43228</v>
      </c>
      <c r="D17" s="816">
        <v>1000000</v>
      </c>
      <c r="E17" s="817" t="s">
        <v>2</v>
      </c>
      <c r="F17" s="693" t="s">
        <v>25</v>
      </c>
      <c r="G17" s="695" t="s">
        <v>1995</v>
      </c>
      <c r="H17" s="821" t="s">
        <v>316</v>
      </c>
      <c r="I17" s="694">
        <v>0</v>
      </c>
      <c r="J17" s="693" t="s">
        <v>1997</v>
      </c>
      <c r="K17" s="821" t="s">
        <v>355</v>
      </c>
      <c r="L17" s="692">
        <v>0</v>
      </c>
      <c r="M17" s="677"/>
      <c r="N17" s="686" t="s">
        <v>1994</v>
      </c>
      <c r="O17" s="687" t="str">
        <f t="shared" si="0"/>
        <v>EUR</v>
      </c>
      <c r="P17" s="689" t="str">
        <f t="shared" si="1"/>
        <v>PAY</v>
      </c>
      <c r="Q17" s="691">
        <f t="shared" si="2"/>
        <v>1000000</v>
      </c>
      <c r="R17" s="687" t="s">
        <v>1992</v>
      </c>
      <c r="S17" s="690">
        <v>1</v>
      </c>
      <c r="T17" s="689">
        <f t="shared" ca="1" si="3"/>
        <v>43228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EURYC</v>
      </c>
      <c r="Y17" s="687" t="str">
        <f t="shared" si="8"/>
        <v>EUR3ML</v>
      </c>
      <c r="Z17" s="687" t="str">
        <f t="shared" si="9"/>
        <v>EUROIS</v>
      </c>
      <c r="AA17" s="687" t="s">
        <v>3</v>
      </c>
      <c r="AB17" s="687" t="s">
        <v>38</v>
      </c>
      <c r="AC17" s="687" t="s">
        <v>0</v>
      </c>
      <c r="AD17" s="687" t="s">
        <v>38</v>
      </c>
      <c r="AE17" s="687" t="s">
        <v>0</v>
      </c>
      <c r="AF17" s="687" t="s">
        <v>356</v>
      </c>
      <c r="AG17" s="687" t="s">
        <v>38</v>
      </c>
      <c r="AH17" s="687" t="s">
        <v>0</v>
      </c>
      <c r="AI17" s="687" t="s">
        <v>356</v>
      </c>
      <c r="AJ17" s="687">
        <f t="shared" ca="1" si="10"/>
        <v>8</v>
      </c>
      <c r="AK17" s="687"/>
      <c r="AL17" s="687"/>
      <c r="AM17" s="550" t="s">
        <v>2252</v>
      </c>
      <c r="AN17" s="550" t="s">
        <v>2252</v>
      </c>
      <c r="AO17" s="687"/>
      <c r="AP17" s="687"/>
      <c r="AQ17" s="539" t="s">
        <v>1991</v>
      </c>
      <c r="AS17" s="686" t="s">
        <v>1993</v>
      </c>
      <c r="AT17" s="687" t="str">
        <f t="shared" si="11"/>
        <v>EUR</v>
      </c>
      <c r="AU17" s="689" t="str">
        <f t="shared" si="12"/>
        <v>RECEIVE</v>
      </c>
      <c r="AV17" s="691">
        <f t="shared" si="13"/>
        <v>1000000</v>
      </c>
      <c r="AW17" s="687" t="s">
        <v>1992</v>
      </c>
      <c r="AX17" s="690">
        <v>1</v>
      </c>
      <c r="AY17" s="689">
        <f t="shared" ca="1" si="14"/>
        <v>43228</v>
      </c>
      <c r="AZ17" s="689" t="str">
        <f t="shared" si="15"/>
        <v>12Y</v>
      </c>
      <c r="BA17" s="687" t="str">
        <f t="shared" si="16"/>
        <v>SEMI-ANNUAL</v>
      </c>
      <c r="BB17" s="688">
        <f t="shared" si="17"/>
        <v>0</v>
      </c>
      <c r="BC17" s="687" t="str">
        <f t="shared" si="18"/>
        <v>EURYC</v>
      </c>
      <c r="BD17" s="687" t="str">
        <f t="shared" si="19"/>
        <v>EUR6ML</v>
      </c>
      <c r="BE17" s="687" t="str">
        <f t="shared" si="20"/>
        <v>EUROIS</v>
      </c>
      <c r="BF17" s="687" t="s">
        <v>3</v>
      </c>
      <c r="BG17" s="687" t="s">
        <v>38</v>
      </c>
      <c r="BH17" s="687" t="s">
        <v>0</v>
      </c>
      <c r="BI17" s="687" t="s">
        <v>38</v>
      </c>
      <c r="BJ17" s="687" t="s">
        <v>0</v>
      </c>
      <c r="BK17" s="687" t="s">
        <v>356</v>
      </c>
      <c r="BL17" s="687" t="s">
        <v>38</v>
      </c>
      <c r="BM17" s="687" t="s">
        <v>0</v>
      </c>
      <c r="BN17" s="687" t="s">
        <v>356</v>
      </c>
      <c r="BO17" s="687">
        <f t="shared" ca="1" si="21"/>
        <v>8</v>
      </c>
      <c r="BP17" s="687"/>
      <c r="BQ17" s="687"/>
      <c r="BR17" s="550" t="str">
        <f t="shared" si="24"/>
        <v>12Y</v>
      </c>
      <c r="BS17" s="550" t="str">
        <f t="shared" si="22"/>
        <v>QUARTERLY</v>
      </c>
      <c r="BT17" s="550" t="s">
        <v>2252</v>
      </c>
      <c r="BU17" s="550" t="s">
        <v>2252</v>
      </c>
      <c r="BV17" s="687"/>
      <c r="BW17" s="687"/>
      <c r="BX17" s="539" t="s">
        <v>1991</v>
      </c>
      <c r="BY17" s="671" t="s">
        <v>12</v>
      </c>
      <c r="BZ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IF(OR($D17="",$D17=0),"",_xll.meLWOSwapCreateFromLegLVBs($E17&amp;LEFT($H17,LEN($H17)-2)&amp;"x"&amp;LEFT($K17,LEN($K17)-2)&amp;"_"&amp;$A17,_xll.meUtilityLVBFromKeysValues(Leg1Keys,$N17:$AQ17),_xll.meUtilityLVBFromKeysValues(Leg2Keys,$AS17:$BX17),FALSE))</f>
        <v>EUR3X6_12@86:0</v>
      </c>
      <c r="CA17" s="517" t="str">
        <f ca="1">IF(OR($D17="",$D17=0),"",_xll.meLWOSwapPV(BZ17,X17))</f>
        <v>[2018/05/04 09:52] #Error: Invalid Curve: CurveCollection 'EURYC' does not exist</v>
      </c>
      <c r="CB17" s="685" t="str">
        <f ca="1">IF(OR($D17="",$D17=0),"",_xll.meLWOSwapParSpread($BZ17,X17))</f>
        <v>[2018/05/04 09:52] #Error: Invalid Curve: CurveCollection 'EURYC' does not exist</v>
      </c>
      <c r="CC17" s="671" t="s">
        <v>12</v>
      </c>
      <c r="CD17" s="684" t="str">
        <f>'EUR Curve Config'!BJ20</f>
        <v>12Y</v>
      </c>
      <c r="CE17" s="683">
        <f>'EUR Curve Config'!BK20</f>
        <v>8.275E-4</v>
      </c>
      <c r="CF17" s="809">
        <f t="shared" si="25"/>
        <v>8.2750000000000004</v>
      </c>
      <c r="CG17" s="932" t="e">
        <f t="shared" ca="1" si="23"/>
        <v>#VALUE!</v>
      </c>
      <c r="CH17" s="677" t="s">
        <v>12</v>
      </c>
      <c r="CI17" s="3"/>
    </row>
    <row r="18" spans="1:96">
      <c r="A18" s="203">
        <f t="shared" si="26"/>
        <v>13</v>
      </c>
      <c r="B18" s="812" t="s">
        <v>361</v>
      </c>
      <c r="C18" s="696">
        <f ca="1">IF(OR($B18="",$D18="",$D18=0),"",_xll.meDateFromTenor(COB,$B18,$AG18,$AH18))</f>
        <v>43228</v>
      </c>
      <c r="D18" s="816">
        <v>1000000</v>
      </c>
      <c r="E18" s="817" t="s">
        <v>2</v>
      </c>
      <c r="F18" s="693" t="s">
        <v>23</v>
      </c>
      <c r="G18" s="695" t="s">
        <v>1995</v>
      </c>
      <c r="H18" s="821" t="s">
        <v>316</v>
      </c>
      <c r="I18" s="694">
        <v>0</v>
      </c>
      <c r="J18" s="693" t="s">
        <v>1997</v>
      </c>
      <c r="K18" s="821" t="s">
        <v>355</v>
      </c>
      <c r="L18" s="692">
        <v>0</v>
      </c>
      <c r="M18" s="677"/>
      <c r="N18" s="686" t="s">
        <v>1994</v>
      </c>
      <c r="O18" s="687" t="str">
        <f t="shared" si="0"/>
        <v>EUR</v>
      </c>
      <c r="P18" s="689" t="str">
        <f t="shared" si="1"/>
        <v>PAY</v>
      </c>
      <c r="Q18" s="691">
        <f t="shared" si="2"/>
        <v>1000000</v>
      </c>
      <c r="R18" s="687" t="s">
        <v>1992</v>
      </c>
      <c r="S18" s="690">
        <v>1</v>
      </c>
      <c r="T18" s="689">
        <f t="shared" ca="1" si="3"/>
        <v>43228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EURYC</v>
      </c>
      <c r="Y18" s="687" t="str">
        <f t="shared" si="8"/>
        <v>EUR3ML</v>
      </c>
      <c r="Z18" s="687" t="str">
        <f t="shared" si="9"/>
        <v>EUROIS</v>
      </c>
      <c r="AA18" s="687" t="s">
        <v>3</v>
      </c>
      <c r="AB18" s="687" t="s">
        <v>38</v>
      </c>
      <c r="AC18" s="687" t="s">
        <v>0</v>
      </c>
      <c r="AD18" s="687" t="s">
        <v>38</v>
      </c>
      <c r="AE18" s="687" t="s">
        <v>0</v>
      </c>
      <c r="AF18" s="687" t="s">
        <v>356</v>
      </c>
      <c r="AG18" s="687" t="s">
        <v>38</v>
      </c>
      <c r="AH18" s="687" t="s">
        <v>0</v>
      </c>
      <c r="AI18" s="687" t="s">
        <v>356</v>
      </c>
      <c r="AJ18" s="687">
        <f t="shared" ca="1" si="10"/>
        <v>8</v>
      </c>
      <c r="AK18" s="687"/>
      <c r="AL18" s="687"/>
      <c r="AM18" s="550" t="s">
        <v>2252</v>
      </c>
      <c r="AN18" s="550" t="s">
        <v>2252</v>
      </c>
      <c r="AO18" s="687"/>
      <c r="AP18" s="687"/>
      <c r="AQ18" s="539" t="s">
        <v>1991</v>
      </c>
      <c r="AS18" s="686" t="s">
        <v>1993</v>
      </c>
      <c r="AT18" s="687" t="str">
        <f t="shared" si="11"/>
        <v>EUR</v>
      </c>
      <c r="AU18" s="689" t="str">
        <f t="shared" si="12"/>
        <v>RECEIVE</v>
      </c>
      <c r="AV18" s="691">
        <f t="shared" si="13"/>
        <v>1000000</v>
      </c>
      <c r="AW18" s="687" t="s">
        <v>1992</v>
      </c>
      <c r="AX18" s="690">
        <v>1</v>
      </c>
      <c r="AY18" s="689">
        <f t="shared" ca="1" si="14"/>
        <v>43228</v>
      </c>
      <c r="AZ18" s="689" t="str">
        <f t="shared" si="15"/>
        <v>15Y</v>
      </c>
      <c r="BA18" s="687" t="str">
        <f t="shared" si="16"/>
        <v>SEMI-ANNUAL</v>
      </c>
      <c r="BB18" s="688">
        <f t="shared" si="17"/>
        <v>0</v>
      </c>
      <c r="BC18" s="687" t="str">
        <f t="shared" si="18"/>
        <v>EURYC</v>
      </c>
      <c r="BD18" s="687" t="str">
        <f t="shared" si="19"/>
        <v>EUR6ML</v>
      </c>
      <c r="BE18" s="687" t="str">
        <f t="shared" si="20"/>
        <v>EUROIS</v>
      </c>
      <c r="BF18" s="687" t="s">
        <v>3</v>
      </c>
      <c r="BG18" s="687" t="s">
        <v>38</v>
      </c>
      <c r="BH18" s="687" t="s">
        <v>0</v>
      </c>
      <c r="BI18" s="687" t="s">
        <v>38</v>
      </c>
      <c r="BJ18" s="687" t="s">
        <v>0</v>
      </c>
      <c r="BK18" s="687" t="s">
        <v>356</v>
      </c>
      <c r="BL18" s="687" t="s">
        <v>38</v>
      </c>
      <c r="BM18" s="687" t="s">
        <v>0</v>
      </c>
      <c r="BN18" s="687" t="s">
        <v>356</v>
      </c>
      <c r="BO18" s="687">
        <f t="shared" ca="1" si="21"/>
        <v>8</v>
      </c>
      <c r="BP18" s="687"/>
      <c r="BQ18" s="687"/>
      <c r="BR18" s="550" t="str">
        <f t="shared" si="24"/>
        <v>15Y</v>
      </c>
      <c r="BS18" s="550" t="str">
        <f t="shared" si="22"/>
        <v>QUARTERLY</v>
      </c>
      <c r="BT18" s="550" t="s">
        <v>2252</v>
      </c>
      <c r="BU18" s="550" t="s">
        <v>2252</v>
      </c>
      <c r="BV18" s="687"/>
      <c r="BW18" s="687"/>
      <c r="BX18" s="539" t="s">
        <v>1991</v>
      </c>
      <c r="BY18" s="671" t="s">
        <v>12</v>
      </c>
      <c r="BZ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IF(OR($D18="",$D18=0),"",_xll.meLWOSwapCreateFromLegLVBs($E18&amp;LEFT($H18,LEN($H18)-2)&amp;"x"&amp;LEFT($K18,LEN($K18)-2)&amp;"_"&amp;$A18,_xll.meUtilityLVBFromKeysValues(Leg1Keys,$N18:$AQ18),_xll.meUtilityLVBFromKeysValues(Leg2Keys,$AS18:$BX18),FALSE))</f>
        <v>EUR3X6_13@80:0</v>
      </c>
      <c r="CA18" s="517" t="str">
        <f ca="1">IF(OR($D18="",$D18=0),"",_xll.meLWOSwapPV(BZ18,X18))</f>
        <v>[2018/05/04 09:52] #Error: Invalid Curve: CurveCollection 'EURYC' does not exist</v>
      </c>
      <c r="CB18" s="685" t="str">
        <f ca="1">IF(OR($D18="",$D18=0),"",_xll.meLWOSwapParSpread($BZ18,X18))</f>
        <v>[2018/05/04 09:52] #Error: Invalid Curve: CurveCollection 'EURYC' does not exist</v>
      </c>
      <c r="CC18" s="671" t="s">
        <v>12</v>
      </c>
      <c r="CD18" s="684" t="str">
        <f>'EUR Curve Config'!BJ21</f>
        <v>15Y</v>
      </c>
      <c r="CE18" s="683">
        <f>'EUR Curve Config'!BK21</f>
        <v>7.7249999999999997E-4</v>
      </c>
      <c r="CF18" s="809">
        <f t="shared" si="25"/>
        <v>7.7249999999999996</v>
      </c>
      <c r="CG18" s="932" t="e">
        <f t="shared" ca="1" si="23"/>
        <v>#VALUE!</v>
      </c>
      <c r="CH18" s="677" t="s">
        <v>12</v>
      </c>
      <c r="CI18" s="3"/>
    </row>
    <row r="19" spans="1:96">
      <c r="A19" s="203">
        <f t="shared" si="26"/>
        <v>14</v>
      </c>
      <c r="B19" s="812" t="s">
        <v>361</v>
      </c>
      <c r="C19" s="696">
        <f ca="1">IF(OR($B19="",$D19="",$D19=0),"",_xll.meDateFromTenor(COB,$B19,$AG19,$AH19))</f>
        <v>43228</v>
      </c>
      <c r="D19" s="816">
        <v>1000000</v>
      </c>
      <c r="E19" s="817" t="s">
        <v>2</v>
      </c>
      <c r="F19" s="693" t="s">
        <v>19</v>
      </c>
      <c r="G19" s="695" t="s">
        <v>1995</v>
      </c>
      <c r="H19" s="821" t="s">
        <v>316</v>
      </c>
      <c r="I19" s="694">
        <v>0</v>
      </c>
      <c r="J19" s="693" t="s">
        <v>1997</v>
      </c>
      <c r="K19" s="821" t="s">
        <v>355</v>
      </c>
      <c r="L19" s="692">
        <v>0</v>
      </c>
      <c r="M19" s="677"/>
      <c r="N19" s="686" t="s">
        <v>1994</v>
      </c>
      <c r="O19" s="687" t="str">
        <f t="shared" si="0"/>
        <v>EUR</v>
      </c>
      <c r="P19" s="689" t="str">
        <f t="shared" si="1"/>
        <v>PAY</v>
      </c>
      <c r="Q19" s="691">
        <f t="shared" si="2"/>
        <v>1000000</v>
      </c>
      <c r="R19" s="687" t="s">
        <v>1992</v>
      </c>
      <c r="S19" s="690">
        <v>1</v>
      </c>
      <c r="T19" s="689">
        <f t="shared" ca="1" si="3"/>
        <v>43228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EURYC</v>
      </c>
      <c r="Y19" s="687" t="str">
        <f t="shared" si="8"/>
        <v>EUR3ML</v>
      </c>
      <c r="Z19" s="687" t="str">
        <f t="shared" si="9"/>
        <v>EUROIS</v>
      </c>
      <c r="AA19" s="687" t="s">
        <v>3</v>
      </c>
      <c r="AB19" s="687" t="s">
        <v>38</v>
      </c>
      <c r="AC19" s="687" t="s">
        <v>0</v>
      </c>
      <c r="AD19" s="687" t="s">
        <v>38</v>
      </c>
      <c r="AE19" s="687" t="s">
        <v>0</v>
      </c>
      <c r="AF19" s="687" t="s">
        <v>356</v>
      </c>
      <c r="AG19" s="687" t="s">
        <v>38</v>
      </c>
      <c r="AH19" s="687" t="s">
        <v>0</v>
      </c>
      <c r="AI19" s="687" t="s">
        <v>356</v>
      </c>
      <c r="AJ19" s="687">
        <f t="shared" ca="1" si="10"/>
        <v>8</v>
      </c>
      <c r="AK19" s="687"/>
      <c r="AL19" s="687"/>
      <c r="AM19" s="550" t="s">
        <v>2252</v>
      </c>
      <c r="AN19" s="550" t="s">
        <v>2252</v>
      </c>
      <c r="AO19" s="687"/>
      <c r="AP19" s="687"/>
      <c r="AQ19" s="539" t="s">
        <v>1991</v>
      </c>
      <c r="AS19" s="686" t="s">
        <v>1993</v>
      </c>
      <c r="AT19" s="687" t="str">
        <f t="shared" si="11"/>
        <v>EUR</v>
      </c>
      <c r="AU19" s="689" t="str">
        <f t="shared" si="12"/>
        <v>RECEIVE</v>
      </c>
      <c r="AV19" s="691">
        <f t="shared" si="13"/>
        <v>1000000</v>
      </c>
      <c r="AW19" s="687" t="s">
        <v>1992</v>
      </c>
      <c r="AX19" s="690">
        <v>1</v>
      </c>
      <c r="AY19" s="689">
        <f t="shared" ca="1" si="14"/>
        <v>43228</v>
      </c>
      <c r="AZ19" s="689" t="str">
        <f t="shared" si="15"/>
        <v>20Y</v>
      </c>
      <c r="BA19" s="687" t="str">
        <f t="shared" si="16"/>
        <v>SEMI-ANNUAL</v>
      </c>
      <c r="BB19" s="688">
        <f t="shared" si="17"/>
        <v>0</v>
      </c>
      <c r="BC19" s="687" t="str">
        <f t="shared" si="18"/>
        <v>EURYC</v>
      </c>
      <c r="BD19" s="687" t="str">
        <f t="shared" si="19"/>
        <v>EUR6ML</v>
      </c>
      <c r="BE19" s="687" t="str">
        <f t="shared" si="20"/>
        <v>EUROIS</v>
      </c>
      <c r="BF19" s="687" t="s">
        <v>3</v>
      </c>
      <c r="BG19" s="687" t="s">
        <v>38</v>
      </c>
      <c r="BH19" s="687" t="s">
        <v>0</v>
      </c>
      <c r="BI19" s="687" t="s">
        <v>38</v>
      </c>
      <c r="BJ19" s="687" t="s">
        <v>0</v>
      </c>
      <c r="BK19" s="687" t="s">
        <v>356</v>
      </c>
      <c r="BL19" s="687" t="s">
        <v>38</v>
      </c>
      <c r="BM19" s="687" t="s">
        <v>0</v>
      </c>
      <c r="BN19" s="687" t="s">
        <v>356</v>
      </c>
      <c r="BO19" s="687">
        <f t="shared" ca="1" si="21"/>
        <v>8</v>
      </c>
      <c r="BP19" s="687"/>
      <c r="BQ19" s="687"/>
      <c r="BR19" s="550" t="str">
        <f t="shared" si="24"/>
        <v>20Y</v>
      </c>
      <c r="BS19" s="550" t="str">
        <f t="shared" si="22"/>
        <v>QUARTERLY</v>
      </c>
      <c r="BT19" s="550" t="s">
        <v>2252</v>
      </c>
      <c r="BU19" s="550" t="s">
        <v>2252</v>
      </c>
      <c r="BV19" s="687"/>
      <c r="BW19" s="687"/>
      <c r="BX19" s="539" t="s">
        <v>1991</v>
      </c>
      <c r="BY19" s="671" t="s">
        <v>12</v>
      </c>
      <c r="BZ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IF(OR($D19="",$D19=0),"",_xll.meLWOSwapCreateFromLegLVBs($E19&amp;LEFT($H19,LEN($H19)-2)&amp;"x"&amp;LEFT($K19,LEN($K19)-2)&amp;"_"&amp;$A19,_xll.meUtilityLVBFromKeysValues(Leg1Keys,$N19:$AQ19),_xll.meUtilityLVBFromKeysValues(Leg2Keys,$AS19:$BX19),FALSE))</f>
        <v>EUR3X6_14@100:0</v>
      </c>
      <c r="CA19" s="517" t="str">
        <f ca="1">IF(OR($D19="",$D19=0),"",_xll.meLWOSwapPV(BZ19,X19))</f>
        <v>[2018/05/04 09:52] #Error: Invalid Curve: CurveCollection 'EURYC' does not exist</v>
      </c>
      <c r="CB19" s="685" t="str">
        <f ca="1">IF(OR($D19="",$D19=0),"",_xll.meLWOSwapParSpread($BZ19,X19))</f>
        <v>[2018/05/04 09:52] #Error: Invalid Curve: CurveCollection 'EURYC' does not exist</v>
      </c>
      <c r="CC19" s="671" t="s">
        <v>12</v>
      </c>
      <c r="CD19" s="684" t="str">
        <f>'EUR Curve Config'!BJ22</f>
        <v>20Y</v>
      </c>
      <c r="CE19" s="683">
        <f>'EUR Curve Config'!BK22</f>
        <v>6.5749999999999999E-4</v>
      </c>
      <c r="CF19" s="809">
        <f t="shared" si="25"/>
        <v>6.5750000000000002</v>
      </c>
      <c r="CG19" s="932" t="e">
        <f t="shared" ca="1" si="23"/>
        <v>#VALUE!</v>
      </c>
      <c r="CH19" s="677" t="s">
        <v>12</v>
      </c>
      <c r="CI19" s="3"/>
    </row>
    <row r="20" spans="1:96">
      <c r="A20" s="203">
        <f t="shared" si="26"/>
        <v>15</v>
      </c>
      <c r="B20" s="812" t="s">
        <v>361</v>
      </c>
      <c r="C20" s="696">
        <f ca="1">IF(OR($B20="",$D20="",$D20=0),"",_xll.meDateFromTenor(COB,$B20,$AG20,$AH20))</f>
        <v>43228</v>
      </c>
      <c r="D20" s="816">
        <v>1000000</v>
      </c>
      <c r="E20" s="817" t="s">
        <v>2</v>
      </c>
      <c r="F20" s="693" t="s">
        <v>17</v>
      </c>
      <c r="G20" s="695" t="s">
        <v>1995</v>
      </c>
      <c r="H20" s="821" t="s">
        <v>316</v>
      </c>
      <c r="I20" s="694">
        <v>0</v>
      </c>
      <c r="J20" s="693" t="s">
        <v>1997</v>
      </c>
      <c r="K20" s="821" t="s">
        <v>355</v>
      </c>
      <c r="L20" s="692">
        <v>0</v>
      </c>
      <c r="M20" s="677"/>
      <c r="N20" s="686" t="s">
        <v>1994</v>
      </c>
      <c r="O20" s="687" t="str">
        <f t="shared" si="0"/>
        <v>EUR</v>
      </c>
      <c r="P20" s="689" t="str">
        <f t="shared" si="1"/>
        <v>PAY</v>
      </c>
      <c r="Q20" s="691">
        <f t="shared" si="2"/>
        <v>1000000</v>
      </c>
      <c r="R20" s="687" t="s">
        <v>1992</v>
      </c>
      <c r="S20" s="690">
        <v>1</v>
      </c>
      <c r="T20" s="689">
        <f t="shared" ca="1" si="3"/>
        <v>43228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EURYC</v>
      </c>
      <c r="Y20" s="687" t="str">
        <f t="shared" si="8"/>
        <v>EUR3ML</v>
      </c>
      <c r="Z20" s="687" t="str">
        <f t="shared" si="9"/>
        <v>EUROIS</v>
      </c>
      <c r="AA20" s="687" t="s">
        <v>3</v>
      </c>
      <c r="AB20" s="687" t="s">
        <v>38</v>
      </c>
      <c r="AC20" s="687" t="s">
        <v>0</v>
      </c>
      <c r="AD20" s="687" t="s">
        <v>38</v>
      </c>
      <c r="AE20" s="687" t="s">
        <v>0</v>
      </c>
      <c r="AF20" s="687" t="s">
        <v>356</v>
      </c>
      <c r="AG20" s="687" t="s">
        <v>38</v>
      </c>
      <c r="AH20" s="687" t="s">
        <v>0</v>
      </c>
      <c r="AI20" s="687" t="s">
        <v>356</v>
      </c>
      <c r="AJ20" s="687">
        <f t="shared" ca="1" si="10"/>
        <v>8</v>
      </c>
      <c r="AK20" s="687"/>
      <c r="AL20" s="687"/>
      <c r="AM20" s="550" t="s">
        <v>2252</v>
      </c>
      <c r="AN20" s="550" t="s">
        <v>2252</v>
      </c>
      <c r="AO20" s="687"/>
      <c r="AP20" s="687"/>
      <c r="AQ20" s="539" t="s">
        <v>1991</v>
      </c>
      <c r="AS20" s="686" t="s">
        <v>1993</v>
      </c>
      <c r="AT20" s="687" t="str">
        <f t="shared" si="11"/>
        <v>EUR</v>
      </c>
      <c r="AU20" s="689" t="str">
        <f t="shared" si="12"/>
        <v>RECEIVE</v>
      </c>
      <c r="AV20" s="691">
        <f t="shared" si="13"/>
        <v>1000000</v>
      </c>
      <c r="AW20" s="687" t="s">
        <v>1992</v>
      </c>
      <c r="AX20" s="690">
        <v>1</v>
      </c>
      <c r="AY20" s="689">
        <f t="shared" ca="1" si="14"/>
        <v>43228</v>
      </c>
      <c r="AZ20" s="689" t="str">
        <f t="shared" si="15"/>
        <v>25Y</v>
      </c>
      <c r="BA20" s="687" t="str">
        <f t="shared" si="16"/>
        <v>SEMI-ANNUAL</v>
      </c>
      <c r="BB20" s="688">
        <f t="shared" si="17"/>
        <v>0</v>
      </c>
      <c r="BC20" s="687" t="str">
        <f t="shared" si="18"/>
        <v>EURYC</v>
      </c>
      <c r="BD20" s="687" t="str">
        <f t="shared" si="19"/>
        <v>EUR6ML</v>
      </c>
      <c r="BE20" s="687" t="str">
        <f t="shared" si="20"/>
        <v>EUROIS</v>
      </c>
      <c r="BF20" s="687" t="s">
        <v>3</v>
      </c>
      <c r="BG20" s="687" t="s">
        <v>38</v>
      </c>
      <c r="BH20" s="687" t="s">
        <v>0</v>
      </c>
      <c r="BI20" s="687" t="s">
        <v>38</v>
      </c>
      <c r="BJ20" s="687" t="s">
        <v>0</v>
      </c>
      <c r="BK20" s="687" t="s">
        <v>356</v>
      </c>
      <c r="BL20" s="687" t="s">
        <v>38</v>
      </c>
      <c r="BM20" s="687" t="s">
        <v>0</v>
      </c>
      <c r="BN20" s="687" t="s">
        <v>356</v>
      </c>
      <c r="BO20" s="687">
        <f t="shared" ca="1" si="21"/>
        <v>8</v>
      </c>
      <c r="BP20" s="687"/>
      <c r="BQ20" s="687"/>
      <c r="BR20" s="550" t="str">
        <f t="shared" si="24"/>
        <v>25Y</v>
      </c>
      <c r="BS20" s="550" t="str">
        <f t="shared" si="22"/>
        <v>QUARTERLY</v>
      </c>
      <c r="BT20" s="550" t="s">
        <v>2252</v>
      </c>
      <c r="BU20" s="550" t="s">
        <v>2252</v>
      </c>
      <c r="BV20" s="687"/>
      <c r="BW20" s="687"/>
      <c r="BX20" s="539" t="s">
        <v>1991</v>
      </c>
      <c r="BY20" s="671" t="s">
        <v>12</v>
      </c>
      <c r="BZ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IF(OR($D20="",$D20=0),"",_xll.meLWOSwapCreateFromLegLVBs($E20&amp;LEFT($H20,LEN($H20)-2)&amp;"x"&amp;LEFT($K20,LEN($K20)-2)&amp;"_"&amp;$A20,_xll.meUtilityLVBFromKeysValues(Leg1Keys,$N20:$AQ20),_xll.meUtilityLVBFromKeysValues(Leg2Keys,$AS20:$BX20),FALSE))</f>
        <v>EUR3X6_15@113:0</v>
      </c>
      <c r="CA20" s="517" t="str">
        <f ca="1">IF(OR($D20="",$D20=0),"",_xll.meLWOSwapPV(BZ20,X20))</f>
        <v>[2018/05/04 09:52] #Error: Invalid Curve: CurveCollection 'EURYC' does not exist</v>
      </c>
      <c r="CB20" s="685" t="str">
        <f ca="1">IF(OR($D20="",$D20=0),"",_xll.meLWOSwapParSpread($BZ20,X20))</f>
        <v>[2018/05/04 09:52] #Error: Invalid Curve: CurveCollection 'EURYC' does not exist</v>
      </c>
      <c r="CC20" s="671" t="s">
        <v>12</v>
      </c>
      <c r="CD20" s="684" t="str">
        <f>'EUR Curve Config'!BJ23</f>
        <v>25Y</v>
      </c>
      <c r="CE20" s="683">
        <f>'EUR Curve Config'!BK23</f>
        <v>5.5250000000000004E-4</v>
      </c>
      <c r="CF20" s="809">
        <f t="shared" si="25"/>
        <v>5.5250000000000004</v>
      </c>
      <c r="CG20" s="932" t="e">
        <f t="shared" ca="1" si="23"/>
        <v>#VALUE!</v>
      </c>
      <c r="CH20" s="677" t="s">
        <v>12</v>
      </c>
      <c r="CI20" s="3"/>
    </row>
    <row r="21" spans="1:96">
      <c r="A21" s="203">
        <f t="shared" si="26"/>
        <v>16</v>
      </c>
      <c r="B21" s="812" t="s">
        <v>361</v>
      </c>
      <c r="C21" s="696">
        <f ca="1">IF(OR($B21="",$D21="",$D21=0),"",_xll.meDateFromTenor(COB,$B21,$AG21,$AH21))</f>
        <v>43228</v>
      </c>
      <c r="D21" s="816">
        <v>1000000</v>
      </c>
      <c r="E21" s="817" t="s">
        <v>2</v>
      </c>
      <c r="F21" s="693" t="s">
        <v>16</v>
      </c>
      <c r="G21" s="695" t="s">
        <v>1995</v>
      </c>
      <c r="H21" s="821" t="s">
        <v>316</v>
      </c>
      <c r="I21" s="694">
        <v>0</v>
      </c>
      <c r="J21" s="693" t="s">
        <v>1997</v>
      </c>
      <c r="K21" s="821" t="s">
        <v>355</v>
      </c>
      <c r="L21" s="692">
        <v>0</v>
      </c>
      <c r="M21" s="677"/>
      <c r="N21" s="686" t="s">
        <v>1994</v>
      </c>
      <c r="O21" s="687" t="str">
        <f t="shared" si="0"/>
        <v>EUR</v>
      </c>
      <c r="P21" s="689" t="str">
        <f t="shared" si="1"/>
        <v>PAY</v>
      </c>
      <c r="Q21" s="691">
        <f t="shared" si="2"/>
        <v>1000000</v>
      </c>
      <c r="R21" s="687" t="s">
        <v>1992</v>
      </c>
      <c r="S21" s="690">
        <v>1</v>
      </c>
      <c r="T21" s="689">
        <f t="shared" ca="1" si="3"/>
        <v>43228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EURYC</v>
      </c>
      <c r="Y21" s="687" t="str">
        <f t="shared" si="8"/>
        <v>EUR3ML</v>
      </c>
      <c r="Z21" s="687" t="str">
        <f t="shared" si="9"/>
        <v>EUROIS</v>
      </c>
      <c r="AA21" s="687" t="s">
        <v>3</v>
      </c>
      <c r="AB21" s="687" t="s">
        <v>38</v>
      </c>
      <c r="AC21" s="687" t="s">
        <v>0</v>
      </c>
      <c r="AD21" s="687" t="s">
        <v>38</v>
      </c>
      <c r="AE21" s="687" t="s">
        <v>0</v>
      </c>
      <c r="AF21" s="687" t="s">
        <v>356</v>
      </c>
      <c r="AG21" s="687" t="s">
        <v>38</v>
      </c>
      <c r="AH21" s="687" t="s">
        <v>0</v>
      </c>
      <c r="AI21" s="687" t="s">
        <v>356</v>
      </c>
      <c r="AJ21" s="687">
        <f t="shared" ca="1" si="10"/>
        <v>8</v>
      </c>
      <c r="AK21" s="687"/>
      <c r="AL21" s="687"/>
      <c r="AM21" s="550" t="s">
        <v>2252</v>
      </c>
      <c r="AN21" s="550" t="s">
        <v>2252</v>
      </c>
      <c r="AO21" s="687"/>
      <c r="AP21" s="687"/>
      <c r="AQ21" s="539" t="s">
        <v>1991</v>
      </c>
      <c r="AR21" s="807"/>
      <c r="AS21" s="686" t="s">
        <v>1993</v>
      </c>
      <c r="AT21" s="687" t="str">
        <f t="shared" si="11"/>
        <v>EUR</v>
      </c>
      <c r="AU21" s="689" t="str">
        <f t="shared" si="12"/>
        <v>RECEIVE</v>
      </c>
      <c r="AV21" s="691">
        <f t="shared" si="13"/>
        <v>1000000</v>
      </c>
      <c r="AW21" s="687" t="s">
        <v>1992</v>
      </c>
      <c r="AX21" s="690">
        <v>1</v>
      </c>
      <c r="AY21" s="689">
        <f t="shared" ca="1" si="14"/>
        <v>43228</v>
      </c>
      <c r="AZ21" s="689" t="str">
        <f t="shared" si="15"/>
        <v>30Y</v>
      </c>
      <c r="BA21" s="687" t="str">
        <f t="shared" si="16"/>
        <v>SEMI-ANNUAL</v>
      </c>
      <c r="BB21" s="688">
        <f t="shared" si="17"/>
        <v>0</v>
      </c>
      <c r="BC21" s="687" t="str">
        <f t="shared" si="18"/>
        <v>EURYC</v>
      </c>
      <c r="BD21" s="687" t="str">
        <f t="shared" si="19"/>
        <v>EUR6ML</v>
      </c>
      <c r="BE21" s="687" t="str">
        <f t="shared" si="20"/>
        <v>EUROIS</v>
      </c>
      <c r="BF21" s="687" t="s">
        <v>3</v>
      </c>
      <c r="BG21" s="687" t="s">
        <v>38</v>
      </c>
      <c r="BH21" s="687" t="s">
        <v>0</v>
      </c>
      <c r="BI21" s="687" t="s">
        <v>38</v>
      </c>
      <c r="BJ21" s="687" t="s">
        <v>0</v>
      </c>
      <c r="BK21" s="687" t="s">
        <v>356</v>
      </c>
      <c r="BL21" s="687" t="s">
        <v>38</v>
      </c>
      <c r="BM21" s="687" t="s">
        <v>0</v>
      </c>
      <c r="BN21" s="687" t="s">
        <v>356</v>
      </c>
      <c r="BO21" s="687">
        <f t="shared" ca="1" si="21"/>
        <v>8</v>
      </c>
      <c r="BP21" s="687"/>
      <c r="BQ21" s="687"/>
      <c r="BR21" s="550" t="str">
        <f t="shared" si="24"/>
        <v>30Y</v>
      </c>
      <c r="BS21" s="550" t="str">
        <f t="shared" si="22"/>
        <v>QUARTERLY</v>
      </c>
      <c r="BT21" s="550" t="s">
        <v>2252</v>
      </c>
      <c r="BU21" s="550" t="s">
        <v>2252</v>
      </c>
      <c r="BV21" s="687"/>
      <c r="BW21" s="687"/>
      <c r="BX21" s="539" t="s">
        <v>1991</v>
      </c>
      <c r="BY21" s="671" t="s">
        <v>12</v>
      </c>
      <c r="BZ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IF(OR($D21="",$D21=0),"",_xll.meLWOSwapCreateFromLegLVBs($E21&amp;LEFT($H21,LEN($H21)-2)&amp;"x"&amp;LEFT($K21,LEN($K21)-2)&amp;"_"&amp;$A21,_xll.meUtilityLVBFromKeysValues(Leg1Keys,$N21:$AQ21),_xll.meUtilityLVBFromKeysValues(Leg2Keys,$AS21:$BX21),FALSE))</f>
        <v>EUR3X6_16@132:0</v>
      </c>
      <c r="CA21" s="517" t="str">
        <f ca="1">IF(OR($D21="",$D21=0),"",_xll.meLWOSwapPV(BZ21,X21))</f>
        <v>[2018/05/04 09:52] #Error: Invalid Curve: CurveCollection 'EURYC' does not exist</v>
      </c>
      <c r="CB21" s="685" t="str">
        <f ca="1">IF(OR($D21="",$D21=0),"",_xll.meLWOSwapParSpread($BZ21,X21))</f>
        <v>[2018/05/04 09:52] #Error: Invalid Curve: CurveCollection 'EURYC' does not exist</v>
      </c>
      <c r="CC21" s="671" t="s">
        <v>12</v>
      </c>
      <c r="CD21" s="684" t="str">
        <f>'EUR Curve Config'!BJ24</f>
        <v>30Y</v>
      </c>
      <c r="CE21" s="683">
        <f>'EUR Curve Config'!BK24</f>
        <v>4.8749999999999998E-4</v>
      </c>
      <c r="CF21" s="809">
        <f t="shared" si="25"/>
        <v>4.875</v>
      </c>
      <c r="CG21" s="932" t="e">
        <f t="shared" ca="1" si="23"/>
        <v>#VALUE!</v>
      </c>
      <c r="CH21" s="677" t="s">
        <v>12</v>
      </c>
      <c r="CI21" s="3"/>
    </row>
    <row r="22" spans="1:96">
      <c r="A22" s="203">
        <f t="shared" ref="A22:A25" si="27">A21+1</f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1994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1992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9"/>
        <v>OIS</v>
      </c>
      <c r="AA22" s="687" t="s">
        <v>3</v>
      </c>
      <c r="AB22" s="687" t="s">
        <v>38</v>
      </c>
      <c r="AC22" s="687" t="s">
        <v>0</v>
      </c>
      <c r="AD22" s="687" t="s">
        <v>38</v>
      </c>
      <c r="AE22" s="687" t="s">
        <v>0</v>
      </c>
      <c r="AF22" s="687" t="s">
        <v>356</v>
      </c>
      <c r="AG22" s="687" t="s">
        <v>38</v>
      </c>
      <c r="AH22" s="687" t="s">
        <v>0</v>
      </c>
      <c r="AI22" s="687" t="s">
        <v>356</v>
      </c>
      <c r="AJ22" s="687" t="e">
        <f t="shared" si="10"/>
        <v>#VALUE!</v>
      </c>
      <c r="AK22" s="687"/>
      <c r="AL22" s="687"/>
      <c r="AM22" s="550" t="s">
        <v>2252</v>
      </c>
      <c r="AN22" s="550" t="s">
        <v>2252</v>
      </c>
      <c r="AO22" s="687"/>
      <c r="AP22" s="687"/>
      <c r="AQ22" s="539" t="s">
        <v>1991</v>
      </c>
      <c r="AR22" s="807"/>
      <c r="AS22" s="686" t="s">
        <v>1993</v>
      </c>
      <c r="AT22" s="687">
        <f t="shared" si="11"/>
        <v>0</v>
      </c>
      <c r="AU22" s="689">
        <f t="shared" si="12"/>
        <v>0</v>
      </c>
      <c r="AV22" s="691">
        <f t="shared" si="13"/>
        <v>0</v>
      </c>
      <c r="AW22" s="687" t="s">
        <v>1992</v>
      </c>
      <c r="AX22" s="690">
        <v>1</v>
      </c>
      <c r="AY22" s="689" t="str">
        <f t="shared" si="14"/>
        <v/>
      </c>
      <c r="AZ22" s="689">
        <f t="shared" ref="AZ22:AZ25" si="28">F22</f>
        <v>0</v>
      </c>
      <c r="BA22" s="687" t="str">
        <f t="shared" si="16"/>
        <v>MONTHLY</v>
      </c>
      <c r="BB22" s="688">
        <f t="shared" si="17"/>
        <v>0</v>
      </c>
      <c r="BC22" s="687" t="str">
        <f t="shared" si="18"/>
        <v>YC</v>
      </c>
      <c r="BD22" s="687" t="str">
        <f t="shared" si="19"/>
        <v/>
      </c>
      <c r="BE22" s="687" t="str">
        <f t="shared" si="20"/>
        <v>OIS</v>
      </c>
      <c r="BF22" s="687" t="s">
        <v>3</v>
      </c>
      <c r="BG22" s="687" t="s">
        <v>38</v>
      </c>
      <c r="BH22" s="687" t="s">
        <v>0</v>
      </c>
      <c r="BI22" s="687" t="s">
        <v>38</v>
      </c>
      <c r="BJ22" s="687" t="s">
        <v>0</v>
      </c>
      <c r="BK22" s="687" t="s">
        <v>356</v>
      </c>
      <c r="BL22" s="687" t="s">
        <v>38</v>
      </c>
      <c r="BM22" s="687" t="s">
        <v>0</v>
      </c>
      <c r="BN22" s="687" t="s">
        <v>356</v>
      </c>
      <c r="BO22" s="687" t="e">
        <f t="shared" si="21"/>
        <v>#VALUE!</v>
      </c>
      <c r="BP22" s="687"/>
      <c r="BQ22" s="687"/>
      <c r="BR22" s="550">
        <f t="shared" si="24"/>
        <v>0</v>
      </c>
      <c r="BS22" s="550" t="str">
        <f t="shared" si="22"/>
        <v>MONTHLY</v>
      </c>
      <c r="BT22" s="550" t="s">
        <v>2252</v>
      </c>
      <c r="BU22" s="550" t="s">
        <v>2252</v>
      </c>
      <c r="BV22" s="687"/>
      <c r="BW22" s="687"/>
      <c r="BX22" s="539" t="s">
        <v>1991</v>
      </c>
      <c r="BY22" s="671" t="s">
        <v>12</v>
      </c>
      <c r="BZ22" s="686" t="str">
        <f>IF(OR($D22="",$D22=0),"",_xll.meLWOSwapCreateFromLegLVBs($E22&amp;LEFT($H22,LEN($H22)-2)&amp;"x"&amp;LEFT($K22,LEN($K22)-2)&amp;"_"&amp;$A22,_xll.meUtilityLVBFromKeysValues(Leg1Keys,$N22:$AQ22),_xll.meUtilityLVBFromKeysValues(Leg2Keys,$AS22:$BX22),FALSE))</f>
        <v/>
      </c>
      <c r="CA22" s="517" t="str">
        <f>IF(OR($D22="",$D22=0),"",_xll.meLWOSwapPV(BZ22,X22))</f>
        <v/>
      </c>
      <c r="CB22" s="685" t="str">
        <f>IF(OR($D22="",$D22=0),"",_xll.meLWOSwapParSpread($BZ22,X22))</f>
        <v/>
      </c>
      <c r="CC22" s="671" t="s">
        <v>12</v>
      </c>
      <c r="CD22" s="684"/>
      <c r="CE22" s="683"/>
      <c r="CF22" s="809"/>
      <c r="CG22" s="932" t="str">
        <f t="shared" si="23"/>
        <v/>
      </c>
      <c r="CH22" s="677" t="s">
        <v>12</v>
      </c>
      <c r="CI22" s="3"/>
    </row>
    <row r="23" spans="1:96">
      <c r="A23" s="203">
        <f t="shared" si="27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1994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1992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9"/>
        <v>OIS</v>
      </c>
      <c r="AA23" s="687" t="s">
        <v>3</v>
      </c>
      <c r="AB23" s="687" t="s">
        <v>38</v>
      </c>
      <c r="AC23" s="687" t="s">
        <v>0</v>
      </c>
      <c r="AD23" s="687" t="s">
        <v>38</v>
      </c>
      <c r="AE23" s="687" t="s">
        <v>0</v>
      </c>
      <c r="AF23" s="687" t="s">
        <v>356</v>
      </c>
      <c r="AG23" s="687" t="s">
        <v>38</v>
      </c>
      <c r="AH23" s="687" t="s">
        <v>0</v>
      </c>
      <c r="AI23" s="687" t="s">
        <v>356</v>
      </c>
      <c r="AJ23" s="687" t="e">
        <f t="shared" si="10"/>
        <v>#VALUE!</v>
      </c>
      <c r="AK23" s="687"/>
      <c r="AL23" s="687"/>
      <c r="AM23" s="550" t="s">
        <v>2252</v>
      </c>
      <c r="AN23" s="550" t="s">
        <v>2252</v>
      </c>
      <c r="AO23" s="687"/>
      <c r="AP23" s="687"/>
      <c r="AQ23" s="539" t="s">
        <v>1991</v>
      </c>
      <c r="AR23" s="807"/>
      <c r="AS23" s="686" t="s">
        <v>1993</v>
      </c>
      <c r="AT23" s="687">
        <f t="shared" si="11"/>
        <v>0</v>
      </c>
      <c r="AU23" s="689">
        <f t="shared" si="12"/>
        <v>0</v>
      </c>
      <c r="AV23" s="691">
        <f t="shared" si="13"/>
        <v>0</v>
      </c>
      <c r="AW23" s="687" t="s">
        <v>1992</v>
      </c>
      <c r="AX23" s="690">
        <v>1</v>
      </c>
      <c r="AY23" s="689" t="str">
        <f t="shared" si="14"/>
        <v/>
      </c>
      <c r="AZ23" s="689">
        <f t="shared" si="28"/>
        <v>0</v>
      </c>
      <c r="BA23" s="687" t="str">
        <f t="shared" si="16"/>
        <v>MONTHLY</v>
      </c>
      <c r="BB23" s="688">
        <f t="shared" si="17"/>
        <v>0</v>
      </c>
      <c r="BC23" s="687" t="str">
        <f t="shared" si="18"/>
        <v>YC</v>
      </c>
      <c r="BD23" s="687" t="str">
        <f t="shared" si="19"/>
        <v/>
      </c>
      <c r="BE23" s="687" t="str">
        <f t="shared" si="20"/>
        <v>OIS</v>
      </c>
      <c r="BF23" s="687" t="s">
        <v>3</v>
      </c>
      <c r="BG23" s="687" t="s">
        <v>38</v>
      </c>
      <c r="BH23" s="687" t="s">
        <v>0</v>
      </c>
      <c r="BI23" s="687" t="s">
        <v>38</v>
      </c>
      <c r="BJ23" s="687" t="s">
        <v>0</v>
      </c>
      <c r="BK23" s="687" t="s">
        <v>356</v>
      </c>
      <c r="BL23" s="687" t="s">
        <v>38</v>
      </c>
      <c r="BM23" s="687" t="s">
        <v>0</v>
      </c>
      <c r="BN23" s="687" t="s">
        <v>356</v>
      </c>
      <c r="BO23" s="687" t="e">
        <f t="shared" si="21"/>
        <v>#VALUE!</v>
      </c>
      <c r="BP23" s="687"/>
      <c r="BQ23" s="687"/>
      <c r="BR23" s="550">
        <f t="shared" si="24"/>
        <v>0</v>
      </c>
      <c r="BS23" s="550" t="str">
        <f t="shared" si="22"/>
        <v>MONTHLY</v>
      </c>
      <c r="BT23" s="550" t="s">
        <v>2252</v>
      </c>
      <c r="BU23" s="550" t="s">
        <v>2252</v>
      </c>
      <c r="BV23" s="687"/>
      <c r="BW23" s="687"/>
      <c r="BX23" s="539" t="s">
        <v>1991</v>
      </c>
      <c r="BY23" s="671" t="s">
        <v>12</v>
      </c>
      <c r="BZ23" s="686" t="str">
        <f>IF(OR($D23="",$D23=0),"",_xll.meLWOSwapCreateFromLegLVBs($E23&amp;LEFT($H23,LEN($H23)-2)&amp;"x"&amp;LEFT($K23,LEN($K23)-2)&amp;"_"&amp;$A23,_xll.meUtilityLVBFromKeysValues(Leg1Keys,$N23:$AQ23),_xll.meUtilityLVBFromKeysValues(Leg2Keys,$AS23:$BX23),FALSE))</f>
        <v/>
      </c>
      <c r="CA23" s="517" t="str">
        <f>IF(OR($D23="",$D23=0),"",_xll.meLWOSwapPV(BZ23,X23))</f>
        <v/>
      </c>
      <c r="CB23" s="685" t="str">
        <f>IF(OR($D23="",$D23=0),"",_xll.meLWOSwapParSpread($BZ23,X23))</f>
        <v/>
      </c>
      <c r="CC23" s="671" t="s">
        <v>12</v>
      </c>
      <c r="CD23" s="684"/>
      <c r="CE23" s="683"/>
      <c r="CF23" s="809"/>
      <c r="CG23" s="932" t="str">
        <f t="shared" si="23"/>
        <v/>
      </c>
      <c r="CH23" s="677" t="s">
        <v>12</v>
      </c>
      <c r="CI23" s="3"/>
    </row>
    <row r="24" spans="1:96">
      <c r="A24" s="203">
        <f t="shared" si="27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1994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1992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9"/>
        <v>OIS</v>
      </c>
      <c r="AA24" s="687" t="s">
        <v>3</v>
      </c>
      <c r="AB24" s="687" t="s">
        <v>38</v>
      </c>
      <c r="AC24" s="687" t="s">
        <v>0</v>
      </c>
      <c r="AD24" s="687" t="s">
        <v>38</v>
      </c>
      <c r="AE24" s="687" t="s">
        <v>0</v>
      </c>
      <c r="AF24" s="687" t="s">
        <v>356</v>
      </c>
      <c r="AG24" s="687" t="s">
        <v>38</v>
      </c>
      <c r="AH24" s="687" t="s">
        <v>0</v>
      </c>
      <c r="AI24" s="687" t="s">
        <v>356</v>
      </c>
      <c r="AJ24" s="687" t="e">
        <f t="shared" si="10"/>
        <v>#VALUE!</v>
      </c>
      <c r="AK24" s="687"/>
      <c r="AL24" s="687"/>
      <c r="AM24" s="550" t="s">
        <v>2252</v>
      </c>
      <c r="AN24" s="550" t="s">
        <v>2252</v>
      </c>
      <c r="AO24" s="687"/>
      <c r="AP24" s="687"/>
      <c r="AQ24" s="539" t="s">
        <v>1991</v>
      </c>
      <c r="AR24" s="807"/>
      <c r="AS24" s="686" t="s">
        <v>1993</v>
      </c>
      <c r="AT24" s="687">
        <f t="shared" si="11"/>
        <v>0</v>
      </c>
      <c r="AU24" s="689">
        <f t="shared" si="12"/>
        <v>0</v>
      </c>
      <c r="AV24" s="691">
        <f t="shared" si="13"/>
        <v>0</v>
      </c>
      <c r="AW24" s="687" t="s">
        <v>1992</v>
      </c>
      <c r="AX24" s="690">
        <v>1</v>
      </c>
      <c r="AY24" s="689" t="str">
        <f t="shared" si="14"/>
        <v/>
      </c>
      <c r="AZ24" s="689">
        <f t="shared" si="28"/>
        <v>0</v>
      </c>
      <c r="BA24" s="687" t="str">
        <f t="shared" si="16"/>
        <v>MONTHLY</v>
      </c>
      <c r="BB24" s="688">
        <f t="shared" si="17"/>
        <v>0</v>
      </c>
      <c r="BC24" s="687" t="str">
        <f t="shared" si="18"/>
        <v>YC</v>
      </c>
      <c r="BD24" s="687" t="str">
        <f t="shared" si="19"/>
        <v/>
      </c>
      <c r="BE24" s="687" t="str">
        <f t="shared" si="20"/>
        <v>OIS</v>
      </c>
      <c r="BF24" s="687" t="s">
        <v>3</v>
      </c>
      <c r="BG24" s="687" t="s">
        <v>38</v>
      </c>
      <c r="BH24" s="687" t="s">
        <v>0</v>
      </c>
      <c r="BI24" s="687" t="s">
        <v>38</v>
      </c>
      <c r="BJ24" s="687" t="s">
        <v>0</v>
      </c>
      <c r="BK24" s="687" t="s">
        <v>356</v>
      </c>
      <c r="BL24" s="687" t="s">
        <v>38</v>
      </c>
      <c r="BM24" s="687" t="s">
        <v>0</v>
      </c>
      <c r="BN24" s="687" t="s">
        <v>356</v>
      </c>
      <c r="BO24" s="687" t="e">
        <f t="shared" si="21"/>
        <v>#VALUE!</v>
      </c>
      <c r="BP24" s="687"/>
      <c r="BQ24" s="687"/>
      <c r="BR24" s="550">
        <f t="shared" si="24"/>
        <v>0</v>
      </c>
      <c r="BS24" s="550" t="str">
        <f t="shared" si="22"/>
        <v>MONTHLY</v>
      </c>
      <c r="BT24" s="550" t="s">
        <v>2252</v>
      </c>
      <c r="BU24" s="550" t="s">
        <v>2252</v>
      </c>
      <c r="BV24" s="687"/>
      <c r="BW24" s="687"/>
      <c r="BX24" s="539" t="s">
        <v>1991</v>
      </c>
      <c r="BY24" s="671" t="s">
        <v>12</v>
      </c>
      <c r="BZ24" s="686" t="str">
        <f>IF(OR($D24="",$D24=0),"",_xll.meLWOSwapCreateFromLegLVBs($E24&amp;LEFT($H24,LEN($H24)-2)&amp;"x"&amp;LEFT($K24,LEN($K24)-2)&amp;"_"&amp;$A24,_xll.meUtilityLVBFromKeysValues(Leg1Keys,$N24:$AQ24),_xll.meUtilityLVBFromKeysValues(Leg2Keys,$AS24:$BX24),FALSE))</f>
        <v/>
      </c>
      <c r="CA24" s="517" t="str">
        <f>IF(OR($D24="",$D24=0),"",_xll.meLWOSwapPV(BZ24,X24))</f>
        <v/>
      </c>
      <c r="CB24" s="685" t="str">
        <f>IF(OR($D24="",$D24=0),"",_xll.meLWOSwapParSpread($BZ24,X24))</f>
        <v/>
      </c>
      <c r="CC24" s="671" t="s">
        <v>12</v>
      </c>
      <c r="CD24" s="684"/>
      <c r="CE24" s="683"/>
      <c r="CF24" s="809"/>
      <c r="CG24" s="932" t="str">
        <f t="shared" si="23"/>
        <v/>
      </c>
      <c r="CH24" s="677" t="s">
        <v>12</v>
      </c>
      <c r="CI24" s="3"/>
    </row>
    <row r="25" spans="1:96">
      <c r="A25" s="203">
        <f t="shared" si="27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1994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1992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9"/>
        <v>OIS</v>
      </c>
      <c r="AA25" s="672" t="s">
        <v>3</v>
      </c>
      <c r="AB25" s="672" t="s">
        <v>38</v>
      </c>
      <c r="AC25" s="672" t="s">
        <v>0</v>
      </c>
      <c r="AD25" s="672" t="s">
        <v>38</v>
      </c>
      <c r="AE25" s="672" t="s">
        <v>0</v>
      </c>
      <c r="AF25" s="672" t="s">
        <v>356</v>
      </c>
      <c r="AG25" s="672" t="s">
        <v>38</v>
      </c>
      <c r="AH25" s="672" t="s">
        <v>0</v>
      </c>
      <c r="AI25" s="672" t="s">
        <v>356</v>
      </c>
      <c r="AJ25" s="672" t="e">
        <f t="shared" si="10"/>
        <v>#VALUE!</v>
      </c>
      <c r="AK25" s="672"/>
      <c r="AL25" s="672"/>
      <c r="AM25" s="557" t="s">
        <v>2252</v>
      </c>
      <c r="AN25" s="557" t="s">
        <v>2252</v>
      </c>
      <c r="AO25" s="672"/>
      <c r="AP25" s="672"/>
      <c r="AQ25" s="540" t="s">
        <v>1991</v>
      </c>
      <c r="AR25" s="807"/>
      <c r="AS25" s="670" t="s">
        <v>1993</v>
      </c>
      <c r="AT25" s="672">
        <f t="shared" si="11"/>
        <v>0</v>
      </c>
      <c r="AU25" s="674">
        <f t="shared" si="12"/>
        <v>0</v>
      </c>
      <c r="AV25" s="676">
        <f t="shared" si="13"/>
        <v>0</v>
      </c>
      <c r="AW25" s="672" t="s">
        <v>1992</v>
      </c>
      <c r="AX25" s="675">
        <v>1</v>
      </c>
      <c r="AY25" s="674" t="str">
        <f t="shared" si="14"/>
        <v/>
      </c>
      <c r="AZ25" s="674">
        <f t="shared" si="28"/>
        <v>0</v>
      </c>
      <c r="BA25" s="672" t="str">
        <f t="shared" si="16"/>
        <v>MONTHLY</v>
      </c>
      <c r="BB25" s="673">
        <f t="shared" si="17"/>
        <v>0</v>
      </c>
      <c r="BC25" s="672" t="str">
        <f t="shared" si="18"/>
        <v>YC</v>
      </c>
      <c r="BD25" s="672" t="str">
        <f t="shared" si="19"/>
        <v/>
      </c>
      <c r="BE25" s="672" t="str">
        <f t="shared" si="20"/>
        <v>OIS</v>
      </c>
      <c r="BF25" s="672" t="s">
        <v>3</v>
      </c>
      <c r="BG25" s="672" t="s">
        <v>38</v>
      </c>
      <c r="BH25" s="672" t="s">
        <v>0</v>
      </c>
      <c r="BI25" s="672" t="s">
        <v>38</v>
      </c>
      <c r="BJ25" s="672" t="s">
        <v>0</v>
      </c>
      <c r="BK25" s="672" t="s">
        <v>356</v>
      </c>
      <c r="BL25" s="672" t="s">
        <v>38</v>
      </c>
      <c r="BM25" s="672" t="s">
        <v>0</v>
      </c>
      <c r="BN25" s="672" t="s">
        <v>356</v>
      </c>
      <c r="BO25" s="672" t="e">
        <f t="shared" si="21"/>
        <v>#VALUE!</v>
      </c>
      <c r="BP25" s="672"/>
      <c r="BQ25" s="672"/>
      <c r="BR25" s="557">
        <f t="shared" si="24"/>
        <v>0</v>
      </c>
      <c r="BS25" s="557" t="str">
        <f t="shared" si="22"/>
        <v>MONTHLY</v>
      </c>
      <c r="BT25" s="557" t="s">
        <v>2252</v>
      </c>
      <c r="BU25" s="557" t="s">
        <v>2252</v>
      </c>
      <c r="BV25" s="672"/>
      <c r="BW25" s="672"/>
      <c r="BX25" s="540" t="s">
        <v>1991</v>
      </c>
      <c r="BY25" s="671" t="s">
        <v>12</v>
      </c>
      <c r="BZ25" s="670" t="str">
        <f>IF(OR($D25="",$D25=0),"",_xll.meLWOSwapCreateFromLegLVBs($E25&amp;LEFT($H25,LEN($H25)-2)&amp;"x"&amp;LEFT($K25,LEN($K25)-2)&amp;"_"&amp;$A25,_xll.meUtilityLVBFromKeysValues(Leg1Keys,$N25:$AQ25),_xll.meUtilityLVBFromKeysValues(Leg2Keys,$AS25:$BX25),FALSE))</f>
        <v/>
      </c>
      <c r="CA25" s="519" t="str">
        <f>IF(OR($D25="",$D25=0),"",_xll.meLWOSwapPV(BZ25,X25))</f>
        <v/>
      </c>
      <c r="CB25" s="669" t="str">
        <f>IF(OR($D25="",$D25=0),"",_xll.meLWOSwapParSpread($BZ25,X25))</f>
        <v/>
      </c>
      <c r="CC25" s="671" t="s">
        <v>12</v>
      </c>
      <c r="CD25" s="668"/>
      <c r="CE25" s="667"/>
      <c r="CF25" s="810"/>
      <c r="CG25" s="933" t="str">
        <f t="shared" si="23"/>
        <v/>
      </c>
      <c r="CH25" s="677" t="s">
        <v>12</v>
      </c>
      <c r="CI25" s="3"/>
    </row>
    <row r="26" spans="1:96">
      <c r="AM26" s="106" t="s">
        <v>12</v>
      </c>
      <c r="AN26" s="106" t="s">
        <v>12</v>
      </c>
      <c r="BR26" s="106" t="s">
        <v>12</v>
      </c>
      <c r="BS26" s="106" t="s">
        <v>12</v>
      </c>
      <c r="BT26" s="106" t="s">
        <v>12</v>
      </c>
      <c r="BU26" s="106" t="s">
        <v>12</v>
      </c>
      <c r="CG26" s="995"/>
      <c r="CH26" s="995"/>
      <c r="CI26" s="995"/>
      <c r="CJ26" s="995"/>
    </row>
    <row r="27" spans="1:96">
      <c r="O27" s="1000"/>
      <c r="P27" s="1000"/>
      <c r="Q27" s="1000"/>
      <c r="R27" s="1000"/>
      <c r="S27" s="1000"/>
      <c r="T27" s="1000"/>
      <c r="U27" s="1000"/>
      <c r="V27" s="1000"/>
      <c r="W27" s="1000"/>
      <c r="X27" s="1000"/>
      <c r="Y27" s="1000"/>
      <c r="Z27" s="1000"/>
      <c r="AA27" s="1000"/>
      <c r="AB27" s="1000"/>
      <c r="AC27" s="1000"/>
      <c r="AD27" s="1000"/>
      <c r="AE27" s="1000"/>
      <c r="AF27" s="1000"/>
      <c r="AG27" s="1000"/>
      <c r="AH27" s="1000"/>
      <c r="AI27" s="1000"/>
      <c r="AJ27" s="1000"/>
      <c r="AK27" s="1000"/>
      <c r="AL27" s="1000"/>
      <c r="AO27" s="1000"/>
      <c r="AP27" s="1000"/>
      <c r="AQ27" s="1000"/>
      <c r="AR27" s="1000"/>
      <c r="AS27" s="1000"/>
      <c r="AT27" s="1000"/>
      <c r="AU27" s="1000"/>
      <c r="AV27" s="1000"/>
      <c r="AW27" s="1000"/>
      <c r="AX27" s="1000"/>
      <c r="AY27" s="1000"/>
      <c r="AZ27" s="1000"/>
      <c r="BA27" s="1000"/>
      <c r="BB27" s="1000"/>
      <c r="BC27" s="1000"/>
      <c r="BD27" s="1000"/>
      <c r="BE27" s="1000"/>
      <c r="BF27" s="1000"/>
      <c r="BG27" s="1000"/>
      <c r="BH27" s="1000"/>
      <c r="BI27" s="1000"/>
      <c r="BJ27" s="1000"/>
      <c r="BK27" s="1000"/>
      <c r="BL27" s="1000"/>
      <c r="BM27" s="1000"/>
      <c r="BN27" s="1000"/>
      <c r="BO27" s="1000"/>
      <c r="BP27" s="1000"/>
      <c r="BQ27" s="1000"/>
      <c r="BV27" s="1000"/>
      <c r="BW27" s="1000"/>
      <c r="BX27" s="1000"/>
      <c r="BY27" s="1000"/>
      <c r="BZ27" s="1000"/>
      <c r="CA27" s="1000"/>
      <c r="CB27" s="1000"/>
      <c r="CC27" s="1000"/>
      <c r="CD27" s="1000"/>
      <c r="CE27" s="1000"/>
      <c r="CF27" s="1000"/>
      <c r="CG27" s="1000"/>
      <c r="CH27" s="1000"/>
      <c r="CI27" s="1000"/>
      <c r="CJ27" s="1000"/>
      <c r="CK27" s="1000"/>
      <c r="CL27" s="1000"/>
      <c r="CM27" s="1000"/>
      <c r="CN27" s="1000"/>
      <c r="CO27" s="1000"/>
      <c r="CP27" s="1000"/>
      <c r="CQ27" s="1000"/>
      <c r="CR27" s="1000"/>
    </row>
    <row r="28" spans="1:96">
      <c r="N28" s="1000"/>
      <c r="O28" s="1000"/>
      <c r="P28" s="1000"/>
      <c r="Q28" s="1000"/>
      <c r="R28" s="1000"/>
      <c r="S28" s="1000"/>
      <c r="T28" s="1000"/>
      <c r="U28" s="1000"/>
      <c r="V28" s="1000"/>
      <c r="W28" s="1000"/>
      <c r="X28" s="1000"/>
      <c r="Y28" s="1000"/>
      <c r="Z28" s="1000"/>
      <c r="AA28" s="1000"/>
      <c r="AB28" s="1000"/>
      <c r="AC28" s="1000"/>
      <c r="AD28" s="1000"/>
      <c r="AE28" s="1000"/>
      <c r="AF28" s="1000"/>
      <c r="AG28" s="1000"/>
      <c r="AH28" s="1000"/>
      <c r="AI28" s="1000"/>
      <c r="AJ28" s="1000"/>
      <c r="AK28" s="1000"/>
      <c r="AL28" s="1000"/>
      <c r="AO28" s="1000"/>
      <c r="AP28" s="1000"/>
      <c r="AQ28" s="1000"/>
      <c r="AR28" s="1000"/>
      <c r="AS28" s="1000"/>
      <c r="AT28" s="1000"/>
      <c r="AU28" s="1000"/>
      <c r="AV28" s="1000"/>
      <c r="AW28" s="1000"/>
      <c r="AX28" s="1000"/>
      <c r="AY28" s="1000"/>
      <c r="AZ28" s="1000"/>
      <c r="BA28" s="1000"/>
      <c r="BB28" s="1000"/>
      <c r="BC28" s="1000"/>
      <c r="BD28" s="1000"/>
      <c r="BE28" s="1000"/>
      <c r="BF28" s="1000"/>
      <c r="BG28" s="1000"/>
      <c r="BH28" s="1000"/>
      <c r="BI28" s="1000"/>
      <c r="BJ28" s="1000"/>
      <c r="BK28" s="1000"/>
      <c r="BL28" s="1000"/>
      <c r="BM28" s="1000"/>
      <c r="BN28" s="1000"/>
      <c r="BO28" s="1000"/>
      <c r="BP28" s="1000"/>
      <c r="BQ28" s="1000"/>
      <c r="BV28" s="1000"/>
      <c r="BW28" s="1000"/>
      <c r="BX28" s="1000"/>
      <c r="BY28" s="1000"/>
      <c r="BZ28" s="1000"/>
      <c r="CA28" s="1000"/>
      <c r="CB28" s="1000"/>
      <c r="CC28" s="1000"/>
      <c r="CD28" s="1000"/>
      <c r="CE28" s="1000"/>
      <c r="CF28" s="1000"/>
      <c r="CG28" s="1000"/>
      <c r="CH28" s="1000"/>
      <c r="CI28" s="1000"/>
      <c r="CJ28" s="1000"/>
      <c r="CK28" s="1000"/>
      <c r="CL28" s="1000"/>
      <c r="CM28" s="1000"/>
      <c r="CN28" s="1000"/>
      <c r="CO28" s="1000"/>
      <c r="CP28" s="1000"/>
      <c r="CQ28" s="1000"/>
      <c r="CR28" s="1000"/>
    </row>
    <row r="29" spans="1:96">
      <c r="N29" s="1000"/>
      <c r="O29" s="1000"/>
      <c r="P29" s="1000"/>
      <c r="Q29" s="1000"/>
      <c r="R29" s="1000"/>
      <c r="S29" s="1000"/>
      <c r="T29" s="1000"/>
      <c r="U29" s="1000"/>
      <c r="V29" s="1000"/>
      <c r="W29" s="1000"/>
      <c r="X29" s="1000"/>
      <c r="Y29" s="1000"/>
      <c r="Z29" s="1000"/>
      <c r="AA29" s="1000"/>
      <c r="AB29" s="1000"/>
      <c r="AC29" s="1000"/>
      <c r="AD29" s="1000"/>
      <c r="AE29" s="1000"/>
      <c r="AF29" s="1000"/>
      <c r="AG29" s="1000"/>
      <c r="AH29" s="1000"/>
      <c r="AI29" s="1000"/>
      <c r="AJ29" s="1000"/>
      <c r="AK29" s="1000"/>
      <c r="AL29" s="1000"/>
      <c r="AO29" s="1000"/>
      <c r="AP29" s="1000"/>
      <c r="AQ29" s="1000"/>
      <c r="AR29" s="1000"/>
      <c r="AS29" s="1000"/>
      <c r="AT29" s="1000"/>
      <c r="AU29" s="1000"/>
      <c r="AV29" s="1000"/>
      <c r="AW29" s="1000"/>
      <c r="AX29" s="1000"/>
      <c r="AY29" s="1000"/>
      <c r="AZ29" s="1000"/>
      <c r="BA29" s="1000"/>
      <c r="BB29" s="1000"/>
      <c r="BC29" s="1000"/>
      <c r="BD29" s="1000"/>
      <c r="BE29" s="1000"/>
      <c r="BF29" s="1000"/>
      <c r="BG29" s="1000"/>
      <c r="BH29" s="1000"/>
      <c r="BI29" s="1000"/>
      <c r="BJ29" s="1000"/>
      <c r="BK29" s="1000"/>
      <c r="BL29" s="1000"/>
      <c r="BM29" s="1000"/>
      <c r="BN29" s="1000"/>
      <c r="BO29" s="1000"/>
      <c r="BP29" s="1000"/>
      <c r="BQ29" s="1000"/>
      <c r="BV29" s="1000"/>
      <c r="BW29" s="1000"/>
      <c r="BX29" s="1000"/>
      <c r="BY29" s="1000"/>
      <c r="BZ29" s="1000"/>
      <c r="CA29" s="1000"/>
      <c r="CB29" s="1000"/>
      <c r="CC29" s="1000"/>
      <c r="CD29" s="1000"/>
      <c r="CE29" s="1000"/>
      <c r="CF29" s="1000"/>
      <c r="CG29" s="1000"/>
      <c r="CH29" s="1000"/>
      <c r="CI29" s="1000"/>
      <c r="CJ29" s="1000"/>
      <c r="CK29" s="1000"/>
      <c r="CL29" s="1000"/>
      <c r="CM29" s="1000"/>
      <c r="CN29" s="1000"/>
      <c r="CO29" s="1000"/>
      <c r="CP29" s="1000"/>
      <c r="CQ29" s="1000"/>
      <c r="CR29" s="1000"/>
    </row>
    <row r="30" spans="1:96">
      <c r="N30" s="1000"/>
      <c r="O30" s="1000"/>
      <c r="P30" s="1000"/>
      <c r="Q30" s="1000"/>
      <c r="R30" s="1000"/>
      <c r="S30" s="1000"/>
      <c r="T30" s="1000"/>
      <c r="U30" s="1000"/>
      <c r="V30" s="1000"/>
      <c r="W30" s="1000"/>
      <c r="X30" s="1000"/>
      <c r="Y30" s="1000"/>
      <c r="Z30" s="1000"/>
      <c r="AA30" s="1000"/>
      <c r="AB30" s="1000"/>
      <c r="AC30" s="1000"/>
      <c r="AD30" s="1000"/>
      <c r="AE30" s="1000"/>
      <c r="AF30" s="1000"/>
      <c r="AG30" s="1000"/>
      <c r="AH30" s="1000"/>
      <c r="AI30" s="1000"/>
      <c r="AJ30" s="1000"/>
      <c r="AK30" s="1000"/>
      <c r="AL30" s="1000"/>
      <c r="AO30" s="1000"/>
      <c r="AP30" s="1000"/>
      <c r="AQ30" s="1000"/>
      <c r="AR30" s="1000"/>
      <c r="AS30" s="1000"/>
      <c r="AT30" s="1000"/>
      <c r="AU30" s="1000"/>
      <c r="AV30" s="1000"/>
      <c r="AW30" s="1000"/>
      <c r="AX30" s="1000"/>
      <c r="AY30" s="1000"/>
      <c r="AZ30" s="1000"/>
      <c r="BA30" s="1000"/>
      <c r="BB30" s="1000"/>
      <c r="BC30" s="1000"/>
      <c r="BD30" s="1000"/>
      <c r="BE30" s="1000"/>
      <c r="BF30" s="1000"/>
      <c r="BG30" s="1000"/>
      <c r="BH30" s="1000"/>
      <c r="BI30" s="1000"/>
      <c r="BJ30" s="1000"/>
      <c r="BK30" s="1000"/>
      <c r="BL30" s="1000"/>
      <c r="BM30" s="1000"/>
      <c r="BN30" s="1000"/>
      <c r="BO30" s="1000"/>
      <c r="BP30" s="1000"/>
      <c r="BQ30" s="1000"/>
      <c r="BV30" s="1000"/>
      <c r="BW30" s="1000"/>
      <c r="BX30" s="1000"/>
      <c r="BY30" s="1000"/>
      <c r="BZ30" s="1000"/>
      <c r="CA30" s="1000"/>
      <c r="CB30" s="1000"/>
      <c r="CC30" s="1000"/>
      <c r="CD30" s="1000"/>
      <c r="CE30" s="1000"/>
      <c r="CF30" s="1000"/>
      <c r="CG30" s="1000"/>
      <c r="CH30" s="1000"/>
      <c r="CI30" s="1000"/>
      <c r="CJ30" s="1000"/>
      <c r="CK30" s="1000"/>
      <c r="CL30" s="1000"/>
      <c r="CM30" s="1000"/>
      <c r="CN30" s="1000"/>
      <c r="CO30" s="1000"/>
      <c r="CP30" s="1000"/>
      <c r="CQ30" s="1000"/>
      <c r="CR30" s="1000"/>
    </row>
    <row r="31" spans="1:96">
      <c r="N31" s="1000"/>
      <c r="O31" s="1000"/>
      <c r="P31" s="1000"/>
      <c r="Q31" s="1000"/>
      <c r="R31" s="1000"/>
      <c r="S31" s="1000"/>
      <c r="T31" s="1000"/>
      <c r="U31" s="1000"/>
      <c r="V31" s="1000"/>
      <c r="W31" s="1000"/>
      <c r="X31" s="1000"/>
      <c r="Y31" s="1000"/>
      <c r="Z31" s="1000"/>
      <c r="AA31" s="1000"/>
      <c r="AB31" s="1000"/>
      <c r="AC31" s="1000"/>
      <c r="AD31" s="1000"/>
      <c r="AE31" s="1000"/>
      <c r="AF31" s="1000"/>
      <c r="AG31" s="1000"/>
      <c r="AH31" s="1000"/>
      <c r="AI31" s="1000"/>
      <c r="AJ31" s="1000"/>
      <c r="AK31" s="1000"/>
      <c r="AL31" s="1000"/>
      <c r="AO31" s="1000"/>
      <c r="AP31" s="1000"/>
      <c r="AQ31" s="1000"/>
      <c r="AR31" s="1000"/>
      <c r="AS31" s="1000"/>
      <c r="AT31" s="1000"/>
      <c r="AU31" s="1000"/>
      <c r="AV31" s="1000"/>
      <c r="AW31" s="1000"/>
      <c r="AX31" s="1000"/>
      <c r="AY31" s="1000"/>
      <c r="AZ31" s="1000"/>
      <c r="BA31" s="1000"/>
      <c r="BB31" s="1000"/>
      <c r="BC31" s="1000"/>
      <c r="BD31" s="1000"/>
      <c r="BE31" s="1000"/>
      <c r="BF31" s="1000"/>
      <c r="BG31" s="1000"/>
      <c r="BH31" s="1000"/>
      <c r="BI31" s="1000"/>
      <c r="BJ31" s="1000"/>
      <c r="BK31" s="1000"/>
      <c r="BL31" s="1000"/>
      <c r="BM31" s="1000"/>
      <c r="BN31" s="1000"/>
      <c r="BO31" s="1000"/>
      <c r="BP31" s="1000"/>
      <c r="BQ31" s="1000"/>
      <c r="BV31" s="1000"/>
      <c r="BW31" s="1000"/>
      <c r="BX31" s="1000"/>
      <c r="BY31" s="1000"/>
      <c r="BZ31" s="1000"/>
      <c r="CA31" s="1000"/>
      <c r="CB31" s="1000"/>
      <c r="CC31" s="1000"/>
      <c r="CD31" s="1000"/>
      <c r="CE31" s="1000"/>
      <c r="CF31" s="1000"/>
      <c r="CG31" s="1000"/>
      <c r="CH31" s="1000"/>
      <c r="CI31" s="1000"/>
      <c r="CJ31" s="1000"/>
      <c r="CK31" s="1000"/>
      <c r="CL31" s="1000"/>
      <c r="CM31" s="1000"/>
      <c r="CN31" s="1000"/>
      <c r="CO31" s="1000"/>
      <c r="CP31" s="1000"/>
      <c r="CQ31" s="1000"/>
      <c r="CR31" s="1000"/>
    </row>
    <row r="32" spans="1:96">
      <c r="N32" s="1000"/>
      <c r="O32" s="1000"/>
      <c r="P32" s="1000"/>
      <c r="Q32" s="1000"/>
      <c r="R32" s="1000"/>
      <c r="S32" s="1000"/>
      <c r="T32" s="1000"/>
      <c r="U32" s="1000"/>
      <c r="V32" s="1000"/>
      <c r="W32" s="1000"/>
      <c r="X32" s="1000"/>
      <c r="Y32" s="1000"/>
      <c r="Z32" s="1000"/>
      <c r="AA32" s="1000"/>
      <c r="AB32" s="1000"/>
      <c r="AC32" s="1000"/>
      <c r="AD32" s="1000"/>
      <c r="AE32" s="1000"/>
      <c r="AF32" s="1000"/>
      <c r="AG32" s="1000"/>
      <c r="AH32" s="1000"/>
      <c r="AI32" s="1000"/>
      <c r="AJ32" s="1000"/>
      <c r="AK32" s="1000"/>
      <c r="AL32" s="1000"/>
      <c r="AO32" s="1000"/>
      <c r="AP32" s="1000"/>
      <c r="AQ32" s="1000"/>
      <c r="AR32" s="1000"/>
      <c r="AS32" s="1000"/>
      <c r="AT32" s="1000"/>
      <c r="AU32" s="1000"/>
      <c r="AV32" s="1000"/>
      <c r="AW32" s="1000"/>
      <c r="AX32" s="1000"/>
      <c r="AY32" s="1000"/>
      <c r="AZ32" s="1000"/>
      <c r="BA32" s="1000"/>
      <c r="BB32" s="1000"/>
      <c r="BC32" s="1000"/>
      <c r="BD32" s="1000"/>
      <c r="BE32" s="1000"/>
      <c r="BF32" s="1000"/>
      <c r="BG32" s="1000"/>
      <c r="BH32" s="1000"/>
      <c r="BI32" s="1000"/>
      <c r="BJ32" s="1000"/>
      <c r="BK32" s="1000"/>
      <c r="BL32" s="1000"/>
      <c r="BM32" s="1000"/>
      <c r="BN32" s="1000"/>
      <c r="BO32" s="1000"/>
      <c r="BP32" s="1000"/>
      <c r="BQ32" s="1000"/>
      <c r="BV32" s="1000"/>
      <c r="BW32" s="1000"/>
      <c r="BX32" s="1000"/>
      <c r="BY32" s="1000"/>
      <c r="BZ32" s="1000"/>
      <c r="CA32" s="1000"/>
      <c r="CB32" s="1000"/>
      <c r="CC32" s="1000"/>
      <c r="CD32" s="1000"/>
      <c r="CE32" s="1000"/>
      <c r="CF32" s="1000"/>
      <c r="CG32" s="1000"/>
      <c r="CH32" s="1000"/>
      <c r="CI32" s="1000"/>
      <c r="CJ32" s="1000"/>
      <c r="CK32" s="1000"/>
      <c r="CL32" s="1000"/>
      <c r="CM32" s="1000"/>
      <c r="CN32" s="1000"/>
      <c r="CO32" s="1000"/>
      <c r="CP32" s="1000"/>
      <c r="CQ32" s="1000"/>
      <c r="CR32" s="1000"/>
    </row>
    <row r="33" spans="14:96">
      <c r="N33" s="1000"/>
      <c r="O33" s="1000"/>
      <c r="P33" s="1000"/>
      <c r="Q33" s="1000"/>
      <c r="R33" s="1000"/>
      <c r="S33" s="1000"/>
      <c r="T33" s="1000"/>
      <c r="U33" s="1000"/>
      <c r="V33" s="1000"/>
      <c r="W33" s="1000"/>
      <c r="X33" s="1000"/>
      <c r="Y33" s="1000"/>
      <c r="Z33" s="1000"/>
      <c r="AA33" s="1000"/>
      <c r="AB33" s="1000"/>
      <c r="AC33" s="1000"/>
      <c r="AD33" s="1000"/>
      <c r="AE33" s="1000"/>
      <c r="AF33" s="1000"/>
      <c r="AG33" s="1000"/>
      <c r="AH33" s="1000"/>
      <c r="AI33" s="1000"/>
      <c r="AJ33" s="1000"/>
      <c r="AK33" s="1000"/>
      <c r="AL33" s="1000"/>
      <c r="AO33" s="1000"/>
      <c r="AP33" s="1000"/>
      <c r="AQ33" s="1000"/>
      <c r="AR33" s="1000"/>
      <c r="AS33" s="1000"/>
      <c r="AT33" s="1000"/>
      <c r="AU33" s="1000"/>
      <c r="AV33" s="1000"/>
      <c r="AW33" s="1000"/>
      <c r="AX33" s="1000"/>
      <c r="AY33" s="1000"/>
      <c r="AZ33" s="1000"/>
      <c r="BA33" s="1000"/>
      <c r="BB33" s="1000"/>
      <c r="BC33" s="1000"/>
      <c r="BD33" s="1000"/>
      <c r="BE33" s="1000"/>
      <c r="BF33" s="1000"/>
      <c r="BG33" s="1000"/>
      <c r="BH33" s="1000"/>
      <c r="BI33" s="1000"/>
      <c r="BJ33" s="1000"/>
      <c r="BK33" s="1000"/>
      <c r="BL33" s="1000"/>
      <c r="BM33" s="1000"/>
      <c r="BN33" s="1000"/>
      <c r="BO33" s="1000"/>
      <c r="BP33" s="1000"/>
      <c r="BQ33" s="1000"/>
      <c r="BV33" s="1000"/>
      <c r="BW33" s="1000"/>
      <c r="BX33" s="1000"/>
      <c r="BY33" s="1000"/>
      <c r="BZ33" s="1000"/>
      <c r="CA33" s="1000"/>
      <c r="CB33" s="1000"/>
      <c r="CC33" s="1000"/>
      <c r="CD33" s="1000"/>
      <c r="CE33" s="1000"/>
      <c r="CF33" s="1000"/>
      <c r="CG33" s="1000"/>
      <c r="CH33" s="1000"/>
      <c r="CI33" s="1000"/>
      <c r="CJ33" s="1000"/>
      <c r="CK33" s="1000"/>
      <c r="CL33" s="1000"/>
      <c r="CM33" s="1000"/>
      <c r="CN33" s="1000"/>
      <c r="CO33" s="1000"/>
      <c r="CP33" s="1000"/>
      <c r="CQ33" s="1000"/>
      <c r="CR33" s="1000"/>
    </row>
    <row r="34" spans="14:96">
      <c r="N34" s="1000"/>
      <c r="O34" s="1000"/>
      <c r="P34" s="1000"/>
      <c r="Q34" s="1000"/>
      <c r="R34" s="1000"/>
      <c r="S34" s="1000"/>
      <c r="T34" s="1000"/>
      <c r="U34" s="1000"/>
      <c r="V34" s="1000"/>
      <c r="W34" s="1000"/>
      <c r="X34" s="1000"/>
      <c r="Y34" s="1000"/>
      <c r="Z34" s="1000"/>
      <c r="AA34" s="1000"/>
      <c r="AB34" s="1000"/>
      <c r="AC34" s="1000"/>
      <c r="AD34" s="1000"/>
      <c r="AE34" s="1000"/>
      <c r="AF34" s="1000"/>
      <c r="AG34" s="1000"/>
      <c r="AH34" s="1000"/>
      <c r="AI34" s="1000"/>
      <c r="AJ34" s="1000"/>
      <c r="AK34" s="1000"/>
      <c r="AL34" s="1000"/>
      <c r="AO34" s="1000"/>
      <c r="AP34" s="1000"/>
      <c r="AQ34" s="1000"/>
      <c r="AR34" s="1000"/>
      <c r="AS34" s="1000"/>
      <c r="AT34" s="1000"/>
      <c r="AU34" s="1000"/>
      <c r="AV34" s="1000"/>
      <c r="AW34" s="1000"/>
      <c r="AX34" s="1000"/>
      <c r="AY34" s="1000"/>
      <c r="AZ34" s="1000"/>
      <c r="BA34" s="1000"/>
      <c r="BB34" s="1000"/>
      <c r="BC34" s="1000"/>
      <c r="BD34" s="1000"/>
      <c r="BE34" s="1000"/>
      <c r="BF34" s="1000"/>
      <c r="BG34" s="1000"/>
      <c r="BH34" s="1000"/>
      <c r="BI34" s="1000"/>
      <c r="BJ34" s="1000"/>
      <c r="BK34" s="1000"/>
      <c r="BL34" s="1000"/>
      <c r="BM34" s="1000"/>
      <c r="BN34" s="1000"/>
      <c r="BO34" s="1000"/>
      <c r="BP34" s="1000"/>
      <c r="BQ34" s="1000"/>
      <c r="BV34" s="1000"/>
      <c r="BW34" s="1000"/>
      <c r="BX34" s="1000"/>
      <c r="BY34" s="1000"/>
      <c r="BZ34" s="1000"/>
      <c r="CA34" s="1000"/>
      <c r="CB34" s="1000"/>
      <c r="CC34" s="1000"/>
      <c r="CD34" s="1000"/>
      <c r="CE34" s="1000"/>
      <c r="CF34" s="1000"/>
      <c r="CG34" s="1000"/>
      <c r="CH34" s="1000"/>
      <c r="CI34" s="1000"/>
      <c r="CJ34" s="1000"/>
      <c r="CK34" s="1000"/>
      <c r="CL34" s="1000"/>
      <c r="CM34" s="1000"/>
      <c r="CN34" s="1000"/>
      <c r="CO34" s="1000"/>
      <c r="CP34" s="1000"/>
      <c r="CQ34" s="1000"/>
      <c r="CR34" s="1000"/>
    </row>
    <row r="35" spans="14:96">
      <c r="N35" s="1000"/>
      <c r="O35" s="1000"/>
      <c r="P35" s="1000"/>
      <c r="Q35" s="1000"/>
      <c r="R35" s="1000"/>
      <c r="S35" s="1000"/>
      <c r="T35" s="1000"/>
      <c r="U35" s="1000"/>
      <c r="V35" s="1000"/>
      <c r="W35" s="1000"/>
      <c r="X35" s="1000"/>
      <c r="Y35" s="1000"/>
      <c r="Z35" s="1000"/>
      <c r="AA35" s="1000"/>
      <c r="AB35" s="1000"/>
      <c r="AC35" s="1000"/>
      <c r="AD35" s="1000"/>
      <c r="AE35" s="1000"/>
      <c r="AF35" s="1000"/>
      <c r="AG35" s="1000"/>
      <c r="AH35" s="1000"/>
      <c r="AI35" s="1000"/>
      <c r="AJ35" s="1000"/>
      <c r="AK35" s="1000"/>
      <c r="AL35" s="1000"/>
      <c r="AO35" s="1000"/>
      <c r="AP35" s="1000"/>
      <c r="AQ35" s="1000"/>
      <c r="AR35" s="1000"/>
      <c r="AS35" s="1000"/>
      <c r="AT35" s="1000"/>
      <c r="AU35" s="1000"/>
      <c r="AV35" s="1000"/>
      <c r="AW35" s="1000"/>
      <c r="AX35" s="1000"/>
      <c r="AY35" s="1000"/>
      <c r="AZ35" s="1000"/>
      <c r="BA35" s="1000"/>
      <c r="BB35" s="1000"/>
      <c r="BC35" s="1000"/>
      <c r="BD35" s="1000"/>
      <c r="BE35" s="1000"/>
      <c r="BF35" s="1000"/>
      <c r="BG35" s="1000"/>
      <c r="BH35" s="1000"/>
      <c r="BI35" s="1000"/>
      <c r="BJ35" s="1000"/>
      <c r="BK35" s="1000"/>
      <c r="BL35" s="1000"/>
      <c r="BM35" s="1000"/>
      <c r="BN35" s="1000"/>
      <c r="BO35" s="1000"/>
      <c r="BP35" s="1000"/>
      <c r="BQ35" s="1000"/>
      <c r="BV35" s="1000"/>
      <c r="BW35" s="1000"/>
      <c r="BX35" s="1000"/>
      <c r="BY35" s="1000"/>
      <c r="BZ35" s="1000"/>
      <c r="CA35" s="1000"/>
      <c r="CB35" s="1000"/>
      <c r="CC35" s="1000"/>
      <c r="CD35" s="1000"/>
      <c r="CE35" s="1000"/>
      <c r="CF35" s="1000"/>
      <c r="CG35" s="1000"/>
      <c r="CH35" s="1000"/>
      <c r="CI35" s="1000"/>
      <c r="CJ35" s="1000"/>
      <c r="CK35" s="1000"/>
      <c r="CL35" s="1000"/>
      <c r="CM35" s="1000"/>
      <c r="CN35" s="1000"/>
      <c r="CO35" s="1000"/>
      <c r="CP35" s="1000"/>
      <c r="CQ35" s="1000"/>
      <c r="CR35" s="1000"/>
    </row>
    <row r="36" spans="14:96">
      <c r="N36" s="1000"/>
      <c r="O36" s="1000"/>
      <c r="P36" s="1000"/>
      <c r="Q36" s="1000"/>
      <c r="R36" s="1000"/>
      <c r="S36" s="1000"/>
      <c r="T36" s="1000"/>
      <c r="U36" s="1000"/>
      <c r="V36" s="1000"/>
      <c r="W36" s="1000"/>
      <c r="X36" s="1000"/>
      <c r="Y36" s="1000"/>
      <c r="Z36" s="1000"/>
      <c r="AA36" s="1000"/>
      <c r="AB36" s="1000"/>
      <c r="AC36" s="1000"/>
      <c r="AD36" s="1000"/>
      <c r="AE36" s="1000"/>
      <c r="AF36" s="1000"/>
      <c r="AG36" s="1000"/>
      <c r="AH36" s="1000"/>
      <c r="AI36" s="1000"/>
      <c r="AJ36" s="1000"/>
      <c r="AK36" s="1000"/>
      <c r="AL36" s="1000"/>
      <c r="AO36" s="1000"/>
      <c r="AP36" s="1000"/>
      <c r="AQ36" s="1000"/>
      <c r="AR36" s="1000"/>
      <c r="AS36" s="1000"/>
      <c r="AT36" s="1000"/>
      <c r="AU36" s="1000"/>
      <c r="AV36" s="1000"/>
      <c r="AW36" s="1000"/>
      <c r="AX36" s="1000"/>
      <c r="AY36" s="1000"/>
      <c r="AZ36" s="1000"/>
      <c r="BA36" s="1000"/>
      <c r="BB36" s="1000"/>
      <c r="BC36" s="1000"/>
      <c r="BD36" s="1000"/>
      <c r="BE36" s="1000"/>
      <c r="BF36" s="1000"/>
      <c r="BG36" s="1000"/>
      <c r="BH36" s="1000"/>
      <c r="BI36" s="1000"/>
      <c r="BJ36" s="1000"/>
      <c r="BK36" s="1000"/>
      <c r="BL36" s="1000"/>
      <c r="BM36" s="1000"/>
      <c r="BN36" s="1000"/>
      <c r="BO36" s="1000"/>
      <c r="BP36" s="1000"/>
      <c r="BQ36" s="1000"/>
      <c r="BV36" s="1000"/>
      <c r="BW36" s="1000"/>
      <c r="BX36" s="1000"/>
      <c r="BY36" s="1000"/>
      <c r="BZ36" s="1000"/>
      <c r="CA36" s="1000"/>
      <c r="CB36" s="1000"/>
      <c r="CC36" s="1000"/>
      <c r="CD36" s="1000"/>
      <c r="CE36" s="1000"/>
      <c r="CF36" s="1000"/>
      <c r="CG36" s="1000"/>
      <c r="CH36" s="1000"/>
      <c r="CI36" s="1000"/>
      <c r="CJ36" s="1000"/>
      <c r="CK36" s="1000"/>
      <c r="CL36" s="1000"/>
      <c r="CM36" s="1000"/>
      <c r="CN36" s="1000"/>
      <c r="CO36" s="1000"/>
      <c r="CP36" s="1000"/>
      <c r="CQ36" s="1000"/>
      <c r="CR36" s="1000"/>
    </row>
    <row r="37" spans="14:96">
      <c r="N37" s="1000"/>
      <c r="O37" s="1000"/>
      <c r="P37" s="1000"/>
      <c r="Q37" s="1000"/>
      <c r="R37" s="1000"/>
      <c r="S37" s="1000"/>
      <c r="T37" s="1000"/>
      <c r="U37" s="1000"/>
      <c r="V37" s="1000"/>
      <c r="W37" s="1000"/>
      <c r="X37" s="1000"/>
      <c r="Y37" s="1000"/>
      <c r="Z37" s="1000"/>
      <c r="AA37" s="1000"/>
      <c r="AB37" s="1000"/>
      <c r="AC37" s="1000"/>
      <c r="AD37" s="1000"/>
      <c r="AE37" s="1000"/>
      <c r="AF37" s="1000"/>
      <c r="AG37" s="1000"/>
      <c r="AH37" s="1000"/>
      <c r="AI37" s="1000"/>
      <c r="AJ37" s="1000"/>
      <c r="AK37" s="1000"/>
      <c r="AL37" s="1000"/>
      <c r="AO37" s="1000"/>
      <c r="AP37" s="1000"/>
      <c r="AQ37" s="1000"/>
      <c r="AR37" s="1000"/>
      <c r="AS37" s="1000"/>
      <c r="AT37" s="1000"/>
      <c r="AU37" s="1000"/>
      <c r="AV37" s="1000"/>
      <c r="AW37" s="1000"/>
      <c r="AX37" s="1000"/>
      <c r="AY37" s="1000"/>
      <c r="AZ37" s="1000"/>
      <c r="BA37" s="1000"/>
      <c r="BB37" s="1000"/>
      <c r="BC37" s="1000"/>
      <c r="BD37" s="1000"/>
      <c r="BE37" s="1000"/>
      <c r="BF37" s="1000"/>
      <c r="BG37" s="1000"/>
      <c r="BH37" s="1000"/>
      <c r="BI37" s="1000"/>
      <c r="BJ37" s="1000"/>
      <c r="BK37" s="1000"/>
      <c r="BL37" s="1000"/>
      <c r="BM37" s="1000"/>
      <c r="BN37" s="1000"/>
      <c r="BO37" s="1000"/>
      <c r="BP37" s="1000"/>
      <c r="BQ37" s="1000"/>
      <c r="BV37" s="1000"/>
      <c r="BW37" s="1000"/>
      <c r="BX37" s="1000"/>
      <c r="BY37" s="1000"/>
      <c r="BZ37" s="1000"/>
      <c r="CA37" s="1000"/>
      <c r="CB37" s="1000"/>
      <c r="CC37" s="1000"/>
      <c r="CD37" s="1000"/>
      <c r="CE37" s="1000"/>
      <c r="CF37" s="1000"/>
      <c r="CG37" s="1000"/>
      <c r="CH37" s="1000"/>
      <c r="CI37" s="1000"/>
      <c r="CJ37" s="1000"/>
      <c r="CK37" s="1000"/>
      <c r="CL37" s="1000"/>
      <c r="CM37" s="1000"/>
      <c r="CN37" s="1000"/>
      <c r="CO37" s="1000"/>
      <c r="CP37" s="1000"/>
      <c r="CQ37" s="1000"/>
      <c r="CR37" s="1000"/>
    </row>
    <row r="38" spans="14:96">
      <c r="N38" s="1000"/>
      <c r="O38" s="1000"/>
      <c r="P38" s="1000"/>
      <c r="Q38" s="1000"/>
      <c r="R38" s="1000"/>
      <c r="S38" s="1000"/>
      <c r="T38" s="1000"/>
      <c r="U38" s="1000"/>
      <c r="V38" s="1000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1000"/>
      <c r="BB38" s="1000"/>
      <c r="BC38" s="1000"/>
      <c r="BD38" s="1000"/>
      <c r="BE38" s="1000"/>
      <c r="BF38" s="1000"/>
      <c r="BG38" s="1000"/>
      <c r="BH38" s="1000"/>
      <c r="BI38" s="1000"/>
      <c r="BJ38" s="1000"/>
      <c r="BK38" s="1000"/>
      <c r="BL38" s="1000"/>
      <c r="BM38" s="1000"/>
      <c r="BN38" s="1000"/>
      <c r="BO38" s="1000"/>
      <c r="BP38" s="1000"/>
      <c r="BQ38" s="1000"/>
      <c r="BV38" s="1000"/>
      <c r="BW38" s="1000"/>
      <c r="BX38" s="1000"/>
      <c r="BY38" s="1000"/>
      <c r="BZ38" s="1000"/>
      <c r="CA38" s="1000"/>
      <c r="CB38" s="1000"/>
      <c r="CC38" s="1000"/>
      <c r="CD38" s="1000"/>
      <c r="CE38" s="1000"/>
      <c r="CF38" s="1000"/>
      <c r="CG38" s="1000"/>
      <c r="CH38" s="1000"/>
      <c r="CI38" s="1000"/>
      <c r="CJ38" s="1000"/>
      <c r="CK38" s="1000"/>
      <c r="CL38" s="1000"/>
      <c r="CM38" s="1000"/>
      <c r="CN38" s="1000"/>
      <c r="CO38" s="1000"/>
      <c r="CP38" s="1000"/>
      <c r="CQ38" s="1000"/>
      <c r="CR38" s="1000"/>
    </row>
    <row r="39" spans="14:96">
      <c r="N39" s="1000"/>
      <c r="O39" s="1000"/>
      <c r="P39" s="1000"/>
      <c r="Q39" s="1000"/>
      <c r="R39" s="1000"/>
      <c r="S39" s="1000"/>
      <c r="T39" s="1000"/>
      <c r="U39" s="1000"/>
      <c r="V39" s="1000"/>
      <c r="W39" s="1000"/>
      <c r="X39" s="1000"/>
      <c r="Y39" s="1000"/>
      <c r="Z39" s="1000"/>
      <c r="AA39" s="1000"/>
      <c r="AB39" s="1000"/>
      <c r="AC39" s="1000"/>
      <c r="AD39" s="1000"/>
      <c r="AE39" s="1000"/>
      <c r="AF39" s="1000"/>
      <c r="AG39" s="1000"/>
      <c r="AH39" s="1000"/>
      <c r="AI39" s="1000"/>
      <c r="AJ39" s="1000"/>
      <c r="AK39" s="1000"/>
      <c r="AL39" s="1000"/>
      <c r="AO39" s="1000"/>
      <c r="AP39" s="1000"/>
      <c r="AQ39" s="1000"/>
      <c r="AR39" s="1000"/>
      <c r="AS39" s="1000"/>
      <c r="AT39" s="1000"/>
      <c r="AU39" s="1000"/>
      <c r="AV39" s="1000"/>
      <c r="AW39" s="1000"/>
      <c r="AX39" s="1000"/>
      <c r="AY39" s="1000"/>
      <c r="AZ39" s="1000"/>
      <c r="BA39" s="1000"/>
      <c r="BB39" s="1000"/>
      <c r="BC39" s="1000"/>
      <c r="BD39" s="1000"/>
      <c r="BE39" s="1000"/>
      <c r="BF39" s="1000"/>
      <c r="BG39" s="1000"/>
      <c r="BH39" s="1000"/>
      <c r="BI39" s="1000"/>
      <c r="BJ39" s="1000"/>
      <c r="BK39" s="1000"/>
      <c r="BL39" s="1000"/>
      <c r="BM39" s="1000"/>
      <c r="BN39" s="1000"/>
      <c r="BO39" s="1000"/>
      <c r="BP39" s="1000"/>
      <c r="BQ39" s="1000"/>
      <c r="BV39" s="1000"/>
      <c r="BW39" s="1000"/>
      <c r="BX39" s="1000"/>
      <c r="BY39" s="1000"/>
      <c r="BZ39" s="1000"/>
      <c r="CA39" s="1000"/>
      <c r="CB39" s="1000"/>
      <c r="CC39" s="1000"/>
      <c r="CD39" s="1000"/>
      <c r="CE39" s="1000"/>
      <c r="CF39" s="1000"/>
      <c r="CG39" s="1000"/>
      <c r="CH39" s="1000"/>
      <c r="CI39" s="1000"/>
      <c r="CJ39" s="1000"/>
      <c r="CK39" s="1000"/>
      <c r="CL39" s="1000"/>
      <c r="CM39" s="1000"/>
      <c r="CN39" s="1000"/>
      <c r="CO39" s="1000"/>
      <c r="CP39" s="1000"/>
      <c r="CQ39" s="1000"/>
      <c r="CR39" s="1000"/>
    </row>
    <row r="40" spans="14:96">
      <c r="N40" s="1000"/>
      <c r="O40" s="1000"/>
      <c r="P40" s="1000"/>
      <c r="Q40" s="1000"/>
      <c r="R40" s="1000"/>
      <c r="S40" s="1000"/>
      <c r="T40" s="1000"/>
      <c r="U40" s="1000"/>
      <c r="V40" s="1000"/>
      <c r="W40" s="1000"/>
      <c r="X40" s="1000"/>
      <c r="Y40" s="1000"/>
      <c r="Z40" s="1000"/>
      <c r="AA40" s="1000"/>
      <c r="AB40" s="1000"/>
      <c r="AC40" s="1000"/>
      <c r="AD40" s="1000"/>
      <c r="AE40" s="1000"/>
      <c r="AF40" s="1000"/>
      <c r="AG40" s="1000"/>
      <c r="AH40" s="1000"/>
      <c r="AI40" s="1000"/>
      <c r="AJ40" s="1000"/>
      <c r="AK40" s="1000"/>
      <c r="AL40" s="1000"/>
      <c r="AO40" s="1000"/>
      <c r="AP40" s="1000"/>
      <c r="AQ40" s="1000"/>
      <c r="AR40" s="1000"/>
      <c r="AS40" s="1000"/>
      <c r="AT40" s="1000"/>
      <c r="AU40" s="1000"/>
      <c r="AV40" s="1000"/>
      <c r="AW40" s="1000"/>
      <c r="AX40" s="1000"/>
      <c r="AY40" s="1000"/>
      <c r="AZ40" s="1000"/>
      <c r="BA40" s="1000"/>
      <c r="BB40" s="1000"/>
      <c r="BC40" s="1000"/>
      <c r="BD40" s="1000"/>
      <c r="BE40" s="1000"/>
      <c r="BF40" s="1000"/>
      <c r="BG40" s="1000"/>
      <c r="BH40" s="1000"/>
      <c r="BI40" s="1000"/>
      <c r="BJ40" s="1000"/>
      <c r="BK40" s="1000"/>
      <c r="BL40" s="1000"/>
      <c r="BM40" s="1000"/>
      <c r="BN40" s="1000"/>
      <c r="BO40" s="1000"/>
      <c r="BP40" s="1000"/>
      <c r="BQ40" s="1000"/>
      <c r="BV40" s="1000"/>
      <c r="BW40" s="1000"/>
      <c r="BX40" s="1000"/>
      <c r="BY40" s="1000"/>
      <c r="BZ40" s="1000"/>
      <c r="CA40" s="1000"/>
      <c r="CB40" s="1000"/>
      <c r="CC40" s="1000"/>
      <c r="CD40" s="1000"/>
      <c r="CE40" s="1000"/>
      <c r="CF40" s="1000"/>
      <c r="CG40" s="1000"/>
      <c r="CH40" s="1000"/>
      <c r="CI40" s="1000"/>
      <c r="CJ40" s="1000"/>
      <c r="CK40" s="1000"/>
      <c r="CL40" s="1000"/>
      <c r="CM40" s="1000"/>
      <c r="CN40" s="1000"/>
      <c r="CO40" s="1000"/>
      <c r="CP40" s="1000"/>
      <c r="CQ40" s="1000"/>
      <c r="CR40" s="1000"/>
    </row>
    <row r="41" spans="14:96">
      <c r="N41" s="1000"/>
      <c r="O41" s="1000"/>
      <c r="P41" s="1000"/>
      <c r="Q41" s="1000"/>
      <c r="R41" s="1000"/>
      <c r="S41" s="1000"/>
      <c r="T41" s="1000"/>
      <c r="U41" s="1000"/>
      <c r="V41" s="1000"/>
      <c r="W41" s="1000"/>
      <c r="X41" s="1000"/>
      <c r="Y41" s="1000"/>
      <c r="Z41" s="1000"/>
      <c r="AA41" s="1000"/>
      <c r="AB41" s="1000"/>
      <c r="AC41" s="1000"/>
      <c r="AD41" s="1000"/>
      <c r="AE41" s="1000"/>
      <c r="AF41" s="1000"/>
      <c r="AG41" s="1000"/>
      <c r="AH41" s="1000"/>
      <c r="AI41" s="1000"/>
      <c r="AJ41" s="1000"/>
      <c r="AK41" s="1000"/>
      <c r="AL41" s="1000"/>
      <c r="AO41" s="1000"/>
      <c r="AP41" s="1000"/>
      <c r="AQ41" s="1000"/>
      <c r="AR41" s="1000"/>
      <c r="AS41" s="1000"/>
      <c r="AT41" s="1000"/>
      <c r="AU41" s="1000"/>
      <c r="AV41" s="1000"/>
      <c r="AW41" s="1000"/>
      <c r="AX41" s="1000"/>
      <c r="AY41" s="1000"/>
      <c r="AZ41" s="1000"/>
      <c r="BA41" s="1000"/>
      <c r="BB41" s="1000"/>
      <c r="BC41" s="1000"/>
      <c r="BD41" s="1000"/>
      <c r="BE41" s="1000"/>
      <c r="BF41" s="1000"/>
      <c r="BG41" s="1000"/>
      <c r="BH41" s="1000"/>
      <c r="BI41" s="1000"/>
      <c r="BJ41" s="1000"/>
      <c r="BK41" s="1000"/>
      <c r="BL41" s="1000"/>
      <c r="BM41" s="1000"/>
      <c r="BN41" s="1000"/>
      <c r="BO41" s="1000"/>
      <c r="BP41" s="1000"/>
      <c r="BQ41" s="1000"/>
      <c r="BV41" s="1000"/>
      <c r="BW41" s="1000"/>
      <c r="BX41" s="1000"/>
      <c r="BY41" s="1000"/>
      <c r="BZ41" s="1000"/>
      <c r="CA41" s="1000"/>
      <c r="CB41" s="1000"/>
      <c r="CC41" s="1000"/>
      <c r="CD41" s="1000"/>
      <c r="CE41" s="1000"/>
      <c r="CF41" s="1000"/>
      <c r="CG41" s="1000"/>
      <c r="CH41" s="1000"/>
      <c r="CI41" s="1000"/>
      <c r="CJ41" s="1000"/>
      <c r="CK41" s="1000"/>
      <c r="CL41" s="1000"/>
      <c r="CM41" s="1000"/>
      <c r="CN41" s="1000"/>
      <c r="CO41" s="1000"/>
      <c r="CP41" s="1000"/>
      <c r="CQ41" s="1000"/>
      <c r="CR41" s="1000"/>
    </row>
    <row r="42" spans="14:96">
      <c r="N42" s="1000"/>
      <c r="O42" s="1000"/>
      <c r="P42" s="1000"/>
      <c r="Q42" s="1000"/>
      <c r="R42" s="1000"/>
      <c r="S42" s="1000"/>
      <c r="T42" s="1000"/>
      <c r="U42" s="1000"/>
      <c r="V42" s="1000"/>
      <c r="W42" s="1000"/>
      <c r="X42" s="1000"/>
      <c r="Y42" s="1000"/>
      <c r="Z42" s="1000"/>
      <c r="AA42" s="1000"/>
      <c r="AB42" s="1000"/>
      <c r="AC42" s="1000"/>
      <c r="AD42" s="1000"/>
      <c r="AE42" s="1000"/>
      <c r="AF42" s="1000"/>
      <c r="AG42" s="1000"/>
      <c r="AH42" s="1000"/>
      <c r="AI42" s="1000"/>
      <c r="AJ42" s="1000"/>
      <c r="AK42" s="1000"/>
      <c r="AL42" s="1000"/>
      <c r="AO42" s="1000"/>
      <c r="AP42" s="1000"/>
      <c r="AQ42" s="1000"/>
      <c r="AR42" s="1000"/>
      <c r="AS42" s="1000"/>
      <c r="AT42" s="1000"/>
      <c r="AU42" s="1000"/>
      <c r="AV42" s="1000"/>
      <c r="AW42" s="1000"/>
      <c r="AX42" s="1000"/>
      <c r="AY42" s="1000"/>
      <c r="AZ42" s="1000"/>
      <c r="BA42" s="1000"/>
      <c r="BB42" s="1000"/>
      <c r="BC42" s="1000"/>
      <c r="BD42" s="1000"/>
      <c r="BE42" s="1000"/>
      <c r="BF42" s="1000"/>
      <c r="BG42" s="1000"/>
      <c r="BH42" s="1000"/>
      <c r="BI42" s="1000"/>
      <c r="BJ42" s="1000"/>
      <c r="BK42" s="1000"/>
      <c r="BL42" s="1000"/>
      <c r="BM42" s="1000"/>
      <c r="BN42" s="1000"/>
      <c r="BO42" s="1000"/>
      <c r="BP42" s="1000"/>
      <c r="BQ42" s="1000"/>
      <c r="BV42" s="1000"/>
      <c r="BW42" s="1000"/>
      <c r="BX42" s="1000"/>
      <c r="BY42" s="1000"/>
      <c r="BZ42" s="1000"/>
      <c r="CA42" s="1000"/>
      <c r="CB42" s="1000"/>
      <c r="CC42" s="1000"/>
      <c r="CD42" s="1000"/>
      <c r="CE42" s="1000"/>
      <c r="CF42" s="1000"/>
      <c r="CG42" s="1000"/>
      <c r="CH42" s="1000"/>
      <c r="CI42" s="1000"/>
      <c r="CJ42" s="1000"/>
      <c r="CK42" s="1000"/>
      <c r="CL42" s="1000"/>
      <c r="CM42" s="1000"/>
      <c r="CN42" s="1000"/>
      <c r="CO42" s="1000"/>
      <c r="CP42" s="1000"/>
      <c r="CQ42" s="1000"/>
      <c r="CR42" s="1000"/>
    </row>
    <row r="43" spans="14:96">
      <c r="N43" s="1000"/>
      <c r="O43" s="1000"/>
      <c r="P43" s="1000"/>
      <c r="Q43" s="1000"/>
      <c r="R43" s="1000"/>
      <c r="S43" s="1000"/>
      <c r="T43" s="1000"/>
      <c r="U43" s="1000"/>
      <c r="V43" s="1000"/>
      <c r="W43" s="1000"/>
      <c r="X43" s="1000"/>
      <c r="Y43" s="1000"/>
      <c r="Z43" s="1000"/>
      <c r="AA43" s="1000"/>
      <c r="AB43" s="1000"/>
      <c r="AC43" s="1000"/>
      <c r="AD43" s="1000"/>
      <c r="AE43" s="1000"/>
      <c r="AF43" s="1000"/>
      <c r="AG43" s="1000"/>
      <c r="AH43" s="1000"/>
      <c r="AI43" s="1000"/>
      <c r="AJ43" s="1000"/>
      <c r="AK43" s="1000"/>
      <c r="AL43" s="1000"/>
      <c r="AO43" s="1000"/>
      <c r="AP43" s="1000"/>
      <c r="AQ43" s="1000"/>
      <c r="AR43" s="1000"/>
      <c r="AS43" s="1000"/>
      <c r="AT43" s="1000"/>
      <c r="AU43" s="1000"/>
      <c r="AV43" s="1000"/>
      <c r="AW43" s="1000"/>
      <c r="AX43" s="1000"/>
      <c r="AY43" s="1000"/>
      <c r="AZ43" s="1000"/>
      <c r="BA43" s="1000"/>
      <c r="BB43" s="1000"/>
      <c r="BC43" s="1000"/>
      <c r="BD43" s="1000"/>
      <c r="BE43" s="1000"/>
      <c r="BF43" s="1000"/>
      <c r="BG43" s="1000"/>
      <c r="BH43" s="1000"/>
      <c r="BI43" s="1000"/>
      <c r="BJ43" s="1000"/>
      <c r="BK43" s="1000"/>
      <c r="BL43" s="1000"/>
      <c r="BM43" s="1000"/>
      <c r="BN43" s="1000"/>
      <c r="BO43" s="1000"/>
      <c r="BP43" s="1000"/>
      <c r="BQ43" s="1000"/>
      <c r="BV43" s="1000"/>
      <c r="BW43" s="1000"/>
      <c r="BX43" s="1000"/>
      <c r="BY43" s="1000"/>
      <c r="BZ43" s="1000"/>
      <c r="CA43" s="1000"/>
      <c r="CB43" s="1000"/>
      <c r="CC43" s="1000"/>
      <c r="CD43" s="1000"/>
      <c r="CE43" s="1000"/>
      <c r="CF43" s="1000"/>
      <c r="CG43" s="1000"/>
      <c r="CH43" s="1000"/>
      <c r="CI43" s="1000"/>
      <c r="CJ43" s="1000"/>
      <c r="CK43" s="1000"/>
      <c r="CL43" s="1000"/>
      <c r="CM43" s="1000"/>
      <c r="CN43" s="1000"/>
      <c r="CO43" s="1000"/>
      <c r="CP43" s="1000"/>
      <c r="CQ43" s="1000"/>
      <c r="CR43" s="1000"/>
    </row>
    <row r="44" spans="14:96">
      <c r="N44" s="1000"/>
      <c r="O44" s="1000"/>
      <c r="P44" s="1000"/>
      <c r="Q44" s="1000"/>
      <c r="R44" s="1000"/>
      <c r="S44" s="1000"/>
      <c r="T44" s="1000"/>
      <c r="U44" s="1000"/>
      <c r="V44" s="1000"/>
      <c r="W44" s="1000"/>
      <c r="X44" s="1000"/>
      <c r="Y44" s="1000"/>
      <c r="Z44" s="1000"/>
      <c r="AA44" s="1000"/>
      <c r="AB44" s="1000"/>
      <c r="AC44" s="1000"/>
      <c r="AD44" s="1000"/>
      <c r="AE44" s="1000"/>
      <c r="AF44" s="1000"/>
      <c r="AG44" s="1000"/>
      <c r="AH44" s="1000"/>
      <c r="AI44" s="1000"/>
      <c r="AJ44" s="1000"/>
      <c r="AK44" s="1000"/>
      <c r="AL44" s="1000"/>
      <c r="AO44" s="1000"/>
      <c r="AP44" s="1000"/>
      <c r="AQ44" s="1000"/>
      <c r="AR44" s="1000"/>
      <c r="AS44" s="1000"/>
      <c r="AT44" s="1000"/>
      <c r="AU44" s="1000"/>
      <c r="AV44" s="1000"/>
      <c r="AW44" s="1000"/>
      <c r="AX44" s="1000"/>
      <c r="AY44" s="1000"/>
      <c r="AZ44" s="1000"/>
      <c r="BA44" s="1000"/>
      <c r="BB44" s="1000"/>
      <c r="BC44" s="1000"/>
      <c r="BD44" s="1000"/>
      <c r="BE44" s="1000"/>
      <c r="BF44" s="1000"/>
      <c r="BG44" s="1000"/>
      <c r="BH44" s="1000"/>
      <c r="BI44" s="1000"/>
      <c r="BJ44" s="1000"/>
      <c r="BK44" s="1000"/>
      <c r="BL44" s="1000"/>
      <c r="BM44" s="1000"/>
      <c r="BN44" s="1000"/>
      <c r="BO44" s="1000"/>
      <c r="BP44" s="1000"/>
      <c r="BQ44" s="1000"/>
      <c r="BV44" s="1000"/>
      <c r="BW44" s="1000"/>
      <c r="BX44" s="1000"/>
      <c r="BY44" s="1000"/>
      <c r="BZ44" s="1000"/>
      <c r="CA44" s="1000"/>
      <c r="CB44" s="1000"/>
      <c r="CC44" s="1000"/>
      <c r="CD44" s="1000"/>
      <c r="CE44" s="1000"/>
      <c r="CF44" s="1000"/>
      <c r="CG44" s="1000"/>
      <c r="CH44" s="1000"/>
      <c r="CI44" s="1000"/>
      <c r="CJ44" s="1000"/>
      <c r="CK44" s="1000"/>
      <c r="CL44" s="1000"/>
      <c r="CM44" s="1000"/>
      <c r="CN44" s="1000"/>
      <c r="CO44" s="1000"/>
      <c r="CP44" s="1000"/>
      <c r="CQ44" s="1000"/>
      <c r="CR44" s="1000"/>
    </row>
    <row r="45" spans="14:96">
      <c r="N45" s="1000"/>
      <c r="O45" s="1000"/>
      <c r="P45" s="1000"/>
      <c r="Q45" s="1000"/>
      <c r="R45" s="1000"/>
      <c r="S45" s="1000"/>
      <c r="T45" s="1000"/>
      <c r="U45" s="1000"/>
      <c r="V45" s="1000"/>
      <c r="W45" s="1000"/>
      <c r="X45" s="1000"/>
      <c r="Y45" s="1000"/>
      <c r="Z45" s="1000"/>
      <c r="AA45" s="1000"/>
      <c r="AB45" s="1000"/>
      <c r="AC45" s="1000"/>
      <c r="AD45" s="1000"/>
      <c r="AE45" s="1000"/>
      <c r="AF45" s="1000"/>
      <c r="AG45" s="1000"/>
      <c r="AH45" s="1000"/>
      <c r="AI45" s="1000"/>
      <c r="AJ45" s="1000"/>
      <c r="AK45" s="1000"/>
      <c r="AL45" s="1000"/>
      <c r="AO45" s="1000"/>
      <c r="AP45" s="1000"/>
      <c r="AQ45" s="1000"/>
      <c r="AR45" s="1000"/>
      <c r="AS45" s="1000"/>
      <c r="AT45" s="1000"/>
      <c r="AU45" s="1000"/>
      <c r="AV45" s="1000"/>
      <c r="AW45" s="1000"/>
      <c r="AX45" s="1000"/>
      <c r="AY45" s="1000"/>
      <c r="AZ45" s="1000"/>
      <c r="BA45" s="1000"/>
      <c r="BB45" s="1000"/>
      <c r="BC45" s="1000"/>
      <c r="BD45" s="1000"/>
      <c r="BE45" s="1000"/>
      <c r="BF45" s="1000"/>
      <c r="BG45" s="1000"/>
      <c r="BH45" s="1000"/>
      <c r="BI45" s="1000"/>
      <c r="BJ45" s="1000"/>
      <c r="BK45" s="1000"/>
      <c r="BL45" s="1000"/>
      <c r="BM45" s="1000"/>
      <c r="BN45" s="1000"/>
      <c r="BO45" s="1000"/>
      <c r="BP45" s="1000"/>
      <c r="BQ45" s="1000"/>
      <c r="BV45" s="1000"/>
      <c r="BW45" s="1000"/>
      <c r="BX45" s="1000"/>
      <c r="BY45" s="1000"/>
      <c r="BZ45" s="1000"/>
      <c r="CA45" s="1000"/>
      <c r="CB45" s="1000"/>
      <c r="CC45" s="1000"/>
      <c r="CD45" s="1000"/>
      <c r="CE45" s="1000"/>
      <c r="CF45" s="1000"/>
      <c r="CG45" s="1000"/>
      <c r="CH45" s="1000"/>
      <c r="CI45" s="1000"/>
      <c r="CJ45" s="1000"/>
      <c r="CK45" s="1000"/>
      <c r="CL45" s="1000"/>
      <c r="CM45" s="1000"/>
      <c r="CN45" s="1000"/>
      <c r="CO45" s="1000"/>
      <c r="CP45" s="1000"/>
      <c r="CQ45" s="1000"/>
      <c r="CR45" s="1000"/>
    </row>
    <row r="46" spans="14:96">
      <c r="N46" s="1000"/>
      <c r="O46" s="1000"/>
      <c r="P46" s="1000"/>
      <c r="Q46" s="1000"/>
      <c r="R46" s="1000"/>
      <c r="S46" s="1000"/>
      <c r="T46" s="1000"/>
      <c r="U46" s="1000"/>
      <c r="V46" s="1000"/>
      <c r="W46" s="1000"/>
      <c r="X46" s="1000"/>
      <c r="Y46" s="1000"/>
      <c r="Z46" s="1000"/>
      <c r="AA46" s="1000"/>
      <c r="AB46" s="1000"/>
      <c r="AC46" s="1000"/>
      <c r="AD46" s="1000"/>
      <c r="AE46" s="1000"/>
      <c r="AF46" s="1000"/>
      <c r="AG46" s="1000"/>
      <c r="AH46" s="1000"/>
      <c r="AI46" s="1000"/>
      <c r="AJ46" s="1000"/>
      <c r="AK46" s="1000"/>
      <c r="AL46" s="1000"/>
      <c r="AO46" s="1000"/>
      <c r="AP46" s="1000"/>
      <c r="AQ46" s="1000"/>
      <c r="AR46" s="1000"/>
      <c r="AS46" s="1000"/>
      <c r="AT46" s="1000"/>
      <c r="AU46" s="1000"/>
      <c r="AV46" s="1000"/>
      <c r="AW46" s="1000"/>
      <c r="AX46" s="1000"/>
      <c r="AY46" s="1000"/>
      <c r="AZ46" s="1000"/>
      <c r="BA46" s="1000"/>
      <c r="BB46" s="1000"/>
      <c r="BC46" s="1000"/>
      <c r="BD46" s="1000"/>
      <c r="BE46" s="1000"/>
      <c r="BF46" s="1000"/>
      <c r="BG46" s="1000"/>
      <c r="BH46" s="1000"/>
      <c r="BI46" s="1000"/>
      <c r="BJ46" s="1000"/>
      <c r="BK46" s="1000"/>
      <c r="BL46" s="1000"/>
      <c r="BM46" s="1000"/>
      <c r="BN46" s="1000"/>
      <c r="BO46" s="1000"/>
      <c r="BP46" s="1000"/>
      <c r="BQ46" s="1000"/>
      <c r="BV46" s="1000"/>
      <c r="BW46" s="1000"/>
      <c r="BX46" s="1000"/>
      <c r="BY46" s="1000"/>
      <c r="BZ46" s="1000"/>
      <c r="CA46" s="1000"/>
      <c r="CB46" s="1000"/>
      <c r="CC46" s="1000"/>
      <c r="CD46" s="1000"/>
      <c r="CE46" s="1000"/>
      <c r="CF46" s="1000"/>
      <c r="CG46" s="1000"/>
      <c r="CH46" s="1000"/>
      <c r="CI46" s="1000"/>
      <c r="CJ46" s="1000"/>
      <c r="CK46" s="1000"/>
      <c r="CL46" s="1000"/>
      <c r="CM46" s="1000"/>
      <c r="CN46" s="1000"/>
      <c r="CO46" s="1000"/>
      <c r="CP46" s="1000"/>
      <c r="CQ46" s="1000"/>
      <c r="CR46" s="1000"/>
    </row>
    <row r="47" spans="14:96">
      <c r="N47" s="1000"/>
      <c r="O47" s="1000"/>
      <c r="P47" s="1000"/>
      <c r="Q47" s="1000"/>
      <c r="R47" s="1000"/>
      <c r="S47" s="1000"/>
      <c r="T47" s="1000"/>
      <c r="U47" s="1000"/>
      <c r="V47" s="1000"/>
      <c r="W47" s="1000"/>
      <c r="X47" s="1000"/>
      <c r="Y47" s="1000"/>
      <c r="Z47" s="1000"/>
      <c r="AA47" s="1000"/>
      <c r="AB47" s="1000"/>
      <c r="AC47" s="1000"/>
      <c r="AD47" s="1000"/>
      <c r="AE47" s="1000"/>
      <c r="AF47" s="1000"/>
      <c r="AG47" s="1000"/>
      <c r="AH47" s="1000"/>
      <c r="AI47" s="1000"/>
      <c r="AJ47" s="1000"/>
      <c r="AK47" s="1000"/>
      <c r="AL47" s="1000"/>
      <c r="AO47" s="1000"/>
      <c r="AP47" s="1000"/>
      <c r="AQ47" s="1000"/>
      <c r="AR47" s="1000"/>
      <c r="AS47" s="1000"/>
      <c r="AT47" s="1000"/>
      <c r="AU47" s="1000"/>
      <c r="AV47" s="1000"/>
      <c r="AW47" s="1000"/>
      <c r="AX47" s="1000"/>
      <c r="AY47" s="1000"/>
      <c r="AZ47" s="1000"/>
      <c r="BA47" s="1000"/>
      <c r="BB47" s="1000"/>
      <c r="BC47" s="1000"/>
      <c r="BD47" s="1000"/>
      <c r="BE47" s="1000"/>
      <c r="BF47" s="1000"/>
      <c r="BG47" s="1000"/>
      <c r="BH47" s="1000"/>
      <c r="BI47" s="1000"/>
      <c r="BJ47" s="1000"/>
      <c r="BK47" s="1000"/>
      <c r="BL47" s="1000"/>
      <c r="BM47" s="1000"/>
      <c r="BN47" s="1000"/>
      <c r="BO47" s="1000"/>
      <c r="BP47" s="1000"/>
      <c r="BQ47" s="1000"/>
      <c r="BV47" s="1000"/>
      <c r="BW47" s="1000"/>
      <c r="BX47" s="1000"/>
      <c r="BY47" s="1000"/>
      <c r="BZ47" s="1000"/>
      <c r="CA47" s="1000"/>
      <c r="CB47" s="1000"/>
      <c r="CC47" s="1000"/>
      <c r="CD47" s="1000"/>
      <c r="CE47" s="1000"/>
      <c r="CF47" s="1000"/>
      <c r="CG47" s="1000"/>
      <c r="CH47" s="1000"/>
      <c r="CI47" s="1000"/>
      <c r="CJ47" s="1000"/>
      <c r="CK47" s="1000"/>
      <c r="CL47" s="1000"/>
      <c r="CM47" s="1000"/>
      <c r="CN47" s="1000"/>
      <c r="CO47" s="1000"/>
      <c r="CP47" s="1000"/>
      <c r="CQ47" s="1000"/>
      <c r="CR47" s="1000"/>
    </row>
    <row r="48" spans="14:96">
      <c r="N48" s="1000"/>
      <c r="O48" s="1000"/>
      <c r="P48" s="1000"/>
      <c r="Q48" s="1000"/>
      <c r="R48" s="1000"/>
      <c r="S48" s="1000"/>
      <c r="T48" s="1000"/>
      <c r="U48" s="1000"/>
      <c r="V48" s="1000"/>
      <c r="W48" s="1000"/>
      <c r="X48" s="1000"/>
      <c r="Y48" s="1000"/>
      <c r="Z48" s="1000"/>
      <c r="AA48" s="1000"/>
      <c r="AB48" s="1000"/>
      <c r="AC48" s="1000"/>
      <c r="AD48" s="1000"/>
      <c r="AE48" s="1000"/>
      <c r="AF48" s="1000"/>
      <c r="AG48" s="1000"/>
      <c r="AH48" s="1000"/>
      <c r="AI48" s="1000"/>
      <c r="AJ48" s="1000"/>
      <c r="AK48" s="1000"/>
      <c r="AL48" s="1000"/>
      <c r="AO48" s="1000"/>
      <c r="AP48" s="1000"/>
      <c r="AQ48" s="1000"/>
      <c r="AR48" s="1000"/>
      <c r="AS48" s="1000"/>
      <c r="AT48" s="1000"/>
      <c r="AU48" s="1000"/>
      <c r="AV48" s="1000"/>
      <c r="AW48" s="1000"/>
      <c r="AX48" s="1000"/>
      <c r="AY48" s="1000"/>
      <c r="AZ48" s="1000"/>
      <c r="BA48" s="1000"/>
      <c r="BB48" s="1000"/>
      <c r="BC48" s="1000"/>
      <c r="BD48" s="1000"/>
      <c r="BE48" s="1000"/>
      <c r="BF48" s="1000"/>
      <c r="BG48" s="1000"/>
      <c r="BH48" s="1000"/>
      <c r="BI48" s="1000"/>
      <c r="BJ48" s="1000"/>
      <c r="BK48" s="1000"/>
      <c r="BL48" s="1000"/>
      <c r="BM48" s="1000"/>
      <c r="BN48" s="1000"/>
      <c r="BO48" s="1000"/>
      <c r="BP48" s="1000"/>
      <c r="BQ48" s="1000"/>
      <c r="BV48" s="1000"/>
      <c r="BW48" s="1000"/>
      <c r="BX48" s="1000"/>
    </row>
    <row r="49" spans="14:76">
      <c r="N49" s="1000"/>
      <c r="O49" s="1000"/>
      <c r="P49" s="1000"/>
      <c r="Q49" s="1000"/>
      <c r="R49" s="1000"/>
      <c r="S49" s="1000"/>
      <c r="T49" s="1000"/>
      <c r="U49" s="1000"/>
      <c r="V49" s="1000"/>
      <c r="W49" s="1000"/>
      <c r="X49" s="1000"/>
      <c r="Y49" s="1000"/>
      <c r="Z49" s="1000"/>
      <c r="AA49" s="1000"/>
      <c r="AB49" s="1000"/>
      <c r="AC49" s="1000"/>
      <c r="AD49" s="1000"/>
      <c r="AE49" s="1000"/>
      <c r="AF49" s="1000"/>
      <c r="AG49" s="1000"/>
      <c r="AH49" s="1000"/>
      <c r="AI49" s="1000"/>
      <c r="AJ49" s="1000"/>
      <c r="AK49" s="1000"/>
      <c r="AL49" s="1000"/>
      <c r="AO49" s="1000"/>
      <c r="AP49" s="1000"/>
      <c r="AQ49" s="1000"/>
      <c r="AR49" s="1000"/>
      <c r="AS49" s="1000"/>
      <c r="AT49" s="1000"/>
      <c r="AU49" s="1000"/>
      <c r="AV49" s="1000"/>
      <c r="AW49" s="1000"/>
      <c r="AX49" s="1000"/>
      <c r="AY49" s="1000"/>
      <c r="AZ49" s="1000"/>
      <c r="BA49" s="1000"/>
      <c r="BB49" s="1000"/>
      <c r="BC49" s="1000"/>
      <c r="BD49" s="1000"/>
      <c r="BE49" s="1000"/>
      <c r="BF49" s="1000"/>
      <c r="BG49" s="1000"/>
      <c r="BH49" s="1000"/>
      <c r="BI49" s="1000"/>
      <c r="BJ49" s="1000"/>
      <c r="BK49" s="1000"/>
      <c r="BL49" s="1000"/>
      <c r="BM49" s="1000"/>
      <c r="BN49" s="1000"/>
      <c r="BO49" s="1000"/>
      <c r="BP49" s="1000"/>
      <c r="BQ49" s="1000"/>
      <c r="BV49" s="1000"/>
      <c r="BW49" s="1000"/>
      <c r="BX49" s="1000"/>
    </row>
    <row r="50" spans="14:76"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1000"/>
      <c r="AB50" s="1000"/>
      <c r="AC50" s="1000"/>
      <c r="AD50" s="1000"/>
      <c r="AE50" s="1000"/>
      <c r="AF50" s="1000"/>
      <c r="AG50" s="1000"/>
      <c r="AH50" s="1000"/>
      <c r="AI50" s="1000"/>
      <c r="AJ50" s="1000"/>
      <c r="AK50" s="1000"/>
      <c r="AL50" s="1000"/>
      <c r="AO50" s="1000"/>
      <c r="AP50" s="1000"/>
      <c r="AQ50" s="1000"/>
      <c r="AR50" s="1000"/>
      <c r="AS50" s="1000"/>
      <c r="AT50" s="1000"/>
      <c r="AU50" s="1000"/>
      <c r="AV50" s="1000"/>
      <c r="AW50" s="1000"/>
      <c r="AX50" s="1000"/>
      <c r="AY50" s="1000"/>
      <c r="AZ50" s="1000"/>
      <c r="BA50" s="1000"/>
      <c r="BB50" s="1000"/>
      <c r="BC50" s="1000"/>
      <c r="BD50" s="1000"/>
      <c r="BE50" s="1000"/>
      <c r="BF50" s="1000"/>
      <c r="BG50" s="1000"/>
      <c r="BH50" s="1000"/>
      <c r="BI50" s="1000"/>
      <c r="BJ50" s="1000"/>
      <c r="BK50" s="1000"/>
      <c r="BL50" s="1000"/>
      <c r="BM50" s="1000"/>
      <c r="BN50" s="1000"/>
      <c r="BO50" s="1000"/>
      <c r="BP50" s="1000"/>
      <c r="BQ50" s="1000"/>
      <c r="BV50" s="1000"/>
      <c r="BW50" s="1000"/>
      <c r="BX50" s="1000"/>
    </row>
    <row r="51" spans="14:76">
      <c r="N51" s="1000"/>
      <c r="O51" s="1000"/>
      <c r="P51" s="1000"/>
      <c r="Q51" s="1000"/>
      <c r="R51" s="1000"/>
      <c r="S51" s="1000"/>
      <c r="T51" s="1000"/>
      <c r="U51" s="1000"/>
      <c r="V51" s="1000"/>
      <c r="W51" s="1000"/>
      <c r="X51" s="1000"/>
      <c r="Y51" s="1000"/>
      <c r="Z51" s="1000"/>
      <c r="AA51" s="1000"/>
      <c r="AB51" s="1000"/>
      <c r="AC51" s="1000"/>
      <c r="AD51" s="1000"/>
      <c r="AE51" s="1000"/>
      <c r="AF51" s="1000"/>
      <c r="AG51" s="1000"/>
      <c r="AH51" s="1000"/>
      <c r="AI51" s="1000"/>
      <c r="AJ51" s="1000"/>
      <c r="AK51" s="1000"/>
      <c r="AL51" s="1000"/>
      <c r="AO51" s="1000"/>
      <c r="AP51" s="1000"/>
      <c r="AQ51" s="1000"/>
      <c r="AR51" s="1000"/>
      <c r="AS51" s="1000"/>
      <c r="AT51" s="1000"/>
      <c r="AU51" s="1000"/>
      <c r="AV51" s="1000"/>
      <c r="AW51" s="1000"/>
      <c r="AX51" s="1000"/>
      <c r="AY51" s="1000"/>
      <c r="AZ51" s="1000"/>
      <c r="BA51" s="1000"/>
      <c r="BB51" s="1000"/>
      <c r="BC51" s="1000"/>
      <c r="BD51" s="1000"/>
      <c r="BE51" s="1000"/>
      <c r="BF51" s="1000"/>
      <c r="BG51" s="1000"/>
      <c r="BH51" s="1000"/>
      <c r="BI51" s="1000"/>
      <c r="BJ51" s="1000"/>
      <c r="BK51" s="1000"/>
      <c r="BL51" s="1000"/>
      <c r="BM51" s="1000"/>
      <c r="BN51" s="1000"/>
      <c r="BO51" s="1000"/>
      <c r="BP51" s="1000"/>
      <c r="BQ51" s="1000"/>
      <c r="BV51" s="1000"/>
      <c r="BW51" s="1000"/>
      <c r="BX51" s="1000"/>
    </row>
    <row r="52" spans="14:76">
      <c r="N52" s="1000"/>
      <c r="O52" s="1000"/>
      <c r="P52" s="1000"/>
      <c r="Q52" s="1000"/>
      <c r="R52" s="1000"/>
      <c r="S52" s="1000"/>
      <c r="T52" s="1000"/>
      <c r="U52" s="1000"/>
      <c r="V52" s="1000"/>
      <c r="W52" s="1000"/>
      <c r="X52" s="1000"/>
      <c r="Y52" s="1000"/>
      <c r="Z52" s="1000"/>
      <c r="AA52" s="1000"/>
      <c r="AB52" s="1000"/>
      <c r="AC52" s="1000"/>
      <c r="AD52" s="1000"/>
      <c r="AE52" s="1000"/>
      <c r="AF52" s="1000"/>
      <c r="AG52" s="1000"/>
      <c r="AH52" s="1000"/>
      <c r="AI52" s="1000"/>
      <c r="AJ52" s="1000"/>
      <c r="AK52" s="1000"/>
      <c r="AL52" s="1000"/>
      <c r="AO52" s="1000"/>
      <c r="AP52" s="1000"/>
      <c r="AQ52" s="1000"/>
      <c r="AR52" s="1000"/>
      <c r="AS52" s="1000"/>
      <c r="AT52" s="1000"/>
      <c r="AU52" s="1000"/>
      <c r="AV52" s="1000"/>
      <c r="AW52" s="1000"/>
      <c r="AX52" s="1000"/>
      <c r="AY52" s="1000"/>
      <c r="AZ52" s="1000"/>
      <c r="BA52" s="1000"/>
      <c r="BB52" s="1000"/>
      <c r="BC52" s="1000"/>
      <c r="BD52" s="1000"/>
      <c r="BE52" s="1000"/>
      <c r="BF52" s="1000"/>
      <c r="BG52" s="1000"/>
      <c r="BH52" s="1000"/>
      <c r="BI52" s="1000"/>
      <c r="BJ52" s="1000"/>
      <c r="BK52" s="1000"/>
      <c r="BL52" s="1000"/>
      <c r="BM52" s="1000"/>
      <c r="BN52" s="1000"/>
      <c r="BO52" s="1000"/>
      <c r="BP52" s="1000"/>
      <c r="BQ52" s="1000"/>
      <c r="BV52" s="1000"/>
      <c r="BW52" s="1000"/>
      <c r="BX52" s="1000"/>
    </row>
    <row r="53" spans="14:76">
      <c r="N53" s="1000"/>
      <c r="O53" s="1000"/>
      <c r="P53" s="1000"/>
      <c r="Q53" s="1000"/>
      <c r="R53" s="1000"/>
      <c r="S53" s="1000"/>
      <c r="T53" s="1000"/>
      <c r="U53" s="1000"/>
      <c r="V53" s="1000"/>
      <c r="W53" s="1000"/>
      <c r="X53" s="1000"/>
      <c r="Y53" s="1000"/>
      <c r="Z53" s="1000"/>
      <c r="AA53" s="1000"/>
      <c r="AB53" s="1000"/>
      <c r="AC53" s="1000"/>
      <c r="AD53" s="1000"/>
      <c r="AE53" s="1000"/>
      <c r="AF53" s="1000"/>
      <c r="AG53" s="1000"/>
      <c r="AH53" s="1000"/>
      <c r="AI53" s="1000"/>
      <c r="AJ53" s="1000"/>
      <c r="AK53" s="1000"/>
      <c r="AL53" s="1000"/>
      <c r="AO53" s="1000"/>
      <c r="AP53" s="1000"/>
      <c r="AQ53" s="1000"/>
      <c r="AR53" s="1000"/>
      <c r="AS53" s="1000"/>
      <c r="AT53" s="1000"/>
      <c r="AU53" s="1000"/>
      <c r="AV53" s="1000"/>
      <c r="AW53" s="1000"/>
      <c r="AX53" s="1000"/>
      <c r="AY53" s="1000"/>
      <c r="AZ53" s="1000"/>
      <c r="BA53" s="1000"/>
      <c r="BB53" s="1000"/>
      <c r="BC53" s="1000"/>
      <c r="BD53" s="1000"/>
      <c r="BE53" s="1000"/>
      <c r="BF53" s="1000"/>
      <c r="BG53" s="1000"/>
      <c r="BH53" s="1000"/>
      <c r="BI53" s="1000"/>
      <c r="BJ53" s="1000"/>
      <c r="BK53" s="1000"/>
      <c r="BL53" s="1000"/>
      <c r="BM53" s="1000"/>
      <c r="BN53" s="1000"/>
      <c r="BO53" s="1000"/>
      <c r="BP53" s="1000"/>
      <c r="BQ53" s="1000"/>
      <c r="BV53" s="1000"/>
      <c r="BW53" s="1000"/>
      <c r="BX53" s="1000"/>
    </row>
    <row r="54" spans="14:76">
      <c r="N54" s="1000"/>
      <c r="O54" s="1000"/>
      <c r="P54" s="1000"/>
      <c r="Q54" s="1000"/>
      <c r="R54" s="1000"/>
      <c r="S54" s="1000"/>
      <c r="T54" s="1000"/>
      <c r="U54" s="1000"/>
      <c r="V54" s="1000"/>
      <c r="W54" s="1000"/>
      <c r="X54" s="1000"/>
      <c r="Y54" s="1000"/>
      <c r="Z54" s="1000"/>
      <c r="AA54" s="1000"/>
      <c r="AB54" s="1000"/>
      <c r="AC54" s="1000"/>
      <c r="AD54" s="1000"/>
      <c r="AE54" s="1000"/>
      <c r="AF54" s="1000"/>
      <c r="AG54" s="1000"/>
      <c r="AH54" s="1000"/>
      <c r="AI54" s="1000"/>
      <c r="AJ54" s="1000"/>
      <c r="AK54" s="1000"/>
      <c r="AL54" s="1000"/>
      <c r="AO54" s="1000"/>
      <c r="AP54" s="1000"/>
      <c r="AQ54" s="1000"/>
      <c r="AR54" s="1000"/>
      <c r="AS54" s="1000"/>
      <c r="AT54" s="1000"/>
      <c r="AU54" s="1000"/>
      <c r="AV54" s="1000"/>
      <c r="AW54" s="1000"/>
      <c r="AX54" s="1000"/>
      <c r="AY54" s="1000"/>
      <c r="AZ54" s="1000"/>
      <c r="BA54" s="1000"/>
      <c r="BB54" s="1000"/>
      <c r="BC54" s="1000"/>
      <c r="BD54" s="1000"/>
      <c r="BE54" s="1000"/>
      <c r="BF54" s="1000"/>
      <c r="BG54" s="1000"/>
      <c r="BH54" s="1000"/>
      <c r="BI54" s="1000"/>
      <c r="BJ54" s="1000"/>
      <c r="BK54" s="1000"/>
      <c r="BL54" s="1000"/>
      <c r="BM54" s="1000"/>
      <c r="BN54" s="1000"/>
      <c r="BO54" s="1000"/>
      <c r="BP54" s="1000"/>
      <c r="BQ54" s="1000"/>
      <c r="BV54" s="1000"/>
      <c r="BW54" s="1000"/>
      <c r="BX54" s="1000"/>
    </row>
    <row r="55" spans="14:76">
      <c r="N55" s="1000"/>
      <c r="O55" s="1000"/>
      <c r="P55" s="1000"/>
      <c r="Q55" s="1000"/>
      <c r="R55" s="1000"/>
      <c r="S55" s="1000"/>
      <c r="T55" s="1000"/>
      <c r="U55" s="1000"/>
      <c r="V55" s="1000"/>
      <c r="W55" s="1000"/>
      <c r="X55" s="1000"/>
      <c r="Y55" s="1000"/>
      <c r="Z55" s="1000"/>
      <c r="AA55" s="1000"/>
      <c r="AB55" s="1000"/>
      <c r="AC55" s="1000"/>
      <c r="AD55" s="1000"/>
      <c r="AE55" s="1000"/>
      <c r="AF55" s="1000"/>
      <c r="AG55" s="1000"/>
      <c r="AH55" s="1000"/>
      <c r="AI55" s="1000"/>
      <c r="AJ55" s="1000"/>
      <c r="AK55" s="1000"/>
      <c r="AL55" s="1000"/>
      <c r="AO55" s="1000"/>
      <c r="AP55" s="1000"/>
      <c r="AQ55" s="1000"/>
      <c r="AR55" s="1000"/>
      <c r="AS55" s="1000"/>
      <c r="AT55" s="1000"/>
      <c r="AU55" s="1000"/>
      <c r="AV55" s="1000"/>
      <c r="AW55" s="1000"/>
      <c r="AX55" s="1000"/>
      <c r="AY55" s="1000"/>
      <c r="AZ55" s="1000"/>
      <c r="BA55" s="1000"/>
      <c r="BB55" s="1000"/>
      <c r="BC55" s="1000"/>
      <c r="BD55" s="1000"/>
      <c r="BE55" s="1000"/>
      <c r="BF55" s="1000"/>
      <c r="BG55" s="1000"/>
      <c r="BH55" s="1000"/>
      <c r="BI55" s="1000"/>
      <c r="BJ55" s="1000"/>
      <c r="BK55" s="1000"/>
      <c r="BL55" s="1000"/>
      <c r="BM55" s="1000"/>
      <c r="BN55" s="1000"/>
      <c r="BO55" s="1000"/>
      <c r="BP55" s="1000"/>
      <c r="BQ55" s="1000"/>
      <c r="BV55" s="1000"/>
      <c r="BW55" s="1000"/>
      <c r="BX55" s="1000"/>
    </row>
    <row r="56" spans="14:76">
      <c r="N56" s="1000"/>
      <c r="O56" s="1000"/>
      <c r="P56" s="1000"/>
      <c r="Q56" s="1000"/>
      <c r="R56" s="1000"/>
      <c r="S56" s="1000"/>
      <c r="T56" s="1000"/>
      <c r="U56" s="1000"/>
      <c r="V56" s="1000"/>
      <c r="W56" s="1000"/>
      <c r="X56" s="1000"/>
      <c r="Y56" s="1000"/>
      <c r="Z56" s="1000"/>
      <c r="AA56" s="1000"/>
      <c r="AB56" s="1000"/>
      <c r="AC56" s="1000"/>
      <c r="AD56" s="1000"/>
      <c r="AE56" s="1000"/>
      <c r="AF56" s="1000"/>
      <c r="AG56" s="1000"/>
      <c r="AH56" s="1000"/>
      <c r="AI56" s="1000"/>
      <c r="AJ56" s="1000"/>
      <c r="AK56" s="1000"/>
      <c r="AL56" s="1000"/>
      <c r="AO56" s="1000"/>
      <c r="AP56" s="1000"/>
      <c r="AQ56" s="1000"/>
      <c r="AR56" s="1000"/>
      <c r="AS56" s="1000"/>
      <c r="AT56" s="1000"/>
      <c r="AU56" s="1000"/>
      <c r="AV56" s="1000"/>
      <c r="AW56" s="1000"/>
      <c r="AX56" s="1000"/>
      <c r="AY56" s="1000"/>
      <c r="AZ56" s="1000"/>
      <c r="BA56" s="1000"/>
      <c r="BB56" s="1000"/>
      <c r="BC56" s="1000"/>
      <c r="BD56" s="1000"/>
      <c r="BE56" s="1000"/>
      <c r="BF56" s="1000"/>
      <c r="BG56" s="1000"/>
      <c r="BH56" s="1000"/>
      <c r="BI56" s="1000"/>
      <c r="BJ56" s="1000"/>
      <c r="BK56" s="1000"/>
      <c r="BL56" s="1000"/>
      <c r="BM56" s="1000"/>
      <c r="BN56" s="1000"/>
      <c r="BO56" s="1000"/>
      <c r="BP56" s="1000"/>
      <c r="BQ56" s="1000"/>
      <c r="BV56" s="1000"/>
      <c r="BW56" s="1000"/>
      <c r="BX56" s="1000"/>
    </row>
    <row r="57" spans="14:76">
      <c r="N57" s="1000"/>
      <c r="O57" s="1000"/>
      <c r="P57" s="1000"/>
      <c r="Q57" s="1000"/>
      <c r="R57" s="1000"/>
      <c r="S57" s="1000"/>
      <c r="T57" s="1000"/>
      <c r="U57" s="1000"/>
      <c r="V57" s="1000"/>
      <c r="W57" s="1000"/>
      <c r="X57" s="1000"/>
      <c r="Y57" s="1000"/>
      <c r="Z57" s="1000"/>
      <c r="AA57" s="1000"/>
      <c r="AB57" s="1000"/>
      <c r="AC57" s="1000"/>
      <c r="AD57" s="1000"/>
      <c r="AE57" s="1000"/>
      <c r="AF57" s="1000"/>
      <c r="AG57" s="1000"/>
      <c r="AH57" s="1000"/>
      <c r="AI57" s="1000"/>
      <c r="AJ57" s="1000"/>
      <c r="AK57" s="1000"/>
      <c r="AL57" s="1000"/>
      <c r="AO57" s="1000"/>
      <c r="AP57" s="1000"/>
      <c r="AQ57" s="1000"/>
      <c r="AR57" s="1000"/>
      <c r="AS57" s="1000"/>
      <c r="AT57" s="1000"/>
      <c r="AU57" s="1000"/>
      <c r="AV57" s="1000"/>
      <c r="AW57" s="1000"/>
      <c r="AX57" s="1000"/>
      <c r="AY57" s="1000"/>
      <c r="AZ57" s="1000"/>
      <c r="BA57" s="1000"/>
      <c r="BB57" s="1000"/>
      <c r="BC57" s="1000"/>
      <c r="BD57" s="1000"/>
      <c r="BE57" s="1000"/>
      <c r="BF57" s="1000"/>
      <c r="BG57" s="1000"/>
      <c r="BH57" s="1000"/>
      <c r="BI57" s="1000"/>
      <c r="BJ57" s="1000"/>
      <c r="BK57" s="1000"/>
      <c r="BL57" s="1000"/>
      <c r="BM57" s="1000"/>
      <c r="BN57" s="1000"/>
      <c r="BO57" s="1000"/>
      <c r="BP57" s="1000"/>
      <c r="BQ57" s="1000"/>
      <c r="BV57" s="1000"/>
      <c r="BW57" s="1000"/>
      <c r="BX57" s="1000"/>
    </row>
    <row r="58" spans="14:76">
      <c r="N58" s="1000"/>
      <c r="O58" s="1000"/>
      <c r="P58" s="1000"/>
      <c r="Q58" s="1000"/>
      <c r="R58" s="1000"/>
      <c r="S58" s="1000"/>
      <c r="T58" s="1000"/>
      <c r="U58" s="1000"/>
      <c r="V58" s="1000"/>
      <c r="W58" s="1000"/>
      <c r="X58" s="1000"/>
      <c r="Y58" s="1000"/>
      <c r="Z58" s="1000"/>
      <c r="AA58" s="1000"/>
      <c r="AB58" s="1000"/>
      <c r="AC58" s="1000"/>
      <c r="AD58" s="1000"/>
      <c r="AE58" s="1000"/>
      <c r="AF58" s="1000"/>
      <c r="AG58" s="1000"/>
      <c r="AH58" s="1000"/>
      <c r="AI58" s="1000"/>
      <c r="AJ58" s="1000"/>
      <c r="AK58" s="1000"/>
      <c r="AL58" s="1000"/>
      <c r="AO58" s="1000"/>
      <c r="AP58" s="1000"/>
      <c r="AQ58" s="1000"/>
      <c r="AR58" s="1000"/>
      <c r="AS58" s="1000"/>
      <c r="AT58" s="1000"/>
      <c r="AU58" s="1000"/>
      <c r="AV58" s="1000"/>
      <c r="AW58" s="1000"/>
      <c r="AX58" s="1000"/>
      <c r="AY58" s="1000"/>
      <c r="AZ58" s="1000"/>
      <c r="BA58" s="1000"/>
      <c r="BB58" s="1000"/>
      <c r="BC58" s="1000"/>
      <c r="BD58" s="1000"/>
      <c r="BE58" s="1000"/>
      <c r="BF58" s="1000"/>
      <c r="BG58" s="1000"/>
      <c r="BH58" s="1000"/>
      <c r="BI58" s="1000"/>
      <c r="BJ58" s="1000"/>
      <c r="BK58" s="1000"/>
      <c r="BL58" s="1000"/>
      <c r="BM58" s="1000"/>
      <c r="BN58" s="1000"/>
      <c r="BO58" s="1000"/>
      <c r="BP58" s="1000"/>
      <c r="BQ58" s="1000"/>
      <c r="BV58" s="1000"/>
      <c r="BW58" s="1000"/>
      <c r="BX58" s="1000"/>
    </row>
    <row r="59" spans="14:76">
      <c r="N59" s="1000"/>
      <c r="O59" s="1000"/>
      <c r="P59" s="1000"/>
      <c r="Q59" s="1000"/>
      <c r="R59" s="1000"/>
      <c r="S59" s="1000"/>
      <c r="T59" s="1000"/>
      <c r="U59" s="1000"/>
      <c r="V59" s="1000"/>
      <c r="W59" s="1000"/>
      <c r="X59" s="1000"/>
      <c r="Y59" s="1000"/>
      <c r="Z59" s="1000"/>
      <c r="AA59" s="1000"/>
      <c r="AB59" s="1000"/>
      <c r="AC59" s="1000"/>
      <c r="AD59" s="1000"/>
      <c r="AE59" s="1000"/>
      <c r="AF59" s="1000"/>
      <c r="AG59" s="1000"/>
      <c r="AH59" s="1000"/>
      <c r="AI59" s="1000"/>
      <c r="AJ59" s="1000"/>
      <c r="AK59" s="1000"/>
      <c r="AL59" s="1000"/>
      <c r="AO59" s="1000"/>
      <c r="AP59" s="1000"/>
      <c r="AQ59" s="1000"/>
      <c r="AR59" s="1000"/>
      <c r="AS59" s="1000"/>
      <c r="AT59" s="1000"/>
      <c r="AU59" s="1000"/>
      <c r="AV59" s="1000"/>
      <c r="AW59" s="1000"/>
      <c r="AX59" s="1000"/>
      <c r="AY59" s="1000"/>
      <c r="AZ59" s="1000"/>
      <c r="BA59" s="1000"/>
      <c r="BB59" s="1000"/>
      <c r="BC59" s="1000"/>
      <c r="BD59" s="1000"/>
      <c r="BE59" s="1000"/>
      <c r="BF59" s="1000"/>
      <c r="BG59" s="1000"/>
      <c r="BH59" s="1000"/>
      <c r="BI59" s="1000"/>
      <c r="BJ59" s="1000"/>
      <c r="BK59" s="1000"/>
      <c r="BL59" s="1000"/>
      <c r="BM59" s="1000"/>
      <c r="BN59" s="1000"/>
      <c r="BO59" s="1000"/>
      <c r="BP59" s="1000"/>
      <c r="BQ59" s="1000"/>
      <c r="BV59" s="1000"/>
      <c r="BW59" s="1000"/>
      <c r="BX59" s="1000"/>
    </row>
    <row r="60" spans="14:76"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A60" s="1000"/>
      <c r="BB60" s="1000"/>
      <c r="BC60" s="1000"/>
      <c r="BD60" s="1000"/>
      <c r="BE60" s="1000"/>
      <c r="BF60" s="1000"/>
      <c r="BG60" s="1000"/>
      <c r="BH60" s="1000"/>
      <c r="BI60" s="1000"/>
      <c r="BJ60" s="1000"/>
      <c r="BK60" s="1000"/>
      <c r="BL60" s="1000"/>
      <c r="BM60" s="1000"/>
      <c r="BN60" s="1000"/>
      <c r="BO60" s="1000"/>
      <c r="BP60" s="1000"/>
      <c r="BQ60" s="1000"/>
      <c r="BV60" s="1000"/>
      <c r="BW60" s="1000"/>
      <c r="BX60" s="1000"/>
    </row>
    <row r="61" spans="14:76">
      <c r="N61" s="1000"/>
      <c r="O61" s="1000"/>
      <c r="P61" s="1000"/>
      <c r="Q61" s="1000"/>
      <c r="R61" s="1000"/>
      <c r="S61" s="1000"/>
      <c r="T61" s="1000"/>
      <c r="U61" s="1000"/>
      <c r="V61" s="1000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1000"/>
      <c r="BB61" s="1000"/>
      <c r="BC61" s="1000"/>
      <c r="BD61" s="1000"/>
      <c r="BE61" s="1000"/>
      <c r="BF61" s="1000"/>
      <c r="BG61" s="1000"/>
      <c r="BH61" s="1000"/>
      <c r="BI61" s="1000"/>
      <c r="BJ61" s="1000"/>
      <c r="BK61" s="1000"/>
      <c r="BL61" s="1000"/>
      <c r="BM61" s="1000"/>
      <c r="BN61" s="1000"/>
      <c r="BO61" s="1000"/>
      <c r="BP61" s="1000"/>
      <c r="BQ61" s="1000"/>
      <c r="BV61" s="1000"/>
      <c r="BW61" s="1000"/>
      <c r="BX61" s="1000"/>
    </row>
    <row r="62" spans="14:76">
      <c r="N62" s="1000"/>
      <c r="O62" s="1000"/>
      <c r="P62" s="1000"/>
      <c r="Q62" s="1000"/>
      <c r="R62" s="1000"/>
      <c r="S62" s="1000"/>
      <c r="T62" s="1000"/>
      <c r="U62" s="1000"/>
      <c r="V62" s="1000"/>
      <c r="W62" s="1000"/>
      <c r="X62" s="1000"/>
      <c r="Y62" s="1000"/>
      <c r="Z62" s="1000"/>
      <c r="AA62" s="1000"/>
      <c r="AB62" s="1000"/>
      <c r="AC62" s="1000"/>
      <c r="AD62" s="1000"/>
      <c r="AE62" s="1000"/>
      <c r="AF62" s="1000"/>
      <c r="AG62" s="1000"/>
      <c r="AH62" s="1000"/>
      <c r="AI62" s="1000"/>
      <c r="AJ62" s="1000"/>
      <c r="AK62" s="1000"/>
      <c r="AL62" s="1000"/>
      <c r="AO62" s="1000"/>
      <c r="AP62" s="1000"/>
      <c r="AQ62" s="1000"/>
      <c r="AR62" s="1000"/>
      <c r="AS62" s="1000"/>
      <c r="AT62" s="1000"/>
      <c r="AU62" s="1000"/>
      <c r="AV62" s="1000"/>
      <c r="AW62" s="1000"/>
      <c r="AX62" s="1000"/>
      <c r="AY62" s="1000"/>
      <c r="AZ62" s="1000"/>
      <c r="BA62" s="1000"/>
      <c r="BB62" s="1000"/>
      <c r="BC62" s="1000"/>
      <c r="BD62" s="1000"/>
      <c r="BE62" s="1000"/>
      <c r="BF62" s="1000"/>
      <c r="BG62" s="1000"/>
      <c r="BH62" s="1000"/>
      <c r="BI62" s="1000"/>
      <c r="BJ62" s="1000"/>
      <c r="BK62" s="1000"/>
      <c r="BL62" s="1000"/>
      <c r="BM62" s="1000"/>
      <c r="BN62" s="1000"/>
      <c r="BO62" s="1000"/>
      <c r="BP62" s="1000"/>
      <c r="BQ62" s="1000"/>
      <c r="BV62" s="1000"/>
      <c r="BW62" s="1000"/>
      <c r="BX62" s="1000"/>
    </row>
    <row r="63" spans="14:76">
      <c r="N63" s="1000"/>
      <c r="O63" s="1000"/>
      <c r="P63" s="1000"/>
      <c r="Q63" s="1000"/>
      <c r="R63" s="1000"/>
      <c r="S63" s="1000"/>
      <c r="T63" s="1000"/>
      <c r="U63" s="1000"/>
      <c r="V63" s="1000"/>
      <c r="W63" s="1000"/>
      <c r="X63" s="1000"/>
      <c r="Y63" s="1000"/>
      <c r="Z63" s="1000"/>
      <c r="AA63" s="1000"/>
      <c r="AB63" s="1000"/>
      <c r="AC63" s="1000"/>
      <c r="AD63" s="1000"/>
      <c r="AE63" s="1000"/>
      <c r="AF63" s="1000"/>
      <c r="AG63" s="1000"/>
      <c r="AH63" s="1000"/>
      <c r="AI63" s="1000"/>
      <c r="AJ63" s="1000"/>
      <c r="AK63" s="1000"/>
      <c r="AL63" s="1000"/>
      <c r="AO63" s="1000"/>
      <c r="AP63" s="1000"/>
      <c r="AQ63" s="1000"/>
      <c r="AR63" s="1000"/>
      <c r="AS63" s="1000"/>
      <c r="AT63" s="1000"/>
      <c r="AU63" s="1000"/>
      <c r="AV63" s="1000"/>
      <c r="AW63" s="1000"/>
      <c r="AX63" s="1000"/>
      <c r="AY63" s="1000"/>
      <c r="AZ63" s="1000"/>
      <c r="BA63" s="1000"/>
      <c r="BB63" s="1000"/>
      <c r="BC63" s="1000"/>
      <c r="BD63" s="1000"/>
      <c r="BE63" s="1000"/>
      <c r="BF63" s="1000"/>
      <c r="BG63" s="1000"/>
    </row>
    <row r="64" spans="14:76">
      <c r="N64" s="1000"/>
      <c r="O64" s="1000"/>
      <c r="P64" s="1000"/>
      <c r="Q64" s="1000"/>
      <c r="R64" s="1000"/>
      <c r="S64" s="1000"/>
      <c r="T64" s="1000"/>
      <c r="U64" s="1000"/>
      <c r="V64" s="1000"/>
      <c r="W64" s="1000"/>
      <c r="X64" s="1000"/>
      <c r="Y64" s="1000"/>
      <c r="Z64" s="1000"/>
      <c r="AA64" s="1000"/>
      <c r="AB64" s="1000"/>
      <c r="AC64" s="1000"/>
      <c r="AD64" s="1000"/>
      <c r="AE64" s="1000"/>
      <c r="AF64" s="1000"/>
      <c r="AG64" s="1000"/>
      <c r="AH64" s="1000"/>
      <c r="AI64" s="1000"/>
      <c r="AJ64" s="1000"/>
      <c r="AK64" s="1000"/>
      <c r="AL64" s="1000"/>
      <c r="AO64" s="1000"/>
      <c r="AP64" s="1000"/>
      <c r="AQ64" s="1000"/>
      <c r="AR64" s="1000"/>
      <c r="AS64" s="1000"/>
      <c r="AT64" s="1000"/>
      <c r="AU64" s="1000"/>
      <c r="AV64" s="1000"/>
      <c r="AW64" s="1000"/>
      <c r="AX64" s="1000"/>
      <c r="AY64" s="1000"/>
      <c r="AZ64" s="1000"/>
      <c r="BA64" s="1000"/>
      <c r="BB64" s="1000"/>
      <c r="BC64" s="1000"/>
      <c r="BD64" s="1000"/>
      <c r="BE64" s="1000"/>
      <c r="BF64" s="1000"/>
      <c r="BG64" s="1000"/>
    </row>
    <row r="65" spans="14:59">
      <c r="N65" s="1000"/>
      <c r="O65" s="1000"/>
      <c r="P65" s="1000"/>
      <c r="Q65" s="1000"/>
      <c r="R65" s="1000"/>
      <c r="S65" s="1000"/>
      <c r="T65" s="1000"/>
      <c r="U65" s="1000"/>
      <c r="V65" s="1000"/>
      <c r="W65" s="1000"/>
      <c r="X65" s="1000"/>
      <c r="Y65" s="1000"/>
      <c r="Z65" s="1000"/>
      <c r="AA65" s="1000"/>
      <c r="AB65" s="1000"/>
      <c r="AC65" s="1000"/>
      <c r="AD65" s="1000"/>
      <c r="AE65" s="1000"/>
      <c r="AF65" s="1000"/>
      <c r="AG65" s="1000"/>
      <c r="AH65" s="1000"/>
      <c r="AI65" s="1000"/>
      <c r="AJ65" s="1000"/>
      <c r="AK65" s="1000"/>
      <c r="AL65" s="1000"/>
      <c r="AO65" s="1000"/>
      <c r="AP65" s="1000"/>
      <c r="AQ65" s="1000"/>
      <c r="AR65" s="1000"/>
      <c r="AS65" s="1000"/>
      <c r="AT65" s="1000"/>
      <c r="AU65" s="1000"/>
      <c r="AV65" s="1000"/>
      <c r="AW65" s="1000"/>
      <c r="AX65" s="1000"/>
      <c r="AY65" s="1000"/>
      <c r="AZ65" s="1000"/>
      <c r="BA65" s="1000"/>
      <c r="BB65" s="1000"/>
      <c r="BC65" s="1000"/>
      <c r="BD65" s="1000"/>
      <c r="BE65" s="1000"/>
      <c r="BF65" s="1000"/>
      <c r="BG65" s="1000"/>
    </row>
    <row r="66" spans="14:59">
      <c r="N66" s="1000"/>
      <c r="O66" s="1000"/>
      <c r="P66" s="1000"/>
      <c r="Q66" s="1000"/>
      <c r="R66" s="1000"/>
      <c r="S66" s="1000"/>
      <c r="T66" s="1000"/>
      <c r="U66" s="1000"/>
      <c r="V66" s="1000"/>
      <c r="W66" s="1000"/>
      <c r="X66" s="1000"/>
      <c r="Y66" s="1000"/>
      <c r="Z66" s="1000"/>
      <c r="AA66" s="1000"/>
      <c r="AB66" s="1000"/>
      <c r="AC66" s="1000"/>
      <c r="AD66" s="1000"/>
      <c r="AE66" s="1000"/>
      <c r="AF66" s="1000"/>
      <c r="AG66" s="1000"/>
      <c r="AH66" s="1000"/>
      <c r="AI66" s="1000"/>
      <c r="AJ66" s="1000"/>
      <c r="AK66" s="1000"/>
      <c r="AL66" s="1000"/>
      <c r="AO66" s="1000"/>
      <c r="AP66" s="1000"/>
      <c r="AQ66" s="1000"/>
      <c r="AR66" s="1000"/>
      <c r="AS66" s="1000"/>
      <c r="AT66" s="1000"/>
      <c r="AU66" s="1000"/>
      <c r="AV66" s="1000"/>
      <c r="AW66" s="1000"/>
      <c r="AX66" s="1000"/>
      <c r="AY66" s="1000"/>
      <c r="AZ66" s="1000"/>
      <c r="BA66" s="1000"/>
      <c r="BB66" s="1000"/>
      <c r="BC66" s="1000"/>
      <c r="BD66" s="1000"/>
      <c r="BE66" s="1000"/>
      <c r="BF66" s="1000"/>
      <c r="BG66" s="1000"/>
    </row>
    <row r="67" spans="14:59">
      <c r="N67" s="1000"/>
      <c r="O67" s="1000"/>
      <c r="P67" s="1000"/>
      <c r="Q67" s="1000"/>
      <c r="R67" s="1000"/>
      <c r="S67" s="1000"/>
      <c r="T67" s="1000"/>
      <c r="U67" s="1000"/>
      <c r="V67" s="1000"/>
      <c r="W67" s="1000"/>
      <c r="X67" s="1000"/>
      <c r="Y67" s="1000"/>
      <c r="Z67" s="1000"/>
      <c r="AA67" s="1000"/>
      <c r="AB67" s="1000"/>
      <c r="AC67" s="1000"/>
      <c r="AD67" s="1000"/>
      <c r="AE67" s="1000"/>
      <c r="AF67" s="1000"/>
      <c r="AG67" s="1000"/>
      <c r="AH67" s="1000"/>
      <c r="AI67" s="1000"/>
      <c r="AJ67" s="1000"/>
      <c r="AK67" s="1000"/>
      <c r="AL67" s="1000"/>
      <c r="AO67" s="1000"/>
      <c r="AP67" s="1000"/>
      <c r="AQ67" s="1000"/>
      <c r="AR67" s="1000"/>
      <c r="AS67" s="1000"/>
      <c r="AT67" s="1000"/>
      <c r="AU67" s="1000"/>
      <c r="AV67" s="1000"/>
      <c r="AW67" s="1000"/>
      <c r="AX67" s="1000"/>
      <c r="AY67" s="1000"/>
      <c r="AZ67" s="1000"/>
      <c r="BA67" s="1000"/>
      <c r="BB67" s="1000"/>
      <c r="BC67" s="1000"/>
      <c r="BD67" s="1000"/>
      <c r="BE67" s="1000"/>
      <c r="BF67" s="1000"/>
      <c r="BG67" s="1000"/>
    </row>
    <row r="68" spans="14:59">
      <c r="N68" s="1000"/>
      <c r="O68" s="1000"/>
      <c r="P68" s="1000"/>
      <c r="Q68" s="1000"/>
      <c r="R68" s="1000"/>
      <c r="S68" s="1000"/>
      <c r="T68" s="1000"/>
      <c r="U68" s="1000"/>
      <c r="V68" s="1000"/>
      <c r="W68" s="1000"/>
      <c r="X68" s="1000"/>
      <c r="Y68" s="1000"/>
      <c r="Z68" s="1000"/>
      <c r="AA68" s="1000"/>
      <c r="AB68" s="1000"/>
      <c r="AC68" s="1000"/>
      <c r="AD68" s="1000"/>
      <c r="AE68" s="1000"/>
      <c r="AF68" s="1000"/>
      <c r="AG68" s="1000"/>
      <c r="AH68" s="1000"/>
      <c r="AI68" s="1000"/>
      <c r="AJ68" s="1000"/>
      <c r="AK68" s="1000"/>
      <c r="AL68" s="1000"/>
      <c r="AO68" s="1000"/>
      <c r="AP68" s="1000"/>
      <c r="AQ68" s="1000"/>
      <c r="AR68" s="1000"/>
      <c r="AS68" s="1000"/>
      <c r="AT68" s="1000"/>
      <c r="AU68" s="1000"/>
      <c r="AV68" s="1000"/>
      <c r="AW68" s="1000"/>
      <c r="AX68" s="1000"/>
      <c r="AY68" s="1000"/>
      <c r="AZ68" s="1000"/>
      <c r="BA68" s="1000"/>
      <c r="BB68" s="1000"/>
      <c r="BC68" s="1000"/>
      <c r="BD68" s="1000"/>
      <c r="BE68" s="1000"/>
      <c r="BF68" s="1000"/>
      <c r="BG68" s="1000"/>
    </row>
    <row r="69" spans="14:59">
      <c r="N69" s="1000"/>
      <c r="O69" s="1000"/>
      <c r="P69" s="1000"/>
      <c r="Q69" s="1000"/>
      <c r="R69" s="1000"/>
      <c r="S69" s="1000"/>
      <c r="T69" s="1000"/>
      <c r="U69" s="1000"/>
      <c r="V69" s="1000"/>
      <c r="W69" s="1000"/>
      <c r="X69" s="1000"/>
      <c r="Y69" s="1000"/>
      <c r="Z69" s="1000"/>
      <c r="AA69" s="1000"/>
      <c r="AB69" s="1000"/>
      <c r="AC69" s="1000"/>
      <c r="AD69" s="1000"/>
      <c r="AE69" s="1000"/>
      <c r="AF69" s="1000"/>
      <c r="AG69" s="1000"/>
      <c r="AH69" s="1000"/>
      <c r="AI69" s="1000"/>
      <c r="AJ69" s="1000"/>
      <c r="AK69" s="1000"/>
      <c r="AL69" s="1000"/>
      <c r="AO69" s="1000"/>
      <c r="AP69" s="1000"/>
      <c r="AQ69" s="1000"/>
      <c r="AR69" s="1000"/>
      <c r="AS69" s="1000"/>
      <c r="AT69" s="1000"/>
      <c r="AU69" s="1000"/>
      <c r="AV69" s="1000"/>
      <c r="AW69" s="1000"/>
      <c r="AX69" s="1000"/>
      <c r="AY69" s="1000"/>
      <c r="AZ69" s="1000"/>
      <c r="BA69" s="1000"/>
      <c r="BB69" s="1000"/>
      <c r="BC69" s="1000"/>
      <c r="BD69" s="1000"/>
      <c r="BE69" s="1000"/>
      <c r="BF69" s="1000"/>
      <c r="BG69" s="1000"/>
    </row>
    <row r="70" spans="14:59">
      <c r="N70" s="1000"/>
      <c r="O70" s="1000"/>
      <c r="P70" s="1000"/>
      <c r="Q70" s="1000"/>
      <c r="R70" s="1000"/>
      <c r="S70" s="1000"/>
      <c r="T70" s="1000"/>
      <c r="U70" s="1000"/>
      <c r="V70" s="1000"/>
      <c r="W70" s="1000"/>
      <c r="X70" s="1000"/>
      <c r="Y70" s="1000"/>
      <c r="Z70" s="1000"/>
      <c r="AA70" s="1000"/>
      <c r="AB70" s="1000"/>
      <c r="AC70" s="1000"/>
      <c r="AD70" s="1000"/>
      <c r="AE70" s="1000"/>
      <c r="AF70" s="1000"/>
      <c r="AG70" s="1000"/>
      <c r="AH70" s="1000"/>
      <c r="AI70" s="1000"/>
      <c r="AJ70" s="1000"/>
      <c r="AK70" s="1000"/>
      <c r="AL70" s="1000"/>
      <c r="AO70" s="1000"/>
      <c r="AP70" s="1000"/>
      <c r="AQ70" s="1000"/>
      <c r="AR70" s="1000"/>
      <c r="AS70" s="1000"/>
      <c r="AT70" s="1000"/>
      <c r="AU70" s="1000"/>
      <c r="AV70" s="1000"/>
      <c r="AW70" s="1000"/>
      <c r="AX70" s="1000"/>
      <c r="AY70" s="1000"/>
      <c r="AZ70" s="1000"/>
      <c r="BA70" s="1000"/>
      <c r="BB70" s="1000"/>
      <c r="BC70" s="1000"/>
      <c r="BD70" s="1000"/>
      <c r="BE70" s="1000"/>
      <c r="BF70" s="1000"/>
      <c r="BG70" s="1000"/>
    </row>
    <row r="71" spans="14:59">
      <c r="N71" s="1000"/>
      <c r="O71" s="1000"/>
      <c r="P71" s="1000"/>
      <c r="Q71" s="1000"/>
      <c r="R71" s="1000"/>
      <c r="S71" s="1000"/>
      <c r="T71" s="1000"/>
      <c r="U71" s="1000"/>
      <c r="V71" s="1000"/>
      <c r="W71" s="1000"/>
      <c r="X71" s="1000"/>
      <c r="Y71" s="1000"/>
      <c r="Z71" s="1000"/>
      <c r="AA71" s="1000"/>
      <c r="AB71" s="1000"/>
      <c r="AC71" s="1000"/>
      <c r="AD71" s="1000"/>
      <c r="AE71" s="1000"/>
      <c r="AF71" s="1000"/>
      <c r="AG71" s="1000"/>
      <c r="AH71" s="1000"/>
      <c r="AI71" s="1000"/>
      <c r="AJ71" s="1000"/>
      <c r="AK71" s="1000"/>
      <c r="AL71" s="1000"/>
      <c r="AO71" s="1000"/>
      <c r="AP71" s="1000"/>
      <c r="AQ71" s="1000"/>
      <c r="AR71" s="1000"/>
      <c r="AS71" s="1000"/>
      <c r="AT71" s="1000"/>
      <c r="AU71" s="1000"/>
      <c r="AV71" s="1000"/>
      <c r="AW71" s="1000"/>
      <c r="AX71" s="1000"/>
      <c r="AY71" s="1000"/>
      <c r="AZ71" s="1000"/>
      <c r="BA71" s="1000"/>
      <c r="BB71" s="1000"/>
      <c r="BC71" s="1000"/>
      <c r="BD71" s="1000"/>
      <c r="BE71" s="1000"/>
      <c r="BF71" s="1000"/>
      <c r="BG71" s="1000"/>
    </row>
    <row r="72" spans="14:59">
      <c r="N72" s="1000"/>
      <c r="O72" s="1000"/>
      <c r="P72" s="1000"/>
      <c r="Q72" s="1000"/>
      <c r="R72" s="1000"/>
      <c r="S72" s="1000"/>
      <c r="T72" s="1000"/>
      <c r="U72" s="1000"/>
      <c r="V72" s="1000"/>
      <c r="W72" s="1000"/>
      <c r="X72" s="1000"/>
      <c r="Y72" s="1000"/>
      <c r="Z72" s="1000"/>
      <c r="AA72" s="1000"/>
      <c r="AB72" s="1000"/>
      <c r="AC72" s="1000"/>
      <c r="AD72" s="1000"/>
      <c r="AE72" s="1000"/>
      <c r="AF72" s="1000"/>
      <c r="AG72" s="1000"/>
      <c r="AH72" s="1000"/>
      <c r="AI72" s="1000"/>
      <c r="AJ72" s="1000"/>
      <c r="AK72" s="1000"/>
      <c r="AL72" s="1000"/>
      <c r="AO72" s="1000"/>
      <c r="AP72" s="1000"/>
      <c r="AQ72" s="1000"/>
      <c r="AR72" s="1000"/>
      <c r="AS72" s="1000"/>
      <c r="AT72" s="1000"/>
      <c r="AU72" s="1000"/>
      <c r="AV72" s="1000"/>
      <c r="AW72" s="1000"/>
      <c r="AX72" s="1000"/>
      <c r="AY72" s="1000"/>
      <c r="AZ72" s="1000"/>
      <c r="BA72" s="1000"/>
      <c r="BB72" s="1000"/>
      <c r="BC72" s="1000"/>
      <c r="BD72" s="1000"/>
      <c r="BE72" s="1000"/>
      <c r="BF72" s="1000"/>
      <c r="BG72" s="1000"/>
    </row>
  </sheetData>
  <dataValidations disablePrompts="1"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-0.249977111117893"/>
  </sheetPr>
  <dimension ref="A1:CF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8.42578125" style="930" hidden="1" customWidth="1" outlineLevel="1"/>
    <col min="24" max="24" width="11.5703125" style="733" hidden="1" customWidth="1" outlineLevel="1"/>
    <col min="25" max="25" width="15.28515625" style="733" hidden="1" customWidth="1" outlineLevel="1"/>
    <col min="26" max="26" width="13.7109375" style="733" hidden="1" customWidth="1" outlineLevel="1"/>
    <col min="27" max="27" width="14" style="733" hidden="1" customWidth="1" outlineLevel="1"/>
    <col min="28" max="28" width="9.28515625" style="733" hidden="1" customWidth="1" outlineLevel="1"/>
    <col min="29" max="29" width="29.42578125" style="733" hidden="1" customWidth="1" outlineLevel="1"/>
    <col min="30" max="30" width="15.42578125" style="733" hidden="1" customWidth="1" outlineLevel="1"/>
    <col min="31" max="31" width="28.28515625" style="733" hidden="1" customWidth="1" outlineLevel="1"/>
    <col min="32" max="32" width="14.28515625" style="733" hidden="1" customWidth="1" outlineLevel="1"/>
    <col min="33" max="33" width="9.140625" style="733" hidden="1" customWidth="1" outlineLevel="1"/>
    <col min="34" max="34" width="31" style="733" hidden="1" customWidth="1" outlineLevel="1"/>
    <col min="35" max="35" width="16.85546875" style="733" hidden="1" customWidth="1" outlineLevel="1"/>
    <col min="36" max="36" width="11.7109375" style="733" hidden="1" customWidth="1" outlineLevel="1"/>
    <col min="37" max="37" width="8.85546875" style="733" hidden="1" customWidth="1" outlineLevel="1"/>
    <col min="38" max="39" width="12.7109375" style="733" hidden="1" customWidth="1" outlineLevel="1"/>
    <col min="40" max="40" width="19.28515625" style="1240" hidden="1" customWidth="1" outlineLevel="1"/>
    <col min="41" max="41" width="18.85546875" style="1240" hidden="1" customWidth="1" outlineLevel="1"/>
    <col min="42" max="43" width="12.7109375" style="733" hidden="1" customWidth="1" outlineLevel="1"/>
    <col min="44" max="44" width="13.140625" style="733" hidden="1" customWidth="1" outlineLevel="1"/>
    <col min="45" max="46" width="12.7109375" style="733" hidden="1" customWidth="1" outlineLevel="1"/>
    <col min="47" max="47" width="8.85546875" style="733" hidden="1" customWidth="1" outlineLevel="1"/>
    <col min="48" max="48" width="13.28515625" style="733" hidden="1" customWidth="1" outlineLevel="1"/>
    <col min="49" max="49" width="12.7109375" style="733" hidden="1" customWidth="1" outlineLevel="1"/>
    <col min="50" max="50" width="17.28515625" style="733" hidden="1" customWidth="1" outlineLevel="1"/>
    <col min="51" max="51" width="9" style="733" hidden="1" customWidth="1" outlineLevel="1"/>
    <col min="52" max="52" width="14.85546875" style="733" hidden="1" customWidth="1" outlineLevel="1"/>
    <col min="53" max="53" width="16.28515625" style="733" hidden="1" customWidth="1" outlineLevel="1"/>
    <col min="54" max="54" width="17.85546875" style="733" hidden="1" customWidth="1" outlineLevel="1"/>
    <col min="55" max="55" width="11.5703125" style="733" hidden="1" customWidth="1" outlineLevel="1"/>
    <col min="56" max="56" width="15.28515625" style="733" hidden="1" customWidth="1" outlineLevel="1"/>
    <col min="57" max="57" width="13.7109375" style="733" hidden="1" customWidth="1" outlineLevel="1"/>
    <col min="58" max="58" width="14" style="733" hidden="1" customWidth="1" outlineLevel="1"/>
    <col min="59" max="59" width="9.28515625" style="733" hidden="1" customWidth="1" outlineLevel="1"/>
    <col min="60" max="60" width="29.42578125" style="733" hidden="1" customWidth="1" outlineLevel="1"/>
    <col min="61" max="61" width="15.42578125" style="733" hidden="1" customWidth="1" outlineLevel="1"/>
    <col min="62" max="62" width="28.28515625" style="733" hidden="1" customWidth="1" outlineLevel="1"/>
    <col min="63" max="63" width="14.28515625" style="733" hidden="1" customWidth="1" outlineLevel="1"/>
    <col min="64" max="64" width="12.7109375" style="733" hidden="1" customWidth="1" outlineLevel="1"/>
    <col min="65" max="65" width="31" style="733" hidden="1" customWidth="1" outlineLevel="1"/>
    <col min="66" max="66" width="16.85546875" style="733" hidden="1" customWidth="1" outlineLevel="1"/>
    <col min="67" max="67" width="12.7109375" style="733" hidden="1" customWidth="1" outlineLevel="1"/>
    <col min="68" max="68" width="8.85546875" style="733" hidden="1" customWidth="1" outlineLevel="1"/>
    <col min="69" max="70" width="12.7109375" style="733" hidden="1" customWidth="1" outlineLevel="1"/>
    <col min="71" max="71" width="19.28515625" style="1240" hidden="1" customWidth="1" outlineLevel="1"/>
    <col min="72" max="72" width="18.85546875" style="1240" hidden="1" customWidth="1" outlineLevel="1"/>
    <col min="73" max="74" width="12.7109375" style="733" hidden="1" customWidth="1" outlineLevel="1"/>
    <col min="75" max="75" width="13.5703125" style="733" hidden="1" customWidth="1" outlineLevel="1"/>
    <col min="76" max="76" width="9.140625" collapsed="1"/>
    <col min="77" max="77" width="16.7109375" customWidth="1"/>
    <col min="78" max="78" width="12.7109375" customWidth="1"/>
    <col min="79" max="79" width="16.85546875" bestFit="1" customWidth="1"/>
    <col min="81" max="83" width="12.7109375" customWidth="1"/>
    <col min="84" max="84" width="12.42578125" customWidth="1"/>
  </cols>
  <sheetData>
    <row r="1" spans="1:84">
      <c r="H1" s="732"/>
      <c r="J1" s="9"/>
      <c r="M1" s="9"/>
      <c r="AS1" s="9"/>
      <c r="BX1" s="9" t="s">
        <v>2093</v>
      </c>
    </row>
    <row r="2" spans="1:84">
      <c r="B2" s="234" t="s">
        <v>2028</v>
      </c>
      <c r="H2" s="732"/>
      <c r="CC2" s="234" t="s">
        <v>2081</v>
      </c>
    </row>
    <row r="3" spans="1:84">
      <c r="CA3" s="731"/>
    </row>
    <row r="4" spans="1:84">
      <c r="B4" s="723" t="s">
        <v>2027</v>
      </c>
      <c r="C4" s="727"/>
      <c r="D4" s="727"/>
      <c r="E4" s="727"/>
      <c r="F4" s="727"/>
      <c r="G4" s="730" t="s">
        <v>2026</v>
      </c>
      <c r="H4" s="727"/>
      <c r="I4" s="729"/>
      <c r="J4" s="728" t="s">
        <v>2025</v>
      </c>
      <c r="K4" s="727"/>
      <c r="L4" s="726"/>
      <c r="M4" s="677"/>
      <c r="N4" s="724" t="s">
        <v>2024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490"/>
      <c r="AR4" s="725"/>
      <c r="AT4" s="724" t="s">
        <v>2023</v>
      </c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490"/>
      <c r="BX4" s="671" t="s">
        <v>12</v>
      </c>
      <c r="BY4" s="723" t="s">
        <v>2022</v>
      </c>
      <c r="BZ4" s="489"/>
      <c r="CA4" s="492"/>
      <c r="CB4" s="671" t="s">
        <v>12</v>
      </c>
      <c r="CC4" s="721" t="s">
        <v>2020</v>
      </c>
      <c r="CD4" s="720"/>
      <c r="CE4" s="489"/>
      <c r="CF4" s="722" t="s">
        <v>2021</v>
      </c>
    </row>
    <row r="5" spans="1:84">
      <c r="B5" s="719" t="s">
        <v>1802</v>
      </c>
      <c r="C5" s="558" t="s">
        <v>1768</v>
      </c>
      <c r="D5" s="558" t="s">
        <v>354</v>
      </c>
      <c r="E5" s="558" t="s">
        <v>156</v>
      </c>
      <c r="F5" s="558" t="s">
        <v>2019</v>
      </c>
      <c r="G5" s="718" t="s">
        <v>2018</v>
      </c>
      <c r="H5" s="713" t="s">
        <v>1804</v>
      </c>
      <c r="I5" s="717" t="s">
        <v>1998</v>
      </c>
      <c r="J5" s="713" t="s">
        <v>2018</v>
      </c>
      <c r="K5" s="713" t="s">
        <v>1804</v>
      </c>
      <c r="L5" s="716" t="s">
        <v>1998</v>
      </c>
      <c r="M5" s="677"/>
      <c r="N5" s="574" t="s">
        <v>2017</v>
      </c>
      <c r="O5" s="714" t="s">
        <v>156</v>
      </c>
      <c r="P5" s="714" t="s">
        <v>1803</v>
      </c>
      <c r="Q5" s="714" t="s">
        <v>354</v>
      </c>
      <c r="R5" s="714" t="s">
        <v>2016</v>
      </c>
      <c r="S5" s="714" t="s">
        <v>2015</v>
      </c>
      <c r="T5" s="714" t="s">
        <v>1768</v>
      </c>
      <c r="U5" s="714" t="s">
        <v>1769</v>
      </c>
      <c r="V5" s="714" t="s">
        <v>1</v>
      </c>
      <c r="W5" s="714" t="s">
        <v>2047</v>
      </c>
      <c r="X5" s="714" t="s">
        <v>1784</v>
      </c>
      <c r="Y5" s="714" t="s">
        <v>1770</v>
      </c>
      <c r="Z5" s="714" t="s">
        <v>1443</v>
      </c>
      <c r="AA5" s="714" t="s">
        <v>1444</v>
      </c>
      <c r="AB5" s="714" t="s">
        <v>120</v>
      </c>
      <c r="AC5" s="714" t="s">
        <v>2014</v>
      </c>
      <c r="AD5" s="714" t="s">
        <v>2013</v>
      </c>
      <c r="AE5" s="714" t="s">
        <v>2012</v>
      </c>
      <c r="AF5" s="714" t="s">
        <v>2011</v>
      </c>
      <c r="AG5" s="714" t="s">
        <v>2010</v>
      </c>
      <c r="AH5" s="714" t="s">
        <v>2009</v>
      </c>
      <c r="AI5" s="714" t="s">
        <v>2008</v>
      </c>
      <c r="AJ5" s="714" t="s">
        <v>2007</v>
      </c>
      <c r="AK5" s="714" t="s">
        <v>2006</v>
      </c>
      <c r="AL5" s="714" t="s">
        <v>2005</v>
      </c>
      <c r="AM5" s="714" t="s">
        <v>2004</v>
      </c>
      <c r="AN5" s="1247" t="s">
        <v>2250</v>
      </c>
      <c r="AO5" s="1247" t="s">
        <v>2251</v>
      </c>
      <c r="AP5" s="714" t="s">
        <v>2003</v>
      </c>
      <c r="AQ5" s="714" t="s">
        <v>2002</v>
      </c>
      <c r="AR5" s="715" t="s">
        <v>2001</v>
      </c>
      <c r="AT5" s="574" t="s">
        <v>2017</v>
      </c>
      <c r="AU5" s="714" t="s">
        <v>156</v>
      </c>
      <c r="AV5" s="714" t="s">
        <v>1803</v>
      </c>
      <c r="AW5" s="714" t="s">
        <v>354</v>
      </c>
      <c r="AX5" s="714" t="s">
        <v>2016</v>
      </c>
      <c r="AY5" s="714" t="s">
        <v>2015</v>
      </c>
      <c r="AZ5" s="714" t="s">
        <v>1768</v>
      </c>
      <c r="BA5" s="714" t="s">
        <v>1769</v>
      </c>
      <c r="BB5" s="714" t="s">
        <v>1</v>
      </c>
      <c r="BC5" s="714" t="s">
        <v>1784</v>
      </c>
      <c r="BD5" s="714" t="s">
        <v>1770</v>
      </c>
      <c r="BE5" s="714" t="s">
        <v>1443</v>
      </c>
      <c r="BF5" s="714" t="s">
        <v>1444</v>
      </c>
      <c r="BG5" s="714" t="s">
        <v>120</v>
      </c>
      <c r="BH5" s="714" t="s">
        <v>2014</v>
      </c>
      <c r="BI5" s="714" t="s">
        <v>2013</v>
      </c>
      <c r="BJ5" s="714" t="s">
        <v>2012</v>
      </c>
      <c r="BK5" s="714" t="s">
        <v>2011</v>
      </c>
      <c r="BL5" s="714" t="s">
        <v>2010</v>
      </c>
      <c r="BM5" s="714" t="s">
        <v>2009</v>
      </c>
      <c r="BN5" s="714" t="s">
        <v>2008</v>
      </c>
      <c r="BO5" s="714" t="s">
        <v>2007</v>
      </c>
      <c r="BP5" s="714" t="s">
        <v>2006</v>
      </c>
      <c r="BQ5" s="714" t="s">
        <v>2005</v>
      </c>
      <c r="BR5" s="714" t="s">
        <v>2004</v>
      </c>
      <c r="BS5" s="1247" t="s">
        <v>2250</v>
      </c>
      <c r="BT5" s="1247" t="s">
        <v>2251</v>
      </c>
      <c r="BU5" s="714" t="s">
        <v>2003</v>
      </c>
      <c r="BV5" s="714" t="s">
        <v>2002</v>
      </c>
      <c r="BW5" s="714" t="s">
        <v>2001</v>
      </c>
      <c r="BX5" s="671" t="s">
        <v>12</v>
      </c>
      <c r="BY5" s="806" t="s">
        <v>2000</v>
      </c>
      <c r="BZ5" s="713" t="s">
        <v>1445</v>
      </c>
      <c r="CA5" s="716" t="s">
        <v>2242</v>
      </c>
      <c r="CB5" s="671" t="s">
        <v>12</v>
      </c>
      <c r="CC5" s="555" t="s">
        <v>74</v>
      </c>
      <c r="CD5" s="711" t="s">
        <v>73</v>
      </c>
      <c r="CE5" s="558" t="s">
        <v>1998</v>
      </c>
      <c r="CF5" s="712" t="s">
        <v>1999</v>
      </c>
    </row>
    <row r="6" spans="1:84">
      <c r="A6" s="203">
        <v>1</v>
      </c>
      <c r="B6" s="811" t="s">
        <v>361</v>
      </c>
      <c r="C6" s="710">
        <f ca="1">IF(OR($B6="",$D6="",$D6=0),"",_xll.meDateFromTenor(COB,$B6,$AH6,$AI6))</f>
        <v>43229</v>
      </c>
      <c r="D6" s="814">
        <v>1000000</v>
      </c>
      <c r="E6" s="815" t="s">
        <v>181</v>
      </c>
      <c r="F6" s="707" t="s">
        <v>154</v>
      </c>
      <c r="G6" s="709" t="s">
        <v>1995</v>
      </c>
      <c r="H6" s="820" t="s">
        <v>316</v>
      </c>
      <c r="I6" s="708">
        <v>0</v>
      </c>
      <c r="J6" s="707" t="s">
        <v>1997</v>
      </c>
      <c r="K6" s="820" t="s">
        <v>355</v>
      </c>
      <c r="L6" s="706">
        <v>0</v>
      </c>
      <c r="M6" s="677"/>
      <c r="N6" s="699" t="s">
        <v>1994</v>
      </c>
      <c r="O6" s="701" t="str">
        <f t="shared" ref="O6:O25" si="0">$E6</f>
        <v>USD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1992</v>
      </c>
      <c r="S6" s="704">
        <v>1</v>
      </c>
      <c r="T6" s="703">
        <f t="shared" ref="T6:T25" ca="1" si="3">$C6</f>
        <v>43229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1" t="str">
        <f>BB6</f>
        <v>SEMI-ANNUAL</v>
      </c>
      <c r="X6" s="702">
        <f t="shared" ref="X6:X25" si="6">$I6</f>
        <v>0</v>
      </c>
      <c r="Y6" s="701" t="str">
        <f t="shared" ref="Y6:Y25" si="7">$E6&amp;"YC"</f>
        <v>USDYC</v>
      </c>
      <c r="Z6" s="701" t="str">
        <f t="shared" ref="Z6:Z25" si="8">$E6&amp;$H6</f>
        <v>USD3ML</v>
      </c>
      <c r="AA6" s="701" t="str">
        <f t="shared" ref="AA6:AA25" si="9">$E6&amp;"OIS"</f>
        <v>USDOIS</v>
      </c>
      <c r="AB6" s="701" t="s">
        <v>3</v>
      </c>
      <c r="AC6" s="701" t="s">
        <v>38</v>
      </c>
      <c r="AD6" s="701" t="s">
        <v>112</v>
      </c>
      <c r="AE6" s="701" t="s">
        <v>38</v>
      </c>
      <c r="AF6" s="701" t="s">
        <v>112</v>
      </c>
      <c r="AG6" s="701" t="s">
        <v>356</v>
      </c>
      <c r="AH6" s="701" t="s">
        <v>38</v>
      </c>
      <c r="AI6" s="701" t="s">
        <v>112</v>
      </c>
      <c r="AJ6" s="701" t="s">
        <v>356</v>
      </c>
      <c r="AK6" s="701">
        <f t="shared" ref="AK6:AK25" ca="1" si="10">DAY($C6)</f>
        <v>9</v>
      </c>
      <c r="AL6" s="701"/>
      <c r="AM6" s="701"/>
      <c r="AN6" s="550" t="s">
        <v>2252</v>
      </c>
      <c r="AO6" s="550" t="s">
        <v>2252</v>
      </c>
      <c r="AP6" s="697"/>
      <c r="AQ6" s="697"/>
      <c r="AR6" s="700" t="s">
        <v>1991</v>
      </c>
      <c r="AT6" s="699" t="s">
        <v>1993</v>
      </c>
      <c r="AU6" s="701" t="str">
        <f t="shared" ref="AU6:AU25" si="11">$E6</f>
        <v>USD</v>
      </c>
      <c r="AV6" s="703" t="str">
        <f t="shared" ref="AV6:AV25" si="12">$J6</f>
        <v>RECEIVE</v>
      </c>
      <c r="AW6" s="705">
        <f t="shared" ref="AW6:AW25" si="13">$D6</f>
        <v>1000000</v>
      </c>
      <c r="AX6" s="701" t="s">
        <v>1992</v>
      </c>
      <c r="AY6" s="704">
        <v>1</v>
      </c>
      <c r="AZ6" s="703">
        <f t="shared" ref="AZ6:AZ25" ca="1" si="14">$C6</f>
        <v>43229</v>
      </c>
      <c r="BA6" s="703" t="str">
        <f t="shared" ref="BA6:BA25" si="15">F6</f>
        <v>1Y</v>
      </c>
      <c r="BB6" s="701" t="str">
        <f t="shared" ref="BB6:BB25" si="16">IF($K6="12ML","ANNUAL",IF($K6="6ML","SEMI-ANNUAL",IF($K6="3ML","QUARTERLY","MONTHLY")))</f>
        <v>SEMI-ANNUAL</v>
      </c>
      <c r="BC6" s="702">
        <f t="shared" ref="BC6:BC25" si="17">$L6</f>
        <v>0</v>
      </c>
      <c r="BD6" s="701" t="str">
        <f t="shared" ref="BD6:BD25" si="18">$E6&amp;"YC"</f>
        <v>USDYC</v>
      </c>
      <c r="BE6" s="701" t="str">
        <f t="shared" ref="BE6:BE25" si="19">$E6&amp;$K6</f>
        <v>USD6ML</v>
      </c>
      <c r="BF6" s="701" t="str">
        <f t="shared" ref="BF6:BF25" si="20">$E6&amp;"OIS"</f>
        <v>USDOIS</v>
      </c>
      <c r="BG6" s="701" t="s">
        <v>3</v>
      </c>
      <c r="BH6" s="701" t="s">
        <v>38</v>
      </c>
      <c r="BI6" s="701" t="s">
        <v>112</v>
      </c>
      <c r="BJ6" s="701" t="s">
        <v>38</v>
      </c>
      <c r="BK6" s="701" t="s">
        <v>112</v>
      </c>
      <c r="BL6" s="701" t="s">
        <v>356</v>
      </c>
      <c r="BM6" s="701" t="s">
        <v>38</v>
      </c>
      <c r="BN6" s="701" t="s">
        <v>112</v>
      </c>
      <c r="BO6" s="701" t="s">
        <v>356</v>
      </c>
      <c r="BP6" s="701">
        <f t="shared" ref="BP6:BP25" ca="1" si="21">DAY($C6)</f>
        <v>9</v>
      </c>
      <c r="BQ6" s="701"/>
      <c r="BR6" s="701"/>
      <c r="BS6" s="550" t="s">
        <v>2252</v>
      </c>
      <c r="BT6" s="550" t="s">
        <v>2252</v>
      </c>
      <c r="BU6" s="697"/>
      <c r="BV6" s="697"/>
      <c r="BW6" s="700" t="s">
        <v>1991</v>
      </c>
      <c r="BX6" s="671" t="s">
        <v>12</v>
      </c>
      <c r="BY6" s="1038" t="str">
        <f ca="1">IF(OR($D6="",$D6=0),"",_xll.meLWOSwapCreateFromLegLVBs($E6&amp;LEFT($H6,LEN($H6)-2)&amp;"x"&amp;LEFT($K6,LEN($K6)-2)&amp;"_"&amp;$A6,_xll.meUtilityLVBFromKeysValues(Leg1Keys,$N6:$AR6),_xll.meUtilityLVBFromKeysValues(Leg2Keys,$AT6:$BW6),FALSE))</f>
        <v>USD3X6_1@54:0</v>
      </c>
      <c r="BZ6" s="598" t="str">
        <f ca="1">IF(OR($D6="",$D6=0),"",_xll.meLWOSwapPV(BY6,Y6))</f>
        <v>[2018/05/04 09:52] #Error: Invalid Curve: CurveCollection 'USDYC' does not exist</v>
      </c>
      <c r="CA6" s="698" t="str">
        <f ca="1">IF(OR($D6="",$D6=0),"",_xll.meLWOSwapParSpread($BY6,Y6))</f>
        <v>[2018/05/04 09:52] #Error: Invalid Curve: CurveCollection 'USDYC' does not exist</v>
      </c>
      <c r="CB6" s="671" t="s">
        <v>12</v>
      </c>
      <c r="CC6" s="599" t="str">
        <f>'USD Curve Config'!BJ9</f>
        <v>1Y</v>
      </c>
      <c r="CD6" s="697">
        <f>'USD Curve Config'!BK9</f>
        <v>1.225E-3</v>
      </c>
      <c r="CE6" s="808">
        <f>CD6*10000</f>
        <v>12.25</v>
      </c>
      <c r="CF6" s="931" t="e">
        <f ca="1">IF(OR(ISNA(VLOOKUP($CC6,$F$6:$CA$25,74,FALSE)),$CC6=""),"",IF(VLOOKUP($CC6,$F$6:$CA$25,74,FALSE)="","",VLOOKUP($CC6,$F$6:$CA$25,74,FALSE)-$CE6))</f>
        <v>#VALUE!</v>
      </c>
    </row>
    <row r="7" spans="1:84">
      <c r="A7" s="203">
        <f>A6+1</f>
        <v>2</v>
      </c>
      <c r="B7" s="812" t="s">
        <v>361</v>
      </c>
      <c r="C7" s="696">
        <f ca="1">IF(OR($B7="",$D7="",$D7=0),"",_xll.meDateFromTenor(COB,$B7,$AH7,$AI7))</f>
        <v>43229</v>
      </c>
      <c r="D7" s="816">
        <v>1000000</v>
      </c>
      <c r="E7" s="817" t="s">
        <v>181</v>
      </c>
      <c r="F7" s="693" t="s">
        <v>40</v>
      </c>
      <c r="G7" s="695" t="s">
        <v>1995</v>
      </c>
      <c r="H7" s="821" t="s">
        <v>316</v>
      </c>
      <c r="I7" s="694">
        <v>0</v>
      </c>
      <c r="J7" s="693" t="s">
        <v>1997</v>
      </c>
      <c r="K7" s="821" t="s">
        <v>355</v>
      </c>
      <c r="L7" s="692">
        <v>0</v>
      </c>
      <c r="M7" s="677"/>
      <c r="N7" s="686" t="s">
        <v>1994</v>
      </c>
      <c r="O7" s="687" t="str">
        <f t="shared" si="0"/>
        <v>USD</v>
      </c>
      <c r="P7" s="689" t="str">
        <f t="shared" si="1"/>
        <v>PAY</v>
      </c>
      <c r="Q7" s="691">
        <f t="shared" si="2"/>
        <v>1000000</v>
      </c>
      <c r="R7" s="687" t="s">
        <v>1992</v>
      </c>
      <c r="S7" s="690">
        <v>1</v>
      </c>
      <c r="T7" s="689">
        <f t="shared" ca="1" si="3"/>
        <v>43229</v>
      </c>
      <c r="U7" s="689" t="str">
        <f t="shared" si="4"/>
        <v>2Y</v>
      </c>
      <c r="V7" s="687" t="str">
        <f t="shared" si="5"/>
        <v>QUARTERLY</v>
      </c>
      <c r="W7" s="687" t="str">
        <f t="shared" ref="W7:W25" si="22">BB7</f>
        <v>SEMI-ANNUAL</v>
      </c>
      <c r="X7" s="688">
        <f t="shared" si="6"/>
        <v>0</v>
      </c>
      <c r="Y7" s="687" t="str">
        <f t="shared" si="7"/>
        <v>USDYC</v>
      </c>
      <c r="Z7" s="687" t="str">
        <f t="shared" si="8"/>
        <v>USD3ML</v>
      </c>
      <c r="AA7" s="687" t="str">
        <f t="shared" si="9"/>
        <v>USDOIS</v>
      </c>
      <c r="AB7" s="687" t="s">
        <v>3</v>
      </c>
      <c r="AC7" s="687" t="s">
        <v>38</v>
      </c>
      <c r="AD7" s="687" t="s">
        <v>112</v>
      </c>
      <c r="AE7" s="687" t="s">
        <v>38</v>
      </c>
      <c r="AF7" s="687" t="s">
        <v>112</v>
      </c>
      <c r="AG7" s="687" t="s">
        <v>356</v>
      </c>
      <c r="AH7" s="687" t="s">
        <v>38</v>
      </c>
      <c r="AI7" s="687" t="s">
        <v>112</v>
      </c>
      <c r="AJ7" s="687" t="s">
        <v>356</v>
      </c>
      <c r="AK7" s="687">
        <f t="shared" ca="1" si="10"/>
        <v>9</v>
      </c>
      <c r="AL7" s="687"/>
      <c r="AM7" s="687"/>
      <c r="AN7" s="550" t="s">
        <v>2252</v>
      </c>
      <c r="AO7" s="550" t="s">
        <v>2252</v>
      </c>
      <c r="AP7" s="683"/>
      <c r="AQ7" s="683"/>
      <c r="AR7" s="539" t="s">
        <v>1991</v>
      </c>
      <c r="AT7" s="686" t="s">
        <v>1993</v>
      </c>
      <c r="AU7" s="687" t="str">
        <f t="shared" si="11"/>
        <v>USD</v>
      </c>
      <c r="AV7" s="689" t="str">
        <f t="shared" si="12"/>
        <v>RECEIVE</v>
      </c>
      <c r="AW7" s="691">
        <f t="shared" si="13"/>
        <v>1000000</v>
      </c>
      <c r="AX7" s="687" t="s">
        <v>1992</v>
      </c>
      <c r="AY7" s="690">
        <v>1</v>
      </c>
      <c r="AZ7" s="689">
        <f t="shared" ca="1" si="14"/>
        <v>43229</v>
      </c>
      <c r="BA7" s="689" t="str">
        <f t="shared" si="15"/>
        <v>2Y</v>
      </c>
      <c r="BB7" s="687" t="str">
        <f t="shared" si="16"/>
        <v>SEMI-ANNUAL</v>
      </c>
      <c r="BC7" s="688">
        <f t="shared" si="17"/>
        <v>0</v>
      </c>
      <c r="BD7" s="687" t="str">
        <f t="shared" si="18"/>
        <v>USDYC</v>
      </c>
      <c r="BE7" s="687" t="str">
        <f t="shared" si="19"/>
        <v>USD6ML</v>
      </c>
      <c r="BF7" s="687" t="str">
        <f t="shared" si="20"/>
        <v>USDOIS</v>
      </c>
      <c r="BG7" s="687" t="s">
        <v>3</v>
      </c>
      <c r="BH7" s="687" t="s">
        <v>38</v>
      </c>
      <c r="BI7" s="687" t="s">
        <v>112</v>
      </c>
      <c r="BJ7" s="687" t="s">
        <v>38</v>
      </c>
      <c r="BK7" s="687" t="s">
        <v>112</v>
      </c>
      <c r="BL7" s="687" t="s">
        <v>356</v>
      </c>
      <c r="BM7" s="687" t="s">
        <v>38</v>
      </c>
      <c r="BN7" s="687" t="s">
        <v>112</v>
      </c>
      <c r="BO7" s="687" t="s">
        <v>356</v>
      </c>
      <c r="BP7" s="687">
        <f t="shared" ca="1" si="21"/>
        <v>9</v>
      </c>
      <c r="BQ7" s="687"/>
      <c r="BR7" s="687"/>
      <c r="BS7" s="550" t="s">
        <v>2252</v>
      </c>
      <c r="BT7" s="550" t="s">
        <v>2252</v>
      </c>
      <c r="BU7" s="683"/>
      <c r="BV7" s="683"/>
      <c r="BW7" s="539" t="s">
        <v>1991</v>
      </c>
      <c r="BX7" s="671" t="s">
        <v>12</v>
      </c>
      <c r="BY7" s="686" t="str">
        <f ca="1">IF(OR($D7="",$D7=0),"",_xll.meLWOSwapCreateFromLegLVBs($E7&amp;LEFT($H7,LEN($H7)-2)&amp;"x"&amp;LEFT($K7,LEN($K7)-2)&amp;"_"&amp;$A7,_xll.meUtilityLVBFromKeysValues(Leg1Keys,$N7:$AR7),_xll.meUtilityLVBFromKeysValues(Leg2Keys,$AT7:$BW7),FALSE))</f>
        <v>USD3X6_2@147:0</v>
      </c>
      <c r="BZ7" s="517" t="str">
        <f ca="1">IF(OR($D7="",$D7=0),"",_xll.meLWOSwapPV(BY7,Y7))</f>
        <v>[2018/05/04 09:52] #Error: Invalid Curve: CurveCollection 'USDYC' does not exist</v>
      </c>
      <c r="CA7" s="685" t="str">
        <f ca="1">IF(OR($D7="",$D7=0),"",_xll.meLWOSwapParSpread($BY7,Y7))</f>
        <v>[2018/05/04 09:52] #Error: Invalid Curve: CurveCollection 'USDYC' does not exist</v>
      </c>
      <c r="CB7" s="671" t="s">
        <v>12</v>
      </c>
      <c r="CC7" s="684" t="str">
        <f>'USD Curve Config'!BJ10</f>
        <v>2Y</v>
      </c>
      <c r="CD7" s="683">
        <f>'USD Curve Config'!BK10</f>
        <v>1.2375000000000001E-3</v>
      </c>
      <c r="CE7" s="809">
        <f t="shared" ref="CE7:CE20" si="23">CD7*10000</f>
        <v>12.375000000000002</v>
      </c>
      <c r="CF7" s="932" t="e">
        <f t="shared" ref="CF7:CF25" ca="1" si="24">IF(OR(ISNA(VLOOKUP($CC7,$F$6:$CA$25,74,FALSE)),$CC7=""),"",IF(VLOOKUP($CC7,$F$6:$CA$25,74,FALSE)="","",VLOOKUP($CC7,$F$6:$CA$25,74,FALSE)-$CE7))</f>
        <v>#VALUE!</v>
      </c>
    </row>
    <row r="8" spans="1:84">
      <c r="A8" s="203">
        <f t="shared" ref="A8:A25" si="25">A7+1</f>
        <v>3</v>
      </c>
      <c r="B8" s="812" t="s">
        <v>361</v>
      </c>
      <c r="C8" s="696">
        <f ca="1">IF(OR($B8="",$D8="",$D8=0),"",_xll.meDateFromTenor(COB,$B8,$AH8,$AI8))</f>
        <v>43229</v>
      </c>
      <c r="D8" s="816">
        <v>1000000</v>
      </c>
      <c r="E8" s="817" t="s">
        <v>181</v>
      </c>
      <c r="F8" s="693" t="s">
        <v>37</v>
      </c>
      <c r="G8" s="695" t="s">
        <v>1995</v>
      </c>
      <c r="H8" s="821" t="s">
        <v>316</v>
      </c>
      <c r="I8" s="694">
        <v>0</v>
      </c>
      <c r="J8" s="693" t="s">
        <v>1997</v>
      </c>
      <c r="K8" s="821" t="s">
        <v>355</v>
      </c>
      <c r="L8" s="692">
        <v>0</v>
      </c>
      <c r="M8" s="677"/>
      <c r="N8" s="686" t="s">
        <v>1994</v>
      </c>
      <c r="O8" s="687" t="str">
        <f t="shared" si="0"/>
        <v>USD</v>
      </c>
      <c r="P8" s="689" t="str">
        <f t="shared" si="1"/>
        <v>PAY</v>
      </c>
      <c r="Q8" s="691">
        <f t="shared" si="2"/>
        <v>1000000</v>
      </c>
      <c r="R8" s="687" t="s">
        <v>1992</v>
      </c>
      <c r="S8" s="690">
        <v>1</v>
      </c>
      <c r="T8" s="689">
        <f t="shared" ca="1" si="3"/>
        <v>43229</v>
      </c>
      <c r="U8" s="689" t="str">
        <f t="shared" si="4"/>
        <v>3Y</v>
      </c>
      <c r="V8" s="687" t="str">
        <f t="shared" si="5"/>
        <v>QUARTERLY</v>
      </c>
      <c r="W8" s="687" t="str">
        <f t="shared" si="22"/>
        <v>SEMI-ANNUAL</v>
      </c>
      <c r="X8" s="688">
        <f t="shared" si="6"/>
        <v>0</v>
      </c>
      <c r="Y8" s="687" t="str">
        <f t="shared" si="7"/>
        <v>USDYC</v>
      </c>
      <c r="Z8" s="687" t="str">
        <f t="shared" si="8"/>
        <v>USD3ML</v>
      </c>
      <c r="AA8" s="687" t="str">
        <f t="shared" si="9"/>
        <v>USDOIS</v>
      </c>
      <c r="AB8" s="687" t="s">
        <v>3</v>
      </c>
      <c r="AC8" s="687" t="s">
        <v>38</v>
      </c>
      <c r="AD8" s="687" t="s">
        <v>112</v>
      </c>
      <c r="AE8" s="687" t="s">
        <v>38</v>
      </c>
      <c r="AF8" s="687" t="s">
        <v>112</v>
      </c>
      <c r="AG8" s="687" t="s">
        <v>356</v>
      </c>
      <c r="AH8" s="687" t="s">
        <v>38</v>
      </c>
      <c r="AI8" s="687" t="s">
        <v>112</v>
      </c>
      <c r="AJ8" s="687" t="s">
        <v>356</v>
      </c>
      <c r="AK8" s="687">
        <f t="shared" ca="1" si="10"/>
        <v>9</v>
      </c>
      <c r="AL8" s="687"/>
      <c r="AM8" s="687"/>
      <c r="AN8" s="550" t="s">
        <v>2252</v>
      </c>
      <c r="AO8" s="550" t="s">
        <v>2252</v>
      </c>
      <c r="AP8" s="683"/>
      <c r="AQ8" s="683"/>
      <c r="AR8" s="539" t="s">
        <v>1991</v>
      </c>
      <c r="AT8" s="686" t="s">
        <v>1993</v>
      </c>
      <c r="AU8" s="687" t="str">
        <f t="shared" si="11"/>
        <v>USD</v>
      </c>
      <c r="AV8" s="689" t="str">
        <f t="shared" si="12"/>
        <v>RECEIVE</v>
      </c>
      <c r="AW8" s="691">
        <f t="shared" si="13"/>
        <v>1000000</v>
      </c>
      <c r="AX8" s="687" t="s">
        <v>1992</v>
      </c>
      <c r="AY8" s="690">
        <v>1</v>
      </c>
      <c r="AZ8" s="689">
        <f t="shared" ca="1" si="14"/>
        <v>43229</v>
      </c>
      <c r="BA8" s="689" t="str">
        <f t="shared" si="15"/>
        <v>3Y</v>
      </c>
      <c r="BB8" s="687" t="str">
        <f t="shared" si="16"/>
        <v>SEMI-ANNUAL</v>
      </c>
      <c r="BC8" s="688">
        <f t="shared" si="17"/>
        <v>0</v>
      </c>
      <c r="BD8" s="687" t="str">
        <f t="shared" si="18"/>
        <v>USDYC</v>
      </c>
      <c r="BE8" s="687" t="str">
        <f t="shared" si="19"/>
        <v>USD6ML</v>
      </c>
      <c r="BF8" s="687" t="str">
        <f t="shared" si="20"/>
        <v>USDOIS</v>
      </c>
      <c r="BG8" s="687" t="s">
        <v>3</v>
      </c>
      <c r="BH8" s="687" t="s">
        <v>38</v>
      </c>
      <c r="BI8" s="687" t="s">
        <v>112</v>
      </c>
      <c r="BJ8" s="687" t="s">
        <v>38</v>
      </c>
      <c r="BK8" s="687" t="s">
        <v>112</v>
      </c>
      <c r="BL8" s="687" t="s">
        <v>356</v>
      </c>
      <c r="BM8" s="687" t="s">
        <v>38</v>
      </c>
      <c r="BN8" s="687" t="s">
        <v>112</v>
      </c>
      <c r="BO8" s="687" t="s">
        <v>356</v>
      </c>
      <c r="BP8" s="687">
        <f t="shared" ca="1" si="21"/>
        <v>9</v>
      </c>
      <c r="BQ8" s="687"/>
      <c r="BR8" s="687"/>
      <c r="BS8" s="550" t="s">
        <v>2252</v>
      </c>
      <c r="BT8" s="550" t="s">
        <v>2252</v>
      </c>
      <c r="BU8" s="683"/>
      <c r="BV8" s="683"/>
      <c r="BW8" s="539" t="s">
        <v>1991</v>
      </c>
      <c r="BX8" s="671" t="s">
        <v>12</v>
      </c>
      <c r="BY8" s="686" t="str">
        <f ca="1">IF(OR($D8="",$D8=0),"",_xll.meLWOSwapCreateFromLegLVBs($E8&amp;LEFT($H8,LEN($H8)-2)&amp;"x"&amp;LEFT($K8,LEN($K8)-2)&amp;"_"&amp;$A8,_xll.meUtilityLVBFromKeysValues(Leg1Keys,$N8:$AR8),_xll.meUtilityLVBFromKeysValues(Leg2Keys,$AT8:$BW8),FALSE))</f>
        <v>USD3X6_3@108:0</v>
      </c>
      <c r="BZ8" s="517" t="str">
        <f ca="1">IF(OR($D8="",$D8=0),"",_xll.meLWOSwapPV(BY8,Y8))</f>
        <v>[2018/05/04 09:52] #Error: Invalid Curve: CurveCollection 'USDYC' does not exist</v>
      </c>
      <c r="CA8" s="685" t="str">
        <f ca="1">IF(OR($D8="",$D8=0),"",_xll.meLWOSwapParSpread($BY8,Y8))</f>
        <v>[2018/05/04 09:52] #Error: Invalid Curve: CurveCollection 'USDYC' does not exist</v>
      </c>
      <c r="CB8" s="671" t="s">
        <v>12</v>
      </c>
      <c r="CC8" s="684" t="str">
        <f>'USD Curve Config'!BJ11</f>
        <v>3Y</v>
      </c>
      <c r="CD8" s="683">
        <f>'USD Curve Config'!BK11</f>
        <v>1.25E-3</v>
      </c>
      <c r="CE8" s="809">
        <f t="shared" si="23"/>
        <v>12.5</v>
      </c>
      <c r="CF8" s="932" t="e">
        <f t="shared" ca="1" si="24"/>
        <v>#VALUE!</v>
      </c>
    </row>
    <row r="9" spans="1:84">
      <c r="A9" s="203">
        <f t="shared" si="25"/>
        <v>4</v>
      </c>
      <c r="B9" s="812" t="s">
        <v>361</v>
      </c>
      <c r="C9" s="696">
        <f ca="1">IF(OR($B9="",$D9="",$D9=0),"",_xll.meDateFromTenor(COB,$B9,$AH9,$AI9))</f>
        <v>43229</v>
      </c>
      <c r="D9" s="816">
        <v>1000000</v>
      </c>
      <c r="E9" s="817" t="s">
        <v>181</v>
      </c>
      <c r="F9" s="693" t="s">
        <v>33</v>
      </c>
      <c r="G9" s="695" t="s">
        <v>1995</v>
      </c>
      <c r="H9" s="821" t="s">
        <v>316</v>
      </c>
      <c r="I9" s="694">
        <v>0</v>
      </c>
      <c r="J9" s="693" t="s">
        <v>1997</v>
      </c>
      <c r="K9" s="821" t="s">
        <v>355</v>
      </c>
      <c r="L9" s="692">
        <v>0</v>
      </c>
      <c r="M9" s="677"/>
      <c r="N9" s="686" t="s">
        <v>1994</v>
      </c>
      <c r="O9" s="687" t="str">
        <f t="shared" si="0"/>
        <v>USD</v>
      </c>
      <c r="P9" s="689" t="str">
        <f t="shared" si="1"/>
        <v>PAY</v>
      </c>
      <c r="Q9" s="691">
        <f t="shared" si="2"/>
        <v>1000000</v>
      </c>
      <c r="R9" s="687" t="s">
        <v>1992</v>
      </c>
      <c r="S9" s="690">
        <v>1</v>
      </c>
      <c r="T9" s="689">
        <f t="shared" ca="1" si="3"/>
        <v>43229</v>
      </c>
      <c r="U9" s="689" t="str">
        <f t="shared" si="4"/>
        <v>4Y</v>
      </c>
      <c r="V9" s="687" t="str">
        <f t="shared" si="5"/>
        <v>QUARTERLY</v>
      </c>
      <c r="W9" s="687" t="str">
        <f t="shared" si="22"/>
        <v>SEMI-ANNUAL</v>
      </c>
      <c r="X9" s="688">
        <f t="shared" si="6"/>
        <v>0</v>
      </c>
      <c r="Y9" s="687" t="str">
        <f t="shared" si="7"/>
        <v>USDYC</v>
      </c>
      <c r="Z9" s="687" t="str">
        <f t="shared" si="8"/>
        <v>USD3ML</v>
      </c>
      <c r="AA9" s="687" t="str">
        <f t="shared" si="9"/>
        <v>USDOIS</v>
      </c>
      <c r="AB9" s="687" t="s">
        <v>3</v>
      </c>
      <c r="AC9" s="687" t="s">
        <v>38</v>
      </c>
      <c r="AD9" s="687" t="s">
        <v>112</v>
      </c>
      <c r="AE9" s="687" t="s">
        <v>38</v>
      </c>
      <c r="AF9" s="687" t="s">
        <v>112</v>
      </c>
      <c r="AG9" s="687" t="s">
        <v>356</v>
      </c>
      <c r="AH9" s="687" t="s">
        <v>38</v>
      </c>
      <c r="AI9" s="687" t="s">
        <v>112</v>
      </c>
      <c r="AJ9" s="687" t="s">
        <v>356</v>
      </c>
      <c r="AK9" s="687">
        <f t="shared" ca="1" si="10"/>
        <v>9</v>
      </c>
      <c r="AL9" s="687"/>
      <c r="AM9" s="687"/>
      <c r="AN9" s="550" t="s">
        <v>2252</v>
      </c>
      <c r="AO9" s="550" t="s">
        <v>2252</v>
      </c>
      <c r="AP9" s="683"/>
      <c r="AQ9" s="683"/>
      <c r="AR9" s="539" t="s">
        <v>1991</v>
      </c>
      <c r="AT9" s="686" t="s">
        <v>1993</v>
      </c>
      <c r="AU9" s="687" t="str">
        <f t="shared" si="11"/>
        <v>USD</v>
      </c>
      <c r="AV9" s="689" t="str">
        <f t="shared" si="12"/>
        <v>RECEIVE</v>
      </c>
      <c r="AW9" s="691">
        <f t="shared" si="13"/>
        <v>1000000</v>
      </c>
      <c r="AX9" s="687" t="s">
        <v>1992</v>
      </c>
      <c r="AY9" s="690">
        <v>1</v>
      </c>
      <c r="AZ9" s="689">
        <f t="shared" ca="1" si="14"/>
        <v>43229</v>
      </c>
      <c r="BA9" s="689" t="str">
        <f t="shared" si="15"/>
        <v>4Y</v>
      </c>
      <c r="BB9" s="687" t="str">
        <f t="shared" si="16"/>
        <v>SEMI-ANNUAL</v>
      </c>
      <c r="BC9" s="688">
        <f t="shared" si="17"/>
        <v>0</v>
      </c>
      <c r="BD9" s="687" t="str">
        <f t="shared" si="18"/>
        <v>USDYC</v>
      </c>
      <c r="BE9" s="687" t="str">
        <f t="shared" si="19"/>
        <v>USD6ML</v>
      </c>
      <c r="BF9" s="687" t="str">
        <f t="shared" si="20"/>
        <v>USDOIS</v>
      </c>
      <c r="BG9" s="687" t="s">
        <v>3</v>
      </c>
      <c r="BH9" s="687" t="s">
        <v>38</v>
      </c>
      <c r="BI9" s="687" t="s">
        <v>112</v>
      </c>
      <c r="BJ9" s="687" t="s">
        <v>38</v>
      </c>
      <c r="BK9" s="687" t="s">
        <v>112</v>
      </c>
      <c r="BL9" s="687" t="s">
        <v>356</v>
      </c>
      <c r="BM9" s="687" t="s">
        <v>38</v>
      </c>
      <c r="BN9" s="687" t="s">
        <v>112</v>
      </c>
      <c r="BO9" s="687" t="s">
        <v>356</v>
      </c>
      <c r="BP9" s="687">
        <f t="shared" ca="1" si="21"/>
        <v>9</v>
      </c>
      <c r="BQ9" s="687"/>
      <c r="BR9" s="687"/>
      <c r="BS9" s="550" t="s">
        <v>2252</v>
      </c>
      <c r="BT9" s="550" t="s">
        <v>2252</v>
      </c>
      <c r="BU9" s="683"/>
      <c r="BV9" s="683"/>
      <c r="BW9" s="539" t="s">
        <v>1991</v>
      </c>
      <c r="BX9" s="671" t="s">
        <v>12</v>
      </c>
      <c r="BY9" s="686" t="str">
        <f ca="1">IF(OR($D9="",$D9=0),"",_xll.meLWOSwapCreateFromLegLVBs($E9&amp;LEFT($H9,LEN($H9)-2)&amp;"x"&amp;LEFT($K9,LEN($K9)-2)&amp;"_"&amp;$A9,_xll.meUtilityLVBFromKeysValues(Leg1Keys,$N9:$AR9),_xll.meUtilityLVBFromKeysValues(Leg2Keys,$AT9:$BW9),FALSE))</f>
        <v>USD3X6_4@41:0</v>
      </c>
      <c r="BZ9" s="517" t="str">
        <f ca="1">IF(OR($D9="",$D9=0),"",_xll.meLWOSwapPV(BY9,Y9))</f>
        <v>[2018/05/04 09:52] #Error: Invalid Curve: CurveCollection 'USDYC' does not exist</v>
      </c>
      <c r="CA9" s="685" t="str">
        <f ca="1">IF(OR($D9="",$D9=0),"",_xll.meLWOSwapParSpread($BY9,Y9))</f>
        <v>[2018/05/04 09:52] #Error: Invalid Curve: CurveCollection 'USDYC' does not exist</v>
      </c>
      <c r="CB9" s="671" t="s">
        <v>12</v>
      </c>
      <c r="CC9" s="684" t="str">
        <f>'USD Curve Config'!BJ12</f>
        <v>4Y</v>
      </c>
      <c r="CD9" s="683">
        <f>'USD Curve Config'!BK12</f>
        <v>1.25E-3</v>
      </c>
      <c r="CE9" s="809">
        <f t="shared" si="23"/>
        <v>12.5</v>
      </c>
      <c r="CF9" s="932" t="e">
        <f t="shared" ca="1" si="24"/>
        <v>#VALUE!</v>
      </c>
    </row>
    <row r="10" spans="1:84">
      <c r="A10" s="203">
        <f t="shared" si="25"/>
        <v>5</v>
      </c>
      <c r="B10" s="812" t="s">
        <v>361</v>
      </c>
      <c r="C10" s="696">
        <f ca="1">IF(OR($B10="",$D10="",$D10=0),"",_xll.meDateFromTenor(COB,$B10,$AH10,$AI10))</f>
        <v>43229</v>
      </c>
      <c r="D10" s="816">
        <v>1000000</v>
      </c>
      <c r="E10" s="817" t="s">
        <v>181</v>
      </c>
      <c r="F10" s="693" t="s">
        <v>31</v>
      </c>
      <c r="G10" s="695" t="s">
        <v>1995</v>
      </c>
      <c r="H10" s="821" t="s">
        <v>316</v>
      </c>
      <c r="I10" s="694">
        <v>0</v>
      </c>
      <c r="J10" s="693" t="s">
        <v>1997</v>
      </c>
      <c r="K10" s="821" t="s">
        <v>355</v>
      </c>
      <c r="L10" s="692">
        <v>0</v>
      </c>
      <c r="M10" s="677"/>
      <c r="N10" s="686" t="s">
        <v>1994</v>
      </c>
      <c r="O10" s="687" t="str">
        <f t="shared" si="0"/>
        <v>USD</v>
      </c>
      <c r="P10" s="689" t="str">
        <f t="shared" si="1"/>
        <v>PAY</v>
      </c>
      <c r="Q10" s="691">
        <f t="shared" si="2"/>
        <v>1000000</v>
      </c>
      <c r="R10" s="687" t="s">
        <v>1992</v>
      </c>
      <c r="S10" s="690">
        <v>1</v>
      </c>
      <c r="T10" s="689">
        <f t="shared" ca="1" si="3"/>
        <v>43229</v>
      </c>
      <c r="U10" s="689" t="str">
        <f t="shared" si="4"/>
        <v>5Y</v>
      </c>
      <c r="V10" s="687" t="str">
        <f t="shared" si="5"/>
        <v>QUARTERLY</v>
      </c>
      <c r="W10" s="687" t="str">
        <f t="shared" si="22"/>
        <v>SEMI-ANNUAL</v>
      </c>
      <c r="X10" s="688">
        <f t="shared" si="6"/>
        <v>0</v>
      </c>
      <c r="Y10" s="687" t="str">
        <f t="shared" si="7"/>
        <v>USDYC</v>
      </c>
      <c r="Z10" s="687" t="str">
        <f t="shared" si="8"/>
        <v>USD3ML</v>
      </c>
      <c r="AA10" s="687" t="str">
        <f t="shared" si="9"/>
        <v>USDOIS</v>
      </c>
      <c r="AB10" s="687" t="s">
        <v>3</v>
      </c>
      <c r="AC10" s="687" t="s">
        <v>38</v>
      </c>
      <c r="AD10" s="687" t="s">
        <v>112</v>
      </c>
      <c r="AE10" s="687" t="s">
        <v>38</v>
      </c>
      <c r="AF10" s="687" t="s">
        <v>112</v>
      </c>
      <c r="AG10" s="687" t="s">
        <v>356</v>
      </c>
      <c r="AH10" s="687" t="s">
        <v>38</v>
      </c>
      <c r="AI10" s="687" t="s">
        <v>112</v>
      </c>
      <c r="AJ10" s="687" t="s">
        <v>356</v>
      </c>
      <c r="AK10" s="687">
        <f t="shared" ca="1" si="10"/>
        <v>9</v>
      </c>
      <c r="AL10" s="687"/>
      <c r="AM10" s="687"/>
      <c r="AN10" s="550" t="s">
        <v>2252</v>
      </c>
      <c r="AO10" s="550" t="s">
        <v>2252</v>
      </c>
      <c r="AP10" s="683"/>
      <c r="AQ10" s="683"/>
      <c r="AR10" s="539" t="s">
        <v>1991</v>
      </c>
      <c r="AT10" s="686" t="s">
        <v>1993</v>
      </c>
      <c r="AU10" s="687" t="str">
        <f t="shared" si="11"/>
        <v>USD</v>
      </c>
      <c r="AV10" s="689" t="str">
        <f t="shared" si="12"/>
        <v>RECEIVE</v>
      </c>
      <c r="AW10" s="691">
        <f t="shared" si="13"/>
        <v>1000000</v>
      </c>
      <c r="AX10" s="687" t="s">
        <v>1992</v>
      </c>
      <c r="AY10" s="690">
        <v>1</v>
      </c>
      <c r="AZ10" s="689">
        <f t="shared" ca="1" si="14"/>
        <v>43229</v>
      </c>
      <c r="BA10" s="689" t="str">
        <f t="shared" si="15"/>
        <v>5Y</v>
      </c>
      <c r="BB10" s="687" t="str">
        <f t="shared" si="16"/>
        <v>SEMI-ANNUAL</v>
      </c>
      <c r="BC10" s="688">
        <f t="shared" si="17"/>
        <v>0</v>
      </c>
      <c r="BD10" s="687" t="str">
        <f t="shared" si="18"/>
        <v>USDYC</v>
      </c>
      <c r="BE10" s="687" t="str">
        <f t="shared" si="19"/>
        <v>USD6ML</v>
      </c>
      <c r="BF10" s="687" t="str">
        <f t="shared" si="20"/>
        <v>USDOIS</v>
      </c>
      <c r="BG10" s="687" t="s">
        <v>3</v>
      </c>
      <c r="BH10" s="687" t="s">
        <v>38</v>
      </c>
      <c r="BI10" s="687" t="s">
        <v>112</v>
      </c>
      <c r="BJ10" s="687" t="s">
        <v>38</v>
      </c>
      <c r="BK10" s="687" t="s">
        <v>112</v>
      </c>
      <c r="BL10" s="687" t="s">
        <v>356</v>
      </c>
      <c r="BM10" s="687" t="s">
        <v>38</v>
      </c>
      <c r="BN10" s="687" t="s">
        <v>112</v>
      </c>
      <c r="BO10" s="687" t="s">
        <v>356</v>
      </c>
      <c r="BP10" s="687">
        <f t="shared" ca="1" si="21"/>
        <v>9</v>
      </c>
      <c r="BQ10" s="687"/>
      <c r="BR10" s="687"/>
      <c r="BS10" s="550" t="s">
        <v>2252</v>
      </c>
      <c r="BT10" s="550" t="s">
        <v>2252</v>
      </c>
      <c r="BU10" s="683"/>
      <c r="BV10" s="683"/>
      <c r="BW10" s="539" t="s">
        <v>1991</v>
      </c>
      <c r="BX10" s="671" t="s">
        <v>12</v>
      </c>
      <c r="BY10" s="686" t="str">
        <f ca="1">IF(OR($D10="",$D10=0),"",_xll.meLWOSwapCreateFromLegLVBs($E10&amp;LEFT($H10,LEN($H10)-2)&amp;"x"&amp;LEFT($K10,LEN($K10)-2)&amp;"_"&amp;$A10,_xll.meUtilityLVBFromKeysValues(Leg1Keys,$N10:$AR10),_xll.meUtilityLVBFromKeysValues(Leg2Keys,$AT10:$BW10),FALSE))</f>
        <v>USD3X6_5@29:0</v>
      </c>
      <c r="BZ10" s="517" t="str">
        <f ca="1">IF(OR($D10="",$D10=0),"",_xll.meLWOSwapPV(BY10,Y10))</f>
        <v>[2018/05/04 09:52] #Error: Invalid Curve: CurveCollection 'USDYC' does not exist</v>
      </c>
      <c r="CA10" s="685" t="str">
        <f ca="1">IF(OR($D10="",$D10=0),"",_xll.meLWOSwapParSpread($BY10,Y10))</f>
        <v>[2018/05/04 09:52] #Error: Invalid Curve: CurveCollection 'USDYC' does not exist</v>
      </c>
      <c r="CB10" s="671" t="s">
        <v>12</v>
      </c>
      <c r="CC10" s="684" t="str">
        <f>'USD Curve Config'!BJ13</f>
        <v>5Y</v>
      </c>
      <c r="CD10" s="683">
        <f>'USD Curve Config'!BK13</f>
        <v>1.2625E-3</v>
      </c>
      <c r="CE10" s="809">
        <f t="shared" si="23"/>
        <v>12.625</v>
      </c>
      <c r="CF10" s="932" t="e">
        <f t="shared" ca="1" si="24"/>
        <v>#VALUE!</v>
      </c>
    </row>
    <row r="11" spans="1:84">
      <c r="A11" s="203">
        <f t="shared" si="25"/>
        <v>6</v>
      </c>
      <c r="B11" s="812" t="s">
        <v>361</v>
      </c>
      <c r="C11" s="696">
        <f ca="1">IF(OR($B11="",$D11="",$D11=0),"",_xll.meDateFromTenor(COB,$B11,$AH11,$AI11))</f>
        <v>43229</v>
      </c>
      <c r="D11" s="816">
        <v>1000000</v>
      </c>
      <c r="E11" s="817" t="s">
        <v>181</v>
      </c>
      <c r="F11" s="693" t="s">
        <v>127</v>
      </c>
      <c r="G11" s="695" t="s">
        <v>1995</v>
      </c>
      <c r="H11" s="821" t="s">
        <v>316</v>
      </c>
      <c r="I11" s="694">
        <v>0</v>
      </c>
      <c r="J11" s="693" t="s">
        <v>1997</v>
      </c>
      <c r="K11" s="821" t="s">
        <v>355</v>
      </c>
      <c r="L11" s="692">
        <v>0</v>
      </c>
      <c r="M11" s="677"/>
      <c r="N11" s="686" t="s">
        <v>1994</v>
      </c>
      <c r="O11" s="687" t="str">
        <f t="shared" si="0"/>
        <v>USD</v>
      </c>
      <c r="P11" s="689" t="str">
        <f t="shared" si="1"/>
        <v>PAY</v>
      </c>
      <c r="Q11" s="691">
        <f t="shared" si="2"/>
        <v>1000000</v>
      </c>
      <c r="R11" s="687" t="s">
        <v>1992</v>
      </c>
      <c r="S11" s="690">
        <v>1</v>
      </c>
      <c r="T11" s="689">
        <f t="shared" ca="1" si="3"/>
        <v>43229</v>
      </c>
      <c r="U11" s="689" t="str">
        <f t="shared" si="4"/>
        <v>6Y</v>
      </c>
      <c r="V11" s="687" t="str">
        <f t="shared" si="5"/>
        <v>QUARTERLY</v>
      </c>
      <c r="W11" s="687" t="str">
        <f t="shared" si="22"/>
        <v>SEMI-ANNUAL</v>
      </c>
      <c r="X11" s="688">
        <f t="shared" si="6"/>
        <v>0</v>
      </c>
      <c r="Y11" s="687" t="str">
        <f t="shared" si="7"/>
        <v>USDYC</v>
      </c>
      <c r="Z11" s="687" t="str">
        <f t="shared" si="8"/>
        <v>USD3ML</v>
      </c>
      <c r="AA11" s="687" t="str">
        <f t="shared" si="9"/>
        <v>USDOIS</v>
      </c>
      <c r="AB11" s="687" t="s">
        <v>3</v>
      </c>
      <c r="AC11" s="687" t="s">
        <v>38</v>
      </c>
      <c r="AD11" s="687" t="s">
        <v>112</v>
      </c>
      <c r="AE11" s="687" t="s">
        <v>38</v>
      </c>
      <c r="AF11" s="687" t="s">
        <v>112</v>
      </c>
      <c r="AG11" s="687" t="s">
        <v>356</v>
      </c>
      <c r="AH11" s="687" t="s">
        <v>38</v>
      </c>
      <c r="AI11" s="687" t="s">
        <v>112</v>
      </c>
      <c r="AJ11" s="687" t="s">
        <v>356</v>
      </c>
      <c r="AK11" s="687">
        <f t="shared" ca="1" si="10"/>
        <v>9</v>
      </c>
      <c r="AL11" s="687"/>
      <c r="AM11" s="687"/>
      <c r="AN11" s="550" t="s">
        <v>2252</v>
      </c>
      <c r="AO11" s="550" t="s">
        <v>2252</v>
      </c>
      <c r="AP11" s="683"/>
      <c r="AQ11" s="683"/>
      <c r="AR11" s="539" t="s">
        <v>1991</v>
      </c>
      <c r="AT11" s="686" t="s">
        <v>1993</v>
      </c>
      <c r="AU11" s="687" t="str">
        <f t="shared" si="11"/>
        <v>USD</v>
      </c>
      <c r="AV11" s="689" t="str">
        <f t="shared" si="12"/>
        <v>RECEIVE</v>
      </c>
      <c r="AW11" s="691">
        <f t="shared" si="13"/>
        <v>1000000</v>
      </c>
      <c r="AX11" s="687" t="s">
        <v>1992</v>
      </c>
      <c r="AY11" s="690">
        <v>1</v>
      </c>
      <c r="AZ11" s="689">
        <f t="shared" ca="1" si="14"/>
        <v>43229</v>
      </c>
      <c r="BA11" s="689" t="str">
        <f t="shared" si="15"/>
        <v>6Y</v>
      </c>
      <c r="BB11" s="687" t="str">
        <f t="shared" si="16"/>
        <v>SEMI-ANNUAL</v>
      </c>
      <c r="BC11" s="688">
        <f t="shared" si="17"/>
        <v>0</v>
      </c>
      <c r="BD11" s="687" t="str">
        <f t="shared" si="18"/>
        <v>USDYC</v>
      </c>
      <c r="BE11" s="687" t="str">
        <f t="shared" si="19"/>
        <v>USD6ML</v>
      </c>
      <c r="BF11" s="687" t="str">
        <f t="shared" si="20"/>
        <v>USDOIS</v>
      </c>
      <c r="BG11" s="687" t="s">
        <v>3</v>
      </c>
      <c r="BH11" s="687" t="s">
        <v>38</v>
      </c>
      <c r="BI11" s="687" t="s">
        <v>112</v>
      </c>
      <c r="BJ11" s="687" t="s">
        <v>38</v>
      </c>
      <c r="BK11" s="687" t="s">
        <v>112</v>
      </c>
      <c r="BL11" s="687" t="s">
        <v>356</v>
      </c>
      <c r="BM11" s="687" t="s">
        <v>38</v>
      </c>
      <c r="BN11" s="687" t="s">
        <v>112</v>
      </c>
      <c r="BO11" s="687" t="s">
        <v>356</v>
      </c>
      <c r="BP11" s="687">
        <f t="shared" ca="1" si="21"/>
        <v>9</v>
      </c>
      <c r="BQ11" s="687"/>
      <c r="BR11" s="687"/>
      <c r="BS11" s="550" t="s">
        <v>2252</v>
      </c>
      <c r="BT11" s="550" t="s">
        <v>2252</v>
      </c>
      <c r="BU11" s="683"/>
      <c r="BV11" s="683"/>
      <c r="BW11" s="539" t="s">
        <v>1991</v>
      </c>
      <c r="BX11" s="671" t="s">
        <v>12</v>
      </c>
      <c r="BY11" s="686" t="str">
        <f ca="1">IF(OR($D11="",$D11=0),"",_xll.meLWOSwapCreateFromLegLVBs($E11&amp;LEFT($H11,LEN($H11)-2)&amp;"x"&amp;LEFT($K11,LEN($K11)-2)&amp;"_"&amp;$A11,_xll.meUtilityLVBFromKeysValues(Leg1Keys,$N11:$AR11),_xll.meUtilityLVBFromKeysValues(Leg2Keys,$AT11:$BW11),FALSE))</f>
        <v>USD3X6_6@131:0</v>
      </c>
      <c r="BZ11" s="517" t="str">
        <f ca="1">IF(OR($D11="",$D11=0),"",_xll.meLWOSwapPV(BY11,Y11))</f>
        <v>[2018/05/04 09:52] #Error: Invalid Curve: CurveCollection 'USDYC' does not exist</v>
      </c>
      <c r="CA11" s="685" t="str">
        <f ca="1">IF(OR($D11="",$D11=0),"",_xll.meLWOSwapParSpread($BY11,Y11))</f>
        <v>[2018/05/04 09:52] #Error: Invalid Curve: CurveCollection 'USDYC' does not exist</v>
      </c>
      <c r="CB11" s="671" t="s">
        <v>12</v>
      </c>
      <c r="CC11" s="684" t="str">
        <f>'USD Curve Config'!BJ14</f>
        <v>6Y</v>
      </c>
      <c r="CD11" s="683">
        <f>'USD Curve Config'!BK14</f>
        <v>1.2875E-3</v>
      </c>
      <c r="CE11" s="809">
        <f t="shared" si="23"/>
        <v>12.875</v>
      </c>
      <c r="CF11" s="932" t="e">
        <f t="shared" ca="1" si="24"/>
        <v>#VALUE!</v>
      </c>
    </row>
    <row r="12" spans="1:84">
      <c r="A12" s="203">
        <f t="shared" si="25"/>
        <v>7</v>
      </c>
      <c r="B12" s="812" t="s">
        <v>361</v>
      </c>
      <c r="C12" s="696">
        <f ca="1">IF(OR($B12="",$D12="",$D12=0),"",_xll.meDateFromTenor(COB,$B12,$AH12,$AI12))</f>
        <v>43229</v>
      </c>
      <c r="D12" s="816">
        <v>1000000</v>
      </c>
      <c r="E12" s="817" t="s">
        <v>181</v>
      </c>
      <c r="F12" s="693" t="s">
        <v>29</v>
      </c>
      <c r="G12" s="695" t="s">
        <v>1995</v>
      </c>
      <c r="H12" s="821" t="s">
        <v>316</v>
      </c>
      <c r="I12" s="694">
        <v>0</v>
      </c>
      <c r="J12" s="693" t="s">
        <v>1997</v>
      </c>
      <c r="K12" s="821" t="s">
        <v>355</v>
      </c>
      <c r="L12" s="692">
        <v>0</v>
      </c>
      <c r="M12" s="677"/>
      <c r="N12" s="686" t="s">
        <v>1994</v>
      </c>
      <c r="O12" s="687" t="str">
        <f t="shared" si="0"/>
        <v>USD</v>
      </c>
      <c r="P12" s="689" t="str">
        <f t="shared" si="1"/>
        <v>PAY</v>
      </c>
      <c r="Q12" s="691">
        <f t="shared" si="2"/>
        <v>1000000</v>
      </c>
      <c r="R12" s="687" t="s">
        <v>1992</v>
      </c>
      <c r="S12" s="690">
        <v>1</v>
      </c>
      <c r="T12" s="689">
        <f t="shared" ca="1" si="3"/>
        <v>43229</v>
      </c>
      <c r="U12" s="689" t="str">
        <f t="shared" si="4"/>
        <v>7Y</v>
      </c>
      <c r="V12" s="687" t="str">
        <f t="shared" si="5"/>
        <v>QUARTERLY</v>
      </c>
      <c r="W12" s="687" t="str">
        <f t="shared" si="22"/>
        <v>SEMI-ANNUAL</v>
      </c>
      <c r="X12" s="688">
        <f t="shared" si="6"/>
        <v>0</v>
      </c>
      <c r="Y12" s="687" t="str">
        <f t="shared" si="7"/>
        <v>USDYC</v>
      </c>
      <c r="Z12" s="687" t="str">
        <f t="shared" si="8"/>
        <v>USD3ML</v>
      </c>
      <c r="AA12" s="687" t="str">
        <f t="shared" si="9"/>
        <v>USDOIS</v>
      </c>
      <c r="AB12" s="687" t="s">
        <v>3</v>
      </c>
      <c r="AC12" s="687" t="s">
        <v>38</v>
      </c>
      <c r="AD12" s="687" t="s">
        <v>112</v>
      </c>
      <c r="AE12" s="687" t="s">
        <v>38</v>
      </c>
      <c r="AF12" s="687" t="s">
        <v>112</v>
      </c>
      <c r="AG12" s="687" t="s">
        <v>356</v>
      </c>
      <c r="AH12" s="687" t="s">
        <v>38</v>
      </c>
      <c r="AI12" s="687" t="s">
        <v>112</v>
      </c>
      <c r="AJ12" s="687" t="s">
        <v>356</v>
      </c>
      <c r="AK12" s="687">
        <f t="shared" ca="1" si="10"/>
        <v>9</v>
      </c>
      <c r="AL12" s="687"/>
      <c r="AM12" s="687"/>
      <c r="AN12" s="550" t="s">
        <v>2252</v>
      </c>
      <c r="AO12" s="550" t="s">
        <v>2252</v>
      </c>
      <c r="AP12" s="683"/>
      <c r="AQ12" s="683"/>
      <c r="AR12" s="539" t="s">
        <v>1991</v>
      </c>
      <c r="AT12" s="686" t="s">
        <v>1993</v>
      </c>
      <c r="AU12" s="687" t="str">
        <f t="shared" si="11"/>
        <v>USD</v>
      </c>
      <c r="AV12" s="689" t="str">
        <f t="shared" si="12"/>
        <v>RECEIVE</v>
      </c>
      <c r="AW12" s="691">
        <f t="shared" si="13"/>
        <v>1000000</v>
      </c>
      <c r="AX12" s="687" t="s">
        <v>1992</v>
      </c>
      <c r="AY12" s="690">
        <v>1</v>
      </c>
      <c r="AZ12" s="689">
        <f t="shared" ca="1" si="14"/>
        <v>43229</v>
      </c>
      <c r="BA12" s="689" t="str">
        <f t="shared" si="15"/>
        <v>7Y</v>
      </c>
      <c r="BB12" s="687" t="str">
        <f t="shared" si="16"/>
        <v>SEMI-ANNUAL</v>
      </c>
      <c r="BC12" s="688">
        <f t="shared" si="17"/>
        <v>0</v>
      </c>
      <c r="BD12" s="687" t="str">
        <f t="shared" si="18"/>
        <v>USDYC</v>
      </c>
      <c r="BE12" s="687" t="str">
        <f t="shared" si="19"/>
        <v>USD6ML</v>
      </c>
      <c r="BF12" s="687" t="str">
        <f t="shared" si="20"/>
        <v>USDOIS</v>
      </c>
      <c r="BG12" s="687" t="s">
        <v>3</v>
      </c>
      <c r="BH12" s="687" t="s">
        <v>38</v>
      </c>
      <c r="BI12" s="687" t="s">
        <v>112</v>
      </c>
      <c r="BJ12" s="687" t="s">
        <v>38</v>
      </c>
      <c r="BK12" s="687" t="s">
        <v>112</v>
      </c>
      <c r="BL12" s="687" t="s">
        <v>356</v>
      </c>
      <c r="BM12" s="687" t="s">
        <v>38</v>
      </c>
      <c r="BN12" s="687" t="s">
        <v>112</v>
      </c>
      <c r="BO12" s="687" t="s">
        <v>356</v>
      </c>
      <c r="BP12" s="687">
        <f t="shared" ca="1" si="21"/>
        <v>9</v>
      </c>
      <c r="BQ12" s="687"/>
      <c r="BR12" s="687"/>
      <c r="BS12" s="550" t="s">
        <v>2252</v>
      </c>
      <c r="BT12" s="550" t="s">
        <v>2252</v>
      </c>
      <c r="BU12" s="683"/>
      <c r="BV12" s="683"/>
      <c r="BW12" s="539" t="s">
        <v>1991</v>
      </c>
      <c r="BX12" s="671" t="s">
        <v>12</v>
      </c>
      <c r="BY12" s="686" t="str">
        <f ca="1">IF(OR($D12="",$D12=0),"",_xll.meLWOSwapCreateFromLegLVBs($E12&amp;LEFT($H12,LEN($H12)-2)&amp;"x"&amp;LEFT($K12,LEN($K12)-2)&amp;"_"&amp;$A12,_xll.meUtilityLVBFromKeysValues(Leg1Keys,$N12:$AR12),_xll.meUtilityLVBFromKeysValues(Leg2Keys,$AT12:$BW12),FALSE))</f>
        <v>USD3X6_7@84:0</v>
      </c>
      <c r="BZ12" s="517" t="str">
        <f ca="1">IF(OR($D12="",$D12=0),"",_xll.meLWOSwapPV(BY12,Y12))</f>
        <v>[2018/05/04 09:52] #Error: Invalid Curve: CurveCollection 'USDYC' does not exist</v>
      </c>
      <c r="CA12" s="685" t="str">
        <f ca="1">IF(OR($D12="",$D12=0),"",_xll.meLWOSwapParSpread($BY12,Y12))</f>
        <v>[2018/05/04 09:52] #Error: Invalid Curve: CurveCollection 'USDYC' does not exist</v>
      </c>
      <c r="CB12" s="671" t="s">
        <v>12</v>
      </c>
      <c r="CC12" s="684" t="str">
        <f>'USD Curve Config'!BJ15</f>
        <v>7Y</v>
      </c>
      <c r="CD12" s="683">
        <f>'USD Curve Config'!BK15</f>
        <v>1.325E-3</v>
      </c>
      <c r="CE12" s="809">
        <f t="shared" si="23"/>
        <v>13.25</v>
      </c>
      <c r="CF12" s="932" t="e">
        <f t="shared" ca="1" si="24"/>
        <v>#VALUE!</v>
      </c>
    </row>
    <row r="13" spans="1:84">
      <c r="A13" s="203">
        <f t="shared" si="25"/>
        <v>8</v>
      </c>
      <c r="B13" s="812" t="s">
        <v>361</v>
      </c>
      <c r="C13" s="696">
        <f ca="1">IF(OR($B13="",$D13="",$D13=0),"",_xll.meDateFromTenor(COB,$B13,$AH13,$AI13))</f>
        <v>43229</v>
      </c>
      <c r="D13" s="816">
        <v>1000000</v>
      </c>
      <c r="E13" s="817" t="s">
        <v>181</v>
      </c>
      <c r="F13" s="693" t="s">
        <v>115</v>
      </c>
      <c r="G13" s="695" t="s">
        <v>1995</v>
      </c>
      <c r="H13" s="821" t="s">
        <v>316</v>
      </c>
      <c r="I13" s="694">
        <v>0</v>
      </c>
      <c r="J13" s="693" t="s">
        <v>1997</v>
      </c>
      <c r="K13" s="821" t="s">
        <v>355</v>
      </c>
      <c r="L13" s="692">
        <v>0</v>
      </c>
      <c r="M13" s="677"/>
      <c r="N13" s="686" t="s">
        <v>1994</v>
      </c>
      <c r="O13" s="687" t="str">
        <f t="shared" si="0"/>
        <v>USD</v>
      </c>
      <c r="P13" s="689" t="str">
        <f t="shared" si="1"/>
        <v>PAY</v>
      </c>
      <c r="Q13" s="691">
        <f t="shared" si="2"/>
        <v>1000000</v>
      </c>
      <c r="R13" s="687" t="s">
        <v>1992</v>
      </c>
      <c r="S13" s="690">
        <v>1</v>
      </c>
      <c r="T13" s="689">
        <f t="shared" ca="1" si="3"/>
        <v>43229</v>
      </c>
      <c r="U13" s="689" t="str">
        <f t="shared" si="4"/>
        <v>8Y</v>
      </c>
      <c r="V13" s="687" t="str">
        <f t="shared" si="5"/>
        <v>QUARTERLY</v>
      </c>
      <c r="W13" s="687" t="str">
        <f t="shared" si="22"/>
        <v>SEMI-ANNUAL</v>
      </c>
      <c r="X13" s="688">
        <f t="shared" si="6"/>
        <v>0</v>
      </c>
      <c r="Y13" s="687" t="str">
        <f t="shared" si="7"/>
        <v>USDYC</v>
      </c>
      <c r="Z13" s="687" t="str">
        <f t="shared" si="8"/>
        <v>USD3ML</v>
      </c>
      <c r="AA13" s="687" t="str">
        <f t="shared" si="9"/>
        <v>USDOIS</v>
      </c>
      <c r="AB13" s="687" t="s">
        <v>3</v>
      </c>
      <c r="AC13" s="687" t="s">
        <v>38</v>
      </c>
      <c r="AD13" s="687" t="s">
        <v>112</v>
      </c>
      <c r="AE13" s="687" t="s">
        <v>38</v>
      </c>
      <c r="AF13" s="687" t="s">
        <v>112</v>
      </c>
      <c r="AG13" s="687" t="s">
        <v>356</v>
      </c>
      <c r="AH13" s="687" t="s">
        <v>38</v>
      </c>
      <c r="AI13" s="687" t="s">
        <v>112</v>
      </c>
      <c r="AJ13" s="687" t="s">
        <v>356</v>
      </c>
      <c r="AK13" s="687">
        <f t="shared" ca="1" si="10"/>
        <v>9</v>
      </c>
      <c r="AL13" s="687"/>
      <c r="AM13" s="687"/>
      <c r="AN13" s="550" t="s">
        <v>2252</v>
      </c>
      <c r="AO13" s="550" t="s">
        <v>2252</v>
      </c>
      <c r="AP13" s="683"/>
      <c r="AQ13" s="683"/>
      <c r="AR13" s="539" t="s">
        <v>1991</v>
      </c>
      <c r="AT13" s="686" t="s">
        <v>1993</v>
      </c>
      <c r="AU13" s="687" t="str">
        <f t="shared" si="11"/>
        <v>USD</v>
      </c>
      <c r="AV13" s="689" t="str">
        <f t="shared" si="12"/>
        <v>RECEIVE</v>
      </c>
      <c r="AW13" s="691">
        <f t="shared" si="13"/>
        <v>1000000</v>
      </c>
      <c r="AX13" s="687" t="s">
        <v>1992</v>
      </c>
      <c r="AY13" s="690">
        <v>1</v>
      </c>
      <c r="AZ13" s="689">
        <f t="shared" ca="1" si="14"/>
        <v>43229</v>
      </c>
      <c r="BA13" s="689" t="str">
        <f t="shared" si="15"/>
        <v>8Y</v>
      </c>
      <c r="BB13" s="687" t="str">
        <f t="shared" si="16"/>
        <v>SEMI-ANNUAL</v>
      </c>
      <c r="BC13" s="688">
        <f t="shared" si="17"/>
        <v>0</v>
      </c>
      <c r="BD13" s="687" t="str">
        <f t="shared" si="18"/>
        <v>USDYC</v>
      </c>
      <c r="BE13" s="687" t="str">
        <f t="shared" si="19"/>
        <v>USD6ML</v>
      </c>
      <c r="BF13" s="687" t="str">
        <f t="shared" si="20"/>
        <v>USDOIS</v>
      </c>
      <c r="BG13" s="687" t="s">
        <v>3</v>
      </c>
      <c r="BH13" s="687" t="s">
        <v>38</v>
      </c>
      <c r="BI13" s="687" t="s">
        <v>112</v>
      </c>
      <c r="BJ13" s="687" t="s">
        <v>38</v>
      </c>
      <c r="BK13" s="687" t="s">
        <v>112</v>
      </c>
      <c r="BL13" s="687" t="s">
        <v>356</v>
      </c>
      <c r="BM13" s="687" t="s">
        <v>38</v>
      </c>
      <c r="BN13" s="687" t="s">
        <v>112</v>
      </c>
      <c r="BO13" s="687" t="s">
        <v>356</v>
      </c>
      <c r="BP13" s="687">
        <f t="shared" ca="1" si="21"/>
        <v>9</v>
      </c>
      <c r="BQ13" s="687"/>
      <c r="BR13" s="687"/>
      <c r="BS13" s="550" t="s">
        <v>2252</v>
      </c>
      <c r="BT13" s="550" t="s">
        <v>2252</v>
      </c>
      <c r="BU13" s="683"/>
      <c r="BV13" s="683"/>
      <c r="BW13" s="539" t="s">
        <v>1991</v>
      </c>
      <c r="BX13" s="671" t="s">
        <v>12</v>
      </c>
      <c r="BY13" s="686" t="str">
        <f ca="1">IF(OR($D13="",$D13=0),"",_xll.meLWOSwapCreateFromLegLVBs($E13&amp;LEFT($H13,LEN($H13)-2)&amp;"x"&amp;LEFT($K13,LEN($K13)-2)&amp;"_"&amp;$A13,_xll.meUtilityLVBFromKeysValues(Leg1Keys,$N13:$AR13),_xll.meUtilityLVBFromKeysValues(Leg2Keys,$AT13:$BW13),FALSE))</f>
        <v>USD3X6_8@136:0</v>
      </c>
      <c r="BZ13" s="517" t="str">
        <f ca="1">IF(OR($D13="",$D13=0),"",_xll.meLWOSwapPV(BY13,Y13))</f>
        <v>[2018/05/04 09:52] #Error: Invalid Curve: CurveCollection 'USDYC' does not exist</v>
      </c>
      <c r="CA13" s="685" t="str">
        <f ca="1">IF(OR($D13="",$D13=0),"",_xll.meLWOSwapParSpread($BY13,Y13))</f>
        <v>[2018/05/04 09:52] #Error: Invalid Curve: CurveCollection 'USDYC' does not exist</v>
      </c>
      <c r="CB13" s="671" t="s">
        <v>12</v>
      </c>
      <c r="CC13" s="684" t="str">
        <f>'USD Curve Config'!BJ16</f>
        <v>8Y</v>
      </c>
      <c r="CD13" s="683">
        <f>'USD Curve Config'!BK16</f>
        <v>1.3500000000000001E-3</v>
      </c>
      <c r="CE13" s="809">
        <f t="shared" si="23"/>
        <v>13.5</v>
      </c>
      <c r="CF13" s="932" t="e">
        <f t="shared" ca="1" si="24"/>
        <v>#VALUE!</v>
      </c>
    </row>
    <row r="14" spans="1:84">
      <c r="A14" s="203">
        <f t="shared" si="25"/>
        <v>9</v>
      </c>
      <c r="B14" s="812" t="s">
        <v>361</v>
      </c>
      <c r="C14" s="696">
        <f ca="1">IF(OR($B14="",$D14="",$D14=0),"",_xll.meDateFromTenor(COB,$B14,$AH14,$AI14))</f>
        <v>43229</v>
      </c>
      <c r="D14" s="816">
        <v>1000000</v>
      </c>
      <c r="E14" s="817" t="s">
        <v>181</v>
      </c>
      <c r="F14" s="693" t="s">
        <v>109</v>
      </c>
      <c r="G14" s="695" t="s">
        <v>1995</v>
      </c>
      <c r="H14" s="821" t="s">
        <v>316</v>
      </c>
      <c r="I14" s="694">
        <v>0</v>
      </c>
      <c r="J14" s="693" t="s">
        <v>1997</v>
      </c>
      <c r="K14" s="821" t="s">
        <v>355</v>
      </c>
      <c r="L14" s="692">
        <v>0</v>
      </c>
      <c r="M14" s="677"/>
      <c r="N14" s="686" t="s">
        <v>1994</v>
      </c>
      <c r="O14" s="687" t="str">
        <f t="shared" si="0"/>
        <v>USD</v>
      </c>
      <c r="P14" s="689" t="str">
        <f t="shared" si="1"/>
        <v>PAY</v>
      </c>
      <c r="Q14" s="691">
        <f t="shared" si="2"/>
        <v>1000000</v>
      </c>
      <c r="R14" s="687" t="s">
        <v>1992</v>
      </c>
      <c r="S14" s="690">
        <v>1</v>
      </c>
      <c r="T14" s="689">
        <f t="shared" ca="1" si="3"/>
        <v>43229</v>
      </c>
      <c r="U14" s="689" t="str">
        <f t="shared" si="4"/>
        <v>9Y</v>
      </c>
      <c r="V14" s="687" t="str">
        <f t="shared" si="5"/>
        <v>QUARTERLY</v>
      </c>
      <c r="W14" s="687" t="str">
        <f t="shared" si="22"/>
        <v>SEMI-ANNUAL</v>
      </c>
      <c r="X14" s="688">
        <f t="shared" si="6"/>
        <v>0</v>
      </c>
      <c r="Y14" s="687" t="str">
        <f t="shared" si="7"/>
        <v>USDYC</v>
      </c>
      <c r="Z14" s="687" t="str">
        <f t="shared" si="8"/>
        <v>USD3ML</v>
      </c>
      <c r="AA14" s="687" t="str">
        <f t="shared" si="9"/>
        <v>USDOIS</v>
      </c>
      <c r="AB14" s="687" t="s">
        <v>3</v>
      </c>
      <c r="AC14" s="687" t="s">
        <v>38</v>
      </c>
      <c r="AD14" s="687" t="s">
        <v>112</v>
      </c>
      <c r="AE14" s="687" t="s">
        <v>38</v>
      </c>
      <c r="AF14" s="687" t="s">
        <v>112</v>
      </c>
      <c r="AG14" s="687" t="s">
        <v>356</v>
      </c>
      <c r="AH14" s="687" t="s">
        <v>38</v>
      </c>
      <c r="AI14" s="687" t="s">
        <v>112</v>
      </c>
      <c r="AJ14" s="687" t="s">
        <v>356</v>
      </c>
      <c r="AK14" s="687">
        <f t="shared" ca="1" si="10"/>
        <v>9</v>
      </c>
      <c r="AL14" s="687"/>
      <c r="AM14" s="687"/>
      <c r="AN14" s="550" t="s">
        <v>2252</v>
      </c>
      <c r="AO14" s="550" t="s">
        <v>2252</v>
      </c>
      <c r="AP14" s="683"/>
      <c r="AQ14" s="683"/>
      <c r="AR14" s="539" t="s">
        <v>1991</v>
      </c>
      <c r="AT14" s="686" t="s">
        <v>1993</v>
      </c>
      <c r="AU14" s="687" t="str">
        <f t="shared" si="11"/>
        <v>USD</v>
      </c>
      <c r="AV14" s="689" t="str">
        <f t="shared" si="12"/>
        <v>RECEIVE</v>
      </c>
      <c r="AW14" s="691">
        <f t="shared" si="13"/>
        <v>1000000</v>
      </c>
      <c r="AX14" s="687" t="s">
        <v>1992</v>
      </c>
      <c r="AY14" s="690">
        <v>1</v>
      </c>
      <c r="AZ14" s="689">
        <f t="shared" ca="1" si="14"/>
        <v>43229</v>
      </c>
      <c r="BA14" s="689" t="str">
        <f t="shared" si="15"/>
        <v>9Y</v>
      </c>
      <c r="BB14" s="687" t="str">
        <f t="shared" si="16"/>
        <v>SEMI-ANNUAL</v>
      </c>
      <c r="BC14" s="688">
        <f t="shared" si="17"/>
        <v>0</v>
      </c>
      <c r="BD14" s="687" t="str">
        <f t="shared" si="18"/>
        <v>USDYC</v>
      </c>
      <c r="BE14" s="687" t="str">
        <f t="shared" si="19"/>
        <v>USD6ML</v>
      </c>
      <c r="BF14" s="687" t="str">
        <f t="shared" si="20"/>
        <v>USDOIS</v>
      </c>
      <c r="BG14" s="687" t="s">
        <v>3</v>
      </c>
      <c r="BH14" s="687" t="s">
        <v>38</v>
      </c>
      <c r="BI14" s="687" t="s">
        <v>112</v>
      </c>
      <c r="BJ14" s="687" t="s">
        <v>38</v>
      </c>
      <c r="BK14" s="687" t="s">
        <v>112</v>
      </c>
      <c r="BL14" s="687" t="s">
        <v>356</v>
      </c>
      <c r="BM14" s="687" t="s">
        <v>38</v>
      </c>
      <c r="BN14" s="687" t="s">
        <v>112</v>
      </c>
      <c r="BO14" s="687" t="s">
        <v>356</v>
      </c>
      <c r="BP14" s="687">
        <f t="shared" ca="1" si="21"/>
        <v>9</v>
      </c>
      <c r="BQ14" s="687"/>
      <c r="BR14" s="687"/>
      <c r="BS14" s="550" t="s">
        <v>2252</v>
      </c>
      <c r="BT14" s="550" t="s">
        <v>2252</v>
      </c>
      <c r="BU14" s="683"/>
      <c r="BV14" s="683"/>
      <c r="BW14" s="539" t="s">
        <v>1991</v>
      </c>
      <c r="BX14" s="671" t="s">
        <v>12</v>
      </c>
      <c r="BY14" s="686" t="str">
        <f ca="1">IF(OR($D14="",$D14=0),"",_xll.meLWOSwapCreateFromLegLVBs($E14&amp;LEFT($H14,LEN($H14)-2)&amp;"x"&amp;LEFT($K14,LEN($K14)-2)&amp;"_"&amp;$A14,_xll.meUtilityLVBFromKeysValues(Leg1Keys,$N14:$AR14),_xll.meUtilityLVBFromKeysValues(Leg2Keys,$AT14:$BW14),FALSE))</f>
        <v>USD3X6_9@61:0</v>
      </c>
      <c r="BZ14" s="517" t="str">
        <f ca="1">IF(OR($D14="",$D14=0),"",_xll.meLWOSwapPV(BY14,Y14))</f>
        <v>[2018/05/04 09:52] #Error: Invalid Curve: CurveCollection 'USDYC' does not exist</v>
      </c>
      <c r="CA14" s="685" t="str">
        <f ca="1">IF(OR($D14="",$D14=0),"",_xll.meLWOSwapParSpread($BY14,Y14))</f>
        <v>[2018/05/04 09:52] #Error: Invalid Curve: CurveCollection 'USDYC' does not exist</v>
      </c>
      <c r="CB14" s="671" t="s">
        <v>12</v>
      </c>
      <c r="CC14" s="684" t="str">
        <f>'USD Curve Config'!BJ17</f>
        <v>9Y</v>
      </c>
      <c r="CD14" s="683">
        <f>'USD Curve Config'!BK17</f>
        <v>1.3875000000000001E-3</v>
      </c>
      <c r="CE14" s="809">
        <f t="shared" si="23"/>
        <v>13.875</v>
      </c>
      <c r="CF14" s="932" t="e">
        <f t="shared" ca="1" si="24"/>
        <v>#VALUE!</v>
      </c>
    </row>
    <row r="15" spans="1:84">
      <c r="A15" s="203">
        <f t="shared" si="25"/>
        <v>10</v>
      </c>
      <c r="B15" s="812" t="s">
        <v>361</v>
      </c>
      <c r="C15" s="696">
        <f ca="1">IF(OR($B15="",$D15="",$D15=0),"",_xll.meDateFromTenor(COB,$B15,$AH15,$AI15))</f>
        <v>43229</v>
      </c>
      <c r="D15" s="816">
        <v>1000000</v>
      </c>
      <c r="E15" s="817" t="s">
        <v>181</v>
      </c>
      <c r="F15" s="693" t="s">
        <v>27</v>
      </c>
      <c r="G15" s="695" t="s">
        <v>1995</v>
      </c>
      <c r="H15" s="821" t="s">
        <v>316</v>
      </c>
      <c r="I15" s="694">
        <v>0</v>
      </c>
      <c r="J15" s="693" t="s">
        <v>1997</v>
      </c>
      <c r="K15" s="821" t="s">
        <v>355</v>
      </c>
      <c r="L15" s="692">
        <v>0</v>
      </c>
      <c r="M15" s="677"/>
      <c r="N15" s="686" t="s">
        <v>1994</v>
      </c>
      <c r="O15" s="687" t="str">
        <f t="shared" si="0"/>
        <v>USD</v>
      </c>
      <c r="P15" s="689" t="str">
        <f t="shared" si="1"/>
        <v>PAY</v>
      </c>
      <c r="Q15" s="691">
        <f t="shared" si="2"/>
        <v>1000000</v>
      </c>
      <c r="R15" s="687" t="s">
        <v>1992</v>
      </c>
      <c r="S15" s="690">
        <v>1</v>
      </c>
      <c r="T15" s="689">
        <f t="shared" ca="1" si="3"/>
        <v>43229</v>
      </c>
      <c r="U15" s="689" t="str">
        <f t="shared" si="4"/>
        <v>10Y</v>
      </c>
      <c r="V15" s="687" t="str">
        <f t="shared" si="5"/>
        <v>QUARTERLY</v>
      </c>
      <c r="W15" s="687" t="str">
        <f t="shared" si="22"/>
        <v>SEMI-ANNUAL</v>
      </c>
      <c r="X15" s="688">
        <f t="shared" si="6"/>
        <v>0</v>
      </c>
      <c r="Y15" s="687" t="str">
        <f t="shared" si="7"/>
        <v>USDYC</v>
      </c>
      <c r="Z15" s="687" t="str">
        <f t="shared" si="8"/>
        <v>USD3ML</v>
      </c>
      <c r="AA15" s="687" t="str">
        <f t="shared" si="9"/>
        <v>USDOIS</v>
      </c>
      <c r="AB15" s="687" t="s">
        <v>3</v>
      </c>
      <c r="AC15" s="687" t="s">
        <v>38</v>
      </c>
      <c r="AD15" s="687" t="s">
        <v>112</v>
      </c>
      <c r="AE15" s="687" t="s">
        <v>38</v>
      </c>
      <c r="AF15" s="687" t="s">
        <v>112</v>
      </c>
      <c r="AG15" s="687" t="s">
        <v>356</v>
      </c>
      <c r="AH15" s="687" t="s">
        <v>38</v>
      </c>
      <c r="AI15" s="687" t="s">
        <v>112</v>
      </c>
      <c r="AJ15" s="687" t="s">
        <v>356</v>
      </c>
      <c r="AK15" s="687">
        <f t="shared" ca="1" si="10"/>
        <v>9</v>
      </c>
      <c r="AL15" s="687"/>
      <c r="AM15" s="687"/>
      <c r="AN15" s="550" t="s">
        <v>2252</v>
      </c>
      <c r="AO15" s="550" t="s">
        <v>2252</v>
      </c>
      <c r="AP15" s="683"/>
      <c r="AQ15" s="683"/>
      <c r="AR15" s="539" t="s">
        <v>1991</v>
      </c>
      <c r="AT15" s="686" t="s">
        <v>1993</v>
      </c>
      <c r="AU15" s="687" t="str">
        <f t="shared" si="11"/>
        <v>USD</v>
      </c>
      <c r="AV15" s="689" t="str">
        <f t="shared" si="12"/>
        <v>RECEIVE</v>
      </c>
      <c r="AW15" s="691">
        <f t="shared" si="13"/>
        <v>1000000</v>
      </c>
      <c r="AX15" s="687" t="s">
        <v>1992</v>
      </c>
      <c r="AY15" s="690">
        <v>1</v>
      </c>
      <c r="AZ15" s="689">
        <f t="shared" ca="1" si="14"/>
        <v>43229</v>
      </c>
      <c r="BA15" s="689" t="str">
        <f t="shared" si="15"/>
        <v>10Y</v>
      </c>
      <c r="BB15" s="687" t="str">
        <f t="shared" si="16"/>
        <v>SEMI-ANNUAL</v>
      </c>
      <c r="BC15" s="688">
        <f t="shared" si="17"/>
        <v>0</v>
      </c>
      <c r="BD15" s="687" t="str">
        <f t="shared" si="18"/>
        <v>USDYC</v>
      </c>
      <c r="BE15" s="687" t="str">
        <f t="shared" si="19"/>
        <v>USD6ML</v>
      </c>
      <c r="BF15" s="687" t="str">
        <f t="shared" si="20"/>
        <v>USDOIS</v>
      </c>
      <c r="BG15" s="687" t="s">
        <v>3</v>
      </c>
      <c r="BH15" s="687" t="s">
        <v>38</v>
      </c>
      <c r="BI15" s="687" t="s">
        <v>112</v>
      </c>
      <c r="BJ15" s="687" t="s">
        <v>38</v>
      </c>
      <c r="BK15" s="687" t="s">
        <v>112</v>
      </c>
      <c r="BL15" s="687" t="s">
        <v>356</v>
      </c>
      <c r="BM15" s="687" t="s">
        <v>38</v>
      </c>
      <c r="BN15" s="687" t="s">
        <v>112</v>
      </c>
      <c r="BO15" s="687" t="s">
        <v>356</v>
      </c>
      <c r="BP15" s="687">
        <f t="shared" ca="1" si="21"/>
        <v>9</v>
      </c>
      <c r="BQ15" s="687"/>
      <c r="BR15" s="687"/>
      <c r="BS15" s="550" t="s">
        <v>2252</v>
      </c>
      <c r="BT15" s="550" t="s">
        <v>2252</v>
      </c>
      <c r="BU15" s="683"/>
      <c r="BV15" s="683"/>
      <c r="BW15" s="539" t="s">
        <v>1991</v>
      </c>
      <c r="BX15" s="671" t="s">
        <v>12</v>
      </c>
      <c r="BY15" s="686" t="str">
        <f ca="1">IF(OR($D15="",$D15=0),"",_xll.meLWOSwapCreateFromLegLVBs($E15&amp;LEFT($H15,LEN($H15)-2)&amp;"x"&amp;LEFT($K15,LEN($K15)-2)&amp;"_"&amp;$A15,_xll.meUtilityLVBFromKeysValues(Leg1Keys,$N15:$AR15),_xll.meUtilityLVBFromKeysValues(Leg2Keys,$AT15:$BW15),FALSE))</f>
        <v>USD3X6_10@46:0</v>
      </c>
      <c r="BZ15" s="517" t="str">
        <f ca="1">IF(OR($D15="",$D15=0),"",_xll.meLWOSwapPV(BY15,Y15))</f>
        <v>[2018/05/04 09:52] #Error: Invalid Curve: CurveCollection 'USDYC' does not exist</v>
      </c>
      <c r="CA15" s="685" t="str">
        <f ca="1">IF(OR($D15="",$D15=0),"",_xll.meLWOSwapParSpread($BY15,Y15))</f>
        <v>[2018/05/04 09:52] #Error: Invalid Curve: CurveCollection 'USDYC' does not exist</v>
      </c>
      <c r="CB15" s="671" t="s">
        <v>12</v>
      </c>
      <c r="CC15" s="684" t="str">
        <f>'USD Curve Config'!BJ18</f>
        <v>10Y</v>
      </c>
      <c r="CD15" s="683">
        <f>'USD Curve Config'!BK18</f>
        <v>1.4250000000000001E-3</v>
      </c>
      <c r="CE15" s="809">
        <f t="shared" si="23"/>
        <v>14.25</v>
      </c>
      <c r="CF15" s="932" t="e">
        <f t="shared" ca="1" si="24"/>
        <v>#VALUE!</v>
      </c>
    </row>
    <row r="16" spans="1:84">
      <c r="A16" s="203">
        <f t="shared" si="25"/>
        <v>11</v>
      </c>
      <c r="B16" s="812" t="s">
        <v>361</v>
      </c>
      <c r="C16" s="696">
        <f ca="1">IF(OR($B16="",$D16="",$D16=0),"",_xll.meDateFromTenor(COB,$B16,$AH16,$AI16))</f>
        <v>43229</v>
      </c>
      <c r="D16" s="816">
        <v>1000000</v>
      </c>
      <c r="E16" s="817" t="s">
        <v>181</v>
      </c>
      <c r="F16" s="693" t="s">
        <v>318</v>
      </c>
      <c r="G16" s="695" t="s">
        <v>1995</v>
      </c>
      <c r="H16" s="821" t="s">
        <v>316</v>
      </c>
      <c r="I16" s="694">
        <v>0</v>
      </c>
      <c r="J16" s="693" t="s">
        <v>1997</v>
      </c>
      <c r="K16" s="821" t="s">
        <v>355</v>
      </c>
      <c r="L16" s="692">
        <v>0</v>
      </c>
      <c r="M16" s="677"/>
      <c r="N16" s="686" t="s">
        <v>1994</v>
      </c>
      <c r="O16" s="687" t="str">
        <f t="shared" si="0"/>
        <v>USD</v>
      </c>
      <c r="P16" s="689" t="str">
        <f t="shared" si="1"/>
        <v>PAY</v>
      </c>
      <c r="Q16" s="691">
        <f t="shared" si="2"/>
        <v>1000000</v>
      </c>
      <c r="R16" s="687" t="s">
        <v>1992</v>
      </c>
      <c r="S16" s="690">
        <v>1</v>
      </c>
      <c r="T16" s="689">
        <f t="shared" ca="1" si="3"/>
        <v>43229</v>
      </c>
      <c r="U16" s="689" t="str">
        <f t="shared" si="4"/>
        <v>11Y</v>
      </c>
      <c r="V16" s="687" t="str">
        <f t="shared" si="5"/>
        <v>QUARTERLY</v>
      </c>
      <c r="W16" s="687" t="str">
        <f t="shared" si="22"/>
        <v>SEMI-ANNUAL</v>
      </c>
      <c r="X16" s="688">
        <f t="shared" si="6"/>
        <v>0</v>
      </c>
      <c r="Y16" s="687" t="str">
        <f t="shared" si="7"/>
        <v>USDYC</v>
      </c>
      <c r="Z16" s="687" t="str">
        <f t="shared" si="8"/>
        <v>USD3ML</v>
      </c>
      <c r="AA16" s="687" t="str">
        <f t="shared" si="9"/>
        <v>USDOIS</v>
      </c>
      <c r="AB16" s="687" t="s">
        <v>3</v>
      </c>
      <c r="AC16" s="687" t="s">
        <v>38</v>
      </c>
      <c r="AD16" s="687" t="s">
        <v>112</v>
      </c>
      <c r="AE16" s="687" t="s">
        <v>38</v>
      </c>
      <c r="AF16" s="687" t="s">
        <v>112</v>
      </c>
      <c r="AG16" s="687" t="s">
        <v>356</v>
      </c>
      <c r="AH16" s="687" t="s">
        <v>38</v>
      </c>
      <c r="AI16" s="687" t="s">
        <v>112</v>
      </c>
      <c r="AJ16" s="687" t="s">
        <v>356</v>
      </c>
      <c r="AK16" s="687">
        <f t="shared" ca="1" si="10"/>
        <v>9</v>
      </c>
      <c r="AL16" s="687"/>
      <c r="AM16" s="687"/>
      <c r="AN16" s="550" t="s">
        <v>2252</v>
      </c>
      <c r="AO16" s="550" t="s">
        <v>2252</v>
      </c>
      <c r="AP16" s="683"/>
      <c r="AQ16" s="683"/>
      <c r="AR16" s="539" t="s">
        <v>1991</v>
      </c>
      <c r="AT16" s="686" t="s">
        <v>1993</v>
      </c>
      <c r="AU16" s="687" t="str">
        <f t="shared" si="11"/>
        <v>USD</v>
      </c>
      <c r="AV16" s="689" t="str">
        <f t="shared" si="12"/>
        <v>RECEIVE</v>
      </c>
      <c r="AW16" s="691">
        <f t="shared" si="13"/>
        <v>1000000</v>
      </c>
      <c r="AX16" s="687" t="s">
        <v>1992</v>
      </c>
      <c r="AY16" s="690">
        <v>1</v>
      </c>
      <c r="AZ16" s="689">
        <f t="shared" ca="1" si="14"/>
        <v>43229</v>
      </c>
      <c r="BA16" s="689" t="str">
        <f t="shared" si="15"/>
        <v>11Y</v>
      </c>
      <c r="BB16" s="687" t="str">
        <f t="shared" si="16"/>
        <v>SEMI-ANNUAL</v>
      </c>
      <c r="BC16" s="688">
        <f t="shared" si="17"/>
        <v>0</v>
      </c>
      <c r="BD16" s="687" t="str">
        <f t="shared" si="18"/>
        <v>USDYC</v>
      </c>
      <c r="BE16" s="687" t="str">
        <f t="shared" si="19"/>
        <v>USD6ML</v>
      </c>
      <c r="BF16" s="687" t="str">
        <f t="shared" si="20"/>
        <v>USDOIS</v>
      </c>
      <c r="BG16" s="687" t="s">
        <v>3</v>
      </c>
      <c r="BH16" s="687" t="s">
        <v>38</v>
      </c>
      <c r="BI16" s="687" t="s">
        <v>112</v>
      </c>
      <c r="BJ16" s="687" t="s">
        <v>38</v>
      </c>
      <c r="BK16" s="687" t="s">
        <v>112</v>
      </c>
      <c r="BL16" s="687" t="s">
        <v>356</v>
      </c>
      <c r="BM16" s="687" t="s">
        <v>38</v>
      </c>
      <c r="BN16" s="687" t="s">
        <v>112</v>
      </c>
      <c r="BO16" s="687" t="s">
        <v>356</v>
      </c>
      <c r="BP16" s="687">
        <f t="shared" ca="1" si="21"/>
        <v>9</v>
      </c>
      <c r="BQ16" s="687"/>
      <c r="BR16" s="687"/>
      <c r="BS16" s="550" t="s">
        <v>2252</v>
      </c>
      <c r="BT16" s="550" t="s">
        <v>2252</v>
      </c>
      <c r="BU16" s="683"/>
      <c r="BV16" s="683"/>
      <c r="BW16" s="539" t="s">
        <v>1991</v>
      </c>
      <c r="BX16" s="671" t="s">
        <v>12</v>
      </c>
      <c r="BY16" s="686" t="str">
        <f ca="1">IF(OR($D16="",$D16=0),"",_xll.meLWOSwapCreateFromLegLVBs($E16&amp;LEFT($H16,LEN($H16)-2)&amp;"x"&amp;LEFT($K16,LEN($K16)-2)&amp;"_"&amp;$A16,_xll.meUtilityLVBFromKeysValues(Leg1Keys,$N16:$AR16),_xll.meUtilityLVBFromKeysValues(Leg2Keys,$AT16:$BW16),FALSE))</f>
        <v>USD3X6_11@93:0</v>
      </c>
      <c r="BZ16" s="517" t="str">
        <f ca="1">IF(OR($D16="",$D16=0),"",_xll.meLWOSwapPV(BY16,Y16))</f>
        <v>[2018/05/04 09:52] #Error: Invalid Curve: CurveCollection 'USDYC' does not exist</v>
      </c>
      <c r="CA16" s="685" t="str">
        <f ca="1">IF(OR($D16="",$D16=0),"",_xll.meLWOSwapParSpread($BY16,Y16))</f>
        <v>[2018/05/04 09:52] #Error: Invalid Curve: CurveCollection 'USDYC' does not exist</v>
      </c>
      <c r="CB16" s="671" t="s">
        <v>12</v>
      </c>
      <c r="CC16" s="684" t="str">
        <f>'USD Curve Config'!BJ19</f>
        <v>12Y</v>
      </c>
      <c r="CD16" s="683">
        <f>'USD Curve Config'!BK19</f>
        <v>1.4875000000000001E-3</v>
      </c>
      <c r="CE16" s="809">
        <f t="shared" si="23"/>
        <v>14.875000000000002</v>
      </c>
      <c r="CF16" s="932" t="e">
        <f t="shared" ca="1" si="24"/>
        <v>#VALUE!</v>
      </c>
    </row>
    <row r="17" spans="1:84">
      <c r="A17" s="203">
        <f t="shared" si="25"/>
        <v>12</v>
      </c>
      <c r="B17" s="812" t="s">
        <v>361</v>
      </c>
      <c r="C17" s="696">
        <f ca="1">IF(OR($B17="",$D17="",$D17=0),"",_xll.meDateFromTenor(COB,$B17,$AH17,$AI17))</f>
        <v>43229</v>
      </c>
      <c r="D17" s="816">
        <v>1000000</v>
      </c>
      <c r="E17" s="817" t="s">
        <v>181</v>
      </c>
      <c r="F17" s="693" t="s">
        <v>25</v>
      </c>
      <c r="G17" s="695" t="s">
        <v>1995</v>
      </c>
      <c r="H17" s="821" t="s">
        <v>316</v>
      </c>
      <c r="I17" s="694">
        <v>0</v>
      </c>
      <c r="J17" s="693" t="s">
        <v>1997</v>
      </c>
      <c r="K17" s="821" t="s">
        <v>355</v>
      </c>
      <c r="L17" s="692">
        <v>0</v>
      </c>
      <c r="M17" s="677"/>
      <c r="N17" s="686" t="s">
        <v>1994</v>
      </c>
      <c r="O17" s="687" t="str">
        <f t="shared" si="0"/>
        <v>USD</v>
      </c>
      <c r="P17" s="689" t="str">
        <f t="shared" si="1"/>
        <v>PAY</v>
      </c>
      <c r="Q17" s="691">
        <f t="shared" si="2"/>
        <v>1000000</v>
      </c>
      <c r="R17" s="687" t="s">
        <v>1992</v>
      </c>
      <c r="S17" s="690">
        <v>1</v>
      </c>
      <c r="T17" s="689">
        <f t="shared" ca="1" si="3"/>
        <v>43229</v>
      </c>
      <c r="U17" s="689" t="str">
        <f t="shared" si="4"/>
        <v>12Y</v>
      </c>
      <c r="V17" s="687" t="str">
        <f t="shared" si="5"/>
        <v>QUARTERLY</v>
      </c>
      <c r="W17" s="687" t="str">
        <f t="shared" si="22"/>
        <v>SEMI-ANNUAL</v>
      </c>
      <c r="X17" s="688">
        <f t="shared" si="6"/>
        <v>0</v>
      </c>
      <c r="Y17" s="687" t="str">
        <f t="shared" si="7"/>
        <v>USDYC</v>
      </c>
      <c r="Z17" s="687" t="str">
        <f t="shared" si="8"/>
        <v>USD3ML</v>
      </c>
      <c r="AA17" s="687" t="str">
        <f t="shared" si="9"/>
        <v>USDOIS</v>
      </c>
      <c r="AB17" s="687" t="s">
        <v>3</v>
      </c>
      <c r="AC17" s="687" t="s">
        <v>38</v>
      </c>
      <c r="AD17" s="687" t="s">
        <v>112</v>
      </c>
      <c r="AE17" s="687" t="s">
        <v>38</v>
      </c>
      <c r="AF17" s="687" t="s">
        <v>112</v>
      </c>
      <c r="AG17" s="687" t="s">
        <v>356</v>
      </c>
      <c r="AH17" s="687" t="s">
        <v>38</v>
      </c>
      <c r="AI17" s="687" t="s">
        <v>112</v>
      </c>
      <c r="AJ17" s="687" t="s">
        <v>356</v>
      </c>
      <c r="AK17" s="687">
        <f t="shared" ca="1" si="10"/>
        <v>9</v>
      </c>
      <c r="AL17" s="687"/>
      <c r="AM17" s="687"/>
      <c r="AN17" s="550" t="s">
        <v>2252</v>
      </c>
      <c r="AO17" s="550" t="s">
        <v>2252</v>
      </c>
      <c r="AP17" s="683"/>
      <c r="AQ17" s="683"/>
      <c r="AR17" s="539" t="s">
        <v>1991</v>
      </c>
      <c r="AT17" s="686" t="s">
        <v>1993</v>
      </c>
      <c r="AU17" s="687" t="str">
        <f t="shared" si="11"/>
        <v>USD</v>
      </c>
      <c r="AV17" s="689" t="str">
        <f t="shared" si="12"/>
        <v>RECEIVE</v>
      </c>
      <c r="AW17" s="691">
        <f t="shared" si="13"/>
        <v>1000000</v>
      </c>
      <c r="AX17" s="687" t="s">
        <v>1992</v>
      </c>
      <c r="AY17" s="690">
        <v>1</v>
      </c>
      <c r="AZ17" s="689">
        <f t="shared" ca="1" si="14"/>
        <v>43229</v>
      </c>
      <c r="BA17" s="689" t="str">
        <f t="shared" si="15"/>
        <v>12Y</v>
      </c>
      <c r="BB17" s="687" t="str">
        <f t="shared" si="16"/>
        <v>SEMI-ANNUAL</v>
      </c>
      <c r="BC17" s="688">
        <f t="shared" si="17"/>
        <v>0</v>
      </c>
      <c r="BD17" s="687" t="str">
        <f t="shared" si="18"/>
        <v>USDYC</v>
      </c>
      <c r="BE17" s="687" t="str">
        <f t="shared" si="19"/>
        <v>USD6ML</v>
      </c>
      <c r="BF17" s="687" t="str">
        <f t="shared" si="20"/>
        <v>USDOIS</v>
      </c>
      <c r="BG17" s="687" t="s">
        <v>3</v>
      </c>
      <c r="BH17" s="687" t="s">
        <v>38</v>
      </c>
      <c r="BI17" s="687" t="s">
        <v>112</v>
      </c>
      <c r="BJ17" s="687" t="s">
        <v>38</v>
      </c>
      <c r="BK17" s="687" t="s">
        <v>112</v>
      </c>
      <c r="BL17" s="687" t="s">
        <v>356</v>
      </c>
      <c r="BM17" s="687" t="s">
        <v>38</v>
      </c>
      <c r="BN17" s="687" t="s">
        <v>112</v>
      </c>
      <c r="BO17" s="687" t="s">
        <v>356</v>
      </c>
      <c r="BP17" s="687">
        <f t="shared" ca="1" si="21"/>
        <v>9</v>
      </c>
      <c r="BQ17" s="687"/>
      <c r="BR17" s="687"/>
      <c r="BS17" s="550" t="s">
        <v>2252</v>
      </c>
      <c r="BT17" s="550" t="s">
        <v>2252</v>
      </c>
      <c r="BU17" s="683"/>
      <c r="BV17" s="683"/>
      <c r="BW17" s="539" t="s">
        <v>1991</v>
      </c>
      <c r="BX17" s="671" t="s">
        <v>12</v>
      </c>
      <c r="BY17" s="686" t="str">
        <f ca="1">IF(OR($D17="",$D17=0),"",_xll.meLWOSwapCreateFromLegLVBs($E17&amp;LEFT($H17,LEN($H17)-2)&amp;"x"&amp;LEFT($K17,LEN($K17)-2)&amp;"_"&amp;$A17,_xll.meUtilityLVBFromKeysValues(Leg1Keys,$N17:$AR17),_xll.meUtilityLVBFromKeysValues(Leg2Keys,$AT17:$BW17),FALSE))</f>
        <v>USD3X6_12@70:0</v>
      </c>
      <c r="BZ17" s="517" t="str">
        <f ca="1">IF(OR($D17="",$D17=0),"",_xll.meLWOSwapPV(BY17,Y17))</f>
        <v>[2018/05/04 09:52] #Error: Invalid Curve: CurveCollection 'USDYC' does not exist</v>
      </c>
      <c r="CA17" s="685" t="str">
        <f ca="1">IF(OR($D17="",$D17=0),"",_xll.meLWOSwapParSpread($BY17,Y17))</f>
        <v>[2018/05/04 09:52] #Error: Invalid Curve: CurveCollection 'USDYC' does not exist</v>
      </c>
      <c r="CB17" s="671" t="s">
        <v>12</v>
      </c>
      <c r="CC17" s="684" t="str">
        <f>'USD Curve Config'!BJ20</f>
        <v>15Y</v>
      </c>
      <c r="CD17" s="683">
        <f>'USD Curve Config'!BK20</f>
        <v>1.5250000000000001E-3</v>
      </c>
      <c r="CE17" s="809">
        <f t="shared" si="23"/>
        <v>15.250000000000002</v>
      </c>
      <c r="CF17" s="932" t="e">
        <f t="shared" ca="1" si="24"/>
        <v>#VALUE!</v>
      </c>
    </row>
    <row r="18" spans="1:84">
      <c r="A18" s="203">
        <f t="shared" si="25"/>
        <v>13</v>
      </c>
      <c r="B18" s="812" t="s">
        <v>361</v>
      </c>
      <c r="C18" s="696">
        <f ca="1">IF(OR($B18="",$D18="",$D18=0),"",_xll.meDateFromTenor(COB,$B18,$AH18,$AI18))</f>
        <v>43229</v>
      </c>
      <c r="D18" s="816">
        <v>1000000</v>
      </c>
      <c r="E18" s="817" t="s">
        <v>181</v>
      </c>
      <c r="F18" s="693" t="s">
        <v>23</v>
      </c>
      <c r="G18" s="695" t="s">
        <v>1995</v>
      </c>
      <c r="H18" s="821" t="s">
        <v>316</v>
      </c>
      <c r="I18" s="694">
        <v>0</v>
      </c>
      <c r="J18" s="693" t="s">
        <v>1997</v>
      </c>
      <c r="K18" s="821" t="s">
        <v>355</v>
      </c>
      <c r="L18" s="692">
        <v>0</v>
      </c>
      <c r="M18" s="677"/>
      <c r="N18" s="686" t="s">
        <v>1994</v>
      </c>
      <c r="O18" s="687" t="str">
        <f t="shared" si="0"/>
        <v>USD</v>
      </c>
      <c r="P18" s="689" t="str">
        <f t="shared" si="1"/>
        <v>PAY</v>
      </c>
      <c r="Q18" s="691">
        <f t="shared" si="2"/>
        <v>1000000</v>
      </c>
      <c r="R18" s="687" t="s">
        <v>1992</v>
      </c>
      <c r="S18" s="690">
        <v>1</v>
      </c>
      <c r="T18" s="689">
        <f t="shared" ca="1" si="3"/>
        <v>43229</v>
      </c>
      <c r="U18" s="689" t="str">
        <f t="shared" si="4"/>
        <v>15Y</v>
      </c>
      <c r="V18" s="687" t="str">
        <f t="shared" si="5"/>
        <v>QUARTERLY</v>
      </c>
      <c r="W18" s="687" t="str">
        <f t="shared" si="22"/>
        <v>SEMI-ANNUAL</v>
      </c>
      <c r="X18" s="688">
        <f t="shared" si="6"/>
        <v>0</v>
      </c>
      <c r="Y18" s="687" t="str">
        <f t="shared" si="7"/>
        <v>USDYC</v>
      </c>
      <c r="Z18" s="687" t="str">
        <f t="shared" si="8"/>
        <v>USD3ML</v>
      </c>
      <c r="AA18" s="687" t="str">
        <f t="shared" si="9"/>
        <v>USDOIS</v>
      </c>
      <c r="AB18" s="687" t="s">
        <v>3</v>
      </c>
      <c r="AC18" s="687" t="s">
        <v>38</v>
      </c>
      <c r="AD18" s="687" t="s">
        <v>112</v>
      </c>
      <c r="AE18" s="687" t="s">
        <v>38</v>
      </c>
      <c r="AF18" s="687" t="s">
        <v>112</v>
      </c>
      <c r="AG18" s="687" t="s">
        <v>356</v>
      </c>
      <c r="AH18" s="687" t="s">
        <v>38</v>
      </c>
      <c r="AI18" s="687" t="s">
        <v>112</v>
      </c>
      <c r="AJ18" s="687" t="s">
        <v>356</v>
      </c>
      <c r="AK18" s="687">
        <f t="shared" ca="1" si="10"/>
        <v>9</v>
      </c>
      <c r="AL18" s="687"/>
      <c r="AM18" s="687"/>
      <c r="AN18" s="550" t="s">
        <v>2252</v>
      </c>
      <c r="AO18" s="550" t="s">
        <v>2252</v>
      </c>
      <c r="AP18" s="683"/>
      <c r="AQ18" s="683"/>
      <c r="AR18" s="539" t="s">
        <v>1991</v>
      </c>
      <c r="AT18" s="686" t="s">
        <v>1993</v>
      </c>
      <c r="AU18" s="687" t="str">
        <f t="shared" si="11"/>
        <v>USD</v>
      </c>
      <c r="AV18" s="689" t="str">
        <f t="shared" si="12"/>
        <v>RECEIVE</v>
      </c>
      <c r="AW18" s="691">
        <f t="shared" si="13"/>
        <v>1000000</v>
      </c>
      <c r="AX18" s="687" t="s">
        <v>1992</v>
      </c>
      <c r="AY18" s="690">
        <v>1</v>
      </c>
      <c r="AZ18" s="689">
        <f t="shared" ca="1" si="14"/>
        <v>43229</v>
      </c>
      <c r="BA18" s="689" t="str">
        <f t="shared" si="15"/>
        <v>15Y</v>
      </c>
      <c r="BB18" s="687" t="str">
        <f t="shared" si="16"/>
        <v>SEMI-ANNUAL</v>
      </c>
      <c r="BC18" s="688">
        <f t="shared" si="17"/>
        <v>0</v>
      </c>
      <c r="BD18" s="687" t="str">
        <f t="shared" si="18"/>
        <v>USDYC</v>
      </c>
      <c r="BE18" s="687" t="str">
        <f t="shared" si="19"/>
        <v>USD6ML</v>
      </c>
      <c r="BF18" s="687" t="str">
        <f t="shared" si="20"/>
        <v>USDOIS</v>
      </c>
      <c r="BG18" s="687" t="s">
        <v>3</v>
      </c>
      <c r="BH18" s="687" t="s">
        <v>38</v>
      </c>
      <c r="BI18" s="687" t="s">
        <v>112</v>
      </c>
      <c r="BJ18" s="687" t="s">
        <v>38</v>
      </c>
      <c r="BK18" s="687" t="s">
        <v>112</v>
      </c>
      <c r="BL18" s="687" t="s">
        <v>356</v>
      </c>
      <c r="BM18" s="687" t="s">
        <v>38</v>
      </c>
      <c r="BN18" s="687" t="s">
        <v>112</v>
      </c>
      <c r="BO18" s="687" t="s">
        <v>356</v>
      </c>
      <c r="BP18" s="687">
        <f t="shared" ca="1" si="21"/>
        <v>9</v>
      </c>
      <c r="BQ18" s="687"/>
      <c r="BR18" s="687"/>
      <c r="BS18" s="550" t="s">
        <v>2252</v>
      </c>
      <c r="BT18" s="550" t="s">
        <v>2252</v>
      </c>
      <c r="BU18" s="683"/>
      <c r="BV18" s="683"/>
      <c r="BW18" s="539" t="s">
        <v>1991</v>
      </c>
      <c r="BX18" s="671" t="s">
        <v>12</v>
      </c>
      <c r="BY18" s="686" t="str">
        <f ca="1">IF(OR($D18="",$D18=0),"",_xll.meLWOSwapCreateFromLegLVBs($E18&amp;LEFT($H18,LEN($H18)-2)&amp;"x"&amp;LEFT($K18,LEN($K18)-2)&amp;"_"&amp;$A18,_xll.meUtilityLVBFromKeysValues(Leg1Keys,$N18:$AR18),_xll.meUtilityLVBFromKeysValues(Leg2Keys,$AT18:$BW18),FALSE))</f>
        <v>USD3X6_13@27:0</v>
      </c>
      <c r="BZ18" s="517" t="str">
        <f ca="1">IF(OR($D18="",$D18=0),"",_xll.meLWOSwapPV(BY18,Y18))</f>
        <v>[2018/05/04 09:52] #Error: Invalid Curve: CurveCollection 'USDYC' does not exist</v>
      </c>
      <c r="CA18" s="685" t="str">
        <f ca="1">IF(OR($D18="",$D18=0),"",_xll.meLWOSwapParSpread($BY18,Y18))</f>
        <v>[2018/05/04 09:52] #Error: Invalid Curve: CurveCollection 'USDYC' does not exist</v>
      </c>
      <c r="CB18" s="671" t="s">
        <v>12</v>
      </c>
      <c r="CC18" s="684" t="str">
        <f>'USD Curve Config'!BJ21</f>
        <v>20Y</v>
      </c>
      <c r="CD18" s="683">
        <f>'USD Curve Config'!BK21</f>
        <v>1.5125E-3</v>
      </c>
      <c r="CE18" s="809">
        <f t="shared" si="23"/>
        <v>15.125</v>
      </c>
      <c r="CF18" s="932" t="e">
        <f t="shared" ca="1" si="24"/>
        <v>#VALUE!</v>
      </c>
    </row>
    <row r="19" spans="1:84">
      <c r="A19" s="203">
        <f t="shared" si="25"/>
        <v>14</v>
      </c>
      <c r="B19" s="812" t="s">
        <v>361</v>
      </c>
      <c r="C19" s="696">
        <f ca="1">IF(OR($B19="",$D19="",$D19=0),"",_xll.meDateFromTenor(COB,$B19,$AH19,$AI19))</f>
        <v>43229</v>
      </c>
      <c r="D19" s="816">
        <v>1000000</v>
      </c>
      <c r="E19" s="817" t="s">
        <v>181</v>
      </c>
      <c r="F19" s="693" t="s">
        <v>19</v>
      </c>
      <c r="G19" s="695" t="s">
        <v>1995</v>
      </c>
      <c r="H19" s="821" t="s">
        <v>316</v>
      </c>
      <c r="I19" s="694">
        <v>0</v>
      </c>
      <c r="J19" s="693" t="s">
        <v>1997</v>
      </c>
      <c r="K19" s="821" t="s">
        <v>355</v>
      </c>
      <c r="L19" s="692">
        <v>0</v>
      </c>
      <c r="M19" s="677"/>
      <c r="N19" s="686" t="s">
        <v>1994</v>
      </c>
      <c r="O19" s="687" t="str">
        <f t="shared" si="0"/>
        <v>USD</v>
      </c>
      <c r="P19" s="689" t="str">
        <f t="shared" si="1"/>
        <v>PAY</v>
      </c>
      <c r="Q19" s="691">
        <f t="shared" si="2"/>
        <v>1000000</v>
      </c>
      <c r="R19" s="687" t="s">
        <v>1992</v>
      </c>
      <c r="S19" s="690">
        <v>1</v>
      </c>
      <c r="T19" s="689">
        <f t="shared" ca="1" si="3"/>
        <v>43229</v>
      </c>
      <c r="U19" s="689" t="str">
        <f t="shared" si="4"/>
        <v>20Y</v>
      </c>
      <c r="V19" s="687" t="str">
        <f t="shared" si="5"/>
        <v>QUARTERLY</v>
      </c>
      <c r="W19" s="687" t="str">
        <f t="shared" si="22"/>
        <v>SEMI-ANNUAL</v>
      </c>
      <c r="X19" s="688">
        <f t="shared" si="6"/>
        <v>0</v>
      </c>
      <c r="Y19" s="687" t="str">
        <f t="shared" si="7"/>
        <v>USDYC</v>
      </c>
      <c r="Z19" s="687" t="str">
        <f t="shared" si="8"/>
        <v>USD3ML</v>
      </c>
      <c r="AA19" s="687" t="str">
        <f t="shared" si="9"/>
        <v>USDOIS</v>
      </c>
      <c r="AB19" s="687" t="s">
        <v>3</v>
      </c>
      <c r="AC19" s="687" t="s">
        <v>38</v>
      </c>
      <c r="AD19" s="687" t="s">
        <v>112</v>
      </c>
      <c r="AE19" s="687" t="s">
        <v>38</v>
      </c>
      <c r="AF19" s="687" t="s">
        <v>112</v>
      </c>
      <c r="AG19" s="687" t="s">
        <v>356</v>
      </c>
      <c r="AH19" s="687" t="s">
        <v>38</v>
      </c>
      <c r="AI19" s="687" t="s">
        <v>112</v>
      </c>
      <c r="AJ19" s="687" t="s">
        <v>356</v>
      </c>
      <c r="AK19" s="687">
        <f t="shared" ca="1" si="10"/>
        <v>9</v>
      </c>
      <c r="AL19" s="687"/>
      <c r="AM19" s="687"/>
      <c r="AN19" s="550" t="s">
        <v>2252</v>
      </c>
      <c r="AO19" s="550" t="s">
        <v>2252</v>
      </c>
      <c r="AP19" s="683"/>
      <c r="AQ19" s="683"/>
      <c r="AR19" s="539" t="s">
        <v>1991</v>
      </c>
      <c r="AT19" s="686" t="s">
        <v>1993</v>
      </c>
      <c r="AU19" s="687" t="str">
        <f t="shared" si="11"/>
        <v>USD</v>
      </c>
      <c r="AV19" s="689" t="str">
        <f t="shared" si="12"/>
        <v>RECEIVE</v>
      </c>
      <c r="AW19" s="691">
        <f t="shared" si="13"/>
        <v>1000000</v>
      </c>
      <c r="AX19" s="687" t="s">
        <v>1992</v>
      </c>
      <c r="AY19" s="690">
        <v>1</v>
      </c>
      <c r="AZ19" s="689">
        <f t="shared" ca="1" si="14"/>
        <v>43229</v>
      </c>
      <c r="BA19" s="689" t="str">
        <f t="shared" si="15"/>
        <v>20Y</v>
      </c>
      <c r="BB19" s="687" t="str">
        <f t="shared" si="16"/>
        <v>SEMI-ANNUAL</v>
      </c>
      <c r="BC19" s="688">
        <f t="shared" si="17"/>
        <v>0</v>
      </c>
      <c r="BD19" s="687" t="str">
        <f t="shared" si="18"/>
        <v>USDYC</v>
      </c>
      <c r="BE19" s="687" t="str">
        <f t="shared" si="19"/>
        <v>USD6ML</v>
      </c>
      <c r="BF19" s="687" t="str">
        <f t="shared" si="20"/>
        <v>USDOIS</v>
      </c>
      <c r="BG19" s="687" t="s">
        <v>3</v>
      </c>
      <c r="BH19" s="687" t="s">
        <v>38</v>
      </c>
      <c r="BI19" s="687" t="s">
        <v>112</v>
      </c>
      <c r="BJ19" s="687" t="s">
        <v>38</v>
      </c>
      <c r="BK19" s="687" t="s">
        <v>112</v>
      </c>
      <c r="BL19" s="687" t="s">
        <v>356</v>
      </c>
      <c r="BM19" s="687" t="s">
        <v>38</v>
      </c>
      <c r="BN19" s="687" t="s">
        <v>112</v>
      </c>
      <c r="BO19" s="687" t="s">
        <v>356</v>
      </c>
      <c r="BP19" s="687">
        <f t="shared" ca="1" si="21"/>
        <v>9</v>
      </c>
      <c r="BQ19" s="687"/>
      <c r="BR19" s="687"/>
      <c r="BS19" s="550" t="s">
        <v>2252</v>
      </c>
      <c r="BT19" s="550" t="s">
        <v>2252</v>
      </c>
      <c r="BU19" s="683"/>
      <c r="BV19" s="683"/>
      <c r="BW19" s="539" t="s">
        <v>1991</v>
      </c>
      <c r="BX19" s="671" t="s">
        <v>12</v>
      </c>
      <c r="BY19" s="686" t="str">
        <f ca="1">IF(OR($D19="",$D19=0),"",_xll.meLWOSwapCreateFromLegLVBs($E19&amp;LEFT($H19,LEN($H19)-2)&amp;"x"&amp;LEFT($K19,LEN($K19)-2)&amp;"_"&amp;$A19,_xll.meUtilityLVBFromKeysValues(Leg1Keys,$N19:$AR19),_xll.meUtilityLVBFromKeysValues(Leg2Keys,$AT19:$BW19),FALSE))</f>
        <v>USD3X6_14@88:0</v>
      </c>
      <c r="BZ19" s="517" t="str">
        <f ca="1">IF(OR($D19="",$D19=0),"",_xll.meLWOSwapPV(BY19,Y19))</f>
        <v>[2018/05/04 09:52] #Error: Invalid Curve: CurveCollection 'USDYC' does not exist</v>
      </c>
      <c r="CA19" s="685" t="str">
        <f ca="1">IF(OR($D19="",$D19=0),"",_xll.meLWOSwapParSpread($BY19,Y19))</f>
        <v>[2018/05/04 09:52] #Error: Invalid Curve: CurveCollection 'USDYC' does not exist</v>
      </c>
      <c r="CB19" s="671" t="s">
        <v>12</v>
      </c>
      <c r="CC19" s="684" t="str">
        <f>'USD Curve Config'!BJ22</f>
        <v>25Y</v>
      </c>
      <c r="CD19" s="683">
        <f>'USD Curve Config'!BK22</f>
        <v>1.4499999999999999E-3</v>
      </c>
      <c r="CE19" s="809">
        <f t="shared" si="23"/>
        <v>14.499999999999998</v>
      </c>
      <c r="CF19" s="932" t="e">
        <f t="shared" ca="1" si="24"/>
        <v>#VALUE!</v>
      </c>
    </row>
    <row r="20" spans="1:84">
      <c r="A20" s="203">
        <f t="shared" si="25"/>
        <v>15</v>
      </c>
      <c r="B20" s="812" t="s">
        <v>361</v>
      </c>
      <c r="C20" s="696">
        <f ca="1">IF(OR($B20="",$D20="",$D20=0),"",_xll.meDateFromTenor(COB,$B20,$AH20,$AI20))</f>
        <v>43229</v>
      </c>
      <c r="D20" s="816">
        <v>1000000</v>
      </c>
      <c r="E20" s="817" t="s">
        <v>181</v>
      </c>
      <c r="F20" s="693" t="s">
        <v>17</v>
      </c>
      <c r="G20" s="695" t="s">
        <v>1995</v>
      </c>
      <c r="H20" s="821" t="s">
        <v>316</v>
      </c>
      <c r="I20" s="694">
        <v>0</v>
      </c>
      <c r="J20" s="693" t="s">
        <v>1997</v>
      </c>
      <c r="K20" s="821" t="s">
        <v>355</v>
      </c>
      <c r="L20" s="692">
        <v>0</v>
      </c>
      <c r="M20" s="677"/>
      <c r="N20" s="686" t="s">
        <v>1994</v>
      </c>
      <c r="O20" s="687" t="str">
        <f t="shared" si="0"/>
        <v>USD</v>
      </c>
      <c r="P20" s="689" t="str">
        <f t="shared" si="1"/>
        <v>PAY</v>
      </c>
      <c r="Q20" s="691">
        <f t="shared" si="2"/>
        <v>1000000</v>
      </c>
      <c r="R20" s="687" t="s">
        <v>1992</v>
      </c>
      <c r="S20" s="690">
        <v>1</v>
      </c>
      <c r="T20" s="689">
        <f t="shared" ca="1" si="3"/>
        <v>43229</v>
      </c>
      <c r="U20" s="689" t="str">
        <f t="shared" si="4"/>
        <v>25Y</v>
      </c>
      <c r="V20" s="687" t="str">
        <f t="shared" si="5"/>
        <v>QUARTERLY</v>
      </c>
      <c r="W20" s="687" t="str">
        <f t="shared" si="22"/>
        <v>SEMI-ANNUAL</v>
      </c>
      <c r="X20" s="688">
        <f t="shared" si="6"/>
        <v>0</v>
      </c>
      <c r="Y20" s="687" t="str">
        <f t="shared" si="7"/>
        <v>USDYC</v>
      </c>
      <c r="Z20" s="687" t="str">
        <f t="shared" si="8"/>
        <v>USD3ML</v>
      </c>
      <c r="AA20" s="687" t="str">
        <f t="shared" si="9"/>
        <v>USDOIS</v>
      </c>
      <c r="AB20" s="687" t="s">
        <v>3</v>
      </c>
      <c r="AC20" s="687" t="s">
        <v>38</v>
      </c>
      <c r="AD20" s="687" t="s">
        <v>112</v>
      </c>
      <c r="AE20" s="687" t="s">
        <v>38</v>
      </c>
      <c r="AF20" s="687" t="s">
        <v>112</v>
      </c>
      <c r="AG20" s="687" t="s">
        <v>356</v>
      </c>
      <c r="AH20" s="687" t="s">
        <v>38</v>
      </c>
      <c r="AI20" s="687" t="s">
        <v>112</v>
      </c>
      <c r="AJ20" s="687" t="s">
        <v>356</v>
      </c>
      <c r="AK20" s="687">
        <f t="shared" ca="1" si="10"/>
        <v>9</v>
      </c>
      <c r="AL20" s="687"/>
      <c r="AM20" s="687"/>
      <c r="AN20" s="550" t="s">
        <v>2252</v>
      </c>
      <c r="AO20" s="550" t="s">
        <v>2252</v>
      </c>
      <c r="AP20" s="683"/>
      <c r="AQ20" s="683"/>
      <c r="AR20" s="539" t="s">
        <v>1991</v>
      </c>
      <c r="AT20" s="686" t="s">
        <v>1993</v>
      </c>
      <c r="AU20" s="687" t="str">
        <f t="shared" si="11"/>
        <v>USD</v>
      </c>
      <c r="AV20" s="689" t="str">
        <f t="shared" si="12"/>
        <v>RECEIVE</v>
      </c>
      <c r="AW20" s="691">
        <f t="shared" si="13"/>
        <v>1000000</v>
      </c>
      <c r="AX20" s="687" t="s">
        <v>1992</v>
      </c>
      <c r="AY20" s="690">
        <v>1</v>
      </c>
      <c r="AZ20" s="689">
        <f t="shared" ca="1" si="14"/>
        <v>43229</v>
      </c>
      <c r="BA20" s="689" t="str">
        <f t="shared" si="15"/>
        <v>25Y</v>
      </c>
      <c r="BB20" s="687" t="str">
        <f t="shared" si="16"/>
        <v>SEMI-ANNUAL</v>
      </c>
      <c r="BC20" s="688">
        <f t="shared" si="17"/>
        <v>0</v>
      </c>
      <c r="BD20" s="687" t="str">
        <f t="shared" si="18"/>
        <v>USDYC</v>
      </c>
      <c r="BE20" s="687" t="str">
        <f t="shared" si="19"/>
        <v>USD6ML</v>
      </c>
      <c r="BF20" s="687" t="str">
        <f t="shared" si="20"/>
        <v>USDOIS</v>
      </c>
      <c r="BG20" s="687" t="s">
        <v>3</v>
      </c>
      <c r="BH20" s="687" t="s">
        <v>38</v>
      </c>
      <c r="BI20" s="687" t="s">
        <v>112</v>
      </c>
      <c r="BJ20" s="687" t="s">
        <v>38</v>
      </c>
      <c r="BK20" s="687" t="s">
        <v>112</v>
      </c>
      <c r="BL20" s="687" t="s">
        <v>356</v>
      </c>
      <c r="BM20" s="687" t="s">
        <v>38</v>
      </c>
      <c r="BN20" s="687" t="s">
        <v>112</v>
      </c>
      <c r="BO20" s="687" t="s">
        <v>356</v>
      </c>
      <c r="BP20" s="687">
        <f t="shared" ca="1" si="21"/>
        <v>9</v>
      </c>
      <c r="BQ20" s="687"/>
      <c r="BR20" s="687"/>
      <c r="BS20" s="550" t="s">
        <v>2252</v>
      </c>
      <c r="BT20" s="550" t="s">
        <v>2252</v>
      </c>
      <c r="BU20" s="683"/>
      <c r="BV20" s="683"/>
      <c r="BW20" s="539" t="s">
        <v>1991</v>
      </c>
      <c r="BX20" s="671" t="s">
        <v>12</v>
      </c>
      <c r="BY20" s="686" t="str">
        <f ca="1">IF(OR($D20="",$D20=0),"",_xll.meLWOSwapCreateFromLegLVBs($E20&amp;LEFT($H20,LEN($H20)-2)&amp;"x"&amp;LEFT($K20,LEN($K20)-2)&amp;"_"&amp;$A20,_xll.meUtilityLVBFromKeysValues(Leg1Keys,$N20:$AR20),_xll.meUtilityLVBFromKeysValues(Leg2Keys,$AT20:$BW20),FALSE))</f>
        <v>USD3X6_15@101:0</v>
      </c>
      <c r="BZ20" s="517" t="str">
        <f ca="1">IF(OR($D20="",$D20=0),"",_xll.meLWOSwapPV(BY20,Y20))</f>
        <v>[2018/05/04 09:52] #Error: Invalid Curve: CurveCollection 'USDYC' does not exist</v>
      </c>
      <c r="CA20" s="685" t="str">
        <f ca="1">IF(OR($D20="",$D20=0),"",_xll.meLWOSwapParSpread($BY20,Y20))</f>
        <v>[2018/05/04 09:52] #Error: Invalid Curve: CurveCollection 'USDYC' does not exist</v>
      </c>
      <c r="CB20" s="671" t="s">
        <v>12</v>
      </c>
      <c r="CC20" s="684" t="str">
        <f>'USD Curve Config'!BJ23</f>
        <v>30Y</v>
      </c>
      <c r="CD20" s="683">
        <f>'USD Curve Config'!BK23</f>
        <v>1.3875000000000001E-3</v>
      </c>
      <c r="CE20" s="809">
        <f t="shared" si="23"/>
        <v>13.875</v>
      </c>
      <c r="CF20" s="932" t="e">
        <f t="shared" ca="1" si="24"/>
        <v>#VALUE!</v>
      </c>
    </row>
    <row r="21" spans="1:84">
      <c r="A21" s="203">
        <f t="shared" si="25"/>
        <v>16</v>
      </c>
      <c r="B21" s="812" t="s">
        <v>361</v>
      </c>
      <c r="C21" s="696">
        <f ca="1">IF(OR($B21="",$D21="",$D21=0),"",_xll.meDateFromTenor(COB,$B21,$AH21,$AI21))</f>
        <v>43229</v>
      </c>
      <c r="D21" s="816">
        <v>1000000</v>
      </c>
      <c r="E21" s="817" t="s">
        <v>181</v>
      </c>
      <c r="F21" s="693" t="s">
        <v>16</v>
      </c>
      <c r="G21" s="695" t="s">
        <v>1995</v>
      </c>
      <c r="H21" s="821" t="s">
        <v>316</v>
      </c>
      <c r="I21" s="694">
        <v>0</v>
      </c>
      <c r="J21" s="693" t="s">
        <v>1997</v>
      </c>
      <c r="K21" s="821" t="s">
        <v>355</v>
      </c>
      <c r="L21" s="692">
        <v>0</v>
      </c>
      <c r="M21" s="677"/>
      <c r="N21" s="686" t="s">
        <v>1994</v>
      </c>
      <c r="O21" s="687" t="str">
        <f t="shared" si="0"/>
        <v>USD</v>
      </c>
      <c r="P21" s="689" t="str">
        <f t="shared" si="1"/>
        <v>PAY</v>
      </c>
      <c r="Q21" s="691">
        <f t="shared" si="2"/>
        <v>1000000</v>
      </c>
      <c r="R21" s="687" t="s">
        <v>1992</v>
      </c>
      <c r="S21" s="690">
        <v>1</v>
      </c>
      <c r="T21" s="689">
        <f t="shared" ca="1" si="3"/>
        <v>43229</v>
      </c>
      <c r="U21" s="689" t="str">
        <f t="shared" si="4"/>
        <v>30Y</v>
      </c>
      <c r="V21" s="687" t="str">
        <f t="shared" si="5"/>
        <v>QUARTERLY</v>
      </c>
      <c r="W21" s="687" t="str">
        <f t="shared" si="22"/>
        <v>SEMI-ANNUAL</v>
      </c>
      <c r="X21" s="688">
        <f t="shared" si="6"/>
        <v>0</v>
      </c>
      <c r="Y21" s="687" t="str">
        <f t="shared" si="7"/>
        <v>USDYC</v>
      </c>
      <c r="Z21" s="687" t="str">
        <f t="shared" si="8"/>
        <v>USD3ML</v>
      </c>
      <c r="AA21" s="687" t="str">
        <f t="shared" si="9"/>
        <v>USDOIS</v>
      </c>
      <c r="AB21" s="687" t="s">
        <v>3</v>
      </c>
      <c r="AC21" s="687" t="s">
        <v>38</v>
      </c>
      <c r="AD21" s="687" t="s">
        <v>112</v>
      </c>
      <c r="AE21" s="687" t="s">
        <v>38</v>
      </c>
      <c r="AF21" s="687" t="s">
        <v>112</v>
      </c>
      <c r="AG21" s="687" t="s">
        <v>356</v>
      </c>
      <c r="AH21" s="687" t="s">
        <v>38</v>
      </c>
      <c r="AI21" s="687" t="s">
        <v>112</v>
      </c>
      <c r="AJ21" s="687" t="s">
        <v>356</v>
      </c>
      <c r="AK21" s="687">
        <f t="shared" ca="1" si="10"/>
        <v>9</v>
      </c>
      <c r="AL21" s="687"/>
      <c r="AM21" s="687"/>
      <c r="AN21" s="550" t="s">
        <v>2252</v>
      </c>
      <c r="AO21" s="550" t="s">
        <v>2252</v>
      </c>
      <c r="AP21" s="683"/>
      <c r="AQ21" s="683"/>
      <c r="AR21" s="539" t="s">
        <v>1991</v>
      </c>
      <c r="AS21" s="807"/>
      <c r="AT21" s="686" t="s">
        <v>1993</v>
      </c>
      <c r="AU21" s="687" t="str">
        <f t="shared" si="11"/>
        <v>USD</v>
      </c>
      <c r="AV21" s="689" t="str">
        <f t="shared" si="12"/>
        <v>RECEIVE</v>
      </c>
      <c r="AW21" s="691">
        <f t="shared" si="13"/>
        <v>1000000</v>
      </c>
      <c r="AX21" s="687" t="s">
        <v>1992</v>
      </c>
      <c r="AY21" s="690">
        <v>1</v>
      </c>
      <c r="AZ21" s="689">
        <f t="shared" ca="1" si="14"/>
        <v>43229</v>
      </c>
      <c r="BA21" s="689" t="str">
        <f t="shared" si="15"/>
        <v>30Y</v>
      </c>
      <c r="BB21" s="687" t="str">
        <f t="shared" si="16"/>
        <v>SEMI-ANNUAL</v>
      </c>
      <c r="BC21" s="688">
        <f t="shared" si="17"/>
        <v>0</v>
      </c>
      <c r="BD21" s="687" t="str">
        <f t="shared" si="18"/>
        <v>USDYC</v>
      </c>
      <c r="BE21" s="687" t="str">
        <f t="shared" si="19"/>
        <v>USD6ML</v>
      </c>
      <c r="BF21" s="687" t="str">
        <f t="shared" si="20"/>
        <v>USDOIS</v>
      </c>
      <c r="BG21" s="687" t="s">
        <v>3</v>
      </c>
      <c r="BH21" s="687" t="s">
        <v>38</v>
      </c>
      <c r="BI21" s="687" t="s">
        <v>112</v>
      </c>
      <c r="BJ21" s="687" t="s">
        <v>38</v>
      </c>
      <c r="BK21" s="687" t="s">
        <v>112</v>
      </c>
      <c r="BL21" s="687" t="s">
        <v>356</v>
      </c>
      <c r="BM21" s="687" t="s">
        <v>38</v>
      </c>
      <c r="BN21" s="687" t="s">
        <v>112</v>
      </c>
      <c r="BO21" s="687" t="s">
        <v>356</v>
      </c>
      <c r="BP21" s="687">
        <f t="shared" ca="1" si="21"/>
        <v>9</v>
      </c>
      <c r="BQ21" s="687"/>
      <c r="BR21" s="687"/>
      <c r="BS21" s="550" t="s">
        <v>2252</v>
      </c>
      <c r="BT21" s="550" t="s">
        <v>2252</v>
      </c>
      <c r="BU21" s="683"/>
      <c r="BV21" s="683"/>
      <c r="BW21" s="539" t="s">
        <v>1991</v>
      </c>
      <c r="BX21" s="671" t="s">
        <v>12</v>
      </c>
      <c r="BY21" s="686" t="str">
        <f ca="1">IF(OR($D21="",$D21=0),"",_xll.meLWOSwapCreateFromLegLVBs($E21&amp;LEFT($H21,LEN($H21)-2)&amp;"x"&amp;LEFT($K21,LEN($K21)-2)&amp;"_"&amp;$A21,_xll.meUtilityLVBFromKeysValues(Leg1Keys,$N21:$AR21),_xll.meUtilityLVBFromKeysValues(Leg2Keys,$AT21:$BW21),FALSE))</f>
        <v>USD3X6_16@87:0</v>
      </c>
      <c r="BZ21" s="517" t="str">
        <f ca="1">IF(OR($D21="",$D21=0),"",_xll.meLWOSwapPV(BY21,Y21))</f>
        <v>[2018/05/04 09:52] #Error: Invalid Curve: CurveCollection 'USDYC' does not exist</v>
      </c>
      <c r="CA21" s="685" t="str">
        <f ca="1">IF(OR($D21="",$D21=0),"",_xll.meLWOSwapParSpread($BY21,Y21))</f>
        <v>[2018/05/04 09:52] #Error: Invalid Curve: CurveCollection 'USDYC' does not exist</v>
      </c>
      <c r="CB21" s="671" t="s">
        <v>12</v>
      </c>
      <c r="CC21" s="684"/>
      <c r="CD21" s="683"/>
      <c r="CE21" s="809"/>
      <c r="CF21" s="932" t="str">
        <f t="shared" si="24"/>
        <v/>
      </c>
    </row>
    <row r="22" spans="1:84">
      <c r="A22" s="203">
        <f t="shared" si="25"/>
        <v>17</v>
      </c>
      <c r="B22" s="812"/>
      <c r="C22" s="696" t="str">
        <f>IF(OR($B22="",$D22="",$D22=0),"",_xll.meDateFromTenor(COB,$B22,$AH22,$AI22))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1994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1992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7" t="str">
        <f t="shared" si="22"/>
        <v>MONTHLY</v>
      </c>
      <c r="X22" s="688">
        <f t="shared" si="6"/>
        <v>0</v>
      </c>
      <c r="Y22" s="687" t="str">
        <f t="shared" si="7"/>
        <v>YC</v>
      </c>
      <c r="Z22" s="687" t="str">
        <f t="shared" si="8"/>
        <v/>
      </c>
      <c r="AA22" s="687" t="str">
        <f t="shared" si="9"/>
        <v>OIS</v>
      </c>
      <c r="AB22" s="687" t="s">
        <v>3</v>
      </c>
      <c r="AC22" s="687" t="s">
        <v>38</v>
      </c>
      <c r="AD22" s="687" t="s">
        <v>112</v>
      </c>
      <c r="AE22" s="687" t="s">
        <v>38</v>
      </c>
      <c r="AF22" s="687" t="s">
        <v>112</v>
      </c>
      <c r="AG22" s="687" t="s">
        <v>356</v>
      </c>
      <c r="AH22" s="687" t="s">
        <v>38</v>
      </c>
      <c r="AI22" s="687" t="s">
        <v>112</v>
      </c>
      <c r="AJ22" s="687" t="s">
        <v>356</v>
      </c>
      <c r="AK22" s="687" t="e">
        <f t="shared" si="10"/>
        <v>#VALUE!</v>
      </c>
      <c r="AL22" s="687"/>
      <c r="AM22" s="687"/>
      <c r="AN22" s="550" t="s">
        <v>2252</v>
      </c>
      <c r="AO22" s="550" t="s">
        <v>2252</v>
      </c>
      <c r="AP22" s="683"/>
      <c r="AQ22" s="683"/>
      <c r="AR22" s="539" t="s">
        <v>1991</v>
      </c>
      <c r="AS22" s="807"/>
      <c r="AT22" s="686" t="s">
        <v>1993</v>
      </c>
      <c r="AU22" s="687">
        <f t="shared" si="11"/>
        <v>0</v>
      </c>
      <c r="AV22" s="689">
        <f t="shared" si="12"/>
        <v>0</v>
      </c>
      <c r="AW22" s="691">
        <f t="shared" si="13"/>
        <v>0</v>
      </c>
      <c r="AX22" s="687" t="s">
        <v>1992</v>
      </c>
      <c r="AY22" s="690">
        <v>1</v>
      </c>
      <c r="AZ22" s="689" t="str">
        <f t="shared" si="14"/>
        <v/>
      </c>
      <c r="BA22" s="689">
        <f t="shared" si="15"/>
        <v>0</v>
      </c>
      <c r="BB22" s="687" t="str">
        <f t="shared" si="16"/>
        <v>MONTHLY</v>
      </c>
      <c r="BC22" s="688">
        <f t="shared" si="17"/>
        <v>0</v>
      </c>
      <c r="BD22" s="687" t="str">
        <f t="shared" si="18"/>
        <v>YC</v>
      </c>
      <c r="BE22" s="687" t="str">
        <f t="shared" si="19"/>
        <v/>
      </c>
      <c r="BF22" s="687" t="str">
        <f t="shared" si="20"/>
        <v>OIS</v>
      </c>
      <c r="BG22" s="687" t="s">
        <v>3</v>
      </c>
      <c r="BH22" s="687" t="s">
        <v>38</v>
      </c>
      <c r="BI22" s="687" t="s">
        <v>112</v>
      </c>
      <c r="BJ22" s="687" t="s">
        <v>38</v>
      </c>
      <c r="BK22" s="687" t="s">
        <v>112</v>
      </c>
      <c r="BL22" s="687" t="s">
        <v>356</v>
      </c>
      <c r="BM22" s="687" t="s">
        <v>38</v>
      </c>
      <c r="BN22" s="687" t="s">
        <v>112</v>
      </c>
      <c r="BO22" s="687" t="s">
        <v>356</v>
      </c>
      <c r="BP22" s="687" t="e">
        <f t="shared" si="21"/>
        <v>#VALUE!</v>
      </c>
      <c r="BQ22" s="687"/>
      <c r="BR22" s="687"/>
      <c r="BS22" s="550" t="s">
        <v>2252</v>
      </c>
      <c r="BT22" s="550" t="s">
        <v>2252</v>
      </c>
      <c r="BU22" s="683"/>
      <c r="BV22" s="683"/>
      <c r="BW22" s="539" t="s">
        <v>1991</v>
      </c>
      <c r="BX22" s="671" t="s">
        <v>12</v>
      </c>
      <c r="BY22" s="686" t="str">
        <f>IF(OR($D22="",$D22=0),"",_xll.meLWOSwapCreateFromLegLVBs($E22&amp;LEFT($H22,LEN($H22)-2)&amp;"x"&amp;LEFT($K22,LEN($K22)-2)&amp;"_"&amp;$A22,_xll.meUtilityLVBFromKeysValues(Leg1Keys,$N22:$AR22),_xll.meUtilityLVBFromKeysValues(Leg2Keys,$AT22:$BW22),FALSE))</f>
        <v/>
      </c>
      <c r="BZ22" s="517" t="str">
        <f>IF(OR($D22="",$D22=0),"",_xll.meLWOSwapPV(BY22,Y22))</f>
        <v/>
      </c>
      <c r="CA22" s="685" t="str">
        <f>IF(OR($D22="",$D22=0),"",_xll.meLWOSwapParSpread($BY22,Y22))</f>
        <v/>
      </c>
      <c r="CB22" s="671" t="s">
        <v>12</v>
      </c>
      <c r="CC22" s="684"/>
      <c r="CD22" s="683"/>
      <c r="CE22" s="809"/>
      <c r="CF22" s="932" t="str">
        <f t="shared" si="24"/>
        <v/>
      </c>
    </row>
    <row r="23" spans="1:84">
      <c r="A23" s="203">
        <f t="shared" si="25"/>
        <v>18</v>
      </c>
      <c r="B23" s="812"/>
      <c r="C23" s="696" t="str">
        <f>IF(OR($B23="",$D23="",$D23=0),"",_xll.meDateFromTenor(COB,$B23,$AH23,$AI23))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1994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1992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7" t="str">
        <f t="shared" si="22"/>
        <v>MONTHLY</v>
      </c>
      <c r="X23" s="688">
        <f t="shared" si="6"/>
        <v>0</v>
      </c>
      <c r="Y23" s="687" t="str">
        <f t="shared" si="7"/>
        <v>YC</v>
      </c>
      <c r="Z23" s="687" t="str">
        <f t="shared" si="8"/>
        <v/>
      </c>
      <c r="AA23" s="687" t="str">
        <f t="shared" si="9"/>
        <v>OIS</v>
      </c>
      <c r="AB23" s="687" t="s">
        <v>3</v>
      </c>
      <c r="AC23" s="687" t="s">
        <v>38</v>
      </c>
      <c r="AD23" s="687" t="s">
        <v>112</v>
      </c>
      <c r="AE23" s="687" t="s">
        <v>38</v>
      </c>
      <c r="AF23" s="687" t="s">
        <v>112</v>
      </c>
      <c r="AG23" s="687" t="s">
        <v>356</v>
      </c>
      <c r="AH23" s="687" t="s">
        <v>38</v>
      </c>
      <c r="AI23" s="687" t="s">
        <v>112</v>
      </c>
      <c r="AJ23" s="687" t="s">
        <v>356</v>
      </c>
      <c r="AK23" s="687" t="e">
        <f t="shared" si="10"/>
        <v>#VALUE!</v>
      </c>
      <c r="AL23" s="687"/>
      <c r="AM23" s="687"/>
      <c r="AN23" s="550" t="s">
        <v>2252</v>
      </c>
      <c r="AO23" s="550" t="s">
        <v>2252</v>
      </c>
      <c r="AP23" s="683"/>
      <c r="AQ23" s="683"/>
      <c r="AR23" s="539" t="s">
        <v>1991</v>
      </c>
      <c r="AS23" s="807"/>
      <c r="AT23" s="686" t="s">
        <v>1993</v>
      </c>
      <c r="AU23" s="687">
        <f t="shared" si="11"/>
        <v>0</v>
      </c>
      <c r="AV23" s="689">
        <f t="shared" si="12"/>
        <v>0</v>
      </c>
      <c r="AW23" s="691">
        <f t="shared" si="13"/>
        <v>0</v>
      </c>
      <c r="AX23" s="687" t="s">
        <v>1992</v>
      </c>
      <c r="AY23" s="690">
        <v>1</v>
      </c>
      <c r="AZ23" s="689" t="str">
        <f t="shared" si="14"/>
        <v/>
      </c>
      <c r="BA23" s="689">
        <f t="shared" si="15"/>
        <v>0</v>
      </c>
      <c r="BB23" s="687" t="str">
        <f t="shared" si="16"/>
        <v>MONTHLY</v>
      </c>
      <c r="BC23" s="688">
        <f t="shared" si="17"/>
        <v>0</v>
      </c>
      <c r="BD23" s="687" t="str">
        <f t="shared" si="18"/>
        <v>YC</v>
      </c>
      <c r="BE23" s="687" t="str">
        <f t="shared" si="19"/>
        <v/>
      </c>
      <c r="BF23" s="687" t="str">
        <f t="shared" si="20"/>
        <v>OIS</v>
      </c>
      <c r="BG23" s="687" t="s">
        <v>3</v>
      </c>
      <c r="BH23" s="687" t="s">
        <v>38</v>
      </c>
      <c r="BI23" s="687" t="s">
        <v>112</v>
      </c>
      <c r="BJ23" s="687" t="s">
        <v>38</v>
      </c>
      <c r="BK23" s="687" t="s">
        <v>112</v>
      </c>
      <c r="BL23" s="687" t="s">
        <v>356</v>
      </c>
      <c r="BM23" s="687" t="s">
        <v>38</v>
      </c>
      <c r="BN23" s="687" t="s">
        <v>112</v>
      </c>
      <c r="BO23" s="687" t="s">
        <v>356</v>
      </c>
      <c r="BP23" s="687" t="e">
        <f t="shared" si="21"/>
        <v>#VALUE!</v>
      </c>
      <c r="BQ23" s="687"/>
      <c r="BR23" s="687"/>
      <c r="BS23" s="550" t="s">
        <v>2252</v>
      </c>
      <c r="BT23" s="550" t="s">
        <v>2252</v>
      </c>
      <c r="BU23" s="683"/>
      <c r="BV23" s="683"/>
      <c r="BW23" s="539" t="s">
        <v>1991</v>
      </c>
      <c r="BX23" s="671" t="s">
        <v>12</v>
      </c>
      <c r="BY23" s="686" t="str">
        <f>IF(OR($D23="",$D23=0),"",_xll.meLWOSwapCreateFromLegLVBs($E23&amp;LEFT($H23,LEN($H23)-2)&amp;"x"&amp;LEFT($K23,LEN($K23)-2)&amp;"_"&amp;$A23,_xll.meUtilityLVBFromKeysValues(Leg1Keys,$N23:$AR23),_xll.meUtilityLVBFromKeysValues(Leg2Keys,$AT23:$BW23),FALSE))</f>
        <v/>
      </c>
      <c r="BZ23" s="517" t="str">
        <f>IF(OR($D23="",$D23=0),"",_xll.meLWOSwapPV(BY23,Y23))</f>
        <v/>
      </c>
      <c r="CA23" s="685" t="str">
        <f>IF(OR($D23="",$D23=0),"",_xll.meLWOSwapParSpread($BY23,Y23))</f>
        <v/>
      </c>
      <c r="CB23" s="671" t="s">
        <v>12</v>
      </c>
      <c r="CC23" s="684"/>
      <c r="CD23" s="683"/>
      <c r="CE23" s="809"/>
      <c r="CF23" s="932" t="str">
        <f t="shared" si="24"/>
        <v/>
      </c>
    </row>
    <row r="24" spans="1:84">
      <c r="A24" s="203">
        <f t="shared" si="25"/>
        <v>19</v>
      </c>
      <c r="B24" s="812"/>
      <c r="C24" s="696" t="str">
        <f>IF(OR($B24="",$D24="",$D24=0),"",_xll.meDateFromTenor(COB,$B24,$AH24,$AI24))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1994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1992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7" t="str">
        <f t="shared" si="22"/>
        <v>MONTHLY</v>
      </c>
      <c r="X24" s="688">
        <f t="shared" si="6"/>
        <v>0</v>
      </c>
      <c r="Y24" s="687" t="str">
        <f t="shared" si="7"/>
        <v>YC</v>
      </c>
      <c r="Z24" s="687" t="str">
        <f t="shared" si="8"/>
        <v/>
      </c>
      <c r="AA24" s="687" t="str">
        <f t="shared" si="9"/>
        <v>OIS</v>
      </c>
      <c r="AB24" s="687" t="s">
        <v>3</v>
      </c>
      <c r="AC24" s="687" t="s">
        <v>38</v>
      </c>
      <c r="AD24" s="687" t="s">
        <v>112</v>
      </c>
      <c r="AE24" s="687" t="s">
        <v>38</v>
      </c>
      <c r="AF24" s="687" t="s">
        <v>112</v>
      </c>
      <c r="AG24" s="687" t="s">
        <v>356</v>
      </c>
      <c r="AH24" s="687" t="s">
        <v>38</v>
      </c>
      <c r="AI24" s="687" t="s">
        <v>112</v>
      </c>
      <c r="AJ24" s="687" t="s">
        <v>356</v>
      </c>
      <c r="AK24" s="687" t="e">
        <f t="shared" si="10"/>
        <v>#VALUE!</v>
      </c>
      <c r="AL24" s="687"/>
      <c r="AM24" s="687"/>
      <c r="AN24" s="550" t="s">
        <v>2252</v>
      </c>
      <c r="AO24" s="550" t="s">
        <v>2252</v>
      </c>
      <c r="AP24" s="683"/>
      <c r="AQ24" s="683"/>
      <c r="AR24" s="539" t="s">
        <v>1991</v>
      </c>
      <c r="AS24" s="807"/>
      <c r="AT24" s="686" t="s">
        <v>1993</v>
      </c>
      <c r="AU24" s="687">
        <f t="shared" si="11"/>
        <v>0</v>
      </c>
      <c r="AV24" s="689">
        <f t="shared" si="12"/>
        <v>0</v>
      </c>
      <c r="AW24" s="691">
        <f t="shared" si="13"/>
        <v>0</v>
      </c>
      <c r="AX24" s="687" t="s">
        <v>1992</v>
      </c>
      <c r="AY24" s="690">
        <v>1</v>
      </c>
      <c r="AZ24" s="689" t="str">
        <f t="shared" si="14"/>
        <v/>
      </c>
      <c r="BA24" s="689">
        <f t="shared" si="15"/>
        <v>0</v>
      </c>
      <c r="BB24" s="687" t="str">
        <f t="shared" si="16"/>
        <v>MONTHLY</v>
      </c>
      <c r="BC24" s="688">
        <f t="shared" si="17"/>
        <v>0</v>
      </c>
      <c r="BD24" s="687" t="str">
        <f t="shared" si="18"/>
        <v>YC</v>
      </c>
      <c r="BE24" s="687" t="str">
        <f t="shared" si="19"/>
        <v/>
      </c>
      <c r="BF24" s="687" t="str">
        <f t="shared" si="20"/>
        <v>OIS</v>
      </c>
      <c r="BG24" s="687" t="s">
        <v>3</v>
      </c>
      <c r="BH24" s="687" t="s">
        <v>38</v>
      </c>
      <c r="BI24" s="687" t="s">
        <v>112</v>
      </c>
      <c r="BJ24" s="687" t="s">
        <v>38</v>
      </c>
      <c r="BK24" s="687" t="s">
        <v>112</v>
      </c>
      <c r="BL24" s="687" t="s">
        <v>356</v>
      </c>
      <c r="BM24" s="687" t="s">
        <v>38</v>
      </c>
      <c r="BN24" s="687" t="s">
        <v>112</v>
      </c>
      <c r="BO24" s="687" t="s">
        <v>356</v>
      </c>
      <c r="BP24" s="687" t="e">
        <f t="shared" si="21"/>
        <v>#VALUE!</v>
      </c>
      <c r="BQ24" s="687"/>
      <c r="BR24" s="687"/>
      <c r="BS24" s="550" t="s">
        <v>2252</v>
      </c>
      <c r="BT24" s="550" t="s">
        <v>2252</v>
      </c>
      <c r="BU24" s="683"/>
      <c r="BV24" s="683"/>
      <c r="BW24" s="539" t="s">
        <v>1991</v>
      </c>
      <c r="BX24" s="671" t="s">
        <v>12</v>
      </c>
      <c r="BY24" s="686" t="str">
        <f>IF(OR($D24="",$D24=0),"",_xll.meLWOSwapCreateFromLegLVBs($E24&amp;LEFT($H24,LEN($H24)-2)&amp;"x"&amp;LEFT($K24,LEN($K24)-2)&amp;"_"&amp;$A24,_xll.meUtilityLVBFromKeysValues(Leg1Keys,$N24:$AR24),_xll.meUtilityLVBFromKeysValues(Leg2Keys,$AT24:$BW24),FALSE))</f>
        <v/>
      </c>
      <c r="BZ24" s="517" t="str">
        <f>IF(OR($D24="",$D24=0),"",_xll.meLWOSwapPV(BY24,Y24))</f>
        <v/>
      </c>
      <c r="CA24" s="685" t="str">
        <f>IF(OR($D24="",$D24=0),"",_xll.meLWOSwapParSpread($BY24,Y24))</f>
        <v/>
      </c>
      <c r="CB24" s="671" t="s">
        <v>12</v>
      </c>
      <c r="CC24" s="684"/>
      <c r="CD24" s="683"/>
      <c r="CE24" s="809"/>
      <c r="CF24" s="932" t="str">
        <f t="shared" si="24"/>
        <v/>
      </c>
    </row>
    <row r="25" spans="1:84">
      <c r="A25" s="203">
        <f t="shared" si="25"/>
        <v>20</v>
      </c>
      <c r="B25" s="813"/>
      <c r="C25" s="682" t="str">
        <f>IF(OR($B25="",$D25="",$D25=0),"",_xll.meDateFromTenor(COB,$B25,$AH25,$AI25))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1994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1992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2" t="str">
        <f t="shared" si="22"/>
        <v>MONTHLY</v>
      </c>
      <c r="X25" s="673">
        <f t="shared" si="6"/>
        <v>0</v>
      </c>
      <c r="Y25" s="672" t="str">
        <f t="shared" si="7"/>
        <v>YC</v>
      </c>
      <c r="Z25" s="672" t="str">
        <f t="shared" si="8"/>
        <v/>
      </c>
      <c r="AA25" s="672" t="str">
        <f t="shared" si="9"/>
        <v>OIS</v>
      </c>
      <c r="AB25" s="672" t="s">
        <v>3</v>
      </c>
      <c r="AC25" s="672" t="s">
        <v>38</v>
      </c>
      <c r="AD25" s="672" t="s">
        <v>112</v>
      </c>
      <c r="AE25" s="672" t="s">
        <v>38</v>
      </c>
      <c r="AF25" s="672" t="s">
        <v>112</v>
      </c>
      <c r="AG25" s="672" t="s">
        <v>356</v>
      </c>
      <c r="AH25" s="672" t="s">
        <v>38</v>
      </c>
      <c r="AI25" s="672" t="s">
        <v>112</v>
      </c>
      <c r="AJ25" s="672" t="s">
        <v>356</v>
      </c>
      <c r="AK25" s="672" t="e">
        <f t="shared" si="10"/>
        <v>#VALUE!</v>
      </c>
      <c r="AL25" s="672"/>
      <c r="AM25" s="672"/>
      <c r="AN25" s="557" t="s">
        <v>2252</v>
      </c>
      <c r="AO25" s="557" t="s">
        <v>2252</v>
      </c>
      <c r="AP25" s="667"/>
      <c r="AQ25" s="667"/>
      <c r="AR25" s="540" t="s">
        <v>1991</v>
      </c>
      <c r="AS25" s="807"/>
      <c r="AT25" s="670" t="s">
        <v>1993</v>
      </c>
      <c r="AU25" s="672">
        <f t="shared" si="11"/>
        <v>0</v>
      </c>
      <c r="AV25" s="674">
        <f t="shared" si="12"/>
        <v>0</v>
      </c>
      <c r="AW25" s="676">
        <f t="shared" si="13"/>
        <v>0</v>
      </c>
      <c r="AX25" s="672" t="s">
        <v>1992</v>
      </c>
      <c r="AY25" s="675">
        <v>1</v>
      </c>
      <c r="AZ25" s="674" t="str">
        <f t="shared" si="14"/>
        <v/>
      </c>
      <c r="BA25" s="674">
        <f t="shared" si="15"/>
        <v>0</v>
      </c>
      <c r="BB25" s="672" t="str">
        <f t="shared" si="16"/>
        <v>MONTHLY</v>
      </c>
      <c r="BC25" s="673">
        <f t="shared" si="17"/>
        <v>0</v>
      </c>
      <c r="BD25" s="672" t="str">
        <f t="shared" si="18"/>
        <v>YC</v>
      </c>
      <c r="BE25" s="672" t="str">
        <f t="shared" si="19"/>
        <v/>
      </c>
      <c r="BF25" s="672" t="str">
        <f t="shared" si="20"/>
        <v>OIS</v>
      </c>
      <c r="BG25" s="672" t="s">
        <v>3</v>
      </c>
      <c r="BH25" s="672" t="s">
        <v>38</v>
      </c>
      <c r="BI25" s="672" t="s">
        <v>112</v>
      </c>
      <c r="BJ25" s="672" t="s">
        <v>38</v>
      </c>
      <c r="BK25" s="672" t="s">
        <v>112</v>
      </c>
      <c r="BL25" s="672" t="s">
        <v>356</v>
      </c>
      <c r="BM25" s="672" t="s">
        <v>38</v>
      </c>
      <c r="BN25" s="672" t="s">
        <v>112</v>
      </c>
      <c r="BO25" s="672" t="s">
        <v>356</v>
      </c>
      <c r="BP25" s="672" t="e">
        <f t="shared" si="21"/>
        <v>#VALUE!</v>
      </c>
      <c r="BQ25" s="672"/>
      <c r="BR25" s="672"/>
      <c r="BS25" s="557" t="s">
        <v>2252</v>
      </c>
      <c r="BT25" s="557" t="s">
        <v>2252</v>
      </c>
      <c r="BU25" s="667"/>
      <c r="BV25" s="667"/>
      <c r="BW25" s="540" t="s">
        <v>1991</v>
      </c>
      <c r="BX25" s="671" t="s">
        <v>12</v>
      </c>
      <c r="BY25" s="670" t="str">
        <f>IF(OR($D25="",$D25=0),"",_xll.meLWOSwapCreateFromLegLVBs($E25&amp;LEFT($H25,LEN($H25)-2)&amp;"x"&amp;LEFT($K25,LEN($K25)-2)&amp;"_"&amp;$A25,_xll.meUtilityLVBFromKeysValues(Leg1Keys,$N25:$AR25),_xll.meUtilityLVBFromKeysValues(Leg2Keys,$AT25:$BW25),FALSE))</f>
        <v/>
      </c>
      <c r="BZ25" s="519" t="str">
        <f>IF(OR($D25="",$D25=0),"",_xll.meLWOSwapPV(BY25,Y25))</f>
        <v/>
      </c>
      <c r="CA25" s="669" t="str">
        <f>IF(OR($D25="",$D25=0),"",_xll.meLWOSwapParSpread($BY25,Y25))</f>
        <v/>
      </c>
      <c r="CB25" s="671" t="s">
        <v>12</v>
      </c>
      <c r="CC25" s="668"/>
      <c r="CD25" s="667"/>
      <c r="CE25" s="810"/>
      <c r="CF25" s="933" t="str">
        <f t="shared" si="24"/>
        <v/>
      </c>
    </row>
    <row r="26" spans="1:84">
      <c r="AN26" s="106" t="s">
        <v>12</v>
      </c>
      <c r="AO26" s="106" t="s">
        <v>12</v>
      </c>
      <c r="BS26" s="106" t="s">
        <v>12</v>
      </c>
      <c r="BT26" s="106" t="s">
        <v>12</v>
      </c>
    </row>
  </sheetData>
  <dataValidations disablePrompts="1" count="2">
    <dataValidation type="list" allowBlank="1" showInputMessage="1" showErrorMessage="1" sqref="K6:K25 H6:H25">
      <formula1>"12ML,6ML,3ML,1ML"</formula1>
    </dataValidation>
    <dataValidation type="list" allowBlank="1" showInputMessage="1" showErrorMessage="1" sqref="G6:G25 J6:J25">
      <formula1>"PAY,RECEIVE"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40" hidden="1" customWidth="1" outlineLevel="1"/>
    <col min="71" max="71" width="18.85546875" style="1240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7.42578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2093</v>
      </c>
    </row>
    <row r="2" spans="1:85">
      <c r="B2" s="234" t="s">
        <v>2028</v>
      </c>
      <c r="H2" s="732"/>
      <c r="CB2" s="234" t="s">
        <v>2081</v>
      </c>
    </row>
    <row r="3" spans="1:85">
      <c r="BZ3" s="731"/>
    </row>
    <row r="4" spans="1:85">
      <c r="B4" s="723" t="s">
        <v>2027</v>
      </c>
      <c r="C4" s="727"/>
      <c r="D4" s="727"/>
      <c r="E4" s="727"/>
      <c r="F4" s="727"/>
      <c r="G4" s="730" t="s">
        <v>2026</v>
      </c>
      <c r="H4" s="727"/>
      <c r="I4" s="729"/>
      <c r="J4" s="728" t="s">
        <v>2025</v>
      </c>
      <c r="K4" s="727"/>
      <c r="L4" s="726"/>
      <c r="M4" s="677"/>
      <c r="N4" s="724" t="s">
        <v>2024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2023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2022</v>
      </c>
      <c r="BY4" s="489"/>
      <c r="BZ4" s="492"/>
      <c r="CA4" s="671" t="s">
        <v>12</v>
      </c>
      <c r="CB4" s="721" t="s">
        <v>2020</v>
      </c>
      <c r="CC4" s="720"/>
      <c r="CD4" s="489"/>
      <c r="CE4" s="722" t="s">
        <v>2021</v>
      </c>
      <c r="CF4" s="3"/>
      <c r="CG4" s="3"/>
    </row>
    <row r="5" spans="1:85">
      <c r="B5" s="719" t="s">
        <v>1802</v>
      </c>
      <c r="C5" s="558" t="s">
        <v>1768</v>
      </c>
      <c r="D5" s="558" t="s">
        <v>354</v>
      </c>
      <c r="E5" s="558" t="s">
        <v>156</v>
      </c>
      <c r="F5" s="558" t="s">
        <v>2019</v>
      </c>
      <c r="G5" s="718" t="s">
        <v>2018</v>
      </c>
      <c r="H5" s="713" t="s">
        <v>1804</v>
      </c>
      <c r="I5" s="717" t="s">
        <v>1998</v>
      </c>
      <c r="J5" s="713" t="s">
        <v>2018</v>
      </c>
      <c r="K5" s="713" t="s">
        <v>1804</v>
      </c>
      <c r="L5" s="716" t="s">
        <v>1998</v>
      </c>
      <c r="M5" s="677"/>
      <c r="N5" s="574" t="s">
        <v>2017</v>
      </c>
      <c r="O5" s="714" t="s">
        <v>156</v>
      </c>
      <c r="P5" s="714" t="s">
        <v>1803</v>
      </c>
      <c r="Q5" s="714" t="s">
        <v>354</v>
      </c>
      <c r="R5" s="714" t="s">
        <v>2016</v>
      </c>
      <c r="S5" s="714" t="s">
        <v>2015</v>
      </c>
      <c r="T5" s="714" t="s">
        <v>1768</v>
      </c>
      <c r="U5" s="714" t="s">
        <v>1769</v>
      </c>
      <c r="V5" s="714" t="s">
        <v>1</v>
      </c>
      <c r="W5" s="714" t="s">
        <v>1784</v>
      </c>
      <c r="X5" s="714" t="s">
        <v>1770</v>
      </c>
      <c r="Y5" s="714" t="s">
        <v>1443</v>
      </c>
      <c r="Z5" s="714" t="s">
        <v>1444</v>
      </c>
      <c r="AA5" s="714" t="s">
        <v>120</v>
      </c>
      <c r="AB5" s="714" t="s">
        <v>2014</v>
      </c>
      <c r="AC5" s="714" t="s">
        <v>2013</v>
      </c>
      <c r="AD5" s="714" t="s">
        <v>2012</v>
      </c>
      <c r="AE5" s="714" t="s">
        <v>2011</v>
      </c>
      <c r="AF5" s="714" t="s">
        <v>2010</v>
      </c>
      <c r="AG5" s="714" t="s">
        <v>2009</v>
      </c>
      <c r="AH5" s="714" t="s">
        <v>2008</v>
      </c>
      <c r="AI5" s="714" t="s">
        <v>2007</v>
      </c>
      <c r="AJ5" s="714" t="s">
        <v>2006</v>
      </c>
      <c r="AK5" s="714" t="s">
        <v>2005</v>
      </c>
      <c r="AL5" s="714" t="s">
        <v>2004</v>
      </c>
      <c r="AM5" s="1247" t="s">
        <v>2250</v>
      </c>
      <c r="AN5" s="1247" t="s">
        <v>2251</v>
      </c>
      <c r="AO5" s="714" t="s">
        <v>2003</v>
      </c>
      <c r="AP5" s="714" t="s">
        <v>2002</v>
      </c>
      <c r="AQ5" s="715" t="s">
        <v>2001</v>
      </c>
      <c r="AS5" s="574" t="s">
        <v>2017</v>
      </c>
      <c r="AT5" s="714" t="s">
        <v>156</v>
      </c>
      <c r="AU5" s="714" t="s">
        <v>1803</v>
      </c>
      <c r="AV5" s="714" t="s">
        <v>354</v>
      </c>
      <c r="AW5" s="714" t="s">
        <v>2016</v>
      </c>
      <c r="AX5" s="714" t="s">
        <v>2015</v>
      </c>
      <c r="AY5" s="714" t="s">
        <v>1768</v>
      </c>
      <c r="AZ5" s="714" t="s">
        <v>1769</v>
      </c>
      <c r="BA5" s="714" t="s">
        <v>1</v>
      </c>
      <c r="BB5" s="714" t="s">
        <v>1784</v>
      </c>
      <c r="BC5" s="714" t="s">
        <v>1770</v>
      </c>
      <c r="BD5" s="714" t="s">
        <v>1443</v>
      </c>
      <c r="BE5" s="714" t="s">
        <v>1444</v>
      </c>
      <c r="BF5" s="714" t="s">
        <v>120</v>
      </c>
      <c r="BG5" s="714" t="s">
        <v>2014</v>
      </c>
      <c r="BH5" s="714" t="s">
        <v>2013</v>
      </c>
      <c r="BI5" s="714" t="s">
        <v>2012</v>
      </c>
      <c r="BJ5" s="714" t="s">
        <v>2011</v>
      </c>
      <c r="BK5" s="714" t="s">
        <v>2010</v>
      </c>
      <c r="BL5" s="714" t="s">
        <v>2009</v>
      </c>
      <c r="BM5" s="714" t="s">
        <v>2008</v>
      </c>
      <c r="BN5" s="714" t="s">
        <v>2007</v>
      </c>
      <c r="BO5" s="714" t="s">
        <v>2006</v>
      </c>
      <c r="BP5" s="714" t="s">
        <v>2005</v>
      </c>
      <c r="BQ5" s="714" t="s">
        <v>2004</v>
      </c>
      <c r="BR5" s="1247" t="s">
        <v>2250</v>
      </c>
      <c r="BS5" s="1247" t="s">
        <v>2251</v>
      </c>
      <c r="BT5" s="714" t="s">
        <v>2003</v>
      </c>
      <c r="BU5" s="714" t="s">
        <v>2002</v>
      </c>
      <c r="BV5" s="714" t="s">
        <v>2001</v>
      </c>
      <c r="BW5" s="671" t="s">
        <v>12</v>
      </c>
      <c r="BX5" s="806" t="s">
        <v>2000</v>
      </c>
      <c r="BY5" s="713" t="s">
        <v>1445</v>
      </c>
      <c r="BZ5" s="716" t="s">
        <v>2242</v>
      </c>
      <c r="CA5" s="671" t="s">
        <v>12</v>
      </c>
      <c r="CB5" s="555" t="s">
        <v>74</v>
      </c>
      <c r="CC5" s="711" t="s">
        <v>73</v>
      </c>
      <c r="CD5" s="558" t="s">
        <v>1998</v>
      </c>
      <c r="CE5" s="712" t="s">
        <v>1999</v>
      </c>
      <c r="CF5" s="677" t="s">
        <v>12</v>
      </c>
      <c r="CG5" s="3"/>
    </row>
    <row r="6" spans="1:85">
      <c r="A6" s="203">
        <v>1</v>
      </c>
      <c r="B6" s="811" t="s">
        <v>356</v>
      </c>
      <c r="C6" s="710">
        <f ca="1">IF(OR($B6="",$D6="",$D6=0),"",_xll.meDateFromTenor(COB,$B6,$AG6,$AH6))</f>
        <v>43224</v>
      </c>
      <c r="D6" s="814">
        <v>1000000</v>
      </c>
      <c r="E6" s="815" t="s">
        <v>187</v>
      </c>
      <c r="F6" s="707" t="s">
        <v>154</v>
      </c>
      <c r="G6" s="709" t="s">
        <v>1995</v>
      </c>
      <c r="H6" s="820" t="s">
        <v>316</v>
      </c>
      <c r="I6" s="708">
        <v>0</v>
      </c>
      <c r="J6" s="707" t="s">
        <v>1997</v>
      </c>
      <c r="K6" s="820" t="s">
        <v>355</v>
      </c>
      <c r="L6" s="706">
        <v>0</v>
      </c>
      <c r="M6" s="677"/>
      <c r="N6" s="699" t="s">
        <v>1994</v>
      </c>
      <c r="O6" s="701" t="str">
        <f t="shared" ref="O6:O25" si="0">$E6</f>
        <v>GBP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1992</v>
      </c>
      <c r="S6" s="704">
        <v>1</v>
      </c>
      <c r="T6" s="703">
        <f t="shared" ref="T6:T25" ca="1" si="3">$C6</f>
        <v>43224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GBPYC</v>
      </c>
      <c r="Y6" s="701" t="str">
        <f t="shared" ref="Y6:Y25" si="8">$E6&amp;$H6</f>
        <v>GBP3ML</v>
      </c>
      <c r="Z6" s="701" t="str">
        <f t="shared" ref="Z6:Z25" si="9">$E6&amp;"OIS"</f>
        <v>GBPOIS</v>
      </c>
      <c r="AA6" s="701" t="s">
        <v>186</v>
      </c>
      <c r="AB6" s="701" t="s">
        <v>38</v>
      </c>
      <c r="AC6" s="701" t="s">
        <v>185</v>
      </c>
      <c r="AD6" s="701" t="s">
        <v>38</v>
      </c>
      <c r="AE6" s="701" t="s">
        <v>185</v>
      </c>
      <c r="AF6" s="701" t="s">
        <v>356</v>
      </c>
      <c r="AG6" s="701" t="s">
        <v>38</v>
      </c>
      <c r="AH6" s="701" t="s">
        <v>185</v>
      </c>
      <c r="AI6" s="701" t="s">
        <v>356</v>
      </c>
      <c r="AJ6" s="701">
        <f t="shared" ref="AJ6:AJ25" ca="1" si="10">DAY($C6)</f>
        <v>4</v>
      </c>
      <c r="AK6" s="701"/>
      <c r="AL6" s="701"/>
      <c r="AM6" s="550" t="s">
        <v>2252</v>
      </c>
      <c r="AN6" s="550" t="s">
        <v>2252</v>
      </c>
      <c r="AO6" s="701"/>
      <c r="AP6" s="701"/>
      <c r="AQ6" s="700" t="s">
        <v>1991</v>
      </c>
      <c r="AS6" s="699" t="s">
        <v>1993</v>
      </c>
      <c r="AT6" s="701" t="str">
        <f t="shared" ref="AT6:AT25" si="11">$E6</f>
        <v>GBP</v>
      </c>
      <c r="AU6" s="703" t="str">
        <f t="shared" ref="AU6:AU25" si="12">$J6</f>
        <v>RECEIVE</v>
      </c>
      <c r="AV6" s="705">
        <f t="shared" ref="AV6:AV25" si="13">$D6</f>
        <v>1000000</v>
      </c>
      <c r="AW6" s="701" t="s">
        <v>1992</v>
      </c>
      <c r="AX6" s="704">
        <v>1</v>
      </c>
      <c r="AY6" s="703">
        <f t="shared" ref="AY6:AY25" ca="1" si="14">$C6</f>
        <v>43224</v>
      </c>
      <c r="AZ6" s="703" t="str">
        <f t="shared" ref="AZ6:AZ25" si="15">F6</f>
        <v>1Y</v>
      </c>
      <c r="BA6" s="701" t="str">
        <f t="shared" ref="BA6:BA25" si="16">IF($K6="12ML","ANNUAL",IF($K6="6ML","SEMI-ANNUAL",IF($K6="3ML","QUARTERLY","MONTHLY")))</f>
        <v>SEMI-ANNUAL</v>
      </c>
      <c r="BB6" s="702">
        <f t="shared" ref="BB6:BB25" si="17">$L6</f>
        <v>0</v>
      </c>
      <c r="BC6" s="701" t="str">
        <f t="shared" ref="BC6:BC25" si="18">$E6&amp;"YC"</f>
        <v>GBPYC</v>
      </c>
      <c r="BD6" s="701" t="str">
        <f t="shared" ref="BD6:BD25" si="19">$E6&amp;$K6</f>
        <v>GBP6ML</v>
      </c>
      <c r="BE6" s="701" t="str">
        <f t="shared" ref="BE6:BE25" si="20">$E6&amp;"OIS"</f>
        <v>GBPOIS</v>
      </c>
      <c r="BF6" s="701" t="s">
        <v>186</v>
      </c>
      <c r="BG6" s="701" t="s">
        <v>38</v>
      </c>
      <c r="BH6" s="701" t="s">
        <v>185</v>
      </c>
      <c r="BI6" s="701" t="s">
        <v>38</v>
      </c>
      <c r="BJ6" s="701" t="s">
        <v>185</v>
      </c>
      <c r="BK6" s="701" t="s">
        <v>356</v>
      </c>
      <c r="BL6" s="701" t="s">
        <v>38</v>
      </c>
      <c r="BM6" s="701" t="s">
        <v>185</v>
      </c>
      <c r="BN6" s="701" t="s">
        <v>356</v>
      </c>
      <c r="BO6" s="701">
        <f t="shared" ref="BO6:BO25" ca="1" si="21">DAY($C6)</f>
        <v>4</v>
      </c>
      <c r="BP6" s="701"/>
      <c r="BQ6" s="701"/>
      <c r="BR6" s="550" t="s">
        <v>2252</v>
      </c>
      <c r="BS6" s="550" t="s">
        <v>2252</v>
      </c>
      <c r="BT6" s="701"/>
      <c r="BU6" s="701"/>
      <c r="BV6" s="700" t="s">
        <v>1991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GBP3X6_1@65:0</v>
      </c>
      <c r="BY6" s="598" t="str">
        <f ca="1">IF(OR($D6="",$D6=0),"",_xll.meLWOSwapPV(BX6,X6))</f>
        <v>[2018/05/04 09:52] #Error: Invalid Curve: CurveIndex 'GBP3ML' in collection GBPYC does not exist</v>
      </c>
      <c r="BZ6" s="698" t="str">
        <f ca="1">IF(OR($D6="",$D6=0),"",_xll.meLWOSwapParSpread($BX6,X6))</f>
        <v>[2018/05/04 09:52] #Error: Invalid Curve: CurveIndex 'GBP3ML' in collection GBPYC does not exist</v>
      </c>
      <c r="CA6" s="671" t="s">
        <v>12</v>
      </c>
      <c r="CB6" s="599" t="str">
        <f>'GBP Curve Config'!BJ9</f>
        <v>1Y</v>
      </c>
      <c r="CC6" s="697">
        <f>'GBP Curve Config'!BK9</f>
        <v>5.5999999999999995E-4</v>
      </c>
      <c r="CD6" s="808">
        <f>CC6*10000</f>
        <v>5.6</v>
      </c>
      <c r="CE6" s="931" t="e">
        <f t="shared" ref="CE6:CE20" ca="1" si="22">IF(OR(ISNA(VLOOKUP($CB6,$F$6:$BZ$25,73,FALSE)),$CB6=""),"",IF(VLOOKUP($CB6,$F$6:$BZ$25,73,FALSE)="","",VLOOKUP($CB6,$F$6:$BZ$25,73,FALSE)-$CD6))</f>
        <v>#VALUE!</v>
      </c>
      <c r="CF6" s="677" t="s">
        <v>12</v>
      </c>
      <c r="CG6" s="3"/>
    </row>
    <row r="7" spans="1:85">
      <c r="A7" s="203">
        <f>A6+1</f>
        <v>2</v>
      </c>
      <c r="B7" s="812" t="s">
        <v>356</v>
      </c>
      <c r="C7" s="696">
        <f ca="1">IF(OR($B7="",$D7="",$D7=0),"",_xll.meDateFromTenor(COB,$B7,$AG7,$AH7))</f>
        <v>43224</v>
      </c>
      <c r="D7" s="816">
        <v>1000000</v>
      </c>
      <c r="E7" s="817" t="s">
        <v>187</v>
      </c>
      <c r="F7" s="693" t="s">
        <v>40</v>
      </c>
      <c r="G7" s="695" t="s">
        <v>1995</v>
      </c>
      <c r="H7" s="821" t="s">
        <v>316</v>
      </c>
      <c r="I7" s="694">
        <v>0</v>
      </c>
      <c r="J7" s="693" t="s">
        <v>1997</v>
      </c>
      <c r="K7" s="821" t="s">
        <v>355</v>
      </c>
      <c r="L7" s="692">
        <v>0</v>
      </c>
      <c r="M7" s="677"/>
      <c r="N7" s="686" t="s">
        <v>1994</v>
      </c>
      <c r="O7" s="687" t="str">
        <f t="shared" si="0"/>
        <v>GBP</v>
      </c>
      <c r="P7" s="689" t="str">
        <f t="shared" si="1"/>
        <v>PAY</v>
      </c>
      <c r="Q7" s="691">
        <f t="shared" si="2"/>
        <v>1000000</v>
      </c>
      <c r="R7" s="687" t="s">
        <v>1992</v>
      </c>
      <c r="S7" s="690">
        <v>1</v>
      </c>
      <c r="T7" s="689">
        <f t="shared" ca="1" si="3"/>
        <v>43224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GBPYC</v>
      </c>
      <c r="Y7" s="687" t="str">
        <f t="shared" si="8"/>
        <v>GBP3ML</v>
      </c>
      <c r="Z7" s="687" t="str">
        <f t="shared" si="9"/>
        <v>GBPOIS</v>
      </c>
      <c r="AA7" s="687" t="s">
        <v>186</v>
      </c>
      <c r="AB7" s="687" t="s">
        <v>38</v>
      </c>
      <c r="AC7" s="687" t="s">
        <v>185</v>
      </c>
      <c r="AD7" s="687" t="s">
        <v>38</v>
      </c>
      <c r="AE7" s="687" t="s">
        <v>185</v>
      </c>
      <c r="AF7" s="687" t="s">
        <v>356</v>
      </c>
      <c r="AG7" s="687" t="s">
        <v>38</v>
      </c>
      <c r="AH7" s="687" t="s">
        <v>185</v>
      </c>
      <c r="AI7" s="687" t="s">
        <v>356</v>
      </c>
      <c r="AJ7" s="687">
        <f t="shared" ca="1" si="10"/>
        <v>4</v>
      </c>
      <c r="AK7" s="687"/>
      <c r="AL7" s="687"/>
      <c r="AM7" s="550" t="s">
        <v>2252</v>
      </c>
      <c r="AN7" s="550" t="s">
        <v>2252</v>
      </c>
      <c r="AO7" s="687"/>
      <c r="AP7" s="687"/>
      <c r="AQ7" s="539" t="s">
        <v>1991</v>
      </c>
      <c r="AS7" s="686" t="s">
        <v>1993</v>
      </c>
      <c r="AT7" s="687" t="str">
        <f t="shared" si="11"/>
        <v>GBP</v>
      </c>
      <c r="AU7" s="689" t="str">
        <f t="shared" si="12"/>
        <v>RECEIVE</v>
      </c>
      <c r="AV7" s="691">
        <f t="shared" si="13"/>
        <v>1000000</v>
      </c>
      <c r="AW7" s="687" t="s">
        <v>1992</v>
      </c>
      <c r="AX7" s="690">
        <v>1</v>
      </c>
      <c r="AY7" s="689">
        <f t="shared" ca="1" si="14"/>
        <v>43224</v>
      </c>
      <c r="AZ7" s="689" t="str">
        <f t="shared" si="15"/>
        <v>2Y</v>
      </c>
      <c r="BA7" s="687" t="str">
        <f t="shared" si="16"/>
        <v>SEMI-ANNUAL</v>
      </c>
      <c r="BB7" s="688">
        <f t="shared" si="17"/>
        <v>0</v>
      </c>
      <c r="BC7" s="687" t="str">
        <f t="shared" si="18"/>
        <v>GBPYC</v>
      </c>
      <c r="BD7" s="687" t="str">
        <f t="shared" si="19"/>
        <v>GBP6ML</v>
      </c>
      <c r="BE7" s="687" t="str">
        <f t="shared" si="20"/>
        <v>GBPOIS</v>
      </c>
      <c r="BF7" s="687" t="s">
        <v>186</v>
      </c>
      <c r="BG7" s="687" t="s">
        <v>38</v>
      </c>
      <c r="BH7" s="687" t="s">
        <v>185</v>
      </c>
      <c r="BI7" s="687" t="s">
        <v>38</v>
      </c>
      <c r="BJ7" s="687" t="s">
        <v>185</v>
      </c>
      <c r="BK7" s="687" t="s">
        <v>356</v>
      </c>
      <c r="BL7" s="687" t="s">
        <v>38</v>
      </c>
      <c r="BM7" s="687" t="s">
        <v>185</v>
      </c>
      <c r="BN7" s="687" t="s">
        <v>356</v>
      </c>
      <c r="BO7" s="687">
        <f t="shared" ca="1" si="21"/>
        <v>4</v>
      </c>
      <c r="BP7" s="687"/>
      <c r="BQ7" s="687"/>
      <c r="BR7" s="550" t="s">
        <v>2252</v>
      </c>
      <c r="BS7" s="550" t="s">
        <v>2252</v>
      </c>
      <c r="BT7" s="687"/>
      <c r="BU7" s="687"/>
      <c r="BV7" s="539" t="s">
        <v>1991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GBP3X6_2@63:0</v>
      </c>
      <c r="BY7" s="517" t="str">
        <f ca="1">IF(OR($D7="",$D7=0),"",_xll.meLWOSwapPV(BX7,X7))</f>
        <v>[2018/05/04 09:52] #Error: Invalid Curve: CurveIndex 'GBP3ML' in collection GBPYC does not exist</v>
      </c>
      <c r="BZ7" s="685" t="str">
        <f ca="1">IF(OR($D7="",$D7=0),"",_xll.meLWOSwapParSpread($BX7,X7))</f>
        <v>[2018/05/04 09:52] #Error: Invalid Curve: CurveIndex 'GBP3ML' in collection GBPYC does not exist</v>
      </c>
      <c r="CA7" s="671" t="s">
        <v>12</v>
      </c>
      <c r="CB7" s="684" t="str">
        <f>'GBP Curve Config'!BJ10</f>
        <v>2Y</v>
      </c>
      <c r="CC7" s="683">
        <f>'GBP Curve Config'!BK10</f>
        <v>5.5999999999999995E-4</v>
      </c>
      <c r="CD7" s="809">
        <f t="shared" ref="CD7:CD21" si="23">CC7*10000</f>
        <v>5.6</v>
      </c>
      <c r="CE7" s="932" t="e">
        <f t="shared" ca="1" si="22"/>
        <v>#VALUE!</v>
      </c>
      <c r="CF7" s="677" t="s">
        <v>12</v>
      </c>
      <c r="CG7" s="3"/>
    </row>
    <row r="8" spans="1:85">
      <c r="A8" s="203">
        <f t="shared" ref="A8:A25" si="24">A7+1</f>
        <v>3</v>
      </c>
      <c r="B8" s="812" t="s">
        <v>356</v>
      </c>
      <c r="C8" s="696">
        <f ca="1">IF(OR($B8="",$D8="",$D8=0),"",_xll.meDateFromTenor(COB,$B8,$AG8,$AH8))</f>
        <v>43224</v>
      </c>
      <c r="D8" s="816">
        <v>1000000</v>
      </c>
      <c r="E8" s="817" t="s">
        <v>187</v>
      </c>
      <c r="F8" s="693" t="s">
        <v>37</v>
      </c>
      <c r="G8" s="695" t="s">
        <v>1995</v>
      </c>
      <c r="H8" s="821" t="s">
        <v>316</v>
      </c>
      <c r="I8" s="694">
        <v>0</v>
      </c>
      <c r="J8" s="693" t="s">
        <v>1997</v>
      </c>
      <c r="K8" s="821" t="s">
        <v>355</v>
      </c>
      <c r="L8" s="692">
        <v>0</v>
      </c>
      <c r="M8" s="677"/>
      <c r="N8" s="686" t="s">
        <v>1994</v>
      </c>
      <c r="O8" s="687" t="str">
        <f t="shared" si="0"/>
        <v>GBP</v>
      </c>
      <c r="P8" s="689" t="str">
        <f t="shared" si="1"/>
        <v>PAY</v>
      </c>
      <c r="Q8" s="691">
        <f t="shared" si="2"/>
        <v>1000000</v>
      </c>
      <c r="R8" s="687" t="s">
        <v>1992</v>
      </c>
      <c r="S8" s="690">
        <v>1</v>
      </c>
      <c r="T8" s="689">
        <f t="shared" ca="1" si="3"/>
        <v>43224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GBPYC</v>
      </c>
      <c r="Y8" s="687" t="str">
        <f t="shared" si="8"/>
        <v>GBP3ML</v>
      </c>
      <c r="Z8" s="687" t="str">
        <f t="shared" si="9"/>
        <v>GBPOIS</v>
      </c>
      <c r="AA8" s="687" t="s">
        <v>186</v>
      </c>
      <c r="AB8" s="687" t="s">
        <v>38</v>
      </c>
      <c r="AC8" s="687" t="s">
        <v>185</v>
      </c>
      <c r="AD8" s="687" t="s">
        <v>38</v>
      </c>
      <c r="AE8" s="687" t="s">
        <v>185</v>
      </c>
      <c r="AF8" s="687" t="s">
        <v>356</v>
      </c>
      <c r="AG8" s="687" t="s">
        <v>38</v>
      </c>
      <c r="AH8" s="687" t="s">
        <v>185</v>
      </c>
      <c r="AI8" s="687" t="s">
        <v>356</v>
      </c>
      <c r="AJ8" s="687">
        <f t="shared" ca="1" si="10"/>
        <v>4</v>
      </c>
      <c r="AK8" s="687"/>
      <c r="AL8" s="687"/>
      <c r="AM8" s="550" t="s">
        <v>2252</v>
      </c>
      <c r="AN8" s="550" t="s">
        <v>2252</v>
      </c>
      <c r="AO8" s="687"/>
      <c r="AP8" s="687"/>
      <c r="AQ8" s="539" t="s">
        <v>1991</v>
      </c>
      <c r="AS8" s="686" t="s">
        <v>1993</v>
      </c>
      <c r="AT8" s="687" t="str">
        <f t="shared" si="11"/>
        <v>GBP</v>
      </c>
      <c r="AU8" s="689" t="str">
        <f t="shared" si="12"/>
        <v>RECEIVE</v>
      </c>
      <c r="AV8" s="691">
        <f t="shared" si="13"/>
        <v>1000000</v>
      </c>
      <c r="AW8" s="687" t="s">
        <v>1992</v>
      </c>
      <c r="AX8" s="690">
        <v>1</v>
      </c>
      <c r="AY8" s="689">
        <f t="shared" ca="1" si="14"/>
        <v>43224</v>
      </c>
      <c r="AZ8" s="689" t="str">
        <f t="shared" si="15"/>
        <v>3Y</v>
      </c>
      <c r="BA8" s="687" t="str">
        <f t="shared" si="16"/>
        <v>SEMI-ANNUAL</v>
      </c>
      <c r="BB8" s="688">
        <f t="shared" si="17"/>
        <v>0</v>
      </c>
      <c r="BC8" s="687" t="str">
        <f t="shared" si="18"/>
        <v>GBPYC</v>
      </c>
      <c r="BD8" s="687" t="str">
        <f t="shared" si="19"/>
        <v>GBP6ML</v>
      </c>
      <c r="BE8" s="687" t="str">
        <f t="shared" si="20"/>
        <v>GBPOIS</v>
      </c>
      <c r="BF8" s="687" t="s">
        <v>186</v>
      </c>
      <c r="BG8" s="687" t="s">
        <v>38</v>
      </c>
      <c r="BH8" s="687" t="s">
        <v>185</v>
      </c>
      <c r="BI8" s="687" t="s">
        <v>38</v>
      </c>
      <c r="BJ8" s="687" t="s">
        <v>185</v>
      </c>
      <c r="BK8" s="687" t="s">
        <v>356</v>
      </c>
      <c r="BL8" s="687" t="s">
        <v>38</v>
      </c>
      <c r="BM8" s="687" t="s">
        <v>185</v>
      </c>
      <c r="BN8" s="687" t="s">
        <v>356</v>
      </c>
      <c r="BO8" s="687">
        <f t="shared" ca="1" si="21"/>
        <v>4</v>
      </c>
      <c r="BP8" s="687"/>
      <c r="BQ8" s="687"/>
      <c r="BR8" s="550" t="s">
        <v>2252</v>
      </c>
      <c r="BS8" s="550" t="s">
        <v>2252</v>
      </c>
      <c r="BT8" s="687"/>
      <c r="BU8" s="687"/>
      <c r="BV8" s="539" t="s">
        <v>1991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GBP3X6_3@72:0</v>
      </c>
      <c r="BY8" s="517" t="str">
        <f ca="1">IF(OR($D8="",$D8=0),"",_xll.meLWOSwapPV(BX8,X8))</f>
        <v>[2018/05/04 09:52] #Error: Invalid Curve: CurveIndex 'GBP3ML' in collection GBPYC does not exist</v>
      </c>
      <c r="BZ8" s="685" t="str">
        <f ca="1">IF(OR($D8="",$D8=0),"",_xll.meLWOSwapParSpread($BX8,X8))</f>
        <v>[2018/05/04 09:52] #Error: Invalid Curve: CurveIndex 'GBP3ML' in collection GBPYC does not exist</v>
      </c>
      <c r="CA8" s="671" t="s">
        <v>12</v>
      </c>
      <c r="CB8" s="684" t="str">
        <f>'GBP Curve Config'!BJ11</f>
        <v>3Y</v>
      </c>
      <c r="CC8" s="683">
        <f>'GBP Curve Config'!BK11</f>
        <v>6.3000000000000003E-4</v>
      </c>
      <c r="CD8" s="809">
        <f t="shared" si="23"/>
        <v>6.3</v>
      </c>
      <c r="CE8" s="932" t="e">
        <f t="shared" ca="1" si="22"/>
        <v>#VALUE!</v>
      </c>
      <c r="CF8" s="677" t="s">
        <v>12</v>
      </c>
      <c r="CG8" s="3"/>
    </row>
    <row r="9" spans="1:85">
      <c r="A9" s="203">
        <f t="shared" si="24"/>
        <v>4</v>
      </c>
      <c r="B9" s="812" t="s">
        <v>356</v>
      </c>
      <c r="C9" s="696">
        <f ca="1">IF(OR($B9="",$D9="",$D9=0),"",_xll.meDateFromTenor(COB,$B9,$AG9,$AH9))</f>
        <v>43224</v>
      </c>
      <c r="D9" s="816">
        <v>1000000</v>
      </c>
      <c r="E9" s="817" t="s">
        <v>187</v>
      </c>
      <c r="F9" s="693" t="s">
        <v>33</v>
      </c>
      <c r="G9" s="695" t="s">
        <v>1995</v>
      </c>
      <c r="H9" s="821" t="s">
        <v>316</v>
      </c>
      <c r="I9" s="694">
        <v>0</v>
      </c>
      <c r="J9" s="693" t="s">
        <v>1997</v>
      </c>
      <c r="K9" s="821" t="s">
        <v>355</v>
      </c>
      <c r="L9" s="692">
        <v>0</v>
      </c>
      <c r="M9" s="677"/>
      <c r="N9" s="686" t="s">
        <v>1994</v>
      </c>
      <c r="O9" s="687" t="str">
        <f t="shared" si="0"/>
        <v>GBP</v>
      </c>
      <c r="P9" s="689" t="str">
        <f t="shared" si="1"/>
        <v>PAY</v>
      </c>
      <c r="Q9" s="691">
        <f t="shared" si="2"/>
        <v>1000000</v>
      </c>
      <c r="R9" s="687" t="s">
        <v>1992</v>
      </c>
      <c r="S9" s="690">
        <v>1</v>
      </c>
      <c r="T9" s="689">
        <f t="shared" ca="1" si="3"/>
        <v>43224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GBPYC</v>
      </c>
      <c r="Y9" s="687" t="str">
        <f t="shared" si="8"/>
        <v>GBP3ML</v>
      </c>
      <c r="Z9" s="687" t="str">
        <f t="shared" si="9"/>
        <v>GBPOIS</v>
      </c>
      <c r="AA9" s="687" t="s">
        <v>186</v>
      </c>
      <c r="AB9" s="687" t="s">
        <v>38</v>
      </c>
      <c r="AC9" s="687" t="s">
        <v>185</v>
      </c>
      <c r="AD9" s="687" t="s">
        <v>38</v>
      </c>
      <c r="AE9" s="687" t="s">
        <v>185</v>
      </c>
      <c r="AF9" s="687" t="s">
        <v>356</v>
      </c>
      <c r="AG9" s="687" t="s">
        <v>38</v>
      </c>
      <c r="AH9" s="687" t="s">
        <v>185</v>
      </c>
      <c r="AI9" s="687" t="s">
        <v>356</v>
      </c>
      <c r="AJ9" s="687">
        <f t="shared" ca="1" si="10"/>
        <v>4</v>
      </c>
      <c r="AK9" s="687"/>
      <c r="AL9" s="687"/>
      <c r="AM9" s="550" t="s">
        <v>2252</v>
      </c>
      <c r="AN9" s="550" t="s">
        <v>2252</v>
      </c>
      <c r="AO9" s="687"/>
      <c r="AP9" s="687"/>
      <c r="AQ9" s="539" t="s">
        <v>1991</v>
      </c>
      <c r="AS9" s="686" t="s">
        <v>1993</v>
      </c>
      <c r="AT9" s="687" t="str">
        <f t="shared" si="11"/>
        <v>GBP</v>
      </c>
      <c r="AU9" s="689" t="str">
        <f t="shared" si="12"/>
        <v>RECEIVE</v>
      </c>
      <c r="AV9" s="691">
        <f t="shared" si="13"/>
        <v>1000000</v>
      </c>
      <c r="AW9" s="687" t="s">
        <v>1992</v>
      </c>
      <c r="AX9" s="690">
        <v>1</v>
      </c>
      <c r="AY9" s="689">
        <f t="shared" ca="1" si="14"/>
        <v>43224</v>
      </c>
      <c r="AZ9" s="689" t="str">
        <f t="shared" si="15"/>
        <v>4Y</v>
      </c>
      <c r="BA9" s="687" t="str">
        <f t="shared" si="16"/>
        <v>SEMI-ANNUAL</v>
      </c>
      <c r="BB9" s="688">
        <f t="shared" si="17"/>
        <v>0</v>
      </c>
      <c r="BC9" s="687" t="str">
        <f t="shared" si="18"/>
        <v>GBPYC</v>
      </c>
      <c r="BD9" s="687" t="str">
        <f t="shared" si="19"/>
        <v>GBP6ML</v>
      </c>
      <c r="BE9" s="687" t="str">
        <f t="shared" si="20"/>
        <v>GBPOIS</v>
      </c>
      <c r="BF9" s="687" t="s">
        <v>186</v>
      </c>
      <c r="BG9" s="687" t="s">
        <v>38</v>
      </c>
      <c r="BH9" s="687" t="s">
        <v>185</v>
      </c>
      <c r="BI9" s="687" t="s">
        <v>38</v>
      </c>
      <c r="BJ9" s="687" t="s">
        <v>185</v>
      </c>
      <c r="BK9" s="687" t="s">
        <v>356</v>
      </c>
      <c r="BL9" s="687" t="s">
        <v>38</v>
      </c>
      <c r="BM9" s="687" t="s">
        <v>185</v>
      </c>
      <c r="BN9" s="687" t="s">
        <v>356</v>
      </c>
      <c r="BO9" s="687">
        <f t="shared" ca="1" si="21"/>
        <v>4</v>
      </c>
      <c r="BP9" s="687"/>
      <c r="BQ9" s="687"/>
      <c r="BR9" s="550" t="s">
        <v>2252</v>
      </c>
      <c r="BS9" s="550" t="s">
        <v>2252</v>
      </c>
      <c r="BT9" s="687"/>
      <c r="BU9" s="687"/>
      <c r="BV9" s="539" t="s">
        <v>1991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GBP3X6_4@128:0</v>
      </c>
      <c r="BY9" s="517" t="str">
        <f ca="1">IF(OR($D9="",$D9=0),"",_xll.meLWOSwapPV(BX9,X9))</f>
        <v>[2018/05/04 09:52] #Error: Invalid Curve: CurveIndex 'GBP3ML' in collection GBPYC does not exist</v>
      </c>
      <c r="BZ9" s="685" t="str">
        <f ca="1">IF(OR($D9="",$D9=0),"",_xll.meLWOSwapParSpread($BX9,X9))</f>
        <v>[2018/05/04 09:52] #Error: Invalid Curve: CurveIndex 'GBP3ML' in collection GBPYC does not exist</v>
      </c>
      <c r="CA9" s="671" t="s">
        <v>12</v>
      </c>
      <c r="CB9" s="684" t="str">
        <f>'GBP Curve Config'!BJ12</f>
        <v>4Y</v>
      </c>
      <c r="CC9" s="683">
        <f>'GBP Curve Config'!BK12</f>
        <v>6.9999999999999999E-4</v>
      </c>
      <c r="CD9" s="809">
        <f t="shared" si="23"/>
        <v>7</v>
      </c>
      <c r="CE9" s="932" t="e">
        <f t="shared" ca="1" si="22"/>
        <v>#VALUE!</v>
      </c>
      <c r="CF9" s="677" t="s">
        <v>12</v>
      </c>
      <c r="CG9" s="3"/>
    </row>
    <row r="10" spans="1:85">
      <c r="A10" s="203">
        <f t="shared" si="24"/>
        <v>5</v>
      </c>
      <c r="B10" s="812" t="s">
        <v>356</v>
      </c>
      <c r="C10" s="696">
        <f ca="1">IF(OR($B10="",$D10="",$D10=0),"",_xll.meDateFromTenor(COB,$B10,$AG10,$AH10))</f>
        <v>43224</v>
      </c>
      <c r="D10" s="816">
        <v>1000000</v>
      </c>
      <c r="E10" s="817" t="s">
        <v>187</v>
      </c>
      <c r="F10" s="693" t="s">
        <v>31</v>
      </c>
      <c r="G10" s="695" t="s">
        <v>1995</v>
      </c>
      <c r="H10" s="821" t="s">
        <v>316</v>
      </c>
      <c r="I10" s="694">
        <v>0</v>
      </c>
      <c r="J10" s="693" t="s">
        <v>1997</v>
      </c>
      <c r="K10" s="821" t="s">
        <v>355</v>
      </c>
      <c r="L10" s="692">
        <v>0</v>
      </c>
      <c r="M10" s="677"/>
      <c r="N10" s="686" t="s">
        <v>1994</v>
      </c>
      <c r="O10" s="687" t="str">
        <f t="shared" si="0"/>
        <v>GBP</v>
      </c>
      <c r="P10" s="689" t="str">
        <f t="shared" si="1"/>
        <v>PAY</v>
      </c>
      <c r="Q10" s="691">
        <f t="shared" si="2"/>
        <v>1000000</v>
      </c>
      <c r="R10" s="687" t="s">
        <v>1992</v>
      </c>
      <c r="S10" s="690">
        <v>1</v>
      </c>
      <c r="T10" s="689">
        <f t="shared" ca="1" si="3"/>
        <v>43224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GBPYC</v>
      </c>
      <c r="Y10" s="687" t="str">
        <f t="shared" si="8"/>
        <v>GBP3ML</v>
      </c>
      <c r="Z10" s="687" t="str">
        <f t="shared" si="9"/>
        <v>GBPOIS</v>
      </c>
      <c r="AA10" s="687" t="s">
        <v>186</v>
      </c>
      <c r="AB10" s="687" t="s">
        <v>38</v>
      </c>
      <c r="AC10" s="687" t="s">
        <v>185</v>
      </c>
      <c r="AD10" s="687" t="s">
        <v>38</v>
      </c>
      <c r="AE10" s="687" t="s">
        <v>185</v>
      </c>
      <c r="AF10" s="687" t="s">
        <v>356</v>
      </c>
      <c r="AG10" s="687" t="s">
        <v>38</v>
      </c>
      <c r="AH10" s="687" t="s">
        <v>185</v>
      </c>
      <c r="AI10" s="687" t="s">
        <v>356</v>
      </c>
      <c r="AJ10" s="687">
        <f t="shared" ca="1" si="10"/>
        <v>4</v>
      </c>
      <c r="AK10" s="687"/>
      <c r="AL10" s="687"/>
      <c r="AM10" s="550" t="s">
        <v>2252</v>
      </c>
      <c r="AN10" s="550" t="s">
        <v>2252</v>
      </c>
      <c r="AO10" s="687"/>
      <c r="AP10" s="687"/>
      <c r="AQ10" s="539" t="s">
        <v>1991</v>
      </c>
      <c r="AS10" s="686" t="s">
        <v>1993</v>
      </c>
      <c r="AT10" s="687" t="str">
        <f t="shared" si="11"/>
        <v>GBP</v>
      </c>
      <c r="AU10" s="689" t="str">
        <f t="shared" si="12"/>
        <v>RECEIVE</v>
      </c>
      <c r="AV10" s="691">
        <f t="shared" si="13"/>
        <v>1000000</v>
      </c>
      <c r="AW10" s="687" t="s">
        <v>1992</v>
      </c>
      <c r="AX10" s="690">
        <v>1</v>
      </c>
      <c r="AY10" s="689">
        <f t="shared" ca="1" si="14"/>
        <v>43224</v>
      </c>
      <c r="AZ10" s="689" t="str">
        <f t="shared" si="15"/>
        <v>5Y</v>
      </c>
      <c r="BA10" s="687" t="str">
        <f t="shared" si="16"/>
        <v>SEMI-ANNUAL</v>
      </c>
      <c r="BB10" s="688">
        <f t="shared" si="17"/>
        <v>0</v>
      </c>
      <c r="BC10" s="687" t="str">
        <f t="shared" si="18"/>
        <v>GBPYC</v>
      </c>
      <c r="BD10" s="687" t="str">
        <f t="shared" si="19"/>
        <v>GBP6ML</v>
      </c>
      <c r="BE10" s="687" t="str">
        <f t="shared" si="20"/>
        <v>GBPOIS</v>
      </c>
      <c r="BF10" s="687" t="s">
        <v>186</v>
      </c>
      <c r="BG10" s="687" t="s">
        <v>38</v>
      </c>
      <c r="BH10" s="687" t="s">
        <v>185</v>
      </c>
      <c r="BI10" s="687" t="s">
        <v>38</v>
      </c>
      <c r="BJ10" s="687" t="s">
        <v>185</v>
      </c>
      <c r="BK10" s="687" t="s">
        <v>356</v>
      </c>
      <c r="BL10" s="687" t="s">
        <v>38</v>
      </c>
      <c r="BM10" s="687" t="s">
        <v>185</v>
      </c>
      <c r="BN10" s="687" t="s">
        <v>356</v>
      </c>
      <c r="BO10" s="687">
        <f t="shared" ca="1" si="21"/>
        <v>4</v>
      </c>
      <c r="BP10" s="687"/>
      <c r="BQ10" s="687"/>
      <c r="BR10" s="550" t="s">
        <v>2252</v>
      </c>
      <c r="BS10" s="550" t="s">
        <v>2252</v>
      </c>
      <c r="BT10" s="687"/>
      <c r="BU10" s="687"/>
      <c r="BV10" s="539" t="s">
        <v>1991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GBP3X6_5@18:0</v>
      </c>
      <c r="BY10" s="517" t="str">
        <f ca="1">IF(OR($D10="",$D10=0),"",_xll.meLWOSwapPV(BX10,X10))</f>
        <v>[2018/05/04 09:52] #Error: Invalid Curve: CurveIndex 'GBP3ML' in collection GBPYC does not exist</v>
      </c>
      <c r="BZ10" s="685" t="str">
        <f ca="1">IF(OR($D10="",$D10=0),"",_xll.meLWOSwapParSpread($BX10,X10))</f>
        <v>[2018/05/04 09:52] #Error: Invalid Curve: CurveIndex 'GBP3ML' in collection GBPYC does not exist</v>
      </c>
      <c r="CA10" s="671" t="s">
        <v>12</v>
      </c>
      <c r="CB10" s="684" t="str">
        <f>'GBP Curve Config'!BJ13</f>
        <v>5Y</v>
      </c>
      <c r="CC10" s="683">
        <f>'GBP Curve Config'!BK13</f>
        <v>7.7000000000000007E-4</v>
      </c>
      <c r="CD10" s="809">
        <f t="shared" si="23"/>
        <v>7.7000000000000011</v>
      </c>
      <c r="CE10" s="932" t="e">
        <f t="shared" ca="1" si="22"/>
        <v>#VALUE!</v>
      </c>
      <c r="CF10" s="677" t="s">
        <v>12</v>
      </c>
    </row>
    <row r="11" spans="1:85">
      <c r="A11" s="203">
        <f t="shared" si="24"/>
        <v>6</v>
      </c>
      <c r="B11" s="812" t="s">
        <v>356</v>
      </c>
      <c r="C11" s="696">
        <f ca="1">IF(OR($B11="",$D11="",$D11=0),"",_xll.meDateFromTenor(COB,$B11,$AG11,$AH11))</f>
        <v>43224</v>
      </c>
      <c r="D11" s="816">
        <v>1000000</v>
      </c>
      <c r="E11" s="817" t="s">
        <v>187</v>
      </c>
      <c r="F11" s="693" t="s">
        <v>127</v>
      </c>
      <c r="G11" s="695" t="s">
        <v>1995</v>
      </c>
      <c r="H11" s="821" t="s">
        <v>316</v>
      </c>
      <c r="I11" s="694">
        <v>0</v>
      </c>
      <c r="J11" s="693" t="s">
        <v>1997</v>
      </c>
      <c r="K11" s="821" t="s">
        <v>355</v>
      </c>
      <c r="L11" s="692">
        <v>0</v>
      </c>
      <c r="M11" s="677"/>
      <c r="N11" s="686" t="s">
        <v>1994</v>
      </c>
      <c r="O11" s="687" t="str">
        <f t="shared" si="0"/>
        <v>GBP</v>
      </c>
      <c r="P11" s="689" t="str">
        <f t="shared" si="1"/>
        <v>PAY</v>
      </c>
      <c r="Q11" s="691">
        <f t="shared" si="2"/>
        <v>1000000</v>
      </c>
      <c r="R11" s="687" t="s">
        <v>1992</v>
      </c>
      <c r="S11" s="690">
        <v>1</v>
      </c>
      <c r="T11" s="689">
        <f t="shared" ca="1" si="3"/>
        <v>43224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GBPYC</v>
      </c>
      <c r="Y11" s="687" t="str">
        <f t="shared" si="8"/>
        <v>GBP3ML</v>
      </c>
      <c r="Z11" s="687" t="str">
        <f t="shared" si="9"/>
        <v>GBPOIS</v>
      </c>
      <c r="AA11" s="687" t="s">
        <v>186</v>
      </c>
      <c r="AB11" s="687" t="s">
        <v>38</v>
      </c>
      <c r="AC11" s="687" t="s">
        <v>185</v>
      </c>
      <c r="AD11" s="687" t="s">
        <v>38</v>
      </c>
      <c r="AE11" s="687" t="s">
        <v>185</v>
      </c>
      <c r="AF11" s="687" t="s">
        <v>356</v>
      </c>
      <c r="AG11" s="687" t="s">
        <v>38</v>
      </c>
      <c r="AH11" s="687" t="s">
        <v>185</v>
      </c>
      <c r="AI11" s="687" t="s">
        <v>356</v>
      </c>
      <c r="AJ11" s="687">
        <f t="shared" ca="1" si="10"/>
        <v>4</v>
      </c>
      <c r="AK11" s="687"/>
      <c r="AL11" s="687"/>
      <c r="AM11" s="550" t="s">
        <v>2252</v>
      </c>
      <c r="AN11" s="550" t="s">
        <v>2252</v>
      </c>
      <c r="AO11" s="687"/>
      <c r="AP11" s="687"/>
      <c r="AQ11" s="539" t="s">
        <v>1991</v>
      </c>
      <c r="AS11" s="686" t="s">
        <v>1993</v>
      </c>
      <c r="AT11" s="687" t="str">
        <f t="shared" si="11"/>
        <v>GBP</v>
      </c>
      <c r="AU11" s="689" t="str">
        <f t="shared" si="12"/>
        <v>RECEIVE</v>
      </c>
      <c r="AV11" s="691">
        <f t="shared" si="13"/>
        <v>1000000</v>
      </c>
      <c r="AW11" s="687" t="s">
        <v>1992</v>
      </c>
      <c r="AX11" s="690">
        <v>1</v>
      </c>
      <c r="AY11" s="689">
        <f t="shared" ca="1" si="14"/>
        <v>43224</v>
      </c>
      <c r="AZ11" s="689" t="str">
        <f t="shared" si="15"/>
        <v>6Y</v>
      </c>
      <c r="BA11" s="687" t="str">
        <f t="shared" si="16"/>
        <v>SEMI-ANNUAL</v>
      </c>
      <c r="BB11" s="688">
        <f t="shared" si="17"/>
        <v>0</v>
      </c>
      <c r="BC11" s="687" t="str">
        <f t="shared" si="18"/>
        <v>GBPYC</v>
      </c>
      <c r="BD11" s="687" t="str">
        <f t="shared" si="19"/>
        <v>GBP6ML</v>
      </c>
      <c r="BE11" s="687" t="str">
        <f t="shared" si="20"/>
        <v>GBPOIS</v>
      </c>
      <c r="BF11" s="687" t="s">
        <v>186</v>
      </c>
      <c r="BG11" s="687" t="s">
        <v>38</v>
      </c>
      <c r="BH11" s="687" t="s">
        <v>185</v>
      </c>
      <c r="BI11" s="687" t="s">
        <v>38</v>
      </c>
      <c r="BJ11" s="687" t="s">
        <v>185</v>
      </c>
      <c r="BK11" s="687" t="s">
        <v>356</v>
      </c>
      <c r="BL11" s="687" t="s">
        <v>38</v>
      </c>
      <c r="BM11" s="687" t="s">
        <v>185</v>
      </c>
      <c r="BN11" s="687" t="s">
        <v>356</v>
      </c>
      <c r="BO11" s="687">
        <f t="shared" ca="1" si="21"/>
        <v>4</v>
      </c>
      <c r="BP11" s="687"/>
      <c r="BQ11" s="687"/>
      <c r="BR11" s="550" t="s">
        <v>2252</v>
      </c>
      <c r="BS11" s="550" t="s">
        <v>2252</v>
      </c>
      <c r="BT11" s="687"/>
      <c r="BU11" s="687"/>
      <c r="BV11" s="539" t="s">
        <v>1991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GBP3X6_6@75:0</v>
      </c>
      <c r="BY11" s="517" t="str">
        <f ca="1">IF(OR($D11="",$D11=0),"",_xll.meLWOSwapPV(BX11,X11))</f>
        <v>[2018/05/04 09:52] #Error: Invalid Curve: CurveIndex 'GBP3ML' in collection GBPYC does not exist</v>
      </c>
      <c r="BZ11" s="685" t="str">
        <f ca="1">IF(OR($D11="",$D11=0),"",_xll.meLWOSwapParSpread($BX11,X11))</f>
        <v>[2018/05/04 09:52] #Error: Invalid Curve: CurveIndex 'GBP3ML' in collection GBPYC does not exist</v>
      </c>
      <c r="CA11" s="671" t="s">
        <v>12</v>
      </c>
      <c r="CB11" s="684" t="str">
        <f>'GBP Curve Config'!BJ14</f>
        <v>6Y</v>
      </c>
      <c r="CC11" s="683">
        <f>'GBP Curve Config'!BK14</f>
        <v>8.1999999999999998E-4</v>
      </c>
      <c r="CD11" s="809">
        <f t="shared" si="23"/>
        <v>8.1999999999999993</v>
      </c>
      <c r="CE11" s="932" t="e">
        <f t="shared" ca="1" si="22"/>
        <v>#VALUE!</v>
      </c>
      <c r="CF11" s="677" t="s">
        <v>12</v>
      </c>
      <c r="CG11" s="1199"/>
    </row>
    <row r="12" spans="1:85">
      <c r="A12" s="203">
        <f t="shared" si="24"/>
        <v>7</v>
      </c>
      <c r="B12" s="812" t="s">
        <v>356</v>
      </c>
      <c r="C12" s="696">
        <f ca="1">IF(OR($B12="",$D12="",$D12=0),"",_xll.meDateFromTenor(COB,$B12,$AG12,$AH12))</f>
        <v>43224</v>
      </c>
      <c r="D12" s="816">
        <v>1000000</v>
      </c>
      <c r="E12" s="817" t="s">
        <v>187</v>
      </c>
      <c r="F12" s="693" t="s">
        <v>29</v>
      </c>
      <c r="G12" s="695" t="s">
        <v>1995</v>
      </c>
      <c r="H12" s="821" t="s">
        <v>316</v>
      </c>
      <c r="I12" s="694">
        <v>0</v>
      </c>
      <c r="J12" s="693" t="s">
        <v>1997</v>
      </c>
      <c r="K12" s="821" t="s">
        <v>355</v>
      </c>
      <c r="L12" s="692">
        <v>0</v>
      </c>
      <c r="M12" s="677"/>
      <c r="N12" s="686" t="s">
        <v>1994</v>
      </c>
      <c r="O12" s="687" t="str">
        <f t="shared" si="0"/>
        <v>GBP</v>
      </c>
      <c r="P12" s="689" t="str">
        <f t="shared" si="1"/>
        <v>PAY</v>
      </c>
      <c r="Q12" s="691">
        <f t="shared" si="2"/>
        <v>1000000</v>
      </c>
      <c r="R12" s="687" t="s">
        <v>1992</v>
      </c>
      <c r="S12" s="690">
        <v>1</v>
      </c>
      <c r="T12" s="689">
        <f t="shared" ca="1" si="3"/>
        <v>43224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GBPYC</v>
      </c>
      <c r="Y12" s="687" t="str">
        <f t="shared" si="8"/>
        <v>GBP3ML</v>
      </c>
      <c r="Z12" s="687" t="str">
        <f t="shared" si="9"/>
        <v>GBPOIS</v>
      </c>
      <c r="AA12" s="687" t="s">
        <v>186</v>
      </c>
      <c r="AB12" s="687" t="s">
        <v>38</v>
      </c>
      <c r="AC12" s="687" t="s">
        <v>185</v>
      </c>
      <c r="AD12" s="687" t="s">
        <v>38</v>
      </c>
      <c r="AE12" s="687" t="s">
        <v>185</v>
      </c>
      <c r="AF12" s="687" t="s">
        <v>356</v>
      </c>
      <c r="AG12" s="687" t="s">
        <v>38</v>
      </c>
      <c r="AH12" s="687" t="s">
        <v>185</v>
      </c>
      <c r="AI12" s="687" t="s">
        <v>356</v>
      </c>
      <c r="AJ12" s="687">
        <f t="shared" ca="1" si="10"/>
        <v>4</v>
      </c>
      <c r="AK12" s="687"/>
      <c r="AL12" s="687"/>
      <c r="AM12" s="550" t="s">
        <v>2252</v>
      </c>
      <c r="AN12" s="550" t="s">
        <v>2252</v>
      </c>
      <c r="AO12" s="687"/>
      <c r="AP12" s="687"/>
      <c r="AQ12" s="539" t="s">
        <v>1991</v>
      </c>
      <c r="AS12" s="686" t="s">
        <v>1993</v>
      </c>
      <c r="AT12" s="687" t="str">
        <f t="shared" si="11"/>
        <v>GBP</v>
      </c>
      <c r="AU12" s="689" t="str">
        <f t="shared" si="12"/>
        <v>RECEIVE</v>
      </c>
      <c r="AV12" s="691">
        <f t="shared" si="13"/>
        <v>1000000</v>
      </c>
      <c r="AW12" s="687" t="s">
        <v>1992</v>
      </c>
      <c r="AX12" s="690">
        <v>1</v>
      </c>
      <c r="AY12" s="689">
        <f t="shared" ca="1" si="14"/>
        <v>43224</v>
      </c>
      <c r="AZ12" s="689" t="str">
        <f t="shared" si="15"/>
        <v>7Y</v>
      </c>
      <c r="BA12" s="687" t="str">
        <f t="shared" si="16"/>
        <v>SEMI-ANNUAL</v>
      </c>
      <c r="BB12" s="688">
        <f t="shared" si="17"/>
        <v>0</v>
      </c>
      <c r="BC12" s="687" t="str">
        <f t="shared" si="18"/>
        <v>GBPYC</v>
      </c>
      <c r="BD12" s="687" t="str">
        <f t="shared" si="19"/>
        <v>GBP6ML</v>
      </c>
      <c r="BE12" s="687" t="str">
        <f t="shared" si="20"/>
        <v>GBPOIS</v>
      </c>
      <c r="BF12" s="687" t="s">
        <v>186</v>
      </c>
      <c r="BG12" s="687" t="s">
        <v>38</v>
      </c>
      <c r="BH12" s="687" t="s">
        <v>185</v>
      </c>
      <c r="BI12" s="687" t="s">
        <v>38</v>
      </c>
      <c r="BJ12" s="687" t="s">
        <v>185</v>
      </c>
      <c r="BK12" s="687" t="s">
        <v>356</v>
      </c>
      <c r="BL12" s="687" t="s">
        <v>38</v>
      </c>
      <c r="BM12" s="687" t="s">
        <v>185</v>
      </c>
      <c r="BN12" s="687" t="s">
        <v>356</v>
      </c>
      <c r="BO12" s="687">
        <f t="shared" ca="1" si="21"/>
        <v>4</v>
      </c>
      <c r="BP12" s="687"/>
      <c r="BQ12" s="687"/>
      <c r="BR12" s="550" t="s">
        <v>2252</v>
      </c>
      <c r="BS12" s="550" t="s">
        <v>2252</v>
      </c>
      <c r="BT12" s="687"/>
      <c r="BU12" s="687"/>
      <c r="BV12" s="539" t="s">
        <v>1991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GBP3X6_7@154:0</v>
      </c>
      <c r="BY12" s="517" t="str">
        <f ca="1">IF(OR($D12="",$D12=0),"",_xll.meLWOSwapPV(BX12,X12))</f>
        <v>[2018/05/04 09:52] #Error: Invalid Curve: CurveIndex 'GBP3ML' in collection GBPYC does not exist</v>
      </c>
      <c r="BZ12" s="685" t="str">
        <f ca="1">IF(OR($D12="",$D12=0),"",_xll.meLWOSwapParSpread($BX12,X12))</f>
        <v>[2018/05/04 09:52] #Error: Invalid Curve: CurveIndex 'GBP3ML' in collection GBPYC does not exist</v>
      </c>
      <c r="CA12" s="671" t="s">
        <v>12</v>
      </c>
      <c r="CB12" s="684" t="str">
        <f>'GBP Curve Config'!BJ15</f>
        <v>7Y</v>
      </c>
      <c r="CC12" s="683">
        <f>'GBP Curve Config'!BK15</f>
        <v>8.3000000000000012E-4</v>
      </c>
      <c r="CD12" s="809">
        <f t="shared" si="23"/>
        <v>8.3000000000000007</v>
      </c>
      <c r="CE12" s="932" t="e">
        <f t="shared" ca="1" si="22"/>
        <v>#VALUE!</v>
      </c>
      <c r="CF12" s="677" t="s">
        <v>12</v>
      </c>
      <c r="CG12" s="3"/>
    </row>
    <row r="13" spans="1:85">
      <c r="A13" s="203">
        <f t="shared" si="24"/>
        <v>8</v>
      </c>
      <c r="B13" s="812" t="s">
        <v>356</v>
      </c>
      <c r="C13" s="696">
        <f ca="1">IF(OR($B13="",$D13="",$D13=0),"",_xll.meDateFromTenor(COB,$B13,$AG13,$AH13))</f>
        <v>43224</v>
      </c>
      <c r="D13" s="816">
        <v>1000000</v>
      </c>
      <c r="E13" s="817" t="s">
        <v>187</v>
      </c>
      <c r="F13" s="693" t="s">
        <v>115</v>
      </c>
      <c r="G13" s="695" t="s">
        <v>1995</v>
      </c>
      <c r="H13" s="821" t="s">
        <v>316</v>
      </c>
      <c r="I13" s="694">
        <v>0</v>
      </c>
      <c r="J13" s="693" t="s">
        <v>1997</v>
      </c>
      <c r="K13" s="821" t="s">
        <v>355</v>
      </c>
      <c r="L13" s="692">
        <v>0</v>
      </c>
      <c r="M13" s="677"/>
      <c r="N13" s="686" t="s">
        <v>1994</v>
      </c>
      <c r="O13" s="687" t="str">
        <f t="shared" si="0"/>
        <v>GBP</v>
      </c>
      <c r="P13" s="689" t="str">
        <f t="shared" si="1"/>
        <v>PAY</v>
      </c>
      <c r="Q13" s="691">
        <f t="shared" si="2"/>
        <v>1000000</v>
      </c>
      <c r="R13" s="687" t="s">
        <v>1992</v>
      </c>
      <c r="S13" s="690">
        <v>1</v>
      </c>
      <c r="T13" s="689">
        <f t="shared" ca="1" si="3"/>
        <v>43224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GBPYC</v>
      </c>
      <c r="Y13" s="687" t="str">
        <f t="shared" si="8"/>
        <v>GBP3ML</v>
      </c>
      <c r="Z13" s="687" t="str">
        <f t="shared" si="9"/>
        <v>GBPOIS</v>
      </c>
      <c r="AA13" s="687" t="s">
        <v>186</v>
      </c>
      <c r="AB13" s="687" t="s">
        <v>38</v>
      </c>
      <c r="AC13" s="687" t="s">
        <v>185</v>
      </c>
      <c r="AD13" s="687" t="s">
        <v>38</v>
      </c>
      <c r="AE13" s="687" t="s">
        <v>185</v>
      </c>
      <c r="AF13" s="687" t="s">
        <v>356</v>
      </c>
      <c r="AG13" s="687" t="s">
        <v>38</v>
      </c>
      <c r="AH13" s="687" t="s">
        <v>185</v>
      </c>
      <c r="AI13" s="687" t="s">
        <v>356</v>
      </c>
      <c r="AJ13" s="687">
        <f t="shared" ca="1" si="10"/>
        <v>4</v>
      </c>
      <c r="AK13" s="687"/>
      <c r="AL13" s="687"/>
      <c r="AM13" s="550" t="s">
        <v>2252</v>
      </c>
      <c r="AN13" s="550" t="s">
        <v>2252</v>
      </c>
      <c r="AO13" s="687"/>
      <c r="AP13" s="687"/>
      <c r="AQ13" s="539" t="s">
        <v>1991</v>
      </c>
      <c r="AS13" s="686" t="s">
        <v>1993</v>
      </c>
      <c r="AT13" s="687" t="str">
        <f t="shared" si="11"/>
        <v>GBP</v>
      </c>
      <c r="AU13" s="689" t="str">
        <f t="shared" si="12"/>
        <v>RECEIVE</v>
      </c>
      <c r="AV13" s="691">
        <f t="shared" si="13"/>
        <v>1000000</v>
      </c>
      <c r="AW13" s="687" t="s">
        <v>1992</v>
      </c>
      <c r="AX13" s="690">
        <v>1</v>
      </c>
      <c r="AY13" s="689">
        <f t="shared" ca="1" si="14"/>
        <v>43224</v>
      </c>
      <c r="AZ13" s="689" t="str">
        <f t="shared" si="15"/>
        <v>8Y</v>
      </c>
      <c r="BA13" s="687" t="str">
        <f t="shared" si="16"/>
        <v>SEMI-ANNUAL</v>
      </c>
      <c r="BB13" s="688">
        <f t="shared" si="17"/>
        <v>0</v>
      </c>
      <c r="BC13" s="687" t="str">
        <f t="shared" si="18"/>
        <v>GBPYC</v>
      </c>
      <c r="BD13" s="687" t="str">
        <f t="shared" si="19"/>
        <v>GBP6ML</v>
      </c>
      <c r="BE13" s="687" t="str">
        <f t="shared" si="20"/>
        <v>GBPOIS</v>
      </c>
      <c r="BF13" s="687" t="s">
        <v>186</v>
      </c>
      <c r="BG13" s="687" t="s">
        <v>38</v>
      </c>
      <c r="BH13" s="687" t="s">
        <v>185</v>
      </c>
      <c r="BI13" s="687" t="s">
        <v>38</v>
      </c>
      <c r="BJ13" s="687" t="s">
        <v>185</v>
      </c>
      <c r="BK13" s="687" t="s">
        <v>356</v>
      </c>
      <c r="BL13" s="687" t="s">
        <v>38</v>
      </c>
      <c r="BM13" s="687" t="s">
        <v>185</v>
      </c>
      <c r="BN13" s="687" t="s">
        <v>356</v>
      </c>
      <c r="BO13" s="687">
        <f t="shared" ca="1" si="21"/>
        <v>4</v>
      </c>
      <c r="BP13" s="687"/>
      <c r="BQ13" s="687"/>
      <c r="BR13" s="550" t="s">
        <v>2252</v>
      </c>
      <c r="BS13" s="550" t="s">
        <v>2252</v>
      </c>
      <c r="BT13" s="687"/>
      <c r="BU13" s="687"/>
      <c r="BV13" s="539" t="s">
        <v>1991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GBP3X6_8@144:0</v>
      </c>
      <c r="BY13" s="517" t="str">
        <f ca="1">IF(OR($D13="",$D13=0),"",_xll.meLWOSwapPV(BX13,X13))</f>
        <v>[2018/05/04 09:52] #Error: Invalid Curve: CurveIndex 'GBP3ML' in collection GBPYC does not exist</v>
      </c>
      <c r="BZ13" s="685" t="str">
        <f ca="1">IF(OR($D13="",$D13=0),"",_xll.meLWOSwapParSpread($BX13,X13))</f>
        <v>[2018/05/04 09:52] #Error: Invalid Curve: CurveIndex 'GBP3ML' in collection GBPYC does not exist</v>
      </c>
      <c r="CA13" s="671" t="s">
        <v>12</v>
      </c>
      <c r="CB13" s="684" t="str">
        <f>'GBP Curve Config'!BJ16</f>
        <v>8Y</v>
      </c>
      <c r="CC13" s="683">
        <f>'GBP Curve Config'!BK16</f>
        <v>8.1999999999999998E-4</v>
      </c>
      <c r="CD13" s="809">
        <f t="shared" si="23"/>
        <v>8.1999999999999993</v>
      </c>
      <c r="CE13" s="932" t="e">
        <f t="shared" ca="1" si="22"/>
        <v>#VALUE!</v>
      </c>
      <c r="CF13" s="677" t="s">
        <v>12</v>
      </c>
      <c r="CG13" s="3"/>
    </row>
    <row r="14" spans="1:85">
      <c r="A14" s="203">
        <f t="shared" si="24"/>
        <v>9</v>
      </c>
      <c r="B14" s="812" t="s">
        <v>356</v>
      </c>
      <c r="C14" s="696">
        <f ca="1">IF(OR($B14="",$D14="",$D14=0),"",_xll.meDateFromTenor(COB,$B14,$AG14,$AH14))</f>
        <v>43224</v>
      </c>
      <c r="D14" s="816">
        <v>1000000</v>
      </c>
      <c r="E14" s="817" t="s">
        <v>187</v>
      </c>
      <c r="F14" s="693" t="s">
        <v>109</v>
      </c>
      <c r="G14" s="695" t="s">
        <v>1995</v>
      </c>
      <c r="H14" s="821" t="s">
        <v>316</v>
      </c>
      <c r="I14" s="694">
        <v>0</v>
      </c>
      <c r="J14" s="693" t="s">
        <v>1997</v>
      </c>
      <c r="K14" s="821" t="s">
        <v>355</v>
      </c>
      <c r="L14" s="692">
        <v>0</v>
      </c>
      <c r="M14" s="677"/>
      <c r="N14" s="686" t="s">
        <v>1994</v>
      </c>
      <c r="O14" s="687" t="str">
        <f t="shared" si="0"/>
        <v>GBP</v>
      </c>
      <c r="P14" s="689" t="str">
        <f t="shared" si="1"/>
        <v>PAY</v>
      </c>
      <c r="Q14" s="691">
        <f t="shared" si="2"/>
        <v>1000000</v>
      </c>
      <c r="R14" s="687" t="s">
        <v>1992</v>
      </c>
      <c r="S14" s="690">
        <v>1</v>
      </c>
      <c r="T14" s="689">
        <f t="shared" ca="1" si="3"/>
        <v>43224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GBPYC</v>
      </c>
      <c r="Y14" s="687" t="str">
        <f t="shared" si="8"/>
        <v>GBP3ML</v>
      </c>
      <c r="Z14" s="687" t="str">
        <f t="shared" si="9"/>
        <v>GBPOIS</v>
      </c>
      <c r="AA14" s="687" t="s">
        <v>186</v>
      </c>
      <c r="AB14" s="687" t="s">
        <v>38</v>
      </c>
      <c r="AC14" s="687" t="s">
        <v>185</v>
      </c>
      <c r="AD14" s="687" t="s">
        <v>38</v>
      </c>
      <c r="AE14" s="687" t="s">
        <v>185</v>
      </c>
      <c r="AF14" s="687" t="s">
        <v>356</v>
      </c>
      <c r="AG14" s="687" t="s">
        <v>38</v>
      </c>
      <c r="AH14" s="687" t="s">
        <v>185</v>
      </c>
      <c r="AI14" s="687" t="s">
        <v>356</v>
      </c>
      <c r="AJ14" s="687">
        <f t="shared" ca="1" si="10"/>
        <v>4</v>
      </c>
      <c r="AK14" s="687"/>
      <c r="AL14" s="687"/>
      <c r="AM14" s="550" t="s">
        <v>2252</v>
      </c>
      <c r="AN14" s="550" t="s">
        <v>2252</v>
      </c>
      <c r="AO14" s="687"/>
      <c r="AP14" s="687"/>
      <c r="AQ14" s="539" t="s">
        <v>1991</v>
      </c>
      <c r="AS14" s="686" t="s">
        <v>1993</v>
      </c>
      <c r="AT14" s="687" t="str">
        <f t="shared" si="11"/>
        <v>GBP</v>
      </c>
      <c r="AU14" s="689" t="str">
        <f t="shared" si="12"/>
        <v>RECEIVE</v>
      </c>
      <c r="AV14" s="691">
        <f t="shared" si="13"/>
        <v>1000000</v>
      </c>
      <c r="AW14" s="687" t="s">
        <v>1992</v>
      </c>
      <c r="AX14" s="690">
        <v>1</v>
      </c>
      <c r="AY14" s="689">
        <f t="shared" ca="1" si="14"/>
        <v>43224</v>
      </c>
      <c r="AZ14" s="689" t="str">
        <f t="shared" si="15"/>
        <v>9Y</v>
      </c>
      <c r="BA14" s="687" t="str">
        <f t="shared" si="16"/>
        <v>SEMI-ANNUAL</v>
      </c>
      <c r="BB14" s="688">
        <f t="shared" si="17"/>
        <v>0</v>
      </c>
      <c r="BC14" s="687" t="str">
        <f t="shared" si="18"/>
        <v>GBPYC</v>
      </c>
      <c r="BD14" s="687" t="str">
        <f t="shared" si="19"/>
        <v>GBP6ML</v>
      </c>
      <c r="BE14" s="687" t="str">
        <f t="shared" si="20"/>
        <v>GBPOIS</v>
      </c>
      <c r="BF14" s="687" t="s">
        <v>186</v>
      </c>
      <c r="BG14" s="687" t="s">
        <v>38</v>
      </c>
      <c r="BH14" s="687" t="s">
        <v>185</v>
      </c>
      <c r="BI14" s="687" t="s">
        <v>38</v>
      </c>
      <c r="BJ14" s="687" t="s">
        <v>185</v>
      </c>
      <c r="BK14" s="687" t="s">
        <v>356</v>
      </c>
      <c r="BL14" s="687" t="s">
        <v>38</v>
      </c>
      <c r="BM14" s="687" t="s">
        <v>185</v>
      </c>
      <c r="BN14" s="687" t="s">
        <v>356</v>
      </c>
      <c r="BO14" s="687">
        <f t="shared" ca="1" si="21"/>
        <v>4</v>
      </c>
      <c r="BP14" s="687"/>
      <c r="BQ14" s="687"/>
      <c r="BR14" s="550" t="s">
        <v>2252</v>
      </c>
      <c r="BS14" s="550" t="s">
        <v>2252</v>
      </c>
      <c r="BT14" s="687"/>
      <c r="BU14" s="687"/>
      <c r="BV14" s="539" t="s">
        <v>1991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GBP3X6_9@15:0</v>
      </c>
      <c r="BY14" s="517" t="str">
        <f ca="1">IF(OR($D14="",$D14=0),"",_xll.meLWOSwapPV(BX14,X14))</f>
        <v>[2018/05/04 09:52] #Error: Invalid Curve: CurveIndex 'GBP3ML' in collection GBPYC does not exist</v>
      </c>
      <c r="BZ14" s="685" t="str">
        <f ca="1">IF(OR($D14="",$D14=0),"",_xll.meLWOSwapParSpread($BX14,X14))</f>
        <v>[2018/05/04 09:52] #Error: Invalid Curve: CurveIndex 'GBP3ML' in collection GBPYC does not exist</v>
      </c>
      <c r="CA14" s="671" t="s">
        <v>12</v>
      </c>
      <c r="CB14" s="684" t="str">
        <f>'GBP Curve Config'!BJ17</f>
        <v>9Y</v>
      </c>
      <c r="CC14" s="683">
        <f>'GBP Curve Config'!BK17</f>
        <v>8.0000000000000004E-4</v>
      </c>
      <c r="CD14" s="809">
        <f t="shared" si="23"/>
        <v>8</v>
      </c>
      <c r="CE14" s="932" t="e">
        <f t="shared" ca="1" si="22"/>
        <v>#VALUE!</v>
      </c>
      <c r="CF14" s="677" t="s">
        <v>12</v>
      </c>
      <c r="CG14" s="3"/>
    </row>
    <row r="15" spans="1:85">
      <c r="A15" s="203">
        <f t="shared" si="24"/>
        <v>10</v>
      </c>
      <c r="B15" s="812" t="s">
        <v>356</v>
      </c>
      <c r="C15" s="696">
        <f ca="1">IF(OR($B15="",$D15="",$D15=0),"",_xll.meDateFromTenor(COB,$B15,$AG15,$AH15))</f>
        <v>43224</v>
      </c>
      <c r="D15" s="816">
        <v>1000000</v>
      </c>
      <c r="E15" s="817" t="s">
        <v>187</v>
      </c>
      <c r="F15" s="693" t="s">
        <v>27</v>
      </c>
      <c r="G15" s="695" t="s">
        <v>1995</v>
      </c>
      <c r="H15" s="821" t="s">
        <v>316</v>
      </c>
      <c r="I15" s="694">
        <v>0</v>
      </c>
      <c r="J15" s="693" t="s">
        <v>1997</v>
      </c>
      <c r="K15" s="821" t="s">
        <v>355</v>
      </c>
      <c r="L15" s="692">
        <v>0</v>
      </c>
      <c r="M15" s="677"/>
      <c r="N15" s="686" t="s">
        <v>1994</v>
      </c>
      <c r="O15" s="687" t="str">
        <f t="shared" si="0"/>
        <v>GBP</v>
      </c>
      <c r="P15" s="689" t="str">
        <f t="shared" si="1"/>
        <v>PAY</v>
      </c>
      <c r="Q15" s="691">
        <f t="shared" si="2"/>
        <v>1000000</v>
      </c>
      <c r="R15" s="687" t="s">
        <v>1992</v>
      </c>
      <c r="S15" s="690">
        <v>1</v>
      </c>
      <c r="T15" s="689">
        <f t="shared" ca="1" si="3"/>
        <v>43224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GBPYC</v>
      </c>
      <c r="Y15" s="687" t="str">
        <f t="shared" si="8"/>
        <v>GBP3ML</v>
      </c>
      <c r="Z15" s="687" t="str">
        <f t="shared" si="9"/>
        <v>GBPOIS</v>
      </c>
      <c r="AA15" s="687" t="s">
        <v>186</v>
      </c>
      <c r="AB15" s="687" t="s">
        <v>38</v>
      </c>
      <c r="AC15" s="687" t="s">
        <v>185</v>
      </c>
      <c r="AD15" s="687" t="s">
        <v>38</v>
      </c>
      <c r="AE15" s="687" t="s">
        <v>185</v>
      </c>
      <c r="AF15" s="687" t="s">
        <v>356</v>
      </c>
      <c r="AG15" s="687" t="s">
        <v>38</v>
      </c>
      <c r="AH15" s="687" t="s">
        <v>185</v>
      </c>
      <c r="AI15" s="687" t="s">
        <v>356</v>
      </c>
      <c r="AJ15" s="687">
        <f t="shared" ca="1" si="10"/>
        <v>4</v>
      </c>
      <c r="AK15" s="687"/>
      <c r="AL15" s="687"/>
      <c r="AM15" s="550" t="s">
        <v>2252</v>
      </c>
      <c r="AN15" s="550" t="s">
        <v>2252</v>
      </c>
      <c r="AO15" s="687"/>
      <c r="AP15" s="687"/>
      <c r="AQ15" s="539" t="s">
        <v>1991</v>
      </c>
      <c r="AS15" s="686" t="s">
        <v>1993</v>
      </c>
      <c r="AT15" s="687" t="str">
        <f t="shared" si="11"/>
        <v>GBP</v>
      </c>
      <c r="AU15" s="689" t="str">
        <f t="shared" si="12"/>
        <v>RECEIVE</v>
      </c>
      <c r="AV15" s="691">
        <f t="shared" si="13"/>
        <v>1000000</v>
      </c>
      <c r="AW15" s="687" t="s">
        <v>1992</v>
      </c>
      <c r="AX15" s="690">
        <v>1</v>
      </c>
      <c r="AY15" s="689">
        <f t="shared" ca="1" si="14"/>
        <v>43224</v>
      </c>
      <c r="AZ15" s="689" t="str">
        <f t="shared" si="15"/>
        <v>10Y</v>
      </c>
      <c r="BA15" s="687" t="str">
        <f t="shared" si="16"/>
        <v>SEMI-ANNUAL</v>
      </c>
      <c r="BB15" s="688">
        <f t="shared" si="17"/>
        <v>0</v>
      </c>
      <c r="BC15" s="687" t="str">
        <f t="shared" si="18"/>
        <v>GBPYC</v>
      </c>
      <c r="BD15" s="687" t="str">
        <f t="shared" si="19"/>
        <v>GBP6ML</v>
      </c>
      <c r="BE15" s="687" t="str">
        <f t="shared" si="20"/>
        <v>GBPOIS</v>
      </c>
      <c r="BF15" s="687" t="s">
        <v>186</v>
      </c>
      <c r="BG15" s="687" t="s">
        <v>38</v>
      </c>
      <c r="BH15" s="687" t="s">
        <v>185</v>
      </c>
      <c r="BI15" s="687" t="s">
        <v>38</v>
      </c>
      <c r="BJ15" s="687" t="s">
        <v>185</v>
      </c>
      <c r="BK15" s="687" t="s">
        <v>356</v>
      </c>
      <c r="BL15" s="687" t="s">
        <v>38</v>
      </c>
      <c r="BM15" s="687" t="s">
        <v>185</v>
      </c>
      <c r="BN15" s="687" t="s">
        <v>356</v>
      </c>
      <c r="BO15" s="687">
        <f t="shared" ca="1" si="21"/>
        <v>4</v>
      </c>
      <c r="BP15" s="687"/>
      <c r="BQ15" s="687"/>
      <c r="BR15" s="550" t="s">
        <v>2252</v>
      </c>
      <c r="BS15" s="550" t="s">
        <v>2252</v>
      </c>
      <c r="BT15" s="687"/>
      <c r="BU15" s="687"/>
      <c r="BV15" s="539" t="s">
        <v>1991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GBP3X6_10@69:0</v>
      </c>
      <c r="BY15" s="517" t="str">
        <f ca="1">IF(OR($D15="",$D15=0),"",_xll.meLWOSwapPV(BX15,X15))</f>
        <v>[2018/05/04 09:52] #Error: Invalid Curve: CurveIndex 'GBP3ML' in collection GBPYC does not exist</v>
      </c>
      <c r="BZ15" s="685" t="str">
        <f ca="1">IF(OR($D15="",$D15=0),"",_xll.meLWOSwapParSpread($BX15,X15))</f>
        <v>[2018/05/04 09:52] #Error: Invalid Curve: CurveIndex 'GBP3ML' in collection GBPYC does not exist</v>
      </c>
      <c r="CA15" s="671" t="s">
        <v>12</v>
      </c>
      <c r="CB15" s="684" t="str">
        <f>'GBP Curve Config'!BJ18</f>
        <v>10Y</v>
      </c>
      <c r="CC15" s="683">
        <f>'GBP Curve Config'!BK18</f>
        <v>7.7999999999999999E-4</v>
      </c>
      <c r="CD15" s="809">
        <f t="shared" si="23"/>
        <v>7.8</v>
      </c>
      <c r="CE15" s="932" t="e">
        <f t="shared" ca="1" si="22"/>
        <v>#VALUE!</v>
      </c>
      <c r="CF15" s="677" t="s">
        <v>12</v>
      </c>
      <c r="CG15" s="3"/>
    </row>
    <row r="16" spans="1:85">
      <c r="A16" s="203">
        <f t="shared" si="24"/>
        <v>11</v>
      </c>
      <c r="B16" s="812" t="s">
        <v>356</v>
      </c>
      <c r="C16" s="696">
        <f ca="1">IF(OR($B16="",$D16="",$D16=0),"",_xll.meDateFromTenor(COB,$B16,$AG16,$AH16))</f>
        <v>43224</v>
      </c>
      <c r="D16" s="816">
        <v>1000000</v>
      </c>
      <c r="E16" s="817" t="s">
        <v>187</v>
      </c>
      <c r="F16" s="693" t="s">
        <v>318</v>
      </c>
      <c r="G16" s="695" t="s">
        <v>1995</v>
      </c>
      <c r="H16" s="821" t="s">
        <v>316</v>
      </c>
      <c r="I16" s="694">
        <v>0</v>
      </c>
      <c r="J16" s="693" t="s">
        <v>1997</v>
      </c>
      <c r="K16" s="821" t="s">
        <v>355</v>
      </c>
      <c r="L16" s="692">
        <v>0</v>
      </c>
      <c r="M16" s="677"/>
      <c r="N16" s="686" t="s">
        <v>1994</v>
      </c>
      <c r="O16" s="687" t="str">
        <f t="shared" si="0"/>
        <v>GBP</v>
      </c>
      <c r="P16" s="689" t="str">
        <f t="shared" si="1"/>
        <v>PAY</v>
      </c>
      <c r="Q16" s="691">
        <f t="shared" si="2"/>
        <v>1000000</v>
      </c>
      <c r="R16" s="687" t="s">
        <v>1992</v>
      </c>
      <c r="S16" s="690">
        <v>1</v>
      </c>
      <c r="T16" s="689">
        <f t="shared" ca="1" si="3"/>
        <v>43224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GBPYC</v>
      </c>
      <c r="Y16" s="687" t="str">
        <f t="shared" si="8"/>
        <v>GBP3ML</v>
      </c>
      <c r="Z16" s="687" t="str">
        <f t="shared" si="9"/>
        <v>GBPOIS</v>
      </c>
      <c r="AA16" s="687" t="s">
        <v>186</v>
      </c>
      <c r="AB16" s="687" t="s">
        <v>38</v>
      </c>
      <c r="AC16" s="687" t="s">
        <v>185</v>
      </c>
      <c r="AD16" s="687" t="s">
        <v>38</v>
      </c>
      <c r="AE16" s="687" t="s">
        <v>185</v>
      </c>
      <c r="AF16" s="687" t="s">
        <v>356</v>
      </c>
      <c r="AG16" s="687" t="s">
        <v>38</v>
      </c>
      <c r="AH16" s="687" t="s">
        <v>185</v>
      </c>
      <c r="AI16" s="687" t="s">
        <v>356</v>
      </c>
      <c r="AJ16" s="687">
        <f t="shared" ca="1" si="10"/>
        <v>4</v>
      </c>
      <c r="AK16" s="687"/>
      <c r="AL16" s="687"/>
      <c r="AM16" s="550" t="s">
        <v>2252</v>
      </c>
      <c r="AN16" s="550" t="s">
        <v>2252</v>
      </c>
      <c r="AO16" s="687"/>
      <c r="AP16" s="687"/>
      <c r="AQ16" s="539" t="s">
        <v>1991</v>
      </c>
      <c r="AS16" s="686" t="s">
        <v>1993</v>
      </c>
      <c r="AT16" s="687" t="str">
        <f t="shared" si="11"/>
        <v>GBP</v>
      </c>
      <c r="AU16" s="689" t="str">
        <f t="shared" si="12"/>
        <v>RECEIVE</v>
      </c>
      <c r="AV16" s="691">
        <f t="shared" si="13"/>
        <v>1000000</v>
      </c>
      <c r="AW16" s="687" t="s">
        <v>1992</v>
      </c>
      <c r="AX16" s="690">
        <v>1</v>
      </c>
      <c r="AY16" s="689">
        <f t="shared" ca="1" si="14"/>
        <v>43224</v>
      </c>
      <c r="AZ16" s="689" t="str">
        <f t="shared" si="15"/>
        <v>11Y</v>
      </c>
      <c r="BA16" s="687" t="str">
        <f t="shared" si="16"/>
        <v>SEMI-ANNUAL</v>
      </c>
      <c r="BB16" s="688">
        <f t="shared" si="17"/>
        <v>0</v>
      </c>
      <c r="BC16" s="687" t="str">
        <f t="shared" si="18"/>
        <v>GBPYC</v>
      </c>
      <c r="BD16" s="687" t="str">
        <f t="shared" si="19"/>
        <v>GBP6ML</v>
      </c>
      <c r="BE16" s="687" t="str">
        <f t="shared" si="20"/>
        <v>GBPOIS</v>
      </c>
      <c r="BF16" s="687" t="s">
        <v>186</v>
      </c>
      <c r="BG16" s="687" t="s">
        <v>38</v>
      </c>
      <c r="BH16" s="687" t="s">
        <v>185</v>
      </c>
      <c r="BI16" s="687" t="s">
        <v>38</v>
      </c>
      <c r="BJ16" s="687" t="s">
        <v>185</v>
      </c>
      <c r="BK16" s="687" t="s">
        <v>356</v>
      </c>
      <c r="BL16" s="687" t="s">
        <v>38</v>
      </c>
      <c r="BM16" s="687" t="s">
        <v>185</v>
      </c>
      <c r="BN16" s="687" t="s">
        <v>356</v>
      </c>
      <c r="BO16" s="687">
        <f t="shared" ca="1" si="21"/>
        <v>4</v>
      </c>
      <c r="BP16" s="687"/>
      <c r="BQ16" s="687"/>
      <c r="BR16" s="550" t="s">
        <v>2252</v>
      </c>
      <c r="BS16" s="550" t="s">
        <v>2252</v>
      </c>
      <c r="BT16" s="687"/>
      <c r="BU16" s="687"/>
      <c r="BV16" s="539" t="s">
        <v>1991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GBP3X6_11@44:0</v>
      </c>
      <c r="BY16" s="517" t="str">
        <f ca="1">IF(OR($D16="",$D16=0),"",_xll.meLWOSwapPV(BX16,X16))</f>
        <v>[2018/05/04 09:52] #Error: Invalid Curve: CurveIndex 'GBP3ML' in collection GBPYC does not exist</v>
      </c>
      <c r="BZ16" s="685" t="str">
        <f ca="1">IF(OR($D16="",$D16=0),"",_xll.meLWOSwapParSpread($BX16,X16))</f>
        <v>[2018/05/04 09:52] #Error: Invalid Curve: CurveIndex 'GBP3ML' in collection GBPYC does not exist</v>
      </c>
      <c r="CA16" s="671" t="s">
        <v>12</v>
      </c>
      <c r="CB16" s="684" t="str">
        <f>'GBP Curve Config'!BJ19</f>
        <v>12Y</v>
      </c>
      <c r="CC16" s="683">
        <f>'GBP Curve Config'!BK19</f>
        <v>7.5000000000000002E-4</v>
      </c>
      <c r="CD16" s="809">
        <f t="shared" si="23"/>
        <v>7.5</v>
      </c>
      <c r="CE16" s="932" t="e">
        <f t="shared" ca="1" si="22"/>
        <v>#VALUE!</v>
      </c>
      <c r="CF16" s="677" t="s">
        <v>12</v>
      </c>
      <c r="CG16" s="3"/>
    </row>
    <row r="17" spans="1:85">
      <c r="A17" s="203">
        <f t="shared" si="24"/>
        <v>12</v>
      </c>
      <c r="B17" s="812" t="s">
        <v>356</v>
      </c>
      <c r="C17" s="696">
        <f ca="1">IF(OR($B17="",$D17="",$D17=0),"",_xll.meDateFromTenor(COB,$B17,$AG17,$AH17))</f>
        <v>43224</v>
      </c>
      <c r="D17" s="816">
        <v>1000000</v>
      </c>
      <c r="E17" s="817" t="s">
        <v>187</v>
      </c>
      <c r="F17" s="693" t="s">
        <v>25</v>
      </c>
      <c r="G17" s="695" t="s">
        <v>1995</v>
      </c>
      <c r="H17" s="821" t="s">
        <v>316</v>
      </c>
      <c r="I17" s="694">
        <v>0</v>
      </c>
      <c r="J17" s="693" t="s">
        <v>1997</v>
      </c>
      <c r="K17" s="821" t="s">
        <v>355</v>
      </c>
      <c r="L17" s="692">
        <v>0</v>
      </c>
      <c r="M17" s="677"/>
      <c r="N17" s="686" t="s">
        <v>1994</v>
      </c>
      <c r="O17" s="687" t="str">
        <f t="shared" si="0"/>
        <v>GBP</v>
      </c>
      <c r="P17" s="689" t="str">
        <f t="shared" si="1"/>
        <v>PAY</v>
      </c>
      <c r="Q17" s="691">
        <f t="shared" si="2"/>
        <v>1000000</v>
      </c>
      <c r="R17" s="687" t="s">
        <v>1992</v>
      </c>
      <c r="S17" s="690">
        <v>1</v>
      </c>
      <c r="T17" s="689">
        <f t="shared" ca="1" si="3"/>
        <v>43224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GBPYC</v>
      </c>
      <c r="Y17" s="687" t="str">
        <f t="shared" si="8"/>
        <v>GBP3ML</v>
      </c>
      <c r="Z17" s="687" t="str">
        <f t="shared" si="9"/>
        <v>GBPOIS</v>
      </c>
      <c r="AA17" s="687" t="s">
        <v>186</v>
      </c>
      <c r="AB17" s="687" t="s">
        <v>38</v>
      </c>
      <c r="AC17" s="687" t="s">
        <v>185</v>
      </c>
      <c r="AD17" s="687" t="s">
        <v>38</v>
      </c>
      <c r="AE17" s="687" t="s">
        <v>185</v>
      </c>
      <c r="AF17" s="687" t="s">
        <v>356</v>
      </c>
      <c r="AG17" s="687" t="s">
        <v>38</v>
      </c>
      <c r="AH17" s="687" t="s">
        <v>185</v>
      </c>
      <c r="AI17" s="687" t="s">
        <v>356</v>
      </c>
      <c r="AJ17" s="687">
        <f t="shared" ca="1" si="10"/>
        <v>4</v>
      </c>
      <c r="AK17" s="687"/>
      <c r="AL17" s="687"/>
      <c r="AM17" s="550" t="s">
        <v>2252</v>
      </c>
      <c r="AN17" s="550" t="s">
        <v>2252</v>
      </c>
      <c r="AO17" s="687"/>
      <c r="AP17" s="687"/>
      <c r="AQ17" s="539" t="s">
        <v>1991</v>
      </c>
      <c r="AS17" s="686" t="s">
        <v>1993</v>
      </c>
      <c r="AT17" s="687" t="str">
        <f t="shared" si="11"/>
        <v>GBP</v>
      </c>
      <c r="AU17" s="689" t="str">
        <f t="shared" si="12"/>
        <v>RECEIVE</v>
      </c>
      <c r="AV17" s="691">
        <f t="shared" si="13"/>
        <v>1000000</v>
      </c>
      <c r="AW17" s="687" t="s">
        <v>1992</v>
      </c>
      <c r="AX17" s="690">
        <v>1</v>
      </c>
      <c r="AY17" s="689">
        <f t="shared" ca="1" si="14"/>
        <v>43224</v>
      </c>
      <c r="AZ17" s="689" t="str">
        <f t="shared" si="15"/>
        <v>12Y</v>
      </c>
      <c r="BA17" s="687" t="str">
        <f t="shared" si="16"/>
        <v>SEMI-ANNUAL</v>
      </c>
      <c r="BB17" s="688">
        <f t="shared" si="17"/>
        <v>0</v>
      </c>
      <c r="BC17" s="687" t="str">
        <f t="shared" si="18"/>
        <v>GBPYC</v>
      </c>
      <c r="BD17" s="687" t="str">
        <f t="shared" si="19"/>
        <v>GBP6ML</v>
      </c>
      <c r="BE17" s="687" t="str">
        <f t="shared" si="20"/>
        <v>GBPOIS</v>
      </c>
      <c r="BF17" s="687" t="s">
        <v>186</v>
      </c>
      <c r="BG17" s="687" t="s">
        <v>38</v>
      </c>
      <c r="BH17" s="687" t="s">
        <v>185</v>
      </c>
      <c r="BI17" s="687" t="s">
        <v>38</v>
      </c>
      <c r="BJ17" s="687" t="s">
        <v>185</v>
      </c>
      <c r="BK17" s="687" t="s">
        <v>356</v>
      </c>
      <c r="BL17" s="687" t="s">
        <v>38</v>
      </c>
      <c r="BM17" s="687" t="s">
        <v>185</v>
      </c>
      <c r="BN17" s="687" t="s">
        <v>356</v>
      </c>
      <c r="BO17" s="687">
        <f t="shared" ca="1" si="21"/>
        <v>4</v>
      </c>
      <c r="BP17" s="687"/>
      <c r="BQ17" s="687"/>
      <c r="BR17" s="550" t="s">
        <v>2252</v>
      </c>
      <c r="BS17" s="550" t="s">
        <v>2252</v>
      </c>
      <c r="BT17" s="687"/>
      <c r="BU17" s="687"/>
      <c r="BV17" s="539" t="s">
        <v>1991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GBP3X6_12@137:0</v>
      </c>
      <c r="BY17" s="517" t="str">
        <f ca="1">IF(OR($D17="",$D17=0),"",_xll.meLWOSwapPV(BX17,X17))</f>
        <v>[2018/05/04 09:52] #Error: Invalid Curve: CurveIndex 'GBP3ML' in collection GBPYC does not exist</v>
      </c>
      <c r="BZ17" s="685" t="str">
        <f ca="1">IF(OR($D17="",$D17=0),"",_xll.meLWOSwapParSpread($BX17,X17))</f>
        <v>[2018/05/04 09:52] #Error: Invalid Curve: CurveIndex 'GBP3ML' in collection GBPYC does not exist</v>
      </c>
      <c r="CA17" s="671" t="s">
        <v>12</v>
      </c>
      <c r="CB17" s="684" t="str">
        <f>'GBP Curve Config'!BJ20</f>
        <v>15Y</v>
      </c>
      <c r="CC17" s="683">
        <f>'GBP Curve Config'!BK20</f>
        <v>7.2000000000000005E-4</v>
      </c>
      <c r="CD17" s="809">
        <f t="shared" si="23"/>
        <v>7.2</v>
      </c>
      <c r="CE17" s="932" t="e">
        <f t="shared" ca="1" si="22"/>
        <v>#VALUE!</v>
      </c>
      <c r="CF17" s="677" t="s">
        <v>12</v>
      </c>
      <c r="CG17" s="3"/>
    </row>
    <row r="18" spans="1:85">
      <c r="A18" s="203">
        <f t="shared" si="24"/>
        <v>13</v>
      </c>
      <c r="B18" s="812" t="s">
        <v>356</v>
      </c>
      <c r="C18" s="696">
        <f ca="1">IF(OR($B18="",$D18="",$D18=0),"",_xll.meDateFromTenor(COB,$B18,$AG18,$AH18))</f>
        <v>43224</v>
      </c>
      <c r="D18" s="816">
        <v>1000000</v>
      </c>
      <c r="E18" s="817" t="s">
        <v>187</v>
      </c>
      <c r="F18" s="693" t="s">
        <v>23</v>
      </c>
      <c r="G18" s="695" t="s">
        <v>1995</v>
      </c>
      <c r="H18" s="821" t="s">
        <v>316</v>
      </c>
      <c r="I18" s="694">
        <v>0</v>
      </c>
      <c r="J18" s="693" t="s">
        <v>1997</v>
      </c>
      <c r="K18" s="821" t="s">
        <v>355</v>
      </c>
      <c r="L18" s="692">
        <v>0</v>
      </c>
      <c r="M18" s="677"/>
      <c r="N18" s="686" t="s">
        <v>1994</v>
      </c>
      <c r="O18" s="687" t="str">
        <f t="shared" si="0"/>
        <v>GBP</v>
      </c>
      <c r="P18" s="689" t="str">
        <f t="shared" si="1"/>
        <v>PAY</v>
      </c>
      <c r="Q18" s="691">
        <f t="shared" si="2"/>
        <v>1000000</v>
      </c>
      <c r="R18" s="687" t="s">
        <v>1992</v>
      </c>
      <c r="S18" s="690">
        <v>1</v>
      </c>
      <c r="T18" s="689">
        <f t="shared" ca="1" si="3"/>
        <v>43224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GBPYC</v>
      </c>
      <c r="Y18" s="687" t="str">
        <f t="shared" si="8"/>
        <v>GBP3ML</v>
      </c>
      <c r="Z18" s="687" t="str">
        <f t="shared" si="9"/>
        <v>GBPOIS</v>
      </c>
      <c r="AA18" s="687" t="s">
        <v>186</v>
      </c>
      <c r="AB18" s="687" t="s">
        <v>38</v>
      </c>
      <c r="AC18" s="687" t="s">
        <v>185</v>
      </c>
      <c r="AD18" s="687" t="s">
        <v>38</v>
      </c>
      <c r="AE18" s="687" t="s">
        <v>185</v>
      </c>
      <c r="AF18" s="687" t="s">
        <v>356</v>
      </c>
      <c r="AG18" s="687" t="s">
        <v>38</v>
      </c>
      <c r="AH18" s="687" t="s">
        <v>185</v>
      </c>
      <c r="AI18" s="687" t="s">
        <v>356</v>
      </c>
      <c r="AJ18" s="687">
        <f t="shared" ca="1" si="10"/>
        <v>4</v>
      </c>
      <c r="AK18" s="687"/>
      <c r="AL18" s="687"/>
      <c r="AM18" s="550" t="s">
        <v>2252</v>
      </c>
      <c r="AN18" s="550" t="s">
        <v>2252</v>
      </c>
      <c r="AO18" s="687"/>
      <c r="AP18" s="687"/>
      <c r="AQ18" s="539" t="s">
        <v>1991</v>
      </c>
      <c r="AS18" s="686" t="s">
        <v>1993</v>
      </c>
      <c r="AT18" s="687" t="str">
        <f t="shared" si="11"/>
        <v>GBP</v>
      </c>
      <c r="AU18" s="689" t="str">
        <f t="shared" si="12"/>
        <v>RECEIVE</v>
      </c>
      <c r="AV18" s="691">
        <f t="shared" si="13"/>
        <v>1000000</v>
      </c>
      <c r="AW18" s="687" t="s">
        <v>1992</v>
      </c>
      <c r="AX18" s="690">
        <v>1</v>
      </c>
      <c r="AY18" s="689">
        <f t="shared" ca="1" si="14"/>
        <v>43224</v>
      </c>
      <c r="AZ18" s="689" t="str">
        <f t="shared" si="15"/>
        <v>15Y</v>
      </c>
      <c r="BA18" s="687" t="str">
        <f t="shared" si="16"/>
        <v>SEMI-ANNUAL</v>
      </c>
      <c r="BB18" s="688">
        <f t="shared" si="17"/>
        <v>0</v>
      </c>
      <c r="BC18" s="687" t="str">
        <f t="shared" si="18"/>
        <v>GBPYC</v>
      </c>
      <c r="BD18" s="687" t="str">
        <f t="shared" si="19"/>
        <v>GBP6ML</v>
      </c>
      <c r="BE18" s="687" t="str">
        <f t="shared" si="20"/>
        <v>GBPOIS</v>
      </c>
      <c r="BF18" s="687" t="s">
        <v>186</v>
      </c>
      <c r="BG18" s="687" t="s">
        <v>38</v>
      </c>
      <c r="BH18" s="687" t="s">
        <v>185</v>
      </c>
      <c r="BI18" s="687" t="s">
        <v>38</v>
      </c>
      <c r="BJ18" s="687" t="s">
        <v>185</v>
      </c>
      <c r="BK18" s="687" t="s">
        <v>356</v>
      </c>
      <c r="BL18" s="687" t="s">
        <v>38</v>
      </c>
      <c r="BM18" s="687" t="s">
        <v>185</v>
      </c>
      <c r="BN18" s="687" t="s">
        <v>356</v>
      </c>
      <c r="BO18" s="687">
        <f t="shared" ca="1" si="21"/>
        <v>4</v>
      </c>
      <c r="BP18" s="687"/>
      <c r="BQ18" s="687"/>
      <c r="BR18" s="550" t="s">
        <v>2252</v>
      </c>
      <c r="BS18" s="550" t="s">
        <v>2252</v>
      </c>
      <c r="BT18" s="687"/>
      <c r="BU18" s="687"/>
      <c r="BV18" s="539" t="s">
        <v>1991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GBP3X6_13@142:0</v>
      </c>
      <c r="BY18" s="517" t="str">
        <f ca="1">IF(OR($D18="",$D18=0),"",_xll.meLWOSwapPV(BX18,X18))</f>
        <v>[2018/05/04 09:52] #Error: Invalid Curve: CurveIndex 'GBP3ML' in collection GBPYC does not exist</v>
      </c>
      <c r="BZ18" s="685" t="str">
        <f ca="1">IF(OR($D18="",$D18=0),"",_xll.meLWOSwapParSpread($BX18,X18))</f>
        <v>[2018/05/04 09:52] #Error: Invalid Curve: CurveIndex 'GBP3ML' in collection GBPYC does not exist</v>
      </c>
      <c r="CA18" s="671" t="s">
        <v>12</v>
      </c>
      <c r="CB18" s="684" t="str">
        <f>'GBP Curve Config'!BJ21</f>
        <v>20Y</v>
      </c>
      <c r="CC18" s="683">
        <f>'GBP Curve Config'!BK21</f>
        <v>6.7999999999999994E-4</v>
      </c>
      <c r="CD18" s="809">
        <f t="shared" si="23"/>
        <v>6.8</v>
      </c>
      <c r="CE18" s="932" t="e">
        <f t="shared" ca="1" si="22"/>
        <v>#VALUE!</v>
      </c>
      <c r="CF18" s="677" t="s">
        <v>12</v>
      </c>
      <c r="CG18" s="3"/>
    </row>
    <row r="19" spans="1:85">
      <c r="A19" s="203">
        <f t="shared" si="24"/>
        <v>14</v>
      </c>
      <c r="B19" s="812" t="s">
        <v>356</v>
      </c>
      <c r="C19" s="696">
        <f ca="1">IF(OR($B19="",$D19="",$D19=0),"",_xll.meDateFromTenor(COB,$B19,$AG19,$AH19))</f>
        <v>43224</v>
      </c>
      <c r="D19" s="816">
        <v>1000000</v>
      </c>
      <c r="E19" s="817" t="s">
        <v>187</v>
      </c>
      <c r="F19" s="693" t="s">
        <v>19</v>
      </c>
      <c r="G19" s="695" t="s">
        <v>1995</v>
      </c>
      <c r="H19" s="821" t="s">
        <v>316</v>
      </c>
      <c r="I19" s="694">
        <v>0</v>
      </c>
      <c r="J19" s="693" t="s">
        <v>1997</v>
      </c>
      <c r="K19" s="821" t="s">
        <v>355</v>
      </c>
      <c r="L19" s="692">
        <v>0</v>
      </c>
      <c r="M19" s="677"/>
      <c r="N19" s="686" t="s">
        <v>1994</v>
      </c>
      <c r="O19" s="687" t="str">
        <f t="shared" si="0"/>
        <v>GBP</v>
      </c>
      <c r="P19" s="689" t="str">
        <f t="shared" si="1"/>
        <v>PAY</v>
      </c>
      <c r="Q19" s="691">
        <f t="shared" si="2"/>
        <v>1000000</v>
      </c>
      <c r="R19" s="687" t="s">
        <v>1992</v>
      </c>
      <c r="S19" s="690">
        <v>1</v>
      </c>
      <c r="T19" s="689">
        <f t="shared" ca="1" si="3"/>
        <v>43224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GBPYC</v>
      </c>
      <c r="Y19" s="687" t="str">
        <f t="shared" si="8"/>
        <v>GBP3ML</v>
      </c>
      <c r="Z19" s="687" t="str">
        <f t="shared" si="9"/>
        <v>GBPOIS</v>
      </c>
      <c r="AA19" s="687" t="s">
        <v>186</v>
      </c>
      <c r="AB19" s="687" t="s">
        <v>38</v>
      </c>
      <c r="AC19" s="687" t="s">
        <v>185</v>
      </c>
      <c r="AD19" s="687" t="s">
        <v>38</v>
      </c>
      <c r="AE19" s="687" t="s">
        <v>185</v>
      </c>
      <c r="AF19" s="687" t="s">
        <v>356</v>
      </c>
      <c r="AG19" s="687" t="s">
        <v>38</v>
      </c>
      <c r="AH19" s="687" t="s">
        <v>185</v>
      </c>
      <c r="AI19" s="687" t="s">
        <v>356</v>
      </c>
      <c r="AJ19" s="687">
        <f t="shared" ca="1" si="10"/>
        <v>4</v>
      </c>
      <c r="AK19" s="687"/>
      <c r="AL19" s="687"/>
      <c r="AM19" s="550" t="s">
        <v>2252</v>
      </c>
      <c r="AN19" s="550" t="s">
        <v>2252</v>
      </c>
      <c r="AO19" s="687"/>
      <c r="AP19" s="687"/>
      <c r="AQ19" s="539" t="s">
        <v>1991</v>
      </c>
      <c r="AS19" s="686" t="s">
        <v>1993</v>
      </c>
      <c r="AT19" s="687" t="str">
        <f t="shared" si="11"/>
        <v>GBP</v>
      </c>
      <c r="AU19" s="689" t="str">
        <f t="shared" si="12"/>
        <v>RECEIVE</v>
      </c>
      <c r="AV19" s="691">
        <f t="shared" si="13"/>
        <v>1000000</v>
      </c>
      <c r="AW19" s="687" t="s">
        <v>1992</v>
      </c>
      <c r="AX19" s="690">
        <v>1</v>
      </c>
      <c r="AY19" s="689">
        <f t="shared" ca="1" si="14"/>
        <v>43224</v>
      </c>
      <c r="AZ19" s="689" t="str">
        <f t="shared" si="15"/>
        <v>20Y</v>
      </c>
      <c r="BA19" s="687" t="str">
        <f t="shared" si="16"/>
        <v>SEMI-ANNUAL</v>
      </c>
      <c r="BB19" s="688">
        <f t="shared" si="17"/>
        <v>0</v>
      </c>
      <c r="BC19" s="687" t="str">
        <f t="shared" si="18"/>
        <v>GBPYC</v>
      </c>
      <c r="BD19" s="687" t="str">
        <f t="shared" si="19"/>
        <v>GBP6ML</v>
      </c>
      <c r="BE19" s="687" t="str">
        <f t="shared" si="20"/>
        <v>GBPOIS</v>
      </c>
      <c r="BF19" s="687" t="s">
        <v>186</v>
      </c>
      <c r="BG19" s="687" t="s">
        <v>38</v>
      </c>
      <c r="BH19" s="687" t="s">
        <v>185</v>
      </c>
      <c r="BI19" s="687" t="s">
        <v>38</v>
      </c>
      <c r="BJ19" s="687" t="s">
        <v>185</v>
      </c>
      <c r="BK19" s="687" t="s">
        <v>356</v>
      </c>
      <c r="BL19" s="687" t="s">
        <v>38</v>
      </c>
      <c r="BM19" s="687" t="s">
        <v>185</v>
      </c>
      <c r="BN19" s="687" t="s">
        <v>356</v>
      </c>
      <c r="BO19" s="687">
        <f t="shared" ca="1" si="21"/>
        <v>4</v>
      </c>
      <c r="BP19" s="687"/>
      <c r="BQ19" s="687"/>
      <c r="BR19" s="550" t="s">
        <v>2252</v>
      </c>
      <c r="BS19" s="550" t="s">
        <v>2252</v>
      </c>
      <c r="BT19" s="687"/>
      <c r="BU19" s="687"/>
      <c r="BV19" s="539" t="s">
        <v>1991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GBP3X6_14@19:0</v>
      </c>
      <c r="BY19" s="517" t="str">
        <f ca="1">IF(OR($D19="",$D19=0),"",_xll.meLWOSwapPV(BX19,X19))</f>
        <v>[2018/05/04 09:52] #Error: Invalid Curve: CurveIndex 'GBP3ML' in collection GBPYC does not exist</v>
      </c>
      <c r="BZ19" s="685" t="str">
        <f ca="1">IF(OR($D19="",$D19=0),"",_xll.meLWOSwapParSpread($BX19,X19))</f>
        <v>[2018/05/04 09:52] #Error: Invalid Curve: CurveIndex 'GBP3ML' in collection GBPYC does not exist</v>
      </c>
      <c r="CA19" s="671" t="s">
        <v>12</v>
      </c>
      <c r="CB19" s="684" t="str">
        <f>'GBP Curve Config'!BJ22</f>
        <v>25Y</v>
      </c>
      <c r="CC19" s="683">
        <f>'GBP Curve Config'!BK22</f>
        <v>6.4999999999999997E-4</v>
      </c>
      <c r="CD19" s="809">
        <f t="shared" si="23"/>
        <v>6.5</v>
      </c>
      <c r="CE19" s="932" t="e">
        <f t="shared" ca="1" si="22"/>
        <v>#VALUE!</v>
      </c>
      <c r="CF19" s="677" t="s">
        <v>12</v>
      </c>
      <c r="CG19" s="3"/>
    </row>
    <row r="20" spans="1:85">
      <c r="A20" s="203">
        <f t="shared" si="24"/>
        <v>15</v>
      </c>
      <c r="B20" s="812" t="s">
        <v>356</v>
      </c>
      <c r="C20" s="696">
        <f ca="1">IF(OR($B20="",$D20="",$D20=0),"",_xll.meDateFromTenor(COB,$B20,$AG20,$AH20))</f>
        <v>43224</v>
      </c>
      <c r="D20" s="816">
        <v>1000000</v>
      </c>
      <c r="E20" s="817" t="s">
        <v>187</v>
      </c>
      <c r="F20" s="693" t="s">
        <v>17</v>
      </c>
      <c r="G20" s="695" t="s">
        <v>1995</v>
      </c>
      <c r="H20" s="821" t="s">
        <v>316</v>
      </c>
      <c r="I20" s="694">
        <v>0</v>
      </c>
      <c r="J20" s="693" t="s">
        <v>1997</v>
      </c>
      <c r="K20" s="821" t="s">
        <v>355</v>
      </c>
      <c r="L20" s="692">
        <v>0</v>
      </c>
      <c r="M20" s="677"/>
      <c r="N20" s="686" t="s">
        <v>1994</v>
      </c>
      <c r="O20" s="687" t="str">
        <f t="shared" si="0"/>
        <v>GBP</v>
      </c>
      <c r="P20" s="689" t="str">
        <f t="shared" si="1"/>
        <v>PAY</v>
      </c>
      <c r="Q20" s="691">
        <f t="shared" si="2"/>
        <v>1000000</v>
      </c>
      <c r="R20" s="687" t="s">
        <v>1992</v>
      </c>
      <c r="S20" s="690">
        <v>1</v>
      </c>
      <c r="T20" s="689">
        <f t="shared" ca="1" si="3"/>
        <v>43224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GBPYC</v>
      </c>
      <c r="Y20" s="687" t="str">
        <f t="shared" si="8"/>
        <v>GBP3ML</v>
      </c>
      <c r="Z20" s="687" t="str">
        <f t="shared" si="9"/>
        <v>GBPOIS</v>
      </c>
      <c r="AA20" s="687" t="s">
        <v>186</v>
      </c>
      <c r="AB20" s="687" t="s">
        <v>38</v>
      </c>
      <c r="AC20" s="687" t="s">
        <v>185</v>
      </c>
      <c r="AD20" s="687" t="s">
        <v>38</v>
      </c>
      <c r="AE20" s="687" t="s">
        <v>185</v>
      </c>
      <c r="AF20" s="687" t="s">
        <v>356</v>
      </c>
      <c r="AG20" s="687" t="s">
        <v>38</v>
      </c>
      <c r="AH20" s="687" t="s">
        <v>185</v>
      </c>
      <c r="AI20" s="687" t="s">
        <v>356</v>
      </c>
      <c r="AJ20" s="687">
        <f t="shared" ca="1" si="10"/>
        <v>4</v>
      </c>
      <c r="AK20" s="687"/>
      <c r="AL20" s="687"/>
      <c r="AM20" s="550" t="s">
        <v>2252</v>
      </c>
      <c r="AN20" s="550" t="s">
        <v>2252</v>
      </c>
      <c r="AO20" s="687"/>
      <c r="AP20" s="687"/>
      <c r="AQ20" s="539" t="s">
        <v>1991</v>
      </c>
      <c r="AS20" s="686" t="s">
        <v>1993</v>
      </c>
      <c r="AT20" s="687" t="str">
        <f t="shared" si="11"/>
        <v>GBP</v>
      </c>
      <c r="AU20" s="689" t="str">
        <f t="shared" si="12"/>
        <v>RECEIVE</v>
      </c>
      <c r="AV20" s="691">
        <f t="shared" si="13"/>
        <v>1000000</v>
      </c>
      <c r="AW20" s="687" t="s">
        <v>1992</v>
      </c>
      <c r="AX20" s="690">
        <v>1</v>
      </c>
      <c r="AY20" s="689">
        <f t="shared" ca="1" si="14"/>
        <v>43224</v>
      </c>
      <c r="AZ20" s="689" t="str">
        <f t="shared" si="15"/>
        <v>25Y</v>
      </c>
      <c r="BA20" s="687" t="str">
        <f t="shared" si="16"/>
        <v>SEMI-ANNUAL</v>
      </c>
      <c r="BB20" s="688">
        <f t="shared" si="17"/>
        <v>0</v>
      </c>
      <c r="BC20" s="687" t="str">
        <f t="shared" si="18"/>
        <v>GBPYC</v>
      </c>
      <c r="BD20" s="687" t="str">
        <f t="shared" si="19"/>
        <v>GBP6ML</v>
      </c>
      <c r="BE20" s="687" t="str">
        <f t="shared" si="20"/>
        <v>GBPOIS</v>
      </c>
      <c r="BF20" s="687" t="s">
        <v>186</v>
      </c>
      <c r="BG20" s="687" t="s">
        <v>38</v>
      </c>
      <c r="BH20" s="687" t="s">
        <v>185</v>
      </c>
      <c r="BI20" s="687" t="s">
        <v>38</v>
      </c>
      <c r="BJ20" s="687" t="s">
        <v>185</v>
      </c>
      <c r="BK20" s="687" t="s">
        <v>356</v>
      </c>
      <c r="BL20" s="687" t="s">
        <v>38</v>
      </c>
      <c r="BM20" s="687" t="s">
        <v>185</v>
      </c>
      <c r="BN20" s="687" t="s">
        <v>356</v>
      </c>
      <c r="BO20" s="687">
        <f t="shared" ca="1" si="21"/>
        <v>4</v>
      </c>
      <c r="BP20" s="687"/>
      <c r="BQ20" s="687"/>
      <c r="BR20" s="550" t="s">
        <v>2252</v>
      </c>
      <c r="BS20" s="550" t="s">
        <v>2252</v>
      </c>
      <c r="BT20" s="687"/>
      <c r="BU20" s="687"/>
      <c r="BV20" s="539" t="s">
        <v>1991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GBP3X6_15@64:0</v>
      </c>
      <c r="BY20" s="517" t="str">
        <f ca="1">IF(OR($D20="",$D20=0),"",_xll.meLWOSwapPV(BX20,X20))</f>
        <v>[2018/05/04 09:52] #Error: Invalid Curve: CurveIndex 'GBP3ML' in collection GBPYC does not exist</v>
      </c>
      <c r="BZ20" s="685" t="str">
        <f ca="1">IF(OR($D20="",$D20=0),"",_xll.meLWOSwapParSpread($BX20,X20))</f>
        <v>[2018/05/04 09:52] #Error: Invalid Curve: CurveIndex 'GBP3ML' in collection GBPYC does not exist</v>
      </c>
      <c r="CA20" s="671" t="s">
        <v>12</v>
      </c>
      <c r="CB20" s="684" t="str">
        <f>'GBP Curve Config'!BJ23</f>
        <v>30Y</v>
      </c>
      <c r="CC20" s="683">
        <f>'GBP Curve Config'!BK23</f>
        <v>6.2E-4</v>
      </c>
      <c r="CD20" s="809">
        <f t="shared" si="23"/>
        <v>6.2</v>
      </c>
      <c r="CE20" s="932" t="e">
        <f t="shared" ca="1" si="22"/>
        <v>#VALUE!</v>
      </c>
      <c r="CF20" s="677" t="s">
        <v>12</v>
      </c>
      <c r="CG20" s="3"/>
    </row>
    <row r="21" spans="1:85">
      <c r="A21" s="203">
        <f t="shared" si="24"/>
        <v>16</v>
      </c>
      <c r="B21" s="812" t="s">
        <v>356</v>
      </c>
      <c r="C21" s="696">
        <f ca="1">IF(OR($B21="",$D21="",$D21=0),"",_xll.meDateFromTenor(COB,$B21,$AG21,$AH21))</f>
        <v>43224</v>
      </c>
      <c r="D21" s="816">
        <v>1000000</v>
      </c>
      <c r="E21" s="817" t="s">
        <v>187</v>
      </c>
      <c r="F21" s="693" t="s">
        <v>16</v>
      </c>
      <c r="G21" s="695" t="s">
        <v>1995</v>
      </c>
      <c r="H21" s="821" t="s">
        <v>316</v>
      </c>
      <c r="I21" s="694">
        <v>0</v>
      </c>
      <c r="J21" s="693" t="s">
        <v>1997</v>
      </c>
      <c r="K21" s="821" t="s">
        <v>355</v>
      </c>
      <c r="L21" s="692">
        <v>0</v>
      </c>
      <c r="M21" s="677"/>
      <c r="N21" s="686" t="s">
        <v>1994</v>
      </c>
      <c r="O21" s="687" t="str">
        <f t="shared" si="0"/>
        <v>GBP</v>
      </c>
      <c r="P21" s="689" t="str">
        <f t="shared" si="1"/>
        <v>PAY</v>
      </c>
      <c r="Q21" s="691">
        <f t="shared" si="2"/>
        <v>1000000</v>
      </c>
      <c r="R21" s="687" t="s">
        <v>1992</v>
      </c>
      <c r="S21" s="690">
        <v>1</v>
      </c>
      <c r="T21" s="689">
        <f t="shared" ca="1" si="3"/>
        <v>43224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GBPYC</v>
      </c>
      <c r="Y21" s="687" t="str">
        <f t="shared" si="8"/>
        <v>GBP3ML</v>
      </c>
      <c r="Z21" s="687" t="str">
        <f t="shared" si="9"/>
        <v>GBPOIS</v>
      </c>
      <c r="AA21" s="687" t="s">
        <v>186</v>
      </c>
      <c r="AB21" s="687" t="s">
        <v>38</v>
      </c>
      <c r="AC21" s="687" t="s">
        <v>185</v>
      </c>
      <c r="AD21" s="687" t="s">
        <v>38</v>
      </c>
      <c r="AE21" s="687" t="s">
        <v>185</v>
      </c>
      <c r="AF21" s="687" t="s">
        <v>356</v>
      </c>
      <c r="AG21" s="687" t="s">
        <v>38</v>
      </c>
      <c r="AH21" s="687" t="s">
        <v>185</v>
      </c>
      <c r="AI21" s="687" t="s">
        <v>356</v>
      </c>
      <c r="AJ21" s="687">
        <f t="shared" ca="1" si="10"/>
        <v>4</v>
      </c>
      <c r="AK21" s="687"/>
      <c r="AL21" s="687"/>
      <c r="AM21" s="550" t="s">
        <v>2252</v>
      </c>
      <c r="AN21" s="550" t="s">
        <v>2252</v>
      </c>
      <c r="AO21" s="687"/>
      <c r="AP21" s="687"/>
      <c r="AQ21" s="539" t="s">
        <v>1991</v>
      </c>
      <c r="AR21" s="807"/>
      <c r="AS21" s="686" t="s">
        <v>1993</v>
      </c>
      <c r="AT21" s="687" t="str">
        <f t="shared" si="11"/>
        <v>GBP</v>
      </c>
      <c r="AU21" s="689" t="str">
        <f t="shared" si="12"/>
        <v>RECEIVE</v>
      </c>
      <c r="AV21" s="691">
        <f t="shared" si="13"/>
        <v>1000000</v>
      </c>
      <c r="AW21" s="687" t="s">
        <v>1992</v>
      </c>
      <c r="AX21" s="690">
        <v>1</v>
      </c>
      <c r="AY21" s="689">
        <f t="shared" ca="1" si="14"/>
        <v>43224</v>
      </c>
      <c r="AZ21" s="689" t="str">
        <f t="shared" si="15"/>
        <v>30Y</v>
      </c>
      <c r="BA21" s="687" t="str">
        <f t="shared" si="16"/>
        <v>SEMI-ANNUAL</v>
      </c>
      <c r="BB21" s="688">
        <f t="shared" si="17"/>
        <v>0</v>
      </c>
      <c r="BC21" s="687" t="str">
        <f t="shared" si="18"/>
        <v>GBPYC</v>
      </c>
      <c r="BD21" s="687" t="str">
        <f t="shared" si="19"/>
        <v>GBP6ML</v>
      </c>
      <c r="BE21" s="687" t="str">
        <f t="shared" si="20"/>
        <v>GBPOIS</v>
      </c>
      <c r="BF21" s="687" t="s">
        <v>186</v>
      </c>
      <c r="BG21" s="687" t="s">
        <v>38</v>
      </c>
      <c r="BH21" s="687" t="s">
        <v>185</v>
      </c>
      <c r="BI21" s="687" t="s">
        <v>38</v>
      </c>
      <c r="BJ21" s="687" t="s">
        <v>185</v>
      </c>
      <c r="BK21" s="687" t="s">
        <v>356</v>
      </c>
      <c r="BL21" s="687" t="s">
        <v>38</v>
      </c>
      <c r="BM21" s="687" t="s">
        <v>185</v>
      </c>
      <c r="BN21" s="687" t="s">
        <v>356</v>
      </c>
      <c r="BO21" s="687">
        <f t="shared" ca="1" si="21"/>
        <v>4</v>
      </c>
      <c r="BP21" s="687"/>
      <c r="BQ21" s="687"/>
      <c r="BR21" s="550" t="s">
        <v>2252</v>
      </c>
      <c r="BS21" s="550" t="s">
        <v>2252</v>
      </c>
      <c r="BT21" s="687"/>
      <c r="BU21" s="687"/>
      <c r="BV21" s="539" t="s">
        <v>1991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GBP3X6_16@49:0</v>
      </c>
      <c r="BY21" s="517" t="str">
        <f ca="1">IF(OR($D21="",$D21=0),"",_xll.meLWOSwapPV(BX21,X21))</f>
        <v>[2018/05/04 09:52] #Error: Invalid Curve: CurveIndex 'GBP3ML' in collection GBPYC does not exist</v>
      </c>
      <c r="BZ21" s="685" t="str">
        <f ca="1">IF(OR($D21="",$D21=0),"",_xll.meLWOSwapParSpread($BX21,X21))</f>
        <v>[2018/05/04 09:52] #Error: Invalid Curve: CurveIndex 'GBP3ML' in collection GBPYC does not exist</v>
      </c>
      <c r="CA21" s="671" t="s">
        <v>12</v>
      </c>
      <c r="CB21" s="684" t="str">
        <f>'GBP Curve Config'!BJ24</f>
        <v>40Y</v>
      </c>
      <c r="CC21" s="683">
        <f>'GBP Curve Config'!BK24</f>
        <v>5.9000000000000003E-4</v>
      </c>
      <c r="CD21" s="809">
        <f t="shared" si="23"/>
        <v>5.9</v>
      </c>
      <c r="CE21" s="932" t="str">
        <f>IF(OR(ISNA(VLOOKUP($CB21,$F$6:$BZ$25,73,FALSE)),$CB21=""),"",IF(VLOOKUP($CB21,$F$6:$BZ$25,73,FALSE)="","",VLOOKUP($CB21,$F$6:$BZ$25,73,FALSE)-$CD21))</f>
        <v/>
      </c>
      <c r="CF21" s="677" t="s">
        <v>12</v>
      </c>
      <c r="CG21" s="3"/>
    </row>
    <row r="22" spans="1:85">
      <c r="A22" s="203">
        <f t="shared" si="24"/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1994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1992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9"/>
        <v>OIS</v>
      </c>
      <c r="AA22" s="687" t="s">
        <v>186</v>
      </c>
      <c r="AB22" s="687" t="s">
        <v>38</v>
      </c>
      <c r="AC22" s="687" t="s">
        <v>185</v>
      </c>
      <c r="AD22" s="687" t="s">
        <v>38</v>
      </c>
      <c r="AE22" s="687" t="s">
        <v>185</v>
      </c>
      <c r="AF22" s="687" t="s">
        <v>356</v>
      </c>
      <c r="AG22" s="687" t="s">
        <v>38</v>
      </c>
      <c r="AH22" s="687" t="s">
        <v>185</v>
      </c>
      <c r="AI22" s="687" t="s">
        <v>356</v>
      </c>
      <c r="AJ22" s="687" t="e">
        <f t="shared" si="10"/>
        <v>#VALUE!</v>
      </c>
      <c r="AK22" s="687"/>
      <c r="AL22" s="687"/>
      <c r="AM22" s="550" t="s">
        <v>2252</v>
      </c>
      <c r="AN22" s="550" t="s">
        <v>2252</v>
      </c>
      <c r="AO22" s="687"/>
      <c r="AP22" s="687"/>
      <c r="AQ22" s="539" t="s">
        <v>1991</v>
      </c>
      <c r="AR22" s="807"/>
      <c r="AS22" s="686" t="s">
        <v>1993</v>
      </c>
      <c r="AT22" s="687">
        <f t="shared" si="11"/>
        <v>0</v>
      </c>
      <c r="AU22" s="689">
        <f t="shared" si="12"/>
        <v>0</v>
      </c>
      <c r="AV22" s="691">
        <f t="shared" si="13"/>
        <v>0</v>
      </c>
      <c r="AW22" s="687" t="s">
        <v>1992</v>
      </c>
      <c r="AX22" s="690">
        <v>1</v>
      </c>
      <c r="AY22" s="689" t="str">
        <f t="shared" si="14"/>
        <v/>
      </c>
      <c r="AZ22" s="689">
        <f t="shared" si="15"/>
        <v>0</v>
      </c>
      <c r="BA22" s="687" t="str">
        <f t="shared" si="16"/>
        <v>MONTHLY</v>
      </c>
      <c r="BB22" s="688">
        <f t="shared" si="17"/>
        <v>0</v>
      </c>
      <c r="BC22" s="687" t="str">
        <f t="shared" si="18"/>
        <v>YC</v>
      </c>
      <c r="BD22" s="687" t="str">
        <f t="shared" si="19"/>
        <v/>
      </c>
      <c r="BE22" s="687" t="str">
        <f t="shared" si="20"/>
        <v>OIS</v>
      </c>
      <c r="BF22" s="687" t="s">
        <v>186</v>
      </c>
      <c r="BG22" s="687" t="s">
        <v>38</v>
      </c>
      <c r="BH22" s="687" t="s">
        <v>185</v>
      </c>
      <c r="BI22" s="687" t="s">
        <v>38</v>
      </c>
      <c r="BJ22" s="687" t="s">
        <v>185</v>
      </c>
      <c r="BK22" s="687" t="s">
        <v>356</v>
      </c>
      <c r="BL22" s="687" t="s">
        <v>38</v>
      </c>
      <c r="BM22" s="687" t="s">
        <v>185</v>
      </c>
      <c r="BN22" s="687" t="s">
        <v>356</v>
      </c>
      <c r="BO22" s="687" t="e">
        <f t="shared" si="21"/>
        <v>#VALUE!</v>
      </c>
      <c r="BP22" s="687"/>
      <c r="BQ22" s="687"/>
      <c r="BR22" s="550" t="s">
        <v>2252</v>
      </c>
      <c r="BS22" s="550" t="s">
        <v>2252</v>
      </c>
      <c r="BT22" s="687"/>
      <c r="BU22" s="687"/>
      <c r="BV22" s="539" t="s">
        <v>1991</v>
      </c>
      <c r="BW22" s="671" t="s">
        <v>12</v>
      </c>
      <c r="BX22" s="686" t="str">
        <f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>IF(OR($D22="",$D22=0),"",_xll.meLWOSwapPV(BX22,X22))</f>
        <v/>
      </c>
      <c r="BZ22" s="685" t="str">
        <f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ref="CE22:CE25" si="25">IF(OR(ISNA(VLOOKUP($CB22,$F$6:$BZ$25,73,FALSE)),$CB22=""),"",IF(VLOOKUP($CB22,$F$6:$BZ$25,73,FALSE)="","",VLOOKUP($CB22,$F$6:$BZ$25,73,FALSE)-$CD22))</f>
        <v/>
      </c>
      <c r="CF22" s="677" t="s">
        <v>12</v>
      </c>
      <c r="CG22" s="3"/>
    </row>
    <row r="23" spans="1:85">
      <c r="A23" s="203">
        <f t="shared" si="24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1994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1992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9"/>
        <v>OIS</v>
      </c>
      <c r="AA23" s="687" t="s">
        <v>186</v>
      </c>
      <c r="AB23" s="687" t="s">
        <v>38</v>
      </c>
      <c r="AC23" s="687" t="s">
        <v>185</v>
      </c>
      <c r="AD23" s="687" t="s">
        <v>38</v>
      </c>
      <c r="AE23" s="687" t="s">
        <v>185</v>
      </c>
      <c r="AF23" s="687" t="s">
        <v>356</v>
      </c>
      <c r="AG23" s="687" t="s">
        <v>38</v>
      </c>
      <c r="AH23" s="687" t="s">
        <v>185</v>
      </c>
      <c r="AI23" s="687" t="s">
        <v>356</v>
      </c>
      <c r="AJ23" s="687" t="e">
        <f t="shared" si="10"/>
        <v>#VALUE!</v>
      </c>
      <c r="AK23" s="687"/>
      <c r="AL23" s="687"/>
      <c r="AM23" s="550" t="s">
        <v>2252</v>
      </c>
      <c r="AN23" s="550" t="s">
        <v>2252</v>
      </c>
      <c r="AO23" s="687"/>
      <c r="AP23" s="687"/>
      <c r="AQ23" s="539" t="s">
        <v>1991</v>
      </c>
      <c r="AR23" s="807"/>
      <c r="AS23" s="686" t="s">
        <v>1993</v>
      </c>
      <c r="AT23" s="687">
        <f t="shared" si="11"/>
        <v>0</v>
      </c>
      <c r="AU23" s="689">
        <f t="shared" si="12"/>
        <v>0</v>
      </c>
      <c r="AV23" s="691">
        <f t="shared" si="13"/>
        <v>0</v>
      </c>
      <c r="AW23" s="687" t="s">
        <v>1992</v>
      </c>
      <c r="AX23" s="690">
        <v>1</v>
      </c>
      <c r="AY23" s="689" t="str">
        <f t="shared" si="14"/>
        <v/>
      </c>
      <c r="AZ23" s="689">
        <f t="shared" si="15"/>
        <v>0</v>
      </c>
      <c r="BA23" s="687" t="str">
        <f t="shared" si="16"/>
        <v>MONTHLY</v>
      </c>
      <c r="BB23" s="688">
        <f t="shared" si="17"/>
        <v>0</v>
      </c>
      <c r="BC23" s="687" t="str">
        <f t="shared" si="18"/>
        <v>YC</v>
      </c>
      <c r="BD23" s="687" t="str">
        <f t="shared" si="19"/>
        <v/>
      </c>
      <c r="BE23" s="687" t="str">
        <f t="shared" si="20"/>
        <v>OIS</v>
      </c>
      <c r="BF23" s="687" t="s">
        <v>186</v>
      </c>
      <c r="BG23" s="687" t="s">
        <v>38</v>
      </c>
      <c r="BH23" s="687" t="s">
        <v>185</v>
      </c>
      <c r="BI23" s="687" t="s">
        <v>38</v>
      </c>
      <c r="BJ23" s="687" t="s">
        <v>185</v>
      </c>
      <c r="BK23" s="687" t="s">
        <v>356</v>
      </c>
      <c r="BL23" s="687" t="s">
        <v>38</v>
      </c>
      <c r="BM23" s="687" t="s">
        <v>185</v>
      </c>
      <c r="BN23" s="687" t="s">
        <v>356</v>
      </c>
      <c r="BO23" s="687" t="e">
        <f t="shared" si="21"/>
        <v>#VALUE!</v>
      </c>
      <c r="BP23" s="687"/>
      <c r="BQ23" s="687"/>
      <c r="BR23" s="550" t="s">
        <v>2252</v>
      </c>
      <c r="BS23" s="550" t="s">
        <v>2252</v>
      </c>
      <c r="BT23" s="687"/>
      <c r="BU23" s="687"/>
      <c r="BV23" s="539" t="s">
        <v>1991</v>
      </c>
      <c r="BW23" s="671" t="s">
        <v>12</v>
      </c>
      <c r="BX23" s="686" t="str">
        <f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>IF(OR($D23="",$D23=0),"",_xll.meLWOSwapPV(BX23,X23))</f>
        <v/>
      </c>
      <c r="BZ23" s="685" t="str">
        <f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si="25"/>
        <v/>
      </c>
      <c r="CF23" s="677" t="s">
        <v>12</v>
      </c>
      <c r="CG23" s="3"/>
    </row>
    <row r="24" spans="1:85">
      <c r="A24" s="203">
        <f t="shared" si="24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1994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1992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9"/>
        <v>OIS</v>
      </c>
      <c r="AA24" s="687" t="s">
        <v>186</v>
      </c>
      <c r="AB24" s="687" t="s">
        <v>38</v>
      </c>
      <c r="AC24" s="687" t="s">
        <v>185</v>
      </c>
      <c r="AD24" s="687" t="s">
        <v>38</v>
      </c>
      <c r="AE24" s="687" t="s">
        <v>185</v>
      </c>
      <c r="AF24" s="687" t="s">
        <v>356</v>
      </c>
      <c r="AG24" s="687" t="s">
        <v>38</v>
      </c>
      <c r="AH24" s="687" t="s">
        <v>185</v>
      </c>
      <c r="AI24" s="687" t="s">
        <v>356</v>
      </c>
      <c r="AJ24" s="687" t="e">
        <f t="shared" si="10"/>
        <v>#VALUE!</v>
      </c>
      <c r="AK24" s="687"/>
      <c r="AL24" s="687"/>
      <c r="AM24" s="550" t="s">
        <v>2252</v>
      </c>
      <c r="AN24" s="550" t="s">
        <v>2252</v>
      </c>
      <c r="AO24" s="687"/>
      <c r="AP24" s="687"/>
      <c r="AQ24" s="539" t="s">
        <v>1991</v>
      </c>
      <c r="AR24" s="807"/>
      <c r="AS24" s="686" t="s">
        <v>1993</v>
      </c>
      <c r="AT24" s="687">
        <f t="shared" si="11"/>
        <v>0</v>
      </c>
      <c r="AU24" s="689">
        <f t="shared" si="12"/>
        <v>0</v>
      </c>
      <c r="AV24" s="691">
        <f t="shared" si="13"/>
        <v>0</v>
      </c>
      <c r="AW24" s="687" t="s">
        <v>1992</v>
      </c>
      <c r="AX24" s="690">
        <v>1</v>
      </c>
      <c r="AY24" s="689" t="str">
        <f t="shared" si="14"/>
        <v/>
      </c>
      <c r="AZ24" s="689">
        <f t="shared" si="15"/>
        <v>0</v>
      </c>
      <c r="BA24" s="687" t="str">
        <f t="shared" si="16"/>
        <v>MONTHLY</v>
      </c>
      <c r="BB24" s="688">
        <f t="shared" si="17"/>
        <v>0</v>
      </c>
      <c r="BC24" s="687" t="str">
        <f t="shared" si="18"/>
        <v>YC</v>
      </c>
      <c r="BD24" s="687" t="str">
        <f t="shared" si="19"/>
        <v/>
      </c>
      <c r="BE24" s="687" t="str">
        <f t="shared" si="20"/>
        <v>OIS</v>
      </c>
      <c r="BF24" s="687" t="s">
        <v>186</v>
      </c>
      <c r="BG24" s="687" t="s">
        <v>38</v>
      </c>
      <c r="BH24" s="687" t="s">
        <v>185</v>
      </c>
      <c r="BI24" s="687" t="s">
        <v>38</v>
      </c>
      <c r="BJ24" s="687" t="s">
        <v>185</v>
      </c>
      <c r="BK24" s="687" t="s">
        <v>356</v>
      </c>
      <c r="BL24" s="687" t="s">
        <v>38</v>
      </c>
      <c r="BM24" s="687" t="s">
        <v>185</v>
      </c>
      <c r="BN24" s="687" t="s">
        <v>356</v>
      </c>
      <c r="BO24" s="687" t="e">
        <f t="shared" si="21"/>
        <v>#VALUE!</v>
      </c>
      <c r="BP24" s="687"/>
      <c r="BQ24" s="687"/>
      <c r="BR24" s="550" t="s">
        <v>2252</v>
      </c>
      <c r="BS24" s="550" t="s">
        <v>2252</v>
      </c>
      <c r="BT24" s="687"/>
      <c r="BU24" s="687"/>
      <c r="BV24" s="539" t="s">
        <v>1991</v>
      </c>
      <c r="BW24" s="671" t="s">
        <v>12</v>
      </c>
      <c r="BX24" s="686" t="str">
        <f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>IF(OR($D24="",$D24=0),"",_xll.meLWOSwapPV(BX24,X24))</f>
        <v/>
      </c>
      <c r="BZ24" s="685" t="str">
        <f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si="25"/>
        <v/>
      </c>
      <c r="CF24" s="677" t="s">
        <v>12</v>
      </c>
      <c r="CG24" s="3"/>
    </row>
    <row r="25" spans="1:85">
      <c r="A25" s="203">
        <f t="shared" si="24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1994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1992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9"/>
        <v>OIS</v>
      </c>
      <c r="AA25" s="672" t="s">
        <v>186</v>
      </c>
      <c r="AB25" s="672" t="s">
        <v>38</v>
      </c>
      <c r="AC25" s="672" t="s">
        <v>185</v>
      </c>
      <c r="AD25" s="672" t="s">
        <v>38</v>
      </c>
      <c r="AE25" s="672" t="s">
        <v>185</v>
      </c>
      <c r="AF25" s="672" t="s">
        <v>356</v>
      </c>
      <c r="AG25" s="672" t="s">
        <v>38</v>
      </c>
      <c r="AH25" s="672" t="s">
        <v>185</v>
      </c>
      <c r="AI25" s="672" t="s">
        <v>356</v>
      </c>
      <c r="AJ25" s="672" t="e">
        <f t="shared" si="10"/>
        <v>#VALUE!</v>
      </c>
      <c r="AK25" s="672"/>
      <c r="AL25" s="672"/>
      <c r="AM25" s="557" t="s">
        <v>2252</v>
      </c>
      <c r="AN25" s="557" t="s">
        <v>2252</v>
      </c>
      <c r="AO25" s="672"/>
      <c r="AP25" s="672"/>
      <c r="AQ25" s="540" t="s">
        <v>1991</v>
      </c>
      <c r="AR25" s="807"/>
      <c r="AS25" s="670" t="s">
        <v>1993</v>
      </c>
      <c r="AT25" s="672">
        <f t="shared" si="11"/>
        <v>0</v>
      </c>
      <c r="AU25" s="674">
        <f t="shared" si="12"/>
        <v>0</v>
      </c>
      <c r="AV25" s="676">
        <f t="shared" si="13"/>
        <v>0</v>
      </c>
      <c r="AW25" s="672" t="s">
        <v>1992</v>
      </c>
      <c r="AX25" s="675">
        <v>1</v>
      </c>
      <c r="AY25" s="674" t="str">
        <f t="shared" si="14"/>
        <v/>
      </c>
      <c r="AZ25" s="674">
        <f t="shared" si="15"/>
        <v>0</v>
      </c>
      <c r="BA25" s="672" t="str">
        <f t="shared" si="16"/>
        <v>MONTHLY</v>
      </c>
      <c r="BB25" s="673">
        <f t="shared" si="17"/>
        <v>0</v>
      </c>
      <c r="BC25" s="672" t="str">
        <f t="shared" si="18"/>
        <v>YC</v>
      </c>
      <c r="BD25" s="672" t="str">
        <f t="shared" si="19"/>
        <v/>
      </c>
      <c r="BE25" s="672" t="str">
        <f t="shared" si="20"/>
        <v>OIS</v>
      </c>
      <c r="BF25" s="672" t="s">
        <v>186</v>
      </c>
      <c r="BG25" s="672" t="s">
        <v>38</v>
      </c>
      <c r="BH25" s="672" t="s">
        <v>185</v>
      </c>
      <c r="BI25" s="672" t="s">
        <v>38</v>
      </c>
      <c r="BJ25" s="672" t="s">
        <v>185</v>
      </c>
      <c r="BK25" s="672" t="s">
        <v>356</v>
      </c>
      <c r="BL25" s="672" t="s">
        <v>38</v>
      </c>
      <c r="BM25" s="672" t="s">
        <v>185</v>
      </c>
      <c r="BN25" s="672" t="s">
        <v>356</v>
      </c>
      <c r="BO25" s="672" t="e">
        <f t="shared" si="21"/>
        <v>#VALUE!</v>
      </c>
      <c r="BP25" s="672"/>
      <c r="BQ25" s="672"/>
      <c r="BR25" s="557" t="s">
        <v>2252</v>
      </c>
      <c r="BS25" s="557" t="s">
        <v>2252</v>
      </c>
      <c r="BT25" s="672"/>
      <c r="BU25" s="672"/>
      <c r="BV25" s="540" t="s">
        <v>1991</v>
      </c>
      <c r="BW25" s="671" t="s">
        <v>12</v>
      </c>
      <c r="BX25" s="670" t="str">
        <f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>IF(OR($D25="",$D25=0),"",_xll.meLWOSwapPV(BX25,X25))</f>
        <v/>
      </c>
      <c r="BZ25" s="669" t="str">
        <f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si="25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7" tint="-0.249977111117893"/>
  </sheetPr>
  <dimension ref="A1:CG26"/>
  <sheetViews>
    <sheetView showGridLines="0" workbookViewId="0"/>
  </sheetViews>
  <sheetFormatPr defaultRowHeight="15" outlineLevelCol="1"/>
  <cols>
    <col min="1" max="1" width="4.7109375" customWidth="1"/>
    <col min="2" max="2" width="11.7109375" bestFit="1" customWidth="1"/>
    <col min="3" max="3" width="15.5703125" customWidth="1"/>
    <col min="4" max="4" width="14.5703125" customWidth="1"/>
    <col min="5" max="5" width="8.85546875" bestFit="1" customWidth="1"/>
    <col min="6" max="6" width="11.5703125" customWidth="1"/>
    <col min="7" max="7" width="10.7109375" customWidth="1"/>
    <col min="8" max="8" width="10.42578125" bestFit="1" customWidth="1"/>
    <col min="9" max="9" width="9" customWidth="1"/>
    <col min="10" max="10" width="11" customWidth="1"/>
    <col min="11" max="11" width="10.42578125" bestFit="1" customWidth="1"/>
    <col min="12" max="12" width="9.5703125" customWidth="1"/>
    <col min="13" max="13" width="9.140625" hidden="1" customWidth="1" outlineLevel="1"/>
    <col min="14" max="14" width="12.7109375" style="733" hidden="1" customWidth="1" outlineLevel="1"/>
    <col min="15" max="15" width="8.85546875" style="733" hidden="1" customWidth="1" outlineLevel="1"/>
    <col min="16" max="19" width="12.7109375" style="733" hidden="1" customWidth="1" outlineLevel="1"/>
    <col min="20" max="20" width="15.140625" style="733" hidden="1" customWidth="1" outlineLevel="1"/>
    <col min="21" max="21" width="14.7109375" style="733" hidden="1" customWidth="1" outlineLevel="1"/>
    <col min="22" max="22" width="12.42578125" style="733" hidden="1" customWidth="1" outlineLevel="1"/>
    <col min="23" max="23" width="11.5703125" style="733" hidden="1" customWidth="1" outlineLevel="1"/>
    <col min="24" max="24" width="15.28515625" style="733" hidden="1" customWidth="1" outlineLevel="1"/>
    <col min="25" max="25" width="13.7109375" style="733" hidden="1" customWidth="1" outlineLevel="1"/>
    <col min="26" max="26" width="14" style="733" hidden="1" customWidth="1" outlineLevel="1"/>
    <col min="27" max="27" width="9.28515625" style="733" hidden="1" customWidth="1" outlineLevel="1"/>
    <col min="28" max="28" width="29.42578125" style="733" hidden="1" customWidth="1" outlineLevel="1"/>
    <col min="29" max="29" width="15.42578125" style="733" hidden="1" customWidth="1" outlineLevel="1"/>
    <col min="30" max="30" width="28.28515625" style="733" hidden="1" customWidth="1" outlineLevel="1"/>
    <col min="31" max="31" width="14.28515625" style="733" hidden="1" customWidth="1" outlineLevel="1"/>
    <col min="32" max="32" width="9.140625" style="733" hidden="1" customWidth="1" outlineLevel="1"/>
    <col min="33" max="33" width="31" style="733" hidden="1" customWidth="1" outlineLevel="1"/>
    <col min="34" max="34" width="16.85546875" style="733" hidden="1" customWidth="1" outlineLevel="1"/>
    <col min="35" max="35" width="11.7109375" style="733" hidden="1" customWidth="1" outlineLevel="1"/>
    <col min="36" max="36" width="8.85546875" style="733" hidden="1" customWidth="1" outlineLevel="1"/>
    <col min="37" max="38" width="12.7109375" style="733" hidden="1" customWidth="1" outlineLevel="1"/>
    <col min="39" max="39" width="19.28515625" style="1240" hidden="1" customWidth="1" outlineLevel="1"/>
    <col min="40" max="40" width="18.85546875" style="1240" hidden="1" customWidth="1" outlineLevel="1"/>
    <col min="41" max="42" width="12.7109375" style="733" hidden="1" customWidth="1" outlineLevel="1"/>
    <col min="43" max="43" width="12.28515625" style="733" hidden="1" customWidth="1" outlineLevel="1"/>
    <col min="44" max="45" width="12.7109375" style="733" hidden="1" customWidth="1" outlineLevel="1"/>
    <col min="46" max="46" width="8.85546875" style="733" hidden="1" customWidth="1" outlineLevel="1"/>
    <col min="47" max="47" width="13.28515625" style="733" hidden="1" customWidth="1" outlineLevel="1"/>
    <col min="48" max="48" width="12.7109375" style="733" hidden="1" customWidth="1" outlineLevel="1"/>
    <col min="49" max="49" width="17.28515625" style="733" hidden="1" customWidth="1" outlineLevel="1"/>
    <col min="50" max="50" width="9" style="733" hidden="1" customWidth="1" outlineLevel="1"/>
    <col min="51" max="51" width="14.85546875" style="733" hidden="1" customWidth="1" outlineLevel="1"/>
    <col min="52" max="52" width="16.28515625" style="733" hidden="1" customWidth="1" outlineLevel="1"/>
    <col min="53" max="53" width="17.85546875" style="733" hidden="1" customWidth="1" outlineLevel="1"/>
    <col min="54" max="54" width="11.5703125" style="733" hidden="1" customWidth="1" outlineLevel="1"/>
    <col min="55" max="55" width="15.28515625" style="733" hidden="1" customWidth="1" outlineLevel="1"/>
    <col min="56" max="56" width="13.7109375" style="733" hidden="1" customWidth="1" outlineLevel="1"/>
    <col min="57" max="57" width="14" style="733" hidden="1" customWidth="1" outlineLevel="1"/>
    <col min="58" max="58" width="9.28515625" style="733" hidden="1" customWidth="1" outlineLevel="1"/>
    <col min="59" max="59" width="29.42578125" style="733" hidden="1" customWidth="1" outlineLevel="1"/>
    <col min="60" max="60" width="15.42578125" style="733" hidden="1" customWidth="1" outlineLevel="1"/>
    <col min="61" max="61" width="28.28515625" style="733" hidden="1" customWidth="1" outlineLevel="1"/>
    <col min="62" max="62" width="14.28515625" style="733" hidden="1" customWidth="1" outlineLevel="1"/>
    <col min="63" max="63" width="12.7109375" style="733" hidden="1" customWidth="1" outlineLevel="1"/>
    <col min="64" max="64" width="31" style="733" hidden="1" customWidth="1" outlineLevel="1"/>
    <col min="65" max="65" width="16.85546875" style="733" hidden="1" customWidth="1" outlineLevel="1"/>
    <col min="66" max="66" width="12.7109375" style="733" hidden="1" customWidth="1" outlineLevel="1"/>
    <col min="67" max="67" width="8.85546875" style="733" hidden="1" customWidth="1" outlineLevel="1"/>
    <col min="68" max="69" width="12.7109375" style="733" hidden="1" customWidth="1" outlineLevel="1"/>
    <col min="70" max="70" width="19.28515625" style="1240" hidden="1" customWidth="1" outlineLevel="1"/>
    <col min="71" max="71" width="18.85546875" style="1240" hidden="1" customWidth="1" outlineLevel="1"/>
    <col min="72" max="73" width="12.7109375" style="733" hidden="1" customWidth="1" outlineLevel="1"/>
    <col min="74" max="74" width="13.5703125" style="733" hidden="1" customWidth="1" outlineLevel="1"/>
    <col min="75" max="75" width="9.140625" collapsed="1"/>
    <col min="76" max="76" width="16.5703125" bestFit="1" customWidth="1"/>
    <col min="77" max="77" width="12.7109375" customWidth="1"/>
    <col min="78" max="78" width="16.85546875" bestFit="1" customWidth="1"/>
    <col min="80" max="82" width="12.7109375" customWidth="1"/>
    <col min="83" max="83" width="9.7109375" customWidth="1"/>
  </cols>
  <sheetData>
    <row r="1" spans="1:85">
      <c r="H1" s="732"/>
      <c r="J1" s="9"/>
      <c r="M1" s="9"/>
      <c r="AR1" s="9"/>
      <c r="BW1" s="9" t="s">
        <v>2093</v>
      </c>
    </row>
    <row r="2" spans="1:85">
      <c r="B2" s="234" t="s">
        <v>2028</v>
      </c>
      <c r="H2" s="732"/>
      <c r="CB2" s="234" t="s">
        <v>2081</v>
      </c>
    </row>
    <row r="3" spans="1:85">
      <c r="BZ3" s="731"/>
      <c r="CF3" s="3"/>
      <c r="CG3" s="3"/>
    </row>
    <row r="4" spans="1:85">
      <c r="B4" s="723" t="s">
        <v>2027</v>
      </c>
      <c r="C4" s="727"/>
      <c r="D4" s="727"/>
      <c r="E4" s="727"/>
      <c r="F4" s="727"/>
      <c r="G4" s="730" t="s">
        <v>2026</v>
      </c>
      <c r="H4" s="727"/>
      <c r="I4" s="729"/>
      <c r="J4" s="728" t="s">
        <v>2025</v>
      </c>
      <c r="K4" s="727"/>
      <c r="L4" s="726"/>
      <c r="M4" s="677"/>
      <c r="N4" s="724" t="s">
        <v>2024</v>
      </c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0"/>
      <c r="AC4" s="490"/>
      <c r="AD4" s="490"/>
      <c r="AE4" s="490"/>
      <c r="AF4" s="490"/>
      <c r="AG4" s="490"/>
      <c r="AH4" s="490"/>
      <c r="AI4" s="490"/>
      <c r="AJ4" s="490"/>
      <c r="AK4" s="490"/>
      <c r="AL4" s="490"/>
      <c r="AM4" s="490"/>
      <c r="AN4" s="490"/>
      <c r="AO4" s="490"/>
      <c r="AP4" s="490"/>
      <c r="AQ4" s="725"/>
      <c r="AS4" s="724" t="s">
        <v>2023</v>
      </c>
      <c r="AT4" s="490"/>
      <c r="AU4" s="490"/>
      <c r="AV4" s="490"/>
      <c r="AW4" s="490"/>
      <c r="AX4" s="490"/>
      <c r="AY4" s="490"/>
      <c r="AZ4" s="490"/>
      <c r="BA4" s="490"/>
      <c r="BB4" s="490"/>
      <c r="BC4" s="490"/>
      <c r="BD4" s="490"/>
      <c r="BE4" s="490"/>
      <c r="BF4" s="490"/>
      <c r="BG4" s="490"/>
      <c r="BH4" s="490"/>
      <c r="BI4" s="490"/>
      <c r="BJ4" s="490"/>
      <c r="BK4" s="490"/>
      <c r="BL4" s="490"/>
      <c r="BM4" s="490"/>
      <c r="BN4" s="490"/>
      <c r="BO4" s="490"/>
      <c r="BP4" s="490"/>
      <c r="BQ4" s="490"/>
      <c r="BR4" s="490"/>
      <c r="BS4" s="490"/>
      <c r="BT4" s="490"/>
      <c r="BU4" s="490"/>
      <c r="BV4" s="490"/>
      <c r="BW4" s="671" t="s">
        <v>12</v>
      </c>
      <c r="BX4" s="723" t="s">
        <v>2022</v>
      </c>
      <c r="BY4" s="489"/>
      <c r="BZ4" s="492"/>
      <c r="CA4" s="671" t="s">
        <v>12</v>
      </c>
      <c r="CB4" s="721" t="s">
        <v>2020</v>
      </c>
      <c r="CC4" s="720"/>
      <c r="CD4" s="489"/>
      <c r="CE4" s="722" t="s">
        <v>2021</v>
      </c>
      <c r="CF4" s="677" t="s">
        <v>12</v>
      </c>
      <c r="CG4" s="3"/>
    </row>
    <row r="5" spans="1:85">
      <c r="B5" s="719" t="s">
        <v>1802</v>
      </c>
      <c r="C5" s="558" t="s">
        <v>1768</v>
      </c>
      <c r="D5" s="558" t="s">
        <v>354</v>
      </c>
      <c r="E5" s="558" t="s">
        <v>156</v>
      </c>
      <c r="F5" s="558" t="s">
        <v>2019</v>
      </c>
      <c r="G5" s="718" t="s">
        <v>2018</v>
      </c>
      <c r="H5" s="713" t="s">
        <v>1804</v>
      </c>
      <c r="I5" s="717" t="s">
        <v>1998</v>
      </c>
      <c r="J5" s="713" t="s">
        <v>2018</v>
      </c>
      <c r="K5" s="713" t="s">
        <v>1804</v>
      </c>
      <c r="L5" s="716" t="s">
        <v>1998</v>
      </c>
      <c r="M5" s="677"/>
      <c r="N5" s="574" t="s">
        <v>2017</v>
      </c>
      <c r="O5" s="714" t="s">
        <v>156</v>
      </c>
      <c r="P5" s="714" t="s">
        <v>1803</v>
      </c>
      <c r="Q5" s="714" t="s">
        <v>354</v>
      </c>
      <c r="R5" s="714" t="s">
        <v>2016</v>
      </c>
      <c r="S5" s="714" t="s">
        <v>2015</v>
      </c>
      <c r="T5" s="714" t="s">
        <v>1768</v>
      </c>
      <c r="U5" s="714" t="s">
        <v>1769</v>
      </c>
      <c r="V5" s="714" t="s">
        <v>1</v>
      </c>
      <c r="W5" s="714" t="s">
        <v>1784</v>
      </c>
      <c r="X5" s="714" t="s">
        <v>1770</v>
      </c>
      <c r="Y5" s="714" t="s">
        <v>1443</v>
      </c>
      <c r="Z5" s="714" t="s">
        <v>1444</v>
      </c>
      <c r="AA5" s="714" t="s">
        <v>120</v>
      </c>
      <c r="AB5" s="714" t="s">
        <v>2014</v>
      </c>
      <c r="AC5" s="714" t="s">
        <v>2013</v>
      </c>
      <c r="AD5" s="714" t="s">
        <v>2012</v>
      </c>
      <c r="AE5" s="714" t="s">
        <v>2011</v>
      </c>
      <c r="AF5" s="714" t="s">
        <v>2010</v>
      </c>
      <c r="AG5" s="714" t="s">
        <v>2009</v>
      </c>
      <c r="AH5" s="714" t="s">
        <v>2008</v>
      </c>
      <c r="AI5" s="714" t="s">
        <v>2007</v>
      </c>
      <c r="AJ5" s="714" t="s">
        <v>2006</v>
      </c>
      <c r="AK5" s="714" t="s">
        <v>2005</v>
      </c>
      <c r="AL5" s="714" t="s">
        <v>2004</v>
      </c>
      <c r="AM5" s="1247" t="s">
        <v>2250</v>
      </c>
      <c r="AN5" s="1247" t="s">
        <v>2251</v>
      </c>
      <c r="AO5" s="714" t="s">
        <v>2003</v>
      </c>
      <c r="AP5" s="714" t="s">
        <v>2002</v>
      </c>
      <c r="AQ5" s="715" t="s">
        <v>2001</v>
      </c>
      <c r="AS5" s="574" t="s">
        <v>2017</v>
      </c>
      <c r="AT5" s="714" t="s">
        <v>156</v>
      </c>
      <c r="AU5" s="714" t="s">
        <v>1803</v>
      </c>
      <c r="AV5" s="714" t="s">
        <v>354</v>
      </c>
      <c r="AW5" s="714" t="s">
        <v>2016</v>
      </c>
      <c r="AX5" s="714" t="s">
        <v>2015</v>
      </c>
      <c r="AY5" s="714" t="s">
        <v>1768</v>
      </c>
      <c r="AZ5" s="714" t="s">
        <v>1769</v>
      </c>
      <c r="BA5" s="714" t="s">
        <v>1</v>
      </c>
      <c r="BB5" s="714" t="s">
        <v>1784</v>
      </c>
      <c r="BC5" s="714" t="s">
        <v>1770</v>
      </c>
      <c r="BD5" s="714" t="s">
        <v>1443</v>
      </c>
      <c r="BE5" s="714" t="s">
        <v>1444</v>
      </c>
      <c r="BF5" s="714" t="s">
        <v>120</v>
      </c>
      <c r="BG5" s="714" t="s">
        <v>2014</v>
      </c>
      <c r="BH5" s="714" t="s">
        <v>2013</v>
      </c>
      <c r="BI5" s="714" t="s">
        <v>2012</v>
      </c>
      <c r="BJ5" s="714" t="s">
        <v>2011</v>
      </c>
      <c r="BK5" s="714" t="s">
        <v>2010</v>
      </c>
      <c r="BL5" s="714" t="s">
        <v>2009</v>
      </c>
      <c r="BM5" s="714" t="s">
        <v>2008</v>
      </c>
      <c r="BN5" s="714" t="s">
        <v>2007</v>
      </c>
      <c r="BO5" s="714" t="s">
        <v>2006</v>
      </c>
      <c r="BP5" s="714" t="s">
        <v>2005</v>
      </c>
      <c r="BQ5" s="714" t="s">
        <v>2004</v>
      </c>
      <c r="BR5" s="1247" t="s">
        <v>2250</v>
      </c>
      <c r="BS5" s="1247" t="s">
        <v>2251</v>
      </c>
      <c r="BT5" s="714" t="s">
        <v>2003</v>
      </c>
      <c r="BU5" s="714" t="s">
        <v>2002</v>
      </c>
      <c r="BV5" s="714" t="s">
        <v>2001</v>
      </c>
      <c r="BW5" s="671" t="s">
        <v>12</v>
      </c>
      <c r="BX5" s="806" t="s">
        <v>2000</v>
      </c>
      <c r="BY5" s="713" t="s">
        <v>1445</v>
      </c>
      <c r="BZ5" s="716" t="s">
        <v>2242</v>
      </c>
      <c r="CA5" s="671" t="s">
        <v>12</v>
      </c>
      <c r="CB5" s="555" t="s">
        <v>74</v>
      </c>
      <c r="CC5" s="711" t="s">
        <v>73</v>
      </c>
      <c r="CD5" s="558" t="s">
        <v>1998</v>
      </c>
      <c r="CE5" s="712" t="s">
        <v>1999</v>
      </c>
      <c r="CF5" s="677" t="s">
        <v>12</v>
      </c>
      <c r="CG5" s="3"/>
    </row>
    <row r="6" spans="1:85">
      <c r="A6" s="203">
        <v>1</v>
      </c>
      <c r="B6" s="811" t="s">
        <v>361</v>
      </c>
      <c r="C6" s="710">
        <f ca="1">IF(OR($B6="",$D6="",$D6=0),"",_xll.meDateFromTenor(COB,$B6,$AG6,$AH6))</f>
        <v>43229</v>
      </c>
      <c r="D6" s="814">
        <v>1000000</v>
      </c>
      <c r="E6" s="815" t="s">
        <v>188</v>
      </c>
      <c r="F6" s="707" t="s">
        <v>154</v>
      </c>
      <c r="G6" s="709" t="s">
        <v>1995</v>
      </c>
      <c r="H6" s="820" t="s">
        <v>316</v>
      </c>
      <c r="I6" s="708">
        <v>0</v>
      </c>
      <c r="J6" s="707" t="s">
        <v>1997</v>
      </c>
      <c r="K6" s="820" t="s">
        <v>355</v>
      </c>
      <c r="L6" s="706">
        <v>0</v>
      </c>
      <c r="M6" s="677"/>
      <c r="N6" s="699" t="s">
        <v>1994</v>
      </c>
      <c r="O6" s="701" t="str">
        <f t="shared" ref="O6:O25" si="0">$E6</f>
        <v>JPY</v>
      </c>
      <c r="P6" s="703" t="str">
        <f t="shared" ref="P6:P25" si="1">$G6</f>
        <v>PAY</v>
      </c>
      <c r="Q6" s="705">
        <f t="shared" ref="Q6:Q25" si="2">$D6</f>
        <v>1000000</v>
      </c>
      <c r="R6" s="701" t="s">
        <v>1992</v>
      </c>
      <c r="S6" s="704">
        <v>1</v>
      </c>
      <c r="T6" s="703">
        <f t="shared" ref="T6:T25" ca="1" si="3">$C6</f>
        <v>43229</v>
      </c>
      <c r="U6" s="703" t="str">
        <f t="shared" ref="U6:U25" si="4">$F6</f>
        <v>1Y</v>
      </c>
      <c r="V6" s="701" t="str">
        <f t="shared" ref="V6:V25" si="5">IF($H6="12ML","ANNUAL",IF($H6="6ML","SEMI-ANNUAL",IF($H6="3ML","QUARTERLY","MONTHLY")))</f>
        <v>QUARTERLY</v>
      </c>
      <c r="W6" s="702">
        <f t="shared" ref="W6:W25" si="6">$I6</f>
        <v>0</v>
      </c>
      <c r="X6" s="701" t="str">
        <f t="shared" ref="X6:X25" si="7">$E6&amp;"YC"</f>
        <v>JPYYC</v>
      </c>
      <c r="Y6" s="701" t="str">
        <f t="shared" ref="Y6:Y25" si="8">$E6&amp;$H6</f>
        <v>JPY3ML</v>
      </c>
      <c r="Z6" s="701" t="str">
        <f>$E6&amp;"OIS"</f>
        <v>JPYOIS</v>
      </c>
      <c r="AA6" s="701" t="s">
        <v>3</v>
      </c>
      <c r="AB6" s="701" t="s">
        <v>38</v>
      </c>
      <c r="AC6" s="701" t="s">
        <v>2094</v>
      </c>
      <c r="AD6" s="701" t="s">
        <v>38</v>
      </c>
      <c r="AE6" s="701" t="s">
        <v>2094</v>
      </c>
      <c r="AF6" s="701" t="s">
        <v>356</v>
      </c>
      <c r="AG6" s="701" t="s">
        <v>38</v>
      </c>
      <c r="AH6" s="701" t="s">
        <v>2094</v>
      </c>
      <c r="AI6" s="701" t="s">
        <v>356</v>
      </c>
      <c r="AJ6" s="701">
        <f t="shared" ref="AJ6:AJ25" ca="1" si="9">DAY($C6)</f>
        <v>9</v>
      </c>
      <c r="AK6" s="701"/>
      <c r="AL6" s="701"/>
      <c r="AM6" s="550" t="s">
        <v>2252</v>
      </c>
      <c r="AN6" s="550" t="s">
        <v>2252</v>
      </c>
      <c r="AO6" s="701"/>
      <c r="AP6" s="701"/>
      <c r="AQ6" s="700" t="s">
        <v>1991</v>
      </c>
      <c r="AS6" s="699" t="s">
        <v>1993</v>
      </c>
      <c r="AT6" s="701" t="str">
        <f t="shared" ref="AT6:AT25" si="10">$E6</f>
        <v>JPY</v>
      </c>
      <c r="AU6" s="703" t="str">
        <f t="shared" ref="AU6:AU25" si="11">$J6</f>
        <v>RECEIVE</v>
      </c>
      <c r="AV6" s="705">
        <f t="shared" ref="AV6:AV25" si="12">$D6</f>
        <v>1000000</v>
      </c>
      <c r="AW6" s="701" t="s">
        <v>1992</v>
      </c>
      <c r="AX6" s="704">
        <v>1</v>
      </c>
      <c r="AY6" s="703">
        <f t="shared" ref="AY6:AY25" ca="1" si="13">$C6</f>
        <v>43229</v>
      </c>
      <c r="AZ6" s="703" t="str">
        <f t="shared" ref="AZ6:AZ25" si="14">F6</f>
        <v>1Y</v>
      </c>
      <c r="BA6" s="701" t="str">
        <f t="shared" ref="BA6:BA25" si="15">IF($K6="12ML","ANNUAL",IF($K6="6ML","SEMI-ANNUAL",IF($K6="3ML","QUARTERLY","MONTHLY")))</f>
        <v>SEMI-ANNUAL</v>
      </c>
      <c r="BB6" s="702">
        <f t="shared" ref="BB6:BB25" si="16">$L6</f>
        <v>0</v>
      </c>
      <c r="BC6" s="701" t="str">
        <f t="shared" ref="BC6:BC25" si="17">$E6&amp;"YC"</f>
        <v>JPYYC</v>
      </c>
      <c r="BD6" s="701" t="str">
        <f t="shared" ref="BD6:BD25" si="18">$E6&amp;$K6</f>
        <v>JPY6ML</v>
      </c>
      <c r="BE6" s="701" t="str">
        <f t="shared" ref="BE6:BE25" si="19">$E6&amp;"OIS"</f>
        <v>JPYOIS</v>
      </c>
      <c r="BF6" s="701" t="s">
        <v>3</v>
      </c>
      <c r="BG6" s="701" t="s">
        <v>38</v>
      </c>
      <c r="BH6" s="701" t="s">
        <v>2094</v>
      </c>
      <c r="BI6" s="701" t="s">
        <v>38</v>
      </c>
      <c r="BJ6" s="701" t="s">
        <v>2094</v>
      </c>
      <c r="BK6" s="701" t="s">
        <v>356</v>
      </c>
      <c r="BL6" s="701" t="s">
        <v>38</v>
      </c>
      <c r="BM6" s="701" t="s">
        <v>2094</v>
      </c>
      <c r="BN6" s="701" t="s">
        <v>356</v>
      </c>
      <c r="BO6" s="701">
        <f t="shared" ref="BO6:BO25" ca="1" si="20">DAY($C6)</f>
        <v>9</v>
      </c>
      <c r="BP6" s="701"/>
      <c r="BQ6" s="701"/>
      <c r="BR6" s="550" t="s">
        <v>2252</v>
      </c>
      <c r="BS6" s="550" t="s">
        <v>2252</v>
      </c>
      <c r="BT6" s="701"/>
      <c r="BU6" s="701"/>
      <c r="BV6" s="700" t="s">
        <v>1991</v>
      </c>
      <c r="BW6" s="671" t="s">
        <v>12</v>
      </c>
      <c r="BX6" s="1038" t="str">
        <f ca="1">IF(OR($D6="",$D6=0),"",_xll.meLWOSwapCreateFromLegLVBs($E6&amp;LEFT($H6,LEN($H6)-2)&amp;"x"&amp;LEFT($K6,LEN($K6)-2)&amp;"_"&amp;$A6,_xll.meUtilityLVBFromKeysValues(Leg1Keys,$N6:$AQ6),_xll.meUtilityLVBFromKeysValues(Leg2Keys,$AS6:$BV6),FALSE))</f>
        <v>JPY3X6_1@20:0</v>
      </c>
      <c r="BY6" s="598" t="str">
        <f ca="1">IF(OR($D6="",$D6=0),"",_xll.meLWOSwapPV(BX6,X6))</f>
        <v>[2018/05/04 09:52] #Error: Invalid Curve: CurveIndex 'JPY3ML' in collection JPYYC does not exist</v>
      </c>
      <c r="BZ6" s="698" t="str">
        <f ca="1">IF(OR($D6="",$D6=0),"",_xll.meLWOSwapParSpread($BX6,X6))</f>
        <v>[2018/05/04 09:52] #Error: Invalid Curve: CurveIndex 'JPY3ML' in collection JPYYC does not exist</v>
      </c>
      <c r="CA6" s="671" t="s">
        <v>12</v>
      </c>
      <c r="CB6" s="599" t="str">
        <f>'JPY Curve Config'!BJ9</f>
        <v>1Y</v>
      </c>
      <c r="CC6" s="697">
        <f>'JPY Curve Config'!BK9</f>
        <v>3.6249999999999998E-4</v>
      </c>
      <c r="CD6" s="808">
        <f>CC6*10000</f>
        <v>3.6249999999999996</v>
      </c>
      <c r="CE6" s="931" t="e">
        <f ca="1">IF(OR(ISNA(VLOOKUP($CB6,$F$6:$BZ$25,73,FALSE)),$CB6=""),"",IF(VLOOKUP($CB6,$F$6:$BZ$25,73,FALSE)="","",VLOOKUP($CB6,$F$6:$BZ$25,73,FALSE)-$CD6))</f>
        <v>#VALUE!</v>
      </c>
      <c r="CF6" s="677" t="s">
        <v>12</v>
      </c>
      <c r="CG6" s="3"/>
    </row>
    <row r="7" spans="1:85">
      <c r="A7" s="203">
        <f>A6+1</f>
        <v>2</v>
      </c>
      <c r="B7" s="812" t="s">
        <v>361</v>
      </c>
      <c r="C7" s="696">
        <f ca="1">IF(OR($B7="",$D7="",$D7=0),"",_xll.meDateFromTenor(COB,$B7,$AG7,$AH7))</f>
        <v>43229</v>
      </c>
      <c r="D7" s="816">
        <v>1000000</v>
      </c>
      <c r="E7" s="817" t="s">
        <v>188</v>
      </c>
      <c r="F7" s="693" t="s">
        <v>40</v>
      </c>
      <c r="G7" s="695" t="s">
        <v>1995</v>
      </c>
      <c r="H7" s="821" t="s">
        <v>316</v>
      </c>
      <c r="I7" s="694">
        <v>0</v>
      </c>
      <c r="J7" s="693" t="s">
        <v>1997</v>
      </c>
      <c r="K7" s="821" t="s">
        <v>355</v>
      </c>
      <c r="L7" s="692">
        <v>0</v>
      </c>
      <c r="M7" s="677"/>
      <c r="N7" s="686" t="s">
        <v>1994</v>
      </c>
      <c r="O7" s="687" t="str">
        <f t="shared" si="0"/>
        <v>JPY</v>
      </c>
      <c r="P7" s="689" t="str">
        <f t="shared" si="1"/>
        <v>PAY</v>
      </c>
      <c r="Q7" s="691">
        <f t="shared" si="2"/>
        <v>1000000</v>
      </c>
      <c r="R7" s="687" t="s">
        <v>1992</v>
      </c>
      <c r="S7" s="690">
        <v>1</v>
      </c>
      <c r="T7" s="689">
        <f t="shared" ca="1" si="3"/>
        <v>43229</v>
      </c>
      <c r="U7" s="689" t="str">
        <f t="shared" si="4"/>
        <v>2Y</v>
      </c>
      <c r="V7" s="687" t="str">
        <f t="shared" si="5"/>
        <v>QUARTERLY</v>
      </c>
      <c r="W7" s="688">
        <f t="shared" si="6"/>
        <v>0</v>
      </c>
      <c r="X7" s="687" t="str">
        <f t="shared" si="7"/>
        <v>JPYYC</v>
      </c>
      <c r="Y7" s="687" t="str">
        <f t="shared" si="8"/>
        <v>JPY3ML</v>
      </c>
      <c r="Z7" s="687" t="str">
        <f t="shared" ref="Z7:Z25" si="21">$E7&amp;"OIS"</f>
        <v>JPYOIS</v>
      </c>
      <c r="AA7" s="687" t="s">
        <v>3</v>
      </c>
      <c r="AB7" s="687" t="s">
        <v>38</v>
      </c>
      <c r="AC7" s="687" t="s">
        <v>2094</v>
      </c>
      <c r="AD7" s="687" t="s">
        <v>38</v>
      </c>
      <c r="AE7" s="687" t="s">
        <v>2094</v>
      </c>
      <c r="AF7" s="687" t="s">
        <v>356</v>
      </c>
      <c r="AG7" s="687" t="s">
        <v>38</v>
      </c>
      <c r="AH7" s="687" t="s">
        <v>2094</v>
      </c>
      <c r="AI7" s="687" t="s">
        <v>356</v>
      </c>
      <c r="AJ7" s="687">
        <f t="shared" ca="1" si="9"/>
        <v>9</v>
      </c>
      <c r="AK7" s="687"/>
      <c r="AL7" s="687"/>
      <c r="AM7" s="550" t="s">
        <v>2252</v>
      </c>
      <c r="AN7" s="550" t="s">
        <v>2252</v>
      </c>
      <c r="AO7" s="687"/>
      <c r="AP7" s="687"/>
      <c r="AQ7" s="539" t="s">
        <v>1991</v>
      </c>
      <c r="AS7" s="686" t="s">
        <v>1993</v>
      </c>
      <c r="AT7" s="687" t="str">
        <f t="shared" si="10"/>
        <v>JPY</v>
      </c>
      <c r="AU7" s="689" t="str">
        <f t="shared" si="11"/>
        <v>RECEIVE</v>
      </c>
      <c r="AV7" s="691">
        <f t="shared" si="12"/>
        <v>1000000</v>
      </c>
      <c r="AW7" s="687" t="s">
        <v>1992</v>
      </c>
      <c r="AX7" s="690">
        <v>1</v>
      </c>
      <c r="AY7" s="689">
        <f t="shared" ca="1" si="13"/>
        <v>43229</v>
      </c>
      <c r="AZ7" s="689" t="str">
        <f t="shared" si="14"/>
        <v>2Y</v>
      </c>
      <c r="BA7" s="687" t="str">
        <f t="shared" si="15"/>
        <v>SEMI-ANNUAL</v>
      </c>
      <c r="BB7" s="688">
        <f t="shared" si="16"/>
        <v>0</v>
      </c>
      <c r="BC7" s="687" t="str">
        <f t="shared" si="17"/>
        <v>JPYYC</v>
      </c>
      <c r="BD7" s="687" t="str">
        <f t="shared" si="18"/>
        <v>JPY6ML</v>
      </c>
      <c r="BE7" s="687" t="str">
        <f t="shared" si="19"/>
        <v>JPYOIS</v>
      </c>
      <c r="BF7" s="687" t="s">
        <v>3</v>
      </c>
      <c r="BG7" s="687" t="s">
        <v>38</v>
      </c>
      <c r="BH7" s="687" t="s">
        <v>2094</v>
      </c>
      <c r="BI7" s="687" t="s">
        <v>38</v>
      </c>
      <c r="BJ7" s="687" t="s">
        <v>2094</v>
      </c>
      <c r="BK7" s="687" t="s">
        <v>356</v>
      </c>
      <c r="BL7" s="687" t="s">
        <v>38</v>
      </c>
      <c r="BM7" s="687" t="s">
        <v>2094</v>
      </c>
      <c r="BN7" s="687" t="s">
        <v>356</v>
      </c>
      <c r="BO7" s="687">
        <f t="shared" ca="1" si="20"/>
        <v>9</v>
      </c>
      <c r="BP7" s="687"/>
      <c r="BQ7" s="687"/>
      <c r="BR7" s="550" t="s">
        <v>2252</v>
      </c>
      <c r="BS7" s="550" t="s">
        <v>2252</v>
      </c>
      <c r="BT7" s="687"/>
      <c r="BU7" s="687"/>
      <c r="BV7" s="539" t="s">
        <v>1991</v>
      </c>
      <c r="BW7" s="671" t="s">
        <v>12</v>
      </c>
      <c r="BX7" s="686" t="str">
        <f ca="1">IF(OR($D7="",$D7=0),"",_xll.meLWOSwapCreateFromLegLVBs($E7&amp;LEFT($H7,LEN($H7)-2)&amp;"x"&amp;LEFT($K7,LEN($K7)-2)&amp;"_"&amp;$A7,_xll.meUtilityLVBFromKeysValues(Leg1Keys,$N7:$AQ7),_xll.meUtilityLVBFromKeysValues(Leg2Keys,$AS7:$BV7),FALSE))</f>
        <v>JPY3X6_2@107:0</v>
      </c>
      <c r="BY7" s="517" t="str">
        <f ca="1">IF(OR($D7="",$D7=0),"",_xll.meLWOSwapPV(BX7,X7))</f>
        <v>[2018/05/04 09:52] #Error: Invalid Curve: CurveIndex 'JPY3ML' in collection JPYYC does not exist</v>
      </c>
      <c r="BZ7" s="685" t="str">
        <f ca="1">IF(OR($D7="",$D7=0),"",_xll.meLWOSwapParSpread($BX7,X7))</f>
        <v>[2018/05/04 09:52] #Error: Invalid Curve: CurveIndex 'JPY3ML' in collection JPYYC does not exist</v>
      </c>
      <c r="CA7" s="671" t="s">
        <v>12</v>
      </c>
      <c r="CB7" s="684" t="str">
        <f>'JPY Curve Config'!BJ10</f>
        <v>2Y</v>
      </c>
      <c r="CC7" s="683">
        <f>'JPY Curve Config'!BK10</f>
        <v>2.9999999999999997E-4</v>
      </c>
      <c r="CD7" s="809">
        <f t="shared" ref="CD7:CD21" si="22">CC7*10000</f>
        <v>2.9999999999999996</v>
      </c>
      <c r="CE7" s="932" t="e">
        <f t="shared" ref="CE7:CE25" ca="1" si="23">IF(OR(ISNA(VLOOKUP($CB7,$F$6:$BZ$25,73,FALSE)),$CB7=""),"",IF(VLOOKUP($CB7,$F$6:$BZ$25,73,FALSE)="","",VLOOKUP($CB7,$F$6:$BZ$25,73,FALSE)-$CD7))</f>
        <v>#VALUE!</v>
      </c>
      <c r="CF7" s="677" t="s">
        <v>12</v>
      </c>
      <c r="CG7" s="3"/>
    </row>
    <row r="8" spans="1:85">
      <c r="A8" s="203">
        <f t="shared" ref="A8:A25" si="24">A7+1</f>
        <v>3</v>
      </c>
      <c r="B8" s="812" t="s">
        <v>361</v>
      </c>
      <c r="C8" s="696">
        <f ca="1">IF(OR($B8="",$D8="",$D8=0),"",_xll.meDateFromTenor(COB,$B8,$AG8,$AH8))</f>
        <v>43229</v>
      </c>
      <c r="D8" s="816">
        <v>1000000</v>
      </c>
      <c r="E8" s="817" t="s">
        <v>188</v>
      </c>
      <c r="F8" s="693" t="s">
        <v>37</v>
      </c>
      <c r="G8" s="695" t="s">
        <v>1995</v>
      </c>
      <c r="H8" s="821" t="s">
        <v>316</v>
      </c>
      <c r="I8" s="694">
        <v>0</v>
      </c>
      <c r="J8" s="693" t="s">
        <v>1997</v>
      </c>
      <c r="K8" s="821" t="s">
        <v>355</v>
      </c>
      <c r="L8" s="692">
        <v>0</v>
      </c>
      <c r="M8" s="677"/>
      <c r="N8" s="686" t="s">
        <v>1994</v>
      </c>
      <c r="O8" s="687" t="str">
        <f t="shared" si="0"/>
        <v>JPY</v>
      </c>
      <c r="P8" s="689" t="str">
        <f t="shared" si="1"/>
        <v>PAY</v>
      </c>
      <c r="Q8" s="691">
        <f t="shared" si="2"/>
        <v>1000000</v>
      </c>
      <c r="R8" s="687" t="s">
        <v>1992</v>
      </c>
      <c r="S8" s="690">
        <v>1</v>
      </c>
      <c r="T8" s="689">
        <f t="shared" ca="1" si="3"/>
        <v>43229</v>
      </c>
      <c r="U8" s="689" t="str">
        <f t="shared" si="4"/>
        <v>3Y</v>
      </c>
      <c r="V8" s="687" t="str">
        <f t="shared" si="5"/>
        <v>QUARTERLY</v>
      </c>
      <c r="W8" s="688">
        <f t="shared" si="6"/>
        <v>0</v>
      </c>
      <c r="X8" s="687" t="str">
        <f t="shared" si="7"/>
        <v>JPYYC</v>
      </c>
      <c r="Y8" s="687" t="str">
        <f t="shared" si="8"/>
        <v>JPY3ML</v>
      </c>
      <c r="Z8" s="687" t="str">
        <f t="shared" si="21"/>
        <v>JPYOIS</v>
      </c>
      <c r="AA8" s="687" t="s">
        <v>3</v>
      </c>
      <c r="AB8" s="687" t="s">
        <v>38</v>
      </c>
      <c r="AC8" s="687" t="s">
        <v>2094</v>
      </c>
      <c r="AD8" s="687" t="s">
        <v>38</v>
      </c>
      <c r="AE8" s="687" t="s">
        <v>2094</v>
      </c>
      <c r="AF8" s="687" t="s">
        <v>356</v>
      </c>
      <c r="AG8" s="687" t="s">
        <v>38</v>
      </c>
      <c r="AH8" s="687" t="s">
        <v>2094</v>
      </c>
      <c r="AI8" s="687" t="s">
        <v>356</v>
      </c>
      <c r="AJ8" s="687">
        <f t="shared" ca="1" si="9"/>
        <v>9</v>
      </c>
      <c r="AK8" s="687"/>
      <c r="AL8" s="687"/>
      <c r="AM8" s="550" t="s">
        <v>2252</v>
      </c>
      <c r="AN8" s="550" t="s">
        <v>2252</v>
      </c>
      <c r="AO8" s="687"/>
      <c r="AP8" s="687"/>
      <c r="AQ8" s="539" t="s">
        <v>1991</v>
      </c>
      <c r="AS8" s="686" t="s">
        <v>1993</v>
      </c>
      <c r="AT8" s="687" t="str">
        <f t="shared" si="10"/>
        <v>JPY</v>
      </c>
      <c r="AU8" s="689" t="str">
        <f t="shared" si="11"/>
        <v>RECEIVE</v>
      </c>
      <c r="AV8" s="691">
        <f t="shared" si="12"/>
        <v>1000000</v>
      </c>
      <c r="AW8" s="687" t="s">
        <v>1992</v>
      </c>
      <c r="AX8" s="690">
        <v>1</v>
      </c>
      <c r="AY8" s="689">
        <f t="shared" ca="1" si="13"/>
        <v>43229</v>
      </c>
      <c r="AZ8" s="689" t="str">
        <f t="shared" si="14"/>
        <v>3Y</v>
      </c>
      <c r="BA8" s="687" t="str">
        <f t="shared" si="15"/>
        <v>SEMI-ANNUAL</v>
      </c>
      <c r="BB8" s="688">
        <f t="shared" si="16"/>
        <v>0</v>
      </c>
      <c r="BC8" s="687" t="str">
        <f t="shared" si="17"/>
        <v>JPYYC</v>
      </c>
      <c r="BD8" s="687" t="str">
        <f t="shared" si="18"/>
        <v>JPY6ML</v>
      </c>
      <c r="BE8" s="687" t="str">
        <f t="shared" si="19"/>
        <v>JPYOIS</v>
      </c>
      <c r="BF8" s="687" t="s">
        <v>3</v>
      </c>
      <c r="BG8" s="687" t="s">
        <v>38</v>
      </c>
      <c r="BH8" s="687" t="s">
        <v>2094</v>
      </c>
      <c r="BI8" s="687" t="s">
        <v>38</v>
      </c>
      <c r="BJ8" s="687" t="s">
        <v>2094</v>
      </c>
      <c r="BK8" s="687" t="s">
        <v>356</v>
      </c>
      <c r="BL8" s="687" t="s">
        <v>38</v>
      </c>
      <c r="BM8" s="687" t="s">
        <v>2094</v>
      </c>
      <c r="BN8" s="687" t="s">
        <v>356</v>
      </c>
      <c r="BO8" s="687">
        <f t="shared" ca="1" si="20"/>
        <v>9</v>
      </c>
      <c r="BP8" s="687"/>
      <c r="BQ8" s="687"/>
      <c r="BR8" s="550" t="s">
        <v>2252</v>
      </c>
      <c r="BS8" s="550" t="s">
        <v>2252</v>
      </c>
      <c r="BT8" s="687"/>
      <c r="BU8" s="687"/>
      <c r="BV8" s="539" t="s">
        <v>1991</v>
      </c>
      <c r="BW8" s="671" t="s">
        <v>12</v>
      </c>
      <c r="BX8" s="686" t="str">
        <f ca="1">IF(OR($D8="",$D8=0),"",_xll.meLWOSwapCreateFromLegLVBs($E8&amp;LEFT($H8,LEN($H8)-2)&amp;"x"&amp;LEFT($K8,LEN($K8)-2)&amp;"_"&amp;$A8,_xll.meUtilityLVBFromKeysValues(Leg1Keys,$N8:$AQ8),_xll.meUtilityLVBFromKeysValues(Leg2Keys,$AS8:$BV8),FALSE))</f>
        <v>JPY3X6_3@74:0</v>
      </c>
      <c r="BY8" s="517" t="str">
        <f ca="1">IF(OR($D8="",$D8=0),"",_xll.meLWOSwapPV(BX8,X8))</f>
        <v>[2018/05/04 09:52] #Error: Invalid Curve: CurveIndex 'JPY3ML' in collection JPYYC does not exist</v>
      </c>
      <c r="BZ8" s="685" t="str">
        <f ca="1">IF(OR($D8="",$D8=0),"",_xll.meLWOSwapParSpread($BX8,X8))</f>
        <v>[2018/05/04 09:52] #Error: Invalid Curve: CurveIndex 'JPY3ML' in collection JPYYC does not exist</v>
      </c>
      <c r="CA8" s="671" t="s">
        <v>12</v>
      </c>
      <c r="CB8" s="684" t="str">
        <f>'JPY Curve Config'!BJ11</f>
        <v>3Y</v>
      </c>
      <c r="CC8" s="683">
        <f>'JPY Curve Config'!BK11</f>
        <v>2.9999999999999997E-4</v>
      </c>
      <c r="CD8" s="809">
        <f t="shared" si="22"/>
        <v>2.9999999999999996</v>
      </c>
      <c r="CE8" s="932" t="e">
        <f t="shared" ca="1" si="23"/>
        <v>#VALUE!</v>
      </c>
      <c r="CF8" s="677" t="s">
        <v>12</v>
      </c>
      <c r="CG8" s="3"/>
    </row>
    <row r="9" spans="1:85">
      <c r="A9" s="203">
        <f t="shared" si="24"/>
        <v>4</v>
      </c>
      <c r="B9" s="812" t="s">
        <v>361</v>
      </c>
      <c r="C9" s="696">
        <f ca="1">IF(OR($B9="",$D9="",$D9=0),"",_xll.meDateFromTenor(COB,$B9,$AG9,$AH9))</f>
        <v>43229</v>
      </c>
      <c r="D9" s="816">
        <v>1000000</v>
      </c>
      <c r="E9" s="817" t="s">
        <v>188</v>
      </c>
      <c r="F9" s="693" t="s">
        <v>33</v>
      </c>
      <c r="G9" s="695" t="s">
        <v>1995</v>
      </c>
      <c r="H9" s="821" t="s">
        <v>316</v>
      </c>
      <c r="I9" s="694">
        <v>0</v>
      </c>
      <c r="J9" s="693" t="s">
        <v>1997</v>
      </c>
      <c r="K9" s="821" t="s">
        <v>355</v>
      </c>
      <c r="L9" s="692">
        <v>0</v>
      </c>
      <c r="M9" s="677"/>
      <c r="N9" s="686" t="s">
        <v>1994</v>
      </c>
      <c r="O9" s="687" t="str">
        <f t="shared" si="0"/>
        <v>JPY</v>
      </c>
      <c r="P9" s="689" t="str">
        <f t="shared" si="1"/>
        <v>PAY</v>
      </c>
      <c r="Q9" s="691">
        <f t="shared" si="2"/>
        <v>1000000</v>
      </c>
      <c r="R9" s="687" t="s">
        <v>1992</v>
      </c>
      <c r="S9" s="690">
        <v>1</v>
      </c>
      <c r="T9" s="689">
        <f t="shared" ca="1" si="3"/>
        <v>43229</v>
      </c>
      <c r="U9" s="689" t="str">
        <f t="shared" si="4"/>
        <v>4Y</v>
      </c>
      <c r="V9" s="687" t="str">
        <f t="shared" si="5"/>
        <v>QUARTERLY</v>
      </c>
      <c r="W9" s="688">
        <f t="shared" si="6"/>
        <v>0</v>
      </c>
      <c r="X9" s="687" t="str">
        <f t="shared" si="7"/>
        <v>JPYYC</v>
      </c>
      <c r="Y9" s="687" t="str">
        <f t="shared" si="8"/>
        <v>JPY3ML</v>
      </c>
      <c r="Z9" s="687" t="str">
        <f t="shared" si="21"/>
        <v>JPYOIS</v>
      </c>
      <c r="AA9" s="687" t="s">
        <v>3</v>
      </c>
      <c r="AB9" s="687" t="s">
        <v>38</v>
      </c>
      <c r="AC9" s="687" t="s">
        <v>2094</v>
      </c>
      <c r="AD9" s="687" t="s">
        <v>38</v>
      </c>
      <c r="AE9" s="687" t="s">
        <v>2094</v>
      </c>
      <c r="AF9" s="687" t="s">
        <v>356</v>
      </c>
      <c r="AG9" s="687" t="s">
        <v>38</v>
      </c>
      <c r="AH9" s="687" t="s">
        <v>2094</v>
      </c>
      <c r="AI9" s="687" t="s">
        <v>356</v>
      </c>
      <c r="AJ9" s="687">
        <f t="shared" ca="1" si="9"/>
        <v>9</v>
      </c>
      <c r="AK9" s="687"/>
      <c r="AL9" s="687"/>
      <c r="AM9" s="550" t="s">
        <v>2252</v>
      </c>
      <c r="AN9" s="550" t="s">
        <v>2252</v>
      </c>
      <c r="AO9" s="687"/>
      <c r="AP9" s="687"/>
      <c r="AQ9" s="539" t="s">
        <v>1991</v>
      </c>
      <c r="AS9" s="686" t="s">
        <v>1993</v>
      </c>
      <c r="AT9" s="687" t="str">
        <f t="shared" si="10"/>
        <v>JPY</v>
      </c>
      <c r="AU9" s="689" t="str">
        <f t="shared" si="11"/>
        <v>RECEIVE</v>
      </c>
      <c r="AV9" s="691">
        <f t="shared" si="12"/>
        <v>1000000</v>
      </c>
      <c r="AW9" s="687" t="s">
        <v>1992</v>
      </c>
      <c r="AX9" s="690">
        <v>1</v>
      </c>
      <c r="AY9" s="689">
        <f t="shared" ca="1" si="13"/>
        <v>43229</v>
      </c>
      <c r="AZ9" s="689" t="str">
        <f t="shared" si="14"/>
        <v>4Y</v>
      </c>
      <c r="BA9" s="687" t="str">
        <f t="shared" si="15"/>
        <v>SEMI-ANNUAL</v>
      </c>
      <c r="BB9" s="688">
        <f t="shared" si="16"/>
        <v>0</v>
      </c>
      <c r="BC9" s="687" t="str">
        <f t="shared" si="17"/>
        <v>JPYYC</v>
      </c>
      <c r="BD9" s="687" t="str">
        <f t="shared" si="18"/>
        <v>JPY6ML</v>
      </c>
      <c r="BE9" s="687" t="str">
        <f t="shared" si="19"/>
        <v>JPYOIS</v>
      </c>
      <c r="BF9" s="687" t="s">
        <v>3</v>
      </c>
      <c r="BG9" s="687" t="s">
        <v>38</v>
      </c>
      <c r="BH9" s="687" t="s">
        <v>2094</v>
      </c>
      <c r="BI9" s="687" t="s">
        <v>38</v>
      </c>
      <c r="BJ9" s="687" t="s">
        <v>2094</v>
      </c>
      <c r="BK9" s="687" t="s">
        <v>356</v>
      </c>
      <c r="BL9" s="687" t="s">
        <v>38</v>
      </c>
      <c r="BM9" s="687" t="s">
        <v>2094</v>
      </c>
      <c r="BN9" s="687" t="s">
        <v>356</v>
      </c>
      <c r="BO9" s="687">
        <f t="shared" ca="1" si="20"/>
        <v>9</v>
      </c>
      <c r="BP9" s="687"/>
      <c r="BQ9" s="687"/>
      <c r="BR9" s="550" t="s">
        <v>2252</v>
      </c>
      <c r="BS9" s="550" t="s">
        <v>2252</v>
      </c>
      <c r="BT9" s="687"/>
      <c r="BU9" s="687"/>
      <c r="BV9" s="539" t="s">
        <v>1991</v>
      </c>
      <c r="BW9" s="671" t="s">
        <v>12</v>
      </c>
      <c r="BX9" s="686" t="str">
        <f ca="1">IF(OR($D9="",$D9=0),"",_xll.meLWOSwapCreateFromLegLVBs($E9&amp;LEFT($H9,LEN($H9)-2)&amp;"x"&amp;LEFT($K9,LEN($K9)-2)&amp;"_"&amp;$A9,_xll.meUtilityLVBFromKeysValues(Leg1Keys,$N9:$AQ9),_xll.meUtilityLVBFromKeysValues(Leg2Keys,$AS9:$BV9),FALSE))</f>
        <v>JPY3X6_4@59:0</v>
      </c>
      <c r="BY9" s="517" t="str">
        <f ca="1">IF(OR($D9="",$D9=0),"",_xll.meLWOSwapPV(BX9,X9))</f>
        <v>[2018/05/04 09:52] #Error: Invalid Curve: CurveIndex 'JPY3ML' in collection JPYYC does not exist</v>
      </c>
      <c r="BZ9" s="685" t="str">
        <f ca="1">IF(OR($D9="",$D9=0),"",_xll.meLWOSwapParSpread($BX9,X9))</f>
        <v>[2018/05/04 09:52] #Error: Invalid Curve: CurveIndex 'JPY3ML' in collection JPYYC does not exist</v>
      </c>
      <c r="CA9" s="671" t="s">
        <v>12</v>
      </c>
      <c r="CB9" s="684" t="str">
        <f>'JPY Curve Config'!BJ12</f>
        <v>4Y</v>
      </c>
      <c r="CC9" s="683">
        <f>'JPY Curve Config'!BK12</f>
        <v>3.1250000000000001E-4</v>
      </c>
      <c r="CD9" s="809">
        <f t="shared" si="22"/>
        <v>3.125</v>
      </c>
      <c r="CE9" s="932" t="e">
        <f t="shared" ca="1" si="23"/>
        <v>#VALUE!</v>
      </c>
      <c r="CF9" s="677" t="s">
        <v>12</v>
      </c>
      <c r="CG9" s="3"/>
    </row>
    <row r="10" spans="1:85">
      <c r="A10" s="203">
        <f t="shared" si="24"/>
        <v>5</v>
      </c>
      <c r="B10" s="812" t="s">
        <v>361</v>
      </c>
      <c r="C10" s="696">
        <f ca="1">IF(OR($B10="",$D10="",$D10=0),"",_xll.meDateFromTenor(COB,$B10,$AG10,$AH10))</f>
        <v>43229</v>
      </c>
      <c r="D10" s="816">
        <v>1000000</v>
      </c>
      <c r="E10" s="817" t="s">
        <v>188</v>
      </c>
      <c r="F10" s="693" t="s">
        <v>31</v>
      </c>
      <c r="G10" s="695" t="s">
        <v>1995</v>
      </c>
      <c r="H10" s="821" t="s">
        <v>316</v>
      </c>
      <c r="I10" s="694">
        <v>0</v>
      </c>
      <c r="J10" s="693" t="s">
        <v>1997</v>
      </c>
      <c r="K10" s="821" t="s">
        <v>355</v>
      </c>
      <c r="L10" s="692">
        <v>0</v>
      </c>
      <c r="M10" s="677"/>
      <c r="N10" s="686" t="s">
        <v>1994</v>
      </c>
      <c r="O10" s="687" t="str">
        <f t="shared" si="0"/>
        <v>JPY</v>
      </c>
      <c r="P10" s="689" t="str">
        <f t="shared" si="1"/>
        <v>PAY</v>
      </c>
      <c r="Q10" s="691">
        <f t="shared" si="2"/>
        <v>1000000</v>
      </c>
      <c r="R10" s="687" t="s">
        <v>1992</v>
      </c>
      <c r="S10" s="690">
        <v>1</v>
      </c>
      <c r="T10" s="689">
        <f t="shared" ca="1" si="3"/>
        <v>43229</v>
      </c>
      <c r="U10" s="689" t="str">
        <f t="shared" si="4"/>
        <v>5Y</v>
      </c>
      <c r="V10" s="687" t="str">
        <f t="shared" si="5"/>
        <v>QUARTERLY</v>
      </c>
      <c r="W10" s="688">
        <f t="shared" si="6"/>
        <v>0</v>
      </c>
      <c r="X10" s="687" t="str">
        <f t="shared" si="7"/>
        <v>JPYYC</v>
      </c>
      <c r="Y10" s="687" t="str">
        <f t="shared" si="8"/>
        <v>JPY3ML</v>
      </c>
      <c r="Z10" s="687" t="str">
        <f t="shared" si="21"/>
        <v>JPYOIS</v>
      </c>
      <c r="AA10" s="687" t="s">
        <v>3</v>
      </c>
      <c r="AB10" s="687" t="s">
        <v>38</v>
      </c>
      <c r="AC10" s="687" t="s">
        <v>2094</v>
      </c>
      <c r="AD10" s="687" t="s">
        <v>38</v>
      </c>
      <c r="AE10" s="687" t="s">
        <v>2094</v>
      </c>
      <c r="AF10" s="687" t="s">
        <v>356</v>
      </c>
      <c r="AG10" s="687" t="s">
        <v>38</v>
      </c>
      <c r="AH10" s="687" t="s">
        <v>2094</v>
      </c>
      <c r="AI10" s="687" t="s">
        <v>356</v>
      </c>
      <c r="AJ10" s="687">
        <f t="shared" ca="1" si="9"/>
        <v>9</v>
      </c>
      <c r="AK10" s="687"/>
      <c r="AL10" s="687"/>
      <c r="AM10" s="550" t="s">
        <v>2252</v>
      </c>
      <c r="AN10" s="550" t="s">
        <v>2252</v>
      </c>
      <c r="AO10" s="687"/>
      <c r="AP10" s="687"/>
      <c r="AQ10" s="539" t="s">
        <v>1991</v>
      </c>
      <c r="AS10" s="686" t="s">
        <v>1993</v>
      </c>
      <c r="AT10" s="687" t="str">
        <f t="shared" si="10"/>
        <v>JPY</v>
      </c>
      <c r="AU10" s="689" t="str">
        <f t="shared" si="11"/>
        <v>RECEIVE</v>
      </c>
      <c r="AV10" s="691">
        <f t="shared" si="12"/>
        <v>1000000</v>
      </c>
      <c r="AW10" s="687" t="s">
        <v>1992</v>
      </c>
      <c r="AX10" s="690">
        <v>1</v>
      </c>
      <c r="AY10" s="689">
        <f t="shared" ca="1" si="13"/>
        <v>43229</v>
      </c>
      <c r="AZ10" s="689" t="str">
        <f t="shared" si="14"/>
        <v>5Y</v>
      </c>
      <c r="BA10" s="687" t="str">
        <f t="shared" si="15"/>
        <v>SEMI-ANNUAL</v>
      </c>
      <c r="BB10" s="688">
        <f t="shared" si="16"/>
        <v>0</v>
      </c>
      <c r="BC10" s="687" t="str">
        <f t="shared" si="17"/>
        <v>JPYYC</v>
      </c>
      <c r="BD10" s="687" t="str">
        <f t="shared" si="18"/>
        <v>JPY6ML</v>
      </c>
      <c r="BE10" s="687" t="str">
        <f t="shared" si="19"/>
        <v>JPYOIS</v>
      </c>
      <c r="BF10" s="687" t="s">
        <v>3</v>
      </c>
      <c r="BG10" s="687" t="s">
        <v>38</v>
      </c>
      <c r="BH10" s="687" t="s">
        <v>2094</v>
      </c>
      <c r="BI10" s="687" t="s">
        <v>38</v>
      </c>
      <c r="BJ10" s="687" t="s">
        <v>2094</v>
      </c>
      <c r="BK10" s="687" t="s">
        <v>356</v>
      </c>
      <c r="BL10" s="687" t="s">
        <v>38</v>
      </c>
      <c r="BM10" s="687" t="s">
        <v>2094</v>
      </c>
      <c r="BN10" s="687" t="s">
        <v>356</v>
      </c>
      <c r="BO10" s="687">
        <f t="shared" ca="1" si="20"/>
        <v>9</v>
      </c>
      <c r="BP10" s="687"/>
      <c r="BQ10" s="687"/>
      <c r="BR10" s="550" t="s">
        <v>2252</v>
      </c>
      <c r="BS10" s="550" t="s">
        <v>2252</v>
      </c>
      <c r="BT10" s="687"/>
      <c r="BU10" s="687"/>
      <c r="BV10" s="539" t="s">
        <v>1991</v>
      </c>
      <c r="BW10" s="671" t="s">
        <v>12</v>
      </c>
      <c r="BX10" s="686" t="str">
        <f ca="1">IF(OR($D10="",$D10=0),"",_xll.meLWOSwapCreateFromLegLVBs($E10&amp;LEFT($H10,LEN($H10)-2)&amp;"x"&amp;LEFT($K10,LEN($K10)-2)&amp;"_"&amp;$A10,_xll.meUtilityLVBFromKeysValues(Leg1Keys,$N10:$AQ10),_xll.meUtilityLVBFromKeysValues(Leg2Keys,$AS10:$BV10),FALSE))</f>
        <v>JPY3X6_5@110:0</v>
      </c>
      <c r="BY10" s="517" t="str">
        <f ca="1">IF(OR($D10="",$D10=0),"",_xll.meLWOSwapPV(BX10,X10))</f>
        <v>[2018/05/04 09:52] #Error: Invalid Curve: CurveIndex 'JPY3ML' in collection JPYYC does not exist</v>
      </c>
      <c r="BZ10" s="685" t="str">
        <f ca="1">IF(OR($D10="",$D10=0),"",_xll.meLWOSwapParSpread($BX10,X10))</f>
        <v>[2018/05/04 09:52] #Error: Invalid Curve: CurveIndex 'JPY3ML' in collection JPYYC does not exist</v>
      </c>
      <c r="CA10" s="671" t="s">
        <v>12</v>
      </c>
      <c r="CB10" s="684" t="str">
        <f>'JPY Curve Config'!BJ13</f>
        <v>5Y</v>
      </c>
      <c r="CC10" s="683">
        <f>'JPY Curve Config'!BK13</f>
        <v>3.3750000000000002E-4</v>
      </c>
      <c r="CD10" s="809">
        <f t="shared" si="22"/>
        <v>3.375</v>
      </c>
      <c r="CE10" s="932" t="e">
        <f t="shared" ca="1" si="23"/>
        <v>#VALUE!</v>
      </c>
      <c r="CF10" s="677" t="s">
        <v>12</v>
      </c>
      <c r="CG10" s="3"/>
    </row>
    <row r="11" spans="1:85">
      <c r="A11" s="203">
        <f t="shared" si="24"/>
        <v>6</v>
      </c>
      <c r="B11" s="812" t="s">
        <v>361</v>
      </c>
      <c r="C11" s="696">
        <f ca="1">IF(OR($B11="",$D11="",$D11=0),"",_xll.meDateFromTenor(COB,$B11,$AG11,$AH11))</f>
        <v>43229</v>
      </c>
      <c r="D11" s="816">
        <v>1000000</v>
      </c>
      <c r="E11" s="817" t="s">
        <v>188</v>
      </c>
      <c r="F11" s="693" t="s">
        <v>127</v>
      </c>
      <c r="G11" s="695" t="s">
        <v>1995</v>
      </c>
      <c r="H11" s="821" t="s">
        <v>316</v>
      </c>
      <c r="I11" s="694">
        <v>0</v>
      </c>
      <c r="J11" s="693" t="s">
        <v>1997</v>
      </c>
      <c r="K11" s="821" t="s">
        <v>355</v>
      </c>
      <c r="L11" s="692">
        <v>0</v>
      </c>
      <c r="M11" s="677"/>
      <c r="N11" s="686" t="s">
        <v>1994</v>
      </c>
      <c r="O11" s="687" t="str">
        <f t="shared" si="0"/>
        <v>JPY</v>
      </c>
      <c r="P11" s="689" t="str">
        <f t="shared" si="1"/>
        <v>PAY</v>
      </c>
      <c r="Q11" s="691">
        <f t="shared" si="2"/>
        <v>1000000</v>
      </c>
      <c r="R11" s="687" t="s">
        <v>1992</v>
      </c>
      <c r="S11" s="690">
        <v>1</v>
      </c>
      <c r="T11" s="689">
        <f t="shared" ca="1" si="3"/>
        <v>43229</v>
      </c>
      <c r="U11" s="689" t="str">
        <f t="shared" si="4"/>
        <v>6Y</v>
      </c>
      <c r="V11" s="687" t="str">
        <f t="shared" si="5"/>
        <v>QUARTERLY</v>
      </c>
      <c r="W11" s="688">
        <f t="shared" si="6"/>
        <v>0</v>
      </c>
      <c r="X11" s="687" t="str">
        <f t="shared" si="7"/>
        <v>JPYYC</v>
      </c>
      <c r="Y11" s="687" t="str">
        <f t="shared" si="8"/>
        <v>JPY3ML</v>
      </c>
      <c r="Z11" s="687" t="str">
        <f t="shared" si="21"/>
        <v>JPYOIS</v>
      </c>
      <c r="AA11" s="687" t="s">
        <v>3</v>
      </c>
      <c r="AB11" s="687" t="s">
        <v>38</v>
      </c>
      <c r="AC11" s="687" t="s">
        <v>2094</v>
      </c>
      <c r="AD11" s="687" t="s">
        <v>38</v>
      </c>
      <c r="AE11" s="687" t="s">
        <v>2094</v>
      </c>
      <c r="AF11" s="687" t="s">
        <v>356</v>
      </c>
      <c r="AG11" s="687" t="s">
        <v>38</v>
      </c>
      <c r="AH11" s="687" t="s">
        <v>2094</v>
      </c>
      <c r="AI11" s="687" t="s">
        <v>356</v>
      </c>
      <c r="AJ11" s="687">
        <f t="shared" ca="1" si="9"/>
        <v>9</v>
      </c>
      <c r="AK11" s="687"/>
      <c r="AL11" s="687"/>
      <c r="AM11" s="550" t="s">
        <v>2252</v>
      </c>
      <c r="AN11" s="550" t="s">
        <v>2252</v>
      </c>
      <c r="AO11" s="687"/>
      <c r="AP11" s="687"/>
      <c r="AQ11" s="539" t="s">
        <v>1991</v>
      </c>
      <c r="AS11" s="686" t="s">
        <v>1993</v>
      </c>
      <c r="AT11" s="687" t="str">
        <f t="shared" si="10"/>
        <v>JPY</v>
      </c>
      <c r="AU11" s="689" t="str">
        <f t="shared" si="11"/>
        <v>RECEIVE</v>
      </c>
      <c r="AV11" s="691">
        <f t="shared" si="12"/>
        <v>1000000</v>
      </c>
      <c r="AW11" s="687" t="s">
        <v>1992</v>
      </c>
      <c r="AX11" s="690">
        <v>1</v>
      </c>
      <c r="AY11" s="689">
        <f t="shared" ca="1" si="13"/>
        <v>43229</v>
      </c>
      <c r="AZ11" s="689" t="str">
        <f t="shared" si="14"/>
        <v>6Y</v>
      </c>
      <c r="BA11" s="687" t="str">
        <f t="shared" si="15"/>
        <v>SEMI-ANNUAL</v>
      </c>
      <c r="BB11" s="688">
        <f t="shared" si="16"/>
        <v>0</v>
      </c>
      <c r="BC11" s="687" t="str">
        <f t="shared" si="17"/>
        <v>JPYYC</v>
      </c>
      <c r="BD11" s="687" t="str">
        <f t="shared" si="18"/>
        <v>JPY6ML</v>
      </c>
      <c r="BE11" s="687" t="str">
        <f t="shared" si="19"/>
        <v>JPYOIS</v>
      </c>
      <c r="BF11" s="687" t="s">
        <v>3</v>
      </c>
      <c r="BG11" s="687" t="s">
        <v>38</v>
      </c>
      <c r="BH11" s="687" t="s">
        <v>2094</v>
      </c>
      <c r="BI11" s="687" t="s">
        <v>38</v>
      </c>
      <c r="BJ11" s="687" t="s">
        <v>2094</v>
      </c>
      <c r="BK11" s="687" t="s">
        <v>356</v>
      </c>
      <c r="BL11" s="687" t="s">
        <v>38</v>
      </c>
      <c r="BM11" s="687" t="s">
        <v>2094</v>
      </c>
      <c r="BN11" s="687" t="s">
        <v>356</v>
      </c>
      <c r="BO11" s="687">
        <f t="shared" ca="1" si="20"/>
        <v>9</v>
      </c>
      <c r="BP11" s="687"/>
      <c r="BQ11" s="687"/>
      <c r="BR11" s="550" t="s">
        <v>2252</v>
      </c>
      <c r="BS11" s="550" t="s">
        <v>2252</v>
      </c>
      <c r="BT11" s="687"/>
      <c r="BU11" s="687"/>
      <c r="BV11" s="539" t="s">
        <v>1991</v>
      </c>
      <c r="BW11" s="671" t="s">
        <v>12</v>
      </c>
      <c r="BX11" s="686" t="str">
        <f ca="1">IF(OR($D11="",$D11=0),"",_xll.meLWOSwapCreateFromLegLVBs($E11&amp;LEFT($H11,LEN($H11)-2)&amp;"x"&amp;LEFT($K11,LEN($K11)-2)&amp;"_"&amp;$A11,_xll.meUtilityLVBFromKeysValues(Leg1Keys,$N11:$AQ11),_xll.meUtilityLVBFromKeysValues(Leg2Keys,$AS11:$BV11),FALSE))</f>
        <v>JPY3X6_6@48:0</v>
      </c>
      <c r="BY11" s="517" t="str">
        <f ca="1">IF(OR($D11="",$D11=0),"",_xll.meLWOSwapPV(BX11,X11))</f>
        <v>[2018/05/04 09:52] #Error: Invalid Curve: CurveIndex 'JPY3ML' in collection JPYYC does not exist</v>
      </c>
      <c r="BZ11" s="685" t="str">
        <f ca="1">IF(OR($D11="",$D11=0),"",_xll.meLWOSwapParSpread($BX11,X11))</f>
        <v>[2018/05/04 09:52] #Error: Invalid Curve: CurveIndex 'JPY3ML' in collection JPYYC does not exist</v>
      </c>
      <c r="CA11" s="671" t="s">
        <v>12</v>
      </c>
      <c r="CB11" s="684" t="str">
        <f>'JPY Curve Config'!BJ14</f>
        <v>6Y</v>
      </c>
      <c r="CC11" s="683">
        <f>'JPY Curve Config'!BK14</f>
        <v>3.6249999999999998E-4</v>
      </c>
      <c r="CD11" s="809">
        <f t="shared" si="22"/>
        <v>3.6249999999999996</v>
      </c>
      <c r="CE11" s="932" t="e">
        <f t="shared" ca="1" si="23"/>
        <v>#VALUE!</v>
      </c>
      <c r="CF11" s="677" t="s">
        <v>12</v>
      </c>
      <c r="CG11" s="3"/>
    </row>
    <row r="12" spans="1:85">
      <c r="A12" s="203">
        <f t="shared" si="24"/>
        <v>7</v>
      </c>
      <c r="B12" s="812" t="s">
        <v>361</v>
      </c>
      <c r="C12" s="696">
        <f ca="1">IF(OR($B12="",$D12="",$D12=0),"",_xll.meDateFromTenor(COB,$B12,$AG12,$AH12))</f>
        <v>43229</v>
      </c>
      <c r="D12" s="816">
        <v>1000000</v>
      </c>
      <c r="E12" s="817" t="s">
        <v>188</v>
      </c>
      <c r="F12" s="693" t="s">
        <v>29</v>
      </c>
      <c r="G12" s="695" t="s">
        <v>1995</v>
      </c>
      <c r="H12" s="821" t="s">
        <v>316</v>
      </c>
      <c r="I12" s="694">
        <v>0</v>
      </c>
      <c r="J12" s="693" t="s">
        <v>1997</v>
      </c>
      <c r="K12" s="821" t="s">
        <v>355</v>
      </c>
      <c r="L12" s="692">
        <v>0</v>
      </c>
      <c r="M12" s="677"/>
      <c r="N12" s="686" t="s">
        <v>1994</v>
      </c>
      <c r="O12" s="687" t="str">
        <f t="shared" si="0"/>
        <v>JPY</v>
      </c>
      <c r="P12" s="689" t="str">
        <f t="shared" si="1"/>
        <v>PAY</v>
      </c>
      <c r="Q12" s="691">
        <f t="shared" si="2"/>
        <v>1000000</v>
      </c>
      <c r="R12" s="687" t="s">
        <v>1992</v>
      </c>
      <c r="S12" s="690">
        <v>1</v>
      </c>
      <c r="T12" s="689">
        <f t="shared" ca="1" si="3"/>
        <v>43229</v>
      </c>
      <c r="U12" s="689" t="str">
        <f t="shared" si="4"/>
        <v>7Y</v>
      </c>
      <c r="V12" s="687" t="str">
        <f t="shared" si="5"/>
        <v>QUARTERLY</v>
      </c>
      <c r="W12" s="688">
        <f t="shared" si="6"/>
        <v>0</v>
      </c>
      <c r="X12" s="687" t="str">
        <f t="shared" si="7"/>
        <v>JPYYC</v>
      </c>
      <c r="Y12" s="687" t="str">
        <f t="shared" si="8"/>
        <v>JPY3ML</v>
      </c>
      <c r="Z12" s="687" t="str">
        <f t="shared" si="21"/>
        <v>JPYOIS</v>
      </c>
      <c r="AA12" s="687" t="s">
        <v>3</v>
      </c>
      <c r="AB12" s="687" t="s">
        <v>38</v>
      </c>
      <c r="AC12" s="687" t="s">
        <v>2094</v>
      </c>
      <c r="AD12" s="687" t="s">
        <v>38</v>
      </c>
      <c r="AE12" s="687" t="s">
        <v>2094</v>
      </c>
      <c r="AF12" s="687" t="s">
        <v>356</v>
      </c>
      <c r="AG12" s="687" t="s">
        <v>38</v>
      </c>
      <c r="AH12" s="687" t="s">
        <v>2094</v>
      </c>
      <c r="AI12" s="687" t="s">
        <v>356</v>
      </c>
      <c r="AJ12" s="687">
        <f t="shared" ca="1" si="9"/>
        <v>9</v>
      </c>
      <c r="AK12" s="687"/>
      <c r="AL12" s="687"/>
      <c r="AM12" s="550" t="s">
        <v>2252</v>
      </c>
      <c r="AN12" s="550" t="s">
        <v>2252</v>
      </c>
      <c r="AO12" s="687"/>
      <c r="AP12" s="687"/>
      <c r="AQ12" s="539" t="s">
        <v>1991</v>
      </c>
      <c r="AS12" s="686" t="s">
        <v>1993</v>
      </c>
      <c r="AT12" s="687" t="str">
        <f t="shared" si="10"/>
        <v>JPY</v>
      </c>
      <c r="AU12" s="689" t="str">
        <f t="shared" si="11"/>
        <v>RECEIVE</v>
      </c>
      <c r="AV12" s="691">
        <f t="shared" si="12"/>
        <v>1000000</v>
      </c>
      <c r="AW12" s="687" t="s">
        <v>1992</v>
      </c>
      <c r="AX12" s="690">
        <v>1</v>
      </c>
      <c r="AY12" s="689">
        <f t="shared" ca="1" si="13"/>
        <v>43229</v>
      </c>
      <c r="AZ12" s="689" t="str">
        <f t="shared" si="14"/>
        <v>7Y</v>
      </c>
      <c r="BA12" s="687" t="str">
        <f t="shared" si="15"/>
        <v>SEMI-ANNUAL</v>
      </c>
      <c r="BB12" s="688">
        <f t="shared" si="16"/>
        <v>0</v>
      </c>
      <c r="BC12" s="687" t="str">
        <f t="shared" si="17"/>
        <v>JPYYC</v>
      </c>
      <c r="BD12" s="687" t="str">
        <f t="shared" si="18"/>
        <v>JPY6ML</v>
      </c>
      <c r="BE12" s="687" t="str">
        <f t="shared" si="19"/>
        <v>JPYOIS</v>
      </c>
      <c r="BF12" s="687" t="s">
        <v>3</v>
      </c>
      <c r="BG12" s="687" t="s">
        <v>38</v>
      </c>
      <c r="BH12" s="687" t="s">
        <v>2094</v>
      </c>
      <c r="BI12" s="687" t="s">
        <v>38</v>
      </c>
      <c r="BJ12" s="687" t="s">
        <v>2094</v>
      </c>
      <c r="BK12" s="687" t="s">
        <v>356</v>
      </c>
      <c r="BL12" s="687" t="s">
        <v>38</v>
      </c>
      <c r="BM12" s="687" t="s">
        <v>2094</v>
      </c>
      <c r="BN12" s="687" t="s">
        <v>356</v>
      </c>
      <c r="BO12" s="687">
        <f t="shared" ca="1" si="20"/>
        <v>9</v>
      </c>
      <c r="BP12" s="687"/>
      <c r="BQ12" s="687"/>
      <c r="BR12" s="550" t="s">
        <v>2252</v>
      </c>
      <c r="BS12" s="550" t="s">
        <v>2252</v>
      </c>
      <c r="BT12" s="687"/>
      <c r="BU12" s="687"/>
      <c r="BV12" s="539" t="s">
        <v>1991</v>
      </c>
      <c r="BW12" s="671" t="s">
        <v>12</v>
      </c>
      <c r="BX12" s="686" t="str">
        <f ca="1">IF(OR($D12="",$D12=0),"",_xll.meLWOSwapCreateFromLegLVBs($E12&amp;LEFT($H12,LEN($H12)-2)&amp;"x"&amp;LEFT($K12,LEN($K12)-2)&amp;"_"&amp;$A12,_xll.meUtilityLVBFromKeysValues(Leg1Keys,$N12:$AQ12),_xll.meUtilityLVBFromKeysValues(Leg2Keys,$AS12:$BV12),FALSE))</f>
        <v>JPY3X6_7@47:0</v>
      </c>
      <c r="BY12" s="517" t="str">
        <f ca="1">IF(OR($D12="",$D12=0),"",_xll.meLWOSwapPV(BX12,X12))</f>
        <v>[2018/05/04 09:52] #Error: Invalid Curve: CurveIndex 'JPY3ML' in collection JPYYC does not exist</v>
      </c>
      <c r="BZ12" s="685" t="str">
        <f ca="1">IF(OR($D12="",$D12=0),"",_xll.meLWOSwapParSpread($BX12,X12))</f>
        <v>[2018/05/04 09:52] #Error: Invalid Curve: CurveIndex 'JPY3ML' in collection JPYYC does not exist</v>
      </c>
      <c r="CA12" s="671" t="s">
        <v>12</v>
      </c>
      <c r="CB12" s="684" t="str">
        <f>'JPY Curve Config'!BJ15</f>
        <v>7Y</v>
      </c>
      <c r="CC12" s="683">
        <f>'JPY Curve Config'!BK15</f>
        <v>4.0000000000000002E-4</v>
      </c>
      <c r="CD12" s="809">
        <f t="shared" si="22"/>
        <v>4</v>
      </c>
      <c r="CE12" s="932" t="e">
        <f t="shared" ca="1" si="23"/>
        <v>#VALUE!</v>
      </c>
      <c r="CF12" s="677" t="s">
        <v>12</v>
      </c>
      <c r="CG12" s="3"/>
    </row>
    <row r="13" spans="1:85">
      <c r="A13" s="203">
        <f t="shared" si="24"/>
        <v>8</v>
      </c>
      <c r="B13" s="812" t="s">
        <v>361</v>
      </c>
      <c r="C13" s="696">
        <f ca="1">IF(OR($B13="",$D13="",$D13=0),"",_xll.meDateFromTenor(COB,$B13,$AG13,$AH13))</f>
        <v>43229</v>
      </c>
      <c r="D13" s="816">
        <v>1000000</v>
      </c>
      <c r="E13" s="817" t="s">
        <v>188</v>
      </c>
      <c r="F13" s="693" t="s">
        <v>115</v>
      </c>
      <c r="G13" s="695" t="s">
        <v>1995</v>
      </c>
      <c r="H13" s="821" t="s">
        <v>316</v>
      </c>
      <c r="I13" s="694">
        <v>0</v>
      </c>
      <c r="J13" s="693" t="s">
        <v>1997</v>
      </c>
      <c r="K13" s="821" t="s">
        <v>355</v>
      </c>
      <c r="L13" s="692">
        <v>0</v>
      </c>
      <c r="M13" s="677"/>
      <c r="N13" s="686" t="s">
        <v>1994</v>
      </c>
      <c r="O13" s="687" t="str">
        <f t="shared" si="0"/>
        <v>JPY</v>
      </c>
      <c r="P13" s="689" t="str">
        <f t="shared" si="1"/>
        <v>PAY</v>
      </c>
      <c r="Q13" s="691">
        <f t="shared" si="2"/>
        <v>1000000</v>
      </c>
      <c r="R13" s="687" t="s">
        <v>1992</v>
      </c>
      <c r="S13" s="690">
        <v>1</v>
      </c>
      <c r="T13" s="689">
        <f t="shared" ca="1" si="3"/>
        <v>43229</v>
      </c>
      <c r="U13" s="689" t="str">
        <f t="shared" si="4"/>
        <v>8Y</v>
      </c>
      <c r="V13" s="687" t="str">
        <f t="shared" si="5"/>
        <v>QUARTERLY</v>
      </c>
      <c r="W13" s="688">
        <f t="shared" si="6"/>
        <v>0</v>
      </c>
      <c r="X13" s="687" t="str">
        <f t="shared" si="7"/>
        <v>JPYYC</v>
      </c>
      <c r="Y13" s="687" t="str">
        <f t="shared" si="8"/>
        <v>JPY3ML</v>
      </c>
      <c r="Z13" s="687" t="str">
        <f t="shared" si="21"/>
        <v>JPYOIS</v>
      </c>
      <c r="AA13" s="687" t="s">
        <v>3</v>
      </c>
      <c r="AB13" s="687" t="s">
        <v>38</v>
      </c>
      <c r="AC13" s="687" t="s">
        <v>2094</v>
      </c>
      <c r="AD13" s="687" t="s">
        <v>38</v>
      </c>
      <c r="AE13" s="687" t="s">
        <v>2094</v>
      </c>
      <c r="AF13" s="687" t="s">
        <v>356</v>
      </c>
      <c r="AG13" s="687" t="s">
        <v>38</v>
      </c>
      <c r="AH13" s="687" t="s">
        <v>2094</v>
      </c>
      <c r="AI13" s="687" t="s">
        <v>356</v>
      </c>
      <c r="AJ13" s="687">
        <f t="shared" ca="1" si="9"/>
        <v>9</v>
      </c>
      <c r="AK13" s="687"/>
      <c r="AL13" s="687"/>
      <c r="AM13" s="550" t="s">
        <v>2252</v>
      </c>
      <c r="AN13" s="550" t="s">
        <v>2252</v>
      </c>
      <c r="AO13" s="687"/>
      <c r="AP13" s="687"/>
      <c r="AQ13" s="539" t="s">
        <v>1991</v>
      </c>
      <c r="AS13" s="686" t="s">
        <v>1993</v>
      </c>
      <c r="AT13" s="687" t="str">
        <f t="shared" si="10"/>
        <v>JPY</v>
      </c>
      <c r="AU13" s="689" t="str">
        <f t="shared" si="11"/>
        <v>RECEIVE</v>
      </c>
      <c r="AV13" s="691">
        <f t="shared" si="12"/>
        <v>1000000</v>
      </c>
      <c r="AW13" s="687" t="s">
        <v>1992</v>
      </c>
      <c r="AX13" s="690">
        <v>1</v>
      </c>
      <c r="AY13" s="689">
        <f t="shared" ca="1" si="13"/>
        <v>43229</v>
      </c>
      <c r="AZ13" s="689" t="str">
        <f t="shared" si="14"/>
        <v>8Y</v>
      </c>
      <c r="BA13" s="687" t="str">
        <f t="shared" si="15"/>
        <v>SEMI-ANNUAL</v>
      </c>
      <c r="BB13" s="688">
        <f t="shared" si="16"/>
        <v>0</v>
      </c>
      <c r="BC13" s="687" t="str">
        <f t="shared" si="17"/>
        <v>JPYYC</v>
      </c>
      <c r="BD13" s="687" t="str">
        <f t="shared" si="18"/>
        <v>JPY6ML</v>
      </c>
      <c r="BE13" s="687" t="str">
        <f t="shared" si="19"/>
        <v>JPYOIS</v>
      </c>
      <c r="BF13" s="687" t="s">
        <v>3</v>
      </c>
      <c r="BG13" s="687" t="s">
        <v>38</v>
      </c>
      <c r="BH13" s="687" t="s">
        <v>2094</v>
      </c>
      <c r="BI13" s="687" t="s">
        <v>38</v>
      </c>
      <c r="BJ13" s="687" t="s">
        <v>2094</v>
      </c>
      <c r="BK13" s="687" t="s">
        <v>356</v>
      </c>
      <c r="BL13" s="687" t="s">
        <v>38</v>
      </c>
      <c r="BM13" s="687" t="s">
        <v>2094</v>
      </c>
      <c r="BN13" s="687" t="s">
        <v>356</v>
      </c>
      <c r="BO13" s="687">
        <f t="shared" ca="1" si="20"/>
        <v>9</v>
      </c>
      <c r="BP13" s="687"/>
      <c r="BQ13" s="687"/>
      <c r="BR13" s="550" t="s">
        <v>2252</v>
      </c>
      <c r="BS13" s="550" t="s">
        <v>2252</v>
      </c>
      <c r="BT13" s="687"/>
      <c r="BU13" s="687"/>
      <c r="BV13" s="539" t="s">
        <v>1991</v>
      </c>
      <c r="BW13" s="671" t="s">
        <v>12</v>
      </c>
      <c r="BX13" s="686" t="str">
        <f ca="1">IF(OR($D13="",$D13=0),"",_xll.meLWOSwapCreateFromLegLVBs($E13&amp;LEFT($H13,LEN($H13)-2)&amp;"x"&amp;LEFT($K13,LEN($K13)-2)&amp;"_"&amp;$A13,_xll.meUtilityLVBFromKeysValues(Leg1Keys,$N13:$AQ13),_xll.meUtilityLVBFromKeysValues(Leg2Keys,$AS13:$BV13),FALSE))</f>
        <v>JPY3X6_8@56:0</v>
      </c>
      <c r="BY13" s="517" t="str">
        <f ca="1">IF(OR($D13="",$D13=0),"",_xll.meLWOSwapPV(BX13,X13))</f>
        <v>[2018/05/04 09:52] #Error: Invalid Curve: CurveIndex 'JPY3ML' in collection JPYYC does not exist</v>
      </c>
      <c r="BZ13" s="685" t="str">
        <f ca="1">IF(OR($D13="",$D13=0),"",_xll.meLWOSwapParSpread($BX13,X13))</f>
        <v>[2018/05/04 09:52] #Error: Invalid Curve: CurveIndex 'JPY3ML' in collection JPYYC does not exist</v>
      </c>
      <c r="CA13" s="671" t="s">
        <v>12</v>
      </c>
      <c r="CB13" s="684" t="str">
        <f>'JPY Curve Config'!BJ16</f>
        <v>8Y</v>
      </c>
      <c r="CC13" s="683">
        <f>'JPY Curve Config'!BK16</f>
        <v>4.4999999999999999E-4</v>
      </c>
      <c r="CD13" s="809">
        <f t="shared" si="22"/>
        <v>4.5</v>
      </c>
      <c r="CE13" s="932" t="e">
        <f t="shared" ca="1" si="23"/>
        <v>#VALUE!</v>
      </c>
      <c r="CF13" s="677" t="s">
        <v>12</v>
      </c>
      <c r="CG13" s="3"/>
    </row>
    <row r="14" spans="1:85">
      <c r="A14" s="203">
        <f t="shared" si="24"/>
        <v>9</v>
      </c>
      <c r="B14" s="812" t="s">
        <v>361</v>
      </c>
      <c r="C14" s="696">
        <f ca="1">IF(OR($B14="",$D14="",$D14=0),"",_xll.meDateFromTenor(COB,$B14,$AG14,$AH14))</f>
        <v>43229</v>
      </c>
      <c r="D14" s="816">
        <v>1000000</v>
      </c>
      <c r="E14" s="817" t="s">
        <v>188</v>
      </c>
      <c r="F14" s="693" t="s">
        <v>109</v>
      </c>
      <c r="G14" s="695" t="s">
        <v>1995</v>
      </c>
      <c r="H14" s="821" t="s">
        <v>316</v>
      </c>
      <c r="I14" s="694">
        <v>0</v>
      </c>
      <c r="J14" s="693" t="s">
        <v>1997</v>
      </c>
      <c r="K14" s="821" t="s">
        <v>355</v>
      </c>
      <c r="L14" s="692">
        <v>0</v>
      </c>
      <c r="M14" s="677"/>
      <c r="N14" s="686" t="s">
        <v>1994</v>
      </c>
      <c r="O14" s="687" t="str">
        <f t="shared" si="0"/>
        <v>JPY</v>
      </c>
      <c r="P14" s="689" t="str">
        <f t="shared" si="1"/>
        <v>PAY</v>
      </c>
      <c r="Q14" s="691">
        <f t="shared" si="2"/>
        <v>1000000</v>
      </c>
      <c r="R14" s="687" t="s">
        <v>1992</v>
      </c>
      <c r="S14" s="690">
        <v>1</v>
      </c>
      <c r="T14" s="689">
        <f t="shared" ca="1" si="3"/>
        <v>43229</v>
      </c>
      <c r="U14" s="689" t="str">
        <f t="shared" si="4"/>
        <v>9Y</v>
      </c>
      <c r="V14" s="687" t="str">
        <f t="shared" si="5"/>
        <v>QUARTERLY</v>
      </c>
      <c r="W14" s="688">
        <f t="shared" si="6"/>
        <v>0</v>
      </c>
      <c r="X14" s="687" t="str">
        <f t="shared" si="7"/>
        <v>JPYYC</v>
      </c>
      <c r="Y14" s="687" t="str">
        <f t="shared" si="8"/>
        <v>JPY3ML</v>
      </c>
      <c r="Z14" s="687" t="str">
        <f t="shared" si="21"/>
        <v>JPYOIS</v>
      </c>
      <c r="AA14" s="687" t="s">
        <v>3</v>
      </c>
      <c r="AB14" s="687" t="s">
        <v>38</v>
      </c>
      <c r="AC14" s="687" t="s">
        <v>2094</v>
      </c>
      <c r="AD14" s="687" t="s">
        <v>38</v>
      </c>
      <c r="AE14" s="687" t="s">
        <v>2094</v>
      </c>
      <c r="AF14" s="687" t="s">
        <v>356</v>
      </c>
      <c r="AG14" s="687" t="s">
        <v>38</v>
      </c>
      <c r="AH14" s="687" t="s">
        <v>2094</v>
      </c>
      <c r="AI14" s="687" t="s">
        <v>356</v>
      </c>
      <c r="AJ14" s="687">
        <f t="shared" ca="1" si="9"/>
        <v>9</v>
      </c>
      <c r="AK14" s="687"/>
      <c r="AL14" s="687"/>
      <c r="AM14" s="550" t="s">
        <v>2252</v>
      </c>
      <c r="AN14" s="550" t="s">
        <v>2252</v>
      </c>
      <c r="AO14" s="687"/>
      <c r="AP14" s="687"/>
      <c r="AQ14" s="539" t="s">
        <v>1991</v>
      </c>
      <c r="AS14" s="686" t="s">
        <v>1993</v>
      </c>
      <c r="AT14" s="687" t="str">
        <f t="shared" si="10"/>
        <v>JPY</v>
      </c>
      <c r="AU14" s="689" t="str">
        <f t="shared" si="11"/>
        <v>RECEIVE</v>
      </c>
      <c r="AV14" s="691">
        <f t="shared" si="12"/>
        <v>1000000</v>
      </c>
      <c r="AW14" s="687" t="s">
        <v>1992</v>
      </c>
      <c r="AX14" s="690">
        <v>1</v>
      </c>
      <c r="AY14" s="689">
        <f t="shared" ca="1" si="13"/>
        <v>43229</v>
      </c>
      <c r="AZ14" s="689" t="str">
        <f t="shared" si="14"/>
        <v>9Y</v>
      </c>
      <c r="BA14" s="687" t="str">
        <f t="shared" si="15"/>
        <v>SEMI-ANNUAL</v>
      </c>
      <c r="BB14" s="688">
        <f t="shared" si="16"/>
        <v>0</v>
      </c>
      <c r="BC14" s="687" t="str">
        <f t="shared" si="17"/>
        <v>JPYYC</v>
      </c>
      <c r="BD14" s="687" t="str">
        <f t="shared" si="18"/>
        <v>JPY6ML</v>
      </c>
      <c r="BE14" s="687" t="str">
        <f t="shared" si="19"/>
        <v>JPYOIS</v>
      </c>
      <c r="BF14" s="687" t="s">
        <v>3</v>
      </c>
      <c r="BG14" s="687" t="s">
        <v>38</v>
      </c>
      <c r="BH14" s="687" t="s">
        <v>2094</v>
      </c>
      <c r="BI14" s="687" t="s">
        <v>38</v>
      </c>
      <c r="BJ14" s="687" t="s">
        <v>2094</v>
      </c>
      <c r="BK14" s="687" t="s">
        <v>356</v>
      </c>
      <c r="BL14" s="687" t="s">
        <v>38</v>
      </c>
      <c r="BM14" s="687" t="s">
        <v>2094</v>
      </c>
      <c r="BN14" s="687" t="s">
        <v>356</v>
      </c>
      <c r="BO14" s="687">
        <f t="shared" ca="1" si="20"/>
        <v>9</v>
      </c>
      <c r="BP14" s="687"/>
      <c r="BQ14" s="687"/>
      <c r="BR14" s="550" t="s">
        <v>2252</v>
      </c>
      <c r="BS14" s="550" t="s">
        <v>2252</v>
      </c>
      <c r="BT14" s="687"/>
      <c r="BU14" s="687"/>
      <c r="BV14" s="539" t="s">
        <v>1991</v>
      </c>
      <c r="BW14" s="671" t="s">
        <v>12</v>
      </c>
      <c r="BX14" s="686" t="str">
        <f ca="1">IF(OR($D14="",$D14=0),"",_xll.meLWOSwapCreateFromLegLVBs($E14&amp;LEFT($H14,LEN($H14)-2)&amp;"x"&amp;LEFT($K14,LEN($K14)-2)&amp;"_"&amp;$A14,_xll.meUtilityLVBFromKeysValues(Leg1Keys,$N14:$AQ14),_xll.meUtilityLVBFromKeysValues(Leg2Keys,$AS14:$BV14),FALSE))</f>
        <v>JPY3X6_9@34:0</v>
      </c>
      <c r="BY14" s="517" t="str">
        <f ca="1">IF(OR($D14="",$D14=0),"",_xll.meLWOSwapPV(BX14,X14))</f>
        <v>[2018/05/04 09:52] #Error: Invalid Curve: CurveIndex 'JPY3ML' in collection JPYYC does not exist</v>
      </c>
      <c r="BZ14" s="685" t="str">
        <f ca="1">IF(OR($D14="",$D14=0),"",_xll.meLWOSwapParSpread($BX14,X14))</f>
        <v>[2018/05/04 09:52] #Error: Invalid Curve: CurveIndex 'JPY3ML' in collection JPYYC does not exist</v>
      </c>
      <c r="CA14" s="671" t="s">
        <v>12</v>
      </c>
      <c r="CB14" s="684" t="str">
        <f>'JPY Curve Config'!BJ17</f>
        <v>9Y</v>
      </c>
      <c r="CC14" s="683">
        <f>'JPY Curve Config'!BK17</f>
        <v>5.0000000000000001E-4</v>
      </c>
      <c r="CD14" s="809">
        <f t="shared" si="22"/>
        <v>5</v>
      </c>
      <c r="CE14" s="932" t="e">
        <f t="shared" ca="1" si="23"/>
        <v>#VALUE!</v>
      </c>
      <c r="CF14" s="677" t="s">
        <v>12</v>
      </c>
      <c r="CG14" s="3"/>
    </row>
    <row r="15" spans="1:85">
      <c r="A15" s="203">
        <f t="shared" si="24"/>
        <v>10</v>
      </c>
      <c r="B15" s="812" t="s">
        <v>361</v>
      </c>
      <c r="C15" s="696">
        <f ca="1">IF(OR($B15="",$D15="",$D15=0),"",_xll.meDateFromTenor(COB,$B15,$AG15,$AH15))</f>
        <v>43229</v>
      </c>
      <c r="D15" s="816">
        <v>1000000</v>
      </c>
      <c r="E15" s="817" t="s">
        <v>188</v>
      </c>
      <c r="F15" s="693" t="s">
        <v>27</v>
      </c>
      <c r="G15" s="695" t="s">
        <v>1995</v>
      </c>
      <c r="H15" s="821" t="s">
        <v>316</v>
      </c>
      <c r="I15" s="694">
        <v>0</v>
      </c>
      <c r="J15" s="693" t="s">
        <v>1997</v>
      </c>
      <c r="K15" s="821" t="s">
        <v>355</v>
      </c>
      <c r="L15" s="692">
        <v>0</v>
      </c>
      <c r="M15" s="677"/>
      <c r="N15" s="686" t="s">
        <v>1994</v>
      </c>
      <c r="O15" s="687" t="str">
        <f t="shared" si="0"/>
        <v>JPY</v>
      </c>
      <c r="P15" s="689" t="str">
        <f t="shared" si="1"/>
        <v>PAY</v>
      </c>
      <c r="Q15" s="691">
        <f t="shared" si="2"/>
        <v>1000000</v>
      </c>
      <c r="R15" s="687" t="s">
        <v>1992</v>
      </c>
      <c r="S15" s="690">
        <v>1</v>
      </c>
      <c r="T15" s="689">
        <f t="shared" ca="1" si="3"/>
        <v>43229</v>
      </c>
      <c r="U15" s="689" t="str">
        <f t="shared" si="4"/>
        <v>10Y</v>
      </c>
      <c r="V15" s="687" t="str">
        <f t="shared" si="5"/>
        <v>QUARTERLY</v>
      </c>
      <c r="W15" s="688">
        <f t="shared" si="6"/>
        <v>0</v>
      </c>
      <c r="X15" s="687" t="str">
        <f t="shared" si="7"/>
        <v>JPYYC</v>
      </c>
      <c r="Y15" s="687" t="str">
        <f t="shared" si="8"/>
        <v>JPY3ML</v>
      </c>
      <c r="Z15" s="687" t="str">
        <f t="shared" si="21"/>
        <v>JPYOIS</v>
      </c>
      <c r="AA15" s="687" t="s">
        <v>3</v>
      </c>
      <c r="AB15" s="687" t="s">
        <v>38</v>
      </c>
      <c r="AC15" s="687" t="s">
        <v>2094</v>
      </c>
      <c r="AD15" s="687" t="s">
        <v>38</v>
      </c>
      <c r="AE15" s="687" t="s">
        <v>2094</v>
      </c>
      <c r="AF15" s="687" t="s">
        <v>356</v>
      </c>
      <c r="AG15" s="687" t="s">
        <v>38</v>
      </c>
      <c r="AH15" s="687" t="s">
        <v>2094</v>
      </c>
      <c r="AI15" s="687" t="s">
        <v>356</v>
      </c>
      <c r="AJ15" s="687">
        <f t="shared" ca="1" si="9"/>
        <v>9</v>
      </c>
      <c r="AK15" s="687"/>
      <c r="AL15" s="687"/>
      <c r="AM15" s="550" t="s">
        <v>2252</v>
      </c>
      <c r="AN15" s="550" t="s">
        <v>2252</v>
      </c>
      <c r="AO15" s="687"/>
      <c r="AP15" s="687"/>
      <c r="AQ15" s="539" t="s">
        <v>1991</v>
      </c>
      <c r="AS15" s="686" t="s">
        <v>1993</v>
      </c>
      <c r="AT15" s="687" t="str">
        <f t="shared" si="10"/>
        <v>JPY</v>
      </c>
      <c r="AU15" s="689" t="str">
        <f t="shared" si="11"/>
        <v>RECEIVE</v>
      </c>
      <c r="AV15" s="691">
        <f t="shared" si="12"/>
        <v>1000000</v>
      </c>
      <c r="AW15" s="687" t="s">
        <v>1992</v>
      </c>
      <c r="AX15" s="690">
        <v>1</v>
      </c>
      <c r="AY15" s="689">
        <f t="shared" ca="1" si="13"/>
        <v>43229</v>
      </c>
      <c r="AZ15" s="689" t="str">
        <f t="shared" si="14"/>
        <v>10Y</v>
      </c>
      <c r="BA15" s="687" t="str">
        <f t="shared" si="15"/>
        <v>SEMI-ANNUAL</v>
      </c>
      <c r="BB15" s="688">
        <f t="shared" si="16"/>
        <v>0</v>
      </c>
      <c r="BC15" s="687" t="str">
        <f t="shared" si="17"/>
        <v>JPYYC</v>
      </c>
      <c r="BD15" s="687" t="str">
        <f t="shared" si="18"/>
        <v>JPY6ML</v>
      </c>
      <c r="BE15" s="687" t="str">
        <f t="shared" si="19"/>
        <v>JPYOIS</v>
      </c>
      <c r="BF15" s="687" t="s">
        <v>3</v>
      </c>
      <c r="BG15" s="687" t="s">
        <v>38</v>
      </c>
      <c r="BH15" s="687" t="s">
        <v>2094</v>
      </c>
      <c r="BI15" s="687" t="s">
        <v>38</v>
      </c>
      <c r="BJ15" s="687" t="s">
        <v>2094</v>
      </c>
      <c r="BK15" s="687" t="s">
        <v>356</v>
      </c>
      <c r="BL15" s="687" t="s">
        <v>38</v>
      </c>
      <c r="BM15" s="687" t="s">
        <v>2094</v>
      </c>
      <c r="BN15" s="687" t="s">
        <v>356</v>
      </c>
      <c r="BO15" s="687">
        <f t="shared" ca="1" si="20"/>
        <v>9</v>
      </c>
      <c r="BP15" s="687"/>
      <c r="BQ15" s="687"/>
      <c r="BR15" s="550" t="s">
        <v>2252</v>
      </c>
      <c r="BS15" s="550" t="s">
        <v>2252</v>
      </c>
      <c r="BT15" s="687"/>
      <c r="BU15" s="687"/>
      <c r="BV15" s="539" t="s">
        <v>1991</v>
      </c>
      <c r="BW15" s="671" t="s">
        <v>12</v>
      </c>
      <c r="BX15" s="686" t="str">
        <f ca="1">IF(OR($D15="",$D15=0),"",_xll.meLWOSwapCreateFromLegLVBs($E15&amp;LEFT($H15,LEN($H15)-2)&amp;"x"&amp;LEFT($K15,LEN($K15)-2)&amp;"_"&amp;$A15,_xll.meUtilityLVBFromKeysValues(Leg1Keys,$N15:$AQ15),_xll.meUtilityLVBFromKeysValues(Leg2Keys,$AS15:$BV15),FALSE))</f>
        <v>JPY3X6_10@146:0</v>
      </c>
      <c r="BY15" s="517" t="str">
        <f ca="1">IF(OR($D15="",$D15=0),"",_xll.meLWOSwapPV(BX15,X15))</f>
        <v>[2018/05/04 09:52] #Error: Invalid Curve: CurveIndex 'JPY3ML' in collection JPYYC does not exist</v>
      </c>
      <c r="BZ15" s="685" t="str">
        <f ca="1">IF(OR($D15="",$D15=0),"",_xll.meLWOSwapParSpread($BX15,X15))</f>
        <v>[2018/05/04 09:52] #Error: Invalid Curve: CurveIndex 'JPY3ML' in collection JPYYC does not exist</v>
      </c>
      <c r="CA15" s="671" t="s">
        <v>12</v>
      </c>
      <c r="CB15" s="684" t="str">
        <f>'JPY Curve Config'!BJ18</f>
        <v>10Y</v>
      </c>
      <c r="CC15" s="683">
        <f>'JPY Curve Config'!BK18</f>
        <v>5.5000000000000003E-4</v>
      </c>
      <c r="CD15" s="809">
        <f t="shared" si="22"/>
        <v>5.5</v>
      </c>
      <c r="CE15" s="932" t="e">
        <f t="shared" ca="1" si="23"/>
        <v>#VALUE!</v>
      </c>
      <c r="CF15" s="677" t="s">
        <v>12</v>
      </c>
      <c r="CG15" s="3"/>
    </row>
    <row r="16" spans="1:85">
      <c r="A16" s="203">
        <f t="shared" si="24"/>
        <v>11</v>
      </c>
      <c r="B16" s="812" t="s">
        <v>361</v>
      </c>
      <c r="C16" s="696">
        <f ca="1">IF(OR($B16="",$D16="",$D16=0),"",_xll.meDateFromTenor(COB,$B16,$AG16,$AH16))</f>
        <v>43229</v>
      </c>
      <c r="D16" s="816">
        <v>1000000</v>
      </c>
      <c r="E16" s="817" t="s">
        <v>188</v>
      </c>
      <c r="F16" s="693" t="s">
        <v>318</v>
      </c>
      <c r="G16" s="695" t="s">
        <v>1995</v>
      </c>
      <c r="H16" s="821" t="s">
        <v>316</v>
      </c>
      <c r="I16" s="694">
        <v>0</v>
      </c>
      <c r="J16" s="693" t="s">
        <v>1997</v>
      </c>
      <c r="K16" s="821" t="s">
        <v>355</v>
      </c>
      <c r="L16" s="692">
        <v>0</v>
      </c>
      <c r="M16" s="677"/>
      <c r="N16" s="686" t="s">
        <v>1994</v>
      </c>
      <c r="O16" s="687" t="str">
        <f t="shared" si="0"/>
        <v>JPY</v>
      </c>
      <c r="P16" s="689" t="str">
        <f t="shared" si="1"/>
        <v>PAY</v>
      </c>
      <c r="Q16" s="691">
        <f t="shared" si="2"/>
        <v>1000000</v>
      </c>
      <c r="R16" s="687" t="s">
        <v>1992</v>
      </c>
      <c r="S16" s="690">
        <v>1</v>
      </c>
      <c r="T16" s="689">
        <f t="shared" ca="1" si="3"/>
        <v>43229</v>
      </c>
      <c r="U16" s="689" t="str">
        <f t="shared" si="4"/>
        <v>11Y</v>
      </c>
      <c r="V16" s="687" t="str">
        <f t="shared" si="5"/>
        <v>QUARTERLY</v>
      </c>
      <c r="W16" s="688">
        <f t="shared" si="6"/>
        <v>0</v>
      </c>
      <c r="X16" s="687" t="str">
        <f t="shared" si="7"/>
        <v>JPYYC</v>
      </c>
      <c r="Y16" s="687" t="str">
        <f t="shared" si="8"/>
        <v>JPY3ML</v>
      </c>
      <c r="Z16" s="687" t="str">
        <f t="shared" si="21"/>
        <v>JPYOIS</v>
      </c>
      <c r="AA16" s="687" t="s">
        <v>3</v>
      </c>
      <c r="AB16" s="687" t="s">
        <v>38</v>
      </c>
      <c r="AC16" s="687" t="s">
        <v>2094</v>
      </c>
      <c r="AD16" s="687" t="s">
        <v>38</v>
      </c>
      <c r="AE16" s="687" t="s">
        <v>2094</v>
      </c>
      <c r="AF16" s="687" t="s">
        <v>356</v>
      </c>
      <c r="AG16" s="687" t="s">
        <v>38</v>
      </c>
      <c r="AH16" s="687" t="s">
        <v>2094</v>
      </c>
      <c r="AI16" s="687" t="s">
        <v>356</v>
      </c>
      <c r="AJ16" s="687">
        <f t="shared" ca="1" si="9"/>
        <v>9</v>
      </c>
      <c r="AK16" s="687"/>
      <c r="AL16" s="687"/>
      <c r="AM16" s="550" t="s">
        <v>2252</v>
      </c>
      <c r="AN16" s="550" t="s">
        <v>2252</v>
      </c>
      <c r="AO16" s="687"/>
      <c r="AP16" s="687"/>
      <c r="AQ16" s="539" t="s">
        <v>1991</v>
      </c>
      <c r="AS16" s="686" t="s">
        <v>1993</v>
      </c>
      <c r="AT16" s="687" t="str">
        <f t="shared" si="10"/>
        <v>JPY</v>
      </c>
      <c r="AU16" s="689" t="str">
        <f t="shared" si="11"/>
        <v>RECEIVE</v>
      </c>
      <c r="AV16" s="691">
        <f t="shared" si="12"/>
        <v>1000000</v>
      </c>
      <c r="AW16" s="687" t="s">
        <v>1992</v>
      </c>
      <c r="AX16" s="690">
        <v>1</v>
      </c>
      <c r="AY16" s="689">
        <f t="shared" ca="1" si="13"/>
        <v>43229</v>
      </c>
      <c r="AZ16" s="689" t="str">
        <f t="shared" si="14"/>
        <v>11Y</v>
      </c>
      <c r="BA16" s="687" t="str">
        <f t="shared" si="15"/>
        <v>SEMI-ANNUAL</v>
      </c>
      <c r="BB16" s="688">
        <f t="shared" si="16"/>
        <v>0</v>
      </c>
      <c r="BC16" s="687" t="str">
        <f t="shared" si="17"/>
        <v>JPYYC</v>
      </c>
      <c r="BD16" s="687" t="str">
        <f t="shared" si="18"/>
        <v>JPY6ML</v>
      </c>
      <c r="BE16" s="687" t="str">
        <f t="shared" si="19"/>
        <v>JPYOIS</v>
      </c>
      <c r="BF16" s="687" t="s">
        <v>3</v>
      </c>
      <c r="BG16" s="687" t="s">
        <v>38</v>
      </c>
      <c r="BH16" s="687" t="s">
        <v>2094</v>
      </c>
      <c r="BI16" s="687" t="s">
        <v>38</v>
      </c>
      <c r="BJ16" s="687" t="s">
        <v>2094</v>
      </c>
      <c r="BK16" s="687" t="s">
        <v>356</v>
      </c>
      <c r="BL16" s="687" t="s">
        <v>38</v>
      </c>
      <c r="BM16" s="687" t="s">
        <v>2094</v>
      </c>
      <c r="BN16" s="687" t="s">
        <v>356</v>
      </c>
      <c r="BO16" s="687">
        <f t="shared" ca="1" si="20"/>
        <v>9</v>
      </c>
      <c r="BP16" s="687"/>
      <c r="BQ16" s="687"/>
      <c r="BR16" s="550" t="s">
        <v>2252</v>
      </c>
      <c r="BS16" s="550" t="s">
        <v>2252</v>
      </c>
      <c r="BT16" s="687"/>
      <c r="BU16" s="687"/>
      <c r="BV16" s="539" t="s">
        <v>1991</v>
      </c>
      <c r="BW16" s="671" t="s">
        <v>12</v>
      </c>
      <c r="BX16" s="686" t="str">
        <f ca="1">IF(OR($D16="",$D16=0),"",_xll.meLWOSwapCreateFromLegLVBs($E16&amp;LEFT($H16,LEN($H16)-2)&amp;"x"&amp;LEFT($K16,LEN($K16)-2)&amp;"_"&amp;$A16,_xll.meUtilityLVBFromKeysValues(Leg1Keys,$N16:$AQ16),_xll.meUtilityLVBFromKeysValues(Leg2Keys,$AS16:$BV16),FALSE))</f>
        <v>JPY3X6_11@133:0</v>
      </c>
      <c r="BY16" s="517" t="str">
        <f ca="1">IF(OR($D16="",$D16=0),"",_xll.meLWOSwapPV(BX16,X16))</f>
        <v>[2018/05/04 09:52] #Error: Invalid Curve: CurveIndex 'JPY3ML' in collection JPYYC does not exist</v>
      </c>
      <c r="BZ16" s="685" t="str">
        <f ca="1">IF(OR($D16="",$D16=0),"",_xll.meLWOSwapParSpread($BX16,X16))</f>
        <v>[2018/05/04 09:52] #Error: Invalid Curve: CurveIndex 'JPY3ML' in collection JPYYC does not exist</v>
      </c>
      <c r="CA16" s="671" t="s">
        <v>12</v>
      </c>
      <c r="CB16" s="684" t="str">
        <f>'JPY Curve Config'!BJ19</f>
        <v>11Y</v>
      </c>
      <c r="CC16" s="683">
        <f>'JPY Curve Config'!BK19</f>
        <v>5.9999999999999995E-4</v>
      </c>
      <c r="CD16" s="809">
        <f t="shared" si="22"/>
        <v>5.9999999999999991</v>
      </c>
      <c r="CE16" s="932" t="e">
        <f t="shared" ca="1" si="23"/>
        <v>#VALUE!</v>
      </c>
      <c r="CF16" s="677" t="s">
        <v>12</v>
      </c>
      <c r="CG16" s="3"/>
    </row>
    <row r="17" spans="1:85">
      <c r="A17" s="203">
        <f t="shared" si="24"/>
        <v>12</v>
      </c>
      <c r="B17" s="812" t="s">
        <v>361</v>
      </c>
      <c r="C17" s="696">
        <f ca="1">IF(OR($B17="",$D17="",$D17=0),"",_xll.meDateFromTenor(COB,$B17,$AG17,$AH17))</f>
        <v>43229</v>
      </c>
      <c r="D17" s="816">
        <v>1000000</v>
      </c>
      <c r="E17" s="817" t="s">
        <v>188</v>
      </c>
      <c r="F17" s="693" t="s">
        <v>25</v>
      </c>
      <c r="G17" s="695" t="s">
        <v>1995</v>
      </c>
      <c r="H17" s="821" t="s">
        <v>316</v>
      </c>
      <c r="I17" s="694">
        <v>0</v>
      </c>
      <c r="J17" s="693" t="s">
        <v>1997</v>
      </c>
      <c r="K17" s="821" t="s">
        <v>355</v>
      </c>
      <c r="L17" s="692">
        <v>0</v>
      </c>
      <c r="M17" s="677"/>
      <c r="N17" s="686" t="s">
        <v>1994</v>
      </c>
      <c r="O17" s="687" t="str">
        <f t="shared" si="0"/>
        <v>JPY</v>
      </c>
      <c r="P17" s="689" t="str">
        <f t="shared" si="1"/>
        <v>PAY</v>
      </c>
      <c r="Q17" s="691">
        <f t="shared" si="2"/>
        <v>1000000</v>
      </c>
      <c r="R17" s="687" t="s">
        <v>1992</v>
      </c>
      <c r="S17" s="690">
        <v>1</v>
      </c>
      <c r="T17" s="689">
        <f t="shared" ca="1" si="3"/>
        <v>43229</v>
      </c>
      <c r="U17" s="689" t="str">
        <f t="shared" si="4"/>
        <v>12Y</v>
      </c>
      <c r="V17" s="687" t="str">
        <f t="shared" si="5"/>
        <v>QUARTERLY</v>
      </c>
      <c r="W17" s="688">
        <f t="shared" si="6"/>
        <v>0</v>
      </c>
      <c r="X17" s="687" t="str">
        <f t="shared" si="7"/>
        <v>JPYYC</v>
      </c>
      <c r="Y17" s="687" t="str">
        <f t="shared" si="8"/>
        <v>JPY3ML</v>
      </c>
      <c r="Z17" s="687" t="str">
        <f t="shared" si="21"/>
        <v>JPYOIS</v>
      </c>
      <c r="AA17" s="687" t="s">
        <v>3</v>
      </c>
      <c r="AB17" s="687" t="s">
        <v>38</v>
      </c>
      <c r="AC17" s="687" t="s">
        <v>2094</v>
      </c>
      <c r="AD17" s="687" t="s">
        <v>38</v>
      </c>
      <c r="AE17" s="687" t="s">
        <v>2094</v>
      </c>
      <c r="AF17" s="687" t="s">
        <v>356</v>
      </c>
      <c r="AG17" s="687" t="s">
        <v>38</v>
      </c>
      <c r="AH17" s="687" t="s">
        <v>2094</v>
      </c>
      <c r="AI17" s="687" t="s">
        <v>356</v>
      </c>
      <c r="AJ17" s="687">
        <f t="shared" ca="1" si="9"/>
        <v>9</v>
      </c>
      <c r="AK17" s="687"/>
      <c r="AL17" s="687"/>
      <c r="AM17" s="550" t="s">
        <v>2252</v>
      </c>
      <c r="AN17" s="550" t="s">
        <v>2252</v>
      </c>
      <c r="AO17" s="687"/>
      <c r="AP17" s="687"/>
      <c r="AQ17" s="539" t="s">
        <v>1991</v>
      </c>
      <c r="AS17" s="686" t="s">
        <v>1993</v>
      </c>
      <c r="AT17" s="687" t="str">
        <f t="shared" si="10"/>
        <v>JPY</v>
      </c>
      <c r="AU17" s="689" t="str">
        <f t="shared" si="11"/>
        <v>RECEIVE</v>
      </c>
      <c r="AV17" s="691">
        <f t="shared" si="12"/>
        <v>1000000</v>
      </c>
      <c r="AW17" s="687" t="s">
        <v>1992</v>
      </c>
      <c r="AX17" s="690">
        <v>1</v>
      </c>
      <c r="AY17" s="689">
        <f t="shared" ca="1" si="13"/>
        <v>43229</v>
      </c>
      <c r="AZ17" s="689" t="str">
        <f t="shared" si="14"/>
        <v>12Y</v>
      </c>
      <c r="BA17" s="687" t="str">
        <f t="shared" si="15"/>
        <v>SEMI-ANNUAL</v>
      </c>
      <c r="BB17" s="688">
        <f t="shared" si="16"/>
        <v>0</v>
      </c>
      <c r="BC17" s="687" t="str">
        <f t="shared" si="17"/>
        <v>JPYYC</v>
      </c>
      <c r="BD17" s="687" t="str">
        <f t="shared" si="18"/>
        <v>JPY6ML</v>
      </c>
      <c r="BE17" s="687" t="str">
        <f t="shared" si="19"/>
        <v>JPYOIS</v>
      </c>
      <c r="BF17" s="687" t="s">
        <v>3</v>
      </c>
      <c r="BG17" s="687" t="s">
        <v>38</v>
      </c>
      <c r="BH17" s="687" t="s">
        <v>2094</v>
      </c>
      <c r="BI17" s="687" t="s">
        <v>38</v>
      </c>
      <c r="BJ17" s="687" t="s">
        <v>2094</v>
      </c>
      <c r="BK17" s="687" t="s">
        <v>356</v>
      </c>
      <c r="BL17" s="687" t="s">
        <v>38</v>
      </c>
      <c r="BM17" s="687" t="s">
        <v>2094</v>
      </c>
      <c r="BN17" s="687" t="s">
        <v>356</v>
      </c>
      <c r="BO17" s="687">
        <f t="shared" ca="1" si="20"/>
        <v>9</v>
      </c>
      <c r="BP17" s="687"/>
      <c r="BQ17" s="687"/>
      <c r="BR17" s="550" t="s">
        <v>2252</v>
      </c>
      <c r="BS17" s="550" t="s">
        <v>2252</v>
      </c>
      <c r="BT17" s="687"/>
      <c r="BU17" s="687"/>
      <c r="BV17" s="539" t="s">
        <v>1991</v>
      </c>
      <c r="BW17" s="671" t="s">
        <v>12</v>
      </c>
      <c r="BX17" s="686" t="str">
        <f ca="1">IF(OR($D17="",$D17=0),"",_xll.meLWOSwapCreateFromLegLVBs($E17&amp;LEFT($H17,LEN($H17)-2)&amp;"x"&amp;LEFT($K17,LEN($K17)-2)&amp;"_"&amp;$A17,_xll.meUtilityLVBFromKeysValues(Leg1Keys,$N17:$AQ17),_xll.meUtilityLVBFromKeysValues(Leg2Keys,$AS17:$BV17),FALSE))</f>
        <v>JPY3X6_12@55:0</v>
      </c>
      <c r="BY17" s="517" t="str">
        <f ca="1">IF(OR($D17="",$D17=0),"",_xll.meLWOSwapPV(BX17,X17))</f>
        <v>[2018/05/04 09:52] #Error: Invalid Curve: CurveIndex 'JPY3ML' in collection JPYYC does not exist</v>
      </c>
      <c r="BZ17" s="685" t="str">
        <f ca="1">IF(OR($D17="",$D17=0),"",_xll.meLWOSwapParSpread($BX17,X17))</f>
        <v>[2018/05/04 09:52] #Error: Invalid Curve: CurveIndex 'JPY3ML' in collection JPYYC does not exist</v>
      </c>
      <c r="CA17" s="671" t="s">
        <v>12</v>
      </c>
      <c r="CB17" s="684" t="str">
        <f>'JPY Curve Config'!BJ20</f>
        <v>12Y</v>
      </c>
      <c r="CC17" s="683">
        <f>'JPY Curve Config'!BK20</f>
        <v>6.3750000000000005E-4</v>
      </c>
      <c r="CD17" s="809">
        <f t="shared" si="22"/>
        <v>6.3750000000000009</v>
      </c>
      <c r="CE17" s="932" t="e">
        <f t="shared" ca="1" si="23"/>
        <v>#VALUE!</v>
      </c>
      <c r="CF17" s="677" t="s">
        <v>12</v>
      </c>
      <c r="CG17" s="3"/>
    </row>
    <row r="18" spans="1:85">
      <c r="A18" s="203">
        <f t="shared" si="24"/>
        <v>13</v>
      </c>
      <c r="B18" s="812" t="s">
        <v>361</v>
      </c>
      <c r="C18" s="696">
        <f ca="1">IF(OR($B18="",$D18="",$D18=0),"",_xll.meDateFromTenor(COB,$B18,$AG18,$AH18))</f>
        <v>43229</v>
      </c>
      <c r="D18" s="816">
        <v>1000000</v>
      </c>
      <c r="E18" s="817" t="s">
        <v>188</v>
      </c>
      <c r="F18" s="693" t="s">
        <v>23</v>
      </c>
      <c r="G18" s="695" t="s">
        <v>1995</v>
      </c>
      <c r="H18" s="821" t="s">
        <v>316</v>
      </c>
      <c r="I18" s="694">
        <v>0</v>
      </c>
      <c r="J18" s="693" t="s">
        <v>1997</v>
      </c>
      <c r="K18" s="821" t="s">
        <v>355</v>
      </c>
      <c r="L18" s="692">
        <v>0</v>
      </c>
      <c r="M18" s="677"/>
      <c r="N18" s="686" t="s">
        <v>1994</v>
      </c>
      <c r="O18" s="687" t="str">
        <f t="shared" si="0"/>
        <v>JPY</v>
      </c>
      <c r="P18" s="689" t="str">
        <f t="shared" si="1"/>
        <v>PAY</v>
      </c>
      <c r="Q18" s="691">
        <f t="shared" si="2"/>
        <v>1000000</v>
      </c>
      <c r="R18" s="687" t="s">
        <v>1992</v>
      </c>
      <c r="S18" s="690">
        <v>1</v>
      </c>
      <c r="T18" s="689">
        <f t="shared" ca="1" si="3"/>
        <v>43229</v>
      </c>
      <c r="U18" s="689" t="str">
        <f t="shared" si="4"/>
        <v>15Y</v>
      </c>
      <c r="V18" s="687" t="str">
        <f t="shared" si="5"/>
        <v>QUARTERLY</v>
      </c>
      <c r="W18" s="688">
        <f t="shared" si="6"/>
        <v>0</v>
      </c>
      <c r="X18" s="687" t="str">
        <f t="shared" si="7"/>
        <v>JPYYC</v>
      </c>
      <c r="Y18" s="687" t="str">
        <f t="shared" si="8"/>
        <v>JPY3ML</v>
      </c>
      <c r="Z18" s="687" t="str">
        <f t="shared" si="21"/>
        <v>JPYOIS</v>
      </c>
      <c r="AA18" s="687" t="s">
        <v>3</v>
      </c>
      <c r="AB18" s="687" t="s">
        <v>38</v>
      </c>
      <c r="AC18" s="687" t="s">
        <v>2094</v>
      </c>
      <c r="AD18" s="687" t="s">
        <v>38</v>
      </c>
      <c r="AE18" s="687" t="s">
        <v>2094</v>
      </c>
      <c r="AF18" s="687" t="s">
        <v>356</v>
      </c>
      <c r="AG18" s="687" t="s">
        <v>38</v>
      </c>
      <c r="AH18" s="687" t="s">
        <v>2094</v>
      </c>
      <c r="AI18" s="687" t="s">
        <v>356</v>
      </c>
      <c r="AJ18" s="687">
        <f t="shared" ca="1" si="9"/>
        <v>9</v>
      </c>
      <c r="AK18" s="687"/>
      <c r="AL18" s="687"/>
      <c r="AM18" s="550" t="s">
        <v>2252</v>
      </c>
      <c r="AN18" s="550" t="s">
        <v>2252</v>
      </c>
      <c r="AO18" s="687"/>
      <c r="AP18" s="687"/>
      <c r="AQ18" s="539" t="s">
        <v>1991</v>
      </c>
      <c r="AS18" s="686" t="s">
        <v>1993</v>
      </c>
      <c r="AT18" s="687" t="str">
        <f t="shared" si="10"/>
        <v>JPY</v>
      </c>
      <c r="AU18" s="689" t="str">
        <f t="shared" si="11"/>
        <v>RECEIVE</v>
      </c>
      <c r="AV18" s="691">
        <f t="shared" si="12"/>
        <v>1000000</v>
      </c>
      <c r="AW18" s="687" t="s">
        <v>1992</v>
      </c>
      <c r="AX18" s="690">
        <v>1</v>
      </c>
      <c r="AY18" s="689">
        <f t="shared" ca="1" si="13"/>
        <v>43229</v>
      </c>
      <c r="AZ18" s="689" t="str">
        <f t="shared" si="14"/>
        <v>15Y</v>
      </c>
      <c r="BA18" s="687" t="str">
        <f t="shared" si="15"/>
        <v>SEMI-ANNUAL</v>
      </c>
      <c r="BB18" s="688">
        <f t="shared" si="16"/>
        <v>0</v>
      </c>
      <c r="BC18" s="687" t="str">
        <f t="shared" si="17"/>
        <v>JPYYC</v>
      </c>
      <c r="BD18" s="687" t="str">
        <f t="shared" si="18"/>
        <v>JPY6ML</v>
      </c>
      <c r="BE18" s="687" t="str">
        <f t="shared" si="19"/>
        <v>JPYOIS</v>
      </c>
      <c r="BF18" s="687" t="s">
        <v>3</v>
      </c>
      <c r="BG18" s="687" t="s">
        <v>38</v>
      </c>
      <c r="BH18" s="687" t="s">
        <v>2094</v>
      </c>
      <c r="BI18" s="687" t="s">
        <v>38</v>
      </c>
      <c r="BJ18" s="687" t="s">
        <v>2094</v>
      </c>
      <c r="BK18" s="687" t="s">
        <v>356</v>
      </c>
      <c r="BL18" s="687" t="s">
        <v>38</v>
      </c>
      <c r="BM18" s="687" t="s">
        <v>2094</v>
      </c>
      <c r="BN18" s="687" t="s">
        <v>356</v>
      </c>
      <c r="BO18" s="687">
        <f t="shared" ca="1" si="20"/>
        <v>9</v>
      </c>
      <c r="BP18" s="687"/>
      <c r="BQ18" s="687"/>
      <c r="BR18" s="550" t="s">
        <v>2252</v>
      </c>
      <c r="BS18" s="550" t="s">
        <v>2252</v>
      </c>
      <c r="BT18" s="687"/>
      <c r="BU18" s="687"/>
      <c r="BV18" s="539" t="s">
        <v>1991</v>
      </c>
      <c r="BW18" s="671" t="s">
        <v>12</v>
      </c>
      <c r="BX18" s="686" t="str">
        <f ca="1">IF(OR($D18="",$D18=0),"",_xll.meLWOSwapCreateFromLegLVBs($E18&amp;LEFT($H18,LEN($H18)-2)&amp;"x"&amp;LEFT($K18,LEN($K18)-2)&amp;"_"&amp;$A18,_xll.meUtilityLVBFromKeysValues(Leg1Keys,$N18:$AQ18),_xll.meUtilityLVBFromKeysValues(Leg2Keys,$AS18:$BV18),FALSE))</f>
        <v>JPY3X6_13@57:0</v>
      </c>
      <c r="BY18" s="517" t="str">
        <f ca="1">IF(OR($D18="",$D18=0),"",_xll.meLWOSwapPV(BX18,X18))</f>
        <v>[2018/05/04 09:52] #Error: Invalid Curve: CurveIndex 'JPY3ML' in collection JPYYC does not exist</v>
      </c>
      <c r="BZ18" s="685" t="str">
        <f ca="1">IF(OR($D18="",$D18=0),"",_xll.meLWOSwapParSpread($BX18,X18))</f>
        <v>[2018/05/04 09:52] #Error: Invalid Curve: CurveIndex 'JPY3ML' in collection JPYYC does not exist</v>
      </c>
      <c r="CA18" s="671" t="s">
        <v>12</v>
      </c>
      <c r="CB18" s="684" t="str">
        <f>'JPY Curve Config'!BJ21</f>
        <v>15Y</v>
      </c>
      <c r="CC18" s="683">
        <f>'JPY Curve Config'!BK21</f>
        <v>7.1250000000000003E-4</v>
      </c>
      <c r="CD18" s="809">
        <f t="shared" si="22"/>
        <v>7.125</v>
      </c>
      <c r="CE18" s="932" t="e">
        <f t="shared" ca="1" si="23"/>
        <v>#VALUE!</v>
      </c>
      <c r="CF18" s="677" t="s">
        <v>12</v>
      </c>
      <c r="CG18" s="3"/>
    </row>
    <row r="19" spans="1:85">
      <c r="A19" s="203">
        <f t="shared" si="24"/>
        <v>14</v>
      </c>
      <c r="B19" s="812" t="s">
        <v>361</v>
      </c>
      <c r="C19" s="696">
        <f ca="1">IF(OR($B19="",$D19="",$D19=0),"",_xll.meDateFromTenor(COB,$B19,$AG19,$AH19))</f>
        <v>43229</v>
      </c>
      <c r="D19" s="816">
        <v>1000000</v>
      </c>
      <c r="E19" s="817" t="s">
        <v>188</v>
      </c>
      <c r="F19" s="693" t="s">
        <v>19</v>
      </c>
      <c r="G19" s="695" t="s">
        <v>1995</v>
      </c>
      <c r="H19" s="821" t="s">
        <v>316</v>
      </c>
      <c r="I19" s="694">
        <v>0</v>
      </c>
      <c r="J19" s="693" t="s">
        <v>1997</v>
      </c>
      <c r="K19" s="821" t="s">
        <v>355</v>
      </c>
      <c r="L19" s="692">
        <v>0</v>
      </c>
      <c r="M19" s="677"/>
      <c r="N19" s="686" t="s">
        <v>1994</v>
      </c>
      <c r="O19" s="687" t="str">
        <f t="shared" si="0"/>
        <v>JPY</v>
      </c>
      <c r="P19" s="689" t="str">
        <f t="shared" si="1"/>
        <v>PAY</v>
      </c>
      <c r="Q19" s="691">
        <f t="shared" si="2"/>
        <v>1000000</v>
      </c>
      <c r="R19" s="687" t="s">
        <v>1992</v>
      </c>
      <c r="S19" s="690">
        <v>1</v>
      </c>
      <c r="T19" s="689">
        <f t="shared" ca="1" si="3"/>
        <v>43229</v>
      </c>
      <c r="U19" s="689" t="str">
        <f t="shared" si="4"/>
        <v>20Y</v>
      </c>
      <c r="V19" s="687" t="str">
        <f t="shared" si="5"/>
        <v>QUARTERLY</v>
      </c>
      <c r="W19" s="688">
        <f t="shared" si="6"/>
        <v>0</v>
      </c>
      <c r="X19" s="687" t="str">
        <f t="shared" si="7"/>
        <v>JPYYC</v>
      </c>
      <c r="Y19" s="687" t="str">
        <f t="shared" si="8"/>
        <v>JPY3ML</v>
      </c>
      <c r="Z19" s="687" t="str">
        <f t="shared" si="21"/>
        <v>JPYOIS</v>
      </c>
      <c r="AA19" s="687" t="s">
        <v>3</v>
      </c>
      <c r="AB19" s="687" t="s">
        <v>38</v>
      </c>
      <c r="AC19" s="687" t="s">
        <v>2094</v>
      </c>
      <c r="AD19" s="687" t="s">
        <v>38</v>
      </c>
      <c r="AE19" s="687" t="s">
        <v>2094</v>
      </c>
      <c r="AF19" s="687" t="s">
        <v>356</v>
      </c>
      <c r="AG19" s="687" t="s">
        <v>38</v>
      </c>
      <c r="AH19" s="687" t="s">
        <v>2094</v>
      </c>
      <c r="AI19" s="687" t="s">
        <v>356</v>
      </c>
      <c r="AJ19" s="687">
        <f t="shared" ca="1" si="9"/>
        <v>9</v>
      </c>
      <c r="AK19" s="687"/>
      <c r="AL19" s="687"/>
      <c r="AM19" s="550" t="s">
        <v>2252</v>
      </c>
      <c r="AN19" s="550" t="s">
        <v>2252</v>
      </c>
      <c r="AO19" s="687"/>
      <c r="AP19" s="687"/>
      <c r="AQ19" s="539" t="s">
        <v>1991</v>
      </c>
      <c r="AS19" s="686" t="s">
        <v>1993</v>
      </c>
      <c r="AT19" s="687" t="str">
        <f t="shared" si="10"/>
        <v>JPY</v>
      </c>
      <c r="AU19" s="689" t="str">
        <f t="shared" si="11"/>
        <v>RECEIVE</v>
      </c>
      <c r="AV19" s="691">
        <f t="shared" si="12"/>
        <v>1000000</v>
      </c>
      <c r="AW19" s="687" t="s">
        <v>1992</v>
      </c>
      <c r="AX19" s="690">
        <v>1</v>
      </c>
      <c r="AY19" s="689">
        <f t="shared" ca="1" si="13"/>
        <v>43229</v>
      </c>
      <c r="AZ19" s="689" t="str">
        <f t="shared" si="14"/>
        <v>20Y</v>
      </c>
      <c r="BA19" s="687" t="str">
        <f t="shared" si="15"/>
        <v>SEMI-ANNUAL</v>
      </c>
      <c r="BB19" s="688">
        <f t="shared" si="16"/>
        <v>0</v>
      </c>
      <c r="BC19" s="687" t="str">
        <f t="shared" si="17"/>
        <v>JPYYC</v>
      </c>
      <c r="BD19" s="687" t="str">
        <f t="shared" si="18"/>
        <v>JPY6ML</v>
      </c>
      <c r="BE19" s="687" t="str">
        <f t="shared" si="19"/>
        <v>JPYOIS</v>
      </c>
      <c r="BF19" s="687" t="s">
        <v>3</v>
      </c>
      <c r="BG19" s="687" t="s">
        <v>38</v>
      </c>
      <c r="BH19" s="687" t="s">
        <v>2094</v>
      </c>
      <c r="BI19" s="687" t="s">
        <v>38</v>
      </c>
      <c r="BJ19" s="687" t="s">
        <v>2094</v>
      </c>
      <c r="BK19" s="687" t="s">
        <v>356</v>
      </c>
      <c r="BL19" s="687" t="s">
        <v>38</v>
      </c>
      <c r="BM19" s="687" t="s">
        <v>2094</v>
      </c>
      <c r="BN19" s="687" t="s">
        <v>356</v>
      </c>
      <c r="BO19" s="687">
        <f t="shared" ca="1" si="20"/>
        <v>9</v>
      </c>
      <c r="BP19" s="687"/>
      <c r="BQ19" s="687"/>
      <c r="BR19" s="550" t="s">
        <v>2252</v>
      </c>
      <c r="BS19" s="550" t="s">
        <v>2252</v>
      </c>
      <c r="BT19" s="687"/>
      <c r="BU19" s="687"/>
      <c r="BV19" s="539" t="s">
        <v>1991</v>
      </c>
      <c r="BW19" s="671" t="s">
        <v>12</v>
      </c>
      <c r="BX19" s="686" t="str">
        <f ca="1">IF(OR($D19="",$D19=0),"",_xll.meLWOSwapCreateFromLegLVBs($E19&amp;LEFT($H19,LEN($H19)-2)&amp;"x"&amp;LEFT($K19,LEN($K19)-2)&amp;"_"&amp;$A19,_xll.meUtilityLVBFromKeysValues(Leg1Keys,$N19:$AQ19),_xll.meUtilityLVBFromKeysValues(Leg2Keys,$AS19:$BV19),FALSE))</f>
        <v>JPY3X6_14@112:0</v>
      </c>
      <c r="BY19" s="517" t="str">
        <f ca="1">IF(OR($D19="",$D19=0),"",_xll.meLWOSwapPV(BX19,X19))</f>
        <v>[2018/05/04 09:52] #Error: Invalid Curve: CurveIndex 'JPY3ML' in collection JPYYC does not exist</v>
      </c>
      <c r="BZ19" s="685" t="str">
        <f ca="1">IF(OR($D19="",$D19=0),"",_xll.meLWOSwapParSpread($BX19,X19))</f>
        <v>[2018/05/04 09:52] #Error: Invalid Curve: CurveIndex 'JPY3ML' in collection JPYYC does not exist</v>
      </c>
      <c r="CA19" s="671" t="s">
        <v>12</v>
      </c>
      <c r="CB19" s="684" t="str">
        <f>'JPY Curve Config'!BJ22</f>
        <v>20Y</v>
      </c>
      <c r="CC19" s="683">
        <f>'JPY Curve Config'!BK22</f>
        <v>7.8750000000000001E-4</v>
      </c>
      <c r="CD19" s="809">
        <f t="shared" si="22"/>
        <v>7.875</v>
      </c>
      <c r="CE19" s="932" t="e">
        <f t="shared" ca="1" si="23"/>
        <v>#VALUE!</v>
      </c>
      <c r="CF19" s="677" t="s">
        <v>12</v>
      </c>
      <c r="CG19" s="3"/>
    </row>
    <row r="20" spans="1:85">
      <c r="A20" s="203">
        <f t="shared" si="24"/>
        <v>15</v>
      </c>
      <c r="B20" s="812" t="s">
        <v>361</v>
      </c>
      <c r="C20" s="696">
        <f ca="1">IF(OR($B20="",$D20="",$D20=0),"",_xll.meDateFromTenor(COB,$B20,$AG20,$AH20))</f>
        <v>43229</v>
      </c>
      <c r="D20" s="816">
        <v>1000000</v>
      </c>
      <c r="E20" s="817" t="s">
        <v>188</v>
      </c>
      <c r="F20" s="693" t="s">
        <v>17</v>
      </c>
      <c r="G20" s="695" t="s">
        <v>1995</v>
      </c>
      <c r="H20" s="821" t="s">
        <v>316</v>
      </c>
      <c r="I20" s="694">
        <v>0</v>
      </c>
      <c r="J20" s="693" t="s">
        <v>1997</v>
      </c>
      <c r="K20" s="821" t="s">
        <v>355</v>
      </c>
      <c r="L20" s="692">
        <v>0</v>
      </c>
      <c r="M20" s="677"/>
      <c r="N20" s="686" t="s">
        <v>1994</v>
      </c>
      <c r="O20" s="687" t="str">
        <f t="shared" si="0"/>
        <v>JPY</v>
      </c>
      <c r="P20" s="689" t="str">
        <f t="shared" si="1"/>
        <v>PAY</v>
      </c>
      <c r="Q20" s="691">
        <f t="shared" si="2"/>
        <v>1000000</v>
      </c>
      <c r="R20" s="687" t="s">
        <v>1992</v>
      </c>
      <c r="S20" s="690">
        <v>1</v>
      </c>
      <c r="T20" s="689">
        <f t="shared" ca="1" si="3"/>
        <v>43229</v>
      </c>
      <c r="U20" s="689" t="str">
        <f t="shared" si="4"/>
        <v>25Y</v>
      </c>
      <c r="V20" s="687" t="str">
        <f t="shared" si="5"/>
        <v>QUARTERLY</v>
      </c>
      <c r="W20" s="688">
        <f t="shared" si="6"/>
        <v>0</v>
      </c>
      <c r="X20" s="687" t="str">
        <f t="shared" si="7"/>
        <v>JPYYC</v>
      </c>
      <c r="Y20" s="687" t="str">
        <f t="shared" si="8"/>
        <v>JPY3ML</v>
      </c>
      <c r="Z20" s="687" t="str">
        <f t="shared" si="21"/>
        <v>JPYOIS</v>
      </c>
      <c r="AA20" s="687" t="s">
        <v>3</v>
      </c>
      <c r="AB20" s="687" t="s">
        <v>38</v>
      </c>
      <c r="AC20" s="687" t="s">
        <v>2094</v>
      </c>
      <c r="AD20" s="687" t="s">
        <v>38</v>
      </c>
      <c r="AE20" s="687" t="s">
        <v>2094</v>
      </c>
      <c r="AF20" s="687" t="s">
        <v>356</v>
      </c>
      <c r="AG20" s="687" t="s">
        <v>38</v>
      </c>
      <c r="AH20" s="687" t="s">
        <v>2094</v>
      </c>
      <c r="AI20" s="687" t="s">
        <v>356</v>
      </c>
      <c r="AJ20" s="687">
        <f t="shared" ca="1" si="9"/>
        <v>9</v>
      </c>
      <c r="AK20" s="687"/>
      <c r="AL20" s="687"/>
      <c r="AM20" s="550" t="s">
        <v>2252</v>
      </c>
      <c r="AN20" s="550" t="s">
        <v>2252</v>
      </c>
      <c r="AO20" s="687"/>
      <c r="AP20" s="687"/>
      <c r="AQ20" s="539" t="s">
        <v>1991</v>
      </c>
      <c r="AS20" s="686" t="s">
        <v>1993</v>
      </c>
      <c r="AT20" s="687" t="str">
        <f t="shared" si="10"/>
        <v>JPY</v>
      </c>
      <c r="AU20" s="689" t="str">
        <f t="shared" si="11"/>
        <v>RECEIVE</v>
      </c>
      <c r="AV20" s="691">
        <f t="shared" si="12"/>
        <v>1000000</v>
      </c>
      <c r="AW20" s="687" t="s">
        <v>1992</v>
      </c>
      <c r="AX20" s="690">
        <v>1</v>
      </c>
      <c r="AY20" s="689">
        <f t="shared" ca="1" si="13"/>
        <v>43229</v>
      </c>
      <c r="AZ20" s="689" t="str">
        <f t="shared" si="14"/>
        <v>25Y</v>
      </c>
      <c r="BA20" s="687" t="str">
        <f t="shared" si="15"/>
        <v>SEMI-ANNUAL</v>
      </c>
      <c r="BB20" s="688">
        <f t="shared" si="16"/>
        <v>0</v>
      </c>
      <c r="BC20" s="687" t="str">
        <f t="shared" si="17"/>
        <v>JPYYC</v>
      </c>
      <c r="BD20" s="687" t="str">
        <f t="shared" si="18"/>
        <v>JPY6ML</v>
      </c>
      <c r="BE20" s="687" t="str">
        <f t="shared" si="19"/>
        <v>JPYOIS</v>
      </c>
      <c r="BF20" s="687" t="s">
        <v>3</v>
      </c>
      <c r="BG20" s="687" t="s">
        <v>38</v>
      </c>
      <c r="BH20" s="687" t="s">
        <v>2094</v>
      </c>
      <c r="BI20" s="687" t="s">
        <v>38</v>
      </c>
      <c r="BJ20" s="687" t="s">
        <v>2094</v>
      </c>
      <c r="BK20" s="687" t="s">
        <v>356</v>
      </c>
      <c r="BL20" s="687" t="s">
        <v>38</v>
      </c>
      <c r="BM20" s="687" t="s">
        <v>2094</v>
      </c>
      <c r="BN20" s="687" t="s">
        <v>356</v>
      </c>
      <c r="BO20" s="687">
        <f t="shared" ca="1" si="20"/>
        <v>9</v>
      </c>
      <c r="BP20" s="687"/>
      <c r="BQ20" s="687"/>
      <c r="BR20" s="550" t="s">
        <v>2252</v>
      </c>
      <c r="BS20" s="550" t="s">
        <v>2252</v>
      </c>
      <c r="BT20" s="687"/>
      <c r="BU20" s="687"/>
      <c r="BV20" s="539" t="s">
        <v>1991</v>
      </c>
      <c r="BW20" s="671" t="s">
        <v>12</v>
      </c>
      <c r="BX20" s="686" t="str">
        <f ca="1">IF(OR($D20="",$D20=0),"",_xll.meLWOSwapCreateFromLegLVBs($E20&amp;LEFT($H20,LEN($H20)-2)&amp;"x"&amp;LEFT($K20,LEN($K20)-2)&amp;"_"&amp;$A20,_xll.meUtilityLVBFromKeysValues(Leg1Keys,$N20:$AQ20),_xll.meUtilityLVBFromKeysValues(Leg2Keys,$AS20:$BV20),FALSE))</f>
        <v>JPY3X6_15@43:0</v>
      </c>
      <c r="BY20" s="517" t="str">
        <f ca="1">IF(OR($D20="",$D20=0),"",_xll.meLWOSwapPV(BX20,X20))</f>
        <v>[2018/05/04 09:52] #Error: Invalid Curve: CurveIndex 'JPY3ML' in collection JPYYC does not exist</v>
      </c>
      <c r="BZ20" s="685" t="str">
        <f ca="1">IF(OR($D20="",$D20=0),"",_xll.meLWOSwapParSpread($BX20,X20))</f>
        <v>[2018/05/04 09:52] #Error: Invalid Curve: CurveIndex 'JPY3ML' in collection JPYYC does not exist</v>
      </c>
      <c r="CA20" s="671" t="s">
        <v>12</v>
      </c>
      <c r="CB20" s="684" t="str">
        <f>'JPY Curve Config'!BJ23</f>
        <v>25Y</v>
      </c>
      <c r="CC20" s="683">
        <f>'JPY Curve Config'!BK23</f>
        <v>8.25E-4</v>
      </c>
      <c r="CD20" s="809">
        <f t="shared" si="22"/>
        <v>8.25</v>
      </c>
      <c r="CE20" s="932" t="e">
        <f t="shared" ca="1" si="23"/>
        <v>#VALUE!</v>
      </c>
      <c r="CF20" s="677" t="s">
        <v>12</v>
      </c>
      <c r="CG20" s="3"/>
    </row>
    <row r="21" spans="1:85">
      <c r="A21" s="203">
        <f t="shared" si="24"/>
        <v>16</v>
      </c>
      <c r="B21" s="812" t="s">
        <v>361</v>
      </c>
      <c r="C21" s="696">
        <f ca="1">IF(OR($B21="",$D21="",$D21=0),"",_xll.meDateFromTenor(COB,$B21,$AG21,$AH21))</f>
        <v>43229</v>
      </c>
      <c r="D21" s="816">
        <v>1000000</v>
      </c>
      <c r="E21" s="817" t="s">
        <v>188</v>
      </c>
      <c r="F21" s="693" t="s">
        <v>16</v>
      </c>
      <c r="G21" s="695" t="s">
        <v>1995</v>
      </c>
      <c r="H21" s="821" t="s">
        <v>316</v>
      </c>
      <c r="I21" s="694">
        <v>0</v>
      </c>
      <c r="J21" s="693" t="s">
        <v>1997</v>
      </c>
      <c r="K21" s="821" t="s">
        <v>355</v>
      </c>
      <c r="L21" s="692">
        <v>0</v>
      </c>
      <c r="M21" s="677"/>
      <c r="N21" s="686" t="s">
        <v>1994</v>
      </c>
      <c r="O21" s="687" t="str">
        <f t="shared" si="0"/>
        <v>JPY</v>
      </c>
      <c r="P21" s="689" t="str">
        <f t="shared" si="1"/>
        <v>PAY</v>
      </c>
      <c r="Q21" s="691">
        <f t="shared" si="2"/>
        <v>1000000</v>
      </c>
      <c r="R21" s="687" t="s">
        <v>1992</v>
      </c>
      <c r="S21" s="690">
        <v>1</v>
      </c>
      <c r="T21" s="689">
        <f t="shared" ca="1" si="3"/>
        <v>43229</v>
      </c>
      <c r="U21" s="689" t="str">
        <f t="shared" si="4"/>
        <v>30Y</v>
      </c>
      <c r="V21" s="687" t="str">
        <f t="shared" si="5"/>
        <v>QUARTERLY</v>
      </c>
      <c r="W21" s="688">
        <f t="shared" si="6"/>
        <v>0</v>
      </c>
      <c r="X21" s="687" t="str">
        <f t="shared" si="7"/>
        <v>JPYYC</v>
      </c>
      <c r="Y21" s="687" t="str">
        <f t="shared" si="8"/>
        <v>JPY3ML</v>
      </c>
      <c r="Z21" s="687" t="str">
        <f t="shared" si="21"/>
        <v>JPYOIS</v>
      </c>
      <c r="AA21" s="687" t="s">
        <v>3</v>
      </c>
      <c r="AB21" s="687" t="s">
        <v>38</v>
      </c>
      <c r="AC21" s="687" t="s">
        <v>2094</v>
      </c>
      <c r="AD21" s="687" t="s">
        <v>38</v>
      </c>
      <c r="AE21" s="687" t="s">
        <v>2094</v>
      </c>
      <c r="AF21" s="687" t="s">
        <v>356</v>
      </c>
      <c r="AG21" s="687" t="s">
        <v>38</v>
      </c>
      <c r="AH21" s="687" t="s">
        <v>2094</v>
      </c>
      <c r="AI21" s="687" t="s">
        <v>356</v>
      </c>
      <c r="AJ21" s="687">
        <f t="shared" ca="1" si="9"/>
        <v>9</v>
      </c>
      <c r="AK21" s="687"/>
      <c r="AL21" s="687"/>
      <c r="AM21" s="550" t="s">
        <v>2252</v>
      </c>
      <c r="AN21" s="550" t="s">
        <v>2252</v>
      </c>
      <c r="AO21" s="687"/>
      <c r="AP21" s="687"/>
      <c r="AQ21" s="539" t="s">
        <v>1991</v>
      </c>
      <c r="AR21" s="807"/>
      <c r="AS21" s="686" t="s">
        <v>1993</v>
      </c>
      <c r="AT21" s="687" t="str">
        <f t="shared" si="10"/>
        <v>JPY</v>
      </c>
      <c r="AU21" s="689" t="str">
        <f t="shared" si="11"/>
        <v>RECEIVE</v>
      </c>
      <c r="AV21" s="691">
        <f t="shared" si="12"/>
        <v>1000000</v>
      </c>
      <c r="AW21" s="687" t="s">
        <v>1992</v>
      </c>
      <c r="AX21" s="690">
        <v>1</v>
      </c>
      <c r="AY21" s="689">
        <f t="shared" ca="1" si="13"/>
        <v>43229</v>
      </c>
      <c r="AZ21" s="689" t="str">
        <f t="shared" si="14"/>
        <v>30Y</v>
      </c>
      <c r="BA21" s="687" t="str">
        <f t="shared" si="15"/>
        <v>SEMI-ANNUAL</v>
      </c>
      <c r="BB21" s="688">
        <f t="shared" si="16"/>
        <v>0</v>
      </c>
      <c r="BC21" s="687" t="str">
        <f t="shared" si="17"/>
        <v>JPYYC</v>
      </c>
      <c r="BD21" s="687" t="str">
        <f t="shared" si="18"/>
        <v>JPY6ML</v>
      </c>
      <c r="BE21" s="687" t="str">
        <f t="shared" si="19"/>
        <v>JPYOIS</v>
      </c>
      <c r="BF21" s="687" t="s">
        <v>3</v>
      </c>
      <c r="BG21" s="687" t="s">
        <v>38</v>
      </c>
      <c r="BH21" s="687" t="s">
        <v>2094</v>
      </c>
      <c r="BI21" s="687" t="s">
        <v>38</v>
      </c>
      <c r="BJ21" s="687" t="s">
        <v>2094</v>
      </c>
      <c r="BK21" s="687" t="s">
        <v>356</v>
      </c>
      <c r="BL21" s="687" t="s">
        <v>38</v>
      </c>
      <c r="BM21" s="687" t="s">
        <v>2094</v>
      </c>
      <c r="BN21" s="687" t="s">
        <v>356</v>
      </c>
      <c r="BO21" s="687">
        <f t="shared" ca="1" si="20"/>
        <v>9</v>
      </c>
      <c r="BP21" s="687"/>
      <c r="BQ21" s="687"/>
      <c r="BR21" s="550" t="s">
        <v>2252</v>
      </c>
      <c r="BS21" s="550" t="s">
        <v>2252</v>
      </c>
      <c r="BT21" s="687"/>
      <c r="BU21" s="687"/>
      <c r="BV21" s="539" t="s">
        <v>1991</v>
      </c>
      <c r="BW21" s="671" t="s">
        <v>12</v>
      </c>
      <c r="BX21" s="686" t="str">
        <f ca="1">IF(OR($D21="",$D21=0),"",_xll.meLWOSwapCreateFromLegLVBs($E21&amp;LEFT($H21,LEN($H21)-2)&amp;"x"&amp;LEFT($K21,LEN($K21)-2)&amp;"_"&amp;$A21,_xll.meUtilityLVBFromKeysValues(Leg1Keys,$N21:$AQ21),_xll.meUtilityLVBFromKeysValues(Leg2Keys,$AS21:$BV21),FALSE))</f>
        <v>JPY3X6_16@104:0</v>
      </c>
      <c r="BY21" s="517" t="str">
        <f ca="1">IF(OR($D21="",$D21=0),"",_xll.meLWOSwapPV(BX21,X21))</f>
        <v>[2018/05/04 09:52] #Error: Invalid Curve: CurveIndex 'JPY3ML' in collection JPYYC does not exist</v>
      </c>
      <c r="BZ21" s="685" t="str">
        <f ca="1">IF(OR($D21="",$D21=0),"",_xll.meLWOSwapParSpread($BX21,X21))</f>
        <v>[2018/05/04 09:52] #Error: Invalid Curve: CurveIndex 'JPY3ML' in collection JPYYC does not exist</v>
      </c>
      <c r="CA21" s="671" t="s">
        <v>12</v>
      </c>
      <c r="CB21" s="684" t="str">
        <f>'JPY Curve Config'!BJ24</f>
        <v>30Y</v>
      </c>
      <c r="CC21" s="683">
        <f>'JPY Curve Config'!BK24</f>
        <v>8.4999999999999995E-4</v>
      </c>
      <c r="CD21" s="809">
        <f t="shared" si="22"/>
        <v>8.5</v>
      </c>
      <c r="CE21" s="932" t="e">
        <f t="shared" ca="1" si="23"/>
        <v>#VALUE!</v>
      </c>
      <c r="CF21" s="677" t="s">
        <v>12</v>
      </c>
      <c r="CG21" s="3"/>
    </row>
    <row r="22" spans="1:85">
      <c r="A22" s="203">
        <f t="shared" si="24"/>
        <v>17</v>
      </c>
      <c r="B22" s="812"/>
      <c r="C22" s="696" t="str">
        <f>IF(OR($B22="",$D22="",$D22=0),"",_xll.meDateFromTenor(COB,$B22,$AG22,$AH22))</f>
        <v/>
      </c>
      <c r="D22" s="816"/>
      <c r="E22" s="817"/>
      <c r="F22" s="693"/>
      <c r="G22" s="695"/>
      <c r="H22" s="821"/>
      <c r="I22" s="694"/>
      <c r="J22" s="693"/>
      <c r="K22" s="821"/>
      <c r="L22" s="692"/>
      <c r="M22" s="677"/>
      <c r="N22" s="686" t="s">
        <v>1994</v>
      </c>
      <c r="O22" s="687">
        <f t="shared" si="0"/>
        <v>0</v>
      </c>
      <c r="P22" s="689">
        <f t="shared" si="1"/>
        <v>0</v>
      </c>
      <c r="Q22" s="691">
        <f t="shared" si="2"/>
        <v>0</v>
      </c>
      <c r="R22" s="687" t="s">
        <v>1992</v>
      </c>
      <c r="S22" s="690">
        <v>1</v>
      </c>
      <c r="T22" s="689" t="str">
        <f t="shared" si="3"/>
        <v/>
      </c>
      <c r="U22" s="689">
        <f t="shared" si="4"/>
        <v>0</v>
      </c>
      <c r="V22" s="687" t="str">
        <f t="shared" si="5"/>
        <v>MONTHLY</v>
      </c>
      <c r="W22" s="688">
        <f t="shared" si="6"/>
        <v>0</v>
      </c>
      <c r="X22" s="687" t="str">
        <f t="shared" si="7"/>
        <v>YC</v>
      </c>
      <c r="Y22" s="687" t="str">
        <f t="shared" si="8"/>
        <v/>
      </c>
      <c r="Z22" s="687" t="str">
        <f t="shared" si="21"/>
        <v>OIS</v>
      </c>
      <c r="AA22" s="687" t="s">
        <v>3</v>
      </c>
      <c r="AB22" s="687" t="s">
        <v>38</v>
      </c>
      <c r="AC22" s="687" t="s">
        <v>2094</v>
      </c>
      <c r="AD22" s="687" t="s">
        <v>38</v>
      </c>
      <c r="AE22" s="687" t="s">
        <v>2094</v>
      </c>
      <c r="AF22" s="687" t="s">
        <v>356</v>
      </c>
      <c r="AG22" s="687" t="s">
        <v>38</v>
      </c>
      <c r="AH22" s="687" t="s">
        <v>2094</v>
      </c>
      <c r="AI22" s="687" t="s">
        <v>356</v>
      </c>
      <c r="AJ22" s="687" t="e">
        <f t="shared" si="9"/>
        <v>#VALUE!</v>
      </c>
      <c r="AK22" s="687"/>
      <c r="AL22" s="687"/>
      <c r="AM22" s="550" t="s">
        <v>2252</v>
      </c>
      <c r="AN22" s="550" t="s">
        <v>2252</v>
      </c>
      <c r="AO22" s="687"/>
      <c r="AP22" s="687"/>
      <c r="AQ22" s="539" t="s">
        <v>1991</v>
      </c>
      <c r="AR22" s="807"/>
      <c r="AS22" s="686" t="s">
        <v>1993</v>
      </c>
      <c r="AT22" s="687">
        <f t="shared" si="10"/>
        <v>0</v>
      </c>
      <c r="AU22" s="689">
        <f t="shared" si="11"/>
        <v>0</v>
      </c>
      <c r="AV22" s="691">
        <f t="shared" si="12"/>
        <v>0</v>
      </c>
      <c r="AW22" s="687" t="s">
        <v>1992</v>
      </c>
      <c r="AX22" s="690">
        <v>1</v>
      </c>
      <c r="AY22" s="689" t="str">
        <f t="shared" si="13"/>
        <v/>
      </c>
      <c r="AZ22" s="689">
        <f t="shared" si="14"/>
        <v>0</v>
      </c>
      <c r="BA22" s="687" t="str">
        <f t="shared" si="15"/>
        <v>MONTHLY</v>
      </c>
      <c r="BB22" s="688">
        <f t="shared" si="16"/>
        <v>0</v>
      </c>
      <c r="BC22" s="687" t="str">
        <f t="shared" si="17"/>
        <v>YC</v>
      </c>
      <c r="BD22" s="687" t="str">
        <f t="shared" si="18"/>
        <v/>
      </c>
      <c r="BE22" s="687" t="str">
        <f t="shared" si="19"/>
        <v>OIS</v>
      </c>
      <c r="BF22" s="687" t="s">
        <v>3</v>
      </c>
      <c r="BG22" s="687" t="s">
        <v>38</v>
      </c>
      <c r="BH22" s="687" t="s">
        <v>2094</v>
      </c>
      <c r="BI22" s="687" t="s">
        <v>38</v>
      </c>
      <c r="BJ22" s="687" t="s">
        <v>2094</v>
      </c>
      <c r="BK22" s="687" t="s">
        <v>356</v>
      </c>
      <c r="BL22" s="687" t="s">
        <v>38</v>
      </c>
      <c r="BM22" s="687" t="s">
        <v>2094</v>
      </c>
      <c r="BN22" s="687" t="s">
        <v>356</v>
      </c>
      <c r="BO22" s="687" t="e">
        <f t="shared" si="20"/>
        <v>#VALUE!</v>
      </c>
      <c r="BP22" s="687"/>
      <c r="BQ22" s="687"/>
      <c r="BR22" s="550" t="s">
        <v>2252</v>
      </c>
      <c r="BS22" s="550" t="s">
        <v>2252</v>
      </c>
      <c r="BT22" s="687"/>
      <c r="BU22" s="687"/>
      <c r="BV22" s="539" t="s">
        <v>1991</v>
      </c>
      <c r="BW22" s="671" t="s">
        <v>12</v>
      </c>
      <c r="BX22" s="686" t="str">
        <f>IF(OR($D22="",$D22=0),"",_xll.meLWOSwapCreateFromLegLVBs($E22&amp;LEFT($H22,LEN($H22)-2)&amp;"x"&amp;LEFT($K22,LEN($K22)-2)&amp;"_"&amp;$A22,_xll.meUtilityLVBFromKeysValues(Leg1Keys,$N22:$AQ22),_xll.meUtilityLVBFromKeysValues(Leg2Keys,$AS22:$BV22),FALSE))</f>
        <v/>
      </c>
      <c r="BY22" s="517" t="str">
        <f>IF(OR($D22="",$D22=0),"",_xll.meLWOSwapPV(BX22,X22))</f>
        <v/>
      </c>
      <c r="BZ22" s="685" t="str">
        <f>IF(OR($D22="",$D22=0),"",_xll.meLWOSwapParSpread($BX22,X22))</f>
        <v/>
      </c>
      <c r="CA22" s="671" t="s">
        <v>12</v>
      </c>
      <c r="CB22" s="684"/>
      <c r="CC22" s="683"/>
      <c r="CD22" s="809"/>
      <c r="CE22" s="932" t="str">
        <f t="shared" si="23"/>
        <v/>
      </c>
      <c r="CF22" s="677" t="s">
        <v>12</v>
      </c>
      <c r="CG22" s="3"/>
    </row>
    <row r="23" spans="1:85">
      <c r="A23" s="203">
        <f t="shared" si="24"/>
        <v>18</v>
      </c>
      <c r="B23" s="812"/>
      <c r="C23" s="696" t="str">
        <f>IF(OR($B23="",$D23="",$D23=0),"",_xll.meDateFromTenor(COB,$B23,$AG23,$AH23))</f>
        <v/>
      </c>
      <c r="D23" s="816"/>
      <c r="E23" s="817"/>
      <c r="F23" s="693"/>
      <c r="G23" s="695"/>
      <c r="H23" s="821"/>
      <c r="I23" s="694"/>
      <c r="J23" s="693"/>
      <c r="K23" s="821"/>
      <c r="L23" s="692"/>
      <c r="M23" s="677"/>
      <c r="N23" s="686" t="s">
        <v>1994</v>
      </c>
      <c r="O23" s="687">
        <f t="shared" si="0"/>
        <v>0</v>
      </c>
      <c r="P23" s="689">
        <f t="shared" si="1"/>
        <v>0</v>
      </c>
      <c r="Q23" s="691">
        <f t="shared" si="2"/>
        <v>0</v>
      </c>
      <c r="R23" s="687" t="s">
        <v>1992</v>
      </c>
      <c r="S23" s="690">
        <v>1</v>
      </c>
      <c r="T23" s="689" t="str">
        <f t="shared" si="3"/>
        <v/>
      </c>
      <c r="U23" s="689">
        <f t="shared" si="4"/>
        <v>0</v>
      </c>
      <c r="V23" s="687" t="str">
        <f t="shared" si="5"/>
        <v>MONTHLY</v>
      </c>
      <c r="W23" s="688">
        <f t="shared" si="6"/>
        <v>0</v>
      </c>
      <c r="X23" s="687" t="str">
        <f t="shared" si="7"/>
        <v>YC</v>
      </c>
      <c r="Y23" s="687" t="str">
        <f t="shared" si="8"/>
        <v/>
      </c>
      <c r="Z23" s="687" t="str">
        <f t="shared" si="21"/>
        <v>OIS</v>
      </c>
      <c r="AA23" s="687" t="s">
        <v>3</v>
      </c>
      <c r="AB23" s="687" t="s">
        <v>38</v>
      </c>
      <c r="AC23" s="687" t="s">
        <v>2094</v>
      </c>
      <c r="AD23" s="687" t="s">
        <v>38</v>
      </c>
      <c r="AE23" s="687" t="s">
        <v>2094</v>
      </c>
      <c r="AF23" s="687" t="s">
        <v>356</v>
      </c>
      <c r="AG23" s="687" t="s">
        <v>38</v>
      </c>
      <c r="AH23" s="687" t="s">
        <v>2094</v>
      </c>
      <c r="AI23" s="687" t="s">
        <v>356</v>
      </c>
      <c r="AJ23" s="687" t="e">
        <f t="shared" si="9"/>
        <v>#VALUE!</v>
      </c>
      <c r="AK23" s="687"/>
      <c r="AL23" s="687"/>
      <c r="AM23" s="550" t="s">
        <v>2252</v>
      </c>
      <c r="AN23" s="550" t="s">
        <v>2252</v>
      </c>
      <c r="AO23" s="687"/>
      <c r="AP23" s="687"/>
      <c r="AQ23" s="539" t="s">
        <v>1991</v>
      </c>
      <c r="AR23" s="807"/>
      <c r="AS23" s="686" t="s">
        <v>1993</v>
      </c>
      <c r="AT23" s="687">
        <f t="shared" si="10"/>
        <v>0</v>
      </c>
      <c r="AU23" s="689">
        <f t="shared" si="11"/>
        <v>0</v>
      </c>
      <c r="AV23" s="691">
        <f t="shared" si="12"/>
        <v>0</v>
      </c>
      <c r="AW23" s="687" t="s">
        <v>1992</v>
      </c>
      <c r="AX23" s="690">
        <v>1</v>
      </c>
      <c r="AY23" s="689" t="str">
        <f t="shared" si="13"/>
        <v/>
      </c>
      <c r="AZ23" s="689">
        <f t="shared" si="14"/>
        <v>0</v>
      </c>
      <c r="BA23" s="687" t="str">
        <f t="shared" si="15"/>
        <v>MONTHLY</v>
      </c>
      <c r="BB23" s="688">
        <f t="shared" si="16"/>
        <v>0</v>
      </c>
      <c r="BC23" s="687" t="str">
        <f t="shared" si="17"/>
        <v>YC</v>
      </c>
      <c r="BD23" s="687" t="str">
        <f t="shared" si="18"/>
        <v/>
      </c>
      <c r="BE23" s="687" t="str">
        <f t="shared" si="19"/>
        <v>OIS</v>
      </c>
      <c r="BF23" s="687" t="s">
        <v>3</v>
      </c>
      <c r="BG23" s="687" t="s">
        <v>38</v>
      </c>
      <c r="BH23" s="687" t="s">
        <v>2094</v>
      </c>
      <c r="BI23" s="687" t="s">
        <v>38</v>
      </c>
      <c r="BJ23" s="687" t="s">
        <v>2094</v>
      </c>
      <c r="BK23" s="687" t="s">
        <v>356</v>
      </c>
      <c r="BL23" s="687" t="s">
        <v>38</v>
      </c>
      <c r="BM23" s="687" t="s">
        <v>2094</v>
      </c>
      <c r="BN23" s="687" t="s">
        <v>356</v>
      </c>
      <c r="BO23" s="687" t="e">
        <f t="shared" si="20"/>
        <v>#VALUE!</v>
      </c>
      <c r="BP23" s="687"/>
      <c r="BQ23" s="687"/>
      <c r="BR23" s="550" t="s">
        <v>2252</v>
      </c>
      <c r="BS23" s="550" t="s">
        <v>2252</v>
      </c>
      <c r="BT23" s="687"/>
      <c r="BU23" s="687"/>
      <c r="BV23" s="539" t="s">
        <v>1991</v>
      </c>
      <c r="BW23" s="671" t="s">
        <v>12</v>
      </c>
      <c r="BX23" s="686" t="str">
        <f>IF(OR($D23="",$D23=0),"",_xll.meLWOSwapCreateFromLegLVBs($E23&amp;LEFT($H23,LEN($H23)-2)&amp;"x"&amp;LEFT($K23,LEN($K23)-2)&amp;"_"&amp;$A23,_xll.meUtilityLVBFromKeysValues(Leg1Keys,$N23:$AQ23),_xll.meUtilityLVBFromKeysValues(Leg2Keys,$AS23:$BV23),FALSE))</f>
        <v/>
      </c>
      <c r="BY23" s="517" t="str">
        <f>IF(OR($D23="",$D23=0),"",_xll.meLWOSwapPV(BX23,X23))</f>
        <v/>
      </c>
      <c r="BZ23" s="685" t="str">
        <f>IF(OR($D23="",$D23=0),"",_xll.meLWOSwapParSpread($BX23,X23))</f>
        <v/>
      </c>
      <c r="CA23" s="671" t="s">
        <v>12</v>
      </c>
      <c r="CB23" s="684"/>
      <c r="CC23" s="683"/>
      <c r="CD23" s="809"/>
      <c r="CE23" s="932" t="str">
        <f t="shared" si="23"/>
        <v/>
      </c>
      <c r="CF23" s="677" t="s">
        <v>12</v>
      </c>
      <c r="CG23" s="3"/>
    </row>
    <row r="24" spans="1:85">
      <c r="A24" s="203">
        <f t="shared" si="24"/>
        <v>19</v>
      </c>
      <c r="B24" s="812"/>
      <c r="C24" s="696" t="str">
        <f>IF(OR($B24="",$D24="",$D24=0),"",_xll.meDateFromTenor(COB,$B24,$AG24,$AH24))</f>
        <v/>
      </c>
      <c r="D24" s="816"/>
      <c r="E24" s="817"/>
      <c r="F24" s="693"/>
      <c r="G24" s="695"/>
      <c r="H24" s="821"/>
      <c r="I24" s="694"/>
      <c r="J24" s="693"/>
      <c r="K24" s="821"/>
      <c r="L24" s="692"/>
      <c r="M24" s="677"/>
      <c r="N24" s="686" t="s">
        <v>1994</v>
      </c>
      <c r="O24" s="687">
        <f t="shared" si="0"/>
        <v>0</v>
      </c>
      <c r="P24" s="689">
        <f t="shared" si="1"/>
        <v>0</v>
      </c>
      <c r="Q24" s="691">
        <f t="shared" si="2"/>
        <v>0</v>
      </c>
      <c r="R24" s="687" t="s">
        <v>1992</v>
      </c>
      <c r="S24" s="690">
        <v>1</v>
      </c>
      <c r="T24" s="689" t="str">
        <f t="shared" si="3"/>
        <v/>
      </c>
      <c r="U24" s="689">
        <f t="shared" si="4"/>
        <v>0</v>
      </c>
      <c r="V24" s="687" t="str">
        <f t="shared" si="5"/>
        <v>MONTHLY</v>
      </c>
      <c r="W24" s="688">
        <f t="shared" si="6"/>
        <v>0</v>
      </c>
      <c r="X24" s="687" t="str">
        <f t="shared" si="7"/>
        <v>YC</v>
      </c>
      <c r="Y24" s="687" t="str">
        <f t="shared" si="8"/>
        <v/>
      </c>
      <c r="Z24" s="687" t="str">
        <f t="shared" si="21"/>
        <v>OIS</v>
      </c>
      <c r="AA24" s="687" t="s">
        <v>3</v>
      </c>
      <c r="AB24" s="687" t="s">
        <v>38</v>
      </c>
      <c r="AC24" s="687" t="s">
        <v>2094</v>
      </c>
      <c r="AD24" s="687" t="s">
        <v>38</v>
      </c>
      <c r="AE24" s="687" t="s">
        <v>2094</v>
      </c>
      <c r="AF24" s="687" t="s">
        <v>356</v>
      </c>
      <c r="AG24" s="687" t="s">
        <v>38</v>
      </c>
      <c r="AH24" s="687" t="s">
        <v>2094</v>
      </c>
      <c r="AI24" s="687" t="s">
        <v>356</v>
      </c>
      <c r="AJ24" s="687" t="e">
        <f t="shared" si="9"/>
        <v>#VALUE!</v>
      </c>
      <c r="AK24" s="687"/>
      <c r="AL24" s="687"/>
      <c r="AM24" s="550" t="s">
        <v>2252</v>
      </c>
      <c r="AN24" s="550" t="s">
        <v>2252</v>
      </c>
      <c r="AO24" s="687"/>
      <c r="AP24" s="687"/>
      <c r="AQ24" s="539" t="s">
        <v>1991</v>
      </c>
      <c r="AR24" s="807"/>
      <c r="AS24" s="686" t="s">
        <v>1993</v>
      </c>
      <c r="AT24" s="687">
        <f t="shared" si="10"/>
        <v>0</v>
      </c>
      <c r="AU24" s="689">
        <f t="shared" si="11"/>
        <v>0</v>
      </c>
      <c r="AV24" s="691">
        <f t="shared" si="12"/>
        <v>0</v>
      </c>
      <c r="AW24" s="687" t="s">
        <v>1992</v>
      </c>
      <c r="AX24" s="690">
        <v>1</v>
      </c>
      <c r="AY24" s="689" t="str">
        <f t="shared" si="13"/>
        <v/>
      </c>
      <c r="AZ24" s="689">
        <f t="shared" si="14"/>
        <v>0</v>
      </c>
      <c r="BA24" s="687" t="str">
        <f t="shared" si="15"/>
        <v>MONTHLY</v>
      </c>
      <c r="BB24" s="688">
        <f t="shared" si="16"/>
        <v>0</v>
      </c>
      <c r="BC24" s="687" t="str">
        <f t="shared" si="17"/>
        <v>YC</v>
      </c>
      <c r="BD24" s="687" t="str">
        <f t="shared" si="18"/>
        <v/>
      </c>
      <c r="BE24" s="687" t="str">
        <f t="shared" si="19"/>
        <v>OIS</v>
      </c>
      <c r="BF24" s="687" t="s">
        <v>3</v>
      </c>
      <c r="BG24" s="687" t="s">
        <v>38</v>
      </c>
      <c r="BH24" s="687" t="s">
        <v>2094</v>
      </c>
      <c r="BI24" s="687" t="s">
        <v>38</v>
      </c>
      <c r="BJ24" s="687" t="s">
        <v>2094</v>
      </c>
      <c r="BK24" s="687" t="s">
        <v>356</v>
      </c>
      <c r="BL24" s="687" t="s">
        <v>38</v>
      </c>
      <c r="BM24" s="687" t="s">
        <v>2094</v>
      </c>
      <c r="BN24" s="687" t="s">
        <v>356</v>
      </c>
      <c r="BO24" s="687" t="e">
        <f t="shared" si="20"/>
        <v>#VALUE!</v>
      </c>
      <c r="BP24" s="687"/>
      <c r="BQ24" s="687"/>
      <c r="BR24" s="550" t="s">
        <v>2252</v>
      </c>
      <c r="BS24" s="550" t="s">
        <v>2252</v>
      </c>
      <c r="BT24" s="687"/>
      <c r="BU24" s="687"/>
      <c r="BV24" s="539" t="s">
        <v>1991</v>
      </c>
      <c r="BW24" s="671" t="s">
        <v>12</v>
      </c>
      <c r="BX24" s="686" t="str">
        <f>IF(OR($D24="",$D24=0),"",_xll.meLWOSwapCreateFromLegLVBs($E24&amp;LEFT($H24,LEN($H24)-2)&amp;"x"&amp;LEFT($K24,LEN($K24)-2)&amp;"_"&amp;$A24,_xll.meUtilityLVBFromKeysValues(Leg1Keys,$N24:$AQ24),_xll.meUtilityLVBFromKeysValues(Leg2Keys,$AS24:$BV24),FALSE))</f>
        <v/>
      </c>
      <c r="BY24" s="517" t="str">
        <f>IF(OR($D24="",$D24=0),"",_xll.meLWOSwapPV(BX24,X24))</f>
        <v/>
      </c>
      <c r="BZ24" s="685" t="str">
        <f>IF(OR($D24="",$D24=0),"",_xll.meLWOSwapParSpread($BX24,X24))</f>
        <v/>
      </c>
      <c r="CA24" s="671" t="s">
        <v>12</v>
      </c>
      <c r="CB24" s="684"/>
      <c r="CC24" s="683"/>
      <c r="CD24" s="809"/>
      <c r="CE24" s="932" t="str">
        <f t="shared" si="23"/>
        <v/>
      </c>
      <c r="CF24" s="677" t="s">
        <v>12</v>
      </c>
      <c r="CG24" s="3"/>
    </row>
    <row r="25" spans="1:85">
      <c r="A25" s="203">
        <f t="shared" si="24"/>
        <v>20</v>
      </c>
      <c r="B25" s="813"/>
      <c r="C25" s="682" t="str">
        <f>IF(OR($B25="",$D25="",$D25=0),"",_xll.meDateFromTenor(COB,$B25,$AG25,$AH25))</f>
        <v/>
      </c>
      <c r="D25" s="818"/>
      <c r="E25" s="819"/>
      <c r="F25" s="679"/>
      <c r="G25" s="681"/>
      <c r="H25" s="822"/>
      <c r="I25" s="680"/>
      <c r="J25" s="679"/>
      <c r="K25" s="822"/>
      <c r="L25" s="678"/>
      <c r="M25" s="677"/>
      <c r="N25" s="670" t="s">
        <v>1994</v>
      </c>
      <c r="O25" s="672">
        <f t="shared" si="0"/>
        <v>0</v>
      </c>
      <c r="P25" s="674">
        <f t="shared" si="1"/>
        <v>0</v>
      </c>
      <c r="Q25" s="676">
        <f t="shared" si="2"/>
        <v>0</v>
      </c>
      <c r="R25" s="672" t="s">
        <v>1992</v>
      </c>
      <c r="S25" s="675">
        <v>1</v>
      </c>
      <c r="T25" s="674" t="str">
        <f t="shared" si="3"/>
        <v/>
      </c>
      <c r="U25" s="674">
        <f t="shared" si="4"/>
        <v>0</v>
      </c>
      <c r="V25" s="672" t="str">
        <f t="shared" si="5"/>
        <v>MONTHLY</v>
      </c>
      <c r="W25" s="673">
        <f t="shared" si="6"/>
        <v>0</v>
      </c>
      <c r="X25" s="672" t="str">
        <f t="shared" si="7"/>
        <v>YC</v>
      </c>
      <c r="Y25" s="672" t="str">
        <f t="shared" si="8"/>
        <v/>
      </c>
      <c r="Z25" s="672" t="str">
        <f t="shared" si="21"/>
        <v>OIS</v>
      </c>
      <c r="AA25" s="672" t="s">
        <v>3</v>
      </c>
      <c r="AB25" s="672" t="s">
        <v>38</v>
      </c>
      <c r="AC25" s="672" t="s">
        <v>2094</v>
      </c>
      <c r="AD25" s="672" t="s">
        <v>38</v>
      </c>
      <c r="AE25" s="672" t="s">
        <v>2094</v>
      </c>
      <c r="AF25" s="672" t="s">
        <v>356</v>
      </c>
      <c r="AG25" s="672" t="s">
        <v>38</v>
      </c>
      <c r="AH25" s="672" t="s">
        <v>2094</v>
      </c>
      <c r="AI25" s="672" t="s">
        <v>356</v>
      </c>
      <c r="AJ25" s="672" t="e">
        <f t="shared" si="9"/>
        <v>#VALUE!</v>
      </c>
      <c r="AK25" s="672"/>
      <c r="AL25" s="672"/>
      <c r="AM25" s="557" t="s">
        <v>2252</v>
      </c>
      <c r="AN25" s="557" t="s">
        <v>2252</v>
      </c>
      <c r="AO25" s="672"/>
      <c r="AP25" s="672"/>
      <c r="AQ25" s="540" t="s">
        <v>1991</v>
      </c>
      <c r="AR25" s="807"/>
      <c r="AS25" s="670" t="s">
        <v>1993</v>
      </c>
      <c r="AT25" s="672">
        <f t="shared" si="10"/>
        <v>0</v>
      </c>
      <c r="AU25" s="674">
        <f t="shared" si="11"/>
        <v>0</v>
      </c>
      <c r="AV25" s="676">
        <f t="shared" si="12"/>
        <v>0</v>
      </c>
      <c r="AW25" s="672" t="s">
        <v>1992</v>
      </c>
      <c r="AX25" s="675">
        <v>1</v>
      </c>
      <c r="AY25" s="674" t="str">
        <f t="shared" si="13"/>
        <v/>
      </c>
      <c r="AZ25" s="674">
        <f t="shared" si="14"/>
        <v>0</v>
      </c>
      <c r="BA25" s="672" t="str">
        <f t="shared" si="15"/>
        <v>MONTHLY</v>
      </c>
      <c r="BB25" s="673">
        <f t="shared" si="16"/>
        <v>0</v>
      </c>
      <c r="BC25" s="672" t="str">
        <f t="shared" si="17"/>
        <v>YC</v>
      </c>
      <c r="BD25" s="672" t="str">
        <f t="shared" si="18"/>
        <v/>
      </c>
      <c r="BE25" s="672" t="str">
        <f t="shared" si="19"/>
        <v>OIS</v>
      </c>
      <c r="BF25" s="672" t="s">
        <v>3</v>
      </c>
      <c r="BG25" s="672" t="s">
        <v>38</v>
      </c>
      <c r="BH25" s="672" t="s">
        <v>2094</v>
      </c>
      <c r="BI25" s="672" t="s">
        <v>38</v>
      </c>
      <c r="BJ25" s="672" t="s">
        <v>2094</v>
      </c>
      <c r="BK25" s="672" t="s">
        <v>356</v>
      </c>
      <c r="BL25" s="672" t="s">
        <v>38</v>
      </c>
      <c r="BM25" s="672" t="s">
        <v>2094</v>
      </c>
      <c r="BN25" s="672" t="s">
        <v>356</v>
      </c>
      <c r="BO25" s="672" t="e">
        <f t="shared" si="20"/>
        <v>#VALUE!</v>
      </c>
      <c r="BP25" s="672"/>
      <c r="BQ25" s="672"/>
      <c r="BR25" s="557" t="s">
        <v>2252</v>
      </c>
      <c r="BS25" s="557" t="s">
        <v>2252</v>
      </c>
      <c r="BT25" s="672"/>
      <c r="BU25" s="672"/>
      <c r="BV25" s="540" t="s">
        <v>1991</v>
      </c>
      <c r="BW25" s="671" t="s">
        <v>12</v>
      </c>
      <c r="BX25" s="670" t="str">
        <f>IF(OR($D25="",$D25=0),"",_xll.meLWOSwapCreateFromLegLVBs($E25&amp;LEFT($H25,LEN($H25)-2)&amp;"x"&amp;LEFT($K25,LEN($K25)-2)&amp;"_"&amp;$A25,_xll.meUtilityLVBFromKeysValues(Leg1Keys,$N25:$AQ25),_xll.meUtilityLVBFromKeysValues(Leg2Keys,$AS25:$BV25),FALSE))</f>
        <v/>
      </c>
      <c r="BY25" s="519" t="str">
        <f>IF(OR($D25="",$D25=0),"",_xll.meLWOSwapPV(BX25,X25))</f>
        <v/>
      </c>
      <c r="BZ25" s="669" t="str">
        <f>IF(OR($D25="",$D25=0),"",_xll.meLWOSwapParSpread($BX25,X25))</f>
        <v/>
      </c>
      <c r="CA25" s="671" t="s">
        <v>12</v>
      </c>
      <c r="CB25" s="668"/>
      <c r="CC25" s="667"/>
      <c r="CD25" s="810"/>
      <c r="CE25" s="933" t="str">
        <f t="shared" si="23"/>
        <v/>
      </c>
      <c r="CF25" s="677" t="s">
        <v>12</v>
      </c>
      <c r="CG25" s="3"/>
    </row>
    <row r="26" spans="1:85">
      <c r="AM26" s="106" t="s">
        <v>12</v>
      </c>
      <c r="AN26" s="106" t="s">
        <v>12</v>
      </c>
      <c r="BR26" s="106" t="s">
        <v>12</v>
      </c>
      <c r="BS26" s="106" t="s">
        <v>12</v>
      </c>
    </row>
  </sheetData>
  <dataValidations count="2">
    <dataValidation type="list" allowBlank="1" showInputMessage="1" showErrorMessage="1" sqref="G6:G25 J6:J25">
      <formula1>"PAY,RECEIVE"</formula1>
    </dataValidation>
    <dataValidation type="list" allowBlank="1" showInputMessage="1" showErrorMessage="1" sqref="K6:K25 H6:H25">
      <formula1>"12ML,6ML,3ML,1ML"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V522"/>
  <sheetViews>
    <sheetView showGridLines="0" zoomScaleNormal="100" workbookViewId="0">
      <pane xSplit="3" topLeftCell="M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3" width="20.7109375" style="108" hidden="1" customWidth="1"/>
    <col min="14" max="14" width="20.7109375" style="996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5703125" style="108" customWidth="1" outlineLevel="1"/>
    <col min="36" max="36" width="18.5703125" style="996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.28515625" style="108" customWidth="1" outlineLevel="1"/>
    <col min="47" max="47" width="17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2069</v>
      </c>
      <c r="AV1" s="9" t="s">
        <v>2070</v>
      </c>
    </row>
    <row r="2" spans="2:48">
      <c r="B2" s="234" t="s">
        <v>2057</v>
      </c>
    </row>
    <row r="3" spans="2:48">
      <c r="B3" s="755" t="s">
        <v>2095</v>
      </c>
      <c r="C3" s="764" t="str">
        <f ca="1">_xll.meLWOScheduleCreateBespoke(B3,VNS.FixedSchedule.Properties,VNS.FixedCashflowSchedule)</f>
        <v>EUR_FIXEDSCHEDULE@2:0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2096</v>
      </c>
      <c r="C4" s="761" t="str">
        <f ca="1">_xll.meLWOScheduleCreateBespoke(B4,VNS.FloatSchedule.Properties,VNS.FloatCashflowSchedule)</f>
        <v>EUR_FLOATSCHEDULE@6:0</v>
      </c>
      <c r="D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234" t="s">
        <v>2054</v>
      </c>
      <c r="AJ7" s="108"/>
      <c r="AT7" s="234" t="s">
        <v>2054</v>
      </c>
    </row>
    <row r="8" spans="2:48">
      <c r="AI8" s="509" t="s">
        <v>2051</v>
      </c>
      <c r="AJ8" s="760" t="s">
        <v>2052</v>
      </c>
      <c r="AT8" s="1008" t="s">
        <v>2051</v>
      </c>
      <c r="AU8" s="1051" t="s">
        <v>2053</v>
      </c>
    </row>
    <row r="9" spans="2:48">
      <c r="B9" s="234" t="s">
        <v>2038</v>
      </c>
      <c r="D9" s="108" t="s">
        <v>12</v>
      </c>
      <c r="AI9" s="1050" t="s">
        <v>1803</v>
      </c>
      <c r="AJ9" s="1097" t="str">
        <f>$C$13</f>
        <v>PAY</v>
      </c>
      <c r="AK9" s="108" t="s">
        <v>12</v>
      </c>
      <c r="AT9" s="1050" t="s">
        <v>1803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43224</v>
      </c>
      <c r="D10" s="108" t="s">
        <v>12</v>
      </c>
      <c r="AI10" s="1050" t="s">
        <v>2016</v>
      </c>
      <c r="AJ10" s="1097" t="str">
        <f>$C$14</f>
        <v>START_AND_END</v>
      </c>
      <c r="AK10" s="108" t="s">
        <v>12</v>
      </c>
      <c r="AT10" s="1050" t="s">
        <v>2016</v>
      </c>
      <c r="AU10" s="1097" t="str">
        <f>$C$14</f>
        <v>START_AND_END</v>
      </c>
      <c r="AV10" s="108" t="s">
        <v>12</v>
      </c>
    </row>
    <row r="11" spans="2:48">
      <c r="B11" s="768" t="s">
        <v>1802</v>
      </c>
      <c r="C11" s="779" t="s">
        <v>361</v>
      </c>
      <c r="D11" s="108" t="s">
        <v>12</v>
      </c>
      <c r="AB11" s="234" t="s">
        <v>2039</v>
      </c>
      <c r="AI11" s="1050" t="s">
        <v>2046</v>
      </c>
      <c r="AJ11" s="1097" t="str">
        <f>$C$23</f>
        <v>Annual</v>
      </c>
      <c r="AK11" s="108" t="s">
        <v>12</v>
      </c>
      <c r="AM11" s="234" t="s">
        <v>2040</v>
      </c>
      <c r="AT11" s="1050" t="s">
        <v>2046</v>
      </c>
      <c r="AU11" s="1097" t="str">
        <f>$C$43</f>
        <v>Semi-Annual</v>
      </c>
      <c r="AV11" s="108" t="s">
        <v>12</v>
      </c>
    </row>
    <row r="12" spans="2:48">
      <c r="B12" s="768" t="s">
        <v>1769</v>
      </c>
      <c r="C12" s="780" t="s">
        <v>31</v>
      </c>
      <c r="D12" s="108" t="s">
        <v>12</v>
      </c>
      <c r="AB12" s="802" t="s">
        <v>2066</v>
      </c>
      <c r="AC12" s="803">
        <f>COUNT(AB19:AB518)</f>
        <v>5</v>
      </c>
      <c r="AI12" s="1050" t="s">
        <v>2014</v>
      </c>
      <c r="AJ12" s="1097" t="str">
        <f>$C$24</f>
        <v>MOD_FOLLOWING</v>
      </c>
      <c r="AK12" s="108" t="s">
        <v>12</v>
      </c>
      <c r="AM12" s="798" t="s">
        <v>2066</v>
      </c>
      <c r="AN12" s="799">
        <f>COUNT(AM19:AM518)</f>
        <v>10</v>
      </c>
      <c r="AT12" s="1050" t="s">
        <v>2014</v>
      </c>
      <c r="AU12" s="1097" t="str">
        <f>$C$44</f>
        <v>MOD_FOLLOWING</v>
      </c>
      <c r="AV12" s="108" t="s">
        <v>12</v>
      </c>
    </row>
    <row r="13" spans="2:48">
      <c r="B13" s="1053" t="s">
        <v>2143</v>
      </c>
      <c r="C13" s="1096" t="s">
        <v>1995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2013</v>
      </c>
      <c r="AJ13" s="1097" t="str">
        <f>$C$25</f>
        <v>TGT</v>
      </c>
      <c r="AK13" s="108" t="s">
        <v>12</v>
      </c>
      <c r="AM13" s="801" t="s">
        <v>354</v>
      </c>
      <c r="AN13" s="800">
        <f>VNS.Notional.Upfront</f>
        <v>1000000</v>
      </c>
      <c r="AT13" s="1050" t="s">
        <v>2013</v>
      </c>
      <c r="AU13" s="1097" t="str">
        <f>$C$45</f>
        <v>TGT</v>
      </c>
      <c r="AV13" s="108" t="s">
        <v>12</v>
      </c>
    </row>
    <row r="14" spans="2:48">
      <c r="B14" s="1053" t="s">
        <v>2016</v>
      </c>
      <c r="C14" s="1096" t="s">
        <v>2125</v>
      </c>
      <c r="D14" s="108" t="s">
        <v>12</v>
      </c>
      <c r="AB14" s="765" t="s">
        <v>2041</v>
      </c>
      <c r="AC14" s="753">
        <v>100000</v>
      </c>
      <c r="AD14" s="647" t="s">
        <v>2042</v>
      </c>
      <c r="AI14" s="511" t="s">
        <v>2045</v>
      </c>
      <c r="AJ14" s="761" t="str">
        <f>VNS.Daycount.Fixed</f>
        <v>30/360</v>
      </c>
      <c r="AK14" s="108" t="s">
        <v>12</v>
      </c>
      <c r="AM14" s="765" t="s">
        <v>2041</v>
      </c>
      <c r="AN14" s="753">
        <v>100000</v>
      </c>
      <c r="AO14" s="647" t="s">
        <v>2042</v>
      </c>
      <c r="AT14" s="1009" t="s">
        <v>2045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2080</v>
      </c>
      <c r="AC15" s="754">
        <v>1</v>
      </c>
      <c r="AD15" s="647" t="s">
        <v>2042</v>
      </c>
      <c r="AI15" s="647" t="s">
        <v>2089</v>
      </c>
      <c r="AJ15" s="108"/>
      <c r="AK15" s="108" t="s">
        <v>12</v>
      </c>
      <c r="AM15" s="766" t="s">
        <v>2080</v>
      </c>
      <c r="AN15" s="754">
        <v>0</v>
      </c>
      <c r="AO15" s="647" t="s">
        <v>2042</v>
      </c>
      <c r="AT15" s="647" t="s">
        <v>2089</v>
      </c>
      <c r="AV15" s="108" t="s">
        <v>12</v>
      </c>
    </row>
    <row r="16" spans="2:48">
      <c r="B16" s="768" t="s">
        <v>2056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2055</v>
      </c>
      <c r="C17" s="791">
        <v>0</v>
      </c>
      <c r="D17" s="108" t="s">
        <v>12</v>
      </c>
      <c r="E17" s="234" t="s">
        <v>2082</v>
      </c>
      <c r="H17" s="996"/>
      <c r="P17" s="234" t="s">
        <v>2090</v>
      </c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2044</v>
      </c>
      <c r="F18" s="736" t="s">
        <v>354</v>
      </c>
      <c r="G18" s="736" t="s">
        <v>2015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1772</v>
      </c>
      <c r="P18" s="735" t="s">
        <v>2044</v>
      </c>
      <c r="Q18" s="736" t="s">
        <v>354</v>
      </c>
      <c r="R18" s="736" t="s">
        <v>2015</v>
      </c>
      <c r="S18" s="738" t="str">
        <f t="array" aca="1" ref="S18:X518" ca="1">_xll.meUtilityResize(_xll.meProductSwapSchedule($B$40:$C$57,TRUE,TRUE),510,20)</f>
        <v>FixingDate</v>
      </c>
      <c r="T18" s="738" t="str">
        <f ca="1"/>
        <v>AccrualStart</v>
      </c>
      <c r="U18" s="738" t="str">
        <f ca="1"/>
        <v>AccrualEnd</v>
      </c>
      <c r="V18" s="739" t="str">
        <f ca="1"/>
        <v>AccrualDays</v>
      </c>
      <c r="W18" s="740" t="str">
        <f ca="1"/>
        <v>AccrualYearFractions</v>
      </c>
      <c r="X18" s="738" t="str">
        <f ca="1"/>
        <v>PaymentDate</v>
      </c>
      <c r="Y18" s="823" t="s">
        <v>1784</v>
      </c>
      <c r="AA18" s="828" t="s">
        <v>2044</v>
      </c>
      <c r="AB18" s="1098" t="s">
        <v>354</v>
      </c>
      <c r="AC18" s="1069" t="s">
        <v>2015</v>
      </c>
      <c r="AD18" s="1070" t="s">
        <v>2083</v>
      </c>
      <c r="AE18" s="1070" t="s">
        <v>2084</v>
      </c>
      <c r="AF18" s="1070" t="s">
        <v>2085</v>
      </c>
      <c r="AG18" s="1071" t="s">
        <v>2086</v>
      </c>
      <c r="AH18" s="1039" t="s">
        <v>2087</v>
      </c>
      <c r="AI18" s="1070" t="s">
        <v>2088</v>
      </c>
      <c r="AJ18" s="1072" t="s">
        <v>1772</v>
      </c>
      <c r="AK18" s="108" t="s">
        <v>12</v>
      </c>
      <c r="AL18" s="847" t="s">
        <v>2044</v>
      </c>
      <c r="AM18" s="848" t="s">
        <v>354</v>
      </c>
      <c r="AN18" s="849" t="s">
        <v>2015</v>
      </c>
      <c r="AO18" s="850" t="s">
        <v>2083</v>
      </c>
      <c r="AP18" s="850" t="s">
        <v>2084</v>
      </c>
      <c r="AQ18" s="850" t="s">
        <v>2085</v>
      </c>
      <c r="AR18" s="851" t="s">
        <v>2086</v>
      </c>
      <c r="AS18" s="852" t="s">
        <v>2087</v>
      </c>
      <c r="AT18" s="850" t="s">
        <v>2088</v>
      </c>
      <c r="AU18" s="853" t="s">
        <v>1784</v>
      </c>
      <c r="AV18" s="108" t="s">
        <v>12</v>
      </c>
    </row>
    <row r="19" spans="1:48" ht="15" customHeight="1">
      <c r="B19" s="234" t="s">
        <v>2043</v>
      </c>
      <c r="D19" s="108" t="s">
        <v>12</v>
      </c>
      <c r="E19" s="742">
        <v>1</v>
      </c>
      <c r="F19" s="1248">
        <f ca="1">IF($I19="","",VNS.Notional.Upfront)</f>
        <v>1000000</v>
      </c>
      <c r="G19" s="520">
        <f ca="1">IF(I19="","",1)</f>
        <v>1</v>
      </c>
      <c r="H19" s="1043">
        <f ca="1"/>
        <v>43228</v>
      </c>
      <c r="I19" s="1006">
        <f ca="1"/>
        <v>43228</v>
      </c>
      <c r="J19" s="1006">
        <f ca="1"/>
        <v>43593</v>
      </c>
      <c r="K19" s="1016">
        <f ca="1"/>
        <v>365</v>
      </c>
      <c r="L19" s="1019">
        <f ca="1"/>
        <v>1</v>
      </c>
      <c r="M19" s="1006">
        <f ca="1"/>
        <v>43593</v>
      </c>
      <c r="N19" s="1060">
        <f t="shared" ref="N19:N82" ca="1" si="0">IF($I19="","",VNS.FixedRate)</f>
        <v>0.01</v>
      </c>
      <c r="P19" s="742">
        <v>1</v>
      </c>
      <c r="Q19" s="1248">
        <f ca="1">IF($T19="","",VNS.Notional.Upfront)</f>
        <v>1000000</v>
      </c>
      <c r="R19" s="520">
        <f ca="1">IF(T19="","",1)</f>
        <v>1</v>
      </c>
      <c r="S19" s="430">
        <f ca="1"/>
        <v>43228</v>
      </c>
      <c r="T19" s="430">
        <f ca="1"/>
        <v>43228</v>
      </c>
      <c r="U19" s="430">
        <f ca="1"/>
        <v>43412</v>
      </c>
      <c r="V19" s="517">
        <f ca="1"/>
        <v>184</v>
      </c>
      <c r="W19" s="518">
        <f ca="1"/>
        <v>0.51111111111111096</v>
      </c>
      <c r="X19" s="430">
        <f ca="1"/>
        <v>43412</v>
      </c>
      <c r="Y19" s="864">
        <f t="shared" ref="Y19:Y82" ca="1" si="1">IF($T19="","",VNS.FloatSpread)</f>
        <v>0</v>
      </c>
      <c r="AA19" s="828">
        <v>1</v>
      </c>
      <c r="AB19" s="1099">
        <v>1000000</v>
      </c>
      <c r="AC19" s="999">
        <v>1</v>
      </c>
      <c r="AD19" s="1066">
        <v>42916</v>
      </c>
      <c r="AE19" s="1073">
        <v>42916</v>
      </c>
      <c r="AF19" s="1073">
        <v>43280</v>
      </c>
      <c r="AG19" s="1047">
        <v>364</v>
      </c>
      <c r="AH19" s="1074">
        <v>0.99722222222222201</v>
      </c>
      <c r="AI19" s="1073">
        <v>43280</v>
      </c>
      <c r="AJ19" s="1075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1768</v>
      </c>
      <c r="C20" s="783">
        <f ca="1">_xll.meDateFromTenor(AsOfDate,EffectiveLag,C27,C28)</f>
        <v>43228</v>
      </c>
      <c r="D20" s="108" t="s">
        <v>12</v>
      </c>
      <c r="E20" s="742">
        <v>2</v>
      </c>
      <c r="F20" s="1016">
        <f t="shared" ref="F20:F83" ca="1" si="2">IF($I20="","",IF(OR(VNS.FixedAmortization=0,VNS.FixedAmortization.Frequency=0),F19,IF(MOD(E20-1,VNS.FixedAmortization.Frequency)=0,F19-VNS.FixedAmortization,F19)))</f>
        <v>900000</v>
      </c>
      <c r="G20" s="520">
        <f t="shared" ref="G20:G83" ca="1" si="3">IF(I20="","",1)</f>
        <v>1</v>
      </c>
      <c r="H20" s="1043">
        <f ca="1"/>
        <v>43593</v>
      </c>
      <c r="I20" s="1006">
        <f ca="1"/>
        <v>43593</v>
      </c>
      <c r="J20" s="1006">
        <f ca="1"/>
        <v>43959</v>
      </c>
      <c r="K20" s="1016">
        <f ca="1"/>
        <v>366</v>
      </c>
      <c r="L20" s="1019">
        <f ca="1"/>
        <v>1</v>
      </c>
      <c r="M20" s="1006">
        <f ca="1"/>
        <v>43959</v>
      </c>
      <c r="N20" s="1060">
        <f t="shared" ca="1" si="0"/>
        <v>0.01</v>
      </c>
      <c r="P20" s="742">
        <v>2</v>
      </c>
      <c r="Q20" s="517">
        <f t="shared" ref="Q20:Q83" ca="1" si="4">IF($T20="","",IF(OR(VNS.FloatAmortization=0,VNS.FloatAmortization.Frequency=0),Q19,IF(MOD(P20-1,VNS.FloatAmortization.Frequency)=0,Q19-VNS.FloatAmortization,Q19)))</f>
        <v>1000000</v>
      </c>
      <c r="R20" s="520">
        <f t="shared" ref="R20:R83" ca="1" si="5">IF(T20="","",1)</f>
        <v>1</v>
      </c>
      <c r="S20" s="430">
        <f ca="1"/>
        <v>43412</v>
      </c>
      <c r="T20" s="430">
        <f ca="1"/>
        <v>43412</v>
      </c>
      <c r="U20" s="430">
        <f ca="1"/>
        <v>43593</v>
      </c>
      <c r="V20" s="517">
        <f ca="1"/>
        <v>181</v>
      </c>
      <c r="W20" s="518">
        <f ca="1"/>
        <v>0.50277777777777799</v>
      </c>
      <c r="X20" s="430">
        <f ca="1"/>
        <v>43593</v>
      </c>
      <c r="Y20" s="864">
        <f t="shared" ca="1" si="1"/>
        <v>0</v>
      </c>
      <c r="AA20" s="828">
        <v>2</v>
      </c>
      <c r="AB20" s="1099">
        <v>900000</v>
      </c>
      <c r="AC20" s="999">
        <v>1</v>
      </c>
      <c r="AD20" s="1066">
        <v>43280</v>
      </c>
      <c r="AE20" s="1073">
        <v>43280</v>
      </c>
      <c r="AF20" s="1073">
        <v>43644</v>
      </c>
      <c r="AG20" s="1047">
        <v>364</v>
      </c>
      <c r="AH20" s="1074">
        <v>0.99722222222222201</v>
      </c>
      <c r="AI20" s="1073">
        <v>43644</v>
      </c>
      <c r="AJ20" s="1075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1769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800000</v>
      </c>
      <c r="G21" s="520">
        <f t="shared" ca="1" si="3"/>
        <v>1</v>
      </c>
      <c r="H21" s="1043">
        <f ca="1"/>
        <v>43959</v>
      </c>
      <c r="I21" s="1006">
        <f ca="1"/>
        <v>43959</v>
      </c>
      <c r="J21" s="1006">
        <f ca="1"/>
        <v>44326</v>
      </c>
      <c r="K21" s="1016">
        <f ca="1"/>
        <v>367</v>
      </c>
      <c r="L21" s="1019">
        <f ca="1"/>
        <v>1.00555555555556</v>
      </c>
      <c r="M21" s="1006">
        <f ca="1"/>
        <v>44326</v>
      </c>
      <c r="N21" s="1060">
        <f t="shared" ca="1" si="0"/>
        <v>0.01</v>
      </c>
      <c r="P21" s="742">
        <v>3</v>
      </c>
      <c r="Q21" s="517">
        <f t="shared" ca="1" si="4"/>
        <v>1000000</v>
      </c>
      <c r="R21" s="520">
        <f t="shared" ca="1" si="5"/>
        <v>1</v>
      </c>
      <c r="S21" s="430">
        <f ca="1"/>
        <v>43593</v>
      </c>
      <c r="T21" s="430">
        <f ca="1"/>
        <v>43593</v>
      </c>
      <c r="U21" s="430">
        <f ca="1"/>
        <v>43777</v>
      </c>
      <c r="V21" s="517">
        <f ca="1"/>
        <v>184</v>
      </c>
      <c r="W21" s="518">
        <f ca="1"/>
        <v>0.51111111111111096</v>
      </c>
      <c r="X21" s="430">
        <f ca="1"/>
        <v>43777</v>
      </c>
      <c r="Y21" s="864">
        <f t="shared" ca="1" si="1"/>
        <v>0</v>
      </c>
      <c r="AA21" s="828">
        <v>3</v>
      </c>
      <c r="AB21" s="1099">
        <v>800000</v>
      </c>
      <c r="AC21" s="999">
        <v>1</v>
      </c>
      <c r="AD21" s="1066">
        <v>43644</v>
      </c>
      <c r="AE21" s="1073">
        <v>43644</v>
      </c>
      <c r="AF21" s="1073">
        <v>44012</v>
      </c>
      <c r="AG21" s="1047">
        <v>368</v>
      </c>
      <c r="AH21" s="1074">
        <v>1.00555555555556</v>
      </c>
      <c r="AI21" s="1073">
        <v>44012</v>
      </c>
      <c r="AJ21" s="1075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43465</v>
      </c>
      <c r="AR21" s="743">
        <v>185</v>
      </c>
      <c r="AS21" s="837">
        <v>0.51388888888888895</v>
      </c>
      <c r="AT21" s="836">
        <v>43465</v>
      </c>
      <c r="AU21" s="855">
        <v>0</v>
      </c>
      <c r="AV21" s="108" t="s">
        <v>12</v>
      </c>
    </row>
    <row r="22" spans="1:48">
      <c r="B22" s="756" t="s">
        <v>2045</v>
      </c>
      <c r="C22" s="744" t="s">
        <v>157</v>
      </c>
      <c r="D22" s="108" t="s">
        <v>12</v>
      </c>
      <c r="E22" s="742">
        <v>4</v>
      </c>
      <c r="F22" s="1016">
        <f t="shared" ca="1" si="2"/>
        <v>700000</v>
      </c>
      <c r="G22" s="520">
        <f t="shared" ca="1" si="3"/>
        <v>1</v>
      </c>
      <c r="H22" s="1043">
        <f ca="1"/>
        <v>44326</v>
      </c>
      <c r="I22" s="1006">
        <f ca="1"/>
        <v>44326</v>
      </c>
      <c r="J22" s="1006">
        <f ca="1"/>
        <v>44690</v>
      </c>
      <c r="K22" s="1016">
        <f ca="1"/>
        <v>364</v>
      </c>
      <c r="L22" s="1019">
        <f ca="1"/>
        <v>0.99722222222222201</v>
      </c>
      <c r="M22" s="1006">
        <f ca="1"/>
        <v>44690</v>
      </c>
      <c r="N22" s="1060">
        <f t="shared" ca="1" si="0"/>
        <v>0.01</v>
      </c>
      <c r="P22" s="742">
        <v>4</v>
      </c>
      <c r="Q22" s="517">
        <f t="shared" ca="1" si="4"/>
        <v>1000000</v>
      </c>
      <c r="R22" s="520">
        <f t="shared" ca="1" si="5"/>
        <v>1</v>
      </c>
      <c r="S22" s="430">
        <f ca="1"/>
        <v>43777</v>
      </c>
      <c r="T22" s="430">
        <f ca="1"/>
        <v>43777</v>
      </c>
      <c r="U22" s="430">
        <f ca="1"/>
        <v>43959</v>
      </c>
      <c r="V22" s="517">
        <f ca="1"/>
        <v>182</v>
      </c>
      <c r="W22" s="518">
        <f ca="1"/>
        <v>0.50555555555555598</v>
      </c>
      <c r="X22" s="430">
        <f ca="1"/>
        <v>43959</v>
      </c>
      <c r="Y22" s="864">
        <f t="shared" ca="1" si="1"/>
        <v>0</v>
      </c>
      <c r="AA22" s="828">
        <v>4</v>
      </c>
      <c r="AB22" s="1099">
        <v>700000</v>
      </c>
      <c r="AC22" s="999">
        <v>1</v>
      </c>
      <c r="AD22" s="1066">
        <v>44012</v>
      </c>
      <c r="AE22" s="1073">
        <v>44012</v>
      </c>
      <c r="AF22" s="1073">
        <v>44377</v>
      </c>
      <c r="AG22" s="1047">
        <v>365</v>
      </c>
      <c r="AH22" s="1074">
        <v>1</v>
      </c>
      <c r="AI22" s="1073">
        <v>44377</v>
      </c>
      <c r="AJ22" s="1075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43465</v>
      </c>
      <c r="AP22" s="836">
        <v>43465</v>
      </c>
      <c r="AQ22" s="836">
        <v>43644</v>
      </c>
      <c r="AR22" s="743">
        <v>179</v>
      </c>
      <c r="AS22" s="837">
        <v>0.49722222222222201</v>
      </c>
      <c r="AT22" s="836">
        <v>43644</v>
      </c>
      <c r="AU22" s="855">
        <v>0</v>
      </c>
      <c r="AV22" s="108" t="s">
        <v>12</v>
      </c>
    </row>
    <row r="23" spans="1:48">
      <c r="B23" s="756" t="s">
        <v>2046</v>
      </c>
      <c r="C23" s="514" t="s">
        <v>146</v>
      </c>
      <c r="D23" s="108" t="s">
        <v>12</v>
      </c>
      <c r="E23" s="742">
        <v>5</v>
      </c>
      <c r="F23" s="1016">
        <f t="shared" ca="1" si="2"/>
        <v>600000</v>
      </c>
      <c r="G23" s="520">
        <f t="shared" ca="1" si="3"/>
        <v>1</v>
      </c>
      <c r="H23" s="1043">
        <f ca="1"/>
        <v>44690</v>
      </c>
      <c r="I23" s="1006">
        <f ca="1"/>
        <v>44690</v>
      </c>
      <c r="J23" s="1006">
        <f ca="1"/>
        <v>45054</v>
      </c>
      <c r="K23" s="1016">
        <f ca="1"/>
        <v>364</v>
      </c>
      <c r="L23" s="1019">
        <f ca="1"/>
        <v>0.99722222222222201</v>
      </c>
      <c r="M23" s="1006">
        <f ca="1"/>
        <v>45054</v>
      </c>
      <c r="N23" s="1060">
        <f t="shared" ca="1" si="0"/>
        <v>0.01</v>
      </c>
      <c r="P23" s="742">
        <v>5</v>
      </c>
      <c r="Q23" s="517">
        <f t="shared" ca="1" si="4"/>
        <v>1000000</v>
      </c>
      <c r="R23" s="520">
        <f t="array" aca="1" ref="R23" ca="1">IF(T23="","",1)</f>
        <v>1</v>
      </c>
      <c r="S23" s="430">
        <f ca="1"/>
        <v>43959</v>
      </c>
      <c r="T23" s="430">
        <f ca="1"/>
        <v>43959</v>
      </c>
      <c r="U23" s="430">
        <f ca="1"/>
        <v>44144</v>
      </c>
      <c r="V23" s="517">
        <f ca="1"/>
        <v>185</v>
      </c>
      <c r="W23" s="518">
        <f ca="1"/>
        <v>0.51388888888888895</v>
      </c>
      <c r="X23" s="430">
        <f ca="1"/>
        <v>44144</v>
      </c>
      <c r="Y23" s="864">
        <f t="shared" ca="1" si="1"/>
        <v>0</v>
      </c>
      <c r="AA23" s="828">
        <v>5</v>
      </c>
      <c r="AB23" s="1099">
        <v>600000</v>
      </c>
      <c r="AC23" s="999">
        <v>1</v>
      </c>
      <c r="AD23" s="1066">
        <v>44377</v>
      </c>
      <c r="AE23" s="1073">
        <v>44377</v>
      </c>
      <c r="AF23" s="1073">
        <v>44742</v>
      </c>
      <c r="AG23" s="1047">
        <v>365</v>
      </c>
      <c r="AH23" s="1074">
        <v>1</v>
      </c>
      <c r="AI23" s="1073">
        <v>44742</v>
      </c>
      <c r="AJ23" s="1075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2014</v>
      </c>
      <c r="C24" s="745" t="s">
        <v>38</v>
      </c>
      <c r="D24" s="108" t="s">
        <v>12</v>
      </c>
      <c r="E24" s="742">
        <v>6</v>
      </c>
      <c r="F24" s="1016" t="str">
        <f t="shared" ca="1" si="2"/>
        <v/>
      </c>
      <c r="G24" s="520" t="str">
        <f t="shared" ca="1" si="3"/>
        <v/>
      </c>
      <c r="H24" s="1043" t="str">
        <f ca="1"/>
        <v/>
      </c>
      <c r="I24" s="1006" t="str">
        <f ca="1"/>
        <v/>
      </c>
      <c r="J24" s="1006" t="str">
        <f ca="1"/>
        <v/>
      </c>
      <c r="K24" s="1016" t="str">
        <f ca="1"/>
        <v/>
      </c>
      <c r="L24" s="1019" t="str">
        <f ca="1"/>
        <v/>
      </c>
      <c r="M24" s="1006" t="str">
        <f ca="1"/>
        <v/>
      </c>
      <c r="N24" s="1060" t="str">
        <f t="shared" ca="1" si="0"/>
        <v/>
      </c>
      <c r="P24" s="742">
        <v>6</v>
      </c>
      <c r="Q24" s="517">
        <f t="shared" ca="1" si="4"/>
        <v>1000000</v>
      </c>
      <c r="R24" s="520">
        <f t="shared" ca="1" si="5"/>
        <v>1</v>
      </c>
      <c r="S24" s="430">
        <f ca="1"/>
        <v>44144</v>
      </c>
      <c r="T24" s="430">
        <f ca="1"/>
        <v>44144</v>
      </c>
      <c r="U24" s="430">
        <f ca="1"/>
        <v>44326</v>
      </c>
      <c r="V24" s="517">
        <f ca="1"/>
        <v>182</v>
      </c>
      <c r="W24" s="518">
        <f ca="1"/>
        <v>0.50555555555555598</v>
      </c>
      <c r="X24" s="430">
        <f ca="1"/>
        <v>44326</v>
      </c>
      <c r="Y24" s="864">
        <f t="shared" ca="1" si="1"/>
        <v>0</v>
      </c>
      <c r="AA24" s="828">
        <v>6</v>
      </c>
      <c r="AB24" s="1099"/>
      <c r="AC24" s="999"/>
      <c r="AD24" s="1066"/>
      <c r="AE24" s="1073"/>
      <c r="AF24" s="1073"/>
      <c r="AG24" s="1047"/>
      <c r="AH24" s="1074"/>
      <c r="AI24" s="1073"/>
      <c r="AJ24" s="1075"/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2013</v>
      </c>
      <c r="C25" s="746" t="s">
        <v>0</v>
      </c>
      <c r="D25" s="108" t="s">
        <v>12</v>
      </c>
      <c r="E25" s="742">
        <v>7</v>
      </c>
      <c r="F25" s="1016" t="str">
        <f t="shared" ca="1" si="2"/>
        <v/>
      </c>
      <c r="G25" s="520" t="str">
        <f t="shared" ca="1" si="3"/>
        <v/>
      </c>
      <c r="H25" s="1043" t="str">
        <f ca="1"/>
        <v/>
      </c>
      <c r="I25" s="1006" t="str">
        <f ca="1"/>
        <v/>
      </c>
      <c r="J25" s="1006" t="str">
        <f ca="1"/>
        <v/>
      </c>
      <c r="K25" s="1016" t="str">
        <f ca="1"/>
        <v/>
      </c>
      <c r="L25" s="1019" t="str">
        <f ca="1"/>
        <v/>
      </c>
      <c r="M25" s="1006" t="str">
        <f ca="1"/>
        <v/>
      </c>
      <c r="N25" s="1060" t="str">
        <f t="shared" ca="1" si="0"/>
        <v/>
      </c>
      <c r="P25" s="742">
        <v>7</v>
      </c>
      <c r="Q25" s="517">
        <f t="shared" ca="1" si="4"/>
        <v>1000000</v>
      </c>
      <c r="R25" s="520">
        <f t="shared" ca="1" si="5"/>
        <v>1</v>
      </c>
      <c r="S25" s="430">
        <f ca="1"/>
        <v>44326</v>
      </c>
      <c r="T25" s="430">
        <f ca="1"/>
        <v>44326</v>
      </c>
      <c r="U25" s="430">
        <f ca="1"/>
        <v>44508</v>
      </c>
      <c r="V25" s="517">
        <f ca="1"/>
        <v>182</v>
      </c>
      <c r="W25" s="518">
        <f ca="1"/>
        <v>0.50555555555555598</v>
      </c>
      <c r="X25" s="430">
        <f ca="1"/>
        <v>44508</v>
      </c>
      <c r="Y25" s="864">
        <f t="shared" ca="1" si="1"/>
        <v>0</v>
      </c>
      <c r="AA25" s="828">
        <v>7</v>
      </c>
      <c r="AB25" s="1099"/>
      <c r="AC25" s="999"/>
      <c r="AD25" s="1066"/>
      <c r="AE25" s="1073"/>
      <c r="AF25" s="1073"/>
      <c r="AG25" s="1047"/>
      <c r="AH25" s="1074"/>
      <c r="AI25" s="1073"/>
      <c r="AJ25" s="1075"/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2047</v>
      </c>
      <c r="C26" s="514" t="s">
        <v>146</v>
      </c>
      <c r="D26" s="108" t="s">
        <v>12</v>
      </c>
      <c r="E26" s="742">
        <v>8</v>
      </c>
      <c r="F26" s="1016" t="str">
        <f t="shared" ca="1" si="2"/>
        <v/>
      </c>
      <c r="G26" s="520" t="str">
        <f t="shared" ca="1" si="3"/>
        <v/>
      </c>
      <c r="H26" s="1043" t="str">
        <f ca="1"/>
        <v/>
      </c>
      <c r="I26" s="1006" t="str">
        <f ca="1"/>
        <v/>
      </c>
      <c r="J26" s="1006" t="str">
        <f ca="1"/>
        <v/>
      </c>
      <c r="K26" s="1016" t="str">
        <f ca="1"/>
        <v/>
      </c>
      <c r="L26" s="1019" t="str">
        <f ca="1"/>
        <v/>
      </c>
      <c r="M26" s="1006" t="str">
        <f ca="1"/>
        <v/>
      </c>
      <c r="N26" s="1060" t="str">
        <f t="shared" ca="1" si="0"/>
        <v/>
      </c>
      <c r="P26" s="742">
        <v>8</v>
      </c>
      <c r="Q26" s="517">
        <f t="shared" ca="1" si="4"/>
        <v>1000000</v>
      </c>
      <c r="R26" s="520">
        <f t="shared" ca="1" si="5"/>
        <v>1</v>
      </c>
      <c r="S26" s="430">
        <f ca="1"/>
        <v>44508</v>
      </c>
      <c r="T26" s="430">
        <f ca="1"/>
        <v>44508</v>
      </c>
      <c r="U26" s="430">
        <f ca="1"/>
        <v>44690</v>
      </c>
      <c r="V26" s="517">
        <f ca="1"/>
        <v>182</v>
      </c>
      <c r="W26" s="518">
        <f ca="1"/>
        <v>0.50555555555555598</v>
      </c>
      <c r="X26" s="430">
        <f ca="1"/>
        <v>44690</v>
      </c>
      <c r="Y26" s="864">
        <f t="shared" ca="1" si="1"/>
        <v>0</v>
      </c>
      <c r="AA26" s="828">
        <v>8</v>
      </c>
      <c r="AB26" s="1099"/>
      <c r="AC26" s="999"/>
      <c r="AD26" s="1066"/>
      <c r="AE26" s="1073"/>
      <c r="AF26" s="1073"/>
      <c r="AG26" s="1047"/>
      <c r="AH26" s="1074"/>
      <c r="AI26" s="1073"/>
      <c r="AJ26" s="1075"/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2009</v>
      </c>
      <c r="C27" s="745" t="s">
        <v>38</v>
      </c>
      <c r="D27" s="108" t="s">
        <v>12</v>
      </c>
      <c r="E27" s="742">
        <v>9</v>
      </c>
      <c r="F27" s="1016" t="str">
        <f t="shared" ca="1" si="2"/>
        <v/>
      </c>
      <c r="G27" s="520" t="str">
        <f t="shared" ca="1" si="3"/>
        <v/>
      </c>
      <c r="H27" s="1043" t="str">
        <f ca="1"/>
        <v/>
      </c>
      <c r="I27" s="1006" t="str">
        <f ca="1"/>
        <v/>
      </c>
      <c r="J27" s="1006" t="str">
        <f ca="1"/>
        <v/>
      </c>
      <c r="K27" s="1016" t="str">
        <f ca="1"/>
        <v/>
      </c>
      <c r="L27" s="1019" t="str">
        <f ca="1"/>
        <v/>
      </c>
      <c r="M27" s="1006" t="str">
        <f ca="1"/>
        <v/>
      </c>
      <c r="N27" s="1060" t="str">
        <f t="shared" ca="1" si="0"/>
        <v/>
      </c>
      <c r="P27" s="742">
        <v>9</v>
      </c>
      <c r="Q27" s="517">
        <f t="shared" ca="1" si="4"/>
        <v>1000000</v>
      </c>
      <c r="R27" s="520">
        <f t="shared" ca="1" si="5"/>
        <v>1</v>
      </c>
      <c r="S27" s="430">
        <f ca="1"/>
        <v>44690</v>
      </c>
      <c r="T27" s="430">
        <f ca="1"/>
        <v>44690</v>
      </c>
      <c r="U27" s="430">
        <f ca="1"/>
        <v>44873</v>
      </c>
      <c r="V27" s="517">
        <f ca="1"/>
        <v>183</v>
      </c>
      <c r="W27" s="518">
        <f ca="1"/>
        <v>0.50833333333333297</v>
      </c>
      <c r="X27" s="430">
        <f ca="1"/>
        <v>44873</v>
      </c>
      <c r="Y27" s="864">
        <f t="shared" ca="1" si="1"/>
        <v>0</v>
      </c>
      <c r="AA27" s="828">
        <v>9</v>
      </c>
      <c r="AB27" s="1099"/>
      <c r="AC27" s="999"/>
      <c r="AD27" s="1066"/>
      <c r="AE27" s="1073"/>
      <c r="AF27" s="1073"/>
      <c r="AG27" s="1047"/>
      <c r="AH27" s="1074"/>
      <c r="AI27" s="1073"/>
      <c r="AJ27" s="1075"/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2008</v>
      </c>
      <c r="C28" s="745" t="s">
        <v>0</v>
      </c>
      <c r="D28" s="108" t="s">
        <v>12</v>
      </c>
      <c r="E28" s="742">
        <v>10</v>
      </c>
      <c r="F28" s="1016" t="str">
        <f t="shared" ca="1" si="2"/>
        <v/>
      </c>
      <c r="G28" s="520" t="str">
        <f t="shared" ca="1" si="3"/>
        <v/>
      </c>
      <c r="H28" s="1043" t="str">
        <f ca="1"/>
        <v/>
      </c>
      <c r="I28" s="1006" t="str">
        <f ca="1"/>
        <v/>
      </c>
      <c r="J28" s="1006" t="str">
        <f ca="1"/>
        <v/>
      </c>
      <c r="K28" s="1016" t="str">
        <f ca="1"/>
        <v/>
      </c>
      <c r="L28" s="1019" t="str">
        <f ca="1"/>
        <v/>
      </c>
      <c r="M28" s="1006" t="str">
        <f ca="1"/>
        <v/>
      </c>
      <c r="N28" s="1060" t="str">
        <f t="shared" ca="1" si="0"/>
        <v/>
      </c>
      <c r="P28" s="742">
        <v>10</v>
      </c>
      <c r="Q28" s="517">
        <f t="shared" ca="1" si="4"/>
        <v>1000000</v>
      </c>
      <c r="R28" s="520">
        <f t="shared" ca="1" si="5"/>
        <v>1</v>
      </c>
      <c r="S28" s="430">
        <f ca="1"/>
        <v>44873</v>
      </c>
      <c r="T28" s="430">
        <f ca="1"/>
        <v>44873</v>
      </c>
      <c r="U28" s="430">
        <f ca="1"/>
        <v>45054</v>
      </c>
      <c r="V28" s="517">
        <f ca="1"/>
        <v>181</v>
      </c>
      <c r="W28" s="518">
        <f ca="1"/>
        <v>0.50277777777777799</v>
      </c>
      <c r="X28" s="430">
        <f ca="1"/>
        <v>45054</v>
      </c>
      <c r="Y28" s="864">
        <f t="shared" ca="1" si="1"/>
        <v>0</v>
      </c>
      <c r="AA28" s="828">
        <v>10</v>
      </c>
      <c r="AB28" s="1099"/>
      <c r="AC28" s="999"/>
      <c r="AD28" s="1066"/>
      <c r="AE28" s="1073"/>
      <c r="AF28" s="1073"/>
      <c r="AG28" s="1047"/>
      <c r="AH28" s="1074"/>
      <c r="AI28" s="1073"/>
      <c r="AJ28" s="1075"/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2007</v>
      </c>
      <c r="C29" s="747" t="s">
        <v>356</v>
      </c>
      <c r="D29" s="108" t="s">
        <v>12</v>
      </c>
      <c r="E29" s="742">
        <v>11</v>
      </c>
      <c r="F29" s="1016" t="str">
        <f t="shared" ca="1" si="2"/>
        <v/>
      </c>
      <c r="G29" s="520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0"/>
        <v/>
      </c>
      <c r="P29" s="742">
        <v>11</v>
      </c>
      <c r="Q29" s="517" t="str">
        <f t="shared" ca="1" si="4"/>
        <v/>
      </c>
      <c r="R29" s="520" t="str">
        <f t="shared" ca="1" si="5"/>
        <v/>
      </c>
      <c r="S29" s="430" t="str">
        <f ca="1"/>
        <v/>
      </c>
      <c r="T29" s="430" t="str">
        <f ca="1"/>
        <v/>
      </c>
      <c r="U29" s="430" t="str">
        <f ca="1"/>
        <v/>
      </c>
      <c r="V29" s="517" t="str">
        <f ca="1"/>
        <v/>
      </c>
      <c r="W29" s="518" t="str">
        <f ca="1"/>
        <v/>
      </c>
      <c r="X29" s="430" t="str">
        <f ca="1"/>
        <v/>
      </c>
      <c r="Y29" s="864" t="str">
        <f t="shared" ca="1" si="1"/>
        <v/>
      </c>
      <c r="AA29" s="828">
        <v>11</v>
      </c>
      <c r="AB29" s="1099"/>
      <c r="AC29" s="999"/>
      <c r="AD29" s="1066"/>
      <c r="AE29" s="1073"/>
      <c r="AF29" s="1073"/>
      <c r="AG29" s="1047"/>
      <c r="AH29" s="1074"/>
      <c r="AI29" s="1073"/>
      <c r="AJ29" s="1075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2012</v>
      </c>
      <c r="C30" s="748" t="s">
        <v>38</v>
      </c>
      <c r="D30" s="108" t="s">
        <v>12</v>
      </c>
      <c r="E30" s="742">
        <v>12</v>
      </c>
      <c r="F30" s="1016" t="str">
        <f t="shared" ca="1" si="2"/>
        <v/>
      </c>
      <c r="G30" s="520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0"/>
        <v/>
      </c>
      <c r="P30" s="742">
        <v>12</v>
      </c>
      <c r="Q30" s="517" t="str">
        <f t="shared" ca="1" si="4"/>
        <v/>
      </c>
      <c r="R30" s="520" t="str">
        <f t="shared" ca="1" si="5"/>
        <v/>
      </c>
      <c r="S30" s="430" t="str">
        <f ca="1"/>
        <v/>
      </c>
      <c r="T30" s="430" t="str">
        <f ca="1"/>
        <v/>
      </c>
      <c r="U30" s="430" t="str">
        <f ca="1"/>
        <v/>
      </c>
      <c r="V30" s="517" t="str">
        <f ca="1"/>
        <v/>
      </c>
      <c r="W30" s="518" t="str">
        <f ca="1"/>
        <v/>
      </c>
      <c r="X30" s="430" t="str">
        <f ca="1"/>
        <v/>
      </c>
      <c r="Y30" s="864" t="str">
        <f t="shared" ca="1" si="1"/>
        <v/>
      </c>
      <c r="AA30" s="828">
        <v>12</v>
      </c>
      <c r="AB30" s="1099"/>
      <c r="AC30" s="999"/>
      <c r="AD30" s="1066"/>
      <c r="AE30" s="1073"/>
      <c r="AF30" s="1073"/>
      <c r="AG30" s="1047"/>
      <c r="AH30" s="1074"/>
      <c r="AI30" s="1073"/>
      <c r="AJ30" s="1075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2011</v>
      </c>
      <c r="C31" s="745" t="s">
        <v>0</v>
      </c>
      <c r="D31" s="108" t="s">
        <v>12</v>
      </c>
      <c r="E31" s="742">
        <v>13</v>
      </c>
      <c r="F31" s="1016" t="str">
        <f t="shared" ca="1" si="2"/>
        <v/>
      </c>
      <c r="G31" s="520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0"/>
        <v/>
      </c>
      <c r="P31" s="742">
        <v>13</v>
      </c>
      <c r="Q31" s="517" t="str">
        <f t="shared" ca="1" si="4"/>
        <v/>
      </c>
      <c r="R31" s="520" t="str">
        <f t="shared" ca="1" si="5"/>
        <v/>
      </c>
      <c r="S31" s="430" t="str">
        <f ca="1"/>
        <v/>
      </c>
      <c r="T31" s="430" t="str">
        <f ca="1"/>
        <v/>
      </c>
      <c r="U31" s="430" t="str">
        <f ca="1"/>
        <v/>
      </c>
      <c r="V31" s="517" t="str">
        <f ca="1"/>
        <v/>
      </c>
      <c r="W31" s="518" t="str">
        <f ca="1"/>
        <v/>
      </c>
      <c r="X31" s="430" t="str">
        <f ca="1"/>
        <v/>
      </c>
      <c r="Y31" s="864" t="str">
        <f t="shared" ca="1" si="1"/>
        <v/>
      </c>
      <c r="AA31" s="828">
        <v>13</v>
      </c>
      <c r="AB31" s="1099"/>
      <c r="AC31" s="999"/>
      <c r="AD31" s="1066"/>
      <c r="AE31" s="1073"/>
      <c r="AF31" s="1073"/>
      <c r="AG31" s="1047"/>
      <c r="AH31" s="1074"/>
      <c r="AI31" s="1073"/>
      <c r="AJ31" s="1075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2010</v>
      </c>
      <c r="C32" s="749" t="s">
        <v>356</v>
      </c>
      <c r="D32" s="108" t="s">
        <v>12</v>
      </c>
      <c r="E32" s="742">
        <v>14</v>
      </c>
      <c r="F32" s="1016" t="str">
        <f t="shared" ca="1" si="2"/>
        <v/>
      </c>
      <c r="G32" s="520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0"/>
        <v/>
      </c>
      <c r="P32" s="742">
        <v>14</v>
      </c>
      <c r="Q32" s="517" t="str">
        <f t="shared" ca="1" si="4"/>
        <v/>
      </c>
      <c r="R32" s="520" t="str">
        <f t="shared" ca="1" si="5"/>
        <v/>
      </c>
      <c r="S32" s="430" t="str">
        <f ca="1"/>
        <v/>
      </c>
      <c r="T32" s="430" t="str">
        <f ca="1"/>
        <v/>
      </c>
      <c r="U32" s="430" t="str">
        <f ca="1"/>
        <v/>
      </c>
      <c r="V32" s="517" t="str">
        <f ca="1"/>
        <v/>
      </c>
      <c r="W32" s="518" t="str">
        <f ca="1"/>
        <v/>
      </c>
      <c r="X32" s="430" t="str">
        <f ca="1"/>
        <v/>
      </c>
      <c r="Y32" s="864" t="str">
        <f t="shared" ca="1" si="1"/>
        <v/>
      </c>
      <c r="AA32" s="828">
        <v>14</v>
      </c>
      <c r="AB32" s="1099"/>
      <c r="AC32" s="999"/>
      <c r="AD32" s="1066"/>
      <c r="AE32" s="1073"/>
      <c r="AF32" s="1073"/>
      <c r="AG32" s="1047"/>
      <c r="AH32" s="1074"/>
      <c r="AI32" s="1073"/>
      <c r="AJ32" s="1075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2048</v>
      </c>
      <c r="C33" s="746" t="s">
        <v>2049</v>
      </c>
      <c r="D33" s="108" t="s">
        <v>12</v>
      </c>
      <c r="E33" s="742">
        <v>15</v>
      </c>
      <c r="F33" s="1016" t="str">
        <f t="shared" ca="1" si="2"/>
        <v/>
      </c>
      <c r="G33" s="520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0"/>
        <v/>
      </c>
      <c r="P33" s="742">
        <v>15</v>
      </c>
      <c r="Q33" s="517" t="str">
        <f t="shared" ca="1" si="4"/>
        <v/>
      </c>
      <c r="R33" s="520" t="str">
        <f t="shared" ca="1" si="5"/>
        <v/>
      </c>
      <c r="S33" s="430" t="str">
        <f ca="1"/>
        <v/>
      </c>
      <c r="T33" s="430" t="str">
        <f ca="1"/>
        <v/>
      </c>
      <c r="U33" s="430" t="str">
        <f ca="1"/>
        <v/>
      </c>
      <c r="V33" s="517" t="str">
        <f ca="1"/>
        <v/>
      </c>
      <c r="W33" s="518" t="str">
        <f ca="1"/>
        <v/>
      </c>
      <c r="X33" s="430" t="str">
        <f ca="1"/>
        <v/>
      </c>
      <c r="Y33" s="864" t="str">
        <f t="shared" ca="1" si="1"/>
        <v/>
      </c>
      <c r="AA33" s="828">
        <v>15</v>
      </c>
      <c r="AB33" s="1099"/>
      <c r="AC33" s="999"/>
      <c r="AD33" s="1066"/>
      <c r="AE33" s="1073"/>
      <c r="AF33" s="1073"/>
      <c r="AG33" s="1047"/>
      <c r="AH33" s="1074"/>
      <c r="AI33" s="1073"/>
      <c r="AJ33" s="1075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2005</v>
      </c>
      <c r="C34" s="757"/>
      <c r="D34" s="108" t="s">
        <v>12</v>
      </c>
      <c r="E34" s="742">
        <v>16</v>
      </c>
      <c r="F34" s="1016" t="str">
        <f t="shared" ca="1" si="2"/>
        <v/>
      </c>
      <c r="G34" s="520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0"/>
        <v/>
      </c>
      <c r="P34" s="742">
        <v>16</v>
      </c>
      <c r="Q34" s="517" t="str">
        <f t="shared" ca="1" si="4"/>
        <v/>
      </c>
      <c r="R34" s="520" t="str">
        <f t="shared" ca="1" si="5"/>
        <v/>
      </c>
      <c r="S34" s="430" t="str">
        <f ca="1"/>
        <v/>
      </c>
      <c r="T34" s="430" t="str">
        <f ca="1"/>
        <v/>
      </c>
      <c r="U34" s="430" t="str">
        <f ca="1"/>
        <v/>
      </c>
      <c r="V34" s="517" t="str">
        <f ca="1"/>
        <v/>
      </c>
      <c r="W34" s="518" t="str">
        <f ca="1"/>
        <v/>
      </c>
      <c r="X34" s="430" t="str">
        <f ca="1"/>
        <v/>
      </c>
      <c r="Y34" s="864" t="str">
        <f t="shared" ca="1" si="1"/>
        <v/>
      </c>
      <c r="AA34" s="828">
        <v>16</v>
      </c>
      <c r="AB34" s="1099"/>
      <c r="AC34" s="999"/>
      <c r="AD34" s="1066"/>
      <c r="AE34" s="1073"/>
      <c r="AF34" s="1073"/>
      <c r="AG34" s="1047"/>
      <c r="AH34" s="1074"/>
      <c r="AI34" s="1073"/>
      <c r="AJ34" s="1075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2004</v>
      </c>
      <c r="C35" s="757"/>
      <c r="D35" s="108" t="s">
        <v>12</v>
      </c>
      <c r="E35" s="742">
        <v>17</v>
      </c>
      <c r="F35" s="1016" t="str">
        <f t="shared" ca="1" si="2"/>
        <v/>
      </c>
      <c r="G35" s="520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0"/>
        <v/>
      </c>
      <c r="P35" s="742">
        <v>17</v>
      </c>
      <c r="Q35" s="517" t="str">
        <f t="shared" ca="1" si="4"/>
        <v/>
      </c>
      <c r="R35" s="520" t="str">
        <f t="shared" ca="1" si="5"/>
        <v/>
      </c>
      <c r="S35" s="430" t="str">
        <f ca="1"/>
        <v/>
      </c>
      <c r="T35" s="430" t="str">
        <f ca="1"/>
        <v/>
      </c>
      <c r="U35" s="430" t="str">
        <f ca="1"/>
        <v/>
      </c>
      <c r="V35" s="517" t="str">
        <f ca="1"/>
        <v/>
      </c>
      <c r="W35" s="518" t="str">
        <f ca="1"/>
        <v/>
      </c>
      <c r="X35" s="430" t="str">
        <f ca="1"/>
        <v/>
      </c>
      <c r="Y35" s="864" t="str">
        <f t="shared" ca="1" si="1"/>
        <v/>
      </c>
      <c r="AA35" s="828">
        <v>17</v>
      </c>
      <c r="AB35" s="1099"/>
      <c r="AC35" s="999"/>
      <c r="AD35" s="1066"/>
      <c r="AE35" s="1073"/>
      <c r="AF35" s="1073"/>
      <c r="AG35" s="1047"/>
      <c r="AH35" s="1074"/>
      <c r="AI35" s="1073"/>
      <c r="AJ35" s="1075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2006</v>
      </c>
      <c r="C36" s="785"/>
      <c r="D36" s="108" t="s">
        <v>12</v>
      </c>
      <c r="E36" s="742">
        <v>18</v>
      </c>
      <c r="F36" s="1016" t="str">
        <f t="shared" ca="1" si="2"/>
        <v/>
      </c>
      <c r="G36" s="520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0"/>
        <v/>
      </c>
      <c r="P36" s="742">
        <v>18</v>
      </c>
      <c r="Q36" s="517" t="str">
        <f t="shared" ca="1" si="4"/>
        <v/>
      </c>
      <c r="R36" s="520" t="str">
        <f t="shared" ca="1" si="5"/>
        <v/>
      </c>
      <c r="S36" s="430" t="str">
        <f ca="1"/>
        <v/>
      </c>
      <c r="T36" s="430" t="str">
        <f ca="1"/>
        <v/>
      </c>
      <c r="U36" s="430" t="str">
        <f ca="1"/>
        <v/>
      </c>
      <c r="V36" s="517" t="str">
        <f ca="1"/>
        <v/>
      </c>
      <c r="W36" s="518" t="str">
        <f ca="1"/>
        <v/>
      </c>
      <c r="X36" s="430" t="str">
        <f ca="1"/>
        <v/>
      </c>
      <c r="Y36" s="864" t="str">
        <f t="shared" ca="1" si="1"/>
        <v/>
      </c>
      <c r="AA36" s="828">
        <v>18</v>
      </c>
      <c r="AB36" s="1099"/>
      <c r="AC36" s="999"/>
      <c r="AD36" s="1067"/>
      <c r="AE36" s="1076"/>
      <c r="AF36" s="1076"/>
      <c r="AG36" s="1048"/>
      <c r="AH36" s="1077"/>
      <c r="AI36" s="1076"/>
      <c r="AJ36" s="1078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2001</v>
      </c>
      <c r="C37" s="786" t="s">
        <v>358</v>
      </c>
      <c r="D37" s="108" t="s">
        <v>12</v>
      </c>
      <c r="E37" s="742">
        <v>19</v>
      </c>
      <c r="F37" s="1016" t="str">
        <f t="shared" ca="1" si="2"/>
        <v/>
      </c>
      <c r="G37" s="520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0"/>
        <v/>
      </c>
      <c r="P37" s="742">
        <v>19</v>
      </c>
      <c r="Q37" s="517" t="str">
        <f t="shared" ca="1" si="4"/>
        <v/>
      </c>
      <c r="R37" s="520" t="str">
        <f t="shared" ca="1" si="5"/>
        <v/>
      </c>
      <c r="S37" s="430" t="str">
        <f ca="1"/>
        <v/>
      </c>
      <c r="T37" s="430" t="str">
        <f ca="1"/>
        <v/>
      </c>
      <c r="U37" s="430" t="str">
        <f ca="1"/>
        <v/>
      </c>
      <c r="V37" s="517" t="str">
        <f ca="1"/>
        <v/>
      </c>
      <c r="W37" s="518" t="str">
        <f ca="1"/>
        <v/>
      </c>
      <c r="X37" s="430" t="str">
        <f ca="1"/>
        <v/>
      </c>
      <c r="Y37" s="864" t="str">
        <f t="shared" ca="1" si="1"/>
        <v/>
      </c>
      <c r="AA37" s="828">
        <v>19</v>
      </c>
      <c r="AB37" s="1099"/>
      <c r="AC37" s="999"/>
      <c r="AD37" s="1067"/>
      <c r="AE37" s="1076"/>
      <c r="AF37" s="1076"/>
      <c r="AG37" s="1048"/>
      <c r="AH37" s="1077"/>
      <c r="AI37" s="1076"/>
      <c r="AJ37" s="1078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2"/>
        <v/>
      </c>
      <c r="G38" s="520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0"/>
        <v/>
      </c>
      <c r="P38" s="742">
        <v>20</v>
      </c>
      <c r="Q38" s="517" t="str">
        <f t="shared" ca="1" si="4"/>
        <v/>
      </c>
      <c r="R38" s="520" t="str">
        <f t="shared" ca="1" si="5"/>
        <v/>
      </c>
      <c r="S38" s="430" t="str">
        <f ca="1"/>
        <v/>
      </c>
      <c r="T38" s="430" t="str">
        <f ca="1"/>
        <v/>
      </c>
      <c r="U38" s="430" t="str">
        <f ca="1"/>
        <v/>
      </c>
      <c r="V38" s="517" t="str">
        <f ca="1"/>
        <v/>
      </c>
      <c r="W38" s="518" t="str">
        <f ca="1"/>
        <v/>
      </c>
      <c r="X38" s="430" t="str">
        <f ca="1"/>
        <v/>
      </c>
      <c r="Y38" s="864" t="str">
        <f t="shared" ca="1" si="1"/>
        <v/>
      </c>
      <c r="AA38" s="828">
        <v>20</v>
      </c>
      <c r="AB38" s="1099"/>
      <c r="AC38" s="999"/>
      <c r="AD38" s="1067"/>
      <c r="AE38" s="1076"/>
      <c r="AF38" s="1076"/>
      <c r="AG38" s="1048"/>
      <c r="AH38" s="1077"/>
      <c r="AI38" s="1076"/>
      <c r="AJ38" s="1078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2050</v>
      </c>
      <c r="D39" s="108" t="s">
        <v>12</v>
      </c>
      <c r="E39" s="742">
        <v>21</v>
      </c>
      <c r="F39" s="1016" t="str">
        <f t="shared" ca="1" si="2"/>
        <v/>
      </c>
      <c r="G39" s="520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0"/>
        <v/>
      </c>
      <c r="P39" s="742">
        <v>21</v>
      </c>
      <c r="Q39" s="517" t="str">
        <f t="shared" ca="1" si="4"/>
        <v/>
      </c>
      <c r="R39" s="520" t="str">
        <f t="shared" ca="1" si="5"/>
        <v/>
      </c>
      <c r="S39" s="430" t="str">
        <f ca="1"/>
        <v/>
      </c>
      <c r="T39" s="430" t="str">
        <f ca="1"/>
        <v/>
      </c>
      <c r="U39" s="430" t="str">
        <f ca="1"/>
        <v/>
      </c>
      <c r="V39" s="517" t="str">
        <f ca="1"/>
        <v/>
      </c>
      <c r="W39" s="518" t="str">
        <f ca="1"/>
        <v/>
      </c>
      <c r="X39" s="430" t="str">
        <f ca="1"/>
        <v/>
      </c>
      <c r="Y39" s="864" t="str">
        <f t="shared" ca="1" si="1"/>
        <v/>
      </c>
      <c r="AA39" s="828">
        <v>21</v>
      </c>
      <c r="AB39" s="1099"/>
      <c r="AC39" s="999"/>
      <c r="AD39" s="1067"/>
      <c r="AE39" s="1076"/>
      <c r="AF39" s="1076"/>
      <c r="AG39" s="1048"/>
      <c r="AH39" s="1077"/>
      <c r="AI39" s="1076"/>
      <c r="AJ39" s="1078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1768</v>
      </c>
      <c r="C40" s="783">
        <f ca="1">_xll.meDateFromTenor(AsOfDate,EffectiveLag,C47,C48)</f>
        <v>43228</v>
      </c>
      <c r="D40" s="108" t="s">
        <v>12</v>
      </c>
      <c r="E40" s="742">
        <v>22</v>
      </c>
      <c r="F40" s="1016" t="str">
        <f t="shared" ca="1" si="2"/>
        <v/>
      </c>
      <c r="G40" s="520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0"/>
        <v/>
      </c>
      <c r="P40" s="742">
        <v>22</v>
      </c>
      <c r="Q40" s="517" t="str">
        <f t="shared" ca="1" si="4"/>
        <v/>
      </c>
      <c r="R40" s="520" t="str">
        <f t="shared" ca="1" si="5"/>
        <v/>
      </c>
      <c r="S40" s="430" t="str">
        <f ca="1"/>
        <v/>
      </c>
      <c r="T40" s="430" t="str">
        <f ca="1"/>
        <v/>
      </c>
      <c r="U40" s="430" t="str">
        <f ca="1"/>
        <v/>
      </c>
      <c r="V40" s="517" t="str">
        <f ca="1"/>
        <v/>
      </c>
      <c r="W40" s="518" t="str">
        <f ca="1"/>
        <v/>
      </c>
      <c r="X40" s="430" t="str">
        <f ca="1"/>
        <v/>
      </c>
      <c r="Y40" s="864" t="str">
        <f t="shared" ca="1" si="1"/>
        <v/>
      </c>
      <c r="AA40" s="828">
        <v>22</v>
      </c>
      <c r="AB40" s="1099"/>
      <c r="AC40" s="999"/>
      <c r="AD40" s="1067"/>
      <c r="AE40" s="1076"/>
      <c r="AF40" s="1076"/>
      <c r="AG40" s="1048"/>
      <c r="AH40" s="1077"/>
      <c r="AI40" s="1076"/>
      <c r="AJ40" s="1078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1769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2"/>
        <v/>
      </c>
      <c r="G41" s="520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0"/>
        <v/>
      </c>
      <c r="P41" s="742">
        <v>23</v>
      </c>
      <c r="Q41" s="517" t="str">
        <f t="shared" ca="1" si="4"/>
        <v/>
      </c>
      <c r="R41" s="520" t="str">
        <f t="shared" ca="1" si="5"/>
        <v/>
      </c>
      <c r="S41" s="430" t="str">
        <f ca="1"/>
        <v/>
      </c>
      <c r="T41" s="430" t="str">
        <f ca="1"/>
        <v/>
      </c>
      <c r="U41" s="430" t="str">
        <f ca="1"/>
        <v/>
      </c>
      <c r="V41" s="517" t="str">
        <f ca="1"/>
        <v/>
      </c>
      <c r="W41" s="518" t="str">
        <f ca="1"/>
        <v/>
      </c>
      <c r="X41" s="430" t="str">
        <f ca="1"/>
        <v/>
      </c>
      <c r="Y41" s="864" t="str">
        <f t="shared" ca="1" si="1"/>
        <v/>
      </c>
      <c r="AA41" s="828">
        <v>23</v>
      </c>
      <c r="AB41" s="1099"/>
      <c r="AC41" s="999"/>
      <c r="AD41" s="1067"/>
      <c r="AE41" s="1076"/>
      <c r="AF41" s="1076"/>
      <c r="AG41" s="1048"/>
      <c r="AH41" s="1077"/>
      <c r="AI41" s="1076"/>
      <c r="AJ41" s="1078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2045</v>
      </c>
      <c r="C42" s="744" t="s">
        <v>3</v>
      </c>
      <c r="D42" s="108" t="s">
        <v>12</v>
      </c>
      <c r="E42" s="742">
        <v>24</v>
      </c>
      <c r="F42" s="1016" t="str">
        <f t="shared" ca="1" si="2"/>
        <v/>
      </c>
      <c r="G42" s="520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0"/>
        <v/>
      </c>
      <c r="P42" s="742">
        <v>24</v>
      </c>
      <c r="Q42" s="517" t="str">
        <f t="shared" ca="1" si="4"/>
        <v/>
      </c>
      <c r="R42" s="520" t="str">
        <f t="shared" ca="1" si="5"/>
        <v/>
      </c>
      <c r="S42" s="430" t="str">
        <f ca="1"/>
        <v/>
      </c>
      <c r="T42" s="430" t="str">
        <f ca="1"/>
        <v/>
      </c>
      <c r="U42" s="430" t="str">
        <f ca="1"/>
        <v/>
      </c>
      <c r="V42" s="517" t="str">
        <f ca="1"/>
        <v/>
      </c>
      <c r="W42" s="518" t="str">
        <f ca="1"/>
        <v/>
      </c>
      <c r="X42" s="430" t="str">
        <f ca="1"/>
        <v/>
      </c>
      <c r="Y42" s="864" t="str">
        <f t="shared" ca="1" si="1"/>
        <v/>
      </c>
      <c r="AA42" s="828">
        <v>24</v>
      </c>
      <c r="AB42" s="1099"/>
      <c r="AC42" s="999"/>
      <c r="AD42" s="1067"/>
      <c r="AE42" s="1076"/>
      <c r="AF42" s="1076"/>
      <c r="AG42" s="1048"/>
      <c r="AH42" s="1077"/>
      <c r="AI42" s="1076"/>
      <c r="AJ42" s="1078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2046</v>
      </c>
      <c r="C43" s="514" t="s">
        <v>76</v>
      </c>
      <c r="D43" s="108" t="s">
        <v>12</v>
      </c>
      <c r="E43" s="742">
        <v>25</v>
      </c>
      <c r="F43" s="1016" t="str">
        <f t="shared" ca="1" si="2"/>
        <v/>
      </c>
      <c r="G43" s="520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0"/>
        <v/>
      </c>
      <c r="P43" s="742">
        <v>25</v>
      </c>
      <c r="Q43" s="517" t="str">
        <f t="shared" ca="1" si="4"/>
        <v/>
      </c>
      <c r="R43" s="520" t="str">
        <f t="shared" ca="1" si="5"/>
        <v/>
      </c>
      <c r="S43" s="430" t="str">
        <f ca="1"/>
        <v/>
      </c>
      <c r="T43" s="430" t="str">
        <f ca="1"/>
        <v/>
      </c>
      <c r="U43" s="430" t="str">
        <f ca="1"/>
        <v/>
      </c>
      <c r="V43" s="517" t="str">
        <f ca="1"/>
        <v/>
      </c>
      <c r="W43" s="518" t="str">
        <f ca="1"/>
        <v/>
      </c>
      <c r="X43" s="430" t="str">
        <f ca="1"/>
        <v/>
      </c>
      <c r="Y43" s="864" t="str">
        <f t="shared" ca="1" si="1"/>
        <v/>
      </c>
      <c r="AA43" s="828">
        <v>25</v>
      </c>
      <c r="AB43" s="1099"/>
      <c r="AC43" s="999"/>
      <c r="AD43" s="1067"/>
      <c r="AE43" s="1076"/>
      <c r="AF43" s="1076"/>
      <c r="AG43" s="1048"/>
      <c r="AH43" s="1077"/>
      <c r="AI43" s="1076"/>
      <c r="AJ43" s="1078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2014</v>
      </c>
      <c r="C44" s="745" t="s">
        <v>38</v>
      </c>
      <c r="D44" s="108" t="s">
        <v>12</v>
      </c>
      <c r="E44" s="742">
        <v>26</v>
      </c>
      <c r="F44" s="1016" t="str">
        <f t="shared" ca="1" si="2"/>
        <v/>
      </c>
      <c r="G44" s="520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0"/>
        <v/>
      </c>
      <c r="P44" s="742">
        <v>26</v>
      </c>
      <c r="Q44" s="517" t="str">
        <f t="shared" ca="1" si="4"/>
        <v/>
      </c>
      <c r="R44" s="520" t="str">
        <f t="shared" ca="1" si="5"/>
        <v/>
      </c>
      <c r="S44" s="430" t="str">
        <f ca="1"/>
        <v/>
      </c>
      <c r="T44" s="430" t="str">
        <f ca="1"/>
        <v/>
      </c>
      <c r="U44" s="430" t="str">
        <f ca="1"/>
        <v/>
      </c>
      <c r="V44" s="517" t="str">
        <f ca="1"/>
        <v/>
      </c>
      <c r="W44" s="518" t="str">
        <f ca="1"/>
        <v/>
      </c>
      <c r="X44" s="430" t="str">
        <f ca="1"/>
        <v/>
      </c>
      <c r="Y44" s="864" t="str">
        <f t="shared" ca="1" si="1"/>
        <v/>
      </c>
      <c r="AA44" s="828">
        <v>26</v>
      </c>
      <c r="AB44" s="1099"/>
      <c r="AC44" s="999"/>
      <c r="AD44" s="1067"/>
      <c r="AE44" s="1076"/>
      <c r="AF44" s="1076"/>
      <c r="AG44" s="1048"/>
      <c r="AH44" s="1077"/>
      <c r="AI44" s="1076"/>
      <c r="AJ44" s="1078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2013</v>
      </c>
      <c r="C45" s="746" t="s">
        <v>0</v>
      </c>
      <c r="D45" s="108" t="s">
        <v>12</v>
      </c>
      <c r="E45" s="742">
        <v>27</v>
      </c>
      <c r="F45" s="1016" t="str">
        <f t="shared" ca="1" si="2"/>
        <v/>
      </c>
      <c r="G45" s="520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0"/>
        <v/>
      </c>
      <c r="P45" s="742">
        <v>27</v>
      </c>
      <c r="Q45" s="517" t="str">
        <f t="shared" ca="1" si="4"/>
        <v/>
      </c>
      <c r="R45" s="520" t="str">
        <f t="shared" ca="1" si="5"/>
        <v/>
      </c>
      <c r="S45" s="430" t="str">
        <f ca="1"/>
        <v/>
      </c>
      <c r="T45" s="430" t="str">
        <f ca="1"/>
        <v/>
      </c>
      <c r="U45" s="430" t="str">
        <f ca="1"/>
        <v/>
      </c>
      <c r="V45" s="517" t="str">
        <f ca="1"/>
        <v/>
      </c>
      <c r="W45" s="518" t="str">
        <f ca="1"/>
        <v/>
      </c>
      <c r="X45" s="430" t="str">
        <f ca="1"/>
        <v/>
      </c>
      <c r="Y45" s="864" t="str">
        <f t="shared" ca="1" si="1"/>
        <v/>
      </c>
      <c r="AA45" s="828">
        <v>27</v>
      </c>
      <c r="AB45" s="1099"/>
      <c r="AC45" s="999"/>
      <c r="AD45" s="1067"/>
      <c r="AE45" s="1076"/>
      <c r="AF45" s="1076"/>
      <c r="AG45" s="1048"/>
      <c r="AH45" s="1077"/>
      <c r="AI45" s="1076"/>
      <c r="AJ45" s="1078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2047</v>
      </c>
      <c r="C46" s="514" t="s">
        <v>76</v>
      </c>
      <c r="D46" s="108" t="s">
        <v>12</v>
      </c>
      <c r="E46" s="742">
        <v>28</v>
      </c>
      <c r="F46" s="1016" t="str">
        <f t="shared" ca="1" si="2"/>
        <v/>
      </c>
      <c r="G46" s="520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0"/>
        <v/>
      </c>
      <c r="P46" s="742">
        <v>28</v>
      </c>
      <c r="Q46" s="517" t="str">
        <f t="shared" ca="1" si="4"/>
        <v/>
      </c>
      <c r="R46" s="520" t="str">
        <f t="shared" ca="1" si="5"/>
        <v/>
      </c>
      <c r="S46" s="430" t="str">
        <f ca="1"/>
        <v/>
      </c>
      <c r="T46" s="430" t="str">
        <f ca="1"/>
        <v/>
      </c>
      <c r="U46" s="430" t="str">
        <f ca="1"/>
        <v/>
      </c>
      <c r="V46" s="517" t="str">
        <f ca="1"/>
        <v/>
      </c>
      <c r="W46" s="518" t="str">
        <f ca="1"/>
        <v/>
      </c>
      <c r="X46" s="430" t="str">
        <f ca="1"/>
        <v/>
      </c>
      <c r="Y46" s="864" t="str">
        <f t="shared" ca="1" si="1"/>
        <v/>
      </c>
      <c r="AA46" s="828">
        <v>28</v>
      </c>
      <c r="AB46" s="1099"/>
      <c r="AC46" s="999"/>
      <c r="AD46" s="1067"/>
      <c r="AE46" s="1076"/>
      <c r="AF46" s="1076"/>
      <c r="AG46" s="1048"/>
      <c r="AH46" s="1077"/>
      <c r="AI46" s="1076"/>
      <c r="AJ46" s="1078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2009</v>
      </c>
      <c r="C47" s="745" t="s">
        <v>38</v>
      </c>
      <c r="D47" s="108" t="s">
        <v>12</v>
      </c>
      <c r="E47" s="742">
        <v>29</v>
      </c>
      <c r="F47" s="1016" t="str">
        <f t="shared" ca="1" si="2"/>
        <v/>
      </c>
      <c r="G47" s="520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0"/>
        <v/>
      </c>
      <c r="P47" s="742">
        <v>29</v>
      </c>
      <c r="Q47" s="517" t="str">
        <f t="shared" ca="1" si="4"/>
        <v/>
      </c>
      <c r="R47" s="520" t="str">
        <f t="shared" ca="1" si="5"/>
        <v/>
      </c>
      <c r="S47" s="430" t="str">
        <f ca="1"/>
        <v/>
      </c>
      <c r="T47" s="430" t="str">
        <f ca="1"/>
        <v/>
      </c>
      <c r="U47" s="430" t="str">
        <f ca="1"/>
        <v/>
      </c>
      <c r="V47" s="517" t="str">
        <f ca="1"/>
        <v/>
      </c>
      <c r="W47" s="518" t="str">
        <f ca="1"/>
        <v/>
      </c>
      <c r="X47" s="430" t="str">
        <f ca="1"/>
        <v/>
      </c>
      <c r="Y47" s="864" t="str">
        <f t="shared" ca="1" si="1"/>
        <v/>
      </c>
      <c r="AA47" s="828">
        <v>29</v>
      </c>
      <c r="AB47" s="1099"/>
      <c r="AC47" s="999"/>
      <c r="AD47" s="1067"/>
      <c r="AE47" s="1076"/>
      <c r="AF47" s="1076"/>
      <c r="AG47" s="1048"/>
      <c r="AH47" s="1077"/>
      <c r="AI47" s="1076"/>
      <c r="AJ47" s="1078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2008</v>
      </c>
      <c r="C48" s="745" t="s">
        <v>0</v>
      </c>
      <c r="D48" s="108" t="s">
        <v>12</v>
      </c>
      <c r="E48" s="742">
        <v>30</v>
      </c>
      <c r="F48" s="1016" t="str">
        <f t="shared" ca="1" si="2"/>
        <v/>
      </c>
      <c r="G48" s="520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0"/>
        <v/>
      </c>
      <c r="P48" s="742">
        <v>30</v>
      </c>
      <c r="Q48" s="517" t="str">
        <f t="shared" ca="1" si="4"/>
        <v/>
      </c>
      <c r="R48" s="520" t="str">
        <f t="shared" ca="1" si="5"/>
        <v/>
      </c>
      <c r="S48" s="430" t="str">
        <f ca="1"/>
        <v/>
      </c>
      <c r="T48" s="430" t="str">
        <f ca="1"/>
        <v/>
      </c>
      <c r="U48" s="430" t="str">
        <f ca="1"/>
        <v/>
      </c>
      <c r="V48" s="517" t="str">
        <f ca="1"/>
        <v/>
      </c>
      <c r="W48" s="518" t="str">
        <f ca="1"/>
        <v/>
      </c>
      <c r="X48" s="430" t="str">
        <f ca="1"/>
        <v/>
      </c>
      <c r="Y48" s="864" t="str">
        <f t="shared" ca="1" si="1"/>
        <v/>
      </c>
      <c r="AA48" s="828">
        <v>30</v>
      </c>
      <c r="AB48" s="1099"/>
      <c r="AC48" s="999"/>
      <c r="AD48" s="1067"/>
      <c r="AE48" s="1076"/>
      <c r="AF48" s="1076"/>
      <c r="AG48" s="1048"/>
      <c r="AH48" s="1077"/>
      <c r="AI48" s="1076"/>
      <c r="AJ48" s="1078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2007</v>
      </c>
      <c r="C49" s="747" t="s">
        <v>356</v>
      </c>
      <c r="D49" s="108" t="s">
        <v>12</v>
      </c>
      <c r="E49" s="742">
        <v>31</v>
      </c>
      <c r="F49" s="1016" t="str">
        <f t="shared" ca="1" si="2"/>
        <v/>
      </c>
      <c r="G49" s="520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0"/>
        <v/>
      </c>
      <c r="P49" s="742">
        <v>31</v>
      </c>
      <c r="Q49" s="517" t="str">
        <f t="shared" ca="1" si="4"/>
        <v/>
      </c>
      <c r="R49" s="520" t="str">
        <f t="shared" ca="1" si="5"/>
        <v/>
      </c>
      <c r="S49" s="430" t="str">
        <f ca="1"/>
        <v/>
      </c>
      <c r="T49" s="430" t="str">
        <f ca="1"/>
        <v/>
      </c>
      <c r="U49" s="430" t="str">
        <f ca="1"/>
        <v/>
      </c>
      <c r="V49" s="517" t="str">
        <f ca="1"/>
        <v/>
      </c>
      <c r="W49" s="518" t="str">
        <f ca="1"/>
        <v/>
      </c>
      <c r="X49" s="430" t="str">
        <f ca="1"/>
        <v/>
      </c>
      <c r="Y49" s="864" t="str">
        <f t="shared" ca="1" si="1"/>
        <v/>
      </c>
      <c r="AA49" s="828">
        <v>31</v>
      </c>
      <c r="AB49" s="1099"/>
      <c r="AC49" s="999"/>
      <c r="AD49" s="1067"/>
      <c r="AE49" s="1076"/>
      <c r="AF49" s="1076"/>
      <c r="AG49" s="1048"/>
      <c r="AH49" s="1077"/>
      <c r="AI49" s="1076"/>
      <c r="AJ49" s="1078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2012</v>
      </c>
      <c r="C50" s="748" t="s">
        <v>38</v>
      </c>
      <c r="D50" s="108" t="s">
        <v>12</v>
      </c>
      <c r="E50" s="742">
        <v>32</v>
      </c>
      <c r="F50" s="1016" t="str">
        <f t="shared" ca="1" si="2"/>
        <v/>
      </c>
      <c r="G50" s="520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0"/>
        <v/>
      </c>
      <c r="P50" s="742">
        <v>32</v>
      </c>
      <c r="Q50" s="517" t="str">
        <f t="shared" ca="1" si="4"/>
        <v/>
      </c>
      <c r="R50" s="520" t="str">
        <f t="shared" ca="1" si="5"/>
        <v/>
      </c>
      <c r="S50" s="430" t="str">
        <f ca="1"/>
        <v/>
      </c>
      <c r="T50" s="430" t="str">
        <f ca="1"/>
        <v/>
      </c>
      <c r="U50" s="430" t="str">
        <f ca="1"/>
        <v/>
      </c>
      <c r="V50" s="517" t="str">
        <f ca="1"/>
        <v/>
      </c>
      <c r="W50" s="518" t="str">
        <f ca="1"/>
        <v/>
      </c>
      <c r="X50" s="430" t="str">
        <f ca="1"/>
        <v/>
      </c>
      <c r="Y50" s="864" t="str">
        <f t="shared" ca="1" si="1"/>
        <v/>
      </c>
      <c r="AA50" s="828">
        <v>32</v>
      </c>
      <c r="AB50" s="1099"/>
      <c r="AC50" s="999"/>
      <c r="AD50" s="1067"/>
      <c r="AE50" s="1076"/>
      <c r="AF50" s="1076"/>
      <c r="AG50" s="1048"/>
      <c r="AH50" s="1077"/>
      <c r="AI50" s="1076"/>
      <c r="AJ50" s="1078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2011</v>
      </c>
      <c r="C51" s="745" t="s">
        <v>0</v>
      </c>
      <c r="D51" s="108" t="s">
        <v>12</v>
      </c>
      <c r="E51" s="742">
        <v>33</v>
      </c>
      <c r="F51" s="1016" t="str">
        <f t="shared" ca="1" si="2"/>
        <v/>
      </c>
      <c r="G51" s="520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0"/>
        <v/>
      </c>
      <c r="P51" s="742">
        <v>33</v>
      </c>
      <c r="Q51" s="517" t="str">
        <f t="shared" ca="1" si="4"/>
        <v/>
      </c>
      <c r="R51" s="520" t="str">
        <f t="shared" ca="1" si="5"/>
        <v/>
      </c>
      <c r="S51" s="430" t="str">
        <f ca="1"/>
        <v/>
      </c>
      <c r="T51" s="430" t="str">
        <f ca="1"/>
        <v/>
      </c>
      <c r="U51" s="430" t="str">
        <f ca="1"/>
        <v/>
      </c>
      <c r="V51" s="517" t="str">
        <f ca="1"/>
        <v/>
      </c>
      <c r="W51" s="518" t="str">
        <f ca="1"/>
        <v/>
      </c>
      <c r="X51" s="430" t="str">
        <f ca="1"/>
        <v/>
      </c>
      <c r="Y51" s="864" t="str">
        <f t="shared" ca="1" si="1"/>
        <v/>
      </c>
      <c r="AA51" s="828">
        <v>33</v>
      </c>
      <c r="AB51" s="1099"/>
      <c r="AC51" s="999"/>
      <c r="AD51" s="1067"/>
      <c r="AE51" s="1076"/>
      <c r="AF51" s="1076"/>
      <c r="AG51" s="1048"/>
      <c r="AH51" s="1077"/>
      <c r="AI51" s="1076"/>
      <c r="AJ51" s="1078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2010</v>
      </c>
      <c r="C52" s="749" t="s">
        <v>356</v>
      </c>
      <c r="D52" s="108" t="s">
        <v>12</v>
      </c>
      <c r="E52" s="742">
        <v>34</v>
      </c>
      <c r="F52" s="1016" t="str">
        <f t="shared" ca="1" si="2"/>
        <v/>
      </c>
      <c r="G52" s="520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0"/>
        <v/>
      </c>
      <c r="P52" s="742">
        <v>34</v>
      </c>
      <c r="Q52" s="517" t="str">
        <f t="shared" ca="1" si="4"/>
        <v/>
      </c>
      <c r="R52" s="520" t="str">
        <f t="shared" ca="1" si="5"/>
        <v/>
      </c>
      <c r="S52" s="430" t="str">
        <f ca="1"/>
        <v/>
      </c>
      <c r="T52" s="430" t="str">
        <f ca="1"/>
        <v/>
      </c>
      <c r="U52" s="430" t="str">
        <f ca="1"/>
        <v/>
      </c>
      <c r="V52" s="517" t="str">
        <f ca="1"/>
        <v/>
      </c>
      <c r="W52" s="518" t="str">
        <f ca="1"/>
        <v/>
      </c>
      <c r="X52" s="430" t="str">
        <f ca="1"/>
        <v/>
      </c>
      <c r="Y52" s="864" t="str">
        <f t="shared" ca="1" si="1"/>
        <v/>
      </c>
      <c r="AA52" s="828">
        <v>34</v>
      </c>
      <c r="AB52" s="1099"/>
      <c r="AC52" s="999"/>
      <c r="AD52" s="1067"/>
      <c r="AE52" s="1076"/>
      <c r="AF52" s="1076"/>
      <c r="AG52" s="1048"/>
      <c r="AH52" s="1077"/>
      <c r="AI52" s="1076"/>
      <c r="AJ52" s="1078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2048</v>
      </c>
      <c r="C53" s="746" t="s">
        <v>2049</v>
      </c>
      <c r="D53" s="108" t="s">
        <v>12</v>
      </c>
      <c r="E53" s="742">
        <v>35</v>
      </c>
      <c r="F53" s="1016" t="str">
        <f t="shared" ca="1" si="2"/>
        <v/>
      </c>
      <c r="G53" s="520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0"/>
        <v/>
      </c>
      <c r="P53" s="742">
        <v>35</v>
      </c>
      <c r="Q53" s="517" t="str">
        <f t="shared" ca="1" si="4"/>
        <v/>
      </c>
      <c r="R53" s="520" t="str">
        <f t="shared" ca="1" si="5"/>
        <v/>
      </c>
      <c r="S53" s="430" t="str">
        <f ca="1"/>
        <v/>
      </c>
      <c r="T53" s="430" t="str">
        <f ca="1"/>
        <v/>
      </c>
      <c r="U53" s="430" t="str">
        <f ca="1"/>
        <v/>
      </c>
      <c r="V53" s="517" t="str">
        <f ca="1"/>
        <v/>
      </c>
      <c r="W53" s="518" t="str">
        <f ca="1"/>
        <v/>
      </c>
      <c r="X53" s="430" t="str">
        <f ca="1"/>
        <v/>
      </c>
      <c r="Y53" s="864" t="str">
        <f t="shared" ca="1" si="1"/>
        <v/>
      </c>
      <c r="AA53" s="828">
        <v>35</v>
      </c>
      <c r="AB53" s="1099"/>
      <c r="AC53" s="999"/>
      <c r="AD53" s="1067"/>
      <c r="AE53" s="1076"/>
      <c r="AF53" s="1076"/>
      <c r="AG53" s="1048"/>
      <c r="AH53" s="1077"/>
      <c r="AI53" s="1076"/>
      <c r="AJ53" s="1078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2005</v>
      </c>
      <c r="C54" s="757"/>
      <c r="D54" s="108" t="s">
        <v>12</v>
      </c>
      <c r="E54" s="742">
        <v>36</v>
      </c>
      <c r="F54" s="1016" t="str">
        <f t="shared" ca="1" si="2"/>
        <v/>
      </c>
      <c r="G54" s="520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0"/>
        <v/>
      </c>
      <c r="P54" s="742">
        <v>36</v>
      </c>
      <c r="Q54" s="517" t="str">
        <f t="shared" ca="1" si="4"/>
        <v/>
      </c>
      <c r="R54" s="520" t="str">
        <f t="shared" ca="1" si="5"/>
        <v/>
      </c>
      <c r="S54" s="430" t="str">
        <f ca="1"/>
        <v/>
      </c>
      <c r="T54" s="430" t="str">
        <f ca="1"/>
        <v/>
      </c>
      <c r="U54" s="430" t="str">
        <f ca="1"/>
        <v/>
      </c>
      <c r="V54" s="517" t="str">
        <f ca="1"/>
        <v/>
      </c>
      <c r="W54" s="518" t="str">
        <f ca="1"/>
        <v/>
      </c>
      <c r="X54" s="430" t="str">
        <f ca="1"/>
        <v/>
      </c>
      <c r="Y54" s="864" t="str">
        <f t="shared" ca="1" si="1"/>
        <v/>
      </c>
      <c r="AA54" s="828">
        <v>36</v>
      </c>
      <c r="AB54" s="1099"/>
      <c r="AC54" s="999"/>
      <c r="AD54" s="1067"/>
      <c r="AE54" s="1076"/>
      <c r="AF54" s="1076"/>
      <c r="AG54" s="1048"/>
      <c r="AH54" s="1077"/>
      <c r="AI54" s="1076"/>
      <c r="AJ54" s="1078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2004</v>
      </c>
      <c r="C55" s="757"/>
      <c r="D55" s="108" t="s">
        <v>12</v>
      </c>
      <c r="E55" s="742">
        <v>37</v>
      </c>
      <c r="F55" s="1016" t="str">
        <f t="shared" ca="1" si="2"/>
        <v/>
      </c>
      <c r="G55" s="520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0"/>
        <v/>
      </c>
      <c r="P55" s="742">
        <v>37</v>
      </c>
      <c r="Q55" s="517" t="str">
        <f t="shared" ca="1" si="4"/>
        <v/>
      </c>
      <c r="R55" s="520" t="str">
        <f t="shared" ca="1" si="5"/>
        <v/>
      </c>
      <c r="S55" s="430" t="str">
        <f ca="1"/>
        <v/>
      </c>
      <c r="T55" s="430" t="str">
        <f ca="1"/>
        <v/>
      </c>
      <c r="U55" s="430" t="str">
        <f ca="1"/>
        <v/>
      </c>
      <c r="V55" s="517" t="str">
        <f ca="1"/>
        <v/>
      </c>
      <c r="W55" s="518" t="str">
        <f ca="1"/>
        <v/>
      </c>
      <c r="X55" s="430" t="str">
        <f ca="1"/>
        <v/>
      </c>
      <c r="Y55" s="864" t="str">
        <f t="shared" ca="1" si="1"/>
        <v/>
      </c>
      <c r="AA55" s="828">
        <v>37</v>
      </c>
      <c r="AB55" s="1099"/>
      <c r="AC55" s="999"/>
      <c r="AD55" s="1066"/>
      <c r="AE55" s="1076"/>
      <c r="AF55" s="1076"/>
      <c r="AG55" s="1048"/>
      <c r="AH55" s="1077"/>
      <c r="AI55" s="1076"/>
      <c r="AJ55" s="1078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2006</v>
      </c>
      <c r="C56" s="785"/>
      <c r="D56" s="108" t="s">
        <v>12</v>
      </c>
      <c r="E56" s="742">
        <v>38</v>
      </c>
      <c r="F56" s="1016" t="str">
        <f t="shared" ca="1" si="2"/>
        <v/>
      </c>
      <c r="G56" s="520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0"/>
        <v/>
      </c>
      <c r="P56" s="742">
        <v>38</v>
      </c>
      <c r="Q56" s="517" t="str">
        <f t="shared" ca="1" si="4"/>
        <v/>
      </c>
      <c r="R56" s="520" t="str">
        <f t="shared" ca="1" si="5"/>
        <v/>
      </c>
      <c r="S56" s="430" t="str">
        <f ca="1"/>
        <v/>
      </c>
      <c r="T56" s="430" t="str">
        <f ca="1"/>
        <v/>
      </c>
      <c r="U56" s="430" t="str">
        <f ca="1"/>
        <v/>
      </c>
      <c r="V56" s="517" t="str">
        <f ca="1"/>
        <v/>
      </c>
      <c r="W56" s="518" t="str">
        <f ca="1"/>
        <v/>
      </c>
      <c r="X56" s="430" t="str">
        <f ca="1"/>
        <v/>
      </c>
      <c r="Y56" s="864" t="str">
        <f t="shared" ca="1" si="1"/>
        <v/>
      </c>
      <c r="AA56" s="828">
        <v>38</v>
      </c>
      <c r="AB56" s="1100"/>
      <c r="AC56" s="1079"/>
      <c r="AD56" s="1067"/>
      <c r="AE56" s="1076"/>
      <c r="AF56" s="1073"/>
      <c r="AG56" s="1048"/>
      <c r="AH56" s="1077"/>
      <c r="AI56" s="1076"/>
      <c r="AJ56" s="1078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2001</v>
      </c>
      <c r="C57" s="786" t="s">
        <v>358</v>
      </c>
      <c r="D57" s="108" t="s">
        <v>12</v>
      </c>
      <c r="E57" s="742">
        <v>39</v>
      </c>
      <c r="F57" s="1016" t="str">
        <f t="shared" ca="1" si="2"/>
        <v/>
      </c>
      <c r="G57" s="520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0"/>
        <v/>
      </c>
      <c r="P57" s="742">
        <v>39</v>
      </c>
      <c r="Q57" s="517" t="str">
        <f t="shared" ca="1" si="4"/>
        <v/>
      </c>
      <c r="R57" s="520" t="str">
        <f t="shared" ca="1" si="5"/>
        <v/>
      </c>
      <c r="S57" s="430" t="str">
        <f ca="1"/>
        <v/>
      </c>
      <c r="T57" s="430" t="str">
        <f ca="1"/>
        <v/>
      </c>
      <c r="U57" s="430" t="str">
        <f ca="1"/>
        <v/>
      </c>
      <c r="V57" s="517" t="str">
        <f ca="1"/>
        <v/>
      </c>
      <c r="W57" s="518" t="str">
        <f ca="1"/>
        <v/>
      </c>
      <c r="X57" s="430" t="str">
        <f ca="1"/>
        <v/>
      </c>
      <c r="Y57" s="864" t="str">
        <f t="shared" ca="1" si="1"/>
        <v/>
      </c>
      <c r="AA57" s="828">
        <v>39</v>
      </c>
      <c r="AB57" s="1100"/>
      <c r="AC57" s="1079"/>
      <c r="AD57" s="1066"/>
      <c r="AE57" s="1076"/>
      <c r="AF57" s="1073"/>
      <c r="AG57" s="1048"/>
      <c r="AH57" s="1077"/>
      <c r="AI57" s="1076"/>
      <c r="AJ57" s="1078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2"/>
        <v/>
      </c>
      <c r="G58" s="520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0"/>
        <v/>
      </c>
      <c r="P58" s="742">
        <v>40</v>
      </c>
      <c r="Q58" s="517" t="str">
        <f t="shared" ca="1" si="4"/>
        <v/>
      </c>
      <c r="R58" s="520" t="str">
        <f t="shared" ca="1" si="5"/>
        <v/>
      </c>
      <c r="S58" s="430" t="str">
        <f ca="1"/>
        <v/>
      </c>
      <c r="T58" s="430" t="str">
        <f ca="1"/>
        <v/>
      </c>
      <c r="U58" s="430" t="str">
        <f ca="1"/>
        <v/>
      </c>
      <c r="V58" s="517" t="str">
        <f ca="1"/>
        <v/>
      </c>
      <c r="W58" s="518" t="str">
        <f ca="1"/>
        <v/>
      </c>
      <c r="X58" s="430" t="str">
        <f ca="1"/>
        <v/>
      </c>
      <c r="Y58" s="864" t="str">
        <f t="shared" ca="1" si="1"/>
        <v/>
      </c>
      <c r="AA58" s="828">
        <v>40</v>
      </c>
      <c r="AB58" s="1100"/>
      <c r="AC58" s="1079"/>
      <c r="AD58" s="1066"/>
      <c r="AE58" s="1076"/>
      <c r="AF58" s="1076"/>
      <c r="AG58" s="1048"/>
      <c r="AH58" s="1077"/>
      <c r="AI58" s="1076"/>
      <c r="AJ58" s="1078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2"/>
        <v/>
      </c>
      <c r="G59" s="520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0"/>
        <v/>
      </c>
      <c r="P59" s="742">
        <v>41</v>
      </c>
      <c r="Q59" s="517" t="str">
        <f t="shared" ca="1" si="4"/>
        <v/>
      </c>
      <c r="R59" s="520" t="str">
        <f t="shared" ca="1" si="5"/>
        <v/>
      </c>
      <c r="S59" s="430" t="str">
        <f ca="1"/>
        <v/>
      </c>
      <c r="T59" s="430" t="str">
        <f ca="1"/>
        <v/>
      </c>
      <c r="U59" s="430" t="str">
        <f ca="1"/>
        <v/>
      </c>
      <c r="V59" s="517" t="str">
        <f ca="1"/>
        <v/>
      </c>
      <c r="W59" s="518" t="str">
        <f ca="1"/>
        <v/>
      </c>
      <c r="X59" s="430" t="str">
        <f ca="1"/>
        <v/>
      </c>
      <c r="Y59" s="864" t="str">
        <f t="shared" ca="1" si="1"/>
        <v/>
      </c>
      <c r="AA59" s="828">
        <v>41</v>
      </c>
      <c r="AB59" s="1100"/>
      <c r="AC59" s="1079"/>
      <c r="AD59" s="1066"/>
      <c r="AE59" s="1076"/>
      <c r="AF59" s="1076"/>
      <c r="AG59" s="1048"/>
      <c r="AH59" s="1077"/>
      <c r="AI59" s="1076"/>
      <c r="AJ59" s="1078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2"/>
        <v/>
      </c>
      <c r="G60" s="520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0"/>
        <v/>
      </c>
      <c r="P60" s="742">
        <v>42</v>
      </c>
      <c r="Q60" s="517" t="str">
        <f t="shared" ca="1" si="4"/>
        <v/>
      </c>
      <c r="R60" s="520" t="str">
        <f t="shared" ca="1" si="5"/>
        <v/>
      </c>
      <c r="S60" s="430" t="str">
        <f ca="1"/>
        <v/>
      </c>
      <c r="T60" s="430" t="str">
        <f ca="1"/>
        <v/>
      </c>
      <c r="U60" s="430" t="str">
        <f ca="1"/>
        <v/>
      </c>
      <c r="V60" s="517" t="str">
        <f ca="1"/>
        <v/>
      </c>
      <c r="W60" s="518" t="str">
        <f ca="1"/>
        <v/>
      </c>
      <c r="X60" s="430" t="str">
        <f ca="1"/>
        <v/>
      </c>
      <c r="Y60" s="864" t="str">
        <f t="shared" ca="1" si="1"/>
        <v/>
      </c>
      <c r="AA60" s="828">
        <v>42</v>
      </c>
      <c r="AB60" s="1100"/>
      <c r="AC60" s="1079"/>
      <c r="AD60" s="1067"/>
      <c r="AE60" s="1076"/>
      <c r="AF60" s="1073"/>
      <c r="AG60" s="1047"/>
      <c r="AH60" s="1077"/>
      <c r="AI60" s="1076"/>
      <c r="AJ60" s="1078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2"/>
        <v/>
      </c>
      <c r="G61" s="520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0"/>
        <v/>
      </c>
      <c r="P61" s="742">
        <v>43</v>
      </c>
      <c r="Q61" s="517" t="str">
        <f t="shared" ca="1" si="4"/>
        <v/>
      </c>
      <c r="R61" s="520" t="str">
        <f t="shared" ca="1" si="5"/>
        <v/>
      </c>
      <c r="S61" s="430" t="str">
        <f ca="1"/>
        <v/>
      </c>
      <c r="T61" s="430" t="str">
        <f ca="1"/>
        <v/>
      </c>
      <c r="U61" s="430" t="str">
        <f ca="1"/>
        <v/>
      </c>
      <c r="V61" s="517" t="str">
        <f ca="1"/>
        <v/>
      </c>
      <c r="W61" s="518" t="str">
        <f ca="1"/>
        <v/>
      </c>
      <c r="X61" s="430" t="str">
        <f ca="1"/>
        <v/>
      </c>
      <c r="Y61" s="864" t="str">
        <f t="shared" ca="1" si="1"/>
        <v/>
      </c>
      <c r="AA61" s="828">
        <v>43</v>
      </c>
      <c r="AB61" s="1100"/>
      <c r="AC61" s="1079"/>
      <c r="AD61" s="1067"/>
      <c r="AE61" s="1076"/>
      <c r="AF61" s="1073"/>
      <c r="AG61" s="1047"/>
      <c r="AH61" s="1077"/>
      <c r="AI61" s="1076"/>
      <c r="AJ61" s="1078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2"/>
        <v/>
      </c>
      <c r="G62" s="520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0"/>
        <v/>
      </c>
      <c r="P62" s="742">
        <v>44</v>
      </c>
      <c r="Q62" s="517" t="str">
        <f t="shared" ca="1" si="4"/>
        <v/>
      </c>
      <c r="R62" s="520" t="str">
        <f t="shared" ca="1" si="5"/>
        <v/>
      </c>
      <c r="S62" s="430" t="str">
        <f ca="1"/>
        <v/>
      </c>
      <c r="T62" s="430" t="str">
        <f ca="1"/>
        <v/>
      </c>
      <c r="U62" s="430" t="str">
        <f ca="1"/>
        <v/>
      </c>
      <c r="V62" s="517" t="str">
        <f ca="1"/>
        <v/>
      </c>
      <c r="W62" s="518" t="str">
        <f ca="1"/>
        <v/>
      </c>
      <c r="X62" s="430" t="str">
        <f ca="1"/>
        <v/>
      </c>
      <c r="Y62" s="864" t="str">
        <f t="shared" ca="1" si="1"/>
        <v/>
      </c>
      <c r="AA62" s="828">
        <v>44</v>
      </c>
      <c r="AB62" s="1100"/>
      <c r="AC62" s="1079"/>
      <c r="AD62" s="1067"/>
      <c r="AE62" s="1076"/>
      <c r="AF62" s="1073"/>
      <c r="AG62" s="1047"/>
      <c r="AH62" s="1077"/>
      <c r="AI62" s="1076"/>
      <c r="AJ62" s="1078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2"/>
        <v/>
      </c>
      <c r="G63" s="520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0"/>
        <v/>
      </c>
      <c r="P63" s="742">
        <v>45</v>
      </c>
      <c r="Q63" s="517" t="str">
        <f t="shared" ca="1" si="4"/>
        <v/>
      </c>
      <c r="R63" s="520" t="str">
        <f t="shared" ca="1" si="5"/>
        <v/>
      </c>
      <c r="S63" s="430" t="str">
        <f ca="1"/>
        <v/>
      </c>
      <c r="T63" s="430" t="str">
        <f ca="1"/>
        <v/>
      </c>
      <c r="U63" s="430" t="str">
        <f ca="1"/>
        <v/>
      </c>
      <c r="V63" s="517" t="str">
        <f ca="1"/>
        <v/>
      </c>
      <c r="W63" s="518" t="str">
        <f ca="1"/>
        <v/>
      </c>
      <c r="X63" s="430" t="str">
        <f ca="1"/>
        <v/>
      </c>
      <c r="Y63" s="864" t="str">
        <f t="shared" ca="1" si="1"/>
        <v/>
      </c>
      <c r="AA63" s="828">
        <v>45</v>
      </c>
      <c r="AB63" s="1100"/>
      <c r="AC63" s="1079"/>
      <c r="AD63" s="1067"/>
      <c r="AE63" s="1076"/>
      <c r="AF63" s="1073"/>
      <c r="AG63" s="1047"/>
      <c r="AH63" s="1077"/>
      <c r="AI63" s="1076"/>
      <c r="AJ63" s="1078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2"/>
        <v/>
      </c>
      <c r="G64" s="520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0"/>
        <v/>
      </c>
      <c r="P64" s="742">
        <v>46</v>
      </c>
      <c r="Q64" s="517" t="str">
        <f t="shared" ca="1" si="4"/>
        <v/>
      </c>
      <c r="R64" s="520" t="str">
        <f t="shared" ca="1" si="5"/>
        <v/>
      </c>
      <c r="S64" s="430" t="str">
        <f ca="1"/>
        <v/>
      </c>
      <c r="T64" s="430" t="str">
        <f ca="1"/>
        <v/>
      </c>
      <c r="U64" s="430" t="str">
        <f ca="1"/>
        <v/>
      </c>
      <c r="V64" s="517" t="str">
        <f ca="1"/>
        <v/>
      </c>
      <c r="W64" s="518" t="str">
        <f ca="1"/>
        <v/>
      </c>
      <c r="X64" s="430" t="str">
        <f ca="1"/>
        <v/>
      </c>
      <c r="Y64" s="864" t="str">
        <f t="shared" ca="1" si="1"/>
        <v/>
      </c>
      <c r="AA64" s="828">
        <v>46</v>
      </c>
      <c r="AB64" s="1100"/>
      <c r="AC64" s="1079"/>
      <c r="AD64" s="1067"/>
      <c r="AE64" s="1076"/>
      <c r="AF64" s="1073"/>
      <c r="AG64" s="1047"/>
      <c r="AH64" s="1077"/>
      <c r="AI64" s="1076"/>
      <c r="AJ64" s="1078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2"/>
        <v/>
      </c>
      <c r="G65" s="520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0"/>
        <v/>
      </c>
      <c r="P65" s="742">
        <v>47</v>
      </c>
      <c r="Q65" s="517" t="str">
        <f t="shared" ca="1" si="4"/>
        <v/>
      </c>
      <c r="R65" s="520" t="str">
        <f t="shared" ca="1" si="5"/>
        <v/>
      </c>
      <c r="S65" s="430" t="str">
        <f ca="1"/>
        <v/>
      </c>
      <c r="T65" s="430" t="str">
        <f ca="1"/>
        <v/>
      </c>
      <c r="U65" s="430" t="str">
        <f ca="1"/>
        <v/>
      </c>
      <c r="V65" s="517" t="str">
        <f ca="1"/>
        <v/>
      </c>
      <c r="W65" s="518" t="str">
        <f ca="1"/>
        <v/>
      </c>
      <c r="X65" s="430" t="str">
        <f ca="1"/>
        <v/>
      </c>
      <c r="Y65" s="864" t="str">
        <f t="shared" ca="1" si="1"/>
        <v/>
      </c>
      <c r="AA65" s="828">
        <v>47</v>
      </c>
      <c r="AB65" s="1100"/>
      <c r="AC65" s="1079"/>
      <c r="AD65" s="1067"/>
      <c r="AE65" s="1076"/>
      <c r="AF65" s="1073"/>
      <c r="AG65" s="1047"/>
      <c r="AH65" s="1077"/>
      <c r="AI65" s="1076"/>
      <c r="AJ65" s="1078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2"/>
        <v/>
      </c>
      <c r="G66" s="520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0"/>
        <v/>
      </c>
      <c r="P66" s="742">
        <v>48</v>
      </c>
      <c r="Q66" s="517" t="str">
        <f t="shared" ca="1" si="4"/>
        <v/>
      </c>
      <c r="R66" s="520" t="str">
        <f t="shared" ca="1" si="5"/>
        <v/>
      </c>
      <c r="S66" s="430" t="str">
        <f ca="1"/>
        <v/>
      </c>
      <c r="T66" s="430" t="str">
        <f ca="1"/>
        <v/>
      </c>
      <c r="U66" s="430" t="str">
        <f ca="1"/>
        <v/>
      </c>
      <c r="V66" s="517" t="str">
        <f ca="1"/>
        <v/>
      </c>
      <c r="W66" s="518" t="str">
        <f ca="1"/>
        <v/>
      </c>
      <c r="X66" s="430" t="str">
        <f ca="1"/>
        <v/>
      </c>
      <c r="Y66" s="864" t="str">
        <f t="shared" ca="1" si="1"/>
        <v/>
      </c>
      <c r="AA66" s="828">
        <v>48</v>
      </c>
      <c r="AB66" s="1100"/>
      <c r="AC66" s="1079"/>
      <c r="AD66" s="1067"/>
      <c r="AE66" s="1076"/>
      <c r="AF66" s="1073"/>
      <c r="AG66" s="1047"/>
      <c r="AH66" s="1077"/>
      <c r="AI66" s="1076"/>
      <c r="AJ66" s="1078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2"/>
        <v/>
      </c>
      <c r="G67" s="520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0"/>
        <v/>
      </c>
      <c r="P67" s="742">
        <v>49</v>
      </c>
      <c r="Q67" s="517" t="str">
        <f t="shared" ca="1" si="4"/>
        <v/>
      </c>
      <c r="R67" s="520" t="str">
        <f t="shared" ca="1" si="5"/>
        <v/>
      </c>
      <c r="S67" s="430" t="str">
        <f ca="1"/>
        <v/>
      </c>
      <c r="T67" s="430" t="str">
        <f ca="1"/>
        <v/>
      </c>
      <c r="U67" s="430" t="str">
        <f ca="1"/>
        <v/>
      </c>
      <c r="V67" s="517" t="str">
        <f ca="1"/>
        <v/>
      </c>
      <c r="W67" s="518" t="str">
        <f ca="1"/>
        <v/>
      </c>
      <c r="X67" s="430" t="str">
        <f ca="1"/>
        <v/>
      </c>
      <c r="Y67" s="864" t="str">
        <f t="shared" ca="1" si="1"/>
        <v/>
      </c>
      <c r="AA67" s="828">
        <v>49</v>
      </c>
      <c r="AB67" s="1100"/>
      <c r="AC67" s="1079"/>
      <c r="AD67" s="1067"/>
      <c r="AE67" s="1076"/>
      <c r="AF67" s="1073"/>
      <c r="AG67" s="1047"/>
      <c r="AH67" s="1077"/>
      <c r="AI67" s="1076"/>
      <c r="AJ67" s="1078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2"/>
        <v/>
      </c>
      <c r="G68" s="520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0"/>
        <v/>
      </c>
      <c r="P68" s="742">
        <v>50</v>
      </c>
      <c r="Q68" s="517" t="str">
        <f t="shared" ca="1" si="4"/>
        <v/>
      </c>
      <c r="R68" s="520" t="str">
        <f t="shared" ca="1" si="5"/>
        <v/>
      </c>
      <c r="S68" s="430" t="str">
        <f ca="1"/>
        <v/>
      </c>
      <c r="T68" s="430" t="str">
        <f ca="1"/>
        <v/>
      </c>
      <c r="U68" s="430" t="str">
        <f ca="1"/>
        <v/>
      </c>
      <c r="V68" s="517" t="str">
        <f ca="1"/>
        <v/>
      </c>
      <c r="W68" s="518" t="str">
        <f ca="1"/>
        <v/>
      </c>
      <c r="X68" s="430" t="str">
        <f ca="1"/>
        <v/>
      </c>
      <c r="Y68" s="864" t="str">
        <f t="shared" ca="1" si="1"/>
        <v/>
      </c>
      <c r="AA68" s="828">
        <v>50</v>
      </c>
      <c r="AB68" s="1100"/>
      <c r="AC68" s="1079"/>
      <c r="AD68" s="1067"/>
      <c r="AE68" s="1076"/>
      <c r="AF68" s="1073"/>
      <c r="AG68" s="1047"/>
      <c r="AH68" s="1077"/>
      <c r="AI68" s="1076"/>
      <c r="AJ68" s="1078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2"/>
        <v/>
      </c>
      <c r="G69" s="520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0"/>
        <v/>
      </c>
      <c r="P69" s="742">
        <v>51</v>
      </c>
      <c r="Q69" s="517" t="str">
        <f t="shared" ca="1" si="4"/>
        <v/>
      </c>
      <c r="R69" s="520" t="str">
        <f t="shared" ca="1" si="5"/>
        <v/>
      </c>
      <c r="S69" s="430" t="str">
        <f ca="1"/>
        <v/>
      </c>
      <c r="T69" s="430" t="str">
        <f ca="1"/>
        <v/>
      </c>
      <c r="U69" s="430" t="str">
        <f ca="1"/>
        <v/>
      </c>
      <c r="V69" s="517" t="str">
        <f ca="1"/>
        <v/>
      </c>
      <c r="W69" s="518" t="str">
        <f ca="1"/>
        <v/>
      </c>
      <c r="X69" s="430" t="str">
        <f ca="1"/>
        <v/>
      </c>
      <c r="Y69" s="864" t="str">
        <f t="shared" ca="1" si="1"/>
        <v/>
      </c>
      <c r="AA69" s="828">
        <v>51</v>
      </c>
      <c r="AB69" s="1100"/>
      <c r="AC69" s="1079"/>
      <c r="AD69" s="1067"/>
      <c r="AE69" s="1076"/>
      <c r="AF69" s="1076"/>
      <c r="AG69" s="1048"/>
      <c r="AH69" s="1077"/>
      <c r="AI69" s="1076"/>
      <c r="AJ69" s="1078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2"/>
        <v/>
      </c>
      <c r="G70" s="520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0"/>
        <v/>
      </c>
      <c r="P70" s="742">
        <v>52</v>
      </c>
      <c r="Q70" s="517" t="str">
        <f t="shared" ca="1" si="4"/>
        <v/>
      </c>
      <c r="R70" s="520" t="str">
        <f t="shared" ca="1" si="5"/>
        <v/>
      </c>
      <c r="S70" s="430" t="str">
        <f ca="1"/>
        <v/>
      </c>
      <c r="T70" s="430" t="str">
        <f ca="1"/>
        <v/>
      </c>
      <c r="U70" s="430" t="str">
        <f ca="1"/>
        <v/>
      </c>
      <c r="V70" s="517" t="str">
        <f ca="1"/>
        <v/>
      </c>
      <c r="W70" s="518" t="str">
        <f ca="1"/>
        <v/>
      </c>
      <c r="X70" s="430" t="str">
        <f ca="1"/>
        <v/>
      </c>
      <c r="Y70" s="864" t="str">
        <f t="shared" ca="1" si="1"/>
        <v/>
      </c>
      <c r="AA70" s="828">
        <v>52</v>
      </c>
      <c r="AB70" s="1100"/>
      <c r="AC70" s="1079"/>
      <c r="AD70" s="1067"/>
      <c r="AE70" s="1076"/>
      <c r="AF70" s="1076"/>
      <c r="AG70" s="1048"/>
      <c r="AH70" s="1077"/>
      <c r="AI70" s="1076"/>
      <c r="AJ70" s="1078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2"/>
        <v/>
      </c>
      <c r="G71" s="520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0"/>
        <v/>
      </c>
      <c r="P71" s="742">
        <v>53</v>
      </c>
      <c r="Q71" s="517" t="str">
        <f t="shared" ca="1" si="4"/>
        <v/>
      </c>
      <c r="R71" s="520" t="str">
        <f t="shared" ca="1" si="5"/>
        <v/>
      </c>
      <c r="S71" s="430" t="str">
        <f ca="1"/>
        <v/>
      </c>
      <c r="T71" s="430" t="str">
        <f ca="1"/>
        <v/>
      </c>
      <c r="U71" s="430" t="str">
        <f ca="1"/>
        <v/>
      </c>
      <c r="V71" s="517" t="str">
        <f ca="1"/>
        <v/>
      </c>
      <c r="W71" s="518" t="str">
        <f ca="1"/>
        <v/>
      </c>
      <c r="X71" s="430" t="str">
        <f ca="1"/>
        <v/>
      </c>
      <c r="Y71" s="864" t="str">
        <f t="shared" ca="1" si="1"/>
        <v/>
      </c>
      <c r="AA71" s="828">
        <v>53</v>
      </c>
      <c r="AB71" s="1100"/>
      <c r="AC71" s="1079"/>
      <c r="AD71" s="1067"/>
      <c r="AE71" s="1076"/>
      <c r="AF71" s="1076"/>
      <c r="AG71" s="1048"/>
      <c r="AH71" s="1077"/>
      <c r="AI71" s="1076"/>
      <c r="AJ71" s="1078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2"/>
        <v/>
      </c>
      <c r="G72" s="520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0"/>
        <v/>
      </c>
      <c r="P72" s="742">
        <v>54</v>
      </c>
      <c r="Q72" s="517" t="str">
        <f t="shared" ca="1" si="4"/>
        <v/>
      </c>
      <c r="R72" s="520" t="str">
        <f t="shared" ca="1" si="5"/>
        <v/>
      </c>
      <c r="S72" s="430" t="str">
        <f ca="1"/>
        <v/>
      </c>
      <c r="T72" s="430" t="str">
        <f ca="1"/>
        <v/>
      </c>
      <c r="U72" s="430" t="str">
        <f ca="1"/>
        <v/>
      </c>
      <c r="V72" s="517" t="str">
        <f ca="1"/>
        <v/>
      </c>
      <c r="W72" s="518" t="str">
        <f ca="1"/>
        <v/>
      </c>
      <c r="X72" s="430" t="str">
        <f ca="1"/>
        <v/>
      </c>
      <c r="Y72" s="864" t="str">
        <f t="shared" ca="1" si="1"/>
        <v/>
      </c>
      <c r="AA72" s="828">
        <v>54</v>
      </c>
      <c r="AB72" s="1100"/>
      <c r="AC72" s="1079"/>
      <c r="AD72" s="1067"/>
      <c r="AE72" s="1076"/>
      <c r="AF72" s="1076"/>
      <c r="AG72" s="1048"/>
      <c r="AH72" s="1077"/>
      <c r="AI72" s="1076"/>
      <c r="AJ72" s="1078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2"/>
        <v/>
      </c>
      <c r="G73" s="520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0"/>
        <v/>
      </c>
      <c r="P73" s="742">
        <v>55</v>
      </c>
      <c r="Q73" s="517" t="str">
        <f t="shared" ca="1" si="4"/>
        <v/>
      </c>
      <c r="R73" s="520" t="str">
        <f t="shared" ca="1" si="5"/>
        <v/>
      </c>
      <c r="S73" s="430" t="str">
        <f ca="1"/>
        <v/>
      </c>
      <c r="T73" s="430" t="str">
        <f ca="1"/>
        <v/>
      </c>
      <c r="U73" s="430" t="str">
        <f ca="1"/>
        <v/>
      </c>
      <c r="V73" s="517" t="str">
        <f ca="1"/>
        <v/>
      </c>
      <c r="W73" s="518" t="str">
        <f ca="1"/>
        <v/>
      </c>
      <c r="X73" s="430" t="str">
        <f ca="1"/>
        <v/>
      </c>
      <c r="Y73" s="864" t="str">
        <f t="shared" ca="1" si="1"/>
        <v/>
      </c>
      <c r="AA73" s="828">
        <v>55</v>
      </c>
      <c r="AB73" s="1100"/>
      <c r="AC73" s="1079"/>
      <c r="AD73" s="1067"/>
      <c r="AE73" s="1076"/>
      <c r="AF73" s="1076"/>
      <c r="AG73" s="1048"/>
      <c r="AH73" s="1077"/>
      <c r="AI73" s="1076"/>
      <c r="AJ73" s="1078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2"/>
        <v/>
      </c>
      <c r="G74" s="520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0"/>
        <v/>
      </c>
      <c r="P74" s="742">
        <v>56</v>
      </c>
      <c r="Q74" s="517" t="str">
        <f t="shared" ca="1" si="4"/>
        <v/>
      </c>
      <c r="R74" s="520" t="str">
        <f t="shared" ca="1" si="5"/>
        <v/>
      </c>
      <c r="S74" s="430" t="str">
        <f ca="1"/>
        <v/>
      </c>
      <c r="T74" s="430" t="str">
        <f ca="1"/>
        <v/>
      </c>
      <c r="U74" s="430" t="str">
        <f ca="1"/>
        <v/>
      </c>
      <c r="V74" s="517" t="str">
        <f ca="1"/>
        <v/>
      </c>
      <c r="W74" s="518" t="str">
        <f ca="1"/>
        <v/>
      </c>
      <c r="X74" s="430" t="str">
        <f ca="1"/>
        <v/>
      </c>
      <c r="Y74" s="864" t="str">
        <f t="shared" ca="1" si="1"/>
        <v/>
      </c>
      <c r="AA74" s="828">
        <v>56</v>
      </c>
      <c r="AB74" s="1100"/>
      <c r="AC74" s="1079"/>
      <c r="AD74" s="1067"/>
      <c r="AE74" s="1076"/>
      <c r="AF74" s="1076"/>
      <c r="AG74" s="1048"/>
      <c r="AH74" s="1077"/>
      <c r="AI74" s="1076"/>
      <c r="AJ74" s="1078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2"/>
        <v/>
      </c>
      <c r="G75" s="520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0"/>
        <v/>
      </c>
      <c r="P75" s="742">
        <v>57</v>
      </c>
      <c r="Q75" s="517" t="str">
        <f t="shared" ca="1" si="4"/>
        <v/>
      </c>
      <c r="R75" s="520" t="str">
        <f t="shared" ca="1" si="5"/>
        <v/>
      </c>
      <c r="S75" s="430" t="str">
        <f ca="1"/>
        <v/>
      </c>
      <c r="T75" s="430" t="str">
        <f ca="1"/>
        <v/>
      </c>
      <c r="U75" s="430" t="str">
        <f ca="1"/>
        <v/>
      </c>
      <c r="V75" s="517" t="str">
        <f ca="1"/>
        <v/>
      </c>
      <c r="W75" s="518" t="str">
        <f ca="1"/>
        <v/>
      </c>
      <c r="X75" s="430" t="str">
        <f ca="1"/>
        <v/>
      </c>
      <c r="Y75" s="864" t="str">
        <f t="shared" ca="1" si="1"/>
        <v/>
      </c>
      <c r="AA75" s="828">
        <v>57</v>
      </c>
      <c r="AB75" s="1100"/>
      <c r="AC75" s="1079"/>
      <c r="AD75" s="1067"/>
      <c r="AE75" s="1076"/>
      <c r="AF75" s="1076"/>
      <c r="AG75" s="1048"/>
      <c r="AH75" s="1077"/>
      <c r="AI75" s="1076"/>
      <c r="AJ75" s="1078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2"/>
        <v/>
      </c>
      <c r="G76" s="520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0"/>
        <v/>
      </c>
      <c r="P76" s="742">
        <v>58</v>
      </c>
      <c r="Q76" s="517" t="str">
        <f t="shared" ca="1" si="4"/>
        <v/>
      </c>
      <c r="R76" s="520" t="str">
        <f t="shared" ca="1" si="5"/>
        <v/>
      </c>
      <c r="S76" s="430" t="str">
        <f ca="1"/>
        <v/>
      </c>
      <c r="T76" s="430" t="str">
        <f ca="1"/>
        <v/>
      </c>
      <c r="U76" s="430" t="str">
        <f ca="1"/>
        <v/>
      </c>
      <c r="V76" s="517" t="str">
        <f ca="1"/>
        <v/>
      </c>
      <c r="W76" s="518" t="str">
        <f ca="1"/>
        <v/>
      </c>
      <c r="X76" s="430" t="str">
        <f ca="1"/>
        <v/>
      </c>
      <c r="Y76" s="864" t="str">
        <f t="shared" ca="1" si="1"/>
        <v/>
      </c>
      <c r="AA76" s="828">
        <v>58</v>
      </c>
      <c r="AB76" s="1100"/>
      <c r="AC76" s="1079"/>
      <c r="AD76" s="1067"/>
      <c r="AE76" s="1076"/>
      <c r="AF76" s="1076"/>
      <c r="AG76" s="1048"/>
      <c r="AH76" s="1077"/>
      <c r="AI76" s="1076"/>
      <c r="AJ76" s="1078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2"/>
        <v/>
      </c>
      <c r="G77" s="520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0"/>
        <v/>
      </c>
      <c r="P77" s="742">
        <v>59</v>
      </c>
      <c r="Q77" s="517" t="str">
        <f t="shared" ca="1" si="4"/>
        <v/>
      </c>
      <c r="R77" s="520" t="str">
        <f t="shared" ca="1" si="5"/>
        <v/>
      </c>
      <c r="S77" s="430" t="str">
        <f ca="1"/>
        <v/>
      </c>
      <c r="T77" s="430" t="str">
        <f ca="1"/>
        <v/>
      </c>
      <c r="U77" s="430" t="str">
        <f ca="1"/>
        <v/>
      </c>
      <c r="V77" s="517" t="str">
        <f ca="1"/>
        <v/>
      </c>
      <c r="W77" s="518" t="str">
        <f ca="1"/>
        <v/>
      </c>
      <c r="X77" s="430" t="str">
        <f ca="1"/>
        <v/>
      </c>
      <c r="Y77" s="864" t="str">
        <f t="shared" ca="1" si="1"/>
        <v/>
      </c>
      <c r="AA77" s="828">
        <v>59</v>
      </c>
      <c r="AB77" s="1100"/>
      <c r="AC77" s="1079"/>
      <c r="AD77" s="1067"/>
      <c r="AE77" s="1076"/>
      <c r="AF77" s="1076"/>
      <c r="AG77" s="1048"/>
      <c r="AH77" s="1077"/>
      <c r="AI77" s="1076"/>
      <c r="AJ77" s="1078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2"/>
        <v/>
      </c>
      <c r="G78" s="520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0"/>
        <v/>
      </c>
      <c r="P78" s="742">
        <v>60</v>
      </c>
      <c r="Q78" s="517" t="str">
        <f t="shared" ca="1" si="4"/>
        <v/>
      </c>
      <c r="R78" s="520" t="str">
        <f t="shared" ca="1" si="5"/>
        <v/>
      </c>
      <c r="S78" s="430" t="str">
        <f ca="1"/>
        <v/>
      </c>
      <c r="T78" s="430" t="str">
        <f ca="1"/>
        <v/>
      </c>
      <c r="U78" s="430" t="str">
        <f ca="1"/>
        <v/>
      </c>
      <c r="V78" s="517" t="str">
        <f ca="1"/>
        <v/>
      </c>
      <c r="W78" s="518" t="str">
        <f ca="1"/>
        <v/>
      </c>
      <c r="X78" s="430" t="str">
        <f ca="1"/>
        <v/>
      </c>
      <c r="Y78" s="864" t="str">
        <f t="shared" ca="1" si="1"/>
        <v/>
      </c>
      <c r="AA78" s="828">
        <v>60</v>
      </c>
      <c r="AB78" s="1100"/>
      <c r="AC78" s="1079"/>
      <c r="AD78" s="1067"/>
      <c r="AE78" s="1076"/>
      <c r="AF78" s="1076"/>
      <c r="AG78" s="1048"/>
      <c r="AH78" s="1077"/>
      <c r="AI78" s="1076"/>
      <c r="AJ78" s="1078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2"/>
        <v/>
      </c>
      <c r="G79" s="520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0"/>
        <v/>
      </c>
      <c r="P79" s="742">
        <v>61</v>
      </c>
      <c r="Q79" s="517" t="str">
        <f t="shared" ca="1" si="4"/>
        <v/>
      </c>
      <c r="R79" s="520" t="str">
        <f t="shared" ca="1" si="5"/>
        <v/>
      </c>
      <c r="S79" s="430" t="str">
        <f ca="1"/>
        <v/>
      </c>
      <c r="T79" s="430" t="str">
        <f ca="1"/>
        <v/>
      </c>
      <c r="U79" s="430" t="str">
        <f ca="1"/>
        <v/>
      </c>
      <c r="V79" s="517" t="str">
        <f ca="1"/>
        <v/>
      </c>
      <c r="W79" s="518" t="str">
        <f ca="1"/>
        <v/>
      </c>
      <c r="X79" s="430" t="str">
        <f ca="1"/>
        <v/>
      </c>
      <c r="Y79" s="864" t="str">
        <f t="shared" ca="1" si="1"/>
        <v/>
      </c>
      <c r="AA79" s="828">
        <v>61</v>
      </c>
      <c r="AB79" s="1100"/>
      <c r="AC79" s="1079"/>
      <c r="AD79" s="1067"/>
      <c r="AE79" s="1076"/>
      <c r="AF79" s="1076"/>
      <c r="AG79" s="1048"/>
      <c r="AH79" s="1077"/>
      <c r="AI79" s="1076"/>
      <c r="AJ79" s="1078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2"/>
        <v/>
      </c>
      <c r="G80" s="520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0"/>
        <v/>
      </c>
      <c r="P80" s="742">
        <v>62</v>
      </c>
      <c r="Q80" s="517" t="str">
        <f t="shared" ca="1" si="4"/>
        <v/>
      </c>
      <c r="R80" s="520" t="str">
        <f t="shared" ca="1" si="5"/>
        <v/>
      </c>
      <c r="S80" s="430" t="str">
        <f ca="1"/>
        <v/>
      </c>
      <c r="T80" s="430" t="str">
        <f ca="1"/>
        <v/>
      </c>
      <c r="U80" s="430" t="str">
        <f ca="1"/>
        <v/>
      </c>
      <c r="V80" s="517" t="str">
        <f ca="1"/>
        <v/>
      </c>
      <c r="W80" s="518" t="str">
        <f ca="1"/>
        <v/>
      </c>
      <c r="X80" s="430" t="str">
        <f ca="1"/>
        <v/>
      </c>
      <c r="Y80" s="864" t="str">
        <f t="shared" ca="1" si="1"/>
        <v/>
      </c>
      <c r="AA80" s="828">
        <v>62</v>
      </c>
      <c r="AB80" s="1100"/>
      <c r="AC80" s="1079"/>
      <c r="AD80" s="1067"/>
      <c r="AE80" s="1076"/>
      <c r="AF80" s="1076"/>
      <c r="AG80" s="1048"/>
      <c r="AH80" s="1077"/>
      <c r="AI80" s="1076"/>
      <c r="AJ80" s="1078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2"/>
        <v/>
      </c>
      <c r="G81" s="520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0"/>
        <v/>
      </c>
      <c r="P81" s="742">
        <v>63</v>
      </c>
      <c r="Q81" s="517" t="str">
        <f t="shared" ca="1" si="4"/>
        <v/>
      </c>
      <c r="R81" s="520" t="str">
        <f t="shared" ca="1" si="5"/>
        <v/>
      </c>
      <c r="S81" s="430" t="str">
        <f ca="1"/>
        <v/>
      </c>
      <c r="T81" s="430" t="str">
        <f ca="1"/>
        <v/>
      </c>
      <c r="U81" s="430" t="str">
        <f ca="1"/>
        <v/>
      </c>
      <c r="V81" s="517" t="str">
        <f ca="1"/>
        <v/>
      </c>
      <c r="W81" s="518" t="str">
        <f ca="1"/>
        <v/>
      </c>
      <c r="X81" s="430" t="str">
        <f ca="1"/>
        <v/>
      </c>
      <c r="Y81" s="864" t="str">
        <f t="shared" ca="1" si="1"/>
        <v/>
      </c>
      <c r="AA81" s="828">
        <v>63</v>
      </c>
      <c r="AB81" s="1100"/>
      <c r="AC81" s="1079"/>
      <c r="AD81" s="1067"/>
      <c r="AE81" s="1076"/>
      <c r="AF81" s="1076"/>
      <c r="AG81" s="1048"/>
      <c r="AH81" s="1077"/>
      <c r="AI81" s="1076"/>
      <c r="AJ81" s="1078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2"/>
        <v/>
      </c>
      <c r="G82" s="520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0"/>
        <v/>
      </c>
      <c r="P82" s="742">
        <v>64</v>
      </c>
      <c r="Q82" s="517" t="str">
        <f t="shared" ca="1" si="4"/>
        <v/>
      </c>
      <c r="R82" s="520" t="str">
        <f t="shared" ca="1" si="5"/>
        <v/>
      </c>
      <c r="S82" s="430" t="str">
        <f ca="1"/>
        <v/>
      </c>
      <c r="T82" s="430" t="str">
        <f ca="1"/>
        <v/>
      </c>
      <c r="U82" s="430" t="str">
        <f ca="1"/>
        <v/>
      </c>
      <c r="V82" s="517" t="str">
        <f ca="1"/>
        <v/>
      </c>
      <c r="W82" s="518" t="str">
        <f ca="1"/>
        <v/>
      </c>
      <c r="X82" s="430" t="str">
        <f ca="1"/>
        <v/>
      </c>
      <c r="Y82" s="864" t="str">
        <f t="shared" ca="1" si="1"/>
        <v/>
      </c>
      <c r="AA82" s="828">
        <v>64</v>
      </c>
      <c r="AB82" s="1100"/>
      <c r="AC82" s="1079"/>
      <c r="AD82" s="1067"/>
      <c r="AE82" s="1076"/>
      <c r="AF82" s="1076"/>
      <c r="AG82" s="1048"/>
      <c r="AH82" s="1077"/>
      <c r="AI82" s="1076"/>
      <c r="AJ82" s="1078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2"/>
        <v/>
      </c>
      <c r="G83" s="520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6">IF($I83="","",VNS.FixedRate)</f>
        <v/>
      </c>
      <c r="P83" s="742">
        <v>65</v>
      </c>
      <c r="Q83" s="517" t="str">
        <f t="shared" ca="1" si="4"/>
        <v/>
      </c>
      <c r="R83" s="520" t="str">
        <f t="shared" ca="1" si="5"/>
        <v/>
      </c>
      <c r="S83" s="430" t="str">
        <f ca="1"/>
        <v/>
      </c>
      <c r="T83" s="430" t="str">
        <f ca="1"/>
        <v/>
      </c>
      <c r="U83" s="430" t="str">
        <f ca="1"/>
        <v/>
      </c>
      <c r="V83" s="517" t="str">
        <f ca="1"/>
        <v/>
      </c>
      <c r="W83" s="518" t="str">
        <f ca="1"/>
        <v/>
      </c>
      <c r="X83" s="430" t="str">
        <f ca="1"/>
        <v/>
      </c>
      <c r="Y83" s="864" t="str">
        <f t="shared" ref="Y83:Y146" ca="1" si="7">IF($T83="","",VNS.FloatSpread)</f>
        <v/>
      </c>
      <c r="AA83" s="828">
        <v>65</v>
      </c>
      <c r="AB83" s="1100"/>
      <c r="AC83" s="1079"/>
      <c r="AD83" s="1067"/>
      <c r="AE83" s="1076"/>
      <c r="AF83" s="1076"/>
      <c r="AG83" s="1048"/>
      <c r="AH83" s="1077"/>
      <c r="AI83" s="1076"/>
      <c r="AJ83" s="1078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8">IF($I84="","",IF(OR(VNS.FixedAmortization=0,VNS.FixedAmortization.Frequency=0),F83,IF(MOD(E84-1,VNS.FixedAmortization.Frequency)=0,F83-VNS.FixedAmortization,F83)))</f>
        <v/>
      </c>
      <c r="G84" s="520" t="str">
        <f t="shared" ref="G84:G147" ca="1" si="9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6"/>
        <v/>
      </c>
      <c r="P84" s="742">
        <v>66</v>
      </c>
      <c r="Q84" s="517" t="str">
        <f t="shared" ref="Q84:Q147" ca="1" si="10">IF($T84="","",IF(OR(VNS.FloatAmortization=0,VNS.FloatAmortization.Frequency=0),Q83,IF(MOD(P84-1,VNS.FloatAmortization.Frequency)=0,Q83-VNS.FloatAmortization,Q83)))</f>
        <v/>
      </c>
      <c r="R84" s="520" t="str">
        <f t="shared" ref="R84:R147" ca="1" si="11">IF(T84="","",1)</f>
        <v/>
      </c>
      <c r="S84" s="430" t="str">
        <f ca="1"/>
        <v/>
      </c>
      <c r="T84" s="430" t="str">
        <f ca="1"/>
        <v/>
      </c>
      <c r="U84" s="430" t="str">
        <f ca="1"/>
        <v/>
      </c>
      <c r="V84" s="517" t="str">
        <f ca="1"/>
        <v/>
      </c>
      <c r="W84" s="518" t="str">
        <f ca="1"/>
        <v/>
      </c>
      <c r="X84" s="430" t="str">
        <f ca="1"/>
        <v/>
      </c>
      <c r="Y84" s="864" t="str">
        <f t="shared" ca="1" si="7"/>
        <v/>
      </c>
      <c r="AA84" s="828">
        <v>66</v>
      </c>
      <c r="AB84" s="1100"/>
      <c r="AC84" s="1079"/>
      <c r="AD84" s="1067"/>
      <c r="AE84" s="1076"/>
      <c r="AF84" s="1076"/>
      <c r="AG84" s="1048"/>
      <c r="AH84" s="1077"/>
      <c r="AI84" s="1076"/>
      <c r="AJ84" s="1078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8"/>
        <v/>
      </c>
      <c r="G85" s="520" t="str">
        <f t="shared" ca="1" si="9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6"/>
        <v/>
      </c>
      <c r="P85" s="742">
        <v>67</v>
      </c>
      <c r="Q85" s="517" t="str">
        <f t="shared" ca="1" si="10"/>
        <v/>
      </c>
      <c r="R85" s="520" t="str">
        <f t="shared" ca="1" si="11"/>
        <v/>
      </c>
      <c r="S85" s="430" t="str">
        <f ca="1"/>
        <v/>
      </c>
      <c r="T85" s="430" t="str">
        <f ca="1"/>
        <v/>
      </c>
      <c r="U85" s="430" t="str">
        <f ca="1"/>
        <v/>
      </c>
      <c r="V85" s="517" t="str">
        <f ca="1"/>
        <v/>
      </c>
      <c r="W85" s="518" t="str">
        <f ca="1"/>
        <v/>
      </c>
      <c r="X85" s="430" t="str">
        <f ca="1"/>
        <v/>
      </c>
      <c r="Y85" s="864" t="str">
        <f t="shared" ca="1" si="7"/>
        <v/>
      </c>
      <c r="AA85" s="828">
        <v>67</v>
      </c>
      <c r="AB85" s="1100"/>
      <c r="AC85" s="1079"/>
      <c r="AD85" s="1067"/>
      <c r="AE85" s="1076"/>
      <c r="AF85" s="1076"/>
      <c r="AG85" s="1048"/>
      <c r="AH85" s="1077"/>
      <c r="AI85" s="1076"/>
      <c r="AJ85" s="1078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8"/>
        <v/>
      </c>
      <c r="G86" s="520" t="str">
        <f t="shared" ca="1" si="9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6"/>
        <v/>
      </c>
      <c r="P86" s="742">
        <v>68</v>
      </c>
      <c r="Q86" s="517" t="str">
        <f t="shared" ca="1" si="10"/>
        <v/>
      </c>
      <c r="R86" s="520" t="str">
        <f t="shared" ca="1" si="11"/>
        <v/>
      </c>
      <c r="S86" s="430" t="str">
        <f ca="1"/>
        <v/>
      </c>
      <c r="T86" s="430" t="str">
        <f ca="1"/>
        <v/>
      </c>
      <c r="U86" s="430" t="str">
        <f ca="1"/>
        <v/>
      </c>
      <c r="V86" s="517" t="str">
        <f ca="1"/>
        <v/>
      </c>
      <c r="W86" s="518" t="str">
        <f ca="1"/>
        <v/>
      </c>
      <c r="X86" s="430" t="str">
        <f ca="1"/>
        <v/>
      </c>
      <c r="Y86" s="864" t="str">
        <f t="shared" ca="1" si="7"/>
        <v/>
      </c>
      <c r="AA86" s="828">
        <v>68</v>
      </c>
      <c r="AB86" s="1100"/>
      <c r="AC86" s="1079"/>
      <c r="AD86" s="1067"/>
      <c r="AE86" s="1076"/>
      <c r="AF86" s="1076"/>
      <c r="AG86" s="1048"/>
      <c r="AH86" s="1077"/>
      <c r="AI86" s="1076"/>
      <c r="AJ86" s="1078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8"/>
        <v/>
      </c>
      <c r="G87" s="520" t="str">
        <f t="shared" ca="1" si="9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6"/>
        <v/>
      </c>
      <c r="P87" s="742">
        <v>69</v>
      </c>
      <c r="Q87" s="517" t="str">
        <f t="shared" ca="1" si="10"/>
        <v/>
      </c>
      <c r="R87" s="520" t="str">
        <f t="shared" ca="1" si="11"/>
        <v/>
      </c>
      <c r="S87" s="430" t="str">
        <f ca="1"/>
        <v/>
      </c>
      <c r="T87" s="430" t="str">
        <f ca="1"/>
        <v/>
      </c>
      <c r="U87" s="430" t="str">
        <f ca="1"/>
        <v/>
      </c>
      <c r="V87" s="517" t="str">
        <f ca="1"/>
        <v/>
      </c>
      <c r="W87" s="518" t="str">
        <f ca="1"/>
        <v/>
      </c>
      <c r="X87" s="430" t="str">
        <f ca="1"/>
        <v/>
      </c>
      <c r="Y87" s="864" t="str">
        <f t="shared" ca="1" si="7"/>
        <v/>
      </c>
      <c r="AA87" s="828">
        <v>69</v>
      </c>
      <c r="AB87" s="1100"/>
      <c r="AC87" s="1079"/>
      <c r="AD87" s="1067"/>
      <c r="AE87" s="1076"/>
      <c r="AF87" s="1076"/>
      <c r="AG87" s="1048"/>
      <c r="AH87" s="1077"/>
      <c r="AI87" s="1076"/>
      <c r="AJ87" s="1078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8"/>
        <v/>
      </c>
      <c r="G88" s="520" t="str">
        <f t="shared" ca="1" si="9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6"/>
        <v/>
      </c>
      <c r="P88" s="742">
        <v>70</v>
      </c>
      <c r="Q88" s="517" t="str">
        <f t="shared" ca="1" si="10"/>
        <v/>
      </c>
      <c r="R88" s="520" t="str">
        <f t="shared" ca="1" si="11"/>
        <v/>
      </c>
      <c r="S88" s="430" t="str">
        <f ca="1"/>
        <v/>
      </c>
      <c r="T88" s="430" t="str">
        <f ca="1"/>
        <v/>
      </c>
      <c r="U88" s="430" t="str">
        <f ca="1"/>
        <v/>
      </c>
      <c r="V88" s="517" t="str">
        <f ca="1"/>
        <v/>
      </c>
      <c r="W88" s="518" t="str">
        <f ca="1"/>
        <v/>
      </c>
      <c r="X88" s="430" t="str">
        <f ca="1"/>
        <v/>
      </c>
      <c r="Y88" s="864" t="str">
        <f t="shared" ca="1" si="7"/>
        <v/>
      </c>
      <c r="AA88" s="828">
        <v>70</v>
      </c>
      <c r="AB88" s="1100"/>
      <c r="AC88" s="1079"/>
      <c r="AD88" s="1067"/>
      <c r="AE88" s="1076"/>
      <c r="AF88" s="1076"/>
      <c r="AG88" s="1048"/>
      <c r="AH88" s="1077"/>
      <c r="AI88" s="1076"/>
      <c r="AJ88" s="1078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8"/>
        <v/>
      </c>
      <c r="G89" s="520" t="str">
        <f t="shared" ca="1" si="9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6"/>
        <v/>
      </c>
      <c r="P89" s="742">
        <v>71</v>
      </c>
      <c r="Q89" s="517" t="str">
        <f t="shared" ca="1" si="10"/>
        <v/>
      </c>
      <c r="R89" s="520" t="str">
        <f t="shared" ca="1" si="11"/>
        <v/>
      </c>
      <c r="S89" s="430" t="str">
        <f ca="1"/>
        <v/>
      </c>
      <c r="T89" s="430" t="str">
        <f ca="1"/>
        <v/>
      </c>
      <c r="U89" s="430" t="str">
        <f ca="1"/>
        <v/>
      </c>
      <c r="V89" s="517" t="str">
        <f ca="1"/>
        <v/>
      </c>
      <c r="W89" s="518" t="str">
        <f ca="1"/>
        <v/>
      </c>
      <c r="X89" s="430" t="str">
        <f ca="1"/>
        <v/>
      </c>
      <c r="Y89" s="864" t="str">
        <f t="shared" ca="1" si="7"/>
        <v/>
      </c>
      <c r="AA89" s="828">
        <v>71</v>
      </c>
      <c r="AB89" s="1100"/>
      <c r="AC89" s="1079"/>
      <c r="AD89" s="1067"/>
      <c r="AE89" s="1076"/>
      <c r="AF89" s="1076"/>
      <c r="AG89" s="1048"/>
      <c r="AH89" s="1077"/>
      <c r="AI89" s="1076"/>
      <c r="AJ89" s="1078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8"/>
        <v/>
      </c>
      <c r="G90" s="520" t="str">
        <f t="shared" ca="1" si="9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6"/>
        <v/>
      </c>
      <c r="P90" s="742">
        <v>72</v>
      </c>
      <c r="Q90" s="517" t="str">
        <f t="shared" ca="1" si="10"/>
        <v/>
      </c>
      <c r="R90" s="520" t="str">
        <f t="shared" ca="1" si="11"/>
        <v/>
      </c>
      <c r="S90" s="430" t="str">
        <f ca="1"/>
        <v/>
      </c>
      <c r="T90" s="430" t="str">
        <f ca="1"/>
        <v/>
      </c>
      <c r="U90" s="430" t="str">
        <f ca="1"/>
        <v/>
      </c>
      <c r="V90" s="517" t="str">
        <f ca="1"/>
        <v/>
      </c>
      <c r="W90" s="518" t="str">
        <f ca="1"/>
        <v/>
      </c>
      <c r="X90" s="430" t="str">
        <f ca="1"/>
        <v/>
      </c>
      <c r="Y90" s="864" t="str">
        <f t="shared" ca="1" si="7"/>
        <v/>
      </c>
      <c r="AA90" s="828">
        <v>72</v>
      </c>
      <c r="AB90" s="1100"/>
      <c r="AC90" s="1079"/>
      <c r="AD90" s="1067"/>
      <c r="AE90" s="1076"/>
      <c r="AF90" s="1076"/>
      <c r="AG90" s="1048"/>
      <c r="AH90" s="1077"/>
      <c r="AI90" s="1076"/>
      <c r="AJ90" s="1078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8"/>
        <v/>
      </c>
      <c r="G91" s="520" t="str">
        <f t="shared" ca="1" si="9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6"/>
        <v/>
      </c>
      <c r="P91" s="742">
        <v>73</v>
      </c>
      <c r="Q91" s="517" t="str">
        <f t="shared" ca="1" si="10"/>
        <v/>
      </c>
      <c r="R91" s="520" t="str">
        <f t="shared" ca="1" si="11"/>
        <v/>
      </c>
      <c r="S91" s="430" t="str">
        <f ca="1"/>
        <v/>
      </c>
      <c r="T91" s="430" t="str">
        <f ca="1"/>
        <v/>
      </c>
      <c r="U91" s="430" t="str">
        <f ca="1"/>
        <v/>
      </c>
      <c r="V91" s="517" t="str">
        <f ca="1"/>
        <v/>
      </c>
      <c r="W91" s="518" t="str">
        <f ca="1"/>
        <v/>
      </c>
      <c r="X91" s="430" t="str">
        <f ca="1"/>
        <v/>
      </c>
      <c r="Y91" s="864" t="str">
        <f t="shared" ca="1" si="7"/>
        <v/>
      </c>
      <c r="AA91" s="828">
        <v>73</v>
      </c>
      <c r="AB91" s="1100"/>
      <c r="AC91" s="1079"/>
      <c r="AD91" s="1067"/>
      <c r="AE91" s="1076"/>
      <c r="AF91" s="1076"/>
      <c r="AG91" s="1048"/>
      <c r="AH91" s="1077"/>
      <c r="AI91" s="1076"/>
      <c r="AJ91" s="1078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8"/>
        <v/>
      </c>
      <c r="G92" s="520" t="str">
        <f t="shared" ca="1" si="9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6"/>
        <v/>
      </c>
      <c r="P92" s="742">
        <v>74</v>
      </c>
      <c r="Q92" s="517" t="str">
        <f t="shared" ca="1" si="10"/>
        <v/>
      </c>
      <c r="R92" s="520" t="str">
        <f t="shared" ca="1" si="11"/>
        <v/>
      </c>
      <c r="S92" s="430" t="str">
        <f ca="1"/>
        <v/>
      </c>
      <c r="T92" s="430" t="str">
        <f ca="1"/>
        <v/>
      </c>
      <c r="U92" s="430" t="str">
        <f ca="1"/>
        <v/>
      </c>
      <c r="V92" s="517" t="str">
        <f ca="1"/>
        <v/>
      </c>
      <c r="W92" s="518" t="str">
        <f ca="1"/>
        <v/>
      </c>
      <c r="X92" s="430" t="str">
        <f ca="1"/>
        <v/>
      </c>
      <c r="Y92" s="864" t="str">
        <f t="shared" ca="1" si="7"/>
        <v/>
      </c>
      <c r="AA92" s="828">
        <v>74</v>
      </c>
      <c r="AB92" s="1100"/>
      <c r="AC92" s="1079"/>
      <c r="AD92" s="1067"/>
      <c r="AE92" s="1076"/>
      <c r="AF92" s="1076"/>
      <c r="AG92" s="1048"/>
      <c r="AH92" s="1077"/>
      <c r="AI92" s="1076"/>
      <c r="AJ92" s="1078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8"/>
        <v/>
      </c>
      <c r="G93" s="520" t="str">
        <f t="shared" ca="1" si="9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6"/>
        <v/>
      </c>
      <c r="P93" s="742">
        <v>75</v>
      </c>
      <c r="Q93" s="517" t="str">
        <f t="shared" ca="1" si="10"/>
        <v/>
      </c>
      <c r="R93" s="520" t="str">
        <f t="shared" ca="1" si="11"/>
        <v/>
      </c>
      <c r="S93" s="430" t="str">
        <f ca="1"/>
        <v/>
      </c>
      <c r="T93" s="430" t="str">
        <f ca="1"/>
        <v/>
      </c>
      <c r="U93" s="430" t="str">
        <f ca="1"/>
        <v/>
      </c>
      <c r="V93" s="517" t="str">
        <f ca="1"/>
        <v/>
      </c>
      <c r="W93" s="518" t="str">
        <f ca="1"/>
        <v/>
      </c>
      <c r="X93" s="430" t="str">
        <f ca="1"/>
        <v/>
      </c>
      <c r="Y93" s="864" t="str">
        <f t="shared" ca="1" si="7"/>
        <v/>
      </c>
      <c r="AA93" s="828">
        <v>75</v>
      </c>
      <c r="AB93" s="1100"/>
      <c r="AC93" s="1079"/>
      <c r="AD93" s="1067"/>
      <c r="AE93" s="1076"/>
      <c r="AF93" s="1076"/>
      <c r="AG93" s="1048"/>
      <c r="AH93" s="1077"/>
      <c r="AI93" s="1076"/>
      <c r="AJ93" s="1078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8"/>
        <v/>
      </c>
      <c r="G94" s="520" t="str">
        <f t="shared" ca="1" si="9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6"/>
        <v/>
      </c>
      <c r="P94" s="742">
        <v>76</v>
      </c>
      <c r="Q94" s="517" t="str">
        <f t="shared" ca="1" si="10"/>
        <v/>
      </c>
      <c r="R94" s="520" t="str">
        <f t="shared" ca="1" si="11"/>
        <v/>
      </c>
      <c r="S94" s="430" t="str">
        <f ca="1"/>
        <v/>
      </c>
      <c r="T94" s="430" t="str">
        <f ca="1"/>
        <v/>
      </c>
      <c r="U94" s="430" t="str">
        <f ca="1"/>
        <v/>
      </c>
      <c r="V94" s="517" t="str">
        <f ca="1"/>
        <v/>
      </c>
      <c r="W94" s="518" t="str">
        <f ca="1"/>
        <v/>
      </c>
      <c r="X94" s="430" t="str">
        <f ca="1"/>
        <v/>
      </c>
      <c r="Y94" s="864" t="str">
        <f t="shared" ca="1" si="7"/>
        <v/>
      </c>
      <c r="AA94" s="828">
        <v>76</v>
      </c>
      <c r="AB94" s="1100"/>
      <c r="AC94" s="1079"/>
      <c r="AD94" s="1067"/>
      <c r="AE94" s="1076"/>
      <c r="AF94" s="1076"/>
      <c r="AG94" s="1048"/>
      <c r="AH94" s="1077"/>
      <c r="AI94" s="1076"/>
      <c r="AJ94" s="1078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8"/>
        <v/>
      </c>
      <c r="G95" s="520" t="str">
        <f t="shared" ca="1" si="9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6"/>
        <v/>
      </c>
      <c r="P95" s="742">
        <v>77</v>
      </c>
      <c r="Q95" s="517" t="str">
        <f t="shared" ca="1" si="10"/>
        <v/>
      </c>
      <c r="R95" s="520" t="str">
        <f t="shared" ca="1" si="11"/>
        <v/>
      </c>
      <c r="S95" s="430" t="str">
        <f ca="1"/>
        <v/>
      </c>
      <c r="T95" s="430" t="str">
        <f ca="1"/>
        <v/>
      </c>
      <c r="U95" s="430" t="str">
        <f ca="1"/>
        <v/>
      </c>
      <c r="V95" s="517" t="str">
        <f ca="1"/>
        <v/>
      </c>
      <c r="W95" s="518" t="str">
        <f ca="1"/>
        <v/>
      </c>
      <c r="X95" s="430" t="str">
        <f ca="1"/>
        <v/>
      </c>
      <c r="Y95" s="864" t="str">
        <f t="shared" ca="1" si="7"/>
        <v/>
      </c>
      <c r="AA95" s="828">
        <v>77</v>
      </c>
      <c r="AB95" s="1100"/>
      <c r="AC95" s="1079"/>
      <c r="AD95" s="1067"/>
      <c r="AE95" s="1076"/>
      <c r="AF95" s="1076"/>
      <c r="AG95" s="1048"/>
      <c r="AH95" s="1077"/>
      <c r="AI95" s="1076"/>
      <c r="AJ95" s="1078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8"/>
        <v/>
      </c>
      <c r="G96" s="520" t="str">
        <f t="shared" ca="1" si="9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6"/>
        <v/>
      </c>
      <c r="P96" s="742">
        <v>78</v>
      </c>
      <c r="Q96" s="517" t="str">
        <f t="shared" ca="1" si="10"/>
        <v/>
      </c>
      <c r="R96" s="520" t="str">
        <f t="shared" ca="1" si="11"/>
        <v/>
      </c>
      <c r="S96" s="430" t="str">
        <f ca="1"/>
        <v/>
      </c>
      <c r="T96" s="430" t="str">
        <f ca="1"/>
        <v/>
      </c>
      <c r="U96" s="430" t="str">
        <f ca="1"/>
        <v/>
      </c>
      <c r="V96" s="517" t="str">
        <f ca="1"/>
        <v/>
      </c>
      <c r="W96" s="518" t="str">
        <f ca="1"/>
        <v/>
      </c>
      <c r="X96" s="430" t="str">
        <f ca="1"/>
        <v/>
      </c>
      <c r="Y96" s="864" t="str">
        <f t="shared" ca="1" si="7"/>
        <v/>
      </c>
      <c r="AA96" s="828">
        <v>78</v>
      </c>
      <c r="AB96" s="1100"/>
      <c r="AC96" s="1079"/>
      <c r="AD96" s="1067"/>
      <c r="AE96" s="1076"/>
      <c r="AF96" s="1076"/>
      <c r="AG96" s="1048"/>
      <c r="AH96" s="1077"/>
      <c r="AI96" s="1076"/>
      <c r="AJ96" s="1078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8"/>
        <v/>
      </c>
      <c r="G97" s="520" t="str">
        <f t="shared" ca="1" si="9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6"/>
        <v/>
      </c>
      <c r="P97" s="742">
        <v>79</v>
      </c>
      <c r="Q97" s="517" t="str">
        <f t="shared" ca="1" si="10"/>
        <v/>
      </c>
      <c r="R97" s="520" t="str">
        <f t="shared" ca="1" si="11"/>
        <v/>
      </c>
      <c r="S97" s="430" t="str">
        <f ca="1"/>
        <v/>
      </c>
      <c r="T97" s="430" t="str">
        <f ca="1"/>
        <v/>
      </c>
      <c r="U97" s="430" t="str">
        <f ca="1"/>
        <v/>
      </c>
      <c r="V97" s="517" t="str">
        <f ca="1"/>
        <v/>
      </c>
      <c r="W97" s="518" t="str">
        <f ca="1"/>
        <v/>
      </c>
      <c r="X97" s="430" t="str">
        <f ca="1"/>
        <v/>
      </c>
      <c r="Y97" s="864" t="str">
        <f t="shared" ca="1" si="7"/>
        <v/>
      </c>
      <c r="AA97" s="828">
        <v>79</v>
      </c>
      <c r="AB97" s="1100"/>
      <c r="AC97" s="1079"/>
      <c r="AD97" s="1067"/>
      <c r="AE97" s="1076"/>
      <c r="AF97" s="1076"/>
      <c r="AG97" s="1048"/>
      <c r="AH97" s="1077"/>
      <c r="AI97" s="1076"/>
      <c r="AJ97" s="1078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8"/>
        <v/>
      </c>
      <c r="G98" s="520" t="str">
        <f t="shared" ca="1" si="9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6"/>
        <v/>
      </c>
      <c r="P98" s="742">
        <v>80</v>
      </c>
      <c r="Q98" s="517" t="str">
        <f t="shared" ca="1" si="10"/>
        <v/>
      </c>
      <c r="R98" s="520" t="str">
        <f t="shared" ca="1" si="11"/>
        <v/>
      </c>
      <c r="S98" s="430" t="str">
        <f ca="1"/>
        <v/>
      </c>
      <c r="T98" s="430" t="str">
        <f ca="1"/>
        <v/>
      </c>
      <c r="U98" s="430" t="str">
        <f ca="1"/>
        <v/>
      </c>
      <c r="V98" s="517" t="str">
        <f ca="1"/>
        <v/>
      </c>
      <c r="W98" s="518" t="str">
        <f ca="1"/>
        <v/>
      </c>
      <c r="X98" s="430" t="str">
        <f ca="1"/>
        <v/>
      </c>
      <c r="Y98" s="864" t="str">
        <f t="shared" ca="1" si="7"/>
        <v/>
      </c>
      <c r="AA98" s="828">
        <v>80</v>
      </c>
      <c r="AB98" s="1100"/>
      <c r="AC98" s="1079"/>
      <c r="AD98" s="1067"/>
      <c r="AE98" s="1076"/>
      <c r="AF98" s="1076"/>
      <c r="AG98" s="1048"/>
      <c r="AH98" s="1077"/>
      <c r="AI98" s="1076"/>
      <c r="AJ98" s="1078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8"/>
        <v/>
      </c>
      <c r="G99" s="520" t="str">
        <f t="shared" ca="1" si="9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6"/>
        <v/>
      </c>
      <c r="P99" s="742">
        <v>81</v>
      </c>
      <c r="Q99" s="517" t="str">
        <f t="shared" ca="1" si="10"/>
        <v/>
      </c>
      <c r="R99" s="520" t="str">
        <f t="shared" ca="1" si="11"/>
        <v/>
      </c>
      <c r="S99" s="430" t="str">
        <f ca="1"/>
        <v/>
      </c>
      <c r="T99" s="430" t="str">
        <f ca="1"/>
        <v/>
      </c>
      <c r="U99" s="430" t="str">
        <f ca="1"/>
        <v/>
      </c>
      <c r="V99" s="517" t="str">
        <f ca="1"/>
        <v/>
      </c>
      <c r="W99" s="518" t="str">
        <f ca="1"/>
        <v/>
      </c>
      <c r="X99" s="430" t="str">
        <f ca="1"/>
        <v/>
      </c>
      <c r="Y99" s="864" t="str">
        <f t="shared" ca="1" si="7"/>
        <v/>
      </c>
      <c r="AA99" s="828">
        <v>81</v>
      </c>
      <c r="AB99" s="1100"/>
      <c r="AC99" s="1079"/>
      <c r="AD99" s="1067"/>
      <c r="AE99" s="1076"/>
      <c r="AF99" s="1076"/>
      <c r="AG99" s="1048"/>
      <c r="AH99" s="1077"/>
      <c r="AI99" s="1076"/>
      <c r="AJ99" s="1078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8"/>
        <v/>
      </c>
      <c r="G100" s="520" t="str">
        <f t="shared" ca="1" si="9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6"/>
        <v/>
      </c>
      <c r="P100" s="742">
        <v>82</v>
      </c>
      <c r="Q100" s="517" t="str">
        <f t="shared" ca="1" si="10"/>
        <v/>
      </c>
      <c r="R100" s="520" t="str">
        <f t="shared" ca="1" si="11"/>
        <v/>
      </c>
      <c r="S100" s="430" t="str">
        <f ca="1"/>
        <v/>
      </c>
      <c r="T100" s="430" t="str">
        <f ca="1"/>
        <v/>
      </c>
      <c r="U100" s="430" t="str">
        <f ca="1"/>
        <v/>
      </c>
      <c r="V100" s="517" t="str">
        <f ca="1"/>
        <v/>
      </c>
      <c r="W100" s="518" t="str">
        <f ca="1"/>
        <v/>
      </c>
      <c r="X100" s="430" t="str">
        <f ca="1"/>
        <v/>
      </c>
      <c r="Y100" s="864" t="str">
        <f t="shared" ca="1" si="7"/>
        <v/>
      </c>
      <c r="AA100" s="828">
        <v>82</v>
      </c>
      <c r="AB100" s="1100"/>
      <c r="AC100" s="1079"/>
      <c r="AD100" s="1067"/>
      <c r="AE100" s="1076"/>
      <c r="AF100" s="1076"/>
      <c r="AG100" s="1048"/>
      <c r="AH100" s="1077"/>
      <c r="AI100" s="1076"/>
      <c r="AJ100" s="1078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8"/>
        <v/>
      </c>
      <c r="G101" s="520" t="str">
        <f t="shared" ca="1" si="9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6"/>
        <v/>
      </c>
      <c r="P101" s="742">
        <v>83</v>
      </c>
      <c r="Q101" s="517" t="str">
        <f t="shared" ca="1" si="10"/>
        <v/>
      </c>
      <c r="R101" s="520" t="str">
        <f t="shared" ca="1" si="11"/>
        <v/>
      </c>
      <c r="S101" s="430" t="str">
        <f ca="1"/>
        <v/>
      </c>
      <c r="T101" s="430" t="str">
        <f ca="1"/>
        <v/>
      </c>
      <c r="U101" s="430" t="str">
        <f ca="1"/>
        <v/>
      </c>
      <c r="V101" s="517" t="str">
        <f ca="1"/>
        <v/>
      </c>
      <c r="W101" s="518" t="str">
        <f ca="1"/>
        <v/>
      </c>
      <c r="X101" s="430" t="str">
        <f ca="1"/>
        <v/>
      </c>
      <c r="Y101" s="864" t="str">
        <f t="shared" ca="1" si="7"/>
        <v/>
      </c>
      <c r="AA101" s="828">
        <v>83</v>
      </c>
      <c r="AB101" s="1100"/>
      <c r="AC101" s="1079"/>
      <c r="AD101" s="1067"/>
      <c r="AE101" s="1076"/>
      <c r="AF101" s="1076"/>
      <c r="AG101" s="1048"/>
      <c r="AH101" s="1077"/>
      <c r="AI101" s="1076"/>
      <c r="AJ101" s="1078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8"/>
        <v/>
      </c>
      <c r="G102" s="520" t="str">
        <f t="shared" ca="1" si="9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6"/>
        <v/>
      </c>
      <c r="P102" s="742">
        <v>84</v>
      </c>
      <c r="Q102" s="517" t="str">
        <f t="shared" ca="1" si="10"/>
        <v/>
      </c>
      <c r="R102" s="520" t="str">
        <f t="shared" ca="1" si="11"/>
        <v/>
      </c>
      <c r="S102" s="430" t="str">
        <f ca="1"/>
        <v/>
      </c>
      <c r="T102" s="430" t="str">
        <f ca="1"/>
        <v/>
      </c>
      <c r="U102" s="430" t="str">
        <f ca="1"/>
        <v/>
      </c>
      <c r="V102" s="517" t="str">
        <f ca="1"/>
        <v/>
      </c>
      <c r="W102" s="518" t="str">
        <f ca="1"/>
        <v/>
      </c>
      <c r="X102" s="430" t="str">
        <f ca="1"/>
        <v/>
      </c>
      <c r="Y102" s="864" t="str">
        <f t="shared" ca="1" si="7"/>
        <v/>
      </c>
      <c r="AA102" s="828">
        <v>84</v>
      </c>
      <c r="AB102" s="1100"/>
      <c r="AC102" s="1079"/>
      <c r="AD102" s="1067"/>
      <c r="AE102" s="1076"/>
      <c r="AF102" s="1076"/>
      <c r="AG102" s="1048"/>
      <c r="AH102" s="1077"/>
      <c r="AI102" s="1076"/>
      <c r="AJ102" s="1078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8"/>
        <v/>
      </c>
      <c r="G103" s="520" t="str">
        <f t="shared" ca="1" si="9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6"/>
        <v/>
      </c>
      <c r="P103" s="742">
        <v>85</v>
      </c>
      <c r="Q103" s="517" t="str">
        <f t="shared" ca="1" si="10"/>
        <v/>
      </c>
      <c r="R103" s="520" t="str">
        <f t="shared" ca="1" si="11"/>
        <v/>
      </c>
      <c r="S103" s="430" t="str">
        <f ca="1"/>
        <v/>
      </c>
      <c r="T103" s="430" t="str">
        <f ca="1"/>
        <v/>
      </c>
      <c r="U103" s="430" t="str">
        <f ca="1"/>
        <v/>
      </c>
      <c r="V103" s="517" t="str">
        <f ca="1"/>
        <v/>
      </c>
      <c r="W103" s="518" t="str">
        <f ca="1"/>
        <v/>
      </c>
      <c r="X103" s="430" t="str">
        <f ca="1"/>
        <v/>
      </c>
      <c r="Y103" s="864" t="str">
        <f t="shared" ca="1" si="7"/>
        <v/>
      </c>
      <c r="AA103" s="828">
        <v>85</v>
      </c>
      <c r="AB103" s="1100"/>
      <c r="AC103" s="1079"/>
      <c r="AD103" s="1067"/>
      <c r="AE103" s="1076"/>
      <c r="AF103" s="1076"/>
      <c r="AG103" s="1048"/>
      <c r="AH103" s="1077"/>
      <c r="AI103" s="1076"/>
      <c r="AJ103" s="1078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8"/>
        <v/>
      </c>
      <c r="G104" s="520" t="str">
        <f t="shared" ca="1" si="9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6"/>
        <v/>
      </c>
      <c r="P104" s="742">
        <v>86</v>
      </c>
      <c r="Q104" s="517" t="str">
        <f t="shared" ca="1" si="10"/>
        <v/>
      </c>
      <c r="R104" s="520" t="str">
        <f t="shared" ca="1" si="11"/>
        <v/>
      </c>
      <c r="S104" s="430" t="str">
        <f ca="1"/>
        <v/>
      </c>
      <c r="T104" s="430" t="str">
        <f ca="1"/>
        <v/>
      </c>
      <c r="U104" s="430" t="str">
        <f ca="1"/>
        <v/>
      </c>
      <c r="V104" s="517" t="str">
        <f ca="1"/>
        <v/>
      </c>
      <c r="W104" s="518" t="str">
        <f ca="1"/>
        <v/>
      </c>
      <c r="X104" s="430" t="str">
        <f ca="1"/>
        <v/>
      </c>
      <c r="Y104" s="864" t="str">
        <f t="shared" ca="1" si="7"/>
        <v/>
      </c>
      <c r="AA104" s="828">
        <v>86</v>
      </c>
      <c r="AB104" s="1100"/>
      <c r="AC104" s="1079"/>
      <c r="AD104" s="1067"/>
      <c r="AE104" s="1076"/>
      <c r="AF104" s="1076"/>
      <c r="AG104" s="1048"/>
      <c r="AH104" s="1077"/>
      <c r="AI104" s="1076"/>
      <c r="AJ104" s="1078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8"/>
        <v/>
      </c>
      <c r="G105" s="520" t="str">
        <f t="shared" ca="1" si="9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6"/>
        <v/>
      </c>
      <c r="P105" s="742">
        <v>87</v>
      </c>
      <c r="Q105" s="517" t="str">
        <f t="shared" ca="1" si="10"/>
        <v/>
      </c>
      <c r="R105" s="520" t="str">
        <f t="shared" ca="1" si="11"/>
        <v/>
      </c>
      <c r="S105" s="430" t="str">
        <f ca="1"/>
        <v/>
      </c>
      <c r="T105" s="430" t="str">
        <f ca="1"/>
        <v/>
      </c>
      <c r="U105" s="430" t="str">
        <f ca="1"/>
        <v/>
      </c>
      <c r="V105" s="517" t="str">
        <f ca="1"/>
        <v/>
      </c>
      <c r="W105" s="518" t="str">
        <f ca="1"/>
        <v/>
      </c>
      <c r="X105" s="430" t="str">
        <f ca="1"/>
        <v/>
      </c>
      <c r="Y105" s="864" t="str">
        <f t="shared" ca="1" si="7"/>
        <v/>
      </c>
      <c r="AA105" s="828">
        <v>87</v>
      </c>
      <c r="AB105" s="1100"/>
      <c r="AC105" s="1079"/>
      <c r="AD105" s="1067"/>
      <c r="AE105" s="1076"/>
      <c r="AF105" s="1076"/>
      <c r="AG105" s="1048"/>
      <c r="AH105" s="1077"/>
      <c r="AI105" s="1076"/>
      <c r="AJ105" s="1078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8"/>
        <v/>
      </c>
      <c r="G106" s="520" t="str">
        <f t="shared" ca="1" si="9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6"/>
        <v/>
      </c>
      <c r="P106" s="742">
        <v>88</v>
      </c>
      <c r="Q106" s="517" t="str">
        <f t="shared" ca="1" si="10"/>
        <v/>
      </c>
      <c r="R106" s="520" t="str">
        <f t="shared" ca="1" si="11"/>
        <v/>
      </c>
      <c r="S106" s="430" t="str">
        <f ca="1"/>
        <v/>
      </c>
      <c r="T106" s="430" t="str">
        <f ca="1"/>
        <v/>
      </c>
      <c r="U106" s="430" t="str">
        <f ca="1"/>
        <v/>
      </c>
      <c r="V106" s="517" t="str">
        <f ca="1"/>
        <v/>
      </c>
      <c r="W106" s="518" t="str">
        <f ca="1"/>
        <v/>
      </c>
      <c r="X106" s="430" t="str">
        <f ca="1"/>
        <v/>
      </c>
      <c r="Y106" s="864" t="str">
        <f t="shared" ca="1" si="7"/>
        <v/>
      </c>
      <c r="AA106" s="828">
        <v>88</v>
      </c>
      <c r="AB106" s="1100"/>
      <c r="AC106" s="1079"/>
      <c r="AD106" s="1067"/>
      <c r="AE106" s="1076"/>
      <c r="AF106" s="1076"/>
      <c r="AG106" s="1048"/>
      <c r="AH106" s="1077"/>
      <c r="AI106" s="1076"/>
      <c r="AJ106" s="1078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8"/>
        <v/>
      </c>
      <c r="G107" s="520" t="str">
        <f t="shared" ca="1" si="9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6"/>
        <v/>
      </c>
      <c r="P107" s="742">
        <v>89</v>
      </c>
      <c r="Q107" s="517" t="str">
        <f t="shared" ca="1" si="10"/>
        <v/>
      </c>
      <c r="R107" s="520" t="str">
        <f t="shared" ca="1" si="11"/>
        <v/>
      </c>
      <c r="S107" s="430" t="str">
        <f ca="1"/>
        <v/>
      </c>
      <c r="T107" s="430" t="str">
        <f ca="1"/>
        <v/>
      </c>
      <c r="U107" s="430" t="str">
        <f ca="1"/>
        <v/>
      </c>
      <c r="V107" s="517" t="str">
        <f ca="1"/>
        <v/>
      </c>
      <c r="W107" s="518" t="str">
        <f ca="1"/>
        <v/>
      </c>
      <c r="X107" s="430" t="str">
        <f ca="1"/>
        <v/>
      </c>
      <c r="Y107" s="864" t="str">
        <f t="shared" ca="1" si="7"/>
        <v/>
      </c>
      <c r="AA107" s="828">
        <v>89</v>
      </c>
      <c r="AB107" s="1100"/>
      <c r="AC107" s="1079"/>
      <c r="AD107" s="1067"/>
      <c r="AE107" s="1076"/>
      <c r="AF107" s="1076"/>
      <c r="AG107" s="1048"/>
      <c r="AH107" s="1077"/>
      <c r="AI107" s="1076"/>
      <c r="AJ107" s="1078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8"/>
        <v/>
      </c>
      <c r="G108" s="520" t="str">
        <f t="shared" ca="1" si="9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6"/>
        <v/>
      </c>
      <c r="P108" s="742">
        <v>90</v>
      </c>
      <c r="Q108" s="517" t="str">
        <f t="shared" ca="1" si="10"/>
        <v/>
      </c>
      <c r="R108" s="520" t="str">
        <f t="shared" ca="1" si="11"/>
        <v/>
      </c>
      <c r="S108" s="430" t="str">
        <f ca="1"/>
        <v/>
      </c>
      <c r="T108" s="430" t="str">
        <f ca="1"/>
        <v/>
      </c>
      <c r="U108" s="430" t="str">
        <f ca="1"/>
        <v/>
      </c>
      <c r="V108" s="517" t="str">
        <f ca="1"/>
        <v/>
      </c>
      <c r="W108" s="518" t="str">
        <f ca="1"/>
        <v/>
      </c>
      <c r="X108" s="430" t="str">
        <f ca="1"/>
        <v/>
      </c>
      <c r="Y108" s="864" t="str">
        <f t="shared" ca="1" si="7"/>
        <v/>
      </c>
      <c r="AA108" s="828">
        <v>90</v>
      </c>
      <c r="AB108" s="1100"/>
      <c r="AC108" s="1079"/>
      <c r="AD108" s="1067"/>
      <c r="AE108" s="1076"/>
      <c r="AF108" s="1076"/>
      <c r="AG108" s="1048"/>
      <c r="AH108" s="1077"/>
      <c r="AI108" s="1076"/>
      <c r="AJ108" s="1078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8"/>
        <v/>
      </c>
      <c r="G109" s="520" t="str">
        <f t="shared" ca="1" si="9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6"/>
        <v/>
      </c>
      <c r="P109" s="742">
        <v>91</v>
      </c>
      <c r="Q109" s="517" t="str">
        <f t="shared" ca="1" si="10"/>
        <v/>
      </c>
      <c r="R109" s="520" t="str">
        <f t="shared" ca="1" si="11"/>
        <v/>
      </c>
      <c r="S109" s="430" t="str">
        <f ca="1"/>
        <v/>
      </c>
      <c r="T109" s="430" t="str">
        <f ca="1"/>
        <v/>
      </c>
      <c r="U109" s="430" t="str">
        <f ca="1"/>
        <v/>
      </c>
      <c r="V109" s="517" t="str">
        <f ca="1"/>
        <v/>
      </c>
      <c r="W109" s="518" t="str">
        <f ca="1"/>
        <v/>
      </c>
      <c r="X109" s="430" t="str">
        <f ca="1"/>
        <v/>
      </c>
      <c r="Y109" s="864" t="str">
        <f t="shared" ca="1" si="7"/>
        <v/>
      </c>
      <c r="AA109" s="828">
        <v>91</v>
      </c>
      <c r="AB109" s="1100"/>
      <c r="AC109" s="1079"/>
      <c r="AD109" s="1067"/>
      <c r="AE109" s="1076"/>
      <c r="AF109" s="1076"/>
      <c r="AG109" s="1048"/>
      <c r="AH109" s="1077"/>
      <c r="AI109" s="1076"/>
      <c r="AJ109" s="1078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8"/>
        <v/>
      </c>
      <c r="G110" s="520" t="str">
        <f t="shared" ca="1" si="9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6"/>
        <v/>
      </c>
      <c r="P110" s="742">
        <v>92</v>
      </c>
      <c r="Q110" s="517" t="str">
        <f t="shared" ca="1" si="10"/>
        <v/>
      </c>
      <c r="R110" s="520" t="str">
        <f t="shared" ca="1" si="11"/>
        <v/>
      </c>
      <c r="S110" s="430" t="str">
        <f ca="1"/>
        <v/>
      </c>
      <c r="T110" s="430" t="str">
        <f ca="1"/>
        <v/>
      </c>
      <c r="U110" s="430" t="str">
        <f ca="1"/>
        <v/>
      </c>
      <c r="V110" s="517" t="str">
        <f ca="1"/>
        <v/>
      </c>
      <c r="W110" s="518" t="str">
        <f ca="1"/>
        <v/>
      </c>
      <c r="X110" s="430" t="str">
        <f ca="1"/>
        <v/>
      </c>
      <c r="Y110" s="864" t="str">
        <f t="shared" ca="1" si="7"/>
        <v/>
      </c>
      <c r="AA110" s="828">
        <v>92</v>
      </c>
      <c r="AB110" s="1100"/>
      <c r="AC110" s="1079"/>
      <c r="AD110" s="1067"/>
      <c r="AE110" s="1076"/>
      <c r="AF110" s="1076"/>
      <c r="AG110" s="1048"/>
      <c r="AH110" s="1077"/>
      <c r="AI110" s="1076"/>
      <c r="AJ110" s="1078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8"/>
        <v/>
      </c>
      <c r="G111" s="520" t="str">
        <f t="shared" ca="1" si="9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6"/>
        <v/>
      </c>
      <c r="P111" s="742">
        <v>93</v>
      </c>
      <c r="Q111" s="517" t="str">
        <f t="shared" ca="1" si="10"/>
        <v/>
      </c>
      <c r="R111" s="520" t="str">
        <f t="shared" ca="1" si="11"/>
        <v/>
      </c>
      <c r="S111" s="430" t="str">
        <f ca="1"/>
        <v/>
      </c>
      <c r="T111" s="430" t="str">
        <f ca="1"/>
        <v/>
      </c>
      <c r="U111" s="430" t="str">
        <f ca="1"/>
        <v/>
      </c>
      <c r="V111" s="517" t="str">
        <f ca="1"/>
        <v/>
      </c>
      <c r="W111" s="518" t="str">
        <f ca="1"/>
        <v/>
      </c>
      <c r="X111" s="430" t="str">
        <f ca="1"/>
        <v/>
      </c>
      <c r="Y111" s="864" t="str">
        <f t="shared" ca="1" si="7"/>
        <v/>
      </c>
      <c r="AA111" s="828">
        <v>93</v>
      </c>
      <c r="AB111" s="1100"/>
      <c r="AC111" s="1079"/>
      <c r="AD111" s="1067"/>
      <c r="AE111" s="1076"/>
      <c r="AF111" s="1076"/>
      <c r="AG111" s="1048"/>
      <c r="AH111" s="1077"/>
      <c r="AI111" s="1076"/>
      <c r="AJ111" s="1078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8"/>
        <v/>
      </c>
      <c r="G112" s="520" t="str">
        <f t="shared" ca="1" si="9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6"/>
        <v/>
      </c>
      <c r="P112" s="742">
        <v>94</v>
      </c>
      <c r="Q112" s="517" t="str">
        <f t="shared" ca="1" si="10"/>
        <v/>
      </c>
      <c r="R112" s="520" t="str">
        <f t="shared" ca="1" si="11"/>
        <v/>
      </c>
      <c r="S112" s="430" t="str">
        <f ca="1"/>
        <v/>
      </c>
      <c r="T112" s="430" t="str">
        <f ca="1"/>
        <v/>
      </c>
      <c r="U112" s="430" t="str">
        <f ca="1"/>
        <v/>
      </c>
      <c r="V112" s="517" t="str">
        <f ca="1"/>
        <v/>
      </c>
      <c r="W112" s="518" t="str">
        <f ca="1"/>
        <v/>
      </c>
      <c r="X112" s="430" t="str">
        <f ca="1"/>
        <v/>
      </c>
      <c r="Y112" s="864" t="str">
        <f t="shared" ca="1" si="7"/>
        <v/>
      </c>
      <c r="AA112" s="828">
        <v>94</v>
      </c>
      <c r="AB112" s="1100"/>
      <c r="AC112" s="1079"/>
      <c r="AD112" s="1067"/>
      <c r="AE112" s="1076"/>
      <c r="AF112" s="1076"/>
      <c r="AG112" s="1048"/>
      <c r="AH112" s="1077"/>
      <c r="AI112" s="1076"/>
      <c r="AJ112" s="1078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8"/>
        <v/>
      </c>
      <c r="G113" s="520" t="str">
        <f t="shared" ca="1" si="9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6"/>
        <v/>
      </c>
      <c r="P113" s="742">
        <v>95</v>
      </c>
      <c r="Q113" s="517" t="str">
        <f t="shared" ca="1" si="10"/>
        <v/>
      </c>
      <c r="R113" s="520" t="str">
        <f t="shared" ca="1" si="11"/>
        <v/>
      </c>
      <c r="S113" s="430" t="str">
        <f ca="1"/>
        <v/>
      </c>
      <c r="T113" s="430" t="str">
        <f ca="1"/>
        <v/>
      </c>
      <c r="U113" s="430" t="str">
        <f ca="1"/>
        <v/>
      </c>
      <c r="V113" s="517" t="str">
        <f ca="1"/>
        <v/>
      </c>
      <c r="W113" s="518" t="str">
        <f ca="1"/>
        <v/>
      </c>
      <c r="X113" s="430" t="str">
        <f ca="1"/>
        <v/>
      </c>
      <c r="Y113" s="864" t="str">
        <f t="shared" ca="1" si="7"/>
        <v/>
      </c>
      <c r="AA113" s="828">
        <v>95</v>
      </c>
      <c r="AB113" s="1100"/>
      <c r="AC113" s="1079"/>
      <c r="AD113" s="1067"/>
      <c r="AE113" s="1076"/>
      <c r="AF113" s="1076"/>
      <c r="AG113" s="1048"/>
      <c r="AH113" s="1077"/>
      <c r="AI113" s="1076"/>
      <c r="AJ113" s="1078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8"/>
        <v/>
      </c>
      <c r="G114" s="520" t="str">
        <f t="shared" ca="1" si="9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6"/>
        <v/>
      </c>
      <c r="P114" s="742">
        <v>96</v>
      </c>
      <c r="Q114" s="517" t="str">
        <f t="shared" ca="1" si="10"/>
        <v/>
      </c>
      <c r="R114" s="520" t="str">
        <f t="shared" ca="1" si="11"/>
        <v/>
      </c>
      <c r="S114" s="430" t="str">
        <f ca="1"/>
        <v/>
      </c>
      <c r="T114" s="430" t="str">
        <f ca="1"/>
        <v/>
      </c>
      <c r="U114" s="430" t="str">
        <f ca="1"/>
        <v/>
      </c>
      <c r="V114" s="517" t="str">
        <f ca="1"/>
        <v/>
      </c>
      <c r="W114" s="518" t="str">
        <f ca="1"/>
        <v/>
      </c>
      <c r="X114" s="430" t="str">
        <f ca="1"/>
        <v/>
      </c>
      <c r="Y114" s="864" t="str">
        <f t="shared" ca="1" si="7"/>
        <v/>
      </c>
      <c r="AA114" s="828">
        <v>96</v>
      </c>
      <c r="AB114" s="1100"/>
      <c r="AC114" s="1079"/>
      <c r="AD114" s="1067"/>
      <c r="AE114" s="1076"/>
      <c r="AF114" s="1076"/>
      <c r="AG114" s="1048"/>
      <c r="AH114" s="1077"/>
      <c r="AI114" s="1076"/>
      <c r="AJ114" s="1078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8"/>
        <v/>
      </c>
      <c r="G115" s="520" t="str">
        <f t="shared" ca="1" si="9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6"/>
        <v/>
      </c>
      <c r="P115" s="742">
        <v>97</v>
      </c>
      <c r="Q115" s="517" t="str">
        <f t="shared" ca="1" si="10"/>
        <v/>
      </c>
      <c r="R115" s="520" t="str">
        <f t="shared" ca="1" si="11"/>
        <v/>
      </c>
      <c r="S115" s="430" t="str">
        <f ca="1"/>
        <v/>
      </c>
      <c r="T115" s="430" t="str">
        <f ca="1"/>
        <v/>
      </c>
      <c r="U115" s="430" t="str">
        <f ca="1"/>
        <v/>
      </c>
      <c r="V115" s="517" t="str">
        <f ca="1"/>
        <v/>
      </c>
      <c r="W115" s="518" t="str">
        <f ca="1"/>
        <v/>
      </c>
      <c r="X115" s="430" t="str">
        <f ca="1"/>
        <v/>
      </c>
      <c r="Y115" s="864" t="str">
        <f t="shared" ca="1" si="7"/>
        <v/>
      </c>
      <c r="AA115" s="828">
        <v>97</v>
      </c>
      <c r="AB115" s="1100"/>
      <c r="AC115" s="1079"/>
      <c r="AD115" s="1067"/>
      <c r="AE115" s="1076"/>
      <c r="AF115" s="1076"/>
      <c r="AG115" s="1048"/>
      <c r="AH115" s="1077"/>
      <c r="AI115" s="1076"/>
      <c r="AJ115" s="1078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8"/>
        <v/>
      </c>
      <c r="G116" s="520" t="str">
        <f t="shared" ca="1" si="9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6"/>
        <v/>
      </c>
      <c r="P116" s="742">
        <v>98</v>
      </c>
      <c r="Q116" s="517" t="str">
        <f t="shared" ca="1" si="10"/>
        <v/>
      </c>
      <c r="R116" s="520" t="str">
        <f t="shared" ca="1" si="11"/>
        <v/>
      </c>
      <c r="S116" s="430" t="str">
        <f ca="1"/>
        <v/>
      </c>
      <c r="T116" s="430" t="str">
        <f ca="1"/>
        <v/>
      </c>
      <c r="U116" s="430" t="str">
        <f ca="1"/>
        <v/>
      </c>
      <c r="V116" s="517" t="str">
        <f ca="1"/>
        <v/>
      </c>
      <c r="W116" s="518" t="str">
        <f ca="1"/>
        <v/>
      </c>
      <c r="X116" s="430" t="str">
        <f ca="1"/>
        <v/>
      </c>
      <c r="Y116" s="864" t="str">
        <f t="shared" ca="1" si="7"/>
        <v/>
      </c>
      <c r="AA116" s="828">
        <v>98</v>
      </c>
      <c r="AB116" s="1100"/>
      <c r="AC116" s="1079"/>
      <c r="AD116" s="1067"/>
      <c r="AE116" s="1076"/>
      <c r="AF116" s="1076"/>
      <c r="AG116" s="1048"/>
      <c r="AH116" s="1077"/>
      <c r="AI116" s="1076"/>
      <c r="AJ116" s="1078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8"/>
        <v/>
      </c>
      <c r="G117" s="520" t="str">
        <f t="shared" ca="1" si="9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6"/>
        <v/>
      </c>
      <c r="P117" s="742">
        <v>99</v>
      </c>
      <c r="Q117" s="517" t="str">
        <f t="shared" ca="1" si="10"/>
        <v/>
      </c>
      <c r="R117" s="520" t="str">
        <f t="shared" ca="1" si="11"/>
        <v/>
      </c>
      <c r="S117" s="430" t="str">
        <f ca="1"/>
        <v/>
      </c>
      <c r="T117" s="430" t="str">
        <f ca="1"/>
        <v/>
      </c>
      <c r="U117" s="430" t="str">
        <f ca="1"/>
        <v/>
      </c>
      <c r="V117" s="517" t="str">
        <f ca="1"/>
        <v/>
      </c>
      <c r="W117" s="518" t="str">
        <f ca="1"/>
        <v/>
      </c>
      <c r="X117" s="430" t="str">
        <f ca="1"/>
        <v/>
      </c>
      <c r="Y117" s="864" t="str">
        <f t="shared" ca="1" si="7"/>
        <v/>
      </c>
      <c r="AA117" s="828">
        <v>99</v>
      </c>
      <c r="AB117" s="1100"/>
      <c r="AC117" s="1079"/>
      <c r="AD117" s="1067"/>
      <c r="AE117" s="1076"/>
      <c r="AF117" s="1076"/>
      <c r="AG117" s="1048"/>
      <c r="AH117" s="1077"/>
      <c r="AI117" s="1076"/>
      <c r="AJ117" s="1078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8"/>
        <v/>
      </c>
      <c r="G118" s="520" t="str">
        <f t="shared" ca="1" si="9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6"/>
        <v/>
      </c>
      <c r="P118" s="742">
        <v>100</v>
      </c>
      <c r="Q118" s="517" t="str">
        <f t="shared" ca="1" si="10"/>
        <v/>
      </c>
      <c r="R118" s="520" t="str">
        <f t="shared" ca="1" si="11"/>
        <v/>
      </c>
      <c r="S118" s="430" t="str">
        <f ca="1"/>
        <v/>
      </c>
      <c r="T118" s="430" t="str">
        <f ca="1"/>
        <v/>
      </c>
      <c r="U118" s="430" t="str">
        <f ca="1"/>
        <v/>
      </c>
      <c r="V118" s="517" t="str">
        <f ca="1"/>
        <v/>
      </c>
      <c r="W118" s="518" t="str">
        <f ca="1"/>
        <v/>
      </c>
      <c r="X118" s="430" t="str">
        <f ca="1"/>
        <v/>
      </c>
      <c r="Y118" s="864" t="str">
        <f t="shared" ca="1" si="7"/>
        <v/>
      </c>
      <c r="AA118" s="828">
        <v>100</v>
      </c>
      <c r="AB118" s="1100"/>
      <c r="AC118" s="1079"/>
      <c r="AD118" s="1067"/>
      <c r="AE118" s="1076"/>
      <c r="AF118" s="1076"/>
      <c r="AG118" s="1048"/>
      <c r="AH118" s="1077"/>
      <c r="AI118" s="1076"/>
      <c r="AJ118" s="1078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8"/>
        <v/>
      </c>
      <c r="G119" s="520" t="str">
        <f t="shared" ca="1" si="9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6"/>
        <v/>
      </c>
      <c r="P119" s="742">
        <v>101</v>
      </c>
      <c r="Q119" s="517" t="str">
        <f t="shared" ca="1" si="10"/>
        <v/>
      </c>
      <c r="R119" s="520" t="str">
        <f t="shared" ca="1" si="11"/>
        <v/>
      </c>
      <c r="S119" s="430" t="str">
        <f ca="1"/>
        <v/>
      </c>
      <c r="T119" s="430" t="str">
        <f ca="1"/>
        <v/>
      </c>
      <c r="U119" s="430" t="str">
        <f ca="1"/>
        <v/>
      </c>
      <c r="V119" s="517" t="str">
        <f ca="1"/>
        <v/>
      </c>
      <c r="W119" s="518" t="str">
        <f ca="1"/>
        <v/>
      </c>
      <c r="X119" s="430" t="str">
        <f ca="1"/>
        <v/>
      </c>
      <c r="Y119" s="864" t="str">
        <f t="shared" ca="1" si="7"/>
        <v/>
      </c>
      <c r="AA119" s="828">
        <v>101</v>
      </c>
      <c r="AB119" s="1100"/>
      <c r="AC119" s="1079"/>
      <c r="AD119" s="1067"/>
      <c r="AE119" s="1076"/>
      <c r="AF119" s="1076"/>
      <c r="AG119" s="1048"/>
      <c r="AH119" s="1077"/>
      <c r="AI119" s="1076"/>
      <c r="AJ119" s="1078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8"/>
        <v/>
      </c>
      <c r="G120" s="520" t="str">
        <f t="shared" ca="1" si="9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6"/>
        <v/>
      </c>
      <c r="P120" s="742">
        <v>102</v>
      </c>
      <c r="Q120" s="517" t="str">
        <f t="shared" ca="1" si="10"/>
        <v/>
      </c>
      <c r="R120" s="520" t="str">
        <f t="shared" ca="1" si="11"/>
        <v/>
      </c>
      <c r="S120" s="430" t="str">
        <f ca="1"/>
        <v/>
      </c>
      <c r="T120" s="430" t="str">
        <f ca="1"/>
        <v/>
      </c>
      <c r="U120" s="430" t="str">
        <f ca="1"/>
        <v/>
      </c>
      <c r="V120" s="517" t="str">
        <f ca="1"/>
        <v/>
      </c>
      <c r="W120" s="518" t="str">
        <f ca="1"/>
        <v/>
      </c>
      <c r="X120" s="430" t="str">
        <f ca="1"/>
        <v/>
      </c>
      <c r="Y120" s="864" t="str">
        <f t="shared" ca="1" si="7"/>
        <v/>
      </c>
      <c r="AA120" s="828">
        <v>102</v>
      </c>
      <c r="AB120" s="1100"/>
      <c r="AC120" s="1079"/>
      <c r="AD120" s="1067"/>
      <c r="AE120" s="1076"/>
      <c r="AF120" s="1076"/>
      <c r="AG120" s="1048"/>
      <c r="AH120" s="1077"/>
      <c r="AI120" s="1076"/>
      <c r="AJ120" s="1078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8"/>
        <v/>
      </c>
      <c r="G121" s="520" t="str">
        <f t="shared" ca="1" si="9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6"/>
        <v/>
      </c>
      <c r="P121" s="742">
        <v>103</v>
      </c>
      <c r="Q121" s="517" t="str">
        <f t="shared" ca="1" si="10"/>
        <v/>
      </c>
      <c r="R121" s="520" t="str">
        <f t="shared" ca="1" si="11"/>
        <v/>
      </c>
      <c r="S121" s="430" t="str">
        <f ca="1"/>
        <v/>
      </c>
      <c r="T121" s="430" t="str">
        <f ca="1"/>
        <v/>
      </c>
      <c r="U121" s="430" t="str">
        <f ca="1"/>
        <v/>
      </c>
      <c r="V121" s="517" t="str">
        <f ca="1"/>
        <v/>
      </c>
      <c r="W121" s="518" t="str">
        <f ca="1"/>
        <v/>
      </c>
      <c r="X121" s="430" t="str">
        <f ca="1"/>
        <v/>
      </c>
      <c r="Y121" s="864" t="str">
        <f t="shared" ca="1" si="7"/>
        <v/>
      </c>
      <c r="AA121" s="828">
        <v>103</v>
      </c>
      <c r="AB121" s="1100"/>
      <c r="AC121" s="1079"/>
      <c r="AD121" s="1067"/>
      <c r="AE121" s="1076"/>
      <c r="AF121" s="1076"/>
      <c r="AG121" s="1048"/>
      <c r="AH121" s="1077"/>
      <c r="AI121" s="1076"/>
      <c r="AJ121" s="1078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8"/>
        <v/>
      </c>
      <c r="G122" s="520" t="str">
        <f t="shared" ca="1" si="9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6"/>
        <v/>
      </c>
      <c r="P122" s="742">
        <v>104</v>
      </c>
      <c r="Q122" s="517" t="str">
        <f t="shared" ca="1" si="10"/>
        <v/>
      </c>
      <c r="R122" s="520" t="str">
        <f t="shared" ca="1" si="11"/>
        <v/>
      </c>
      <c r="S122" s="430" t="str">
        <f ca="1"/>
        <v/>
      </c>
      <c r="T122" s="430" t="str">
        <f ca="1"/>
        <v/>
      </c>
      <c r="U122" s="430" t="str">
        <f ca="1"/>
        <v/>
      </c>
      <c r="V122" s="517" t="str">
        <f ca="1"/>
        <v/>
      </c>
      <c r="W122" s="518" t="str">
        <f ca="1"/>
        <v/>
      </c>
      <c r="X122" s="430" t="str">
        <f ca="1"/>
        <v/>
      </c>
      <c r="Y122" s="864" t="str">
        <f t="shared" ca="1" si="7"/>
        <v/>
      </c>
      <c r="AA122" s="828">
        <v>104</v>
      </c>
      <c r="AB122" s="1100"/>
      <c r="AC122" s="1079"/>
      <c r="AD122" s="1067"/>
      <c r="AE122" s="1076"/>
      <c r="AF122" s="1076"/>
      <c r="AG122" s="1048"/>
      <c r="AH122" s="1077"/>
      <c r="AI122" s="1076"/>
      <c r="AJ122" s="1078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8"/>
        <v/>
      </c>
      <c r="G123" s="520" t="str">
        <f t="shared" ca="1" si="9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6"/>
        <v/>
      </c>
      <c r="P123" s="742">
        <v>105</v>
      </c>
      <c r="Q123" s="517" t="str">
        <f t="shared" ca="1" si="10"/>
        <v/>
      </c>
      <c r="R123" s="520" t="str">
        <f t="shared" ca="1" si="11"/>
        <v/>
      </c>
      <c r="S123" s="430" t="str">
        <f ca="1"/>
        <v/>
      </c>
      <c r="T123" s="430" t="str">
        <f ca="1"/>
        <v/>
      </c>
      <c r="U123" s="430" t="str">
        <f ca="1"/>
        <v/>
      </c>
      <c r="V123" s="517" t="str">
        <f ca="1"/>
        <v/>
      </c>
      <c r="W123" s="518" t="str">
        <f ca="1"/>
        <v/>
      </c>
      <c r="X123" s="430" t="str">
        <f ca="1"/>
        <v/>
      </c>
      <c r="Y123" s="864" t="str">
        <f t="shared" ca="1" si="7"/>
        <v/>
      </c>
      <c r="AA123" s="828">
        <v>105</v>
      </c>
      <c r="AB123" s="1100"/>
      <c r="AC123" s="1079"/>
      <c r="AD123" s="1067"/>
      <c r="AE123" s="1076"/>
      <c r="AF123" s="1076"/>
      <c r="AG123" s="1048"/>
      <c r="AH123" s="1077"/>
      <c r="AI123" s="1076"/>
      <c r="AJ123" s="1078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8"/>
        <v/>
      </c>
      <c r="G124" s="520" t="str">
        <f t="shared" ca="1" si="9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6"/>
        <v/>
      </c>
      <c r="P124" s="742">
        <v>106</v>
      </c>
      <c r="Q124" s="517" t="str">
        <f t="shared" ca="1" si="10"/>
        <v/>
      </c>
      <c r="R124" s="520" t="str">
        <f t="shared" ca="1" si="11"/>
        <v/>
      </c>
      <c r="S124" s="430" t="str">
        <f ca="1"/>
        <v/>
      </c>
      <c r="T124" s="430" t="str">
        <f ca="1"/>
        <v/>
      </c>
      <c r="U124" s="430" t="str">
        <f ca="1"/>
        <v/>
      </c>
      <c r="V124" s="517" t="str">
        <f ca="1"/>
        <v/>
      </c>
      <c r="W124" s="518" t="str">
        <f ca="1"/>
        <v/>
      </c>
      <c r="X124" s="430" t="str">
        <f ca="1"/>
        <v/>
      </c>
      <c r="Y124" s="864" t="str">
        <f t="shared" ca="1" si="7"/>
        <v/>
      </c>
      <c r="AA124" s="828">
        <v>106</v>
      </c>
      <c r="AB124" s="1100"/>
      <c r="AC124" s="1079"/>
      <c r="AD124" s="1067"/>
      <c r="AE124" s="1076"/>
      <c r="AF124" s="1076"/>
      <c r="AG124" s="1048"/>
      <c r="AH124" s="1077"/>
      <c r="AI124" s="1076"/>
      <c r="AJ124" s="1078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8"/>
        <v/>
      </c>
      <c r="G125" s="520" t="str">
        <f t="shared" ca="1" si="9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6"/>
        <v/>
      </c>
      <c r="P125" s="742">
        <v>107</v>
      </c>
      <c r="Q125" s="517" t="str">
        <f t="shared" ca="1" si="10"/>
        <v/>
      </c>
      <c r="R125" s="520" t="str">
        <f t="shared" ca="1" si="11"/>
        <v/>
      </c>
      <c r="S125" s="430" t="str">
        <f ca="1"/>
        <v/>
      </c>
      <c r="T125" s="430" t="str">
        <f ca="1"/>
        <v/>
      </c>
      <c r="U125" s="430" t="str">
        <f ca="1"/>
        <v/>
      </c>
      <c r="V125" s="517" t="str">
        <f ca="1"/>
        <v/>
      </c>
      <c r="W125" s="518" t="str">
        <f ca="1"/>
        <v/>
      </c>
      <c r="X125" s="430" t="str">
        <f ca="1"/>
        <v/>
      </c>
      <c r="Y125" s="864" t="str">
        <f t="shared" ca="1" si="7"/>
        <v/>
      </c>
      <c r="AA125" s="828">
        <v>107</v>
      </c>
      <c r="AB125" s="1100"/>
      <c r="AC125" s="1079"/>
      <c r="AD125" s="1067"/>
      <c r="AE125" s="1076"/>
      <c r="AF125" s="1076"/>
      <c r="AG125" s="1048"/>
      <c r="AH125" s="1077"/>
      <c r="AI125" s="1076"/>
      <c r="AJ125" s="1078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8"/>
        <v/>
      </c>
      <c r="G126" s="520" t="str">
        <f t="shared" ca="1" si="9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6"/>
        <v/>
      </c>
      <c r="P126" s="742">
        <v>108</v>
      </c>
      <c r="Q126" s="517" t="str">
        <f t="shared" ca="1" si="10"/>
        <v/>
      </c>
      <c r="R126" s="520" t="str">
        <f t="shared" ca="1" si="11"/>
        <v/>
      </c>
      <c r="S126" s="430" t="str">
        <f ca="1"/>
        <v/>
      </c>
      <c r="T126" s="430" t="str">
        <f ca="1"/>
        <v/>
      </c>
      <c r="U126" s="430" t="str">
        <f ca="1"/>
        <v/>
      </c>
      <c r="V126" s="517" t="str">
        <f ca="1"/>
        <v/>
      </c>
      <c r="W126" s="518" t="str">
        <f ca="1"/>
        <v/>
      </c>
      <c r="X126" s="430" t="str">
        <f ca="1"/>
        <v/>
      </c>
      <c r="Y126" s="864" t="str">
        <f t="shared" ca="1" si="7"/>
        <v/>
      </c>
      <c r="AA126" s="828">
        <v>108</v>
      </c>
      <c r="AB126" s="1100"/>
      <c r="AC126" s="1079"/>
      <c r="AD126" s="1067"/>
      <c r="AE126" s="1076"/>
      <c r="AF126" s="1076"/>
      <c r="AG126" s="1048"/>
      <c r="AH126" s="1077"/>
      <c r="AI126" s="1076"/>
      <c r="AJ126" s="1078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8"/>
        <v/>
      </c>
      <c r="G127" s="520" t="str">
        <f t="shared" ca="1" si="9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6"/>
        <v/>
      </c>
      <c r="P127" s="742">
        <v>109</v>
      </c>
      <c r="Q127" s="517" t="str">
        <f t="shared" ca="1" si="10"/>
        <v/>
      </c>
      <c r="R127" s="520" t="str">
        <f t="shared" ca="1" si="11"/>
        <v/>
      </c>
      <c r="S127" s="430" t="str">
        <f ca="1"/>
        <v/>
      </c>
      <c r="T127" s="430" t="str">
        <f ca="1"/>
        <v/>
      </c>
      <c r="U127" s="430" t="str">
        <f ca="1"/>
        <v/>
      </c>
      <c r="V127" s="517" t="str">
        <f ca="1"/>
        <v/>
      </c>
      <c r="W127" s="518" t="str">
        <f ca="1"/>
        <v/>
      </c>
      <c r="X127" s="430" t="str">
        <f ca="1"/>
        <v/>
      </c>
      <c r="Y127" s="864" t="str">
        <f t="shared" ca="1" si="7"/>
        <v/>
      </c>
      <c r="AA127" s="828">
        <v>109</v>
      </c>
      <c r="AB127" s="1100"/>
      <c r="AC127" s="1079"/>
      <c r="AD127" s="1067"/>
      <c r="AE127" s="1076"/>
      <c r="AF127" s="1076"/>
      <c r="AG127" s="1048"/>
      <c r="AH127" s="1077"/>
      <c r="AI127" s="1076"/>
      <c r="AJ127" s="1078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8"/>
        <v/>
      </c>
      <c r="G128" s="520" t="str">
        <f t="shared" ca="1" si="9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6"/>
        <v/>
      </c>
      <c r="P128" s="742">
        <v>110</v>
      </c>
      <c r="Q128" s="517" t="str">
        <f t="shared" ca="1" si="10"/>
        <v/>
      </c>
      <c r="R128" s="520" t="str">
        <f t="shared" ca="1" si="11"/>
        <v/>
      </c>
      <c r="S128" s="430" t="str">
        <f ca="1"/>
        <v/>
      </c>
      <c r="T128" s="430" t="str">
        <f ca="1"/>
        <v/>
      </c>
      <c r="U128" s="430" t="str">
        <f ca="1"/>
        <v/>
      </c>
      <c r="V128" s="517" t="str">
        <f ca="1"/>
        <v/>
      </c>
      <c r="W128" s="518" t="str">
        <f ca="1"/>
        <v/>
      </c>
      <c r="X128" s="430" t="str">
        <f ca="1"/>
        <v/>
      </c>
      <c r="Y128" s="864" t="str">
        <f t="shared" ca="1" si="7"/>
        <v/>
      </c>
      <c r="AA128" s="828">
        <v>110</v>
      </c>
      <c r="AB128" s="1100"/>
      <c r="AC128" s="1079"/>
      <c r="AD128" s="1067"/>
      <c r="AE128" s="1076"/>
      <c r="AF128" s="1076"/>
      <c r="AG128" s="1048"/>
      <c r="AH128" s="1077"/>
      <c r="AI128" s="1076"/>
      <c r="AJ128" s="1078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8"/>
        <v/>
      </c>
      <c r="G129" s="520" t="str">
        <f t="shared" ca="1" si="9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6"/>
        <v/>
      </c>
      <c r="P129" s="742">
        <v>111</v>
      </c>
      <c r="Q129" s="517" t="str">
        <f t="shared" ca="1" si="10"/>
        <v/>
      </c>
      <c r="R129" s="520" t="str">
        <f t="shared" ca="1" si="11"/>
        <v/>
      </c>
      <c r="S129" s="430" t="str">
        <f ca="1"/>
        <v/>
      </c>
      <c r="T129" s="430" t="str">
        <f ca="1"/>
        <v/>
      </c>
      <c r="U129" s="430" t="str">
        <f ca="1"/>
        <v/>
      </c>
      <c r="V129" s="517" t="str">
        <f ca="1"/>
        <v/>
      </c>
      <c r="W129" s="518" t="str">
        <f ca="1"/>
        <v/>
      </c>
      <c r="X129" s="430" t="str">
        <f ca="1"/>
        <v/>
      </c>
      <c r="Y129" s="864" t="str">
        <f t="shared" ca="1" si="7"/>
        <v/>
      </c>
      <c r="AA129" s="828">
        <v>111</v>
      </c>
      <c r="AB129" s="1100"/>
      <c r="AC129" s="1079"/>
      <c r="AD129" s="1067"/>
      <c r="AE129" s="1076"/>
      <c r="AF129" s="1076"/>
      <c r="AG129" s="1048"/>
      <c r="AH129" s="1077"/>
      <c r="AI129" s="1076"/>
      <c r="AJ129" s="1078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8"/>
        <v/>
      </c>
      <c r="G130" s="520" t="str">
        <f t="shared" ca="1" si="9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6"/>
        <v/>
      </c>
      <c r="P130" s="742">
        <v>112</v>
      </c>
      <c r="Q130" s="517" t="str">
        <f t="shared" ca="1" si="10"/>
        <v/>
      </c>
      <c r="R130" s="520" t="str">
        <f t="shared" ca="1" si="11"/>
        <v/>
      </c>
      <c r="S130" s="430" t="str">
        <f ca="1"/>
        <v/>
      </c>
      <c r="T130" s="430" t="str">
        <f ca="1"/>
        <v/>
      </c>
      <c r="U130" s="430" t="str">
        <f ca="1"/>
        <v/>
      </c>
      <c r="V130" s="517" t="str">
        <f ca="1"/>
        <v/>
      </c>
      <c r="W130" s="518" t="str">
        <f ca="1"/>
        <v/>
      </c>
      <c r="X130" s="430" t="str">
        <f ca="1"/>
        <v/>
      </c>
      <c r="Y130" s="864" t="str">
        <f t="shared" ca="1" si="7"/>
        <v/>
      </c>
      <c r="AA130" s="828">
        <v>112</v>
      </c>
      <c r="AB130" s="1100"/>
      <c r="AC130" s="1079"/>
      <c r="AD130" s="1067"/>
      <c r="AE130" s="1076"/>
      <c r="AF130" s="1076"/>
      <c r="AG130" s="1048"/>
      <c r="AH130" s="1077"/>
      <c r="AI130" s="1076"/>
      <c r="AJ130" s="1078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8"/>
        <v/>
      </c>
      <c r="G131" s="520" t="str">
        <f t="shared" ca="1" si="9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6"/>
        <v/>
      </c>
      <c r="P131" s="742">
        <v>113</v>
      </c>
      <c r="Q131" s="517" t="str">
        <f t="shared" ca="1" si="10"/>
        <v/>
      </c>
      <c r="R131" s="520" t="str">
        <f t="shared" ca="1" si="11"/>
        <v/>
      </c>
      <c r="S131" s="430" t="str">
        <f ca="1"/>
        <v/>
      </c>
      <c r="T131" s="430" t="str">
        <f ca="1"/>
        <v/>
      </c>
      <c r="U131" s="430" t="str">
        <f ca="1"/>
        <v/>
      </c>
      <c r="V131" s="517" t="str">
        <f ca="1"/>
        <v/>
      </c>
      <c r="W131" s="518" t="str">
        <f ca="1"/>
        <v/>
      </c>
      <c r="X131" s="430" t="str">
        <f ca="1"/>
        <v/>
      </c>
      <c r="Y131" s="864" t="str">
        <f t="shared" ca="1" si="7"/>
        <v/>
      </c>
      <c r="AA131" s="828">
        <v>113</v>
      </c>
      <c r="AB131" s="1100"/>
      <c r="AC131" s="1079"/>
      <c r="AD131" s="1067"/>
      <c r="AE131" s="1076"/>
      <c r="AF131" s="1076"/>
      <c r="AG131" s="1048"/>
      <c r="AH131" s="1077"/>
      <c r="AI131" s="1076"/>
      <c r="AJ131" s="1078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8"/>
        <v/>
      </c>
      <c r="G132" s="520" t="str">
        <f t="shared" ca="1" si="9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6"/>
        <v/>
      </c>
      <c r="P132" s="742">
        <v>114</v>
      </c>
      <c r="Q132" s="517" t="str">
        <f t="shared" ca="1" si="10"/>
        <v/>
      </c>
      <c r="R132" s="520" t="str">
        <f t="shared" ca="1" si="11"/>
        <v/>
      </c>
      <c r="S132" s="430" t="str">
        <f ca="1"/>
        <v/>
      </c>
      <c r="T132" s="430" t="str">
        <f ca="1"/>
        <v/>
      </c>
      <c r="U132" s="430" t="str">
        <f ca="1"/>
        <v/>
      </c>
      <c r="V132" s="517" t="str">
        <f ca="1"/>
        <v/>
      </c>
      <c r="W132" s="518" t="str">
        <f ca="1"/>
        <v/>
      </c>
      <c r="X132" s="430" t="str">
        <f ca="1"/>
        <v/>
      </c>
      <c r="Y132" s="864" t="str">
        <f t="shared" ca="1" si="7"/>
        <v/>
      </c>
      <c r="AA132" s="828">
        <v>114</v>
      </c>
      <c r="AB132" s="1100"/>
      <c r="AC132" s="1079"/>
      <c r="AD132" s="1067"/>
      <c r="AE132" s="1076"/>
      <c r="AF132" s="1076"/>
      <c r="AG132" s="1048"/>
      <c r="AH132" s="1077"/>
      <c r="AI132" s="1076"/>
      <c r="AJ132" s="1078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8"/>
        <v/>
      </c>
      <c r="G133" s="520" t="str">
        <f t="shared" ca="1" si="9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6"/>
        <v/>
      </c>
      <c r="P133" s="742">
        <v>115</v>
      </c>
      <c r="Q133" s="517" t="str">
        <f t="shared" ca="1" si="10"/>
        <v/>
      </c>
      <c r="R133" s="520" t="str">
        <f t="shared" ca="1" si="11"/>
        <v/>
      </c>
      <c r="S133" s="430" t="str">
        <f ca="1"/>
        <v/>
      </c>
      <c r="T133" s="430" t="str">
        <f ca="1"/>
        <v/>
      </c>
      <c r="U133" s="430" t="str">
        <f ca="1"/>
        <v/>
      </c>
      <c r="V133" s="517" t="str">
        <f ca="1"/>
        <v/>
      </c>
      <c r="W133" s="518" t="str">
        <f ca="1"/>
        <v/>
      </c>
      <c r="X133" s="430" t="str">
        <f ca="1"/>
        <v/>
      </c>
      <c r="Y133" s="864" t="str">
        <f t="shared" ca="1" si="7"/>
        <v/>
      </c>
      <c r="AA133" s="828">
        <v>115</v>
      </c>
      <c r="AB133" s="1100"/>
      <c r="AC133" s="1079"/>
      <c r="AD133" s="1067"/>
      <c r="AE133" s="1076"/>
      <c r="AF133" s="1076"/>
      <c r="AG133" s="1048"/>
      <c r="AH133" s="1077"/>
      <c r="AI133" s="1076"/>
      <c r="AJ133" s="1078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8"/>
        <v/>
      </c>
      <c r="G134" s="520" t="str">
        <f t="shared" ca="1" si="9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6"/>
        <v/>
      </c>
      <c r="P134" s="742">
        <v>116</v>
      </c>
      <c r="Q134" s="517" t="str">
        <f t="shared" ca="1" si="10"/>
        <v/>
      </c>
      <c r="R134" s="520" t="str">
        <f t="shared" ca="1" si="11"/>
        <v/>
      </c>
      <c r="S134" s="430" t="str">
        <f ca="1"/>
        <v/>
      </c>
      <c r="T134" s="430" t="str">
        <f ca="1"/>
        <v/>
      </c>
      <c r="U134" s="430" t="str">
        <f ca="1"/>
        <v/>
      </c>
      <c r="V134" s="517" t="str">
        <f ca="1"/>
        <v/>
      </c>
      <c r="W134" s="518" t="str">
        <f ca="1"/>
        <v/>
      </c>
      <c r="X134" s="430" t="str">
        <f ca="1"/>
        <v/>
      </c>
      <c r="Y134" s="864" t="str">
        <f t="shared" ca="1" si="7"/>
        <v/>
      </c>
      <c r="AA134" s="828">
        <v>116</v>
      </c>
      <c r="AB134" s="1100"/>
      <c r="AC134" s="1079"/>
      <c r="AD134" s="1067"/>
      <c r="AE134" s="1076"/>
      <c r="AF134" s="1076"/>
      <c r="AG134" s="1048"/>
      <c r="AH134" s="1077"/>
      <c r="AI134" s="1076"/>
      <c r="AJ134" s="1078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8"/>
        <v/>
      </c>
      <c r="G135" s="520" t="str">
        <f t="shared" ca="1" si="9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6"/>
        <v/>
      </c>
      <c r="P135" s="742">
        <v>117</v>
      </c>
      <c r="Q135" s="517" t="str">
        <f t="shared" ca="1" si="10"/>
        <v/>
      </c>
      <c r="R135" s="520" t="str">
        <f t="shared" ca="1" si="11"/>
        <v/>
      </c>
      <c r="S135" s="430" t="str">
        <f ca="1"/>
        <v/>
      </c>
      <c r="T135" s="430" t="str">
        <f ca="1"/>
        <v/>
      </c>
      <c r="U135" s="430" t="str">
        <f ca="1"/>
        <v/>
      </c>
      <c r="V135" s="517" t="str">
        <f ca="1"/>
        <v/>
      </c>
      <c r="W135" s="518" t="str">
        <f ca="1"/>
        <v/>
      </c>
      <c r="X135" s="430" t="str">
        <f ca="1"/>
        <v/>
      </c>
      <c r="Y135" s="864" t="str">
        <f t="shared" ca="1" si="7"/>
        <v/>
      </c>
      <c r="AA135" s="828">
        <v>117</v>
      </c>
      <c r="AB135" s="1100"/>
      <c r="AC135" s="1079"/>
      <c r="AD135" s="1067"/>
      <c r="AE135" s="1076"/>
      <c r="AF135" s="1076"/>
      <c r="AG135" s="1048"/>
      <c r="AH135" s="1077"/>
      <c r="AI135" s="1076"/>
      <c r="AJ135" s="1078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8"/>
        <v/>
      </c>
      <c r="G136" s="520" t="str">
        <f t="shared" ca="1" si="9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6"/>
        <v/>
      </c>
      <c r="P136" s="742">
        <v>118</v>
      </c>
      <c r="Q136" s="517" t="str">
        <f t="shared" ca="1" si="10"/>
        <v/>
      </c>
      <c r="R136" s="520" t="str">
        <f t="shared" ca="1" si="11"/>
        <v/>
      </c>
      <c r="S136" s="430" t="str">
        <f ca="1"/>
        <v/>
      </c>
      <c r="T136" s="430" t="str">
        <f ca="1"/>
        <v/>
      </c>
      <c r="U136" s="430" t="str">
        <f ca="1"/>
        <v/>
      </c>
      <c r="V136" s="517" t="str">
        <f ca="1"/>
        <v/>
      </c>
      <c r="W136" s="518" t="str">
        <f ca="1"/>
        <v/>
      </c>
      <c r="X136" s="430" t="str">
        <f ca="1"/>
        <v/>
      </c>
      <c r="Y136" s="864" t="str">
        <f t="shared" ca="1" si="7"/>
        <v/>
      </c>
      <c r="AA136" s="828">
        <v>118</v>
      </c>
      <c r="AB136" s="1100"/>
      <c r="AC136" s="1079"/>
      <c r="AD136" s="1067"/>
      <c r="AE136" s="1076"/>
      <c r="AF136" s="1076"/>
      <c r="AG136" s="1048"/>
      <c r="AH136" s="1077"/>
      <c r="AI136" s="1076"/>
      <c r="AJ136" s="1078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8"/>
        <v/>
      </c>
      <c r="G137" s="520" t="str">
        <f t="shared" ca="1" si="9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6"/>
        <v/>
      </c>
      <c r="P137" s="742">
        <v>119</v>
      </c>
      <c r="Q137" s="517" t="str">
        <f t="shared" ca="1" si="10"/>
        <v/>
      </c>
      <c r="R137" s="520" t="str">
        <f t="shared" ca="1" si="11"/>
        <v/>
      </c>
      <c r="S137" s="430" t="str">
        <f ca="1"/>
        <v/>
      </c>
      <c r="T137" s="430" t="str">
        <f ca="1"/>
        <v/>
      </c>
      <c r="U137" s="430" t="str">
        <f ca="1"/>
        <v/>
      </c>
      <c r="V137" s="517" t="str">
        <f ca="1"/>
        <v/>
      </c>
      <c r="W137" s="518" t="str">
        <f ca="1"/>
        <v/>
      </c>
      <c r="X137" s="430" t="str">
        <f ca="1"/>
        <v/>
      </c>
      <c r="Y137" s="864" t="str">
        <f t="shared" ca="1" si="7"/>
        <v/>
      </c>
      <c r="AA137" s="828">
        <v>119</v>
      </c>
      <c r="AB137" s="1100"/>
      <c r="AC137" s="1079"/>
      <c r="AD137" s="1067"/>
      <c r="AE137" s="1076"/>
      <c r="AF137" s="1076"/>
      <c r="AG137" s="1048"/>
      <c r="AH137" s="1077"/>
      <c r="AI137" s="1076"/>
      <c r="AJ137" s="1078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8"/>
        <v/>
      </c>
      <c r="G138" s="520" t="str">
        <f t="shared" ca="1" si="9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6"/>
        <v/>
      </c>
      <c r="P138" s="742">
        <v>120</v>
      </c>
      <c r="Q138" s="517" t="str">
        <f t="shared" ca="1" si="10"/>
        <v/>
      </c>
      <c r="R138" s="520" t="str">
        <f t="shared" ca="1" si="11"/>
        <v/>
      </c>
      <c r="S138" s="430" t="str">
        <f ca="1"/>
        <v/>
      </c>
      <c r="T138" s="430" t="str">
        <f ca="1"/>
        <v/>
      </c>
      <c r="U138" s="430" t="str">
        <f ca="1"/>
        <v/>
      </c>
      <c r="V138" s="517" t="str">
        <f ca="1"/>
        <v/>
      </c>
      <c r="W138" s="518" t="str">
        <f ca="1"/>
        <v/>
      </c>
      <c r="X138" s="430" t="str">
        <f ca="1"/>
        <v/>
      </c>
      <c r="Y138" s="864" t="str">
        <f t="shared" ca="1" si="7"/>
        <v/>
      </c>
      <c r="AA138" s="828">
        <v>120</v>
      </c>
      <c r="AB138" s="1100"/>
      <c r="AC138" s="1079"/>
      <c r="AD138" s="1067"/>
      <c r="AE138" s="1076"/>
      <c r="AF138" s="1076"/>
      <c r="AG138" s="1048"/>
      <c r="AH138" s="1077"/>
      <c r="AI138" s="1076"/>
      <c r="AJ138" s="1078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8"/>
        <v/>
      </c>
      <c r="G139" s="520" t="str">
        <f t="shared" ca="1" si="9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6"/>
        <v/>
      </c>
      <c r="P139" s="742">
        <v>121</v>
      </c>
      <c r="Q139" s="517" t="str">
        <f t="shared" ca="1" si="10"/>
        <v/>
      </c>
      <c r="R139" s="520" t="str">
        <f t="shared" ca="1" si="11"/>
        <v/>
      </c>
      <c r="S139" s="430" t="str">
        <f ca="1"/>
        <v/>
      </c>
      <c r="T139" s="430" t="str">
        <f ca="1"/>
        <v/>
      </c>
      <c r="U139" s="430" t="str">
        <f ca="1"/>
        <v/>
      </c>
      <c r="V139" s="517" t="str">
        <f ca="1"/>
        <v/>
      </c>
      <c r="W139" s="518" t="str">
        <f ca="1"/>
        <v/>
      </c>
      <c r="X139" s="430" t="str">
        <f ca="1"/>
        <v/>
      </c>
      <c r="Y139" s="864" t="str">
        <f t="shared" ca="1" si="7"/>
        <v/>
      </c>
      <c r="AA139" s="828">
        <v>121</v>
      </c>
      <c r="AB139" s="1100"/>
      <c r="AC139" s="1079"/>
      <c r="AD139" s="1067"/>
      <c r="AE139" s="1076"/>
      <c r="AF139" s="1076"/>
      <c r="AG139" s="1048"/>
      <c r="AH139" s="1077"/>
      <c r="AI139" s="1076"/>
      <c r="AJ139" s="1078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8"/>
        <v/>
      </c>
      <c r="G140" s="520" t="str">
        <f t="shared" ca="1" si="9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6"/>
        <v/>
      </c>
      <c r="P140" s="742">
        <v>122</v>
      </c>
      <c r="Q140" s="517" t="str">
        <f t="shared" ca="1" si="10"/>
        <v/>
      </c>
      <c r="R140" s="520" t="str">
        <f t="shared" ca="1" si="11"/>
        <v/>
      </c>
      <c r="S140" s="430" t="str">
        <f ca="1"/>
        <v/>
      </c>
      <c r="T140" s="430" t="str">
        <f ca="1"/>
        <v/>
      </c>
      <c r="U140" s="430" t="str">
        <f ca="1"/>
        <v/>
      </c>
      <c r="V140" s="517" t="str">
        <f ca="1"/>
        <v/>
      </c>
      <c r="W140" s="518" t="str">
        <f ca="1"/>
        <v/>
      </c>
      <c r="X140" s="430" t="str">
        <f ca="1"/>
        <v/>
      </c>
      <c r="Y140" s="864" t="str">
        <f t="shared" ca="1" si="7"/>
        <v/>
      </c>
      <c r="AA140" s="828">
        <v>122</v>
      </c>
      <c r="AB140" s="1100"/>
      <c r="AC140" s="1079"/>
      <c r="AD140" s="1067"/>
      <c r="AE140" s="1076"/>
      <c r="AF140" s="1076"/>
      <c r="AG140" s="1048"/>
      <c r="AH140" s="1077"/>
      <c r="AI140" s="1076"/>
      <c r="AJ140" s="1078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8"/>
        <v/>
      </c>
      <c r="G141" s="520" t="str">
        <f t="shared" ca="1" si="9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6"/>
        <v/>
      </c>
      <c r="P141" s="742">
        <v>123</v>
      </c>
      <c r="Q141" s="517" t="str">
        <f t="shared" ca="1" si="10"/>
        <v/>
      </c>
      <c r="R141" s="520" t="str">
        <f t="shared" ca="1" si="11"/>
        <v/>
      </c>
      <c r="S141" s="430" t="str">
        <f ca="1"/>
        <v/>
      </c>
      <c r="T141" s="430" t="str">
        <f ca="1"/>
        <v/>
      </c>
      <c r="U141" s="430" t="str">
        <f ca="1"/>
        <v/>
      </c>
      <c r="V141" s="517" t="str">
        <f ca="1"/>
        <v/>
      </c>
      <c r="W141" s="518" t="str">
        <f ca="1"/>
        <v/>
      </c>
      <c r="X141" s="430" t="str">
        <f ca="1"/>
        <v/>
      </c>
      <c r="Y141" s="864" t="str">
        <f t="shared" ca="1" si="7"/>
        <v/>
      </c>
      <c r="AA141" s="828">
        <v>123</v>
      </c>
      <c r="AB141" s="1100"/>
      <c r="AC141" s="1079"/>
      <c r="AD141" s="1067"/>
      <c r="AE141" s="1076"/>
      <c r="AF141" s="1076"/>
      <c r="AG141" s="1048"/>
      <c r="AH141" s="1077"/>
      <c r="AI141" s="1076"/>
      <c r="AJ141" s="1078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8"/>
        <v/>
      </c>
      <c r="G142" s="520" t="str">
        <f t="shared" ca="1" si="9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6"/>
        <v/>
      </c>
      <c r="P142" s="742">
        <v>124</v>
      </c>
      <c r="Q142" s="517" t="str">
        <f t="shared" ca="1" si="10"/>
        <v/>
      </c>
      <c r="R142" s="520" t="str">
        <f t="shared" ca="1" si="11"/>
        <v/>
      </c>
      <c r="S142" s="430" t="str">
        <f ca="1"/>
        <v/>
      </c>
      <c r="T142" s="430" t="str">
        <f ca="1"/>
        <v/>
      </c>
      <c r="U142" s="430" t="str">
        <f ca="1"/>
        <v/>
      </c>
      <c r="V142" s="517" t="str">
        <f ca="1"/>
        <v/>
      </c>
      <c r="W142" s="518" t="str">
        <f ca="1"/>
        <v/>
      </c>
      <c r="X142" s="430" t="str">
        <f ca="1"/>
        <v/>
      </c>
      <c r="Y142" s="864" t="str">
        <f t="shared" ca="1" si="7"/>
        <v/>
      </c>
      <c r="AA142" s="828">
        <v>124</v>
      </c>
      <c r="AB142" s="1100"/>
      <c r="AC142" s="1079"/>
      <c r="AD142" s="1067"/>
      <c r="AE142" s="1076"/>
      <c r="AF142" s="1076"/>
      <c r="AG142" s="1048"/>
      <c r="AH142" s="1077"/>
      <c r="AI142" s="1076"/>
      <c r="AJ142" s="1078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8"/>
        <v/>
      </c>
      <c r="G143" s="520" t="str">
        <f t="shared" ca="1" si="9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6"/>
        <v/>
      </c>
      <c r="P143" s="742">
        <v>125</v>
      </c>
      <c r="Q143" s="517" t="str">
        <f t="shared" ca="1" si="10"/>
        <v/>
      </c>
      <c r="R143" s="520" t="str">
        <f t="shared" ca="1" si="11"/>
        <v/>
      </c>
      <c r="S143" s="430" t="str">
        <f ca="1"/>
        <v/>
      </c>
      <c r="T143" s="430" t="str">
        <f ca="1"/>
        <v/>
      </c>
      <c r="U143" s="430" t="str">
        <f ca="1"/>
        <v/>
      </c>
      <c r="V143" s="517" t="str">
        <f ca="1"/>
        <v/>
      </c>
      <c r="W143" s="518" t="str">
        <f ca="1"/>
        <v/>
      </c>
      <c r="X143" s="430" t="str">
        <f ca="1"/>
        <v/>
      </c>
      <c r="Y143" s="864" t="str">
        <f t="shared" ca="1" si="7"/>
        <v/>
      </c>
      <c r="AA143" s="828">
        <v>125</v>
      </c>
      <c r="AB143" s="1100"/>
      <c r="AC143" s="1079"/>
      <c r="AD143" s="1067"/>
      <c r="AE143" s="1076"/>
      <c r="AF143" s="1076"/>
      <c r="AG143" s="1048"/>
      <c r="AH143" s="1077"/>
      <c r="AI143" s="1076"/>
      <c r="AJ143" s="1078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8"/>
        <v/>
      </c>
      <c r="G144" s="520" t="str">
        <f t="shared" ca="1" si="9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6"/>
        <v/>
      </c>
      <c r="P144" s="742">
        <v>126</v>
      </c>
      <c r="Q144" s="517" t="str">
        <f t="shared" ca="1" si="10"/>
        <v/>
      </c>
      <c r="R144" s="520" t="str">
        <f t="shared" ca="1" si="11"/>
        <v/>
      </c>
      <c r="S144" s="430" t="str">
        <f ca="1"/>
        <v/>
      </c>
      <c r="T144" s="430" t="str">
        <f ca="1"/>
        <v/>
      </c>
      <c r="U144" s="430" t="str">
        <f ca="1"/>
        <v/>
      </c>
      <c r="V144" s="517" t="str">
        <f ca="1"/>
        <v/>
      </c>
      <c r="W144" s="518" t="str">
        <f ca="1"/>
        <v/>
      </c>
      <c r="X144" s="430" t="str">
        <f ca="1"/>
        <v/>
      </c>
      <c r="Y144" s="864" t="str">
        <f t="shared" ca="1" si="7"/>
        <v/>
      </c>
      <c r="AA144" s="828">
        <v>126</v>
      </c>
      <c r="AB144" s="1100"/>
      <c r="AC144" s="1079"/>
      <c r="AD144" s="1067"/>
      <c r="AE144" s="1076"/>
      <c r="AF144" s="1076"/>
      <c r="AG144" s="1048"/>
      <c r="AH144" s="1077"/>
      <c r="AI144" s="1076"/>
      <c r="AJ144" s="1078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8"/>
        <v/>
      </c>
      <c r="G145" s="520" t="str">
        <f t="shared" ca="1" si="9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6"/>
        <v/>
      </c>
      <c r="P145" s="742">
        <v>127</v>
      </c>
      <c r="Q145" s="517" t="str">
        <f t="shared" ca="1" si="10"/>
        <v/>
      </c>
      <c r="R145" s="520" t="str">
        <f t="shared" ca="1" si="11"/>
        <v/>
      </c>
      <c r="S145" s="430" t="str">
        <f ca="1"/>
        <v/>
      </c>
      <c r="T145" s="430" t="str">
        <f ca="1"/>
        <v/>
      </c>
      <c r="U145" s="430" t="str">
        <f ca="1"/>
        <v/>
      </c>
      <c r="V145" s="517" t="str">
        <f ca="1"/>
        <v/>
      </c>
      <c r="W145" s="518" t="str">
        <f ca="1"/>
        <v/>
      </c>
      <c r="X145" s="430" t="str">
        <f ca="1"/>
        <v/>
      </c>
      <c r="Y145" s="864" t="str">
        <f t="shared" ca="1" si="7"/>
        <v/>
      </c>
      <c r="AA145" s="828">
        <v>127</v>
      </c>
      <c r="AB145" s="1100"/>
      <c r="AC145" s="1079"/>
      <c r="AD145" s="1067"/>
      <c r="AE145" s="1076"/>
      <c r="AF145" s="1076"/>
      <c r="AG145" s="1048"/>
      <c r="AH145" s="1077"/>
      <c r="AI145" s="1076"/>
      <c r="AJ145" s="1078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8"/>
        <v/>
      </c>
      <c r="G146" s="520" t="str">
        <f t="shared" ca="1" si="9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6"/>
        <v/>
      </c>
      <c r="P146" s="742">
        <v>128</v>
      </c>
      <c r="Q146" s="517" t="str">
        <f t="shared" ca="1" si="10"/>
        <v/>
      </c>
      <c r="R146" s="520" t="str">
        <f t="shared" ca="1" si="11"/>
        <v/>
      </c>
      <c r="S146" s="430" t="str">
        <f ca="1"/>
        <v/>
      </c>
      <c r="T146" s="430" t="str">
        <f ca="1"/>
        <v/>
      </c>
      <c r="U146" s="430" t="str">
        <f ca="1"/>
        <v/>
      </c>
      <c r="V146" s="517" t="str">
        <f ca="1"/>
        <v/>
      </c>
      <c r="W146" s="518" t="str">
        <f ca="1"/>
        <v/>
      </c>
      <c r="X146" s="430" t="str">
        <f ca="1"/>
        <v/>
      </c>
      <c r="Y146" s="864" t="str">
        <f t="shared" ca="1" si="7"/>
        <v/>
      </c>
      <c r="AA146" s="828">
        <v>128</v>
      </c>
      <c r="AB146" s="1100"/>
      <c r="AC146" s="1079"/>
      <c r="AD146" s="1067"/>
      <c r="AE146" s="1076"/>
      <c r="AF146" s="1076"/>
      <c r="AG146" s="1048"/>
      <c r="AH146" s="1077"/>
      <c r="AI146" s="1076"/>
      <c r="AJ146" s="1078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8"/>
        <v/>
      </c>
      <c r="G147" s="520" t="str">
        <f t="shared" ca="1" si="9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2">IF($I147="","",VNS.FixedRate)</f>
        <v/>
      </c>
      <c r="P147" s="742">
        <v>129</v>
      </c>
      <c r="Q147" s="517" t="str">
        <f t="shared" ca="1" si="10"/>
        <v/>
      </c>
      <c r="R147" s="520" t="str">
        <f t="shared" ca="1" si="11"/>
        <v/>
      </c>
      <c r="S147" s="430" t="str">
        <f ca="1"/>
        <v/>
      </c>
      <c r="T147" s="430" t="str">
        <f ca="1"/>
        <v/>
      </c>
      <c r="U147" s="430" t="str">
        <f ca="1"/>
        <v/>
      </c>
      <c r="V147" s="517" t="str">
        <f ca="1"/>
        <v/>
      </c>
      <c r="W147" s="518" t="str">
        <f ca="1"/>
        <v/>
      </c>
      <c r="X147" s="430" t="str">
        <f ca="1"/>
        <v/>
      </c>
      <c r="Y147" s="864" t="str">
        <f t="shared" ref="Y147:Y210" ca="1" si="13">IF($T147="","",VNS.FloatSpread)</f>
        <v/>
      </c>
      <c r="AA147" s="828">
        <v>129</v>
      </c>
      <c r="AB147" s="1100"/>
      <c r="AC147" s="1079"/>
      <c r="AD147" s="1067"/>
      <c r="AE147" s="1076"/>
      <c r="AF147" s="1076"/>
      <c r="AG147" s="1048"/>
      <c r="AH147" s="1077"/>
      <c r="AI147" s="1076"/>
      <c r="AJ147" s="1078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4">IF($I148="","",IF(OR(VNS.FixedAmortization=0,VNS.FixedAmortization.Frequency=0),F147,IF(MOD(E148-1,VNS.FixedAmortization.Frequency)=0,F147-VNS.FixedAmortization,F147)))</f>
        <v/>
      </c>
      <c r="G148" s="520" t="str">
        <f t="shared" ref="G148:G211" ca="1" si="15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2"/>
        <v/>
      </c>
      <c r="P148" s="742">
        <v>130</v>
      </c>
      <c r="Q148" s="517" t="str">
        <f t="shared" ref="Q148:Q211" ca="1" si="16">IF($T148="","",IF(OR(VNS.FloatAmortization=0,VNS.FloatAmortization.Frequency=0),Q147,IF(MOD(P148-1,VNS.FloatAmortization.Frequency)=0,Q147-VNS.FloatAmortization,Q147)))</f>
        <v/>
      </c>
      <c r="R148" s="520" t="str">
        <f t="shared" ref="R148:R211" ca="1" si="17">IF(T148="","",1)</f>
        <v/>
      </c>
      <c r="S148" s="430" t="str">
        <f ca="1"/>
        <v/>
      </c>
      <c r="T148" s="430" t="str">
        <f ca="1"/>
        <v/>
      </c>
      <c r="U148" s="430" t="str">
        <f ca="1"/>
        <v/>
      </c>
      <c r="V148" s="517" t="str">
        <f ca="1"/>
        <v/>
      </c>
      <c r="W148" s="518" t="str">
        <f ca="1"/>
        <v/>
      </c>
      <c r="X148" s="430" t="str">
        <f ca="1"/>
        <v/>
      </c>
      <c r="Y148" s="864" t="str">
        <f t="shared" ca="1" si="13"/>
        <v/>
      </c>
      <c r="AA148" s="828">
        <v>130</v>
      </c>
      <c r="AB148" s="1100"/>
      <c r="AC148" s="1079"/>
      <c r="AD148" s="1067"/>
      <c r="AE148" s="1076"/>
      <c r="AF148" s="1076"/>
      <c r="AG148" s="1048"/>
      <c r="AH148" s="1077"/>
      <c r="AI148" s="1076"/>
      <c r="AJ148" s="1078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4"/>
        <v/>
      </c>
      <c r="G149" s="520" t="str">
        <f t="shared" ca="1" si="15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2"/>
        <v/>
      </c>
      <c r="P149" s="742">
        <v>131</v>
      </c>
      <c r="Q149" s="517" t="str">
        <f t="shared" ca="1" si="16"/>
        <v/>
      </c>
      <c r="R149" s="520" t="str">
        <f t="shared" ca="1" si="17"/>
        <v/>
      </c>
      <c r="S149" s="430" t="str">
        <f ca="1"/>
        <v/>
      </c>
      <c r="T149" s="430" t="str">
        <f ca="1"/>
        <v/>
      </c>
      <c r="U149" s="430" t="str">
        <f ca="1"/>
        <v/>
      </c>
      <c r="V149" s="517" t="str">
        <f ca="1"/>
        <v/>
      </c>
      <c r="W149" s="518" t="str">
        <f ca="1"/>
        <v/>
      </c>
      <c r="X149" s="430" t="str">
        <f ca="1"/>
        <v/>
      </c>
      <c r="Y149" s="864" t="str">
        <f t="shared" ca="1" si="13"/>
        <v/>
      </c>
      <c r="AA149" s="828">
        <v>131</v>
      </c>
      <c r="AB149" s="1100"/>
      <c r="AC149" s="1079"/>
      <c r="AD149" s="1067"/>
      <c r="AE149" s="1076"/>
      <c r="AF149" s="1076"/>
      <c r="AG149" s="1048"/>
      <c r="AH149" s="1077"/>
      <c r="AI149" s="1076"/>
      <c r="AJ149" s="1078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4"/>
        <v/>
      </c>
      <c r="G150" s="520" t="str">
        <f t="shared" ca="1" si="15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2"/>
        <v/>
      </c>
      <c r="P150" s="742">
        <v>132</v>
      </c>
      <c r="Q150" s="517" t="str">
        <f t="shared" ca="1" si="16"/>
        <v/>
      </c>
      <c r="R150" s="520" t="str">
        <f t="shared" ca="1" si="17"/>
        <v/>
      </c>
      <c r="S150" s="430" t="str">
        <f ca="1"/>
        <v/>
      </c>
      <c r="T150" s="430" t="str">
        <f ca="1"/>
        <v/>
      </c>
      <c r="U150" s="430" t="str">
        <f ca="1"/>
        <v/>
      </c>
      <c r="V150" s="517" t="str">
        <f ca="1"/>
        <v/>
      </c>
      <c r="W150" s="518" t="str">
        <f ca="1"/>
        <v/>
      </c>
      <c r="X150" s="430" t="str">
        <f ca="1"/>
        <v/>
      </c>
      <c r="Y150" s="864" t="str">
        <f t="shared" ca="1" si="13"/>
        <v/>
      </c>
      <c r="AA150" s="828">
        <v>132</v>
      </c>
      <c r="AB150" s="1100"/>
      <c r="AC150" s="1079"/>
      <c r="AD150" s="1067"/>
      <c r="AE150" s="1076"/>
      <c r="AF150" s="1076"/>
      <c r="AG150" s="1048"/>
      <c r="AH150" s="1077"/>
      <c r="AI150" s="1076"/>
      <c r="AJ150" s="1078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4"/>
        <v/>
      </c>
      <c r="G151" s="520" t="str">
        <f t="shared" ca="1" si="15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2"/>
        <v/>
      </c>
      <c r="P151" s="742">
        <v>133</v>
      </c>
      <c r="Q151" s="517" t="str">
        <f t="shared" ca="1" si="16"/>
        <v/>
      </c>
      <c r="R151" s="520" t="str">
        <f t="shared" ca="1" si="17"/>
        <v/>
      </c>
      <c r="S151" s="430" t="str">
        <f ca="1"/>
        <v/>
      </c>
      <c r="T151" s="430" t="str">
        <f ca="1"/>
        <v/>
      </c>
      <c r="U151" s="430" t="str">
        <f ca="1"/>
        <v/>
      </c>
      <c r="V151" s="517" t="str">
        <f ca="1"/>
        <v/>
      </c>
      <c r="W151" s="518" t="str">
        <f ca="1"/>
        <v/>
      </c>
      <c r="X151" s="430" t="str">
        <f ca="1"/>
        <v/>
      </c>
      <c r="Y151" s="864" t="str">
        <f t="shared" ca="1" si="13"/>
        <v/>
      </c>
      <c r="AA151" s="828">
        <v>133</v>
      </c>
      <c r="AB151" s="1100"/>
      <c r="AC151" s="1079"/>
      <c r="AD151" s="1067"/>
      <c r="AE151" s="1076"/>
      <c r="AF151" s="1076"/>
      <c r="AG151" s="1048"/>
      <c r="AH151" s="1077"/>
      <c r="AI151" s="1076"/>
      <c r="AJ151" s="1078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4"/>
        <v/>
      </c>
      <c r="G152" s="520" t="str">
        <f t="shared" ca="1" si="15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2"/>
        <v/>
      </c>
      <c r="P152" s="742">
        <v>134</v>
      </c>
      <c r="Q152" s="517" t="str">
        <f t="shared" ca="1" si="16"/>
        <v/>
      </c>
      <c r="R152" s="520" t="str">
        <f t="shared" ca="1" si="17"/>
        <v/>
      </c>
      <c r="S152" s="430" t="str">
        <f ca="1"/>
        <v/>
      </c>
      <c r="T152" s="430" t="str">
        <f ca="1"/>
        <v/>
      </c>
      <c r="U152" s="430" t="str">
        <f ca="1"/>
        <v/>
      </c>
      <c r="V152" s="517" t="str">
        <f ca="1"/>
        <v/>
      </c>
      <c r="W152" s="518" t="str">
        <f ca="1"/>
        <v/>
      </c>
      <c r="X152" s="430" t="str">
        <f ca="1"/>
        <v/>
      </c>
      <c r="Y152" s="864" t="str">
        <f t="shared" ca="1" si="13"/>
        <v/>
      </c>
      <c r="AA152" s="828">
        <v>134</v>
      </c>
      <c r="AB152" s="1100"/>
      <c r="AC152" s="1079"/>
      <c r="AD152" s="1067"/>
      <c r="AE152" s="1076"/>
      <c r="AF152" s="1076"/>
      <c r="AG152" s="1048"/>
      <c r="AH152" s="1077"/>
      <c r="AI152" s="1076"/>
      <c r="AJ152" s="1078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4"/>
        <v/>
      </c>
      <c r="G153" s="520" t="str">
        <f t="shared" ca="1" si="15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2"/>
        <v/>
      </c>
      <c r="P153" s="742">
        <v>135</v>
      </c>
      <c r="Q153" s="517" t="str">
        <f t="shared" ca="1" si="16"/>
        <v/>
      </c>
      <c r="R153" s="520" t="str">
        <f t="shared" ca="1" si="17"/>
        <v/>
      </c>
      <c r="S153" s="430" t="str">
        <f ca="1"/>
        <v/>
      </c>
      <c r="T153" s="430" t="str">
        <f ca="1"/>
        <v/>
      </c>
      <c r="U153" s="430" t="str">
        <f ca="1"/>
        <v/>
      </c>
      <c r="V153" s="517" t="str">
        <f ca="1"/>
        <v/>
      </c>
      <c r="W153" s="518" t="str">
        <f ca="1"/>
        <v/>
      </c>
      <c r="X153" s="430" t="str">
        <f ca="1"/>
        <v/>
      </c>
      <c r="Y153" s="864" t="str">
        <f t="shared" ca="1" si="13"/>
        <v/>
      </c>
      <c r="AA153" s="828">
        <v>135</v>
      </c>
      <c r="AB153" s="1100"/>
      <c r="AC153" s="1079"/>
      <c r="AD153" s="1067"/>
      <c r="AE153" s="1076"/>
      <c r="AF153" s="1076"/>
      <c r="AG153" s="1048"/>
      <c r="AH153" s="1077"/>
      <c r="AI153" s="1076"/>
      <c r="AJ153" s="1078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4"/>
        <v/>
      </c>
      <c r="G154" s="520" t="str">
        <f t="shared" ca="1" si="15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2"/>
        <v/>
      </c>
      <c r="P154" s="742">
        <v>136</v>
      </c>
      <c r="Q154" s="517" t="str">
        <f t="shared" ca="1" si="16"/>
        <v/>
      </c>
      <c r="R154" s="520" t="str">
        <f t="shared" ca="1" si="17"/>
        <v/>
      </c>
      <c r="S154" s="430" t="str">
        <f ca="1"/>
        <v/>
      </c>
      <c r="T154" s="430" t="str">
        <f ca="1"/>
        <v/>
      </c>
      <c r="U154" s="430" t="str">
        <f ca="1"/>
        <v/>
      </c>
      <c r="V154" s="517" t="str">
        <f ca="1"/>
        <v/>
      </c>
      <c r="W154" s="518" t="str">
        <f ca="1"/>
        <v/>
      </c>
      <c r="X154" s="430" t="str">
        <f ca="1"/>
        <v/>
      </c>
      <c r="Y154" s="864" t="str">
        <f t="shared" ca="1" si="13"/>
        <v/>
      </c>
      <c r="AA154" s="828">
        <v>136</v>
      </c>
      <c r="AB154" s="1100"/>
      <c r="AC154" s="1079"/>
      <c r="AD154" s="1067"/>
      <c r="AE154" s="1076"/>
      <c r="AF154" s="1076"/>
      <c r="AG154" s="1048"/>
      <c r="AH154" s="1077"/>
      <c r="AI154" s="1076"/>
      <c r="AJ154" s="1078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4"/>
        <v/>
      </c>
      <c r="G155" s="520" t="str">
        <f t="shared" ca="1" si="15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2"/>
        <v/>
      </c>
      <c r="P155" s="742">
        <v>137</v>
      </c>
      <c r="Q155" s="517" t="str">
        <f t="shared" ca="1" si="16"/>
        <v/>
      </c>
      <c r="R155" s="520" t="str">
        <f t="shared" ca="1" si="17"/>
        <v/>
      </c>
      <c r="S155" s="430" t="str">
        <f ca="1"/>
        <v/>
      </c>
      <c r="T155" s="430" t="str">
        <f ca="1"/>
        <v/>
      </c>
      <c r="U155" s="430" t="str">
        <f ca="1"/>
        <v/>
      </c>
      <c r="V155" s="517" t="str">
        <f ca="1"/>
        <v/>
      </c>
      <c r="W155" s="518" t="str">
        <f ca="1"/>
        <v/>
      </c>
      <c r="X155" s="430" t="str">
        <f ca="1"/>
        <v/>
      </c>
      <c r="Y155" s="864" t="str">
        <f t="shared" ca="1" si="13"/>
        <v/>
      </c>
      <c r="AA155" s="828">
        <v>137</v>
      </c>
      <c r="AB155" s="1100"/>
      <c r="AC155" s="1079"/>
      <c r="AD155" s="1067"/>
      <c r="AE155" s="1076"/>
      <c r="AF155" s="1076"/>
      <c r="AG155" s="1048"/>
      <c r="AH155" s="1077"/>
      <c r="AI155" s="1076"/>
      <c r="AJ155" s="1078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4"/>
        <v/>
      </c>
      <c r="G156" s="520" t="str">
        <f t="shared" ca="1" si="15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2"/>
        <v/>
      </c>
      <c r="P156" s="742">
        <v>138</v>
      </c>
      <c r="Q156" s="517" t="str">
        <f t="shared" ca="1" si="16"/>
        <v/>
      </c>
      <c r="R156" s="520" t="str">
        <f t="shared" ca="1" si="17"/>
        <v/>
      </c>
      <c r="S156" s="430" t="str">
        <f ca="1"/>
        <v/>
      </c>
      <c r="T156" s="430" t="str">
        <f ca="1"/>
        <v/>
      </c>
      <c r="U156" s="430" t="str">
        <f ca="1"/>
        <v/>
      </c>
      <c r="V156" s="517" t="str">
        <f ca="1"/>
        <v/>
      </c>
      <c r="W156" s="518" t="str">
        <f ca="1"/>
        <v/>
      </c>
      <c r="X156" s="430" t="str">
        <f ca="1"/>
        <v/>
      </c>
      <c r="Y156" s="864" t="str">
        <f t="shared" ca="1" si="13"/>
        <v/>
      </c>
      <c r="AA156" s="828">
        <v>138</v>
      </c>
      <c r="AB156" s="1100"/>
      <c r="AC156" s="1079"/>
      <c r="AD156" s="1067"/>
      <c r="AE156" s="1076"/>
      <c r="AF156" s="1076"/>
      <c r="AG156" s="1048"/>
      <c r="AH156" s="1077"/>
      <c r="AI156" s="1076"/>
      <c r="AJ156" s="1078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4"/>
        <v/>
      </c>
      <c r="G157" s="520" t="str">
        <f t="shared" ca="1" si="15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2"/>
        <v/>
      </c>
      <c r="P157" s="742">
        <v>139</v>
      </c>
      <c r="Q157" s="517" t="str">
        <f t="shared" ca="1" si="16"/>
        <v/>
      </c>
      <c r="R157" s="520" t="str">
        <f t="shared" ca="1" si="17"/>
        <v/>
      </c>
      <c r="S157" s="430" t="str">
        <f ca="1"/>
        <v/>
      </c>
      <c r="T157" s="430" t="str">
        <f ca="1"/>
        <v/>
      </c>
      <c r="U157" s="430" t="str">
        <f ca="1"/>
        <v/>
      </c>
      <c r="V157" s="517" t="str">
        <f ca="1"/>
        <v/>
      </c>
      <c r="W157" s="518" t="str">
        <f ca="1"/>
        <v/>
      </c>
      <c r="X157" s="430" t="str">
        <f ca="1"/>
        <v/>
      </c>
      <c r="Y157" s="864" t="str">
        <f t="shared" ca="1" si="13"/>
        <v/>
      </c>
      <c r="AA157" s="828">
        <v>139</v>
      </c>
      <c r="AB157" s="1100"/>
      <c r="AC157" s="1079"/>
      <c r="AD157" s="1067"/>
      <c r="AE157" s="1076"/>
      <c r="AF157" s="1076"/>
      <c r="AG157" s="1048"/>
      <c r="AH157" s="1077"/>
      <c r="AI157" s="1076"/>
      <c r="AJ157" s="1078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4"/>
        <v/>
      </c>
      <c r="G158" s="520" t="str">
        <f t="shared" ca="1" si="15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2"/>
        <v/>
      </c>
      <c r="P158" s="742">
        <v>140</v>
      </c>
      <c r="Q158" s="517" t="str">
        <f t="shared" ca="1" si="16"/>
        <v/>
      </c>
      <c r="R158" s="520" t="str">
        <f t="shared" ca="1" si="17"/>
        <v/>
      </c>
      <c r="S158" s="430" t="str">
        <f ca="1"/>
        <v/>
      </c>
      <c r="T158" s="430" t="str">
        <f ca="1"/>
        <v/>
      </c>
      <c r="U158" s="430" t="str">
        <f ca="1"/>
        <v/>
      </c>
      <c r="V158" s="517" t="str">
        <f ca="1"/>
        <v/>
      </c>
      <c r="W158" s="518" t="str">
        <f ca="1"/>
        <v/>
      </c>
      <c r="X158" s="430" t="str">
        <f ca="1"/>
        <v/>
      </c>
      <c r="Y158" s="864" t="str">
        <f t="shared" ca="1" si="13"/>
        <v/>
      </c>
      <c r="AA158" s="828">
        <v>140</v>
      </c>
      <c r="AB158" s="1100"/>
      <c r="AC158" s="1079"/>
      <c r="AD158" s="1067"/>
      <c r="AE158" s="1076"/>
      <c r="AF158" s="1076"/>
      <c r="AG158" s="1048"/>
      <c r="AH158" s="1077"/>
      <c r="AI158" s="1076"/>
      <c r="AJ158" s="1078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4"/>
        <v/>
      </c>
      <c r="G159" s="520" t="str">
        <f t="shared" ca="1" si="15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2"/>
        <v/>
      </c>
      <c r="P159" s="742">
        <v>141</v>
      </c>
      <c r="Q159" s="517" t="str">
        <f t="shared" ca="1" si="16"/>
        <v/>
      </c>
      <c r="R159" s="520" t="str">
        <f t="shared" ca="1" si="17"/>
        <v/>
      </c>
      <c r="S159" s="430" t="str">
        <f ca="1"/>
        <v/>
      </c>
      <c r="T159" s="430" t="str">
        <f ca="1"/>
        <v/>
      </c>
      <c r="U159" s="430" t="str">
        <f ca="1"/>
        <v/>
      </c>
      <c r="V159" s="517" t="str">
        <f ca="1"/>
        <v/>
      </c>
      <c r="W159" s="518" t="str">
        <f ca="1"/>
        <v/>
      </c>
      <c r="X159" s="430" t="str">
        <f ca="1"/>
        <v/>
      </c>
      <c r="Y159" s="864" t="str">
        <f t="shared" ca="1" si="13"/>
        <v/>
      </c>
      <c r="AA159" s="828">
        <v>141</v>
      </c>
      <c r="AB159" s="1100"/>
      <c r="AC159" s="1079"/>
      <c r="AD159" s="1067"/>
      <c r="AE159" s="1076"/>
      <c r="AF159" s="1076"/>
      <c r="AG159" s="1048"/>
      <c r="AH159" s="1077"/>
      <c r="AI159" s="1076"/>
      <c r="AJ159" s="1078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4"/>
        <v/>
      </c>
      <c r="G160" s="520" t="str">
        <f t="shared" ca="1" si="15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2"/>
        <v/>
      </c>
      <c r="P160" s="742">
        <v>142</v>
      </c>
      <c r="Q160" s="517" t="str">
        <f t="shared" ca="1" si="16"/>
        <v/>
      </c>
      <c r="R160" s="520" t="str">
        <f t="shared" ca="1" si="17"/>
        <v/>
      </c>
      <c r="S160" s="430" t="str">
        <f ca="1"/>
        <v/>
      </c>
      <c r="T160" s="430" t="str">
        <f ca="1"/>
        <v/>
      </c>
      <c r="U160" s="430" t="str">
        <f ca="1"/>
        <v/>
      </c>
      <c r="V160" s="517" t="str">
        <f ca="1"/>
        <v/>
      </c>
      <c r="W160" s="518" t="str">
        <f ca="1"/>
        <v/>
      </c>
      <c r="X160" s="430" t="str">
        <f ca="1"/>
        <v/>
      </c>
      <c r="Y160" s="864" t="str">
        <f t="shared" ca="1" si="13"/>
        <v/>
      </c>
      <c r="AA160" s="828">
        <v>142</v>
      </c>
      <c r="AB160" s="1100"/>
      <c r="AC160" s="1079"/>
      <c r="AD160" s="1067"/>
      <c r="AE160" s="1076"/>
      <c r="AF160" s="1076"/>
      <c r="AG160" s="1048"/>
      <c r="AH160" s="1077"/>
      <c r="AI160" s="1076"/>
      <c r="AJ160" s="1078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4"/>
        <v/>
      </c>
      <c r="G161" s="520" t="str">
        <f t="shared" ca="1" si="15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2"/>
        <v/>
      </c>
      <c r="P161" s="742">
        <v>143</v>
      </c>
      <c r="Q161" s="517" t="str">
        <f t="shared" ca="1" si="16"/>
        <v/>
      </c>
      <c r="R161" s="520" t="str">
        <f t="shared" ca="1" si="17"/>
        <v/>
      </c>
      <c r="S161" s="430" t="str">
        <f ca="1"/>
        <v/>
      </c>
      <c r="T161" s="430" t="str">
        <f ca="1"/>
        <v/>
      </c>
      <c r="U161" s="430" t="str">
        <f ca="1"/>
        <v/>
      </c>
      <c r="V161" s="517" t="str">
        <f ca="1"/>
        <v/>
      </c>
      <c r="W161" s="518" t="str">
        <f ca="1"/>
        <v/>
      </c>
      <c r="X161" s="430" t="str">
        <f ca="1"/>
        <v/>
      </c>
      <c r="Y161" s="864" t="str">
        <f t="shared" ca="1" si="13"/>
        <v/>
      </c>
      <c r="AA161" s="828">
        <v>143</v>
      </c>
      <c r="AB161" s="1100"/>
      <c r="AC161" s="1079"/>
      <c r="AD161" s="1067"/>
      <c r="AE161" s="1076"/>
      <c r="AF161" s="1076"/>
      <c r="AG161" s="1048"/>
      <c r="AH161" s="1077"/>
      <c r="AI161" s="1076"/>
      <c r="AJ161" s="1078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4"/>
        <v/>
      </c>
      <c r="G162" s="520" t="str">
        <f t="shared" ca="1" si="15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2"/>
        <v/>
      </c>
      <c r="P162" s="742">
        <v>144</v>
      </c>
      <c r="Q162" s="517" t="str">
        <f t="shared" ca="1" si="16"/>
        <v/>
      </c>
      <c r="R162" s="520" t="str">
        <f t="shared" ca="1" si="17"/>
        <v/>
      </c>
      <c r="S162" s="430" t="str">
        <f ca="1"/>
        <v/>
      </c>
      <c r="T162" s="430" t="str">
        <f ca="1"/>
        <v/>
      </c>
      <c r="U162" s="430" t="str">
        <f ca="1"/>
        <v/>
      </c>
      <c r="V162" s="517" t="str">
        <f ca="1"/>
        <v/>
      </c>
      <c r="W162" s="518" t="str">
        <f ca="1"/>
        <v/>
      </c>
      <c r="X162" s="430" t="str">
        <f ca="1"/>
        <v/>
      </c>
      <c r="Y162" s="864" t="str">
        <f t="shared" ca="1" si="13"/>
        <v/>
      </c>
      <c r="AA162" s="828">
        <v>144</v>
      </c>
      <c r="AB162" s="1100"/>
      <c r="AC162" s="1079"/>
      <c r="AD162" s="1067"/>
      <c r="AE162" s="1076"/>
      <c r="AF162" s="1076"/>
      <c r="AG162" s="1048"/>
      <c r="AH162" s="1077"/>
      <c r="AI162" s="1076"/>
      <c r="AJ162" s="1078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4"/>
        <v/>
      </c>
      <c r="G163" s="520" t="str">
        <f t="shared" ca="1" si="15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2"/>
        <v/>
      </c>
      <c r="P163" s="742">
        <v>145</v>
      </c>
      <c r="Q163" s="517" t="str">
        <f t="shared" ca="1" si="16"/>
        <v/>
      </c>
      <c r="R163" s="520" t="str">
        <f t="shared" ca="1" si="17"/>
        <v/>
      </c>
      <c r="S163" s="430" t="str">
        <f ca="1"/>
        <v/>
      </c>
      <c r="T163" s="430" t="str">
        <f ca="1"/>
        <v/>
      </c>
      <c r="U163" s="430" t="str">
        <f ca="1"/>
        <v/>
      </c>
      <c r="V163" s="517" t="str">
        <f ca="1"/>
        <v/>
      </c>
      <c r="W163" s="518" t="str">
        <f ca="1"/>
        <v/>
      </c>
      <c r="X163" s="430" t="str">
        <f ca="1"/>
        <v/>
      </c>
      <c r="Y163" s="864" t="str">
        <f t="shared" ca="1" si="13"/>
        <v/>
      </c>
      <c r="AA163" s="828">
        <v>145</v>
      </c>
      <c r="AB163" s="1100"/>
      <c r="AC163" s="1079"/>
      <c r="AD163" s="1067"/>
      <c r="AE163" s="1076"/>
      <c r="AF163" s="1076"/>
      <c r="AG163" s="1048"/>
      <c r="AH163" s="1077"/>
      <c r="AI163" s="1076"/>
      <c r="AJ163" s="1078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4"/>
        <v/>
      </c>
      <c r="G164" s="520" t="str">
        <f t="shared" ca="1" si="15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2"/>
        <v/>
      </c>
      <c r="P164" s="742">
        <v>146</v>
      </c>
      <c r="Q164" s="517" t="str">
        <f t="shared" ca="1" si="16"/>
        <v/>
      </c>
      <c r="R164" s="520" t="str">
        <f t="shared" ca="1" si="17"/>
        <v/>
      </c>
      <c r="S164" s="430" t="str">
        <f ca="1"/>
        <v/>
      </c>
      <c r="T164" s="430" t="str">
        <f ca="1"/>
        <v/>
      </c>
      <c r="U164" s="430" t="str">
        <f ca="1"/>
        <v/>
      </c>
      <c r="V164" s="517" t="str">
        <f ca="1"/>
        <v/>
      </c>
      <c r="W164" s="518" t="str">
        <f ca="1"/>
        <v/>
      </c>
      <c r="X164" s="430" t="str">
        <f ca="1"/>
        <v/>
      </c>
      <c r="Y164" s="864" t="str">
        <f t="shared" ca="1" si="13"/>
        <v/>
      </c>
      <c r="AA164" s="828">
        <v>146</v>
      </c>
      <c r="AB164" s="1100"/>
      <c r="AC164" s="1079"/>
      <c r="AD164" s="1067"/>
      <c r="AE164" s="1076"/>
      <c r="AF164" s="1076"/>
      <c r="AG164" s="1048"/>
      <c r="AH164" s="1077"/>
      <c r="AI164" s="1076"/>
      <c r="AJ164" s="1078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4"/>
        <v/>
      </c>
      <c r="G165" s="520" t="str">
        <f t="shared" ca="1" si="15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2"/>
        <v/>
      </c>
      <c r="P165" s="742">
        <v>147</v>
      </c>
      <c r="Q165" s="517" t="str">
        <f t="shared" ca="1" si="16"/>
        <v/>
      </c>
      <c r="R165" s="520" t="str">
        <f t="shared" ca="1" si="17"/>
        <v/>
      </c>
      <c r="S165" s="430" t="str">
        <f ca="1"/>
        <v/>
      </c>
      <c r="T165" s="430" t="str">
        <f ca="1"/>
        <v/>
      </c>
      <c r="U165" s="430" t="str">
        <f ca="1"/>
        <v/>
      </c>
      <c r="V165" s="517" t="str">
        <f ca="1"/>
        <v/>
      </c>
      <c r="W165" s="518" t="str">
        <f ca="1"/>
        <v/>
      </c>
      <c r="X165" s="430" t="str">
        <f ca="1"/>
        <v/>
      </c>
      <c r="Y165" s="864" t="str">
        <f t="shared" ca="1" si="13"/>
        <v/>
      </c>
      <c r="AA165" s="828">
        <v>147</v>
      </c>
      <c r="AB165" s="1100"/>
      <c r="AC165" s="1079"/>
      <c r="AD165" s="1067"/>
      <c r="AE165" s="1076"/>
      <c r="AF165" s="1076"/>
      <c r="AG165" s="1048"/>
      <c r="AH165" s="1077"/>
      <c r="AI165" s="1076"/>
      <c r="AJ165" s="1078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4"/>
        <v/>
      </c>
      <c r="G166" s="520" t="str">
        <f t="shared" ca="1" si="15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2"/>
        <v/>
      </c>
      <c r="P166" s="742">
        <v>148</v>
      </c>
      <c r="Q166" s="517" t="str">
        <f t="shared" ca="1" si="16"/>
        <v/>
      </c>
      <c r="R166" s="520" t="str">
        <f t="shared" ca="1" si="17"/>
        <v/>
      </c>
      <c r="S166" s="430" t="str">
        <f ca="1"/>
        <v/>
      </c>
      <c r="T166" s="430" t="str">
        <f ca="1"/>
        <v/>
      </c>
      <c r="U166" s="430" t="str">
        <f ca="1"/>
        <v/>
      </c>
      <c r="V166" s="517" t="str">
        <f ca="1"/>
        <v/>
      </c>
      <c r="W166" s="518" t="str">
        <f ca="1"/>
        <v/>
      </c>
      <c r="X166" s="430" t="str">
        <f ca="1"/>
        <v/>
      </c>
      <c r="Y166" s="864" t="str">
        <f t="shared" ca="1" si="13"/>
        <v/>
      </c>
      <c r="AA166" s="828">
        <v>148</v>
      </c>
      <c r="AB166" s="1100"/>
      <c r="AC166" s="1079"/>
      <c r="AD166" s="1067"/>
      <c r="AE166" s="1076"/>
      <c r="AF166" s="1076"/>
      <c r="AG166" s="1048"/>
      <c r="AH166" s="1077"/>
      <c r="AI166" s="1076"/>
      <c r="AJ166" s="1078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4"/>
        <v/>
      </c>
      <c r="G167" s="520" t="str">
        <f t="shared" ca="1" si="15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2"/>
        <v/>
      </c>
      <c r="P167" s="742">
        <v>149</v>
      </c>
      <c r="Q167" s="517" t="str">
        <f t="shared" ca="1" si="16"/>
        <v/>
      </c>
      <c r="R167" s="520" t="str">
        <f t="shared" ca="1" si="17"/>
        <v/>
      </c>
      <c r="S167" s="430" t="str">
        <f ca="1"/>
        <v/>
      </c>
      <c r="T167" s="430" t="str">
        <f ca="1"/>
        <v/>
      </c>
      <c r="U167" s="430" t="str">
        <f ca="1"/>
        <v/>
      </c>
      <c r="V167" s="517" t="str">
        <f ca="1"/>
        <v/>
      </c>
      <c r="W167" s="518" t="str">
        <f ca="1"/>
        <v/>
      </c>
      <c r="X167" s="430" t="str">
        <f ca="1"/>
        <v/>
      </c>
      <c r="Y167" s="864" t="str">
        <f t="shared" ca="1" si="13"/>
        <v/>
      </c>
      <c r="AA167" s="828">
        <v>149</v>
      </c>
      <c r="AB167" s="1100"/>
      <c r="AC167" s="1079"/>
      <c r="AD167" s="1067"/>
      <c r="AE167" s="1076"/>
      <c r="AF167" s="1076"/>
      <c r="AG167" s="1048"/>
      <c r="AH167" s="1077"/>
      <c r="AI167" s="1076"/>
      <c r="AJ167" s="1078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4"/>
        <v/>
      </c>
      <c r="G168" s="520" t="str">
        <f t="shared" ca="1" si="15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2"/>
        <v/>
      </c>
      <c r="P168" s="742">
        <v>150</v>
      </c>
      <c r="Q168" s="517" t="str">
        <f t="shared" ca="1" si="16"/>
        <v/>
      </c>
      <c r="R168" s="520" t="str">
        <f t="shared" ca="1" si="17"/>
        <v/>
      </c>
      <c r="S168" s="430" t="str">
        <f ca="1"/>
        <v/>
      </c>
      <c r="T168" s="430" t="str">
        <f ca="1"/>
        <v/>
      </c>
      <c r="U168" s="430" t="str">
        <f ca="1"/>
        <v/>
      </c>
      <c r="V168" s="517" t="str">
        <f ca="1"/>
        <v/>
      </c>
      <c r="W168" s="518" t="str">
        <f ca="1"/>
        <v/>
      </c>
      <c r="X168" s="430" t="str">
        <f ca="1"/>
        <v/>
      </c>
      <c r="Y168" s="864" t="str">
        <f t="shared" ca="1" si="13"/>
        <v/>
      </c>
      <c r="AA168" s="828">
        <v>150</v>
      </c>
      <c r="AB168" s="1100"/>
      <c r="AC168" s="1079"/>
      <c r="AD168" s="1067"/>
      <c r="AE168" s="1076"/>
      <c r="AF168" s="1076"/>
      <c r="AG168" s="1048"/>
      <c r="AH168" s="1077"/>
      <c r="AI168" s="1076"/>
      <c r="AJ168" s="1078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4"/>
        <v/>
      </c>
      <c r="G169" s="520" t="str">
        <f t="shared" ca="1" si="15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2"/>
        <v/>
      </c>
      <c r="P169" s="742">
        <v>151</v>
      </c>
      <c r="Q169" s="517" t="str">
        <f t="shared" ca="1" si="16"/>
        <v/>
      </c>
      <c r="R169" s="520" t="str">
        <f t="shared" ca="1" si="17"/>
        <v/>
      </c>
      <c r="S169" s="430" t="str">
        <f ca="1"/>
        <v/>
      </c>
      <c r="T169" s="430" t="str">
        <f ca="1"/>
        <v/>
      </c>
      <c r="U169" s="430" t="str">
        <f ca="1"/>
        <v/>
      </c>
      <c r="V169" s="517" t="str">
        <f ca="1"/>
        <v/>
      </c>
      <c r="W169" s="518" t="str">
        <f ca="1"/>
        <v/>
      </c>
      <c r="X169" s="430" t="str">
        <f ca="1"/>
        <v/>
      </c>
      <c r="Y169" s="864" t="str">
        <f t="shared" ca="1" si="13"/>
        <v/>
      </c>
      <c r="AA169" s="828">
        <v>151</v>
      </c>
      <c r="AB169" s="1100"/>
      <c r="AC169" s="1079"/>
      <c r="AD169" s="1067"/>
      <c r="AE169" s="1076"/>
      <c r="AF169" s="1076"/>
      <c r="AG169" s="1048"/>
      <c r="AH169" s="1077"/>
      <c r="AI169" s="1076"/>
      <c r="AJ169" s="1078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4"/>
        <v/>
      </c>
      <c r="G170" s="520" t="str">
        <f t="shared" ca="1" si="15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2"/>
        <v/>
      </c>
      <c r="P170" s="742">
        <v>152</v>
      </c>
      <c r="Q170" s="517" t="str">
        <f t="shared" ca="1" si="16"/>
        <v/>
      </c>
      <c r="R170" s="520" t="str">
        <f t="shared" ca="1" si="17"/>
        <v/>
      </c>
      <c r="S170" s="430" t="str">
        <f ca="1"/>
        <v/>
      </c>
      <c r="T170" s="430" t="str">
        <f ca="1"/>
        <v/>
      </c>
      <c r="U170" s="430" t="str">
        <f ca="1"/>
        <v/>
      </c>
      <c r="V170" s="517" t="str">
        <f ca="1"/>
        <v/>
      </c>
      <c r="W170" s="518" t="str">
        <f ca="1"/>
        <v/>
      </c>
      <c r="X170" s="430" t="str">
        <f ca="1"/>
        <v/>
      </c>
      <c r="Y170" s="864" t="str">
        <f t="shared" ca="1" si="13"/>
        <v/>
      </c>
      <c r="AA170" s="828">
        <v>152</v>
      </c>
      <c r="AB170" s="1100"/>
      <c r="AC170" s="1079"/>
      <c r="AD170" s="1067"/>
      <c r="AE170" s="1076"/>
      <c r="AF170" s="1076"/>
      <c r="AG170" s="1048"/>
      <c r="AH170" s="1077"/>
      <c r="AI170" s="1076"/>
      <c r="AJ170" s="1078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4"/>
        <v/>
      </c>
      <c r="G171" s="520" t="str">
        <f t="shared" ca="1" si="15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2"/>
        <v/>
      </c>
      <c r="P171" s="742">
        <v>153</v>
      </c>
      <c r="Q171" s="517" t="str">
        <f t="shared" ca="1" si="16"/>
        <v/>
      </c>
      <c r="R171" s="520" t="str">
        <f t="shared" ca="1" si="17"/>
        <v/>
      </c>
      <c r="S171" s="430" t="str">
        <f ca="1"/>
        <v/>
      </c>
      <c r="T171" s="430" t="str">
        <f ca="1"/>
        <v/>
      </c>
      <c r="U171" s="430" t="str">
        <f ca="1"/>
        <v/>
      </c>
      <c r="V171" s="517" t="str">
        <f ca="1"/>
        <v/>
      </c>
      <c r="W171" s="518" t="str">
        <f ca="1"/>
        <v/>
      </c>
      <c r="X171" s="430" t="str">
        <f ca="1"/>
        <v/>
      </c>
      <c r="Y171" s="864" t="str">
        <f t="shared" ca="1" si="13"/>
        <v/>
      </c>
      <c r="AA171" s="828">
        <v>153</v>
      </c>
      <c r="AB171" s="1100"/>
      <c r="AC171" s="1079"/>
      <c r="AD171" s="1067"/>
      <c r="AE171" s="1076"/>
      <c r="AF171" s="1076"/>
      <c r="AG171" s="1048"/>
      <c r="AH171" s="1077"/>
      <c r="AI171" s="1076"/>
      <c r="AJ171" s="1078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4"/>
        <v/>
      </c>
      <c r="G172" s="520" t="str">
        <f t="shared" ca="1" si="15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2"/>
        <v/>
      </c>
      <c r="P172" s="742">
        <v>154</v>
      </c>
      <c r="Q172" s="517" t="str">
        <f t="shared" ca="1" si="16"/>
        <v/>
      </c>
      <c r="R172" s="520" t="str">
        <f t="shared" ca="1" si="17"/>
        <v/>
      </c>
      <c r="S172" s="430" t="str">
        <f ca="1"/>
        <v/>
      </c>
      <c r="T172" s="430" t="str">
        <f ca="1"/>
        <v/>
      </c>
      <c r="U172" s="430" t="str">
        <f ca="1"/>
        <v/>
      </c>
      <c r="V172" s="517" t="str">
        <f ca="1"/>
        <v/>
      </c>
      <c r="W172" s="518" t="str">
        <f ca="1"/>
        <v/>
      </c>
      <c r="X172" s="430" t="str">
        <f ca="1"/>
        <v/>
      </c>
      <c r="Y172" s="864" t="str">
        <f t="shared" ca="1" si="13"/>
        <v/>
      </c>
      <c r="AA172" s="828">
        <v>154</v>
      </c>
      <c r="AB172" s="1100"/>
      <c r="AC172" s="1079"/>
      <c r="AD172" s="1067"/>
      <c r="AE172" s="1076"/>
      <c r="AF172" s="1076"/>
      <c r="AG172" s="1048"/>
      <c r="AH172" s="1077"/>
      <c r="AI172" s="1076"/>
      <c r="AJ172" s="1078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4"/>
        <v/>
      </c>
      <c r="G173" s="520" t="str">
        <f t="shared" ca="1" si="15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2"/>
        <v/>
      </c>
      <c r="P173" s="742">
        <v>155</v>
      </c>
      <c r="Q173" s="517" t="str">
        <f t="shared" ca="1" si="16"/>
        <v/>
      </c>
      <c r="R173" s="520" t="str">
        <f t="shared" ca="1" si="17"/>
        <v/>
      </c>
      <c r="S173" s="430" t="str">
        <f ca="1"/>
        <v/>
      </c>
      <c r="T173" s="430" t="str">
        <f ca="1"/>
        <v/>
      </c>
      <c r="U173" s="430" t="str">
        <f ca="1"/>
        <v/>
      </c>
      <c r="V173" s="517" t="str">
        <f ca="1"/>
        <v/>
      </c>
      <c r="W173" s="518" t="str">
        <f ca="1"/>
        <v/>
      </c>
      <c r="X173" s="430" t="str">
        <f ca="1"/>
        <v/>
      </c>
      <c r="Y173" s="864" t="str">
        <f t="shared" ca="1" si="13"/>
        <v/>
      </c>
      <c r="AA173" s="828">
        <v>155</v>
      </c>
      <c r="AB173" s="1100"/>
      <c r="AC173" s="1079"/>
      <c r="AD173" s="1067"/>
      <c r="AE173" s="1076"/>
      <c r="AF173" s="1076"/>
      <c r="AG173" s="1048"/>
      <c r="AH173" s="1077"/>
      <c r="AI173" s="1076"/>
      <c r="AJ173" s="1078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4"/>
        <v/>
      </c>
      <c r="G174" s="520" t="str">
        <f t="shared" ca="1" si="15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2"/>
        <v/>
      </c>
      <c r="P174" s="742">
        <v>156</v>
      </c>
      <c r="Q174" s="517" t="str">
        <f t="shared" ca="1" si="16"/>
        <v/>
      </c>
      <c r="R174" s="520" t="str">
        <f t="shared" ca="1" si="17"/>
        <v/>
      </c>
      <c r="S174" s="430" t="str">
        <f ca="1"/>
        <v/>
      </c>
      <c r="T174" s="430" t="str">
        <f ca="1"/>
        <v/>
      </c>
      <c r="U174" s="430" t="str">
        <f ca="1"/>
        <v/>
      </c>
      <c r="V174" s="517" t="str">
        <f ca="1"/>
        <v/>
      </c>
      <c r="W174" s="518" t="str">
        <f ca="1"/>
        <v/>
      </c>
      <c r="X174" s="430" t="str">
        <f ca="1"/>
        <v/>
      </c>
      <c r="Y174" s="864" t="str">
        <f t="shared" ca="1" si="13"/>
        <v/>
      </c>
      <c r="AA174" s="828">
        <v>156</v>
      </c>
      <c r="AB174" s="1100"/>
      <c r="AC174" s="1079"/>
      <c r="AD174" s="1067"/>
      <c r="AE174" s="1076"/>
      <c r="AF174" s="1076"/>
      <c r="AG174" s="1048"/>
      <c r="AH174" s="1077"/>
      <c r="AI174" s="1076"/>
      <c r="AJ174" s="1078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4"/>
        <v/>
      </c>
      <c r="G175" s="520" t="str">
        <f t="shared" ca="1" si="15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2"/>
        <v/>
      </c>
      <c r="P175" s="742">
        <v>157</v>
      </c>
      <c r="Q175" s="517" t="str">
        <f t="shared" ca="1" si="16"/>
        <v/>
      </c>
      <c r="R175" s="520" t="str">
        <f t="shared" ca="1" si="17"/>
        <v/>
      </c>
      <c r="S175" s="430" t="str">
        <f ca="1"/>
        <v/>
      </c>
      <c r="T175" s="430" t="str">
        <f ca="1"/>
        <v/>
      </c>
      <c r="U175" s="430" t="str">
        <f ca="1"/>
        <v/>
      </c>
      <c r="V175" s="517" t="str">
        <f ca="1"/>
        <v/>
      </c>
      <c r="W175" s="518" t="str">
        <f ca="1"/>
        <v/>
      </c>
      <c r="X175" s="430" t="str">
        <f ca="1"/>
        <v/>
      </c>
      <c r="Y175" s="864" t="str">
        <f t="shared" ca="1" si="13"/>
        <v/>
      </c>
      <c r="AA175" s="828">
        <v>157</v>
      </c>
      <c r="AB175" s="1100"/>
      <c r="AC175" s="1079"/>
      <c r="AD175" s="1067"/>
      <c r="AE175" s="1076"/>
      <c r="AF175" s="1076"/>
      <c r="AG175" s="1048"/>
      <c r="AH175" s="1077"/>
      <c r="AI175" s="1076"/>
      <c r="AJ175" s="1078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4"/>
        <v/>
      </c>
      <c r="G176" s="520" t="str">
        <f t="shared" ca="1" si="15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2"/>
        <v/>
      </c>
      <c r="P176" s="742">
        <v>158</v>
      </c>
      <c r="Q176" s="517" t="str">
        <f t="shared" ca="1" si="16"/>
        <v/>
      </c>
      <c r="R176" s="520" t="str">
        <f t="shared" ca="1" si="17"/>
        <v/>
      </c>
      <c r="S176" s="430" t="str">
        <f ca="1"/>
        <v/>
      </c>
      <c r="T176" s="430" t="str">
        <f ca="1"/>
        <v/>
      </c>
      <c r="U176" s="430" t="str">
        <f ca="1"/>
        <v/>
      </c>
      <c r="V176" s="517" t="str">
        <f ca="1"/>
        <v/>
      </c>
      <c r="W176" s="518" t="str">
        <f ca="1"/>
        <v/>
      </c>
      <c r="X176" s="430" t="str">
        <f ca="1"/>
        <v/>
      </c>
      <c r="Y176" s="864" t="str">
        <f t="shared" ca="1" si="13"/>
        <v/>
      </c>
      <c r="AA176" s="828">
        <v>158</v>
      </c>
      <c r="AB176" s="1100"/>
      <c r="AC176" s="1079"/>
      <c r="AD176" s="1067"/>
      <c r="AE176" s="1076"/>
      <c r="AF176" s="1076"/>
      <c r="AG176" s="1048"/>
      <c r="AH176" s="1077"/>
      <c r="AI176" s="1076"/>
      <c r="AJ176" s="1078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4"/>
        <v/>
      </c>
      <c r="G177" s="520" t="str">
        <f t="shared" ca="1" si="15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2"/>
        <v/>
      </c>
      <c r="P177" s="742">
        <v>159</v>
      </c>
      <c r="Q177" s="517" t="str">
        <f t="shared" ca="1" si="16"/>
        <v/>
      </c>
      <c r="R177" s="520" t="str">
        <f t="shared" ca="1" si="17"/>
        <v/>
      </c>
      <c r="S177" s="430" t="str">
        <f ca="1"/>
        <v/>
      </c>
      <c r="T177" s="430" t="str">
        <f ca="1"/>
        <v/>
      </c>
      <c r="U177" s="430" t="str">
        <f ca="1"/>
        <v/>
      </c>
      <c r="V177" s="517" t="str">
        <f ca="1"/>
        <v/>
      </c>
      <c r="W177" s="518" t="str">
        <f ca="1"/>
        <v/>
      </c>
      <c r="X177" s="430" t="str">
        <f ca="1"/>
        <v/>
      </c>
      <c r="Y177" s="864" t="str">
        <f t="shared" ca="1" si="13"/>
        <v/>
      </c>
      <c r="AA177" s="828">
        <v>159</v>
      </c>
      <c r="AB177" s="1100"/>
      <c r="AC177" s="1079"/>
      <c r="AD177" s="1067"/>
      <c r="AE177" s="1076"/>
      <c r="AF177" s="1076"/>
      <c r="AG177" s="1048"/>
      <c r="AH177" s="1077"/>
      <c r="AI177" s="1076"/>
      <c r="AJ177" s="1078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4"/>
        <v/>
      </c>
      <c r="G178" s="520" t="str">
        <f t="shared" ca="1" si="15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2"/>
        <v/>
      </c>
      <c r="P178" s="742">
        <v>160</v>
      </c>
      <c r="Q178" s="517" t="str">
        <f t="shared" ca="1" si="16"/>
        <v/>
      </c>
      <c r="R178" s="520" t="str">
        <f t="shared" ca="1" si="17"/>
        <v/>
      </c>
      <c r="S178" s="430" t="str">
        <f ca="1"/>
        <v/>
      </c>
      <c r="T178" s="430" t="str">
        <f ca="1"/>
        <v/>
      </c>
      <c r="U178" s="430" t="str">
        <f ca="1"/>
        <v/>
      </c>
      <c r="V178" s="517" t="str">
        <f ca="1"/>
        <v/>
      </c>
      <c r="W178" s="518" t="str">
        <f ca="1"/>
        <v/>
      </c>
      <c r="X178" s="430" t="str">
        <f ca="1"/>
        <v/>
      </c>
      <c r="Y178" s="864" t="str">
        <f t="shared" ca="1" si="13"/>
        <v/>
      </c>
      <c r="AA178" s="828">
        <v>160</v>
      </c>
      <c r="AB178" s="1100"/>
      <c r="AC178" s="1079"/>
      <c r="AD178" s="1067"/>
      <c r="AE178" s="1076"/>
      <c r="AF178" s="1076"/>
      <c r="AG178" s="1048"/>
      <c r="AH178" s="1077"/>
      <c r="AI178" s="1076"/>
      <c r="AJ178" s="1078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4"/>
        <v/>
      </c>
      <c r="G179" s="520" t="str">
        <f t="shared" ca="1" si="15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2"/>
        <v/>
      </c>
      <c r="P179" s="742">
        <v>161</v>
      </c>
      <c r="Q179" s="517" t="str">
        <f t="shared" ca="1" si="16"/>
        <v/>
      </c>
      <c r="R179" s="520" t="str">
        <f t="shared" ca="1" si="17"/>
        <v/>
      </c>
      <c r="S179" s="430" t="str">
        <f ca="1"/>
        <v/>
      </c>
      <c r="T179" s="430" t="str">
        <f ca="1"/>
        <v/>
      </c>
      <c r="U179" s="430" t="str">
        <f ca="1"/>
        <v/>
      </c>
      <c r="V179" s="517" t="str">
        <f ca="1"/>
        <v/>
      </c>
      <c r="W179" s="518" t="str">
        <f ca="1"/>
        <v/>
      </c>
      <c r="X179" s="430" t="str">
        <f ca="1"/>
        <v/>
      </c>
      <c r="Y179" s="864" t="str">
        <f t="shared" ca="1" si="13"/>
        <v/>
      </c>
      <c r="AA179" s="828">
        <v>161</v>
      </c>
      <c r="AB179" s="1100"/>
      <c r="AC179" s="1079"/>
      <c r="AD179" s="1067"/>
      <c r="AE179" s="1076"/>
      <c r="AF179" s="1076"/>
      <c r="AG179" s="1048"/>
      <c r="AH179" s="1077"/>
      <c r="AI179" s="1076"/>
      <c r="AJ179" s="1078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4"/>
        <v/>
      </c>
      <c r="G180" s="520" t="str">
        <f t="shared" ca="1" si="15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2"/>
        <v/>
      </c>
      <c r="P180" s="742">
        <v>162</v>
      </c>
      <c r="Q180" s="517" t="str">
        <f t="shared" ca="1" si="16"/>
        <v/>
      </c>
      <c r="R180" s="520" t="str">
        <f t="shared" ca="1" si="17"/>
        <v/>
      </c>
      <c r="S180" s="430" t="str">
        <f ca="1"/>
        <v/>
      </c>
      <c r="T180" s="430" t="str">
        <f ca="1"/>
        <v/>
      </c>
      <c r="U180" s="430" t="str">
        <f ca="1"/>
        <v/>
      </c>
      <c r="V180" s="517" t="str">
        <f ca="1"/>
        <v/>
      </c>
      <c r="W180" s="518" t="str">
        <f ca="1"/>
        <v/>
      </c>
      <c r="X180" s="430" t="str">
        <f ca="1"/>
        <v/>
      </c>
      <c r="Y180" s="864" t="str">
        <f t="shared" ca="1" si="13"/>
        <v/>
      </c>
      <c r="AA180" s="828">
        <v>162</v>
      </c>
      <c r="AB180" s="1100"/>
      <c r="AC180" s="1079"/>
      <c r="AD180" s="1067"/>
      <c r="AE180" s="1076"/>
      <c r="AF180" s="1076"/>
      <c r="AG180" s="1048"/>
      <c r="AH180" s="1077"/>
      <c r="AI180" s="1076"/>
      <c r="AJ180" s="1078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4"/>
        <v/>
      </c>
      <c r="G181" s="520" t="str">
        <f t="shared" ca="1" si="15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2"/>
        <v/>
      </c>
      <c r="P181" s="742">
        <v>163</v>
      </c>
      <c r="Q181" s="517" t="str">
        <f t="shared" ca="1" si="16"/>
        <v/>
      </c>
      <c r="R181" s="520" t="str">
        <f t="shared" ca="1" si="17"/>
        <v/>
      </c>
      <c r="S181" s="430" t="str">
        <f ca="1"/>
        <v/>
      </c>
      <c r="T181" s="430" t="str">
        <f ca="1"/>
        <v/>
      </c>
      <c r="U181" s="430" t="str">
        <f ca="1"/>
        <v/>
      </c>
      <c r="V181" s="517" t="str">
        <f ca="1"/>
        <v/>
      </c>
      <c r="W181" s="518" t="str">
        <f ca="1"/>
        <v/>
      </c>
      <c r="X181" s="430" t="str">
        <f ca="1"/>
        <v/>
      </c>
      <c r="Y181" s="864" t="str">
        <f t="shared" ca="1" si="13"/>
        <v/>
      </c>
      <c r="AA181" s="828">
        <v>163</v>
      </c>
      <c r="AB181" s="1100"/>
      <c r="AC181" s="1079"/>
      <c r="AD181" s="1067"/>
      <c r="AE181" s="1076"/>
      <c r="AF181" s="1076"/>
      <c r="AG181" s="1048"/>
      <c r="AH181" s="1077"/>
      <c r="AI181" s="1076"/>
      <c r="AJ181" s="1078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4"/>
        <v/>
      </c>
      <c r="G182" s="520" t="str">
        <f t="shared" ca="1" si="15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2"/>
        <v/>
      </c>
      <c r="P182" s="742">
        <v>164</v>
      </c>
      <c r="Q182" s="517" t="str">
        <f t="shared" ca="1" si="16"/>
        <v/>
      </c>
      <c r="R182" s="520" t="str">
        <f t="shared" ca="1" si="17"/>
        <v/>
      </c>
      <c r="S182" s="430" t="str">
        <f ca="1"/>
        <v/>
      </c>
      <c r="T182" s="430" t="str">
        <f ca="1"/>
        <v/>
      </c>
      <c r="U182" s="430" t="str">
        <f ca="1"/>
        <v/>
      </c>
      <c r="V182" s="517" t="str">
        <f ca="1"/>
        <v/>
      </c>
      <c r="W182" s="518" t="str">
        <f ca="1"/>
        <v/>
      </c>
      <c r="X182" s="430" t="str">
        <f ca="1"/>
        <v/>
      </c>
      <c r="Y182" s="864" t="str">
        <f t="shared" ca="1" si="13"/>
        <v/>
      </c>
      <c r="AA182" s="828">
        <v>164</v>
      </c>
      <c r="AB182" s="1100"/>
      <c r="AC182" s="1079"/>
      <c r="AD182" s="1067"/>
      <c r="AE182" s="1076"/>
      <c r="AF182" s="1076"/>
      <c r="AG182" s="1048"/>
      <c r="AH182" s="1077"/>
      <c r="AI182" s="1076"/>
      <c r="AJ182" s="1078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4"/>
        <v/>
      </c>
      <c r="G183" s="520" t="str">
        <f t="shared" ca="1" si="15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2"/>
        <v/>
      </c>
      <c r="P183" s="742">
        <v>165</v>
      </c>
      <c r="Q183" s="517" t="str">
        <f t="shared" ca="1" si="16"/>
        <v/>
      </c>
      <c r="R183" s="520" t="str">
        <f t="shared" ca="1" si="17"/>
        <v/>
      </c>
      <c r="S183" s="430" t="str">
        <f ca="1"/>
        <v/>
      </c>
      <c r="T183" s="430" t="str">
        <f ca="1"/>
        <v/>
      </c>
      <c r="U183" s="430" t="str">
        <f ca="1"/>
        <v/>
      </c>
      <c r="V183" s="517" t="str">
        <f ca="1"/>
        <v/>
      </c>
      <c r="W183" s="518" t="str">
        <f ca="1"/>
        <v/>
      </c>
      <c r="X183" s="430" t="str">
        <f ca="1"/>
        <v/>
      </c>
      <c r="Y183" s="864" t="str">
        <f t="shared" ca="1" si="13"/>
        <v/>
      </c>
      <c r="AA183" s="828">
        <v>165</v>
      </c>
      <c r="AB183" s="1100"/>
      <c r="AC183" s="1079"/>
      <c r="AD183" s="1067"/>
      <c r="AE183" s="1076"/>
      <c r="AF183" s="1076"/>
      <c r="AG183" s="1048"/>
      <c r="AH183" s="1077"/>
      <c r="AI183" s="1076"/>
      <c r="AJ183" s="1078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4"/>
        <v/>
      </c>
      <c r="G184" s="520" t="str">
        <f t="shared" ca="1" si="15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2"/>
        <v/>
      </c>
      <c r="P184" s="742">
        <v>166</v>
      </c>
      <c r="Q184" s="517" t="str">
        <f t="shared" ca="1" si="16"/>
        <v/>
      </c>
      <c r="R184" s="520" t="str">
        <f t="shared" ca="1" si="17"/>
        <v/>
      </c>
      <c r="S184" s="430" t="str">
        <f ca="1"/>
        <v/>
      </c>
      <c r="T184" s="430" t="str">
        <f ca="1"/>
        <v/>
      </c>
      <c r="U184" s="430" t="str">
        <f ca="1"/>
        <v/>
      </c>
      <c r="V184" s="517" t="str">
        <f ca="1"/>
        <v/>
      </c>
      <c r="W184" s="518" t="str">
        <f ca="1"/>
        <v/>
      </c>
      <c r="X184" s="430" t="str">
        <f ca="1"/>
        <v/>
      </c>
      <c r="Y184" s="864" t="str">
        <f t="shared" ca="1" si="13"/>
        <v/>
      </c>
      <c r="AA184" s="828">
        <v>166</v>
      </c>
      <c r="AB184" s="1100"/>
      <c r="AC184" s="1079"/>
      <c r="AD184" s="1067"/>
      <c r="AE184" s="1076"/>
      <c r="AF184" s="1076"/>
      <c r="AG184" s="1048"/>
      <c r="AH184" s="1077"/>
      <c r="AI184" s="1076"/>
      <c r="AJ184" s="1078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4"/>
        <v/>
      </c>
      <c r="G185" s="520" t="str">
        <f t="shared" ca="1" si="15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2"/>
        <v/>
      </c>
      <c r="P185" s="742">
        <v>167</v>
      </c>
      <c r="Q185" s="517" t="str">
        <f t="shared" ca="1" si="16"/>
        <v/>
      </c>
      <c r="R185" s="520" t="str">
        <f t="shared" ca="1" si="17"/>
        <v/>
      </c>
      <c r="S185" s="430" t="str">
        <f ca="1"/>
        <v/>
      </c>
      <c r="T185" s="430" t="str">
        <f ca="1"/>
        <v/>
      </c>
      <c r="U185" s="430" t="str">
        <f ca="1"/>
        <v/>
      </c>
      <c r="V185" s="517" t="str">
        <f ca="1"/>
        <v/>
      </c>
      <c r="W185" s="518" t="str">
        <f ca="1"/>
        <v/>
      </c>
      <c r="X185" s="430" t="str">
        <f ca="1"/>
        <v/>
      </c>
      <c r="Y185" s="864" t="str">
        <f t="shared" ca="1" si="13"/>
        <v/>
      </c>
      <c r="AA185" s="828">
        <v>167</v>
      </c>
      <c r="AB185" s="1100"/>
      <c r="AC185" s="1079"/>
      <c r="AD185" s="1067"/>
      <c r="AE185" s="1076"/>
      <c r="AF185" s="1076"/>
      <c r="AG185" s="1048"/>
      <c r="AH185" s="1077"/>
      <c r="AI185" s="1076"/>
      <c r="AJ185" s="1078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4"/>
        <v/>
      </c>
      <c r="G186" s="520" t="str">
        <f t="shared" ca="1" si="15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2"/>
        <v/>
      </c>
      <c r="P186" s="742">
        <v>168</v>
      </c>
      <c r="Q186" s="517" t="str">
        <f t="shared" ca="1" si="16"/>
        <v/>
      </c>
      <c r="R186" s="520" t="str">
        <f t="shared" ca="1" si="17"/>
        <v/>
      </c>
      <c r="S186" s="430" t="str">
        <f ca="1"/>
        <v/>
      </c>
      <c r="T186" s="430" t="str">
        <f ca="1"/>
        <v/>
      </c>
      <c r="U186" s="430" t="str">
        <f ca="1"/>
        <v/>
      </c>
      <c r="V186" s="517" t="str">
        <f ca="1"/>
        <v/>
      </c>
      <c r="W186" s="518" t="str">
        <f ca="1"/>
        <v/>
      </c>
      <c r="X186" s="430" t="str">
        <f ca="1"/>
        <v/>
      </c>
      <c r="Y186" s="864" t="str">
        <f t="shared" ca="1" si="13"/>
        <v/>
      </c>
      <c r="AA186" s="828">
        <v>168</v>
      </c>
      <c r="AB186" s="1100"/>
      <c r="AC186" s="1079"/>
      <c r="AD186" s="1067"/>
      <c r="AE186" s="1076"/>
      <c r="AF186" s="1076"/>
      <c r="AG186" s="1048"/>
      <c r="AH186" s="1077"/>
      <c r="AI186" s="1076"/>
      <c r="AJ186" s="1078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4"/>
        <v/>
      </c>
      <c r="G187" s="520" t="str">
        <f t="shared" ca="1" si="15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2"/>
        <v/>
      </c>
      <c r="P187" s="742">
        <v>169</v>
      </c>
      <c r="Q187" s="517" t="str">
        <f t="shared" ca="1" si="16"/>
        <v/>
      </c>
      <c r="R187" s="520" t="str">
        <f t="shared" ca="1" si="17"/>
        <v/>
      </c>
      <c r="S187" s="430" t="str">
        <f ca="1"/>
        <v/>
      </c>
      <c r="T187" s="430" t="str">
        <f ca="1"/>
        <v/>
      </c>
      <c r="U187" s="430" t="str">
        <f ca="1"/>
        <v/>
      </c>
      <c r="V187" s="517" t="str">
        <f ca="1"/>
        <v/>
      </c>
      <c r="W187" s="518" t="str">
        <f ca="1"/>
        <v/>
      </c>
      <c r="X187" s="430" t="str">
        <f ca="1"/>
        <v/>
      </c>
      <c r="Y187" s="864" t="str">
        <f t="shared" ca="1" si="13"/>
        <v/>
      </c>
      <c r="AA187" s="828">
        <v>169</v>
      </c>
      <c r="AB187" s="1100"/>
      <c r="AC187" s="1079"/>
      <c r="AD187" s="1067"/>
      <c r="AE187" s="1076"/>
      <c r="AF187" s="1076"/>
      <c r="AG187" s="1048"/>
      <c r="AH187" s="1077"/>
      <c r="AI187" s="1076"/>
      <c r="AJ187" s="1078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4"/>
        <v/>
      </c>
      <c r="G188" s="520" t="str">
        <f t="shared" ca="1" si="15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2"/>
        <v/>
      </c>
      <c r="P188" s="742">
        <v>170</v>
      </c>
      <c r="Q188" s="517" t="str">
        <f t="shared" ca="1" si="16"/>
        <v/>
      </c>
      <c r="R188" s="520" t="str">
        <f t="shared" ca="1" si="17"/>
        <v/>
      </c>
      <c r="S188" s="430" t="str">
        <f ca="1"/>
        <v/>
      </c>
      <c r="T188" s="430" t="str">
        <f ca="1"/>
        <v/>
      </c>
      <c r="U188" s="430" t="str">
        <f ca="1"/>
        <v/>
      </c>
      <c r="V188" s="517" t="str">
        <f ca="1"/>
        <v/>
      </c>
      <c r="W188" s="518" t="str">
        <f ca="1"/>
        <v/>
      </c>
      <c r="X188" s="430" t="str">
        <f ca="1"/>
        <v/>
      </c>
      <c r="Y188" s="864" t="str">
        <f t="shared" ca="1" si="13"/>
        <v/>
      </c>
      <c r="AA188" s="828">
        <v>170</v>
      </c>
      <c r="AB188" s="1100"/>
      <c r="AC188" s="1079"/>
      <c r="AD188" s="1067"/>
      <c r="AE188" s="1076"/>
      <c r="AF188" s="1076"/>
      <c r="AG188" s="1048"/>
      <c r="AH188" s="1077"/>
      <c r="AI188" s="1076"/>
      <c r="AJ188" s="1078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4"/>
        <v/>
      </c>
      <c r="G189" s="520" t="str">
        <f t="shared" ca="1" si="15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2"/>
        <v/>
      </c>
      <c r="P189" s="742">
        <v>171</v>
      </c>
      <c r="Q189" s="517" t="str">
        <f t="shared" ca="1" si="16"/>
        <v/>
      </c>
      <c r="R189" s="520" t="str">
        <f t="shared" ca="1" si="17"/>
        <v/>
      </c>
      <c r="S189" s="430" t="str">
        <f ca="1"/>
        <v/>
      </c>
      <c r="T189" s="430" t="str">
        <f ca="1"/>
        <v/>
      </c>
      <c r="U189" s="430" t="str">
        <f ca="1"/>
        <v/>
      </c>
      <c r="V189" s="517" t="str">
        <f ca="1"/>
        <v/>
      </c>
      <c r="W189" s="518" t="str">
        <f ca="1"/>
        <v/>
      </c>
      <c r="X189" s="430" t="str">
        <f ca="1"/>
        <v/>
      </c>
      <c r="Y189" s="864" t="str">
        <f t="shared" ca="1" si="13"/>
        <v/>
      </c>
      <c r="AA189" s="828">
        <v>171</v>
      </c>
      <c r="AB189" s="1100"/>
      <c r="AC189" s="1079"/>
      <c r="AD189" s="1067"/>
      <c r="AE189" s="1076"/>
      <c r="AF189" s="1076"/>
      <c r="AG189" s="1048"/>
      <c r="AH189" s="1077"/>
      <c r="AI189" s="1076"/>
      <c r="AJ189" s="1078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4"/>
        <v/>
      </c>
      <c r="G190" s="520" t="str">
        <f t="shared" ca="1" si="15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2"/>
        <v/>
      </c>
      <c r="P190" s="742">
        <v>172</v>
      </c>
      <c r="Q190" s="517" t="str">
        <f t="shared" ca="1" si="16"/>
        <v/>
      </c>
      <c r="R190" s="520" t="str">
        <f t="shared" ca="1" si="17"/>
        <v/>
      </c>
      <c r="S190" s="430" t="str">
        <f ca="1"/>
        <v/>
      </c>
      <c r="T190" s="430" t="str">
        <f ca="1"/>
        <v/>
      </c>
      <c r="U190" s="430" t="str">
        <f ca="1"/>
        <v/>
      </c>
      <c r="V190" s="517" t="str">
        <f ca="1"/>
        <v/>
      </c>
      <c r="W190" s="518" t="str">
        <f ca="1"/>
        <v/>
      </c>
      <c r="X190" s="430" t="str">
        <f ca="1"/>
        <v/>
      </c>
      <c r="Y190" s="864" t="str">
        <f t="shared" ca="1" si="13"/>
        <v/>
      </c>
      <c r="AA190" s="828">
        <v>172</v>
      </c>
      <c r="AB190" s="1100"/>
      <c r="AC190" s="1079"/>
      <c r="AD190" s="1067"/>
      <c r="AE190" s="1076"/>
      <c r="AF190" s="1076"/>
      <c r="AG190" s="1048"/>
      <c r="AH190" s="1077"/>
      <c r="AI190" s="1076"/>
      <c r="AJ190" s="1078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4"/>
        <v/>
      </c>
      <c r="G191" s="520" t="str">
        <f t="shared" ca="1" si="15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2"/>
        <v/>
      </c>
      <c r="P191" s="742">
        <v>173</v>
      </c>
      <c r="Q191" s="517" t="str">
        <f t="shared" ca="1" si="16"/>
        <v/>
      </c>
      <c r="R191" s="520" t="str">
        <f t="shared" ca="1" si="17"/>
        <v/>
      </c>
      <c r="S191" s="430" t="str">
        <f ca="1"/>
        <v/>
      </c>
      <c r="T191" s="430" t="str">
        <f ca="1"/>
        <v/>
      </c>
      <c r="U191" s="430" t="str">
        <f ca="1"/>
        <v/>
      </c>
      <c r="V191" s="517" t="str">
        <f ca="1"/>
        <v/>
      </c>
      <c r="W191" s="518" t="str">
        <f ca="1"/>
        <v/>
      </c>
      <c r="X191" s="430" t="str">
        <f ca="1"/>
        <v/>
      </c>
      <c r="Y191" s="864" t="str">
        <f t="shared" ca="1" si="13"/>
        <v/>
      </c>
      <c r="AA191" s="828">
        <v>173</v>
      </c>
      <c r="AB191" s="1100"/>
      <c r="AC191" s="1079"/>
      <c r="AD191" s="1067"/>
      <c r="AE191" s="1076"/>
      <c r="AF191" s="1076"/>
      <c r="AG191" s="1048"/>
      <c r="AH191" s="1077"/>
      <c r="AI191" s="1076"/>
      <c r="AJ191" s="1078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4"/>
        <v/>
      </c>
      <c r="G192" s="520" t="str">
        <f t="shared" ca="1" si="15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2"/>
        <v/>
      </c>
      <c r="P192" s="742">
        <v>174</v>
      </c>
      <c r="Q192" s="517" t="str">
        <f t="shared" ca="1" si="16"/>
        <v/>
      </c>
      <c r="R192" s="520" t="str">
        <f t="shared" ca="1" si="17"/>
        <v/>
      </c>
      <c r="S192" s="430" t="str">
        <f ca="1"/>
        <v/>
      </c>
      <c r="T192" s="430" t="str">
        <f ca="1"/>
        <v/>
      </c>
      <c r="U192" s="430" t="str">
        <f ca="1"/>
        <v/>
      </c>
      <c r="V192" s="517" t="str">
        <f ca="1"/>
        <v/>
      </c>
      <c r="W192" s="518" t="str">
        <f ca="1"/>
        <v/>
      </c>
      <c r="X192" s="430" t="str">
        <f ca="1"/>
        <v/>
      </c>
      <c r="Y192" s="864" t="str">
        <f t="shared" ca="1" si="13"/>
        <v/>
      </c>
      <c r="AA192" s="828">
        <v>174</v>
      </c>
      <c r="AB192" s="1100"/>
      <c r="AC192" s="1079"/>
      <c r="AD192" s="1067"/>
      <c r="AE192" s="1076"/>
      <c r="AF192" s="1076"/>
      <c r="AG192" s="1048"/>
      <c r="AH192" s="1077"/>
      <c r="AI192" s="1076"/>
      <c r="AJ192" s="1078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4"/>
        <v/>
      </c>
      <c r="G193" s="520" t="str">
        <f t="shared" ca="1" si="15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2"/>
        <v/>
      </c>
      <c r="P193" s="742">
        <v>175</v>
      </c>
      <c r="Q193" s="517" t="str">
        <f t="shared" ca="1" si="16"/>
        <v/>
      </c>
      <c r="R193" s="520" t="str">
        <f t="shared" ca="1" si="17"/>
        <v/>
      </c>
      <c r="S193" s="430" t="str">
        <f ca="1"/>
        <v/>
      </c>
      <c r="T193" s="430" t="str">
        <f ca="1"/>
        <v/>
      </c>
      <c r="U193" s="430" t="str">
        <f ca="1"/>
        <v/>
      </c>
      <c r="V193" s="517" t="str">
        <f ca="1"/>
        <v/>
      </c>
      <c r="W193" s="518" t="str">
        <f ca="1"/>
        <v/>
      </c>
      <c r="X193" s="430" t="str">
        <f ca="1"/>
        <v/>
      </c>
      <c r="Y193" s="864" t="str">
        <f t="shared" ca="1" si="13"/>
        <v/>
      </c>
      <c r="AA193" s="828">
        <v>175</v>
      </c>
      <c r="AB193" s="1100"/>
      <c r="AC193" s="1079"/>
      <c r="AD193" s="1067"/>
      <c r="AE193" s="1076"/>
      <c r="AF193" s="1076"/>
      <c r="AG193" s="1048"/>
      <c r="AH193" s="1077"/>
      <c r="AI193" s="1076"/>
      <c r="AJ193" s="1078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4"/>
        <v/>
      </c>
      <c r="G194" s="520" t="str">
        <f t="shared" ca="1" si="15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2"/>
        <v/>
      </c>
      <c r="P194" s="742">
        <v>176</v>
      </c>
      <c r="Q194" s="517" t="str">
        <f t="shared" ca="1" si="16"/>
        <v/>
      </c>
      <c r="R194" s="520" t="str">
        <f t="shared" ca="1" si="17"/>
        <v/>
      </c>
      <c r="S194" s="430" t="str">
        <f ca="1"/>
        <v/>
      </c>
      <c r="T194" s="430" t="str">
        <f ca="1"/>
        <v/>
      </c>
      <c r="U194" s="430" t="str">
        <f ca="1"/>
        <v/>
      </c>
      <c r="V194" s="517" t="str">
        <f ca="1"/>
        <v/>
      </c>
      <c r="W194" s="518" t="str">
        <f ca="1"/>
        <v/>
      </c>
      <c r="X194" s="430" t="str">
        <f ca="1"/>
        <v/>
      </c>
      <c r="Y194" s="864" t="str">
        <f t="shared" ca="1" si="13"/>
        <v/>
      </c>
      <c r="AA194" s="828">
        <v>176</v>
      </c>
      <c r="AB194" s="1100"/>
      <c r="AC194" s="1079"/>
      <c r="AD194" s="1067"/>
      <c r="AE194" s="1076"/>
      <c r="AF194" s="1076"/>
      <c r="AG194" s="1048"/>
      <c r="AH194" s="1077"/>
      <c r="AI194" s="1076"/>
      <c r="AJ194" s="1078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4"/>
        <v/>
      </c>
      <c r="G195" s="520" t="str">
        <f t="shared" ca="1" si="15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2"/>
        <v/>
      </c>
      <c r="P195" s="742">
        <v>177</v>
      </c>
      <c r="Q195" s="517" t="str">
        <f t="shared" ca="1" si="16"/>
        <v/>
      </c>
      <c r="R195" s="520" t="str">
        <f t="shared" ca="1" si="17"/>
        <v/>
      </c>
      <c r="S195" s="430" t="str">
        <f ca="1"/>
        <v/>
      </c>
      <c r="T195" s="430" t="str">
        <f ca="1"/>
        <v/>
      </c>
      <c r="U195" s="430" t="str">
        <f ca="1"/>
        <v/>
      </c>
      <c r="V195" s="517" t="str">
        <f ca="1"/>
        <v/>
      </c>
      <c r="W195" s="518" t="str">
        <f ca="1"/>
        <v/>
      </c>
      <c r="X195" s="430" t="str">
        <f ca="1"/>
        <v/>
      </c>
      <c r="Y195" s="864" t="str">
        <f t="shared" ca="1" si="13"/>
        <v/>
      </c>
      <c r="AA195" s="828">
        <v>177</v>
      </c>
      <c r="AB195" s="1100"/>
      <c r="AC195" s="1079"/>
      <c r="AD195" s="1067"/>
      <c r="AE195" s="1076"/>
      <c r="AF195" s="1076"/>
      <c r="AG195" s="1048"/>
      <c r="AH195" s="1077"/>
      <c r="AI195" s="1076"/>
      <c r="AJ195" s="1078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4"/>
        <v/>
      </c>
      <c r="G196" s="520" t="str">
        <f t="shared" ca="1" si="15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2"/>
        <v/>
      </c>
      <c r="P196" s="742">
        <v>178</v>
      </c>
      <c r="Q196" s="517" t="str">
        <f t="shared" ca="1" si="16"/>
        <v/>
      </c>
      <c r="R196" s="520" t="str">
        <f t="shared" ca="1" si="17"/>
        <v/>
      </c>
      <c r="S196" s="430" t="str">
        <f ca="1"/>
        <v/>
      </c>
      <c r="T196" s="430" t="str">
        <f ca="1"/>
        <v/>
      </c>
      <c r="U196" s="430" t="str">
        <f ca="1"/>
        <v/>
      </c>
      <c r="V196" s="517" t="str">
        <f ca="1"/>
        <v/>
      </c>
      <c r="W196" s="518" t="str">
        <f ca="1"/>
        <v/>
      </c>
      <c r="X196" s="430" t="str">
        <f ca="1"/>
        <v/>
      </c>
      <c r="Y196" s="864" t="str">
        <f t="shared" ca="1" si="13"/>
        <v/>
      </c>
      <c r="AA196" s="828">
        <v>178</v>
      </c>
      <c r="AB196" s="1100"/>
      <c r="AC196" s="1079"/>
      <c r="AD196" s="1067"/>
      <c r="AE196" s="1076"/>
      <c r="AF196" s="1076"/>
      <c r="AG196" s="1048"/>
      <c r="AH196" s="1077"/>
      <c r="AI196" s="1076"/>
      <c r="AJ196" s="1078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4"/>
        <v/>
      </c>
      <c r="G197" s="520" t="str">
        <f t="shared" ca="1" si="15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2"/>
        <v/>
      </c>
      <c r="P197" s="742">
        <v>179</v>
      </c>
      <c r="Q197" s="517" t="str">
        <f t="shared" ca="1" si="16"/>
        <v/>
      </c>
      <c r="R197" s="520" t="str">
        <f t="shared" ca="1" si="17"/>
        <v/>
      </c>
      <c r="S197" s="430" t="str">
        <f ca="1"/>
        <v/>
      </c>
      <c r="T197" s="430" t="str">
        <f ca="1"/>
        <v/>
      </c>
      <c r="U197" s="430" t="str">
        <f ca="1"/>
        <v/>
      </c>
      <c r="V197" s="517" t="str">
        <f ca="1"/>
        <v/>
      </c>
      <c r="W197" s="518" t="str">
        <f ca="1"/>
        <v/>
      </c>
      <c r="X197" s="430" t="str">
        <f ca="1"/>
        <v/>
      </c>
      <c r="Y197" s="864" t="str">
        <f t="shared" ca="1" si="13"/>
        <v/>
      </c>
      <c r="AA197" s="828">
        <v>179</v>
      </c>
      <c r="AB197" s="1100"/>
      <c r="AC197" s="1079"/>
      <c r="AD197" s="1067"/>
      <c r="AE197" s="1076"/>
      <c r="AF197" s="1076"/>
      <c r="AG197" s="1048"/>
      <c r="AH197" s="1077"/>
      <c r="AI197" s="1076"/>
      <c r="AJ197" s="1078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4"/>
        <v/>
      </c>
      <c r="G198" s="520" t="str">
        <f t="shared" ca="1" si="15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2"/>
        <v/>
      </c>
      <c r="P198" s="742">
        <v>180</v>
      </c>
      <c r="Q198" s="517" t="str">
        <f t="shared" ca="1" si="16"/>
        <v/>
      </c>
      <c r="R198" s="520" t="str">
        <f t="shared" ca="1" si="17"/>
        <v/>
      </c>
      <c r="S198" s="430" t="str">
        <f ca="1"/>
        <v/>
      </c>
      <c r="T198" s="430" t="str">
        <f ca="1"/>
        <v/>
      </c>
      <c r="U198" s="430" t="str">
        <f ca="1"/>
        <v/>
      </c>
      <c r="V198" s="517" t="str">
        <f ca="1"/>
        <v/>
      </c>
      <c r="W198" s="518" t="str">
        <f ca="1"/>
        <v/>
      </c>
      <c r="X198" s="430" t="str">
        <f ca="1"/>
        <v/>
      </c>
      <c r="Y198" s="864" t="str">
        <f t="shared" ca="1" si="13"/>
        <v/>
      </c>
      <c r="AA198" s="828">
        <v>180</v>
      </c>
      <c r="AB198" s="1100"/>
      <c r="AC198" s="1079"/>
      <c r="AD198" s="1067"/>
      <c r="AE198" s="1076"/>
      <c r="AF198" s="1076"/>
      <c r="AG198" s="1048"/>
      <c r="AH198" s="1077"/>
      <c r="AI198" s="1076"/>
      <c r="AJ198" s="1078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4"/>
        <v/>
      </c>
      <c r="G199" s="520" t="str">
        <f t="shared" ca="1" si="15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2"/>
        <v/>
      </c>
      <c r="P199" s="742">
        <v>181</v>
      </c>
      <c r="Q199" s="517" t="str">
        <f t="shared" ca="1" si="16"/>
        <v/>
      </c>
      <c r="R199" s="520" t="str">
        <f t="shared" ca="1" si="17"/>
        <v/>
      </c>
      <c r="S199" s="430" t="str">
        <f ca="1"/>
        <v/>
      </c>
      <c r="T199" s="430" t="str">
        <f ca="1"/>
        <v/>
      </c>
      <c r="U199" s="430" t="str">
        <f ca="1"/>
        <v/>
      </c>
      <c r="V199" s="517" t="str">
        <f ca="1"/>
        <v/>
      </c>
      <c r="W199" s="518" t="str">
        <f ca="1"/>
        <v/>
      </c>
      <c r="X199" s="430" t="str">
        <f ca="1"/>
        <v/>
      </c>
      <c r="Y199" s="864" t="str">
        <f t="shared" ca="1" si="13"/>
        <v/>
      </c>
      <c r="AA199" s="828">
        <v>181</v>
      </c>
      <c r="AB199" s="1100"/>
      <c r="AC199" s="1079"/>
      <c r="AD199" s="1067"/>
      <c r="AE199" s="1076"/>
      <c r="AF199" s="1076"/>
      <c r="AG199" s="1048"/>
      <c r="AH199" s="1077"/>
      <c r="AI199" s="1076"/>
      <c r="AJ199" s="1078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4"/>
        <v/>
      </c>
      <c r="G200" s="520" t="str">
        <f t="shared" ca="1" si="15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2"/>
        <v/>
      </c>
      <c r="P200" s="742">
        <v>182</v>
      </c>
      <c r="Q200" s="517" t="str">
        <f t="shared" ca="1" si="16"/>
        <v/>
      </c>
      <c r="R200" s="520" t="str">
        <f t="shared" ca="1" si="17"/>
        <v/>
      </c>
      <c r="S200" s="430" t="str">
        <f ca="1"/>
        <v/>
      </c>
      <c r="T200" s="430" t="str">
        <f ca="1"/>
        <v/>
      </c>
      <c r="U200" s="430" t="str">
        <f ca="1"/>
        <v/>
      </c>
      <c r="V200" s="517" t="str">
        <f ca="1"/>
        <v/>
      </c>
      <c r="W200" s="518" t="str">
        <f ca="1"/>
        <v/>
      </c>
      <c r="X200" s="430" t="str">
        <f ca="1"/>
        <v/>
      </c>
      <c r="Y200" s="864" t="str">
        <f t="shared" ca="1" si="13"/>
        <v/>
      </c>
      <c r="AA200" s="828">
        <v>182</v>
      </c>
      <c r="AB200" s="1100"/>
      <c r="AC200" s="1079"/>
      <c r="AD200" s="1067"/>
      <c r="AE200" s="1076"/>
      <c r="AF200" s="1076"/>
      <c r="AG200" s="1048"/>
      <c r="AH200" s="1077"/>
      <c r="AI200" s="1076"/>
      <c r="AJ200" s="1078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4"/>
        <v/>
      </c>
      <c r="G201" s="520" t="str">
        <f t="shared" ca="1" si="15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2"/>
        <v/>
      </c>
      <c r="P201" s="742">
        <v>183</v>
      </c>
      <c r="Q201" s="517" t="str">
        <f t="shared" ca="1" si="16"/>
        <v/>
      </c>
      <c r="R201" s="520" t="str">
        <f t="shared" ca="1" si="17"/>
        <v/>
      </c>
      <c r="S201" s="430" t="str">
        <f ca="1"/>
        <v/>
      </c>
      <c r="T201" s="430" t="str">
        <f ca="1"/>
        <v/>
      </c>
      <c r="U201" s="430" t="str">
        <f ca="1"/>
        <v/>
      </c>
      <c r="V201" s="517" t="str">
        <f ca="1"/>
        <v/>
      </c>
      <c r="W201" s="518" t="str">
        <f ca="1"/>
        <v/>
      </c>
      <c r="X201" s="430" t="str">
        <f ca="1"/>
        <v/>
      </c>
      <c r="Y201" s="864" t="str">
        <f t="shared" ca="1" si="13"/>
        <v/>
      </c>
      <c r="AA201" s="828">
        <v>183</v>
      </c>
      <c r="AB201" s="1100"/>
      <c r="AC201" s="1079"/>
      <c r="AD201" s="1067"/>
      <c r="AE201" s="1076"/>
      <c r="AF201" s="1076"/>
      <c r="AG201" s="1048"/>
      <c r="AH201" s="1077"/>
      <c r="AI201" s="1076"/>
      <c r="AJ201" s="1078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4"/>
        <v/>
      </c>
      <c r="G202" s="520" t="str">
        <f t="shared" ca="1" si="15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2"/>
        <v/>
      </c>
      <c r="P202" s="742">
        <v>184</v>
      </c>
      <c r="Q202" s="517" t="str">
        <f t="shared" ca="1" si="16"/>
        <v/>
      </c>
      <c r="R202" s="520" t="str">
        <f t="shared" ca="1" si="17"/>
        <v/>
      </c>
      <c r="S202" s="430" t="str">
        <f ca="1"/>
        <v/>
      </c>
      <c r="T202" s="430" t="str">
        <f ca="1"/>
        <v/>
      </c>
      <c r="U202" s="430" t="str">
        <f ca="1"/>
        <v/>
      </c>
      <c r="V202" s="517" t="str">
        <f ca="1"/>
        <v/>
      </c>
      <c r="W202" s="518" t="str">
        <f ca="1"/>
        <v/>
      </c>
      <c r="X202" s="430" t="str">
        <f ca="1"/>
        <v/>
      </c>
      <c r="Y202" s="864" t="str">
        <f t="shared" ca="1" si="13"/>
        <v/>
      </c>
      <c r="AA202" s="828">
        <v>184</v>
      </c>
      <c r="AB202" s="1100"/>
      <c r="AC202" s="1079"/>
      <c r="AD202" s="1067"/>
      <c r="AE202" s="1076"/>
      <c r="AF202" s="1076"/>
      <c r="AG202" s="1048"/>
      <c r="AH202" s="1077"/>
      <c r="AI202" s="1076"/>
      <c r="AJ202" s="1078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4"/>
        <v/>
      </c>
      <c r="G203" s="520" t="str">
        <f t="shared" ca="1" si="15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2"/>
        <v/>
      </c>
      <c r="P203" s="742">
        <v>185</v>
      </c>
      <c r="Q203" s="517" t="str">
        <f t="shared" ca="1" si="16"/>
        <v/>
      </c>
      <c r="R203" s="520" t="str">
        <f t="shared" ca="1" si="17"/>
        <v/>
      </c>
      <c r="S203" s="430" t="str">
        <f ca="1"/>
        <v/>
      </c>
      <c r="T203" s="430" t="str">
        <f ca="1"/>
        <v/>
      </c>
      <c r="U203" s="430" t="str">
        <f ca="1"/>
        <v/>
      </c>
      <c r="V203" s="517" t="str">
        <f ca="1"/>
        <v/>
      </c>
      <c r="W203" s="518" t="str">
        <f ca="1"/>
        <v/>
      </c>
      <c r="X203" s="430" t="str">
        <f ca="1"/>
        <v/>
      </c>
      <c r="Y203" s="864" t="str">
        <f t="shared" ca="1" si="13"/>
        <v/>
      </c>
      <c r="AA203" s="828">
        <v>185</v>
      </c>
      <c r="AB203" s="1100"/>
      <c r="AC203" s="1079"/>
      <c r="AD203" s="1067"/>
      <c r="AE203" s="1076"/>
      <c r="AF203" s="1076"/>
      <c r="AG203" s="1048"/>
      <c r="AH203" s="1077"/>
      <c r="AI203" s="1076"/>
      <c r="AJ203" s="1078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4"/>
        <v/>
      </c>
      <c r="G204" s="520" t="str">
        <f t="shared" ca="1" si="15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2"/>
        <v/>
      </c>
      <c r="P204" s="742">
        <v>186</v>
      </c>
      <c r="Q204" s="517" t="str">
        <f t="shared" ca="1" si="16"/>
        <v/>
      </c>
      <c r="R204" s="520" t="str">
        <f t="shared" ca="1" si="17"/>
        <v/>
      </c>
      <c r="S204" s="430" t="str">
        <f ca="1"/>
        <v/>
      </c>
      <c r="T204" s="430" t="str">
        <f ca="1"/>
        <v/>
      </c>
      <c r="U204" s="430" t="str">
        <f ca="1"/>
        <v/>
      </c>
      <c r="V204" s="517" t="str">
        <f ca="1"/>
        <v/>
      </c>
      <c r="W204" s="518" t="str">
        <f ca="1"/>
        <v/>
      </c>
      <c r="X204" s="430" t="str">
        <f ca="1"/>
        <v/>
      </c>
      <c r="Y204" s="864" t="str">
        <f t="shared" ca="1" si="13"/>
        <v/>
      </c>
      <c r="AA204" s="828">
        <v>186</v>
      </c>
      <c r="AB204" s="1100"/>
      <c r="AC204" s="1079"/>
      <c r="AD204" s="1067"/>
      <c r="AE204" s="1076"/>
      <c r="AF204" s="1076"/>
      <c r="AG204" s="1048"/>
      <c r="AH204" s="1077"/>
      <c r="AI204" s="1076"/>
      <c r="AJ204" s="1078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4"/>
        <v/>
      </c>
      <c r="G205" s="520" t="str">
        <f t="shared" ca="1" si="15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2"/>
        <v/>
      </c>
      <c r="P205" s="742">
        <v>187</v>
      </c>
      <c r="Q205" s="517" t="str">
        <f t="shared" ca="1" si="16"/>
        <v/>
      </c>
      <c r="R205" s="520" t="str">
        <f t="shared" ca="1" si="17"/>
        <v/>
      </c>
      <c r="S205" s="430" t="str">
        <f ca="1"/>
        <v/>
      </c>
      <c r="T205" s="430" t="str">
        <f ca="1"/>
        <v/>
      </c>
      <c r="U205" s="430" t="str">
        <f ca="1"/>
        <v/>
      </c>
      <c r="V205" s="517" t="str">
        <f ca="1"/>
        <v/>
      </c>
      <c r="W205" s="518" t="str">
        <f ca="1"/>
        <v/>
      </c>
      <c r="X205" s="430" t="str">
        <f ca="1"/>
        <v/>
      </c>
      <c r="Y205" s="864" t="str">
        <f t="shared" ca="1" si="13"/>
        <v/>
      </c>
      <c r="AA205" s="828">
        <v>187</v>
      </c>
      <c r="AB205" s="1100"/>
      <c r="AC205" s="1079"/>
      <c r="AD205" s="1067"/>
      <c r="AE205" s="1076"/>
      <c r="AF205" s="1076"/>
      <c r="AG205" s="1048"/>
      <c r="AH205" s="1077"/>
      <c r="AI205" s="1076"/>
      <c r="AJ205" s="1078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4"/>
        <v/>
      </c>
      <c r="G206" s="520" t="str">
        <f t="shared" ca="1" si="15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2"/>
        <v/>
      </c>
      <c r="P206" s="742">
        <v>188</v>
      </c>
      <c r="Q206" s="517" t="str">
        <f t="shared" ca="1" si="16"/>
        <v/>
      </c>
      <c r="R206" s="520" t="str">
        <f t="shared" ca="1" si="17"/>
        <v/>
      </c>
      <c r="S206" s="430" t="str">
        <f ca="1"/>
        <v/>
      </c>
      <c r="T206" s="430" t="str">
        <f ca="1"/>
        <v/>
      </c>
      <c r="U206" s="430" t="str">
        <f ca="1"/>
        <v/>
      </c>
      <c r="V206" s="517" t="str">
        <f ca="1"/>
        <v/>
      </c>
      <c r="W206" s="518" t="str">
        <f ca="1"/>
        <v/>
      </c>
      <c r="X206" s="430" t="str">
        <f ca="1"/>
        <v/>
      </c>
      <c r="Y206" s="864" t="str">
        <f t="shared" ca="1" si="13"/>
        <v/>
      </c>
      <c r="AA206" s="828">
        <v>188</v>
      </c>
      <c r="AB206" s="1100"/>
      <c r="AC206" s="1079"/>
      <c r="AD206" s="1067"/>
      <c r="AE206" s="1076"/>
      <c r="AF206" s="1076"/>
      <c r="AG206" s="1048"/>
      <c r="AH206" s="1077"/>
      <c r="AI206" s="1076"/>
      <c r="AJ206" s="1078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4"/>
        <v/>
      </c>
      <c r="G207" s="520" t="str">
        <f t="shared" ca="1" si="15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2"/>
        <v/>
      </c>
      <c r="P207" s="742">
        <v>189</v>
      </c>
      <c r="Q207" s="517" t="str">
        <f t="shared" ca="1" si="16"/>
        <v/>
      </c>
      <c r="R207" s="520" t="str">
        <f t="shared" ca="1" si="17"/>
        <v/>
      </c>
      <c r="S207" s="430" t="str">
        <f ca="1"/>
        <v/>
      </c>
      <c r="T207" s="430" t="str">
        <f ca="1"/>
        <v/>
      </c>
      <c r="U207" s="430" t="str">
        <f ca="1"/>
        <v/>
      </c>
      <c r="V207" s="517" t="str">
        <f ca="1"/>
        <v/>
      </c>
      <c r="W207" s="518" t="str">
        <f ca="1"/>
        <v/>
      </c>
      <c r="X207" s="430" t="str">
        <f ca="1"/>
        <v/>
      </c>
      <c r="Y207" s="864" t="str">
        <f t="shared" ca="1" si="13"/>
        <v/>
      </c>
      <c r="AA207" s="828">
        <v>189</v>
      </c>
      <c r="AB207" s="1100"/>
      <c r="AC207" s="1079"/>
      <c r="AD207" s="1067"/>
      <c r="AE207" s="1076"/>
      <c r="AF207" s="1076"/>
      <c r="AG207" s="1048"/>
      <c r="AH207" s="1077"/>
      <c r="AI207" s="1076"/>
      <c r="AJ207" s="1078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4"/>
        <v/>
      </c>
      <c r="G208" s="520" t="str">
        <f t="shared" ca="1" si="15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2"/>
        <v/>
      </c>
      <c r="P208" s="742">
        <v>190</v>
      </c>
      <c r="Q208" s="517" t="str">
        <f t="shared" ca="1" si="16"/>
        <v/>
      </c>
      <c r="R208" s="520" t="str">
        <f t="shared" ca="1" si="17"/>
        <v/>
      </c>
      <c r="S208" s="430" t="str">
        <f ca="1"/>
        <v/>
      </c>
      <c r="T208" s="430" t="str">
        <f ca="1"/>
        <v/>
      </c>
      <c r="U208" s="430" t="str">
        <f ca="1"/>
        <v/>
      </c>
      <c r="V208" s="517" t="str">
        <f ca="1"/>
        <v/>
      </c>
      <c r="W208" s="518" t="str">
        <f ca="1"/>
        <v/>
      </c>
      <c r="X208" s="430" t="str">
        <f ca="1"/>
        <v/>
      </c>
      <c r="Y208" s="864" t="str">
        <f t="shared" ca="1" si="13"/>
        <v/>
      </c>
      <c r="AA208" s="828">
        <v>190</v>
      </c>
      <c r="AB208" s="1100"/>
      <c r="AC208" s="1079"/>
      <c r="AD208" s="1067"/>
      <c r="AE208" s="1076"/>
      <c r="AF208" s="1076"/>
      <c r="AG208" s="1048"/>
      <c r="AH208" s="1077"/>
      <c r="AI208" s="1076"/>
      <c r="AJ208" s="1078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4"/>
        <v/>
      </c>
      <c r="G209" s="520" t="str">
        <f t="shared" ca="1" si="15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2"/>
        <v/>
      </c>
      <c r="P209" s="742">
        <v>191</v>
      </c>
      <c r="Q209" s="517" t="str">
        <f t="shared" ca="1" si="16"/>
        <v/>
      </c>
      <c r="R209" s="520" t="str">
        <f t="shared" ca="1" si="17"/>
        <v/>
      </c>
      <c r="S209" s="430" t="str">
        <f ca="1"/>
        <v/>
      </c>
      <c r="T209" s="430" t="str">
        <f ca="1"/>
        <v/>
      </c>
      <c r="U209" s="430" t="str">
        <f ca="1"/>
        <v/>
      </c>
      <c r="V209" s="517" t="str">
        <f ca="1"/>
        <v/>
      </c>
      <c r="W209" s="518" t="str">
        <f ca="1"/>
        <v/>
      </c>
      <c r="X209" s="430" t="str">
        <f ca="1"/>
        <v/>
      </c>
      <c r="Y209" s="864" t="str">
        <f t="shared" ca="1" si="13"/>
        <v/>
      </c>
      <c r="AA209" s="828">
        <v>191</v>
      </c>
      <c r="AB209" s="1100"/>
      <c r="AC209" s="1079"/>
      <c r="AD209" s="1067"/>
      <c r="AE209" s="1076"/>
      <c r="AF209" s="1076"/>
      <c r="AG209" s="1048"/>
      <c r="AH209" s="1077"/>
      <c r="AI209" s="1076"/>
      <c r="AJ209" s="1078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4"/>
        <v/>
      </c>
      <c r="G210" s="520" t="str">
        <f t="shared" ca="1" si="15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2"/>
        <v/>
      </c>
      <c r="P210" s="742">
        <v>192</v>
      </c>
      <c r="Q210" s="517" t="str">
        <f t="shared" ca="1" si="16"/>
        <v/>
      </c>
      <c r="R210" s="520" t="str">
        <f t="shared" ca="1" si="17"/>
        <v/>
      </c>
      <c r="S210" s="430" t="str">
        <f ca="1"/>
        <v/>
      </c>
      <c r="T210" s="430" t="str">
        <f ca="1"/>
        <v/>
      </c>
      <c r="U210" s="430" t="str">
        <f ca="1"/>
        <v/>
      </c>
      <c r="V210" s="517" t="str">
        <f ca="1"/>
        <v/>
      </c>
      <c r="W210" s="518" t="str">
        <f ca="1"/>
        <v/>
      </c>
      <c r="X210" s="430" t="str">
        <f ca="1"/>
        <v/>
      </c>
      <c r="Y210" s="864" t="str">
        <f t="shared" ca="1" si="13"/>
        <v/>
      </c>
      <c r="AA210" s="828">
        <v>192</v>
      </c>
      <c r="AB210" s="1100"/>
      <c r="AC210" s="1079"/>
      <c r="AD210" s="1067"/>
      <c r="AE210" s="1076"/>
      <c r="AF210" s="1076"/>
      <c r="AG210" s="1048"/>
      <c r="AH210" s="1077"/>
      <c r="AI210" s="1076"/>
      <c r="AJ210" s="1078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4"/>
        <v/>
      </c>
      <c r="G211" s="520" t="str">
        <f t="shared" ca="1" si="15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18">IF($I211="","",VNS.FixedRate)</f>
        <v/>
      </c>
      <c r="P211" s="742">
        <v>193</v>
      </c>
      <c r="Q211" s="517" t="str">
        <f t="shared" ca="1" si="16"/>
        <v/>
      </c>
      <c r="R211" s="520" t="str">
        <f t="shared" ca="1" si="17"/>
        <v/>
      </c>
      <c r="S211" s="430" t="str">
        <f ca="1"/>
        <v/>
      </c>
      <c r="T211" s="430" t="str">
        <f ca="1"/>
        <v/>
      </c>
      <c r="U211" s="430" t="str">
        <f ca="1"/>
        <v/>
      </c>
      <c r="V211" s="517" t="str">
        <f ca="1"/>
        <v/>
      </c>
      <c r="W211" s="518" t="str">
        <f ca="1"/>
        <v/>
      </c>
      <c r="X211" s="430" t="str">
        <f ca="1"/>
        <v/>
      </c>
      <c r="Y211" s="864" t="str">
        <f t="shared" ref="Y211:Y274" ca="1" si="19">IF($T211="","",VNS.FloatSpread)</f>
        <v/>
      </c>
      <c r="AA211" s="828">
        <v>193</v>
      </c>
      <c r="AB211" s="1100"/>
      <c r="AC211" s="1079"/>
      <c r="AD211" s="1067"/>
      <c r="AE211" s="1076"/>
      <c r="AF211" s="1076"/>
      <c r="AG211" s="1048"/>
      <c r="AH211" s="1077"/>
      <c r="AI211" s="1076"/>
      <c r="AJ211" s="1078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0">IF($I212="","",IF(OR(VNS.FixedAmortization=0,VNS.FixedAmortization.Frequency=0),F211,IF(MOD(E212-1,VNS.FixedAmortization.Frequency)=0,F211-VNS.FixedAmortization,F211)))</f>
        <v/>
      </c>
      <c r="G212" s="520" t="str">
        <f t="shared" ref="G212:G275" ca="1" si="21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18"/>
        <v/>
      </c>
      <c r="P212" s="742">
        <v>194</v>
      </c>
      <c r="Q212" s="517" t="str">
        <f t="shared" ref="Q212:Q275" ca="1" si="22">IF($T212="","",IF(OR(VNS.FloatAmortization=0,VNS.FloatAmortization.Frequency=0),Q211,IF(MOD(P212-1,VNS.FloatAmortization.Frequency)=0,Q211-VNS.FloatAmortization,Q211)))</f>
        <v/>
      </c>
      <c r="R212" s="520" t="str">
        <f t="shared" ref="R212:R275" ca="1" si="23">IF(T212="","",1)</f>
        <v/>
      </c>
      <c r="S212" s="430" t="str">
        <f ca="1"/>
        <v/>
      </c>
      <c r="T212" s="430" t="str">
        <f ca="1"/>
        <v/>
      </c>
      <c r="U212" s="430" t="str">
        <f ca="1"/>
        <v/>
      </c>
      <c r="V212" s="517" t="str">
        <f ca="1"/>
        <v/>
      </c>
      <c r="W212" s="518" t="str">
        <f ca="1"/>
        <v/>
      </c>
      <c r="X212" s="430" t="str">
        <f ca="1"/>
        <v/>
      </c>
      <c r="Y212" s="864" t="str">
        <f t="shared" ca="1" si="19"/>
        <v/>
      </c>
      <c r="AA212" s="828">
        <v>194</v>
      </c>
      <c r="AB212" s="1100"/>
      <c r="AC212" s="1079"/>
      <c r="AD212" s="1067"/>
      <c r="AE212" s="1076"/>
      <c r="AF212" s="1076"/>
      <c r="AG212" s="1048"/>
      <c r="AH212" s="1077"/>
      <c r="AI212" s="1076"/>
      <c r="AJ212" s="1078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0"/>
        <v/>
      </c>
      <c r="G213" s="520" t="str">
        <f t="shared" ca="1" si="21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18"/>
        <v/>
      </c>
      <c r="P213" s="742">
        <v>195</v>
      </c>
      <c r="Q213" s="517" t="str">
        <f t="shared" ca="1" si="22"/>
        <v/>
      </c>
      <c r="R213" s="520" t="str">
        <f t="shared" ca="1" si="23"/>
        <v/>
      </c>
      <c r="S213" s="430" t="str">
        <f ca="1"/>
        <v/>
      </c>
      <c r="T213" s="430" t="str">
        <f ca="1"/>
        <v/>
      </c>
      <c r="U213" s="430" t="str">
        <f ca="1"/>
        <v/>
      </c>
      <c r="V213" s="517" t="str">
        <f ca="1"/>
        <v/>
      </c>
      <c r="W213" s="518" t="str">
        <f ca="1"/>
        <v/>
      </c>
      <c r="X213" s="430" t="str">
        <f ca="1"/>
        <v/>
      </c>
      <c r="Y213" s="864" t="str">
        <f t="shared" ca="1" si="19"/>
        <v/>
      </c>
      <c r="AA213" s="828">
        <v>195</v>
      </c>
      <c r="AB213" s="1100"/>
      <c r="AC213" s="1079"/>
      <c r="AD213" s="1067"/>
      <c r="AE213" s="1076"/>
      <c r="AF213" s="1076"/>
      <c r="AG213" s="1048"/>
      <c r="AH213" s="1077"/>
      <c r="AI213" s="1076"/>
      <c r="AJ213" s="1078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0"/>
        <v/>
      </c>
      <c r="G214" s="520" t="str">
        <f t="shared" ca="1" si="21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18"/>
        <v/>
      </c>
      <c r="P214" s="742">
        <v>196</v>
      </c>
      <c r="Q214" s="517" t="str">
        <f t="shared" ca="1" si="22"/>
        <v/>
      </c>
      <c r="R214" s="520" t="str">
        <f t="shared" ca="1" si="23"/>
        <v/>
      </c>
      <c r="S214" s="430" t="str">
        <f ca="1"/>
        <v/>
      </c>
      <c r="T214" s="430" t="str">
        <f ca="1"/>
        <v/>
      </c>
      <c r="U214" s="430" t="str">
        <f ca="1"/>
        <v/>
      </c>
      <c r="V214" s="517" t="str">
        <f ca="1"/>
        <v/>
      </c>
      <c r="W214" s="518" t="str">
        <f ca="1"/>
        <v/>
      </c>
      <c r="X214" s="430" t="str">
        <f ca="1"/>
        <v/>
      </c>
      <c r="Y214" s="864" t="str">
        <f t="shared" ca="1" si="19"/>
        <v/>
      </c>
      <c r="AA214" s="828">
        <v>196</v>
      </c>
      <c r="AB214" s="1100"/>
      <c r="AC214" s="1079"/>
      <c r="AD214" s="1067"/>
      <c r="AE214" s="1076"/>
      <c r="AF214" s="1076"/>
      <c r="AG214" s="1048"/>
      <c r="AH214" s="1077"/>
      <c r="AI214" s="1076"/>
      <c r="AJ214" s="1078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0"/>
        <v/>
      </c>
      <c r="G215" s="520" t="str">
        <f t="shared" ca="1" si="21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18"/>
        <v/>
      </c>
      <c r="P215" s="742">
        <v>197</v>
      </c>
      <c r="Q215" s="517" t="str">
        <f t="shared" ca="1" si="22"/>
        <v/>
      </c>
      <c r="R215" s="520" t="str">
        <f t="shared" ca="1" si="23"/>
        <v/>
      </c>
      <c r="S215" s="430" t="str">
        <f ca="1"/>
        <v/>
      </c>
      <c r="T215" s="430" t="str">
        <f ca="1"/>
        <v/>
      </c>
      <c r="U215" s="430" t="str">
        <f ca="1"/>
        <v/>
      </c>
      <c r="V215" s="517" t="str">
        <f ca="1"/>
        <v/>
      </c>
      <c r="W215" s="518" t="str">
        <f ca="1"/>
        <v/>
      </c>
      <c r="X215" s="430" t="str">
        <f ca="1"/>
        <v/>
      </c>
      <c r="Y215" s="864" t="str">
        <f t="shared" ca="1" si="19"/>
        <v/>
      </c>
      <c r="AA215" s="828">
        <v>197</v>
      </c>
      <c r="AB215" s="1100"/>
      <c r="AC215" s="1079"/>
      <c r="AD215" s="1067"/>
      <c r="AE215" s="1076"/>
      <c r="AF215" s="1076"/>
      <c r="AG215" s="1048"/>
      <c r="AH215" s="1077"/>
      <c r="AI215" s="1076"/>
      <c r="AJ215" s="1078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0"/>
        <v/>
      </c>
      <c r="G216" s="520" t="str">
        <f t="shared" ca="1" si="21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18"/>
        <v/>
      </c>
      <c r="P216" s="742">
        <v>198</v>
      </c>
      <c r="Q216" s="517" t="str">
        <f t="shared" ca="1" si="22"/>
        <v/>
      </c>
      <c r="R216" s="520" t="str">
        <f t="shared" ca="1" si="23"/>
        <v/>
      </c>
      <c r="S216" s="430" t="str">
        <f ca="1"/>
        <v/>
      </c>
      <c r="T216" s="430" t="str">
        <f ca="1"/>
        <v/>
      </c>
      <c r="U216" s="430" t="str">
        <f ca="1"/>
        <v/>
      </c>
      <c r="V216" s="517" t="str">
        <f ca="1"/>
        <v/>
      </c>
      <c r="W216" s="518" t="str">
        <f ca="1"/>
        <v/>
      </c>
      <c r="X216" s="430" t="str">
        <f ca="1"/>
        <v/>
      </c>
      <c r="Y216" s="864" t="str">
        <f t="shared" ca="1" si="19"/>
        <v/>
      </c>
      <c r="AA216" s="828">
        <v>198</v>
      </c>
      <c r="AB216" s="1100"/>
      <c r="AC216" s="1079"/>
      <c r="AD216" s="1067"/>
      <c r="AE216" s="1076"/>
      <c r="AF216" s="1076"/>
      <c r="AG216" s="1048"/>
      <c r="AH216" s="1077"/>
      <c r="AI216" s="1076"/>
      <c r="AJ216" s="1078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0"/>
        <v/>
      </c>
      <c r="G217" s="520" t="str">
        <f t="shared" ca="1" si="21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18"/>
        <v/>
      </c>
      <c r="P217" s="742">
        <v>199</v>
      </c>
      <c r="Q217" s="517" t="str">
        <f t="shared" ca="1" si="22"/>
        <v/>
      </c>
      <c r="R217" s="520" t="str">
        <f t="shared" ca="1" si="23"/>
        <v/>
      </c>
      <c r="S217" s="430" t="str">
        <f ca="1"/>
        <v/>
      </c>
      <c r="T217" s="430" t="str">
        <f ca="1"/>
        <v/>
      </c>
      <c r="U217" s="430" t="str">
        <f ca="1"/>
        <v/>
      </c>
      <c r="V217" s="517" t="str">
        <f ca="1"/>
        <v/>
      </c>
      <c r="W217" s="518" t="str">
        <f ca="1"/>
        <v/>
      </c>
      <c r="X217" s="430" t="str">
        <f ca="1"/>
        <v/>
      </c>
      <c r="Y217" s="864" t="str">
        <f t="shared" ca="1" si="19"/>
        <v/>
      </c>
      <c r="AA217" s="828">
        <v>199</v>
      </c>
      <c r="AB217" s="1100"/>
      <c r="AC217" s="1079"/>
      <c r="AD217" s="1067"/>
      <c r="AE217" s="1076"/>
      <c r="AF217" s="1076"/>
      <c r="AG217" s="1048"/>
      <c r="AH217" s="1077"/>
      <c r="AI217" s="1076"/>
      <c r="AJ217" s="1078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0"/>
        <v/>
      </c>
      <c r="G218" s="520" t="str">
        <f t="shared" ca="1" si="21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18"/>
        <v/>
      </c>
      <c r="P218" s="742">
        <v>200</v>
      </c>
      <c r="Q218" s="517" t="str">
        <f t="shared" ca="1" si="22"/>
        <v/>
      </c>
      <c r="R218" s="520" t="str">
        <f t="shared" ca="1" si="23"/>
        <v/>
      </c>
      <c r="S218" s="430" t="str">
        <f ca="1"/>
        <v/>
      </c>
      <c r="T218" s="430" t="str">
        <f ca="1"/>
        <v/>
      </c>
      <c r="U218" s="430" t="str">
        <f ca="1"/>
        <v/>
      </c>
      <c r="V218" s="517" t="str">
        <f ca="1"/>
        <v/>
      </c>
      <c r="W218" s="518" t="str">
        <f ca="1"/>
        <v/>
      </c>
      <c r="X218" s="430" t="str">
        <f ca="1"/>
        <v/>
      </c>
      <c r="Y218" s="864" t="str">
        <f t="shared" ca="1" si="19"/>
        <v/>
      </c>
      <c r="AA218" s="828">
        <v>200</v>
      </c>
      <c r="AB218" s="1100"/>
      <c r="AC218" s="1079"/>
      <c r="AD218" s="1067"/>
      <c r="AE218" s="1076"/>
      <c r="AF218" s="1076"/>
      <c r="AG218" s="1048"/>
      <c r="AH218" s="1077"/>
      <c r="AI218" s="1076"/>
      <c r="AJ218" s="1078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0"/>
        <v/>
      </c>
      <c r="G219" s="520" t="str">
        <f t="shared" ca="1" si="21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18"/>
        <v/>
      </c>
      <c r="P219" s="742">
        <v>201</v>
      </c>
      <c r="Q219" s="517" t="str">
        <f t="shared" ca="1" si="22"/>
        <v/>
      </c>
      <c r="R219" s="520" t="str">
        <f t="shared" ca="1" si="23"/>
        <v/>
      </c>
      <c r="S219" s="430" t="str">
        <f ca="1"/>
        <v/>
      </c>
      <c r="T219" s="430" t="str">
        <f ca="1"/>
        <v/>
      </c>
      <c r="U219" s="430" t="str">
        <f ca="1"/>
        <v/>
      </c>
      <c r="V219" s="517" t="str">
        <f ca="1"/>
        <v/>
      </c>
      <c r="W219" s="518" t="str">
        <f ca="1"/>
        <v/>
      </c>
      <c r="X219" s="430" t="str">
        <f ca="1"/>
        <v/>
      </c>
      <c r="Y219" s="864" t="str">
        <f t="shared" ca="1" si="19"/>
        <v/>
      </c>
      <c r="AA219" s="828">
        <v>201</v>
      </c>
      <c r="AB219" s="1100"/>
      <c r="AC219" s="1079"/>
      <c r="AD219" s="1067"/>
      <c r="AE219" s="1076"/>
      <c r="AF219" s="1076"/>
      <c r="AG219" s="1048"/>
      <c r="AH219" s="1077"/>
      <c r="AI219" s="1076"/>
      <c r="AJ219" s="1078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0"/>
        <v/>
      </c>
      <c r="G220" s="520" t="str">
        <f t="shared" ca="1" si="21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18"/>
        <v/>
      </c>
      <c r="P220" s="742">
        <v>202</v>
      </c>
      <c r="Q220" s="517" t="str">
        <f t="shared" ca="1" si="22"/>
        <v/>
      </c>
      <c r="R220" s="520" t="str">
        <f t="shared" ca="1" si="23"/>
        <v/>
      </c>
      <c r="S220" s="430" t="str">
        <f ca="1"/>
        <v/>
      </c>
      <c r="T220" s="430" t="str">
        <f ca="1"/>
        <v/>
      </c>
      <c r="U220" s="430" t="str">
        <f ca="1"/>
        <v/>
      </c>
      <c r="V220" s="517" t="str">
        <f ca="1"/>
        <v/>
      </c>
      <c r="W220" s="518" t="str">
        <f ca="1"/>
        <v/>
      </c>
      <c r="X220" s="430" t="str">
        <f ca="1"/>
        <v/>
      </c>
      <c r="Y220" s="864" t="str">
        <f t="shared" ca="1" si="19"/>
        <v/>
      </c>
      <c r="AA220" s="828">
        <v>202</v>
      </c>
      <c r="AB220" s="1100"/>
      <c r="AC220" s="1079"/>
      <c r="AD220" s="1067"/>
      <c r="AE220" s="1076"/>
      <c r="AF220" s="1076"/>
      <c r="AG220" s="1048"/>
      <c r="AH220" s="1077"/>
      <c r="AI220" s="1076"/>
      <c r="AJ220" s="1078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0"/>
        <v/>
      </c>
      <c r="G221" s="520" t="str">
        <f t="shared" ca="1" si="21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18"/>
        <v/>
      </c>
      <c r="P221" s="742">
        <v>203</v>
      </c>
      <c r="Q221" s="517" t="str">
        <f t="shared" ca="1" si="22"/>
        <v/>
      </c>
      <c r="R221" s="520" t="str">
        <f t="shared" ca="1" si="23"/>
        <v/>
      </c>
      <c r="S221" s="430" t="str">
        <f ca="1"/>
        <v/>
      </c>
      <c r="T221" s="430" t="str">
        <f ca="1"/>
        <v/>
      </c>
      <c r="U221" s="430" t="str">
        <f ca="1"/>
        <v/>
      </c>
      <c r="V221" s="517" t="str">
        <f ca="1"/>
        <v/>
      </c>
      <c r="W221" s="518" t="str">
        <f ca="1"/>
        <v/>
      </c>
      <c r="X221" s="430" t="str">
        <f ca="1"/>
        <v/>
      </c>
      <c r="Y221" s="864" t="str">
        <f t="shared" ca="1" si="19"/>
        <v/>
      </c>
      <c r="AA221" s="828">
        <v>203</v>
      </c>
      <c r="AB221" s="1100"/>
      <c r="AC221" s="1079"/>
      <c r="AD221" s="1067"/>
      <c r="AE221" s="1076"/>
      <c r="AF221" s="1076"/>
      <c r="AG221" s="1048"/>
      <c r="AH221" s="1077"/>
      <c r="AI221" s="1076"/>
      <c r="AJ221" s="1078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0"/>
        <v/>
      </c>
      <c r="G222" s="520" t="str">
        <f t="shared" ca="1" si="21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18"/>
        <v/>
      </c>
      <c r="P222" s="742">
        <v>204</v>
      </c>
      <c r="Q222" s="517" t="str">
        <f t="shared" ca="1" si="22"/>
        <v/>
      </c>
      <c r="R222" s="520" t="str">
        <f t="shared" ca="1" si="23"/>
        <v/>
      </c>
      <c r="S222" s="430" t="str">
        <f ca="1"/>
        <v/>
      </c>
      <c r="T222" s="430" t="str">
        <f ca="1"/>
        <v/>
      </c>
      <c r="U222" s="430" t="str">
        <f ca="1"/>
        <v/>
      </c>
      <c r="V222" s="517" t="str">
        <f ca="1"/>
        <v/>
      </c>
      <c r="W222" s="518" t="str">
        <f ca="1"/>
        <v/>
      </c>
      <c r="X222" s="430" t="str">
        <f ca="1"/>
        <v/>
      </c>
      <c r="Y222" s="864" t="str">
        <f t="shared" ca="1" si="19"/>
        <v/>
      </c>
      <c r="AA222" s="828">
        <v>204</v>
      </c>
      <c r="AB222" s="1100"/>
      <c r="AC222" s="1079"/>
      <c r="AD222" s="1067"/>
      <c r="AE222" s="1076"/>
      <c r="AF222" s="1076"/>
      <c r="AG222" s="1048"/>
      <c r="AH222" s="1077"/>
      <c r="AI222" s="1076"/>
      <c r="AJ222" s="1078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0"/>
        <v/>
      </c>
      <c r="G223" s="520" t="str">
        <f t="shared" ca="1" si="21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18"/>
        <v/>
      </c>
      <c r="P223" s="742">
        <v>205</v>
      </c>
      <c r="Q223" s="517" t="str">
        <f t="shared" ca="1" si="22"/>
        <v/>
      </c>
      <c r="R223" s="520" t="str">
        <f t="shared" ca="1" si="23"/>
        <v/>
      </c>
      <c r="S223" s="430" t="str">
        <f ca="1"/>
        <v/>
      </c>
      <c r="T223" s="430" t="str">
        <f ca="1"/>
        <v/>
      </c>
      <c r="U223" s="430" t="str">
        <f ca="1"/>
        <v/>
      </c>
      <c r="V223" s="517" t="str">
        <f ca="1"/>
        <v/>
      </c>
      <c r="W223" s="518" t="str">
        <f ca="1"/>
        <v/>
      </c>
      <c r="X223" s="430" t="str">
        <f ca="1"/>
        <v/>
      </c>
      <c r="Y223" s="864" t="str">
        <f t="shared" ca="1" si="19"/>
        <v/>
      </c>
      <c r="AA223" s="828">
        <v>205</v>
      </c>
      <c r="AB223" s="1100"/>
      <c r="AC223" s="1079"/>
      <c r="AD223" s="1067"/>
      <c r="AE223" s="1076"/>
      <c r="AF223" s="1076"/>
      <c r="AG223" s="1048"/>
      <c r="AH223" s="1077"/>
      <c r="AI223" s="1076"/>
      <c r="AJ223" s="1078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0"/>
        <v/>
      </c>
      <c r="G224" s="520" t="str">
        <f t="shared" ca="1" si="21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18"/>
        <v/>
      </c>
      <c r="P224" s="742">
        <v>206</v>
      </c>
      <c r="Q224" s="517" t="str">
        <f t="shared" ca="1" si="22"/>
        <v/>
      </c>
      <c r="R224" s="520" t="str">
        <f t="shared" ca="1" si="23"/>
        <v/>
      </c>
      <c r="S224" s="430" t="str">
        <f ca="1"/>
        <v/>
      </c>
      <c r="T224" s="430" t="str">
        <f ca="1"/>
        <v/>
      </c>
      <c r="U224" s="430" t="str">
        <f ca="1"/>
        <v/>
      </c>
      <c r="V224" s="517" t="str">
        <f ca="1"/>
        <v/>
      </c>
      <c r="W224" s="518" t="str">
        <f ca="1"/>
        <v/>
      </c>
      <c r="X224" s="430" t="str">
        <f ca="1"/>
        <v/>
      </c>
      <c r="Y224" s="864" t="str">
        <f t="shared" ca="1" si="19"/>
        <v/>
      </c>
      <c r="AA224" s="828">
        <v>206</v>
      </c>
      <c r="AB224" s="1100"/>
      <c r="AC224" s="1079"/>
      <c r="AD224" s="1067"/>
      <c r="AE224" s="1076"/>
      <c r="AF224" s="1076"/>
      <c r="AG224" s="1048"/>
      <c r="AH224" s="1077"/>
      <c r="AI224" s="1076"/>
      <c r="AJ224" s="1078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0"/>
        <v/>
      </c>
      <c r="G225" s="520" t="str">
        <f t="shared" ca="1" si="21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18"/>
        <v/>
      </c>
      <c r="P225" s="742">
        <v>207</v>
      </c>
      <c r="Q225" s="517" t="str">
        <f t="shared" ca="1" si="22"/>
        <v/>
      </c>
      <c r="R225" s="520" t="str">
        <f t="shared" ca="1" si="23"/>
        <v/>
      </c>
      <c r="S225" s="430" t="str">
        <f ca="1"/>
        <v/>
      </c>
      <c r="T225" s="430" t="str">
        <f ca="1"/>
        <v/>
      </c>
      <c r="U225" s="430" t="str">
        <f ca="1"/>
        <v/>
      </c>
      <c r="V225" s="517" t="str">
        <f ca="1"/>
        <v/>
      </c>
      <c r="W225" s="518" t="str">
        <f ca="1"/>
        <v/>
      </c>
      <c r="X225" s="430" t="str">
        <f ca="1"/>
        <v/>
      </c>
      <c r="Y225" s="864" t="str">
        <f t="shared" ca="1" si="19"/>
        <v/>
      </c>
      <c r="AA225" s="828">
        <v>207</v>
      </c>
      <c r="AB225" s="1100"/>
      <c r="AC225" s="1079"/>
      <c r="AD225" s="1067"/>
      <c r="AE225" s="1076"/>
      <c r="AF225" s="1076"/>
      <c r="AG225" s="1048"/>
      <c r="AH225" s="1077"/>
      <c r="AI225" s="1076"/>
      <c r="AJ225" s="1078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0"/>
        <v/>
      </c>
      <c r="G226" s="520" t="str">
        <f t="shared" ca="1" si="21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18"/>
        <v/>
      </c>
      <c r="P226" s="742">
        <v>208</v>
      </c>
      <c r="Q226" s="517" t="str">
        <f t="shared" ca="1" si="22"/>
        <v/>
      </c>
      <c r="R226" s="520" t="str">
        <f t="shared" ca="1" si="23"/>
        <v/>
      </c>
      <c r="S226" s="430" t="str">
        <f ca="1"/>
        <v/>
      </c>
      <c r="T226" s="430" t="str">
        <f ca="1"/>
        <v/>
      </c>
      <c r="U226" s="430" t="str">
        <f ca="1"/>
        <v/>
      </c>
      <c r="V226" s="517" t="str">
        <f ca="1"/>
        <v/>
      </c>
      <c r="W226" s="518" t="str">
        <f ca="1"/>
        <v/>
      </c>
      <c r="X226" s="430" t="str">
        <f ca="1"/>
        <v/>
      </c>
      <c r="Y226" s="864" t="str">
        <f t="shared" ca="1" si="19"/>
        <v/>
      </c>
      <c r="AA226" s="828">
        <v>208</v>
      </c>
      <c r="AB226" s="1100"/>
      <c r="AC226" s="1079"/>
      <c r="AD226" s="1067"/>
      <c r="AE226" s="1076"/>
      <c r="AF226" s="1076"/>
      <c r="AG226" s="1048"/>
      <c r="AH226" s="1077"/>
      <c r="AI226" s="1076"/>
      <c r="AJ226" s="1078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0"/>
        <v/>
      </c>
      <c r="G227" s="520" t="str">
        <f t="shared" ca="1" si="21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18"/>
        <v/>
      </c>
      <c r="P227" s="742">
        <v>209</v>
      </c>
      <c r="Q227" s="517" t="str">
        <f t="shared" ca="1" si="22"/>
        <v/>
      </c>
      <c r="R227" s="520" t="str">
        <f t="shared" ca="1" si="23"/>
        <v/>
      </c>
      <c r="S227" s="430" t="str">
        <f ca="1"/>
        <v/>
      </c>
      <c r="T227" s="430" t="str">
        <f ca="1"/>
        <v/>
      </c>
      <c r="U227" s="430" t="str">
        <f ca="1"/>
        <v/>
      </c>
      <c r="V227" s="517" t="str">
        <f ca="1"/>
        <v/>
      </c>
      <c r="W227" s="518" t="str">
        <f ca="1"/>
        <v/>
      </c>
      <c r="X227" s="430" t="str">
        <f ca="1"/>
        <v/>
      </c>
      <c r="Y227" s="864" t="str">
        <f t="shared" ca="1" si="19"/>
        <v/>
      </c>
      <c r="AA227" s="828">
        <v>209</v>
      </c>
      <c r="AB227" s="1100"/>
      <c r="AC227" s="1079"/>
      <c r="AD227" s="1067"/>
      <c r="AE227" s="1076"/>
      <c r="AF227" s="1076"/>
      <c r="AG227" s="1048"/>
      <c r="AH227" s="1077"/>
      <c r="AI227" s="1076"/>
      <c r="AJ227" s="1078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0"/>
        <v/>
      </c>
      <c r="G228" s="520" t="str">
        <f t="shared" ca="1" si="21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18"/>
        <v/>
      </c>
      <c r="P228" s="742">
        <v>210</v>
      </c>
      <c r="Q228" s="517" t="str">
        <f t="shared" ca="1" si="22"/>
        <v/>
      </c>
      <c r="R228" s="520" t="str">
        <f t="shared" ca="1" si="23"/>
        <v/>
      </c>
      <c r="S228" s="430" t="str">
        <f ca="1"/>
        <v/>
      </c>
      <c r="T228" s="430" t="str">
        <f ca="1"/>
        <v/>
      </c>
      <c r="U228" s="430" t="str">
        <f ca="1"/>
        <v/>
      </c>
      <c r="V228" s="517" t="str">
        <f ca="1"/>
        <v/>
      </c>
      <c r="W228" s="518" t="str">
        <f ca="1"/>
        <v/>
      </c>
      <c r="X228" s="430" t="str">
        <f ca="1"/>
        <v/>
      </c>
      <c r="Y228" s="864" t="str">
        <f t="shared" ca="1" si="19"/>
        <v/>
      </c>
      <c r="AA228" s="828">
        <v>210</v>
      </c>
      <c r="AB228" s="1100"/>
      <c r="AC228" s="1079"/>
      <c r="AD228" s="1067"/>
      <c r="AE228" s="1076"/>
      <c r="AF228" s="1076"/>
      <c r="AG228" s="1048"/>
      <c r="AH228" s="1077"/>
      <c r="AI228" s="1076"/>
      <c r="AJ228" s="1078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0"/>
        <v/>
      </c>
      <c r="G229" s="520" t="str">
        <f t="shared" ca="1" si="21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18"/>
        <v/>
      </c>
      <c r="P229" s="742">
        <v>211</v>
      </c>
      <c r="Q229" s="517" t="str">
        <f t="shared" ca="1" si="22"/>
        <v/>
      </c>
      <c r="R229" s="520" t="str">
        <f t="shared" ca="1" si="23"/>
        <v/>
      </c>
      <c r="S229" s="430" t="str">
        <f ca="1"/>
        <v/>
      </c>
      <c r="T229" s="430" t="str">
        <f ca="1"/>
        <v/>
      </c>
      <c r="U229" s="430" t="str">
        <f ca="1"/>
        <v/>
      </c>
      <c r="V229" s="517" t="str">
        <f ca="1"/>
        <v/>
      </c>
      <c r="W229" s="518" t="str">
        <f ca="1"/>
        <v/>
      </c>
      <c r="X229" s="430" t="str">
        <f ca="1"/>
        <v/>
      </c>
      <c r="Y229" s="864" t="str">
        <f t="shared" ca="1" si="19"/>
        <v/>
      </c>
      <c r="AA229" s="828">
        <v>211</v>
      </c>
      <c r="AB229" s="1100"/>
      <c r="AC229" s="1079"/>
      <c r="AD229" s="1067"/>
      <c r="AE229" s="1076"/>
      <c r="AF229" s="1076"/>
      <c r="AG229" s="1048"/>
      <c r="AH229" s="1077"/>
      <c r="AI229" s="1076"/>
      <c r="AJ229" s="1078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0"/>
        <v/>
      </c>
      <c r="G230" s="520" t="str">
        <f t="shared" ca="1" si="21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18"/>
        <v/>
      </c>
      <c r="P230" s="742">
        <v>212</v>
      </c>
      <c r="Q230" s="517" t="str">
        <f t="shared" ca="1" si="22"/>
        <v/>
      </c>
      <c r="R230" s="520" t="str">
        <f t="shared" ca="1" si="23"/>
        <v/>
      </c>
      <c r="S230" s="430" t="str">
        <f ca="1"/>
        <v/>
      </c>
      <c r="T230" s="430" t="str">
        <f ca="1"/>
        <v/>
      </c>
      <c r="U230" s="430" t="str">
        <f ca="1"/>
        <v/>
      </c>
      <c r="V230" s="517" t="str">
        <f ca="1"/>
        <v/>
      </c>
      <c r="W230" s="518" t="str">
        <f ca="1"/>
        <v/>
      </c>
      <c r="X230" s="430" t="str">
        <f ca="1"/>
        <v/>
      </c>
      <c r="Y230" s="864" t="str">
        <f t="shared" ca="1" si="19"/>
        <v/>
      </c>
      <c r="AA230" s="828">
        <v>212</v>
      </c>
      <c r="AB230" s="1100"/>
      <c r="AC230" s="1079"/>
      <c r="AD230" s="1067"/>
      <c r="AE230" s="1076"/>
      <c r="AF230" s="1076"/>
      <c r="AG230" s="1048"/>
      <c r="AH230" s="1077"/>
      <c r="AI230" s="1076"/>
      <c r="AJ230" s="1078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0"/>
        <v/>
      </c>
      <c r="G231" s="520" t="str">
        <f t="shared" ca="1" si="21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18"/>
        <v/>
      </c>
      <c r="P231" s="742">
        <v>213</v>
      </c>
      <c r="Q231" s="517" t="str">
        <f t="shared" ca="1" si="22"/>
        <v/>
      </c>
      <c r="R231" s="520" t="str">
        <f t="shared" ca="1" si="23"/>
        <v/>
      </c>
      <c r="S231" s="430" t="str">
        <f ca="1"/>
        <v/>
      </c>
      <c r="T231" s="430" t="str">
        <f ca="1"/>
        <v/>
      </c>
      <c r="U231" s="430" t="str">
        <f ca="1"/>
        <v/>
      </c>
      <c r="V231" s="517" t="str">
        <f ca="1"/>
        <v/>
      </c>
      <c r="W231" s="518" t="str">
        <f ca="1"/>
        <v/>
      </c>
      <c r="X231" s="430" t="str">
        <f ca="1"/>
        <v/>
      </c>
      <c r="Y231" s="864" t="str">
        <f t="shared" ca="1" si="19"/>
        <v/>
      </c>
      <c r="AA231" s="828">
        <v>213</v>
      </c>
      <c r="AB231" s="1100"/>
      <c r="AC231" s="1079"/>
      <c r="AD231" s="1067"/>
      <c r="AE231" s="1076"/>
      <c r="AF231" s="1076"/>
      <c r="AG231" s="1048"/>
      <c r="AH231" s="1077"/>
      <c r="AI231" s="1076"/>
      <c r="AJ231" s="1078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0"/>
        <v/>
      </c>
      <c r="G232" s="520" t="str">
        <f t="shared" ca="1" si="21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18"/>
        <v/>
      </c>
      <c r="P232" s="742">
        <v>214</v>
      </c>
      <c r="Q232" s="517" t="str">
        <f t="shared" ca="1" si="22"/>
        <v/>
      </c>
      <c r="R232" s="520" t="str">
        <f t="shared" ca="1" si="23"/>
        <v/>
      </c>
      <c r="S232" s="430" t="str">
        <f ca="1"/>
        <v/>
      </c>
      <c r="T232" s="430" t="str">
        <f ca="1"/>
        <v/>
      </c>
      <c r="U232" s="430" t="str">
        <f ca="1"/>
        <v/>
      </c>
      <c r="V232" s="517" t="str">
        <f ca="1"/>
        <v/>
      </c>
      <c r="W232" s="518" t="str">
        <f ca="1"/>
        <v/>
      </c>
      <c r="X232" s="430" t="str">
        <f ca="1"/>
        <v/>
      </c>
      <c r="Y232" s="864" t="str">
        <f t="shared" ca="1" si="19"/>
        <v/>
      </c>
      <c r="AA232" s="828">
        <v>214</v>
      </c>
      <c r="AB232" s="1100"/>
      <c r="AC232" s="1079"/>
      <c r="AD232" s="1067"/>
      <c r="AE232" s="1076"/>
      <c r="AF232" s="1076"/>
      <c r="AG232" s="1048"/>
      <c r="AH232" s="1077"/>
      <c r="AI232" s="1076"/>
      <c r="AJ232" s="1078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0"/>
        <v/>
      </c>
      <c r="G233" s="520" t="str">
        <f t="shared" ca="1" si="21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18"/>
        <v/>
      </c>
      <c r="P233" s="742">
        <v>215</v>
      </c>
      <c r="Q233" s="517" t="str">
        <f t="shared" ca="1" si="22"/>
        <v/>
      </c>
      <c r="R233" s="520" t="str">
        <f t="shared" ca="1" si="23"/>
        <v/>
      </c>
      <c r="S233" s="430" t="str">
        <f ca="1"/>
        <v/>
      </c>
      <c r="T233" s="430" t="str">
        <f ca="1"/>
        <v/>
      </c>
      <c r="U233" s="430" t="str">
        <f ca="1"/>
        <v/>
      </c>
      <c r="V233" s="517" t="str">
        <f ca="1"/>
        <v/>
      </c>
      <c r="W233" s="518" t="str">
        <f ca="1"/>
        <v/>
      </c>
      <c r="X233" s="430" t="str">
        <f ca="1"/>
        <v/>
      </c>
      <c r="Y233" s="864" t="str">
        <f t="shared" ca="1" si="19"/>
        <v/>
      </c>
      <c r="AA233" s="828">
        <v>215</v>
      </c>
      <c r="AB233" s="1100"/>
      <c r="AC233" s="1079"/>
      <c r="AD233" s="1067"/>
      <c r="AE233" s="1076"/>
      <c r="AF233" s="1076"/>
      <c r="AG233" s="1048"/>
      <c r="AH233" s="1077"/>
      <c r="AI233" s="1076"/>
      <c r="AJ233" s="1078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0"/>
        <v/>
      </c>
      <c r="G234" s="520" t="str">
        <f t="shared" ca="1" si="21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18"/>
        <v/>
      </c>
      <c r="P234" s="742">
        <v>216</v>
      </c>
      <c r="Q234" s="517" t="str">
        <f t="shared" ca="1" si="22"/>
        <v/>
      </c>
      <c r="R234" s="520" t="str">
        <f t="shared" ca="1" si="23"/>
        <v/>
      </c>
      <c r="S234" s="430" t="str">
        <f ca="1"/>
        <v/>
      </c>
      <c r="T234" s="430" t="str">
        <f ca="1"/>
        <v/>
      </c>
      <c r="U234" s="430" t="str">
        <f ca="1"/>
        <v/>
      </c>
      <c r="V234" s="517" t="str">
        <f ca="1"/>
        <v/>
      </c>
      <c r="W234" s="518" t="str">
        <f ca="1"/>
        <v/>
      </c>
      <c r="X234" s="430" t="str">
        <f ca="1"/>
        <v/>
      </c>
      <c r="Y234" s="864" t="str">
        <f t="shared" ca="1" si="19"/>
        <v/>
      </c>
      <c r="AA234" s="828">
        <v>216</v>
      </c>
      <c r="AB234" s="1100"/>
      <c r="AC234" s="1079"/>
      <c r="AD234" s="1067"/>
      <c r="AE234" s="1076"/>
      <c r="AF234" s="1076"/>
      <c r="AG234" s="1048"/>
      <c r="AH234" s="1077"/>
      <c r="AI234" s="1076"/>
      <c r="AJ234" s="1078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0"/>
        <v/>
      </c>
      <c r="G235" s="520" t="str">
        <f t="shared" ca="1" si="21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18"/>
        <v/>
      </c>
      <c r="P235" s="742">
        <v>217</v>
      </c>
      <c r="Q235" s="517" t="str">
        <f t="shared" ca="1" si="22"/>
        <v/>
      </c>
      <c r="R235" s="520" t="str">
        <f t="shared" ca="1" si="23"/>
        <v/>
      </c>
      <c r="S235" s="430" t="str">
        <f ca="1"/>
        <v/>
      </c>
      <c r="T235" s="430" t="str">
        <f ca="1"/>
        <v/>
      </c>
      <c r="U235" s="430" t="str">
        <f ca="1"/>
        <v/>
      </c>
      <c r="V235" s="517" t="str">
        <f ca="1"/>
        <v/>
      </c>
      <c r="W235" s="518" t="str">
        <f ca="1"/>
        <v/>
      </c>
      <c r="X235" s="430" t="str">
        <f ca="1"/>
        <v/>
      </c>
      <c r="Y235" s="864" t="str">
        <f t="shared" ca="1" si="19"/>
        <v/>
      </c>
      <c r="AA235" s="828">
        <v>217</v>
      </c>
      <c r="AB235" s="1100"/>
      <c r="AC235" s="1079"/>
      <c r="AD235" s="1067"/>
      <c r="AE235" s="1076"/>
      <c r="AF235" s="1076"/>
      <c r="AG235" s="1048"/>
      <c r="AH235" s="1077"/>
      <c r="AI235" s="1076"/>
      <c r="AJ235" s="1078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0"/>
        <v/>
      </c>
      <c r="G236" s="520" t="str">
        <f t="shared" ca="1" si="21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18"/>
        <v/>
      </c>
      <c r="P236" s="742">
        <v>218</v>
      </c>
      <c r="Q236" s="517" t="str">
        <f t="shared" ca="1" si="22"/>
        <v/>
      </c>
      <c r="R236" s="520" t="str">
        <f t="shared" ca="1" si="23"/>
        <v/>
      </c>
      <c r="S236" s="430" t="str">
        <f ca="1"/>
        <v/>
      </c>
      <c r="T236" s="430" t="str">
        <f ca="1"/>
        <v/>
      </c>
      <c r="U236" s="430" t="str">
        <f ca="1"/>
        <v/>
      </c>
      <c r="V236" s="517" t="str">
        <f ca="1"/>
        <v/>
      </c>
      <c r="W236" s="518" t="str">
        <f ca="1"/>
        <v/>
      </c>
      <c r="X236" s="430" t="str">
        <f ca="1"/>
        <v/>
      </c>
      <c r="Y236" s="864" t="str">
        <f t="shared" ca="1" si="19"/>
        <v/>
      </c>
      <c r="AA236" s="828">
        <v>218</v>
      </c>
      <c r="AB236" s="1100"/>
      <c r="AC236" s="1079"/>
      <c r="AD236" s="1067"/>
      <c r="AE236" s="1076"/>
      <c r="AF236" s="1076"/>
      <c r="AG236" s="1048"/>
      <c r="AH236" s="1077"/>
      <c r="AI236" s="1076"/>
      <c r="AJ236" s="1078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0"/>
        <v/>
      </c>
      <c r="G237" s="520" t="str">
        <f t="shared" ca="1" si="21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18"/>
        <v/>
      </c>
      <c r="P237" s="742">
        <v>219</v>
      </c>
      <c r="Q237" s="517" t="str">
        <f t="shared" ca="1" si="22"/>
        <v/>
      </c>
      <c r="R237" s="520" t="str">
        <f t="shared" ca="1" si="23"/>
        <v/>
      </c>
      <c r="S237" s="430" t="str">
        <f ca="1"/>
        <v/>
      </c>
      <c r="T237" s="430" t="str">
        <f ca="1"/>
        <v/>
      </c>
      <c r="U237" s="430" t="str">
        <f ca="1"/>
        <v/>
      </c>
      <c r="V237" s="517" t="str">
        <f ca="1"/>
        <v/>
      </c>
      <c r="W237" s="518" t="str">
        <f ca="1"/>
        <v/>
      </c>
      <c r="X237" s="430" t="str">
        <f ca="1"/>
        <v/>
      </c>
      <c r="Y237" s="864" t="str">
        <f t="shared" ca="1" si="19"/>
        <v/>
      </c>
      <c r="AA237" s="828">
        <v>219</v>
      </c>
      <c r="AB237" s="1100"/>
      <c r="AC237" s="1079"/>
      <c r="AD237" s="1067"/>
      <c r="AE237" s="1076"/>
      <c r="AF237" s="1076"/>
      <c r="AG237" s="1048"/>
      <c r="AH237" s="1077"/>
      <c r="AI237" s="1076"/>
      <c r="AJ237" s="1078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0"/>
        <v/>
      </c>
      <c r="G238" s="520" t="str">
        <f t="shared" ca="1" si="21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18"/>
        <v/>
      </c>
      <c r="P238" s="742">
        <v>220</v>
      </c>
      <c r="Q238" s="517" t="str">
        <f t="shared" ca="1" si="22"/>
        <v/>
      </c>
      <c r="R238" s="520" t="str">
        <f t="shared" ca="1" si="23"/>
        <v/>
      </c>
      <c r="S238" s="430" t="str">
        <f ca="1"/>
        <v/>
      </c>
      <c r="T238" s="430" t="str">
        <f ca="1"/>
        <v/>
      </c>
      <c r="U238" s="430" t="str">
        <f ca="1"/>
        <v/>
      </c>
      <c r="V238" s="517" t="str">
        <f ca="1"/>
        <v/>
      </c>
      <c r="W238" s="518" t="str">
        <f ca="1"/>
        <v/>
      </c>
      <c r="X238" s="430" t="str">
        <f ca="1"/>
        <v/>
      </c>
      <c r="Y238" s="864" t="str">
        <f t="shared" ca="1" si="19"/>
        <v/>
      </c>
      <c r="AA238" s="828">
        <v>220</v>
      </c>
      <c r="AB238" s="1100"/>
      <c r="AC238" s="1079"/>
      <c r="AD238" s="1067"/>
      <c r="AE238" s="1076"/>
      <c r="AF238" s="1076"/>
      <c r="AG238" s="1048"/>
      <c r="AH238" s="1077"/>
      <c r="AI238" s="1076"/>
      <c r="AJ238" s="1078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0"/>
        <v/>
      </c>
      <c r="G239" s="520" t="str">
        <f t="shared" ca="1" si="21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18"/>
        <v/>
      </c>
      <c r="P239" s="742">
        <v>221</v>
      </c>
      <c r="Q239" s="517" t="str">
        <f t="shared" ca="1" si="22"/>
        <v/>
      </c>
      <c r="R239" s="520" t="str">
        <f t="shared" ca="1" si="23"/>
        <v/>
      </c>
      <c r="S239" s="430" t="str">
        <f ca="1"/>
        <v/>
      </c>
      <c r="T239" s="430" t="str">
        <f ca="1"/>
        <v/>
      </c>
      <c r="U239" s="430" t="str">
        <f ca="1"/>
        <v/>
      </c>
      <c r="V239" s="517" t="str">
        <f ca="1"/>
        <v/>
      </c>
      <c r="W239" s="518" t="str">
        <f ca="1"/>
        <v/>
      </c>
      <c r="X239" s="430" t="str">
        <f ca="1"/>
        <v/>
      </c>
      <c r="Y239" s="864" t="str">
        <f t="shared" ca="1" si="19"/>
        <v/>
      </c>
      <c r="AA239" s="828">
        <v>221</v>
      </c>
      <c r="AB239" s="1100"/>
      <c r="AC239" s="1079"/>
      <c r="AD239" s="1067"/>
      <c r="AE239" s="1076"/>
      <c r="AF239" s="1076"/>
      <c r="AG239" s="1048"/>
      <c r="AH239" s="1077"/>
      <c r="AI239" s="1076"/>
      <c r="AJ239" s="1078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0"/>
        <v/>
      </c>
      <c r="G240" s="520" t="str">
        <f t="shared" ca="1" si="21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18"/>
        <v/>
      </c>
      <c r="P240" s="742">
        <v>222</v>
      </c>
      <c r="Q240" s="517" t="str">
        <f t="shared" ca="1" si="22"/>
        <v/>
      </c>
      <c r="R240" s="520" t="str">
        <f t="shared" ca="1" si="23"/>
        <v/>
      </c>
      <c r="S240" s="430" t="str">
        <f ca="1"/>
        <v/>
      </c>
      <c r="T240" s="430" t="str">
        <f ca="1"/>
        <v/>
      </c>
      <c r="U240" s="430" t="str">
        <f ca="1"/>
        <v/>
      </c>
      <c r="V240" s="517" t="str">
        <f ca="1"/>
        <v/>
      </c>
      <c r="W240" s="518" t="str">
        <f ca="1"/>
        <v/>
      </c>
      <c r="X240" s="430" t="str">
        <f ca="1"/>
        <v/>
      </c>
      <c r="Y240" s="864" t="str">
        <f t="shared" ca="1" si="19"/>
        <v/>
      </c>
      <c r="AA240" s="828">
        <v>222</v>
      </c>
      <c r="AB240" s="1100"/>
      <c r="AC240" s="1079"/>
      <c r="AD240" s="1067"/>
      <c r="AE240" s="1076"/>
      <c r="AF240" s="1076"/>
      <c r="AG240" s="1048"/>
      <c r="AH240" s="1077"/>
      <c r="AI240" s="1076"/>
      <c r="AJ240" s="1078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0"/>
        <v/>
      </c>
      <c r="G241" s="520" t="str">
        <f t="shared" ca="1" si="21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18"/>
        <v/>
      </c>
      <c r="P241" s="742">
        <v>223</v>
      </c>
      <c r="Q241" s="517" t="str">
        <f t="shared" ca="1" si="22"/>
        <v/>
      </c>
      <c r="R241" s="520" t="str">
        <f t="shared" ca="1" si="23"/>
        <v/>
      </c>
      <c r="S241" s="430" t="str">
        <f ca="1"/>
        <v/>
      </c>
      <c r="T241" s="430" t="str">
        <f ca="1"/>
        <v/>
      </c>
      <c r="U241" s="430" t="str">
        <f ca="1"/>
        <v/>
      </c>
      <c r="V241" s="517" t="str">
        <f ca="1"/>
        <v/>
      </c>
      <c r="W241" s="518" t="str">
        <f ca="1"/>
        <v/>
      </c>
      <c r="X241" s="430" t="str">
        <f ca="1"/>
        <v/>
      </c>
      <c r="Y241" s="864" t="str">
        <f t="shared" ca="1" si="19"/>
        <v/>
      </c>
      <c r="AA241" s="828">
        <v>223</v>
      </c>
      <c r="AB241" s="1100"/>
      <c r="AC241" s="1079"/>
      <c r="AD241" s="1067"/>
      <c r="AE241" s="1076"/>
      <c r="AF241" s="1076"/>
      <c r="AG241" s="1048"/>
      <c r="AH241" s="1077"/>
      <c r="AI241" s="1076"/>
      <c r="AJ241" s="1078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0"/>
        <v/>
      </c>
      <c r="G242" s="520" t="str">
        <f t="shared" ca="1" si="21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18"/>
        <v/>
      </c>
      <c r="P242" s="742">
        <v>224</v>
      </c>
      <c r="Q242" s="517" t="str">
        <f t="shared" ca="1" si="22"/>
        <v/>
      </c>
      <c r="R242" s="520" t="str">
        <f t="shared" ca="1" si="23"/>
        <v/>
      </c>
      <c r="S242" s="430" t="str">
        <f ca="1"/>
        <v/>
      </c>
      <c r="T242" s="430" t="str">
        <f ca="1"/>
        <v/>
      </c>
      <c r="U242" s="430" t="str">
        <f ca="1"/>
        <v/>
      </c>
      <c r="V242" s="517" t="str">
        <f ca="1"/>
        <v/>
      </c>
      <c r="W242" s="518" t="str">
        <f ca="1"/>
        <v/>
      </c>
      <c r="X242" s="430" t="str">
        <f ca="1"/>
        <v/>
      </c>
      <c r="Y242" s="864" t="str">
        <f t="shared" ca="1" si="19"/>
        <v/>
      </c>
      <c r="AA242" s="828">
        <v>224</v>
      </c>
      <c r="AB242" s="1100"/>
      <c r="AC242" s="1079"/>
      <c r="AD242" s="1067"/>
      <c r="AE242" s="1076"/>
      <c r="AF242" s="1076"/>
      <c r="AG242" s="1048"/>
      <c r="AH242" s="1077"/>
      <c r="AI242" s="1076"/>
      <c r="AJ242" s="1078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0"/>
        <v/>
      </c>
      <c r="G243" s="520" t="str">
        <f t="shared" ca="1" si="21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18"/>
        <v/>
      </c>
      <c r="P243" s="742">
        <v>225</v>
      </c>
      <c r="Q243" s="517" t="str">
        <f t="shared" ca="1" si="22"/>
        <v/>
      </c>
      <c r="R243" s="520" t="str">
        <f t="shared" ca="1" si="23"/>
        <v/>
      </c>
      <c r="S243" s="430" t="str">
        <f ca="1"/>
        <v/>
      </c>
      <c r="T243" s="430" t="str">
        <f ca="1"/>
        <v/>
      </c>
      <c r="U243" s="430" t="str">
        <f ca="1"/>
        <v/>
      </c>
      <c r="V243" s="517" t="str">
        <f ca="1"/>
        <v/>
      </c>
      <c r="W243" s="518" t="str">
        <f ca="1"/>
        <v/>
      </c>
      <c r="X243" s="430" t="str">
        <f ca="1"/>
        <v/>
      </c>
      <c r="Y243" s="864" t="str">
        <f t="shared" ca="1" si="19"/>
        <v/>
      </c>
      <c r="AA243" s="828">
        <v>225</v>
      </c>
      <c r="AB243" s="1100"/>
      <c r="AC243" s="1079"/>
      <c r="AD243" s="1067"/>
      <c r="AE243" s="1076"/>
      <c r="AF243" s="1076"/>
      <c r="AG243" s="1048"/>
      <c r="AH243" s="1077"/>
      <c r="AI243" s="1076"/>
      <c r="AJ243" s="1078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0"/>
        <v/>
      </c>
      <c r="G244" s="520" t="str">
        <f t="shared" ca="1" si="21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18"/>
        <v/>
      </c>
      <c r="P244" s="742">
        <v>226</v>
      </c>
      <c r="Q244" s="517" t="str">
        <f t="shared" ca="1" si="22"/>
        <v/>
      </c>
      <c r="R244" s="520" t="str">
        <f t="shared" ca="1" si="23"/>
        <v/>
      </c>
      <c r="S244" s="430" t="str">
        <f ca="1"/>
        <v/>
      </c>
      <c r="T244" s="430" t="str">
        <f ca="1"/>
        <v/>
      </c>
      <c r="U244" s="430" t="str">
        <f ca="1"/>
        <v/>
      </c>
      <c r="V244" s="517" t="str">
        <f ca="1"/>
        <v/>
      </c>
      <c r="W244" s="518" t="str">
        <f ca="1"/>
        <v/>
      </c>
      <c r="X244" s="430" t="str">
        <f ca="1"/>
        <v/>
      </c>
      <c r="Y244" s="864" t="str">
        <f t="shared" ca="1" si="19"/>
        <v/>
      </c>
      <c r="AA244" s="828">
        <v>226</v>
      </c>
      <c r="AB244" s="1100"/>
      <c r="AC244" s="1079"/>
      <c r="AD244" s="1067"/>
      <c r="AE244" s="1076"/>
      <c r="AF244" s="1076"/>
      <c r="AG244" s="1048"/>
      <c r="AH244" s="1077"/>
      <c r="AI244" s="1076"/>
      <c r="AJ244" s="1078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0"/>
        <v/>
      </c>
      <c r="G245" s="520" t="str">
        <f t="shared" ca="1" si="21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18"/>
        <v/>
      </c>
      <c r="P245" s="742">
        <v>227</v>
      </c>
      <c r="Q245" s="517" t="str">
        <f t="shared" ca="1" si="22"/>
        <v/>
      </c>
      <c r="R245" s="520" t="str">
        <f t="shared" ca="1" si="23"/>
        <v/>
      </c>
      <c r="S245" s="430" t="str">
        <f ca="1"/>
        <v/>
      </c>
      <c r="T245" s="430" t="str">
        <f ca="1"/>
        <v/>
      </c>
      <c r="U245" s="430" t="str">
        <f ca="1"/>
        <v/>
      </c>
      <c r="V245" s="517" t="str">
        <f ca="1"/>
        <v/>
      </c>
      <c r="W245" s="518" t="str">
        <f ca="1"/>
        <v/>
      </c>
      <c r="X245" s="430" t="str">
        <f ca="1"/>
        <v/>
      </c>
      <c r="Y245" s="864" t="str">
        <f t="shared" ca="1" si="19"/>
        <v/>
      </c>
      <c r="AA245" s="828">
        <v>227</v>
      </c>
      <c r="AB245" s="1100"/>
      <c r="AC245" s="1079"/>
      <c r="AD245" s="1067"/>
      <c r="AE245" s="1076"/>
      <c r="AF245" s="1076"/>
      <c r="AG245" s="1048"/>
      <c r="AH245" s="1077"/>
      <c r="AI245" s="1076"/>
      <c r="AJ245" s="1078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0"/>
        <v/>
      </c>
      <c r="G246" s="520" t="str">
        <f t="shared" ca="1" si="21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18"/>
        <v/>
      </c>
      <c r="P246" s="742">
        <v>228</v>
      </c>
      <c r="Q246" s="517" t="str">
        <f t="shared" ca="1" si="22"/>
        <v/>
      </c>
      <c r="R246" s="520" t="str">
        <f t="shared" ca="1" si="23"/>
        <v/>
      </c>
      <c r="S246" s="430" t="str">
        <f ca="1"/>
        <v/>
      </c>
      <c r="T246" s="430" t="str">
        <f ca="1"/>
        <v/>
      </c>
      <c r="U246" s="430" t="str">
        <f ca="1"/>
        <v/>
      </c>
      <c r="V246" s="517" t="str">
        <f ca="1"/>
        <v/>
      </c>
      <c r="W246" s="518" t="str">
        <f ca="1"/>
        <v/>
      </c>
      <c r="X246" s="430" t="str">
        <f ca="1"/>
        <v/>
      </c>
      <c r="Y246" s="864" t="str">
        <f t="shared" ca="1" si="19"/>
        <v/>
      </c>
      <c r="AA246" s="828">
        <v>228</v>
      </c>
      <c r="AB246" s="1100"/>
      <c r="AC246" s="1079"/>
      <c r="AD246" s="1067"/>
      <c r="AE246" s="1076"/>
      <c r="AF246" s="1076"/>
      <c r="AG246" s="1048"/>
      <c r="AH246" s="1077"/>
      <c r="AI246" s="1076"/>
      <c r="AJ246" s="1078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0"/>
        <v/>
      </c>
      <c r="G247" s="520" t="str">
        <f t="shared" ca="1" si="21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18"/>
        <v/>
      </c>
      <c r="P247" s="742">
        <v>229</v>
      </c>
      <c r="Q247" s="517" t="str">
        <f t="shared" ca="1" si="22"/>
        <v/>
      </c>
      <c r="R247" s="520" t="str">
        <f t="shared" ca="1" si="23"/>
        <v/>
      </c>
      <c r="S247" s="430" t="str">
        <f ca="1"/>
        <v/>
      </c>
      <c r="T247" s="430" t="str">
        <f ca="1"/>
        <v/>
      </c>
      <c r="U247" s="430" t="str">
        <f ca="1"/>
        <v/>
      </c>
      <c r="V247" s="517" t="str">
        <f ca="1"/>
        <v/>
      </c>
      <c r="W247" s="518" t="str">
        <f ca="1"/>
        <v/>
      </c>
      <c r="X247" s="430" t="str">
        <f ca="1"/>
        <v/>
      </c>
      <c r="Y247" s="864" t="str">
        <f t="shared" ca="1" si="19"/>
        <v/>
      </c>
      <c r="AA247" s="828">
        <v>229</v>
      </c>
      <c r="AB247" s="1100"/>
      <c r="AC247" s="1079"/>
      <c r="AD247" s="1067"/>
      <c r="AE247" s="1076"/>
      <c r="AF247" s="1076"/>
      <c r="AG247" s="1048"/>
      <c r="AH247" s="1077"/>
      <c r="AI247" s="1076"/>
      <c r="AJ247" s="1078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0"/>
        <v/>
      </c>
      <c r="G248" s="520" t="str">
        <f t="shared" ca="1" si="21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18"/>
        <v/>
      </c>
      <c r="P248" s="742">
        <v>230</v>
      </c>
      <c r="Q248" s="517" t="str">
        <f t="shared" ca="1" si="22"/>
        <v/>
      </c>
      <c r="R248" s="520" t="str">
        <f t="shared" ca="1" si="23"/>
        <v/>
      </c>
      <c r="S248" s="430" t="str">
        <f ca="1"/>
        <v/>
      </c>
      <c r="T248" s="430" t="str">
        <f ca="1"/>
        <v/>
      </c>
      <c r="U248" s="430" t="str">
        <f ca="1"/>
        <v/>
      </c>
      <c r="V248" s="517" t="str">
        <f ca="1"/>
        <v/>
      </c>
      <c r="W248" s="518" t="str">
        <f ca="1"/>
        <v/>
      </c>
      <c r="X248" s="430" t="str">
        <f ca="1"/>
        <v/>
      </c>
      <c r="Y248" s="864" t="str">
        <f t="shared" ca="1" si="19"/>
        <v/>
      </c>
      <c r="AA248" s="828">
        <v>230</v>
      </c>
      <c r="AB248" s="1100"/>
      <c r="AC248" s="1079"/>
      <c r="AD248" s="1067"/>
      <c r="AE248" s="1076"/>
      <c r="AF248" s="1076"/>
      <c r="AG248" s="1048"/>
      <c r="AH248" s="1077"/>
      <c r="AI248" s="1076"/>
      <c r="AJ248" s="1078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0"/>
        <v/>
      </c>
      <c r="G249" s="520" t="str">
        <f t="shared" ca="1" si="21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18"/>
        <v/>
      </c>
      <c r="P249" s="742">
        <v>231</v>
      </c>
      <c r="Q249" s="517" t="str">
        <f t="shared" ca="1" si="22"/>
        <v/>
      </c>
      <c r="R249" s="520" t="str">
        <f t="shared" ca="1" si="23"/>
        <v/>
      </c>
      <c r="S249" s="430" t="str">
        <f ca="1"/>
        <v/>
      </c>
      <c r="T249" s="430" t="str">
        <f ca="1"/>
        <v/>
      </c>
      <c r="U249" s="430" t="str">
        <f ca="1"/>
        <v/>
      </c>
      <c r="V249" s="517" t="str">
        <f ca="1"/>
        <v/>
      </c>
      <c r="W249" s="518" t="str">
        <f ca="1"/>
        <v/>
      </c>
      <c r="X249" s="430" t="str">
        <f ca="1"/>
        <v/>
      </c>
      <c r="Y249" s="864" t="str">
        <f t="shared" ca="1" si="19"/>
        <v/>
      </c>
      <c r="AA249" s="828">
        <v>231</v>
      </c>
      <c r="AB249" s="1100"/>
      <c r="AC249" s="1079"/>
      <c r="AD249" s="1067"/>
      <c r="AE249" s="1076"/>
      <c r="AF249" s="1076"/>
      <c r="AG249" s="1048"/>
      <c r="AH249" s="1077"/>
      <c r="AI249" s="1076"/>
      <c r="AJ249" s="1078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0"/>
        <v/>
      </c>
      <c r="G250" s="520" t="str">
        <f t="shared" ca="1" si="21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18"/>
        <v/>
      </c>
      <c r="P250" s="742">
        <v>232</v>
      </c>
      <c r="Q250" s="517" t="str">
        <f t="shared" ca="1" si="22"/>
        <v/>
      </c>
      <c r="R250" s="520" t="str">
        <f t="shared" ca="1" si="23"/>
        <v/>
      </c>
      <c r="S250" s="430" t="str">
        <f ca="1"/>
        <v/>
      </c>
      <c r="T250" s="430" t="str">
        <f ca="1"/>
        <v/>
      </c>
      <c r="U250" s="430" t="str">
        <f ca="1"/>
        <v/>
      </c>
      <c r="V250" s="517" t="str">
        <f ca="1"/>
        <v/>
      </c>
      <c r="W250" s="518" t="str">
        <f ca="1"/>
        <v/>
      </c>
      <c r="X250" s="430" t="str">
        <f ca="1"/>
        <v/>
      </c>
      <c r="Y250" s="864" t="str">
        <f t="shared" ca="1" si="19"/>
        <v/>
      </c>
      <c r="AA250" s="828">
        <v>232</v>
      </c>
      <c r="AB250" s="1100"/>
      <c r="AC250" s="1079"/>
      <c r="AD250" s="1067"/>
      <c r="AE250" s="1076"/>
      <c r="AF250" s="1076"/>
      <c r="AG250" s="1048"/>
      <c r="AH250" s="1077"/>
      <c r="AI250" s="1076"/>
      <c r="AJ250" s="1078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0"/>
        <v/>
      </c>
      <c r="G251" s="520" t="str">
        <f t="shared" ca="1" si="21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18"/>
        <v/>
      </c>
      <c r="P251" s="742">
        <v>233</v>
      </c>
      <c r="Q251" s="517" t="str">
        <f t="shared" ca="1" si="22"/>
        <v/>
      </c>
      <c r="R251" s="520" t="str">
        <f t="shared" ca="1" si="23"/>
        <v/>
      </c>
      <c r="S251" s="430" t="str">
        <f ca="1"/>
        <v/>
      </c>
      <c r="T251" s="430" t="str">
        <f ca="1"/>
        <v/>
      </c>
      <c r="U251" s="430" t="str">
        <f ca="1"/>
        <v/>
      </c>
      <c r="V251" s="517" t="str">
        <f ca="1"/>
        <v/>
      </c>
      <c r="W251" s="518" t="str">
        <f ca="1"/>
        <v/>
      </c>
      <c r="X251" s="430" t="str">
        <f ca="1"/>
        <v/>
      </c>
      <c r="Y251" s="864" t="str">
        <f t="shared" ca="1" si="19"/>
        <v/>
      </c>
      <c r="AA251" s="828">
        <v>233</v>
      </c>
      <c r="AB251" s="1100"/>
      <c r="AC251" s="1079"/>
      <c r="AD251" s="1067"/>
      <c r="AE251" s="1076"/>
      <c r="AF251" s="1076"/>
      <c r="AG251" s="1048"/>
      <c r="AH251" s="1077"/>
      <c r="AI251" s="1076"/>
      <c r="AJ251" s="1078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0"/>
        <v/>
      </c>
      <c r="G252" s="520" t="str">
        <f t="shared" ca="1" si="21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18"/>
        <v/>
      </c>
      <c r="P252" s="742">
        <v>234</v>
      </c>
      <c r="Q252" s="517" t="str">
        <f t="shared" ca="1" si="22"/>
        <v/>
      </c>
      <c r="R252" s="520" t="str">
        <f t="shared" ca="1" si="23"/>
        <v/>
      </c>
      <c r="S252" s="430" t="str">
        <f ca="1"/>
        <v/>
      </c>
      <c r="T252" s="430" t="str">
        <f ca="1"/>
        <v/>
      </c>
      <c r="U252" s="430" t="str">
        <f ca="1"/>
        <v/>
      </c>
      <c r="V252" s="517" t="str">
        <f ca="1"/>
        <v/>
      </c>
      <c r="W252" s="518" t="str">
        <f ca="1"/>
        <v/>
      </c>
      <c r="X252" s="430" t="str">
        <f ca="1"/>
        <v/>
      </c>
      <c r="Y252" s="864" t="str">
        <f t="shared" ca="1" si="19"/>
        <v/>
      </c>
      <c r="AA252" s="828">
        <v>234</v>
      </c>
      <c r="AB252" s="1100"/>
      <c r="AC252" s="1079"/>
      <c r="AD252" s="1067"/>
      <c r="AE252" s="1076"/>
      <c r="AF252" s="1076"/>
      <c r="AG252" s="1048"/>
      <c r="AH252" s="1077"/>
      <c r="AI252" s="1076"/>
      <c r="AJ252" s="1078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0"/>
        <v/>
      </c>
      <c r="G253" s="520" t="str">
        <f t="shared" ca="1" si="21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18"/>
        <v/>
      </c>
      <c r="P253" s="742">
        <v>235</v>
      </c>
      <c r="Q253" s="517" t="str">
        <f t="shared" ca="1" si="22"/>
        <v/>
      </c>
      <c r="R253" s="520" t="str">
        <f t="shared" ca="1" si="23"/>
        <v/>
      </c>
      <c r="S253" s="430" t="str">
        <f ca="1"/>
        <v/>
      </c>
      <c r="T253" s="430" t="str">
        <f ca="1"/>
        <v/>
      </c>
      <c r="U253" s="430" t="str">
        <f ca="1"/>
        <v/>
      </c>
      <c r="V253" s="517" t="str">
        <f ca="1"/>
        <v/>
      </c>
      <c r="W253" s="518" t="str">
        <f ca="1"/>
        <v/>
      </c>
      <c r="X253" s="430" t="str">
        <f ca="1"/>
        <v/>
      </c>
      <c r="Y253" s="864" t="str">
        <f t="shared" ca="1" si="19"/>
        <v/>
      </c>
      <c r="AA253" s="828">
        <v>235</v>
      </c>
      <c r="AB253" s="1100"/>
      <c r="AC253" s="1079"/>
      <c r="AD253" s="1067"/>
      <c r="AE253" s="1076"/>
      <c r="AF253" s="1076"/>
      <c r="AG253" s="1048"/>
      <c r="AH253" s="1077"/>
      <c r="AI253" s="1076"/>
      <c r="AJ253" s="1078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0"/>
        <v/>
      </c>
      <c r="G254" s="520" t="str">
        <f t="shared" ca="1" si="21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18"/>
        <v/>
      </c>
      <c r="P254" s="742">
        <v>236</v>
      </c>
      <c r="Q254" s="517" t="str">
        <f t="shared" ca="1" si="22"/>
        <v/>
      </c>
      <c r="R254" s="520" t="str">
        <f t="shared" ca="1" si="23"/>
        <v/>
      </c>
      <c r="S254" s="430" t="str">
        <f ca="1"/>
        <v/>
      </c>
      <c r="T254" s="430" t="str">
        <f ca="1"/>
        <v/>
      </c>
      <c r="U254" s="430" t="str">
        <f ca="1"/>
        <v/>
      </c>
      <c r="V254" s="517" t="str">
        <f ca="1"/>
        <v/>
      </c>
      <c r="W254" s="518" t="str">
        <f ca="1"/>
        <v/>
      </c>
      <c r="X254" s="430" t="str">
        <f ca="1"/>
        <v/>
      </c>
      <c r="Y254" s="864" t="str">
        <f t="shared" ca="1" si="19"/>
        <v/>
      </c>
      <c r="AA254" s="828">
        <v>236</v>
      </c>
      <c r="AB254" s="1100"/>
      <c r="AC254" s="1079"/>
      <c r="AD254" s="1067"/>
      <c r="AE254" s="1076"/>
      <c r="AF254" s="1076"/>
      <c r="AG254" s="1048"/>
      <c r="AH254" s="1077"/>
      <c r="AI254" s="1076"/>
      <c r="AJ254" s="1078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0"/>
        <v/>
      </c>
      <c r="G255" s="520" t="str">
        <f t="shared" ca="1" si="21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18"/>
        <v/>
      </c>
      <c r="P255" s="742">
        <v>237</v>
      </c>
      <c r="Q255" s="517" t="str">
        <f t="shared" ca="1" si="22"/>
        <v/>
      </c>
      <c r="R255" s="520" t="str">
        <f t="shared" ca="1" si="23"/>
        <v/>
      </c>
      <c r="S255" s="430" t="str">
        <f ca="1"/>
        <v/>
      </c>
      <c r="T255" s="430" t="str">
        <f ca="1"/>
        <v/>
      </c>
      <c r="U255" s="430" t="str">
        <f ca="1"/>
        <v/>
      </c>
      <c r="V255" s="517" t="str">
        <f ca="1"/>
        <v/>
      </c>
      <c r="W255" s="518" t="str">
        <f ca="1"/>
        <v/>
      </c>
      <c r="X255" s="430" t="str">
        <f ca="1"/>
        <v/>
      </c>
      <c r="Y255" s="864" t="str">
        <f t="shared" ca="1" si="19"/>
        <v/>
      </c>
      <c r="AA255" s="828">
        <v>237</v>
      </c>
      <c r="AB255" s="1100"/>
      <c r="AC255" s="1079"/>
      <c r="AD255" s="1067"/>
      <c r="AE255" s="1076"/>
      <c r="AF255" s="1076"/>
      <c r="AG255" s="1048"/>
      <c r="AH255" s="1077"/>
      <c r="AI255" s="1076"/>
      <c r="AJ255" s="1078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0"/>
        <v/>
      </c>
      <c r="G256" s="520" t="str">
        <f t="shared" ca="1" si="21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18"/>
        <v/>
      </c>
      <c r="P256" s="742">
        <v>238</v>
      </c>
      <c r="Q256" s="517" t="str">
        <f t="shared" ca="1" si="22"/>
        <v/>
      </c>
      <c r="R256" s="520" t="str">
        <f t="shared" ca="1" si="23"/>
        <v/>
      </c>
      <c r="S256" s="430" t="str">
        <f ca="1"/>
        <v/>
      </c>
      <c r="T256" s="430" t="str">
        <f ca="1"/>
        <v/>
      </c>
      <c r="U256" s="430" t="str">
        <f ca="1"/>
        <v/>
      </c>
      <c r="V256" s="517" t="str">
        <f ca="1"/>
        <v/>
      </c>
      <c r="W256" s="518" t="str">
        <f ca="1"/>
        <v/>
      </c>
      <c r="X256" s="430" t="str">
        <f ca="1"/>
        <v/>
      </c>
      <c r="Y256" s="864" t="str">
        <f t="shared" ca="1" si="19"/>
        <v/>
      </c>
      <c r="AA256" s="828">
        <v>238</v>
      </c>
      <c r="AB256" s="1100"/>
      <c r="AC256" s="1079"/>
      <c r="AD256" s="1067"/>
      <c r="AE256" s="1076"/>
      <c r="AF256" s="1076"/>
      <c r="AG256" s="1048"/>
      <c r="AH256" s="1077"/>
      <c r="AI256" s="1076"/>
      <c r="AJ256" s="1078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0"/>
        <v/>
      </c>
      <c r="G257" s="520" t="str">
        <f t="shared" ca="1" si="21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18"/>
        <v/>
      </c>
      <c r="P257" s="742">
        <v>239</v>
      </c>
      <c r="Q257" s="517" t="str">
        <f t="shared" ca="1" si="22"/>
        <v/>
      </c>
      <c r="R257" s="520" t="str">
        <f t="shared" ca="1" si="23"/>
        <v/>
      </c>
      <c r="S257" s="430" t="str">
        <f ca="1"/>
        <v/>
      </c>
      <c r="T257" s="430" t="str">
        <f ca="1"/>
        <v/>
      </c>
      <c r="U257" s="430" t="str">
        <f ca="1"/>
        <v/>
      </c>
      <c r="V257" s="517" t="str">
        <f ca="1"/>
        <v/>
      </c>
      <c r="W257" s="518" t="str">
        <f ca="1"/>
        <v/>
      </c>
      <c r="X257" s="430" t="str">
        <f ca="1"/>
        <v/>
      </c>
      <c r="Y257" s="864" t="str">
        <f t="shared" ca="1" si="19"/>
        <v/>
      </c>
      <c r="AA257" s="828">
        <v>239</v>
      </c>
      <c r="AB257" s="1100"/>
      <c r="AC257" s="1079"/>
      <c r="AD257" s="1067"/>
      <c r="AE257" s="1076"/>
      <c r="AF257" s="1076"/>
      <c r="AG257" s="1048"/>
      <c r="AH257" s="1077"/>
      <c r="AI257" s="1076"/>
      <c r="AJ257" s="1078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0"/>
        <v/>
      </c>
      <c r="G258" s="520" t="str">
        <f t="shared" ca="1" si="21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18"/>
        <v/>
      </c>
      <c r="P258" s="742">
        <v>240</v>
      </c>
      <c r="Q258" s="517" t="str">
        <f t="shared" ca="1" si="22"/>
        <v/>
      </c>
      <c r="R258" s="520" t="str">
        <f t="shared" ca="1" si="23"/>
        <v/>
      </c>
      <c r="S258" s="430" t="str">
        <f ca="1"/>
        <v/>
      </c>
      <c r="T258" s="430" t="str">
        <f ca="1"/>
        <v/>
      </c>
      <c r="U258" s="430" t="str">
        <f ca="1"/>
        <v/>
      </c>
      <c r="V258" s="517" t="str">
        <f ca="1"/>
        <v/>
      </c>
      <c r="W258" s="518" t="str">
        <f ca="1"/>
        <v/>
      </c>
      <c r="X258" s="430" t="str">
        <f ca="1"/>
        <v/>
      </c>
      <c r="Y258" s="864" t="str">
        <f t="shared" ca="1" si="19"/>
        <v/>
      </c>
      <c r="AA258" s="828">
        <v>240</v>
      </c>
      <c r="AB258" s="1100"/>
      <c r="AC258" s="1079"/>
      <c r="AD258" s="1067"/>
      <c r="AE258" s="1076"/>
      <c r="AF258" s="1076"/>
      <c r="AG258" s="1048"/>
      <c r="AH258" s="1077"/>
      <c r="AI258" s="1076"/>
      <c r="AJ258" s="1078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0"/>
        <v/>
      </c>
      <c r="G259" s="520" t="str">
        <f t="shared" ca="1" si="21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18"/>
        <v/>
      </c>
      <c r="P259" s="742">
        <v>241</v>
      </c>
      <c r="Q259" s="517" t="str">
        <f t="shared" ca="1" si="22"/>
        <v/>
      </c>
      <c r="R259" s="520" t="str">
        <f t="shared" ca="1" si="23"/>
        <v/>
      </c>
      <c r="S259" s="430" t="str">
        <f ca="1"/>
        <v/>
      </c>
      <c r="T259" s="430" t="str">
        <f ca="1"/>
        <v/>
      </c>
      <c r="U259" s="430" t="str">
        <f ca="1"/>
        <v/>
      </c>
      <c r="V259" s="517" t="str">
        <f ca="1"/>
        <v/>
      </c>
      <c r="W259" s="518" t="str">
        <f ca="1"/>
        <v/>
      </c>
      <c r="X259" s="430" t="str">
        <f ca="1"/>
        <v/>
      </c>
      <c r="Y259" s="864" t="str">
        <f t="shared" ca="1" si="19"/>
        <v/>
      </c>
      <c r="AA259" s="828">
        <v>241</v>
      </c>
      <c r="AB259" s="1100"/>
      <c r="AC259" s="1079"/>
      <c r="AD259" s="1067"/>
      <c r="AE259" s="1076"/>
      <c r="AF259" s="1076"/>
      <c r="AG259" s="1048"/>
      <c r="AH259" s="1077"/>
      <c r="AI259" s="1076"/>
      <c r="AJ259" s="1078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0"/>
        <v/>
      </c>
      <c r="G260" s="520" t="str">
        <f t="shared" ca="1" si="21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18"/>
        <v/>
      </c>
      <c r="P260" s="742">
        <v>242</v>
      </c>
      <c r="Q260" s="517" t="str">
        <f t="shared" ca="1" si="22"/>
        <v/>
      </c>
      <c r="R260" s="520" t="str">
        <f t="shared" ca="1" si="23"/>
        <v/>
      </c>
      <c r="S260" s="430" t="str">
        <f ca="1"/>
        <v/>
      </c>
      <c r="T260" s="430" t="str">
        <f ca="1"/>
        <v/>
      </c>
      <c r="U260" s="430" t="str">
        <f ca="1"/>
        <v/>
      </c>
      <c r="V260" s="517" t="str">
        <f ca="1"/>
        <v/>
      </c>
      <c r="W260" s="518" t="str">
        <f ca="1"/>
        <v/>
      </c>
      <c r="X260" s="430" t="str">
        <f ca="1"/>
        <v/>
      </c>
      <c r="Y260" s="864" t="str">
        <f t="shared" ca="1" si="19"/>
        <v/>
      </c>
      <c r="AA260" s="828">
        <v>242</v>
      </c>
      <c r="AB260" s="1100"/>
      <c r="AC260" s="1079"/>
      <c r="AD260" s="1067"/>
      <c r="AE260" s="1076"/>
      <c r="AF260" s="1076"/>
      <c r="AG260" s="1048"/>
      <c r="AH260" s="1077"/>
      <c r="AI260" s="1076"/>
      <c r="AJ260" s="1078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0"/>
        <v/>
      </c>
      <c r="G261" s="520" t="str">
        <f t="shared" ca="1" si="21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18"/>
        <v/>
      </c>
      <c r="P261" s="742">
        <v>243</v>
      </c>
      <c r="Q261" s="517" t="str">
        <f t="shared" ca="1" si="22"/>
        <v/>
      </c>
      <c r="R261" s="520" t="str">
        <f t="shared" ca="1" si="23"/>
        <v/>
      </c>
      <c r="S261" s="430" t="str">
        <f ca="1"/>
        <v/>
      </c>
      <c r="T261" s="430" t="str">
        <f ca="1"/>
        <v/>
      </c>
      <c r="U261" s="430" t="str">
        <f ca="1"/>
        <v/>
      </c>
      <c r="V261" s="517" t="str">
        <f ca="1"/>
        <v/>
      </c>
      <c r="W261" s="518" t="str">
        <f ca="1"/>
        <v/>
      </c>
      <c r="X261" s="430" t="str">
        <f ca="1"/>
        <v/>
      </c>
      <c r="Y261" s="864" t="str">
        <f t="shared" ca="1" si="19"/>
        <v/>
      </c>
      <c r="AA261" s="828">
        <v>243</v>
      </c>
      <c r="AB261" s="1100"/>
      <c r="AC261" s="1079"/>
      <c r="AD261" s="1067"/>
      <c r="AE261" s="1076"/>
      <c r="AF261" s="1076"/>
      <c r="AG261" s="1048"/>
      <c r="AH261" s="1077"/>
      <c r="AI261" s="1076"/>
      <c r="AJ261" s="1078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0"/>
        <v/>
      </c>
      <c r="G262" s="520" t="str">
        <f t="shared" ca="1" si="21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18"/>
        <v/>
      </c>
      <c r="P262" s="742">
        <v>244</v>
      </c>
      <c r="Q262" s="517" t="str">
        <f t="shared" ca="1" si="22"/>
        <v/>
      </c>
      <c r="R262" s="520" t="str">
        <f t="shared" ca="1" si="23"/>
        <v/>
      </c>
      <c r="S262" s="430" t="str">
        <f ca="1"/>
        <v/>
      </c>
      <c r="T262" s="430" t="str">
        <f ca="1"/>
        <v/>
      </c>
      <c r="U262" s="430" t="str">
        <f ca="1"/>
        <v/>
      </c>
      <c r="V262" s="517" t="str">
        <f ca="1"/>
        <v/>
      </c>
      <c r="W262" s="518" t="str">
        <f ca="1"/>
        <v/>
      </c>
      <c r="X262" s="430" t="str">
        <f ca="1"/>
        <v/>
      </c>
      <c r="Y262" s="864" t="str">
        <f t="shared" ca="1" si="19"/>
        <v/>
      </c>
      <c r="AA262" s="828">
        <v>244</v>
      </c>
      <c r="AB262" s="1100"/>
      <c r="AC262" s="1079"/>
      <c r="AD262" s="1067"/>
      <c r="AE262" s="1076"/>
      <c r="AF262" s="1076"/>
      <c r="AG262" s="1048"/>
      <c r="AH262" s="1077"/>
      <c r="AI262" s="1076"/>
      <c r="AJ262" s="1078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0"/>
        <v/>
      </c>
      <c r="G263" s="520" t="str">
        <f t="shared" ca="1" si="21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18"/>
        <v/>
      </c>
      <c r="P263" s="742">
        <v>245</v>
      </c>
      <c r="Q263" s="517" t="str">
        <f t="shared" ca="1" si="22"/>
        <v/>
      </c>
      <c r="R263" s="520" t="str">
        <f t="shared" ca="1" si="23"/>
        <v/>
      </c>
      <c r="S263" s="430" t="str">
        <f ca="1"/>
        <v/>
      </c>
      <c r="T263" s="430" t="str">
        <f ca="1"/>
        <v/>
      </c>
      <c r="U263" s="430" t="str">
        <f ca="1"/>
        <v/>
      </c>
      <c r="V263" s="517" t="str">
        <f ca="1"/>
        <v/>
      </c>
      <c r="W263" s="518" t="str">
        <f ca="1"/>
        <v/>
      </c>
      <c r="X263" s="430" t="str">
        <f ca="1"/>
        <v/>
      </c>
      <c r="Y263" s="864" t="str">
        <f t="shared" ca="1" si="19"/>
        <v/>
      </c>
      <c r="AA263" s="828">
        <v>245</v>
      </c>
      <c r="AB263" s="1100"/>
      <c r="AC263" s="1079"/>
      <c r="AD263" s="1067"/>
      <c r="AE263" s="1076"/>
      <c r="AF263" s="1076"/>
      <c r="AG263" s="1048"/>
      <c r="AH263" s="1077"/>
      <c r="AI263" s="1076"/>
      <c r="AJ263" s="1078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0"/>
        <v/>
      </c>
      <c r="G264" s="520" t="str">
        <f t="shared" ca="1" si="21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18"/>
        <v/>
      </c>
      <c r="P264" s="742">
        <v>246</v>
      </c>
      <c r="Q264" s="517" t="str">
        <f t="shared" ca="1" si="22"/>
        <v/>
      </c>
      <c r="R264" s="520" t="str">
        <f t="shared" ca="1" si="23"/>
        <v/>
      </c>
      <c r="S264" s="430" t="str">
        <f ca="1"/>
        <v/>
      </c>
      <c r="T264" s="430" t="str">
        <f ca="1"/>
        <v/>
      </c>
      <c r="U264" s="430" t="str">
        <f ca="1"/>
        <v/>
      </c>
      <c r="V264" s="517" t="str">
        <f ca="1"/>
        <v/>
      </c>
      <c r="W264" s="518" t="str">
        <f ca="1"/>
        <v/>
      </c>
      <c r="X264" s="430" t="str">
        <f ca="1"/>
        <v/>
      </c>
      <c r="Y264" s="864" t="str">
        <f t="shared" ca="1" si="19"/>
        <v/>
      </c>
      <c r="AA264" s="828">
        <v>246</v>
      </c>
      <c r="AB264" s="1100"/>
      <c r="AC264" s="1079"/>
      <c r="AD264" s="1067"/>
      <c r="AE264" s="1076"/>
      <c r="AF264" s="1076"/>
      <c r="AG264" s="1048"/>
      <c r="AH264" s="1077"/>
      <c r="AI264" s="1076"/>
      <c r="AJ264" s="1078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0"/>
        <v/>
      </c>
      <c r="G265" s="520" t="str">
        <f t="shared" ca="1" si="21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18"/>
        <v/>
      </c>
      <c r="P265" s="742">
        <v>247</v>
      </c>
      <c r="Q265" s="517" t="str">
        <f t="shared" ca="1" si="22"/>
        <v/>
      </c>
      <c r="R265" s="520" t="str">
        <f t="shared" ca="1" si="23"/>
        <v/>
      </c>
      <c r="S265" s="430" t="str">
        <f ca="1"/>
        <v/>
      </c>
      <c r="T265" s="430" t="str">
        <f ca="1"/>
        <v/>
      </c>
      <c r="U265" s="430" t="str">
        <f ca="1"/>
        <v/>
      </c>
      <c r="V265" s="517" t="str">
        <f ca="1"/>
        <v/>
      </c>
      <c r="W265" s="518" t="str">
        <f ca="1"/>
        <v/>
      </c>
      <c r="X265" s="430" t="str">
        <f ca="1"/>
        <v/>
      </c>
      <c r="Y265" s="864" t="str">
        <f t="shared" ca="1" si="19"/>
        <v/>
      </c>
      <c r="AA265" s="828">
        <v>247</v>
      </c>
      <c r="AB265" s="1100"/>
      <c r="AC265" s="1079"/>
      <c r="AD265" s="1067"/>
      <c r="AE265" s="1076"/>
      <c r="AF265" s="1076"/>
      <c r="AG265" s="1048"/>
      <c r="AH265" s="1077"/>
      <c r="AI265" s="1076"/>
      <c r="AJ265" s="1078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0"/>
        <v/>
      </c>
      <c r="G266" s="520" t="str">
        <f t="shared" ca="1" si="21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18"/>
        <v/>
      </c>
      <c r="P266" s="742">
        <v>248</v>
      </c>
      <c r="Q266" s="517" t="str">
        <f t="shared" ca="1" si="22"/>
        <v/>
      </c>
      <c r="R266" s="520" t="str">
        <f t="shared" ca="1" si="23"/>
        <v/>
      </c>
      <c r="S266" s="430" t="str">
        <f ca="1"/>
        <v/>
      </c>
      <c r="T266" s="430" t="str">
        <f ca="1"/>
        <v/>
      </c>
      <c r="U266" s="430" t="str">
        <f ca="1"/>
        <v/>
      </c>
      <c r="V266" s="517" t="str">
        <f ca="1"/>
        <v/>
      </c>
      <c r="W266" s="518" t="str">
        <f ca="1"/>
        <v/>
      </c>
      <c r="X266" s="430" t="str">
        <f ca="1"/>
        <v/>
      </c>
      <c r="Y266" s="864" t="str">
        <f t="shared" ca="1" si="19"/>
        <v/>
      </c>
      <c r="AA266" s="828">
        <v>248</v>
      </c>
      <c r="AB266" s="1100"/>
      <c r="AC266" s="1079"/>
      <c r="AD266" s="1067"/>
      <c r="AE266" s="1076"/>
      <c r="AF266" s="1076"/>
      <c r="AG266" s="1048"/>
      <c r="AH266" s="1077"/>
      <c r="AI266" s="1076"/>
      <c r="AJ266" s="1078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0"/>
        <v/>
      </c>
      <c r="G267" s="520" t="str">
        <f t="shared" ca="1" si="21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18"/>
        <v/>
      </c>
      <c r="P267" s="742">
        <v>249</v>
      </c>
      <c r="Q267" s="517" t="str">
        <f t="shared" ca="1" si="22"/>
        <v/>
      </c>
      <c r="R267" s="520" t="str">
        <f t="shared" ca="1" si="23"/>
        <v/>
      </c>
      <c r="S267" s="430" t="str">
        <f ca="1"/>
        <v/>
      </c>
      <c r="T267" s="430" t="str">
        <f ca="1"/>
        <v/>
      </c>
      <c r="U267" s="430" t="str">
        <f ca="1"/>
        <v/>
      </c>
      <c r="V267" s="517" t="str">
        <f ca="1"/>
        <v/>
      </c>
      <c r="W267" s="518" t="str">
        <f ca="1"/>
        <v/>
      </c>
      <c r="X267" s="430" t="str">
        <f ca="1"/>
        <v/>
      </c>
      <c r="Y267" s="864" t="str">
        <f t="shared" ca="1" si="19"/>
        <v/>
      </c>
      <c r="AA267" s="828">
        <v>249</v>
      </c>
      <c r="AB267" s="1100"/>
      <c r="AC267" s="1079"/>
      <c r="AD267" s="1067"/>
      <c r="AE267" s="1076"/>
      <c r="AF267" s="1076"/>
      <c r="AG267" s="1048"/>
      <c r="AH267" s="1077"/>
      <c r="AI267" s="1076"/>
      <c r="AJ267" s="1078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0"/>
        <v/>
      </c>
      <c r="G268" s="520" t="str">
        <f t="shared" ca="1" si="21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18"/>
        <v/>
      </c>
      <c r="P268" s="742">
        <v>250</v>
      </c>
      <c r="Q268" s="517" t="str">
        <f t="shared" ca="1" si="22"/>
        <v/>
      </c>
      <c r="R268" s="520" t="str">
        <f t="shared" ca="1" si="23"/>
        <v/>
      </c>
      <c r="S268" s="430" t="str">
        <f ca="1"/>
        <v/>
      </c>
      <c r="T268" s="430" t="str">
        <f ca="1"/>
        <v/>
      </c>
      <c r="U268" s="430" t="str">
        <f ca="1"/>
        <v/>
      </c>
      <c r="V268" s="517" t="str">
        <f ca="1"/>
        <v/>
      </c>
      <c r="W268" s="518" t="str">
        <f ca="1"/>
        <v/>
      </c>
      <c r="X268" s="430" t="str">
        <f ca="1"/>
        <v/>
      </c>
      <c r="Y268" s="864" t="str">
        <f t="shared" ca="1" si="19"/>
        <v/>
      </c>
      <c r="AA268" s="828">
        <v>250</v>
      </c>
      <c r="AB268" s="1100"/>
      <c r="AC268" s="1079"/>
      <c r="AD268" s="1067"/>
      <c r="AE268" s="1076"/>
      <c r="AF268" s="1076"/>
      <c r="AG268" s="1048"/>
      <c r="AH268" s="1077"/>
      <c r="AI268" s="1076"/>
      <c r="AJ268" s="1078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0"/>
        <v/>
      </c>
      <c r="G269" s="520" t="str">
        <f t="shared" ca="1" si="21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18"/>
        <v/>
      </c>
      <c r="P269" s="742">
        <v>251</v>
      </c>
      <c r="Q269" s="517" t="str">
        <f t="shared" ca="1" si="22"/>
        <v/>
      </c>
      <c r="R269" s="520" t="str">
        <f t="shared" ca="1" si="23"/>
        <v/>
      </c>
      <c r="S269" s="430" t="str">
        <f ca="1"/>
        <v/>
      </c>
      <c r="T269" s="430" t="str">
        <f ca="1"/>
        <v/>
      </c>
      <c r="U269" s="430" t="str">
        <f ca="1"/>
        <v/>
      </c>
      <c r="V269" s="517" t="str">
        <f ca="1"/>
        <v/>
      </c>
      <c r="W269" s="518" t="str">
        <f ca="1"/>
        <v/>
      </c>
      <c r="X269" s="430" t="str">
        <f ca="1"/>
        <v/>
      </c>
      <c r="Y269" s="864" t="str">
        <f t="shared" ca="1" si="19"/>
        <v/>
      </c>
      <c r="AA269" s="828">
        <v>251</v>
      </c>
      <c r="AB269" s="1100"/>
      <c r="AC269" s="1079"/>
      <c r="AD269" s="1067"/>
      <c r="AE269" s="1076"/>
      <c r="AF269" s="1076"/>
      <c r="AG269" s="1048"/>
      <c r="AH269" s="1077"/>
      <c r="AI269" s="1076"/>
      <c r="AJ269" s="1078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0"/>
        <v/>
      </c>
      <c r="G270" s="520" t="str">
        <f t="shared" ca="1" si="21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18"/>
        <v/>
      </c>
      <c r="P270" s="742">
        <v>252</v>
      </c>
      <c r="Q270" s="517" t="str">
        <f t="shared" ca="1" si="22"/>
        <v/>
      </c>
      <c r="R270" s="520" t="str">
        <f t="shared" ca="1" si="23"/>
        <v/>
      </c>
      <c r="S270" s="430" t="str">
        <f ca="1"/>
        <v/>
      </c>
      <c r="T270" s="430" t="str">
        <f ca="1"/>
        <v/>
      </c>
      <c r="U270" s="430" t="str">
        <f ca="1"/>
        <v/>
      </c>
      <c r="V270" s="517" t="str">
        <f ca="1"/>
        <v/>
      </c>
      <c r="W270" s="518" t="str">
        <f ca="1"/>
        <v/>
      </c>
      <c r="X270" s="430" t="str">
        <f ca="1"/>
        <v/>
      </c>
      <c r="Y270" s="864" t="str">
        <f t="shared" ca="1" si="19"/>
        <v/>
      </c>
      <c r="AA270" s="828">
        <v>252</v>
      </c>
      <c r="AB270" s="1100"/>
      <c r="AC270" s="1079"/>
      <c r="AD270" s="1067"/>
      <c r="AE270" s="1076"/>
      <c r="AF270" s="1076"/>
      <c r="AG270" s="1048"/>
      <c r="AH270" s="1077"/>
      <c r="AI270" s="1076"/>
      <c r="AJ270" s="1078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0"/>
        <v/>
      </c>
      <c r="G271" s="520" t="str">
        <f t="shared" ca="1" si="21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18"/>
        <v/>
      </c>
      <c r="P271" s="742">
        <v>253</v>
      </c>
      <c r="Q271" s="517" t="str">
        <f t="shared" ca="1" si="22"/>
        <v/>
      </c>
      <c r="R271" s="520" t="str">
        <f t="shared" ca="1" si="23"/>
        <v/>
      </c>
      <c r="S271" s="430" t="str">
        <f ca="1"/>
        <v/>
      </c>
      <c r="T271" s="430" t="str">
        <f ca="1"/>
        <v/>
      </c>
      <c r="U271" s="430" t="str">
        <f ca="1"/>
        <v/>
      </c>
      <c r="V271" s="517" t="str">
        <f ca="1"/>
        <v/>
      </c>
      <c r="W271" s="518" t="str">
        <f ca="1"/>
        <v/>
      </c>
      <c r="X271" s="430" t="str">
        <f ca="1"/>
        <v/>
      </c>
      <c r="Y271" s="864" t="str">
        <f t="shared" ca="1" si="19"/>
        <v/>
      </c>
      <c r="AA271" s="828">
        <v>253</v>
      </c>
      <c r="AB271" s="1100"/>
      <c r="AC271" s="1079"/>
      <c r="AD271" s="1067"/>
      <c r="AE271" s="1076"/>
      <c r="AF271" s="1076"/>
      <c r="AG271" s="1048"/>
      <c r="AH271" s="1077"/>
      <c r="AI271" s="1076"/>
      <c r="AJ271" s="1078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0"/>
        <v/>
      </c>
      <c r="G272" s="520" t="str">
        <f t="shared" ca="1" si="21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18"/>
        <v/>
      </c>
      <c r="P272" s="742">
        <v>254</v>
      </c>
      <c r="Q272" s="517" t="str">
        <f t="shared" ca="1" si="22"/>
        <v/>
      </c>
      <c r="R272" s="520" t="str">
        <f t="shared" ca="1" si="23"/>
        <v/>
      </c>
      <c r="S272" s="430" t="str">
        <f ca="1"/>
        <v/>
      </c>
      <c r="T272" s="430" t="str">
        <f ca="1"/>
        <v/>
      </c>
      <c r="U272" s="430" t="str">
        <f ca="1"/>
        <v/>
      </c>
      <c r="V272" s="517" t="str">
        <f ca="1"/>
        <v/>
      </c>
      <c r="W272" s="518" t="str">
        <f ca="1"/>
        <v/>
      </c>
      <c r="X272" s="430" t="str">
        <f ca="1"/>
        <v/>
      </c>
      <c r="Y272" s="864" t="str">
        <f t="shared" ca="1" si="19"/>
        <v/>
      </c>
      <c r="AA272" s="828">
        <v>254</v>
      </c>
      <c r="AB272" s="1100"/>
      <c r="AC272" s="1079"/>
      <c r="AD272" s="1067"/>
      <c r="AE272" s="1076"/>
      <c r="AF272" s="1076"/>
      <c r="AG272" s="1048"/>
      <c r="AH272" s="1077"/>
      <c r="AI272" s="1076"/>
      <c r="AJ272" s="1078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0"/>
        <v/>
      </c>
      <c r="G273" s="520" t="str">
        <f t="shared" ca="1" si="21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18"/>
        <v/>
      </c>
      <c r="P273" s="742">
        <v>255</v>
      </c>
      <c r="Q273" s="517" t="str">
        <f t="shared" ca="1" si="22"/>
        <v/>
      </c>
      <c r="R273" s="520" t="str">
        <f t="shared" ca="1" si="23"/>
        <v/>
      </c>
      <c r="S273" s="430" t="str">
        <f ca="1"/>
        <v/>
      </c>
      <c r="T273" s="430" t="str">
        <f ca="1"/>
        <v/>
      </c>
      <c r="U273" s="430" t="str">
        <f ca="1"/>
        <v/>
      </c>
      <c r="V273" s="517" t="str">
        <f ca="1"/>
        <v/>
      </c>
      <c r="W273" s="518" t="str">
        <f ca="1"/>
        <v/>
      </c>
      <c r="X273" s="430" t="str">
        <f ca="1"/>
        <v/>
      </c>
      <c r="Y273" s="864" t="str">
        <f t="shared" ca="1" si="19"/>
        <v/>
      </c>
      <c r="AA273" s="828">
        <v>255</v>
      </c>
      <c r="AB273" s="1100"/>
      <c r="AC273" s="1079"/>
      <c r="AD273" s="1067"/>
      <c r="AE273" s="1076"/>
      <c r="AF273" s="1076"/>
      <c r="AG273" s="1048"/>
      <c r="AH273" s="1077"/>
      <c r="AI273" s="1076"/>
      <c r="AJ273" s="1078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0"/>
        <v/>
      </c>
      <c r="G274" s="520" t="str">
        <f t="shared" ca="1" si="21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18"/>
        <v/>
      </c>
      <c r="P274" s="742">
        <v>256</v>
      </c>
      <c r="Q274" s="517" t="str">
        <f t="shared" ca="1" si="22"/>
        <v/>
      </c>
      <c r="R274" s="520" t="str">
        <f t="shared" ca="1" si="23"/>
        <v/>
      </c>
      <c r="S274" s="430" t="str">
        <f ca="1"/>
        <v/>
      </c>
      <c r="T274" s="430" t="str">
        <f ca="1"/>
        <v/>
      </c>
      <c r="U274" s="430" t="str">
        <f ca="1"/>
        <v/>
      </c>
      <c r="V274" s="517" t="str">
        <f ca="1"/>
        <v/>
      </c>
      <c r="W274" s="518" t="str">
        <f ca="1"/>
        <v/>
      </c>
      <c r="X274" s="430" t="str">
        <f ca="1"/>
        <v/>
      </c>
      <c r="Y274" s="864" t="str">
        <f t="shared" ca="1" si="19"/>
        <v/>
      </c>
      <c r="AA274" s="828">
        <v>256</v>
      </c>
      <c r="AB274" s="1100"/>
      <c r="AC274" s="1079"/>
      <c r="AD274" s="1067"/>
      <c r="AE274" s="1076"/>
      <c r="AF274" s="1076"/>
      <c r="AG274" s="1048"/>
      <c r="AH274" s="1077"/>
      <c r="AI274" s="1076"/>
      <c r="AJ274" s="1078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0"/>
        <v/>
      </c>
      <c r="G275" s="520" t="str">
        <f t="shared" ca="1" si="21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4">IF($I275="","",VNS.FixedRate)</f>
        <v/>
      </c>
      <c r="P275" s="742">
        <v>257</v>
      </c>
      <c r="Q275" s="517" t="str">
        <f t="shared" ca="1" si="22"/>
        <v/>
      </c>
      <c r="R275" s="520" t="str">
        <f t="shared" ca="1" si="23"/>
        <v/>
      </c>
      <c r="S275" s="430" t="str">
        <f ca="1"/>
        <v/>
      </c>
      <c r="T275" s="430" t="str">
        <f ca="1"/>
        <v/>
      </c>
      <c r="U275" s="430" t="str">
        <f ca="1"/>
        <v/>
      </c>
      <c r="V275" s="517" t="str">
        <f ca="1"/>
        <v/>
      </c>
      <c r="W275" s="518" t="str">
        <f ca="1"/>
        <v/>
      </c>
      <c r="X275" s="430" t="str">
        <f ca="1"/>
        <v/>
      </c>
      <c r="Y275" s="864" t="str">
        <f t="shared" ref="Y275:Y338" ca="1" si="25">IF($T275="","",VNS.FloatSpread)</f>
        <v/>
      </c>
      <c r="AA275" s="828">
        <v>257</v>
      </c>
      <c r="AB275" s="1100"/>
      <c r="AC275" s="1079"/>
      <c r="AD275" s="1067"/>
      <c r="AE275" s="1076"/>
      <c r="AF275" s="1076"/>
      <c r="AG275" s="1048"/>
      <c r="AH275" s="1077"/>
      <c r="AI275" s="1076"/>
      <c r="AJ275" s="1078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26">IF($I276="","",IF(OR(VNS.FixedAmortization=0,VNS.FixedAmortization.Frequency=0),F275,IF(MOD(E276-1,VNS.FixedAmortization.Frequency)=0,F275-VNS.FixedAmortization,F275)))</f>
        <v/>
      </c>
      <c r="G276" s="520" t="str">
        <f t="shared" ref="G276:G339" ca="1" si="27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4"/>
        <v/>
      </c>
      <c r="P276" s="742">
        <v>258</v>
      </c>
      <c r="Q276" s="517" t="str">
        <f t="shared" ref="Q276:Q339" ca="1" si="28">IF($T276="","",IF(OR(VNS.FloatAmortization=0,VNS.FloatAmortization.Frequency=0),Q275,IF(MOD(P276-1,VNS.FloatAmortization.Frequency)=0,Q275-VNS.FloatAmortization,Q275)))</f>
        <v/>
      </c>
      <c r="R276" s="520" t="str">
        <f t="shared" ref="R276:R339" ca="1" si="29">IF(T276="","",1)</f>
        <v/>
      </c>
      <c r="S276" s="430" t="str">
        <f ca="1"/>
        <v/>
      </c>
      <c r="T276" s="430" t="str">
        <f ca="1"/>
        <v/>
      </c>
      <c r="U276" s="430" t="str">
        <f ca="1"/>
        <v/>
      </c>
      <c r="V276" s="517" t="str">
        <f ca="1"/>
        <v/>
      </c>
      <c r="W276" s="518" t="str">
        <f ca="1"/>
        <v/>
      </c>
      <c r="X276" s="430" t="str">
        <f ca="1"/>
        <v/>
      </c>
      <c r="Y276" s="864" t="str">
        <f t="shared" ca="1" si="25"/>
        <v/>
      </c>
      <c r="AA276" s="828">
        <v>258</v>
      </c>
      <c r="AB276" s="1100"/>
      <c r="AC276" s="1079"/>
      <c r="AD276" s="1067"/>
      <c r="AE276" s="1076"/>
      <c r="AF276" s="1076"/>
      <c r="AG276" s="1048"/>
      <c r="AH276" s="1077"/>
      <c r="AI276" s="1076"/>
      <c r="AJ276" s="1078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26"/>
        <v/>
      </c>
      <c r="G277" s="520" t="str">
        <f t="shared" ca="1" si="27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4"/>
        <v/>
      </c>
      <c r="P277" s="742">
        <v>259</v>
      </c>
      <c r="Q277" s="517" t="str">
        <f t="shared" ca="1" si="28"/>
        <v/>
      </c>
      <c r="R277" s="520" t="str">
        <f t="shared" ca="1" si="29"/>
        <v/>
      </c>
      <c r="S277" s="430" t="str">
        <f ca="1"/>
        <v/>
      </c>
      <c r="T277" s="430" t="str">
        <f ca="1"/>
        <v/>
      </c>
      <c r="U277" s="430" t="str">
        <f ca="1"/>
        <v/>
      </c>
      <c r="V277" s="517" t="str">
        <f ca="1"/>
        <v/>
      </c>
      <c r="W277" s="518" t="str">
        <f ca="1"/>
        <v/>
      </c>
      <c r="X277" s="430" t="str">
        <f ca="1"/>
        <v/>
      </c>
      <c r="Y277" s="864" t="str">
        <f t="shared" ca="1" si="25"/>
        <v/>
      </c>
      <c r="AA277" s="828">
        <v>259</v>
      </c>
      <c r="AB277" s="1100"/>
      <c r="AC277" s="1079"/>
      <c r="AD277" s="1067"/>
      <c r="AE277" s="1076"/>
      <c r="AF277" s="1076"/>
      <c r="AG277" s="1048"/>
      <c r="AH277" s="1077"/>
      <c r="AI277" s="1076"/>
      <c r="AJ277" s="1078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26"/>
        <v/>
      </c>
      <c r="G278" s="520" t="str">
        <f t="shared" ca="1" si="27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4"/>
        <v/>
      </c>
      <c r="P278" s="742">
        <v>260</v>
      </c>
      <c r="Q278" s="517" t="str">
        <f t="shared" ca="1" si="28"/>
        <v/>
      </c>
      <c r="R278" s="520" t="str">
        <f t="shared" ca="1" si="29"/>
        <v/>
      </c>
      <c r="S278" s="430" t="str">
        <f ca="1"/>
        <v/>
      </c>
      <c r="T278" s="430" t="str">
        <f ca="1"/>
        <v/>
      </c>
      <c r="U278" s="430" t="str">
        <f ca="1"/>
        <v/>
      </c>
      <c r="V278" s="517" t="str">
        <f ca="1"/>
        <v/>
      </c>
      <c r="W278" s="518" t="str">
        <f ca="1"/>
        <v/>
      </c>
      <c r="X278" s="430" t="str">
        <f ca="1"/>
        <v/>
      </c>
      <c r="Y278" s="864" t="str">
        <f t="shared" ca="1" si="25"/>
        <v/>
      </c>
      <c r="AA278" s="828">
        <v>260</v>
      </c>
      <c r="AB278" s="1100"/>
      <c r="AC278" s="1079"/>
      <c r="AD278" s="1067"/>
      <c r="AE278" s="1076"/>
      <c r="AF278" s="1076"/>
      <c r="AG278" s="1048"/>
      <c r="AH278" s="1077"/>
      <c r="AI278" s="1076"/>
      <c r="AJ278" s="1078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26"/>
        <v/>
      </c>
      <c r="G279" s="520" t="str">
        <f t="shared" ca="1" si="27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4"/>
        <v/>
      </c>
      <c r="P279" s="742">
        <v>261</v>
      </c>
      <c r="Q279" s="517" t="str">
        <f t="shared" ca="1" si="28"/>
        <v/>
      </c>
      <c r="R279" s="520" t="str">
        <f t="shared" ca="1" si="29"/>
        <v/>
      </c>
      <c r="S279" s="430" t="str">
        <f ca="1"/>
        <v/>
      </c>
      <c r="T279" s="430" t="str">
        <f ca="1"/>
        <v/>
      </c>
      <c r="U279" s="430" t="str">
        <f ca="1"/>
        <v/>
      </c>
      <c r="V279" s="517" t="str">
        <f ca="1"/>
        <v/>
      </c>
      <c r="W279" s="518" t="str">
        <f ca="1"/>
        <v/>
      </c>
      <c r="X279" s="430" t="str">
        <f ca="1"/>
        <v/>
      </c>
      <c r="Y279" s="864" t="str">
        <f t="shared" ca="1" si="25"/>
        <v/>
      </c>
      <c r="AA279" s="828">
        <v>261</v>
      </c>
      <c r="AB279" s="1100"/>
      <c r="AC279" s="1079"/>
      <c r="AD279" s="1067"/>
      <c r="AE279" s="1076"/>
      <c r="AF279" s="1076"/>
      <c r="AG279" s="1048"/>
      <c r="AH279" s="1077"/>
      <c r="AI279" s="1076"/>
      <c r="AJ279" s="1078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26"/>
        <v/>
      </c>
      <c r="G280" s="520" t="str">
        <f t="shared" ca="1" si="27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4"/>
        <v/>
      </c>
      <c r="P280" s="742">
        <v>262</v>
      </c>
      <c r="Q280" s="517" t="str">
        <f t="shared" ca="1" si="28"/>
        <v/>
      </c>
      <c r="R280" s="520" t="str">
        <f t="shared" ca="1" si="29"/>
        <v/>
      </c>
      <c r="S280" s="430" t="str">
        <f ca="1"/>
        <v/>
      </c>
      <c r="T280" s="430" t="str">
        <f ca="1"/>
        <v/>
      </c>
      <c r="U280" s="430" t="str">
        <f ca="1"/>
        <v/>
      </c>
      <c r="V280" s="517" t="str">
        <f ca="1"/>
        <v/>
      </c>
      <c r="W280" s="518" t="str">
        <f ca="1"/>
        <v/>
      </c>
      <c r="X280" s="430" t="str">
        <f ca="1"/>
        <v/>
      </c>
      <c r="Y280" s="864" t="str">
        <f t="shared" ca="1" si="25"/>
        <v/>
      </c>
      <c r="AA280" s="828">
        <v>262</v>
      </c>
      <c r="AB280" s="1100"/>
      <c r="AC280" s="1079"/>
      <c r="AD280" s="1067"/>
      <c r="AE280" s="1076"/>
      <c r="AF280" s="1076"/>
      <c r="AG280" s="1048"/>
      <c r="AH280" s="1077"/>
      <c r="AI280" s="1076"/>
      <c r="AJ280" s="1078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26"/>
        <v/>
      </c>
      <c r="G281" s="520" t="str">
        <f t="shared" ca="1" si="27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4"/>
        <v/>
      </c>
      <c r="P281" s="742">
        <v>263</v>
      </c>
      <c r="Q281" s="517" t="str">
        <f t="shared" ca="1" si="28"/>
        <v/>
      </c>
      <c r="R281" s="520" t="str">
        <f t="shared" ca="1" si="29"/>
        <v/>
      </c>
      <c r="S281" s="430" t="str">
        <f ca="1"/>
        <v/>
      </c>
      <c r="T281" s="430" t="str">
        <f ca="1"/>
        <v/>
      </c>
      <c r="U281" s="430" t="str">
        <f ca="1"/>
        <v/>
      </c>
      <c r="V281" s="517" t="str">
        <f ca="1"/>
        <v/>
      </c>
      <c r="W281" s="518" t="str">
        <f ca="1"/>
        <v/>
      </c>
      <c r="X281" s="430" t="str">
        <f ca="1"/>
        <v/>
      </c>
      <c r="Y281" s="864" t="str">
        <f t="shared" ca="1" si="25"/>
        <v/>
      </c>
      <c r="AA281" s="828">
        <v>263</v>
      </c>
      <c r="AB281" s="1100"/>
      <c r="AC281" s="1079"/>
      <c r="AD281" s="1067"/>
      <c r="AE281" s="1076"/>
      <c r="AF281" s="1076"/>
      <c r="AG281" s="1048"/>
      <c r="AH281" s="1077"/>
      <c r="AI281" s="1076"/>
      <c r="AJ281" s="1078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26"/>
        <v/>
      </c>
      <c r="G282" s="520" t="str">
        <f t="shared" ca="1" si="27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4"/>
        <v/>
      </c>
      <c r="P282" s="742">
        <v>264</v>
      </c>
      <c r="Q282" s="517" t="str">
        <f t="shared" ca="1" si="28"/>
        <v/>
      </c>
      <c r="R282" s="520" t="str">
        <f t="shared" ca="1" si="29"/>
        <v/>
      </c>
      <c r="S282" s="430" t="str">
        <f ca="1"/>
        <v/>
      </c>
      <c r="T282" s="430" t="str">
        <f ca="1"/>
        <v/>
      </c>
      <c r="U282" s="430" t="str">
        <f ca="1"/>
        <v/>
      </c>
      <c r="V282" s="517" t="str">
        <f ca="1"/>
        <v/>
      </c>
      <c r="W282" s="518" t="str">
        <f ca="1"/>
        <v/>
      </c>
      <c r="X282" s="430" t="str">
        <f ca="1"/>
        <v/>
      </c>
      <c r="Y282" s="864" t="str">
        <f t="shared" ca="1" si="25"/>
        <v/>
      </c>
      <c r="AA282" s="828">
        <v>264</v>
      </c>
      <c r="AB282" s="1100"/>
      <c r="AC282" s="1079"/>
      <c r="AD282" s="1067"/>
      <c r="AE282" s="1076"/>
      <c r="AF282" s="1076"/>
      <c r="AG282" s="1048"/>
      <c r="AH282" s="1077"/>
      <c r="AI282" s="1076"/>
      <c r="AJ282" s="1078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26"/>
        <v/>
      </c>
      <c r="G283" s="520" t="str">
        <f t="shared" ca="1" si="27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4"/>
        <v/>
      </c>
      <c r="P283" s="742">
        <v>265</v>
      </c>
      <c r="Q283" s="517" t="str">
        <f t="shared" ca="1" si="28"/>
        <v/>
      </c>
      <c r="R283" s="520" t="str">
        <f t="shared" ca="1" si="29"/>
        <v/>
      </c>
      <c r="S283" s="430" t="str">
        <f ca="1"/>
        <v/>
      </c>
      <c r="T283" s="430" t="str">
        <f ca="1"/>
        <v/>
      </c>
      <c r="U283" s="430" t="str">
        <f ca="1"/>
        <v/>
      </c>
      <c r="V283" s="517" t="str">
        <f ca="1"/>
        <v/>
      </c>
      <c r="W283" s="518" t="str">
        <f ca="1"/>
        <v/>
      </c>
      <c r="X283" s="430" t="str">
        <f ca="1"/>
        <v/>
      </c>
      <c r="Y283" s="864" t="str">
        <f t="shared" ca="1" si="25"/>
        <v/>
      </c>
      <c r="AA283" s="828">
        <v>265</v>
      </c>
      <c r="AB283" s="1100"/>
      <c r="AC283" s="1079"/>
      <c r="AD283" s="1067"/>
      <c r="AE283" s="1076"/>
      <c r="AF283" s="1076"/>
      <c r="AG283" s="1048"/>
      <c r="AH283" s="1077"/>
      <c r="AI283" s="1076"/>
      <c r="AJ283" s="1078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26"/>
        <v/>
      </c>
      <c r="G284" s="520" t="str">
        <f t="shared" ca="1" si="27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4"/>
        <v/>
      </c>
      <c r="P284" s="742">
        <v>266</v>
      </c>
      <c r="Q284" s="517" t="str">
        <f t="shared" ca="1" si="28"/>
        <v/>
      </c>
      <c r="R284" s="520" t="str">
        <f t="shared" ca="1" si="29"/>
        <v/>
      </c>
      <c r="S284" s="430" t="str">
        <f ca="1"/>
        <v/>
      </c>
      <c r="T284" s="430" t="str">
        <f ca="1"/>
        <v/>
      </c>
      <c r="U284" s="430" t="str">
        <f ca="1"/>
        <v/>
      </c>
      <c r="V284" s="517" t="str">
        <f ca="1"/>
        <v/>
      </c>
      <c r="W284" s="518" t="str">
        <f ca="1"/>
        <v/>
      </c>
      <c r="X284" s="430" t="str">
        <f ca="1"/>
        <v/>
      </c>
      <c r="Y284" s="864" t="str">
        <f t="shared" ca="1" si="25"/>
        <v/>
      </c>
      <c r="AA284" s="828">
        <v>266</v>
      </c>
      <c r="AB284" s="1100"/>
      <c r="AC284" s="1079"/>
      <c r="AD284" s="1067"/>
      <c r="AE284" s="1076"/>
      <c r="AF284" s="1076"/>
      <c r="AG284" s="1048"/>
      <c r="AH284" s="1077"/>
      <c r="AI284" s="1076"/>
      <c r="AJ284" s="1078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26"/>
        <v/>
      </c>
      <c r="G285" s="520" t="str">
        <f t="shared" ca="1" si="27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4"/>
        <v/>
      </c>
      <c r="P285" s="742">
        <v>267</v>
      </c>
      <c r="Q285" s="517" t="str">
        <f t="shared" ca="1" si="28"/>
        <v/>
      </c>
      <c r="R285" s="520" t="str">
        <f t="shared" ca="1" si="29"/>
        <v/>
      </c>
      <c r="S285" s="430" t="str">
        <f ca="1"/>
        <v/>
      </c>
      <c r="T285" s="430" t="str">
        <f ca="1"/>
        <v/>
      </c>
      <c r="U285" s="430" t="str">
        <f ca="1"/>
        <v/>
      </c>
      <c r="V285" s="517" t="str">
        <f ca="1"/>
        <v/>
      </c>
      <c r="W285" s="518" t="str">
        <f ca="1"/>
        <v/>
      </c>
      <c r="X285" s="430" t="str">
        <f ca="1"/>
        <v/>
      </c>
      <c r="Y285" s="864" t="str">
        <f t="shared" ca="1" si="25"/>
        <v/>
      </c>
      <c r="AA285" s="828">
        <v>267</v>
      </c>
      <c r="AB285" s="1100"/>
      <c r="AC285" s="1079"/>
      <c r="AD285" s="1067"/>
      <c r="AE285" s="1076"/>
      <c r="AF285" s="1076"/>
      <c r="AG285" s="1048"/>
      <c r="AH285" s="1077"/>
      <c r="AI285" s="1076"/>
      <c r="AJ285" s="1078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26"/>
        <v/>
      </c>
      <c r="G286" s="520" t="str">
        <f t="shared" ca="1" si="27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4"/>
        <v/>
      </c>
      <c r="P286" s="742">
        <v>268</v>
      </c>
      <c r="Q286" s="517" t="str">
        <f t="shared" ca="1" si="28"/>
        <v/>
      </c>
      <c r="R286" s="520" t="str">
        <f t="shared" ca="1" si="29"/>
        <v/>
      </c>
      <c r="S286" s="430" t="str">
        <f ca="1"/>
        <v/>
      </c>
      <c r="T286" s="430" t="str">
        <f ca="1"/>
        <v/>
      </c>
      <c r="U286" s="430" t="str">
        <f ca="1"/>
        <v/>
      </c>
      <c r="V286" s="517" t="str">
        <f ca="1"/>
        <v/>
      </c>
      <c r="W286" s="518" t="str">
        <f ca="1"/>
        <v/>
      </c>
      <c r="X286" s="430" t="str">
        <f ca="1"/>
        <v/>
      </c>
      <c r="Y286" s="864" t="str">
        <f t="shared" ca="1" si="25"/>
        <v/>
      </c>
      <c r="AA286" s="828">
        <v>268</v>
      </c>
      <c r="AB286" s="1100"/>
      <c r="AC286" s="1079"/>
      <c r="AD286" s="1067"/>
      <c r="AE286" s="1076"/>
      <c r="AF286" s="1076"/>
      <c r="AG286" s="1048"/>
      <c r="AH286" s="1077"/>
      <c r="AI286" s="1076"/>
      <c r="AJ286" s="1078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26"/>
        <v/>
      </c>
      <c r="G287" s="520" t="str">
        <f t="shared" ca="1" si="27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4"/>
        <v/>
      </c>
      <c r="P287" s="742">
        <v>269</v>
      </c>
      <c r="Q287" s="517" t="str">
        <f t="shared" ca="1" si="28"/>
        <v/>
      </c>
      <c r="R287" s="520" t="str">
        <f t="shared" ca="1" si="29"/>
        <v/>
      </c>
      <c r="S287" s="430" t="str">
        <f ca="1"/>
        <v/>
      </c>
      <c r="T287" s="430" t="str">
        <f ca="1"/>
        <v/>
      </c>
      <c r="U287" s="430" t="str">
        <f ca="1"/>
        <v/>
      </c>
      <c r="V287" s="517" t="str">
        <f ca="1"/>
        <v/>
      </c>
      <c r="W287" s="518" t="str">
        <f ca="1"/>
        <v/>
      </c>
      <c r="X287" s="430" t="str">
        <f ca="1"/>
        <v/>
      </c>
      <c r="Y287" s="864" t="str">
        <f t="shared" ca="1" si="25"/>
        <v/>
      </c>
      <c r="AA287" s="828">
        <v>269</v>
      </c>
      <c r="AB287" s="1100"/>
      <c r="AC287" s="1079"/>
      <c r="AD287" s="1067"/>
      <c r="AE287" s="1076"/>
      <c r="AF287" s="1076"/>
      <c r="AG287" s="1048"/>
      <c r="AH287" s="1077"/>
      <c r="AI287" s="1076"/>
      <c r="AJ287" s="1078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26"/>
        <v/>
      </c>
      <c r="G288" s="520" t="str">
        <f t="shared" ca="1" si="27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4"/>
        <v/>
      </c>
      <c r="P288" s="742">
        <v>270</v>
      </c>
      <c r="Q288" s="517" t="str">
        <f t="shared" ca="1" si="28"/>
        <v/>
      </c>
      <c r="R288" s="520" t="str">
        <f t="shared" ca="1" si="29"/>
        <v/>
      </c>
      <c r="S288" s="430" t="str">
        <f ca="1"/>
        <v/>
      </c>
      <c r="T288" s="430" t="str">
        <f ca="1"/>
        <v/>
      </c>
      <c r="U288" s="430" t="str">
        <f ca="1"/>
        <v/>
      </c>
      <c r="V288" s="517" t="str">
        <f ca="1"/>
        <v/>
      </c>
      <c r="W288" s="518" t="str">
        <f ca="1"/>
        <v/>
      </c>
      <c r="X288" s="430" t="str">
        <f ca="1"/>
        <v/>
      </c>
      <c r="Y288" s="864" t="str">
        <f t="shared" ca="1" si="25"/>
        <v/>
      </c>
      <c r="AA288" s="828">
        <v>270</v>
      </c>
      <c r="AB288" s="1100"/>
      <c r="AC288" s="1079"/>
      <c r="AD288" s="1067"/>
      <c r="AE288" s="1076"/>
      <c r="AF288" s="1076"/>
      <c r="AG288" s="1048"/>
      <c r="AH288" s="1077"/>
      <c r="AI288" s="1076"/>
      <c r="AJ288" s="1078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26"/>
        <v/>
      </c>
      <c r="G289" s="520" t="str">
        <f t="shared" ca="1" si="27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4"/>
        <v/>
      </c>
      <c r="P289" s="742">
        <v>271</v>
      </c>
      <c r="Q289" s="517" t="str">
        <f t="shared" ca="1" si="28"/>
        <v/>
      </c>
      <c r="R289" s="520" t="str">
        <f t="shared" ca="1" si="29"/>
        <v/>
      </c>
      <c r="S289" s="430" t="str">
        <f ca="1"/>
        <v/>
      </c>
      <c r="T289" s="430" t="str">
        <f ca="1"/>
        <v/>
      </c>
      <c r="U289" s="430" t="str">
        <f ca="1"/>
        <v/>
      </c>
      <c r="V289" s="517" t="str">
        <f ca="1"/>
        <v/>
      </c>
      <c r="W289" s="518" t="str">
        <f ca="1"/>
        <v/>
      </c>
      <c r="X289" s="430" t="str">
        <f ca="1"/>
        <v/>
      </c>
      <c r="Y289" s="864" t="str">
        <f t="shared" ca="1" si="25"/>
        <v/>
      </c>
      <c r="AA289" s="828">
        <v>271</v>
      </c>
      <c r="AB289" s="1100"/>
      <c r="AC289" s="1079"/>
      <c r="AD289" s="1067"/>
      <c r="AE289" s="1076"/>
      <c r="AF289" s="1076"/>
      <c r="AG289" s="1048"/>
      <c r="AH289" s="1077"/>
      <c r="AI289" s="1076"/>
      <c r="AJ289" s="1078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26"/>
        <v/>
      </c>
      <c r="G290" s="520" t="str">
        <f t="shared" ca="1" si="27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4"/>
        <v/>
      </c>
      <c r="P290" s="742">
        <v>272</v>
      </c>
      <c r="Q290" s="517" t="str">
        <f t="shared" ca="1" si="28"/>
        <v/>
      </c>
      <c r="R290" s="520" t="str">
        <f t="shared" ca="1" si="29"/>
        <v/>
      </c>
      <c r="S290" s="430" t="str">
        <f ca="1"/>
        <v/>
      </c>
      <c r="T290" s="430" t="str">
        <f ca="1"/>
        <v/>
      </c>
      <c r="U290" s="430" t="str">
        <f ca="1"/>
        <v/>
      </c>
      <c r="V290" s="517" t="str">
        <f ca="1"/>
        <v/>
      </c>
      <c r="W290" s="518" t="str">
        <f ca="1"/>
        <v/>
      </c>
      <c r="X290" s="430" t="str">
        <f ca="1"/>
        <v/>
      </c>
      <c r="Y290" s="864" t="str">
        <f t="shared" ca="1" si="25"/>
        <v/>
      </c>
      <c r="AA290" s="828">
        <v>272</v>
      </c>
      <c r="AB290" s="1100"/>
      <c r="AC290" s="1079"/>
      <c r="AD290" s="1067"/>
      <c r="AE290" s="1076"/>
      <c r="AF290" s="1076"/>
      <c r="AG290" s="1048"/>
      <c r="AH290" s="1077"/>
      <c r="AI290" s="1076"/>
      <c r="AJ290" s="1078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26"/>
        <v/>
      </c>
      <c r="G291" s="520" t="str">
        <f t="shared" ca="1" si="27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4"/>
        <v/>
      </c>
      <c r="P291" s="742">
        <v>273</v>
      </c>
      <c r="Q291" s="517" t="str">
        <f t="shared" ca="1" si="28"/>
        <v/>
      </c>
      <c r="R291" s="520" t="str">
        <f t="shared" ca="1" si="29"/>
        <v/>
      </c>
      <c r="S291" s="430" t="str">
        <f ca="1"/>
        <v/>
      </c>
      <c r="T291" s="430" t="str">
        <f ca="1"/>
        <v/>
      </c>
      <c r="U291" s="430" t="str">
        <f ca="1"/>
        <v/>
      </c>
      <c r="V291" s="517" t="str">
        <f ca="1"/>
        <v/>
      </c>
      <c r="W291" s="518" t="str">
        <f ca="1"/>
        <v/>
      </c>
      <c r="X291" s="430" t="str">
        <f ca="1"/>
        <v/>
      </c>
      <c r="Y291" s="864" t="str">
        <f t="shared" ca="1" si="25"/>
        <v/>
      </c>
      <c r="AA291" s="828">
        <v>273</v>
      </c>
      <c r="AB291" s="1100"/>
      <c r="AC291" s="1079"/>
      <c r="AD291" s="1067"/>
      <c r="AE291" s="1076"/>
      <c r="AF291" s="1076"/>
      <c r="AG291" s="1048"/>
      <c r="AH291" s="1077"/>
      <c r="AI291" s="1076"/>
      <c r="AJ291" s="1078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26"/>
        <v/>
      </c>
      <c r="G292" s="520" t="str">
        <f t="shared" ca="1" si="27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4"/>
        <v/>
      </c>
      <c r="P292" s="742">
        <v>274</v>
      </c>
      <c r="Q292" s="517" t="str">
        <f t="shared" ca="1" si="28"/>
        <v/>
      </c>
      <c r="R292" s="520" t="str">
        <f t="shared" ca="1" si="29"/>
        <v/>
      </c>
      <c r="S292" s="430" t="str">
        <f ca="1"/>
        <v/>
      </c>
      <c r="T292" s="430" t="str">
        <f ca="1"/>
        <v/>
      </c>
      <c r="U292" s="430" t="str">
        <f ca="1"/>
        <v/>
      </c>
      <c r="V292" s="517" t="str">
        <f ca="1"/>
        <v/>
      </c>
      <c r="W292" s="518" t="str">
        <f ca="1"/>
        <v/>
      </c>
      <c r="X292" s="430" t="str">
        <f ca="1"/>
        <v/>
      </c>
      <c r="Y292" s="864" t="str">
        <f t="shared" ca="1" si="25"/>
        <v/>
      </c>
      <c r="AA292" s="828">
        <v>274</v>
      </c>
      <c r="AB292" s="1100"/>
      <c r="AC292" s="1079"/>
      <c r="AD292" s="1067"/>
      <c r="AE292" s="1076"/>
      <c r="AF292" s="1076"/>
      <c r="AG292" s="1048"/>
      <c r="AH292" s="1077"/>
      <c r="AI292" s="1076"/>
      <c r="AJ292" s="1078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26"/>
        <v/>
      </c>
      <c r="G293" s="520" t="str">
        <f t="shared" ca="1" si="27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4"/>
        <v/>
      </c>
      <c r="P293" s="742">
        <v>275</v>
      </c>
      <c r="Q293" s="517" t="str">
        <f t="shared" ca="1" si="28"/>
        <v/>
      </c>
      <c r="R293" s="520" t="str">
        <f t="shared" ca="1" si="29"/>
        <v/>
      </c>
      <c r="S293" s="430" t="str">
        <f ca="1"/>
        <v/>
      </c>
      <c r="T293" s="430" t="str">
        <f ca="1"/>
        <v/>
      </c>
      <c r="U293" s="430" t="str">
        <f ca="1"/>
        <v/>
      </c>
      <c r="V293" s="517" t="str">
        <f ca="1"/>
        <v/>
      </c>
      <c r="W293" s="518" t="str">
        <f ca="1"/>
        <v/>
      </c>
      <c r="X293" s="430" t="str">
        <f ca="1"/>
        <v/>
      </c>
      <c r="Y293" s="864" t="str">
        <f t="shared" ca="1" si="25"/>
        <v/>
      </c>
      <c r="AA293" s="828">
        <v>275</v>
      </c>
      <c r="AB293" s="1100"/>
      <c r="AC293" s="1079"/>
      <c r="AD293" s="1067"/>
      <c r="AE293" s="1076"/>
      <c r="AF293" s="1076"/>
      <c r="AG293" s="1048"/>
      <c r="AH293" s="1077"/>
      <c r="AI293" s="1076"/>
      <c r="AJ293" s="1078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26"/>
        <v/>
      </c>
      <c r="G294" s="520" t="str">
        <f t="shared" ca="1" si="27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4"/>
        <v/>
      </c>
      <c r="P294" s="742">
        <v>276</v>
      </c>
      <c r="Q294" s="517" t="str">
        <f t="shared" ca="1" si="28"/>
        <v/>
      </c>
      <c r="R294" s="520" t="str">
        <f t="shared" ca="1" si="29"/>
        <v/>
      </c>
      <c r="S294" s="430" t="str">
        <f ca="1"/>
        <v/>
      </c>
      <c r="T294" s="430" t="str">
        <f ca="1"/>
        <v/>
      </c>
      <c r="U294" s="430" t="str">
        <f ca="1"/>
        <v/>
      </c>
      <c r="V294" s="517" t="str">
        <f ca="1"/>
        <v/>
      </c>
      <c r="W294" s="518" t="str">
        <f ca="1"/>
        <v/>
      </c>
      <c r="X294" s="430" t="str">
        <f ca="1"/>
        <v/>
      </c>
      <c r="Y294" s="864" t="str">
        <f t="shared" ca="1" si="25"/>
        <v/>
      </c>
      <c r="AA294" s="828">
        <v>276</v>
      </c>
      <c r="AB294" s="1100"/>
      <c r="AC294" s="1079"/>
      <c r="AD294" s="1067"/>
      <c r="AE294" s="1076"/>
      <c r="AF294" s="1076"/>
      <c r="AG294" s="1048"/>
      <c r="AH294" s="1077"/>
      <c r="AI294" s="1076"/>
      <c r="AJ294" s="1078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26"/>
        <v/>
      </c>
      <c r="G295" s="520" t="str">
        <f t="shared" ca="1" si="27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4"/>
        <v/>
      </c>
      <c r="P295" s="742">
        <v>277</v>
      </c>
      <c r="Q295" s="517" t="str">
        <f t="shared" ca="1" si="28"/>
        <v/>
      </c>
      <c r="R295" s="520" t="str">
        <f t="shared" ca="1" si="29"/>
        <v/>
      </c>
      <c r="S295" s="430" t="str">
        <f ca="1"/>
        <v/>
      </c>
      <c r="T295" s="430" t="str">
        <f ca="1"/>
        <v/>
      </c>
      <c r="U295" s="430" t="str">
        <f ca="1"/>
        <v/>
      </c>
      <c r="V295" s="517" t="str">
        <f ca="1"/>
        <v/>
      </c>
      <c r="W295" s="518" t="str">
        <f ca="1"/>
        <v/>
      </c>
      <c r="X295" s="430" t="str">
        <f ca="1"/>
        <v/>
      </c>
      <c r="Y295" s="864" t="str">
        <f t="shared" ca="1" si="25"/>
        <v/>
      </c>
      <c r="AA295" s="828">
        <v>277</v>
      </c>
      <c r="AB295" s="1100"/>
      <c r="AC295" s="1079"/>
      <c r="AD295" s="1067"/>
      <c r="AE295" s="1076"/>
      <c r="AF295" s="1076"/>
      <c r="AG295" s="1048"/>
      <c r="AH295" s="1077"/>
      <c r="AI295" s="1076"/>
      <c r="AJ295" s="1078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26"/>
        <v/>
      </c>
      <c r="G296" s="520" t="str">
        <f t="shared" ca="1" si="27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4"/>
        <v/>
      </c>
      <c r="P296" s="742">
        <v>278</v>
      </c>
      <c r="Q296" s="517" t="str">
        <f t="shared" ca="1" si="28"/>
        <v/>
      </c>
      <c r="R296" s="520" t="str">
        <f t="shared" ca="1" si="29"/>
        <v/>
      </c>
      <c r="S296" s="430" t="str">
        <f ca="1"/>
        <v/>
      </c>
      <c r="T296" s="430" t="str">
        <f ca="1"/>
        <v/>
      </c>
      <c r="U296" s="430" t="str">
        <f ca="1"/>
        <v/>
      </c>
      <c r="V296" s="517" t="str">
        <f ca="1"/>
        <v/>
      </c>
      <c r="W296" s="518" t="str">
        <f ca="1"/>
        <v/>
      </c>
      <c r="X296" s="430" t="str">
        <f ca="1"/>
        <v/>
      </c>
      <c r="Y296" s="864" t="str">
        <f t="shared" ca="1" si="25"/>
        <v/>
      </c>
      <c r="AA296" s="828">
        <v>278</v>
      </c>
      <c r="AB296" s="1100"/>
      <c r="AC296" s="1079"/>
      <c r="AD296" s="1067"/>
      <c r="AE296" s="1076"/>
      <c r="AF296" s="1076"/>
      <c r="AG296" s="1048"/>
      <c r="AH296" s="1077"/>
      <c r="AI296" s="1076"/>
      <c r="AJ296" s="1078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26"/>
        <v/>
      </c>
      <c r="G297" s="520" t="str">
        <f t="shared" ca="1" si="27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4"/>
        <v/>
      </c>
      <c r="P297" s="742">
        <v>279</v>
      </c>
      <c r="Q297" s="517" t="str">
        <f t="shared" ca="1" si="28"/>
        <v/>
      </c>
      <c r="R297" s="520" t="str">
        <f t="shared" ca="1" si="29"/>
        <v/>
      </c>
      <c r="S297" s="430" t="str">
        <f ca="1"/>
        <v/>
      </c>
      <c r="T297" s="430" t="str">
        <f ca="1"/>
        <v/>
      </c>
      <c r="U297" s="430" t="str">
        <f ca="1"/>
        <v/>
      </c>
      <c r="V297" s="517" t="str">
        <f ca="1"/>
        <v/>
      </c>
      <c r="W297" s="518" t="str">
        <f ca="1"/>
        <v/>
      </c>
      <c r="X297" s="430" t="str">
        <f ca="1"/>
        <v/>
      </c>
      <c r="Y297" s="864" t="str">
        <f t="shared" ca="1" si="25"/>
        <v/>
      </c>
      <c r="AA297" s="828">
        <v>279</v>
      </c>
      <c r="AB297" s="1100"/>
      <c r="AC297" s="1079"/>
      <c r="AD297" s="1067"/>
      <c r="AE297" s="1076"/>
      <c r="AF297" s="1076"/>
      <c r="AG297" s="1048"/>
      <c r="AH297" s="1077"/>
      <c r="AI297" s="1076"/>
      <c r="AJ297" s="1078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26"/>
        <v/>
      </c>
      <c r="G298" s="520" t="str">
        <f t="shared" ca="1" si="27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4"/>
        <v/>
      </c>
      <c r="P298" s="742">
        <v>280</v>
      </c>
      <c r="Q298" s="517" t="str">
        <f t="shared" ca="1" si="28"/>
        <v/>
      </c>
      <c r="R298" s="520" t="str">
        <f t="shared" ca="1" si="29"/>
        <v/>
      </c>
      <c r="S298" s="430" t="str">
        <f ca="1"/>
        <v/>
      </c>
      <c r="T298" s="430" t="str">
        <f ca="1"/>
        <v/>
      </c>
      <c r="U298" s="430" t="str">
        <f ca="1"/>
        <v/>
      </c>
      <c r="V298" s="517" t="str">
        <f ca="1"/>
        <v/>
      </c>
      <c r="W298" s="518" t="str">
        <f ca="1"/>
        <v/>
      </c>
      <c r="X298" s="430" t="str">
        <f ca="1"/>
        <v/>
      </c>
      <c r="Y298" s="864" t="str">
        <f t="shared" ca="1" si="25"/>
        <v/>
      </c>
      <c r="AA298" s="828">
        <v>280</v>
      </c>
      <c r="AB298" s="1100"/>
      <c r="AC298" s="1079"/>
      <c r="AD298" s="1067"/>
      <c r="AE298" s="1076"/>
      <c r="AF298" s="1076"/>
      <c r="AG298" s="1048"/>
      <c r="AH298" s="1077"/>
      <c r="AI298" s="1076"/>
      <c r="AJ298" s="1078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26"/>
        <v/>
      </c>
      <c r="G299" s="520" t="str">
        <f t="shared" ca="1" si="27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4"/>
        <v/>
      </c>
      <c r="P299" s="742">
        <v>281</v>
      </c>
      <c r="Q299" s="517" t="str">
        <f t="shared" ca="1" si="28"/>
        <v/>
      </c>
      <c r="R299" s="520" t="str">
        <f t="shared" ca="1" si="29"/>
        <v/>
      </c>
      <c r="S299" s="430" t="str">
        <f ca="1"/>
        <v/>
      </c>
      <c r="T299" s="430" t="str">
        <f ca="1"/>
        <v/>
      </c>
      <c r="U299" s="430" t="str">
        <f ca="1"/>
        <v/>
      </c>
      <c r="V299" s="517" t="str">
        <f ca="1"/>
        <v/>
      </c>
      <c r="W299" s="518" t="str">
        <f ca="1"/>
        <v/>
      </c>
      <c r="X299" s="430" t="str">
        <f ca="1"/>
        <v/>
      </c>
      <c r="Y299" s="864" t="str">
        <f t="shared" ca="1" si="25"/>
        <v/>
      </c>
      <c r="AA299" s="828">
        <v>281</v>
      </c>
      <c r="AB299" s="1100"/>
      <c r="AC299" s="1079"/>
      <c r="AD299" s="1067"/>
      <c r="AE299" s="1076"/>
      <c r="AF299" s="1076"/>
      <c r="AG299" s="1048"/>
      <c r="AH299" s="1077"/>
      <c r="AI299" s="1076"/>
      <c r="AJ299" s="1078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26"/>
        <v/>
      </c>
      <c r="G300" s="520" t="str">
        <f t="shared" ca="1" si="27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4"/>
        <v/>
      </c>
      <c r="P300" s="742">
        <v>282</v>
      </c>
      <c r="Q300" s="517" t="str">
        <f t="shared" ca="1" si="28"/>
        <v/>
      </c>
      <c r="R300" s="520" t="str">
        <f t="shared" ca="1" si="29"/>
        <v/>
      </c>
      <c r="S300" s="430" t="str">
        <f ca="1"/>
        <v/>
      </c>
      <c r="T300" s="430" t="str">
        <f ca="1"/>
        <v/>
      </c>
      <c r="U300" s="430" t="str">
        <f ca="1"/>
        <v/>
      </c>
      <c r="V300" s="517" t="str">
        <f ca="1"/>
        <v/>
      </c>
      <c r="W300" s="518" t="str">
        <f ca="1"/>
        <v/>
      </c>
      <c r="X300" s="430" t="str">
        <f ca="1"/>
        <v/>
      </c>
      <c r="Y300" s="864" t="str">
        <f t="shared" ca="1" si="25"/>
        <v/>
      </c>
      <c r="AA300" s="828">
        <v>282</v>
      </c>
      <c r="AB300" s="1100"/>
      <c r="AC300" s="1079"/>
      <c r="AD300" s="1067"/>
      <c r="AE300" s="1076"/>
      <c r="AF300" s="1076"/>
      <c r="AG300" s="1048"/>
      <c r="AH300" s="1077"/>
      <c r="AI300" s="1076"/>
      <c r="AJ300" s="1078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26"/>
        <v/>
      </c>
      <c r="G301" s="520" t="str">
        <f t="shared" ca="1" si="27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4"/>
        <v/>
      </c>
      <c r="P301" s="742">
        <v>283</v>
      </c>
      <c r="Q301" s="517" t="str">
        <f t="shared" ca="1" si="28"/>
        <v/>
      </c>
      <c r="R301" s="520" t="str">
        <f t="shared" ca="1" si="29"/>
        <v/>
      </c>
      <c r="S301" s="430" t="str">
        <f ca="1"/>
        <v/>
      </c>
      <c r="T301" s="430" t="str">
        <f ca="1"/>
        <v/>
      </c>
      <c r="U301" s="430" t="str">
        <f ca="1"/>
        <v/>
      </c>
      <c r="V301" s="517" t="str">
        <f ca="1"/>
        <v/>
      </c>
      <c r="W301" s="518" t="str">
        <f ca="1"/>
        <v/>
      </c>
      <c r="X301" s="430" t="str">
        <f ca="1"/>
        <v/>
      </c>
      <c r="Y301" s="864" t="str">
        <f t="shared" ca="1" si="25"/>
        <v/>
      </c>
      <c r="AA301" s="828">
        <v>283</v>
      </c>
      <c r="AB301" s="1100"/>
      <c r="AC301" s="1079"/>
      <c r="AD301" s="1067"/>
      <c r="AE301" s="1076"/>
      <c r="AF301" s="1076"/>
      <c r="AG301" s="1048"/>
      <c r="AH301" s="1077"/>
      <c r="AI301" s="1076"/>
      <c r="AJ301" s="1078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26"/>
        <v/>
      </c>
      <c r="G302" s="520" t="str">
        <f t="shared" ca="1" si="27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4"/>
        <v/>
      </c>
      <c r="P302" s="742">
        <v>284</v>
      </c>
      <c r="Q302" s="517" t="str">
        <f t="shared" ca="1" si="28"/>
        <v/>
      </c>
      <c r="R302" s="520" t="str">
        <f t="shared" ca="1" si="29"/>
        <v/>
      </c>
      <c r="S302" s="430" t="str">
        <f ca="1"/>
        <v/>
      </c>
      <c r="T302" s="430" t="str">
        <f ca="1"/>
        <v/>
      </c>
      <c r="U302" s="430" t="str">
        <f ca="1"/>
        <v/>
      </c>
      <c r="V302" s="517" t="str">
        <f ca="1"/>
        <v/>
      </c>
      <c r="W302" s="518" t="str">
        <f ca="1"/>
        <v/>
      </c>
      <c r="X302" s="430" t="str">
        <f ca="1"/>
        <v/>
      </c>
      <c r="Y302" s="864" t="str">
        <f t="shared" ca="1" si="25"/>
        <v/>
      </c>
      <c r="AA302" s="828">
        <v>284</v>
      </c>
      <c r="AB302" s="1100"/>
      <c r="AC302" s="1079"/>
      <c r="AD302" s="1067"/>
      <c r="AE302" s="1076"/>
      <c r="AF302" s="1076"/>
      <c r="AG302" s="1048"/>
      <c r="AH302" s="1077"/>
      <c r="AI302" s="1076"/>
      <c r="AJ302" s="1078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26"/>
        <v/>
      </c>
      <c r="G303" s="520" t="str">
        <f t="shared" ca="1" si="27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4"/>
        <v/>
      </c>
      <c r="P303" s="742">
        <v>285</v>
      </c>
      <c r="Q303" s="517" t="str">
        <f t="shared" ca="1" si="28"/>
        <v/>
      </c>
      <c r="R303" s="520" t="str">
        <f t="shared" ca="1" si="29"/>
        <v/>
      </c>
      <c r="S303" s="430" t="str">
        <f ca="1"/>
        <v/>
      </c>
      <c r="T303" s="430" t="str">
        <f ca="1"/>
        <v/>
      </c>
      <c r="U303" s="430" t="str">
        <f ca="1"/>
        <v/>
      </c>
      <c r="V303" s="517" t="str">
        <f ca="1"/>
        <v/>
      </c>
      <c r="W303" s="518" t="str">
        <f ca="1"/>
        <v/>
      </c>
      <c r="X303" s="430" t="str">
        <f ca="1"/>
        <v/>
      </c>
      <c r="Y303" s="864" t="str">
        <f t="shared" ca="1" si="25"/>
        <v/>
      </c>
      <c r="AA303" s="828">
        <v>285</v>
      </c>
      <c r="AB303" s="1100"/>
      <c r="AC303" s="1079"/>
      <c r="AD303" s="1067"/>
      <c r="AE303" s="1076"/>
      <c r="AF303" s="1076"/>
      <c r="AG303" s="1048"/>
      <c r="AH303" s="1077"/>
      <c r="AI303" s="1076"/>
      <c r="AJ303" s="1078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26"/>
        <v/>
      </c>
      <c r="G304" s="520" t="str">
        <f t="shared" ca="1" si="27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4"/>
        <v/>
      </c>
      <c r="P304" s="742">
        <v>286</v>
      </c>
      <c r="Q304" s="517" t="str">
        <f t="shared" ca="1" si="28"/>
        <v/>
      </c>
      <c r="R304" s="520" t="str">
        <f t="shared" ca="1" si="29"/>
        <v/>
      </c>
      <c r="S304" s="430" t="str">
        <f ca="1"/>
        <v/>
      </c>
      <c r="T304" s="430" t="str">
        <f ca="1"/>
        <v/>
      </c>
      <c r="U304" s="430" t="str">
        <f ca="1"/>
        <v/>
      </c>
      <c r="V304" s="517" t="str">
        <f ca="1"/>
        <v/>
      </c>
      <c r="W304" s="518" t="str">
        <f ca="1"/>
        <v/>
      </c>
      <c r="X304" s="430" t="str">
        <f ca="1"/>
        <v/>
      </c>
      <c r="Y304" s="864" t="str">
        <f t="shared" ca="1" si="25"/>
        <v/>
      </c>
      <c r="AA304" s="828">
        <v>286</v>
      </c>
      <c r="AB304" s="1100"/>
      <c r="AC304" s="1079"/>
      <c r="AD304" s="1067"/>
      <c r="AE304" s="1076"/>
      <c r="AF304" s="1076"/>
      <c r="AG304" s="1048"/>
      <c r="AH304" s="1077"/>
      <c r="AI304" s="1076"/>
      <c r="AJ304" s="1078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26"/>
        <v/>
      </c>
      <c r="G305" s="520" t="str">
        <f t="shared" ca="1" si="27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4"/>
        <v/>
      </c>
      <c r="P305" s="742">
        <v>287</v>
      </c>
      <c r="Q305" s="517" t="str">
        <f t="shared" ca="1" si="28"/>
        <v/>
      </c>
      <c r="R305" s="520" t="str">
        <f t="shared" ca="1" si="29"/>
        <v/>
      </c>
      <c r="S305" s="430" t="str">
        <f ca="1"/>
        <v/>
      </c>
      <c r="T305" s="430" t="str">
        <f ca="1"/>
        <v/>
      </c>
      <c r="U305" s="430" t="str">
        <f ca="1"/>
        <v/>
      </c>
      <c r="V305" s="517" t="str">
        <f ca="1"/>
        <v/>
      </c>
      <c r="W305" s="518" t="str">
        <f ca="1"/>
        <v/>
      </c>
      <c r="X305" s="430" t="str">
        <f ca="1"/>
        <v/>
      </c>
      <c r="Y305" s="864" t="str">
        <f t="shared" ca="1" si="25"/>
        <v/>
      </c>
      <c r="AA305" s="828">
        <v>287</v>
      </c>
      <c r="AB305" s="1100"/>
      <c r="AC305" s="1079"/>
      <c r="AD305" s="1067"/>
      <c r="AE305" s="1076"/>
      <c r="AF305" s="1076"/>
      <c r="AG305" s="1048"/>
      <c r="AH305" s="1077"/>
      <c r="AI305" s="1076"/>
      <c r="AJ305" s="1078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26"/>
        <v/>
      </c>
      <c r="G306" s="520" t="str">
        <f t="shared" ca="1" si="27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4"/>
        <v/>
      </c>
      <c r="P306" s="742">
        <v>288</v>
      </c>
      <c r="Q306" s="517" t="str">
        <f t="shared" ca="1" si="28"/>
        <v/>
      </c>
      <c r="R306" s="520" t="str">
        <f t="shared" ca="1" si="29"/>
        <v/>
      </c>
      <c r="S306" s="430" t="str">
        <f ca="1"/>
        <v/>
      </c>
      <c r="T306" s="430" t="str">
        <f ca="1"/>
        <v/>
      </c>
      <c r="U306" s="430" t="str">
        <f ca="1"/>
        <v/>
      </c>
      <c r="V306" s="517" t="str">
        <f ca="1"/>
        <v/>
      </c>
      <c r="W306" s="518" t="str">
        <f ca="1"/>
        <v/>
      </c>
      <c r="X306" s="430" t="str">
        <f ca="1"/>
        <v/>
      </c>
      <c r="Y306" s="864" t="str">
        <f t="shared" ca="1" si="25"/>
        <v/>
      </c>
      <c r="AA306" s="828">
        <v>288</v>
      </c>
      <c r="AB306" s="1100"/>
      <c r="AC306" s="1079"/>
      <c r="AD306" s="1067"/>
      <c r="AE306" s="1076"/>
      <c r="AF306" s="1076"/>
      <c r="AG306" s="1048"/>
      <c r="AH306" s="1077"/>
      <c r="AI306" s="1076"/>
      <c r="AJ306" s="1078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26"/>
        <v/>
      </c>
      <c r="G307" s="520" t="str">
        <f t="shared" ca="1" si="27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4"/>
        <v/>
      </c>
      <c r="P307" s="742">
        <v>289</v>
      </c>
      <c r="Q307" s="517" t="str">
        <f t="shared" ca="1" si="28"/>
        <v/>
      </c>
      <c r="R307" s="520" t="str">
        <f t="shared" ca="1" si="29"/>
        <v/>
      </c>
      <c r="S307" s="430" t="str">
        <f ca="1"/>
        <v/>
      </c>
      <c r="T307" s="430" t="str">
        <f ca="1"/>
        <v/>
      </c>
      <c r="U307" s="430" t="str">
        <f ca="1"/>
        <v/>
      </c>
      <c r="V307" s="517" t="str">
        <f ca="1"/>
        <v/>
      </c>
      <c r="W307" s="518" t="str">
        <f ca="1"/>
        <v/>
      </c>
      <c r="X307" s="430" t="str">
        <f ca="1"/>
        <v/>
      </c>
      <c r="Y307" s="864" t="str">
        <f t="shared" ca="1" si="25"/>
        <v/>
      </c>
      <c r="AA307" s="828">
        <v>289</v>
      </c>
      <c r="AB307" s="1100"/>
      <c r="AC307" s="1079"/>
      <c r="AD307" s="1067"/>
      <c r="AE307" s="1076"/>
      <c r="AF307" s="1076"/>
      <c r="AG307" s="1048"/>
      <c r="AH307" s="1077"/>
      <c r="AI307" s="1076"/>
      <c r="AJ307" s="1078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26"/>
        <v/>
      </c>
      <c r="G308" s="520" t="str">
        <f t="shared" ca="1" si="27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4"/>
        <v/>
      </c>
      <c r="P308" s="742">
        <v>290</v>
      </c>
      <c r="Q308" s="517" t="str">
        <f t="shared" ca="1" si="28"/>
        <v/>
      </c>
      <c r="R308" s="520" t="str">
        <f t="shared" ca="1" si="29"/>
        <v/>
      </c>
      <c r="S308" s="430" t="str">
        <f ca="1"/>
        <v/>
      </c>
      <c r="T308" s="430" t="str">
        <f ca="1"/>
        <v/>
      </c>
      <c r="U308" s="430" t="str">
        <f ca="1"/>
        <v/>
      </c>
      <c r="V308" s="517" t="str">
        <f ca="1"/>
        <v/>
      </c>
      <c r="W308" s="518" t="str">
        <f ca="1"/>
        <v/>
      </c>
      <c r="X308" s="430" t="str">
        <f ca="1"/>
        <v/>
      </c>
      <c r="Y308" s="864" t="str">
        <f t="shared" ca="1" si="25"/>
        <v/>
      </c>
      <c r="AA308" s="828">
        <v>290</v>
      </c>
      <c r="AB308" s="1100"/>
      <c r="AC308" s="1079"/>
      <c r="AD308" s="1067"/>
      <c r="AE308" s="1076"/>
      <c r="AF308" s="1076"/>
      <c r="AG308" s="1048"/>
      <c r="AH308" s="1077"/>
      <c r="AI308" s="1076"/>
      <c r="AJ308" s="1078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26"/>
        <v/>
      </c>
      <c r="G309" s="520" t="str">
        <f t="shared" ca="1" si="27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4"/>
        <v/>
      </c>
      <c r="P309" s="742">
        <v>291</v>
      </c>
      <c r="Q309" s="517" t="str">
        <f t="shared" ca="1" si="28"/>
        <v/>
      </c>
      <c r="R309" s="520" t="str">
        <f t="shared" ca="1" si="29"/>
        <v/>
      </c>
      <c r="S309" s="430" t="str">
        <f ca="1"/>
        <v/>
      </c>
      <c r="T309" s="430" t="str">
        <f ca="1"/>
        <v/>
      </c>
      <c r="U309" s="430" t="str">
        <f ca="1"/>
        <v/>
      </c>
      <c r="V309" s="517" t="str">
        <f ca="1"/>
        <v/>
      </c>
      <c r="W309" s="518" t="str">
        <f ca="1"/>
        <v/>
      </c>
      <c r="X309" s="430" t="str">
        <f ca="1"/>
        <v/>
      </c>
      <c r="Y309" s="864" t="str">
        <f t="shared" ca="1" si="25"/>
        <v/>
      </c>
      <c r="AA309" s="828">
        <v>291</v>
      </c>
      <c r="AB309" s="1100"/>
      <c r="AC309" s="1079"/>
      <c r="AD309" s="1067"/>
      <c r="AE309" s="1076"/>
      <c r="AF309" s="1076"/>
      <c r="AG309" s="1048"/>
      <c r="AH309" s="1077"/>
      <c r="AI309" s="1076"/>
      <c r="AJ309" s="1078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26"/>
        <v/>
      </c>
      <c r="G310" s="520" t="str">
        <f t="shared" ca="1" si="27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4"/>
        <v/>
      </c>
      <c r="P310" s="742">
        <v>292</v>
      </c>
      <c r="Q310" s="517" t="str">
        <f t="shared" ca="1" si="28"/>
        <v/>
      </c>
      <c r="R310" s="520" t="str">
        <f t="shared" ca="1" si="29"/>
        <v/>
      </c>
      <c r="S310" s="430" t="str">
        <f ca="1"/>
        <v/>
      </c>
      <c r="T310" s="430" t="str">
        <f ca="1"/>
        <v/>
      </c>
      <c r="U310" s="430" t="str">
        <f ca="1"/>
        <v/>
      </c>
      <c r="V310" s="517" t="str">
        <f ca="1"/>
        <v/>
      </c>
      <c r="W310" s="518" t="str">
        <f ca="1"/>
        <v/>
      </c>
      <c r="X310" s="430" t="str">
        <f ca="1"/>
        <v/>
      </c>
      <c r="Y310" s="864" t="str">
        <f t="shared" ca="1" si="25"/>
        <v/>
      </c>
      <c r="AA310" s="828">
        <v>292</v>
      </c>
      <c r="AB310" s="1100"/>
      <c r="AC310" s="1079"/>
      <c r="AD310" s="1067"/>
      <c r="AE310" s="1076"/>
      <c r="AF310" s="1076"/>
      <c r="AG310" s="1048"/>
      <c r="AH310" s="1077"/>
      <c r="AI310" s="1076"/>
      <c r="AJ310" s="1078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26"/>
        <v/>
      </c>
      <c r="G311" s="520" t="str">
        <f t="shared" ca="1" si="27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4"/>
        <v/>
      </c>
      <c r="P311" s="742">
        <v>293</v>
      </c>
      <c r="Q311" s="517" t="str">
        <f t="shared" ca="1" si="28"/>
        <v/>
      </c>
      <c r="R311" s="520" t="str">
        <f t="shared" ca="1" si="29"/>
        <v/>
      </c>
      <c r="S311" s="430" t="str">
        <f ca="1"/>
        <v/>
      </c>
      <c r="T311" s="430" t="str">
        <f ca="1"/>
        <v/>
      </c>
      <c r="U311" s="430" t="str">
        <f ca="1"/>
        <v/>
      </c>
      <c r="V311" s="517" t="str">
        <f ca="1"/>
        <v/>
      </c>
      <c r="W311" s="518" t="str">
        <f ca="1"/>
        <v/>
      </c>
      <c r="X311" s="430" t="str">
        <f ca="1"/>
        <v/>
      </c>
      <c r="Y311" s="864" t="str">
        <f t="shared" ca="1" si="25"/>
        <v/>
      </c>
      <c r="AA311" s="828">
        <v>293</v>
      </c>
      <c r="AB311" s="1100"/>
      <c r="AC311" s="1079"/>
      <c r="AD311" s="1067"/>
      <c r="AE311" s="1076"/>
      <c r="AF311" s="1076"/>
      <c r="AG311" s="1048"/>
      <c r="AH311" s="1077"/>
      <c r="AI311" s="1076"/>
      <c r="AJ311" s="1078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26"/>
        <v/>
      </c>
      <c r="G312" s="520" t="str">
        <f t="shared" ca="1" si="27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4"/>
        <v/>
      </c>
      <c r="P312" s="742">
        <v>294</v>
      </c>
      <c r="Q312" s="517" t="str">
        <f t="shared" ca="1" si="28"/>
        <v/>
      </c>
      <c r="R312" s="520" t="str">
        <f t="shared" ca="1" si="29"/>
        <v/>
      </c>
      <c r="S312" s="430" t="str">
        <f ca="1"/>
        <v/>
      </c>
      <c r="T312" s="430" t="str">
        <f ca="1"/>
        <v/>
      </c>
      <c r="U312" s="430" t="str">
        <f ca="1"/>
        <v/>
      </c>
      <c r="V312" s="517" t="str">
        <f ca="1"/>
        <v/>
      </c>
      <c r="W312" s="518" t="str">
        <f ca="1"/>
        <v/>
      </c>
      <c r="X312" s="430" t="str">
        <f ca="1"/>
        <v/>
      </c>
      <c r="Y312" s="864" t="str">
        <f t="shared" ca="1" si="25"/>
        <v/>
      </c>
      <c r="AA312" s="828">
        <v>294</v>
      </c>
      <c r="AB312" s="1100"/>
      <c r="AC312" s="1079"/>
      <c r="AD312" s="1067"/>
      <c r="AE312" s="1076"/>
      <c r="AF312" s="1076"/>
      <c r="AG312" s="1048"/>
      <c r="AH312" s="1077"/>
      <c r="AI312" s="1076"/>
      <c r="AJ312" s="1078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26"/>
        <v/>
      </c>
      <c r="G313" s="520" t="str">
        <f t="shared" ca="1" si="27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4"/>
        <v/>
      </c>
      <c r="P313" s="742">
        <v>295</v>
      </c>
      <c r="Q313" s="517" t="str">
        <f t="shared" ca="1" si="28"/>
        <v/>
      </c>
      <c r="R313" s="520" t="str">
        <f t="shared" ca="1" si="29"/>
        <v/>
      </c>
      <c r="S313" s="430" t="str">
        <f ca="1"/>
        <v/>
      </c>
      <c r="T313" s="430" t="str">
        <f ca="1"/>
        <v/>
      </c>
      <c r="U313" s="430" t="str">
        <f ca="1"/>
        <v/>
      </c>
      <c r="V313" s="517" t="str">
        <f ca="1"/>
        <v/>
      </c>
      <c r="W313" s="518" t="str">
        <f ca="1"/>
        <v/>
      </c>
      <c r="X313" s="430" t="str">
        <f ca="1"/>
        <v/>
      </c>
      <c r="Y313" s="864" t="str">
        <f t="shared" ca="1" si="25"/>
        <v/>
      </c>
      <c r="AA313" s="828">
        <v>295</v>
      </c>
      <c r="AB313" s="1100"/>
      <c r="AC313" s="1079"/>
      <c r="AD313" s="1067"/>
      <c r="AE313" s="1076"/>
      <c r="AF313" s="1076"/>
      <c r="AG313" s="1048"/>
      <c r="AH313" s="1077"/>
      <c r="AI313" s="1076"/>
      <c r="AJ313" s="1078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26"/>
        <v/>
      </c>
      <c r="G314" s="520" t="str">
        <f t="shared" ca="1" si="27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4"/>
        <v/>
      </c>
      <c r="P314" s="742">
        <v>296</v>
      </c>
      <c r="Q314" s="517" t="str">
        <f t="shared" ca="1" si="28"/>
        <v/>
      </c>
      <c r="R314" s="520" t="str">
        <f t="shared" ca="1" si="29"/>
        <v/>
      </c>
      <c r="S314" s="430" t="str">
        <f ca="1"/>
        <v/>
      </c>
      <c r="T314" s="430" t="str">
        <f ca="1"/>
        <v/>
      </c>
      <c r="U314" s="430" t="str">
        <f ca="1"/>
        <v/>
      </c>
      <c r="V314" s="517" t="str">
        <f ca="1"/>
        <v/>
      </c>
      <c r="W314" s="518" t="str">
        <f ca="1"/>
        <v/>
      </c>
      <c r="X314" s="430" t="str">
        <f ca="1"/>
        <v/>
      </c>
      <c r="Y314" s="864" t="str">
        <f t="shared" ca="1" si="25"/>
        <v/>
      </c>
      <c r="AA314" s="828">
        <v>296</v>
      </c>
      <c r="AB314" s="1100"/>
      <c r="AC314" s="1079"/>
      <c r="AD314" s="1067"/>
      <c r="AE314" s="1076"/>
      <c r="AF314" s="1076"/>
      <c r="AG314" s="1048"/>
      <c r="AH314" s="1077"/>
      <c r="AI314" s="1076"/>
      <c r="AJ314" s="1078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26"/>
        <v/>
      </c>
      <c r="G315" s="520" t="str">
        <f t="shared" ca="1" si="27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4"/>
        <v/>
      </c>
      <c r="P315" s="742">
        <v>297</v>
      </c>
      <c r="Q315" s="517" t="str">
        <f t="shared" ca="1" si="28"/>
        <v/>
      </c>
      <c r="R315" s="520" t="str">
        <f t="shared" ca="1" si="29"/>
        <v/>
      </c>
      <c r="S315" s="430" t="str">
        <f ca="1"/>
        <v/>
      </c>
      <c r="T315" s="430" t="str">
        <f ca="1"/>
        <v/>
      </c>
      <c r="U315" s="430" t="str">
        <f ca="1"/>
        <v/>
      </c>
      <c r="V315" s="517" t="str">
        <f ca="1"/>
        <v/>
      </c>
      <c r="W315" s="518" t="str">
        <f ca="1"/>
        <v/>
      </c>
      <c r="X315" s="430" t="str">
        <f ca="1"/>
        <v/>
      </c>
      <c r="Y315" s="864" t="str">
        <f t="shared" ca="1" si="25"/>
        <v/>
      </c>
      <c r="AA315" s="828">
        <v>297</v>
      </c>
      <c r="AB315" s="1100"/>
      <c r="AC315" s="1079"/>
      <c r="AD315" s="1067"/>
      <c r="AE315" s="1076"/>
      <c r="AF315" s="1076"/>
      <c r="AG315" s="1048"/>
      <c r="AH315" s="1077"/>
      <c r="AI315" s="1076"/>
      <c r="AJ315" s="1078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26"/>
        <v/>
      </c>
      <c r="G316" s="520" t="str">
        <f t="shared" ca="1" si="27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4"/>
        <v/>
      </c>
      <c r="P316" s="742">
        <v>298</v>
      </c>
      <c r="Q316" s="517" t="str">
        <f t="shared" ca="1" si="28"/>
        <v/>
      </c>
      <c r="R316" s="520" t="str">
        <f t="shared" ca="1" si="29"/>
        <v/>
      </c>
      <c r="S316" s="430" t="str">
        <f ca="1"/>
        <v/>
      </c>
      <c r="T316" s="430" t="str">
        <f ca="1"/>
        <v/>
      </c>
      <c r="U316" s="430" t="str">
        <f ca="1"/>
        <v/>
      </c>
      <c r="V316" s="517" t="str">
        <f ca="1"/>
        <v/>
      </c>
      <c r="W316" s="518" t="str">
        <f ca="1"/>
        <v/>
      </c>
      <c r="X316" s="430" t="str">
        <f ca="1"/>
        <v/>
      </c>
      <c r="Y316" s="864" t="str">
        <f t="shared" ca="1" si="25"/>
        <v/>
      </c>
      <c r="AA316" s="828">
        <v>298</v>
      </c>
      <c r="AB316" s="1100"/>
      <c r="AC316" s="1079"/>
      <c r="AD316" s="1067"/>
      <c r="AE316" s="1076"/>
      <c r="AF316" s="1076"/>
      <c r="AG316" s="1048"/>
      <c r="AH316" s="1077"/>
      <c r="AI316" s="1076"/>
      <c r="AJ316" s="1078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26"/>
        <v/>
      </c>
      <c r="G317" s="520" t="str">
        <f t="shared" ca="1" si="27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4"/>
        <v/>
      </c>
      <c r="P317" s="742">
        <v>299</v>
      </c>
      <c r="Q317" s="517" t="str">
        <f t="shared" ca="1" si="28"/>
        <v/>
      </c>
      <c r="R317" s="520" t="str">
        <f t="shared" ca="1" si="29"/>
        <v/>
      </c>
      <c r="S317" s="430" t="str">
        <f ca="1"/>
        <v/>
      </c>
      <c r="T317" s="430" t="str">
        <f ca="1"/>
        <v/>
      </c>
      <c r="U317" s="430" t="str">
        <f ca="1"/>
        <v/>
      </c>
      <c r="V317" s="517" t="str">
        <f ca="1"/>
        <v/>
      </c>
      <c r="W317" s="518" t="str">
        <f ca="1"/>
        <v/>
      </c>
      <c r="X317" s="430" t="str">
        <f ca="1"/>
        <v/>
      </c>
      <c r="Y317" s="864" t="str">
        <f t="shared" ca="1" si="25"/>
        <v/>
      </c>
      <c r="AA317" s="828">
        <v>299</v>
      </c>
      <c r="AB317" s="1100"/>
      <c r="AC317" s="1079"/>
      <c r="AD317" s="1067"/>
      <c r="AE317" s="1076"/>
      <c r="AF317" s="1076"/>
      <c r="AG317" s="1048"/>
      <c r="AH317" s="1077"/>
      <c r="AI317" s="1076"/>
      <c r="AJ317" s="1078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26"/>
        <v/>
      </c>
      <c r="G318" s="520" t="str">
        <f t="shared" ca="1" si="27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4"/>
        <v/>
      </c>
      <c r="P318" s="742">
        <v>300</v>
      </c>
      <c r="Q318" s="517" t="str">
        <f t="shared" ca="1" si="28"/>
        <v/>
      </c>
      <c r="R318" s="520" t="str">
        <f t="shared" ca="1" si="29"/>
        <v/>
      </c>
      <c r="S318" s="430" t="str">
        <f ca="1"/>
        <v/>
      </c>
      <c r="T318" s="430" t="str">
        <f ca="1"/>
        <v/>
      </c>
      <c r="U318" s="430" t="str">
        <f ca="1"/>
        <v/>
      </c>
      <c r="V318" s="517" t="str">
        <f ca="1"/>
        <v/>
      </c>
      <c r="W318" s="518" t="str">
        <f ca="1"/>
        <v/>
      </c>
      <c r="X318" s="430" t="str">
        <f ca="1"/>
        <v/>
      </c>
      <c r="Y318" s="864" t="str">
        <f t="shared" ca="1" si="25"/>
        <v/>
      </c>
      <c r="AA318" s="828">
        <v>300</v>
      </c>
      <c r="AB318" s="1100"/>
      <c r="AC318" s="1079"/>
      <c r="AD318" s="1067"/>
      <c r="AE318" s="1076"/>
      <c r="AF318" s="1076"/>
      <c r="AG318" s="1048"/>
      <c r="AH318" s="1077"/>
      <c r="AI318" s="1076"/>
      <c r="AJ318" s="1078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26"/>
        <v/>
      </c>
      <c r="G319" s="520" t="str">
        <f t="shared" ca="1" si="27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4"/>
        <v/>
      </c>
      <c r="P319" s="742">
        <v>301</v>
      </c>
      <c r="Q319" s="517" t="str">
        <f t="shared" ca="1" si="28"/>
        <v/>
      </c>
      <c r="R319" s="520" t="str">
        <f t="shared" ca="1" si="29"/>
        <v/>
      </c>
      <c r="S319" s="430" t="str">
        <f ca="1"/>
        <v/>
      </c>
      <c r="T319" s="430" t="str">
        <f ca="1"/>
        <v/>
      </c>
      <c r="U319" s="430" t="str">
        <f ca="1"/>
        <v/>
      </c>
      <c r="V319" s="517" t="str">
        <f ca="1"/>
        <v/>
      </c>
      <c r="W319" s="518" t="str">
        <f ca="1"/>
        <v/>
      </c>
      <c r="X319" s="430" t="str">
        <f ca="1"/>
        <v/>
      </c>
      <c r="Y319" s="864" t="str">
        <f t="shared" ca="1" si="25"/>
        <v/>
      </c>
      <c r="AA319" s="828">
        <v>301</v>
      </c>
      <c r="AB319" s="1100"/>
      <c r="AC319" s="1079"/>
      <c r="AD319" s="1067"/>
      <c r="AE319" s="1076"/>
      <c r="AF319" s="1076"/>
      <c r="AG319" s="1048"/>
      <c r="AH319" s="1077"/>
      <c r="AI319" s="1076"/>
      <c r="AJ319" s="1078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26"/>
        <v/>
      </c>
      <c r="G320" s="520" t="str">
        <f t="shared" ca="1" si="27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4"/>
        <v/>
      </c>
      <c r="P320" s="742">
        <v>302</v>
      </c>
      <c r="Q320" s="517" t="str">
        <f t="shared" ca="1" si="28"/>
        <v/>
      </c>
      <c r="R320" s="520" t="str">
        <f t="shared" ca="1" si="29"/>
        <v/>
      </c>
      <c r="S320" s="430" t="str">
        <f ca="1"/>
        <v/>
      </c>
      <c r="T320" s="430" t="str">
        <f ca="1"/>
        <v/>
      </c>
      <c r="U320" s="430" t="str">
        <f ca="1"/>
        <v/>
      </c>
      <c r="V320" s="517" t="str">
        <f ca="1"/>
        <v/>
      </c>
      <c r="W320" s="518" t="str">
        <f ca="1"/>
        <v/>
      </c>
      <c r="X320" s="430" t="str">
        <f ca="1"/>
        <v/>
      </c>
      <c r="Y320" s="864" t="str">
        <f t="shared" ca="1" si="25"/>
        <v/>
      </c>
      <c r="AA320" s="828">
        <v>302</v>
      </c>
      <c r="AB320" s="1100"/>
      <c r="AC320" s="1079"/>
      <c r="AD320" s="1067"/>
      <c r="AE320" s="1076"/>
      <c r="AF320" s="1076"/>
      <c r="AG320" s="1048"/>
      <c r="AH320" s="1077"/>
      <c r="AI320" s="1076"/>
      <c r="AJ320" s="1078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26"/>
        <v/>
      </c>
      <c r="G321" s="520" t="str">
        <f t="shared" ca="1" si="27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4"/>
        <v/>
      </c>
      <c r="P321" s="742">
        <v>303</v>
      </c>
      <c r="Q321" s="517" t="str">
        <f t="shared" ca="1" si="28"/>
        <v/>
      </c>
      <c r="R321" s="520" t="str">
        <f t="shared" ca="1" si="29"/>
        <v/>
      </c>
      <c r="S321" s="430" t="str">
        <f ca="1"/>
        <v/>
      </c>
      <c r="T321" s="430" t="str">
        <f ca="1"/>
        <v/>
      </c>
      <c r="U321" s="430" t="str">
        <f ca="1"/>
        <v/>
      </c>
      <c r="V321" s="517" t="str">
        <f ca="1"/>
        <v/>
      </c>
      <c r="W321" s="518" t="str">
        <f ca="1"/>
        <v/>
      </c>
      <c r="X321" s="430" t="str">
        <f ca="1"/>
        <v/>
      </c>
      <c r="Y321" s="864" t="str">
        <f t="shared" ca="1" si="25"/>
        <v/>
      </c>
      <c r="AA321" s="828">
        <v>303</v>
      </c>
      <c r="AB321" s="1100"/>
      <c r="AC321" s="1079"/>
      <c r="AD321" s="1067"/>
      <c r="AE321" s="1076"/>
      <c r="AF321" s="1076"/>
      <c r="AG321" s="1048"/>
      <c r="AH321" s="1077"/>
      <c r="AI321" s="1076"/>
      <c r="AJ321" s="1078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26"/>
        <v/>
      </c>
      <c r="G322" s="520" t="str">
        <f t="shared" ca="1" si="27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4"/>
        <v/>
      </c>
      <c r="P322" s="742">
        <v>304</v>
      </c>
      <c r="Q322" s="517" t="str">
        <f t="shared" ca="1" si="28"/>
        <v/>
      </c>
      <c r="R322" s="520" t="str">
        <f t="shared" ca="1" si="29"/>
        <v/>
      </c>
      <c r="S322" s="430" t="str">
        <f ca="1"/>
        <v/>
      </c>
      <c r="T322" s="430" t="str">
        <f ca="1"/>
        <v/>
      </c>
      <c r="U322" s="430" t="str">
        <f ca="1"/>
        <v/>
      </c>
      <c r="V322" s="517" t="str">
        <f ca="1"/>
        <v/>
      </c>
      <c r="W322" s="518" t="str">
        <f ca="1"/>
        <v/>
      </c>
      <c r="X322" s="430" t="str">
        <f ca="1"/>
        <v/>
      </c>
      <c r="Y322" s="864" t="str">
        <f t="shared" ca="1" si="25"/>
        <v/>
      </c>
      <c r="AA322" s="828">
        <v>304</v>
      </c>
      <c r="AB322" s="1100"/>
      <c r="AC322" s="1079"/>
      <c r="AD322" s="1067"/>
      <c r="AE322" s="1076"/>
      <c r="AF322" s="1076"/>
      <c r="AG322" s="1048"/>
      <c r="AH322" s="1077"/>
      <c r="AI322" s="1076"/>
      <c r="AJ322" s="1078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26"/>
        <v/>
      </c>
      <c r="G323" s="520" t="str">
        <f t="shared" ca="1" si="27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4"/>
        <v/>
      </c>
      <c r="P323" s="742">
        <v>305</v>
      </c>
      <c r="Q323" s="517" t="str">
        <f t="shared" ca="1" si="28"/>
        <v/>
      </c>
      <c r="R323" s="520" t="str">
        <f t="shared" ca="1" si="29"/>
        <v/>
      </c>
      <c r="S323" s="430" t="str">
        <f ca="1"/>
        <v/>
      </c>
      <c r="T323" s="430" t="str">
        <f ca="1"/>
        <v/>
      </c>
      <c r="U323" s="430" t="str">
        <f ca="1"/>
        <v/>
      </c>
      <c r="V323" s="517" t="str">
        <f ca="1"/>
        <v/>
      </c>
      <c r="W323" s="518" t="str">
        <f ca="1"/>
        <v/>
      </c>
      <c r="X323" s="430" t="str">
        <f ca="1"/>
        <v/>
      </c>
      <c r="Y323" s="864" t="str">
        <f t="shared" ca="1" si="25"/>
        <v/>
      </c>
      <c r="AA323" s="828">
        <v>305</v>
      </c>
      <c r="AB323" s="1100"/>
      <c r="AC323" s="1079"/>
      <c r="AD323" s="1067"/>
      <c r="AE323" s="1076"/>
      <c r="AF323" s="1076"/>
      <c r="AG323" s="1048"/>
      <c r="AH323" s="1077"/>
      <c r="AI323" s="1076"/>
      <c r="AJ323" s="1078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26"/>
        <v/>
      </c>
      <c r="G324" s="520" t="str">
        <f t="shared" ca="1" si="27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4"/>
        <v/>
      </c>
      <c r="P324" s="742">
        <v>306</v>
      </c>
      <c r="Q324" s="517" t="str">
        <f t="shared" ca="1" si="28"/>
        <v/>
      </c>
      <c r="R324" s="520" t="str">
        <f t="shared" ca="1" si="29"/>
        <v/>
      </c>
      <c r="S324" s="430" t="str">
        <f ca="1"/>
        <v/>
      </c>
      <c r="T324" s="430" t="str">
        <f ca="1"/>
        <v/>
      </c>
      <c r="U324" s="430" t="str">
        <f ca="1"/>
        <v/>
      </c>
      <c r="V324" s="517" t="str">
        <f ca="1"/>
        <v/>
      </c>
      <c r="W324" s="518" t="str">
        <f ca="1"/>
        <v/>
      </c>
      <c r="X324" s="430" t="str">
        <f ca="1"/>
        <v/>
      </c>
      <c r="Y324" s="864" t="str">
        <f t="shared" ca="1" si="25"/>
        <v/>
      </c>
      <c r="AA324" s="828">
        <v>306</v>
      </c>
      <c r="AB324" s="1100"/>
      <c r="AC324" s="1079"/>
      <c r="AD324" s="1067"/>
      <c r="AE324" s="1076"/>
      <c r="AF324" s="1076"/>
      <c r="AG324" s="1048"/>
      <c r="AH324" s="1077"/>
      <c r="AI324" s="1076"/>
      <c r="AJ324" s="1078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26"/>
        <v/>
      </c>
      <c r="G325" s="520" t="str">
        <f t="shared" ca="1" si="27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4"/>
        <v/>
      </c>
      <c r="P325" s="742">
        <v>307</v>
      </c>
      <c r="Q325" s="517" t="str">
        <f t="shared" ca="1" si="28"/>
        <v/>
      </c>
      <c r="R325" s="520" t="str">
        <f t="shared" ca="1" si="29"/>
        <v/>
      </c>
      <c r="S325" s="430" t="str">
        <f ca="1"/>
        <v/>
      </c>
      <c r="T325" s="430" t="str">
        <f ca="1"/>
        <v/>
      </c>
      <c r="U325" s="430" t="str">
        <f ca="1"/>
        <v/>
      </c>
      <c r="V325" s="517" t="str">
        <f ca="1"/>
        <v/>
      </c>
      <c r="W325" s="518" t="str">
        <f ca="1"/>
        <v/>
      </c>
      <c r="X325" s="430" t="str">
        <f ca="1"/>
        <v/>
      </c>
      <c r="Y325" s="864" t="str">
        <f t="shared" ca="1" si="25"/>
        <v/>
      </c>
      <c r="AA325" s="828">
        <v>307</v>
      </c>
      <c r="AB325" s="1100"/>
      <c r="AC325" s="1079"/>
      <c r="AD325" s="1067"/>
      <c r="AE325" s="1076"/>
      <c r="AF325" s="1076"/>
      <c r="AG325" s="1048"/>
      <c r="AH325" s="1077"/>
      <c r="AI325" s="1076"/>
      <c r="AJ325" s="1078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26"/>
        <v/>
      </c>
      <c r="G326" s="520" t="str">
        <f t="shared" ca="1" si="27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4"/>
        <v/>
      </c>
      <c r="P326" s="742">
        <v>308</v>
      </c>
      <c r="Q326" s="517" t="str">
        <f t="shared" ca="1" si="28"/>
        <v/>
      </c>
      <c r="R326" s="520" t="str">
        <f t="shared" ca="1" si="29"/>
        <v/>
      </c>
      <c r="S326" s="430" t="str">
        <f ca="1"/>
        <v/>
      </c>
      <c r="T326" s="430" t="str">
        <f ca="1"/>
        <v/>
      </c>
      <c r="U326" s="430" t="str">
        <f ca="1"/>
        <v/>
      </c>
      <c r="V326" s="517" t="str">
        <f ca="1"/>
        <v/>
      </c>
      <c r="W326" s="518" t="str">
        <f ca="1"/>
        <v/>
      </c>
      <c r="X326" s="430" t="str">
        <f ca="1"/>
        <v/>
      </c>
      <c r="Y326" s="864" t="str">
        <f t="shared" ca="1" si="25"/>
        <v/>
      </c>
      <c r="AA326" s="828">
        <v>308</v>
      </c>
      <c r="AB326" s="1100"/>
      <c r="AC326" s="1079"/>
      <c r="AD326" s="1067"/>
      <c r="AE326" s="1076"/>
      <c r="AF326" s="1076"/>
      <c r="AG326" s="1048"/>
      <c r="AH326" s="1077"/>
      <c r="AI326" s="1076"/>
      <c r="AJ326" s="1078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26"/>
        <v/>
      </c>
      <c r="G327" s="520" t="str">
        <f t="shared" ca="1" si="27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4"/>
        <v/>
      </c>
      <c r="P327" s="742">
        <v>309</v>
      </c>
      <c r="Q327" s="517" t="str">
        <f t="shared" ca="1" si="28"/>
        <v/>
      </c>
      <c r="R327" s="520" t="str">
        <f t="shared" ca="1" si="29"/>
        <v/>
      </c>
      <c r="S327" s="430" t="str">
        <f ca="1"/>
        <v/>
      </c>
      <c r="T327" s="430" t="str">
        <f ca="1"/>
        <v/>
      </c>
      <c r="U327" s="430" t="str">
        <f ca="1"/>
        <v/>
      </c>
      <c r="V327" s="517" t="str">
        <f ca="1"/>
        <v/>
      </c>
      <c r="W327" s="518" t="str">
        <f ca="1"/>
        <v/>
      </c>
      <c r="X327" s="430" t="str">
        <f ca="1"/>
        <v/>
      </c>
      <c r="Y327" s="864" t="str">
        <f t="shared" ca="1" si="25"/>
        <v/>
      </c>
      <c r="AA327" s="828">
        <v>309</v>
      </c>
      <c r="AB327" s="1100"/>
      <c r="AC327" s="1079"/>
      <c r="AD327" s="1067"/>
      <c r="AE327" s="1076"/>
      <c r="AF327" s="1076"/>
      <c r="AG327" s="1048"/>
      <c r="AH327" s="1077"/>
      <c r="AI327" s="1076"/>
      <c r="AJ327" s="1078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26"/>
        <v/>
      </c>
      <c r="G328" s="520" t="str">
        <f t="shared" ca="1" si="27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4"/>
        <v/>
      </c>
      <c r="P328" s="742">
        <v>310</v>
      </c>
      <c r="Q328" s="517" t="str">
        <f t="shared" ca="1" si="28"/>
        <v/>
      </c>
      <c r="R328" s="520" t="str">
        <f t="shared" ca="1" si="29"/>
        <v/>
      </c>
      <c r="S328" s="430" t="str">
        <f ca="1"/>
        <v/>
      </c>
      <c r="T328" s="430" t="str">
        <f ca="1"/>
        <v/>
      </c>
      <c r="U328" s="430" t="str">
        <f ca="1"/>
        <v/>
      </c>
      <c r="V328" s="517" t="str">
        <f ca="1"/>
        <v/>
      </c>
      <c r="W328" s="518" t="str">
        <f ca="1"/>
        <v/>
      </c>
      <c r="X328" s="430" t="str">
        <f ca="1"/>
        <v/>
      </c>
      <c r="Y328" s="864" t="str">
        <f t="shared" ca="1" si="25"/>
        <v/>
      </c>
      <c r="AA328" s="828">
        <v>310</v>
      </c>
      <c r="AB328" s="1100"/>
      <c r="AC328" s="1079"/>
      <c r="AD328" s="1067"/>
      <c r="AE328" s="1076"/>
      <c r="AF328" s="1076"/>
      <c r="AG328" s="1048"/>
      <c r="AH328" s="1077"/>
      <c r="AI328" s="1076"/>
      <c r="AJ328" s="1078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26"/>
        <v/>
      </c>
      <c r="G329" s="520" t="str">
        <f t="shared" ca="1" si="27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4"/>
        <v/>
      </c>
      <c r="P329" s="742">
        <v>311</v>
      </c>
      <c r="Q329" s="517" t="str">
        <f t="shared" ca="1" si="28"/>
        <v/>
      </c>
      <c r="R329" s="520" t="str">
        <f t="shared" ca="1" si="29"/>
        <v/>
      </c>
      <c r="S329" s="430" t="str">
        <f ca="1"/>
        <v/>
      </c>
      <c r="T329" s="430" t="str">
        <f ca="1"/>
        <v/>
      </c>
      <c r="U329" s="430" t="str">
        <f ca="1"/>
        <v/>
      </c>
      <c r="V329" s="517" t="str">
        <f ca="1"/>
        <v/>
      </c>
      <c r="W329" s="518" t="str">
        <f ca="1"/>
        <v/>
      </c>
      <c r="X329" s="430" t="str">
        <f ca="1"/>
        <v/>
      </c>
      <c r="Y329" s="864" t="str">
        <f t="shared" ca="1" si="25"/>
        <v/>
      </c>
      <c r="AA329" s="828">
        <v>311</v>
      </c>
      <c r="AB329" s="1100"/>
      <c r="AC329" s="1079"/>
      <c r="AD329" s="1067"/>
      <c r="AE329" s="1076"/>
      <c r="AF329" s="1076"/>
      <c r="AG329" s="1048"/>
      <c r="AH329" s="1077"/>
      <c r="AI329" s="1076"/>
      <c r="AJ329" s="1078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26"/>
        <v/>
      </c>
      <c r="G330" s="520" t="str">
        <f t="shared" ca="1" si="27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4"/>
        <v/>
      </c>
      <c r="P330" s="742">
        <v>312</v>
      </c>
      <c r="Q330" s="517" t="str">
        <f t="shared" ca="1" si="28"/>
        <v/>
      </c>
      <c r="R330" s="520" t="str">
        <f t="shared" ca="1" si="29"/>
        <v/>
      </c>
      <c r="S330" s="430" t="str">
        <f ca="1"/>
        <v/>
      </c>
      <c r="T330" s="430" t="str">
        <f ca="1"/>
        <v/>
      </c>
      <c r="U330" s="430" t="str">
        <f ca="1"/>
        <v/>
      </c>
      <c r="V330" s="517" t="str">
        <f ca="1"/>
        <v/>
      </c>
      <c r="W330" s="518" t="str">
        <f ca="1"/>
        <v/>
      </c>
      <c r="X330" s="430" t="str">
        <f ca="1"/>
        <v/>
      </c>
      <c r="Y330" s="864" t="str">
        <f t="shared" ca="1" si="25"/>
        <v/>
      </c>
      <c r="AA330" s="828">
        <v>312</v>
      </c>
      <c r="AB330" s="1100"/>
      <c r="AC330" s="1079"/>
      <c r="AD330" s="1067"/>
      <c r="AE330" s="1076"/>
      <c r="AF330" s="1076"/>
      <c r="AG330" s="1048"/>
      <c r="AH330" s="1077"/>
      <c r="AI330" s="1076"/>
      <c r="AJ330" s="1078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26"/>
        <v/>
      </c>
      <c r="G331" s="520" t="str">
        <f t="shared" ca="1" si="27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4"/>
        <v/>
      </c>
      <c r="P331" s="742">
        <v>313</v>
      </c>
      <c r="Q331" s="517" t="str">
        <f t="shared" ca="1" si="28"/>
        <v/>
      </c>
      <c r="R331" s="520" t="str">
        <f t="shared" ca="1" si="29"/>
        <v/>
      </c>
      <c r="S331" s="430" t="str">
        <f ca="1"/>
        <v/>
      </c>
      <c r="T331" s="430" t="str">
        <f ca="1"/>
        <v/>
      </c>
      <c r="U331" s="430" t="str">
        <f ca="1"/>
        <v/>
      </c>
      <c r="V331" s="517" t="str">
        <f ca="1"/>
        <v/>
      </c>
      <c r="W331" s="518" t="str">
        <f ca="1"/>
        <v/>
      </c>
      <c r="X331" s="430" t="str">
        <f ca="1"/>
        <v/>
      </c>
      <c r="Y331" s="864" t="str">
        <f t="shared" ca="1" si="25"/>
        <v/>
      </c>
      <c r="AA331" s="828">
        <v>313</v>
      </c>
      <c r="AB331" s="1100"/>
      <c r="AC331" s="1079"/>
      <c r="AD331" s="1067"/>
      <c r="AE331" s="1076"/>
      <c r="AF331" s="1076"/>
      <c r="AG331" s="1048"/>
      <c r="AH331" s="1077"/>
      <c r="AI331" s="1076"/>
      <c r="AJ331" s="1078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26"/>
        <v/>
      </c>
      <c r="G332" s="520" t="str">
        <f t="shared" ca="1" si="27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4"/>
        <v/>
      </c>
      <c r="P332" s="742">
        <v>314</v>
      </c>
      <c r="Q332" s="517" t="str">
        <f t="shared" ca="1" si="28"/>
        <v/>
      </c>
      <c r="R332" s="520" t="str">
        <f t="shared" ca="1" si="29"/>
        <v/>
      </c>
      <c r="S332" s="430" t="str">
        <f ca="1"/>
        <v/>
      </c>
      <c r="T332" s="430" t="str">
        <f ca="1"/>
        <v/>
      </c>
      <c r="U332" s="430" t="str">
        <f ca="1"/>
        <v/>
      </c>
      <c r="V332" s="517" t="str">
        <f ca="1"/>
        <v/>
      </c>
      <c r="W332" s="518" t="str">
        <f ca="1"/>
        <v/>
      </c>
      <c r="X332" s="430" t="str">
        <f ca="1"/>
        <v/>
      </c>
      <c r="Y332" s="864" t="str">
        <f t="shared" ca="1" si="25"/>
        <v/>
      </c>
      <c r="AA332" s="828">
        <v>314</v>
      </c>
      <c r="AB332" s="1100"/>
      <c r="AC332" s="1079"/>
      <c r="AD332" s="1067"/>
      <c r="AE332" s="1076"/>
      <c r="AF332" s="1076"/>
      <c r="AG332" s="1048"/>
      <c r="AH332" s="1077"/>
      <c r="AI332" s="1076"/>
      <c r="AJ332" s="1078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26"/>
        <v/>
      </c>
      <c r="G333" s="520" t="str">
        <f t="shared" ca="1" si="27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4"/>
        <v/>
      </c>
      <c r="P333" s="742">
        <v>315</v>
      </c>
      <c r="Q333" s="517" t="str">
        <f t="shared" ca="1" si="28"/>
        <v/>
      </c>
      <c r="R333" s="520" t="str">
        <f t="shared" ca="1" si="29"/>
        <v/>
      </c>
      <c r="S333" s="430" t="str">
        <f ca="1"/>
        <v/>
      </c>
      <c r="T333" s="430" t="str">
        <f ca="1"/>
        <v/>
      </c>
      <c r="U333" s="430" t="str">
        <f ca="1"/>
        <v/>
      </c>
      <c r="V333" s="517" t="str">
        <f ca="1"/>
        <v/>
      </c>
      <c r="W333" s="518" t="str">
        <f ca="1"/>
        <v/>
      </c>
      <c r="X333" s="430" t="str">
        <f ca="1"/>
        <v/>
      </c>
      <c r="Y333" s="864" t="str">
        <f t="shared" ca="1" si="25"/>
        <v/>
      </c>
      <c r="AA333" s="828">
        <v>315</v>
      </c>
      <c r="AB333" s="1100"/>
      <c r="AC333" s="1079"/>
      <c r="AD333" s="1067"/>
      <c r="AE333" s="1076"/>
      <c r="AF333" s="1076"/>
      <c r="AG333" s="1048"/>
      <c r="AH333" s="1077"/>
      <c r="AI333" s="1076"/>
      <c r="AJ333" s="1078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26"/>
        <v/>
      </c>
      <c r="G334" s="520" t="str">
        <f t="shared" ca="1" si="27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4"/>
        <v/>
      </c>
      <c r="P334" s="742">
        <v>316</v>
      </c>
      <c r="Q334" s="517" t="str">
        <f t="shared" ca="1" si="28"/>
        <v/>
      </c>
      <c r="R334" s="520" t="str">
        <f t="shared" ca="1" si="29"/>
        <v/>
      </c>
      <c r="S334" s="430" t="str">
        <f ca="1"/>
        <v/>
      </c>
      <c r="T334" s="430" t="str">
        <f ca="1"/>
        <v/>
      </c>
      <c r="U334" s="430" t="str">
        <f ca="1"/>
        <v/>
      </c>
      <c r="V334" s="517" t="str">
        <f ca="1"/>
        <v/>
      </c>
      <c r="W334" s="518" t="str">
        <f ca="1"/>
        <v/>
      </c>
      <c r="X334" s="430" t="str">
        <f ca="1"/>
        <v/>
      </c>
      <c r="Y334" s="864" t="str">
        <f t="shared" ca="1" si="25"/>
        <v/>
      </c>
      <c r="AA334" s="828">
        <v>316</v>
      </c>
      <c r="AB334" s="1100"/>
      <c r="AC334" s="1079"/>
      <c r="AD334" s="1067"/>
      <c r="AE334" s="1076"/>
      <c r="AF334" s="1076"/>
      <c r="AG334" s="1048"/>
      <c r="AH334" s="1077"/>
      <c r="AI334" s="1076"/>
      <c r="AJ334" s="1078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26"/>
        <v/>
      </c>
      <c r="G335" s="520" t="str">
        <f t="shared" ca="1" si="27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4"/>
        <v/>
      </c>
      <c r="P335" s="742">
        <v>317</v>
      </c>
      <c r="Q335" s="517" t="str">
        <f t="shared" ca="1" si="28"/>
        <v/>
      </c>
      <c r="R335" s="520" t="str">
        <f t="shared" ca="1" si="29"/>
        <v/>
      </c>
      <c r="S335" s="430" t="str">
        <f ca="1"/>
        <v/>
      </c>
      <c r="T335" s="430" t="str">
        <f ca="1"/>
        <v/>
      </c>
      <c r="U335" s="430" t="str">
        <f ca="1"/>
        <v/>
      </c>
      <c r="V335" s="517" t="str">
        <f ca="1"/>
        <v/>
      </c>
      <c r="W335" s="518" t="str">
        <f ca="1"/>
        <v/>
      </c>
      <c r="X335" s="430" t="str">
        <f ca="1"/>
        <v/>
      </c>
      <c r="Y335" s="864" t="str">
        <f t="shared" ca="1" si="25"/>
        <v/>
      </c>
      <c r="AA335" s="828">
        <v>317</v>
      </c>
      <c r="AB335" s="1100"/>
      <c r="AC335" s="1079"/>
      <c r="AD335" s="1067"/>
      <c r="AE335" s="1076"/>
      <c r="AF335" s="1076"/>
      <c r="AG335" s="1048"/>
      <c r="AH335" s="1077"/>
      <c r="AI335" s="1076"/>
      <c r="AJ335" s="1078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26"/>
        <v/>
      </c>
      <c r="G336" s="520" t="str">
        <f t="shared" ca="1" si="27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4"/>
        <v/>
      </c>
      <c r="P336" s="742">
        <v>318</v>
      </c>
      <c r="Q336" s="517" t="str">
        <f t="shared" ca="1" si="28"/>
        <v/>
      </c>
      <c r="R336" s="520" t="str">
        <f t="shared" ca="1" si="29"/>
        <v/>
      </c>
      <c r="S336" s="430" t="str">
        <f ca="1"/>
        <v/>
      </c>
      <c r="T336" s="430" t="str">
        <f ca="1"/>
        <v/>
      </c>
      <c r="U336" s="430" t="str">
        <f ca="1"/>
        <v/>
      </c>
      <c r="V336" s="517" t="str">
        <f ca="1"/>
        <v/>
      </c>
      <c r="W336" s="518" t="str">
        <f ca="1"/>
        <v/>
      </c>
      <c r="X336" s="430" t="str">
        <f ca="1"/>
        <v/>
      </c>
      <c r="Y336" s="864" t="str">
        <f t="shared" ca="1" si="25"/>
        <v/>
      </c>
      <c r="AA336" s="828">
        <v>318</v>
      </c>
      <c r="AB336" s="1100"/>
      <c r="AC336" s="1079"/>
      <c r="AD336" s="1067"/>
      <c r="AE336" s="1076"/>
      <c r="AF336" s="1076"/>
      <c r="AG336" s="1048"/>
      <c r="AH336" s="1077"/>
      <c r="AI336" s="1076"/>
      <c r="AJ336" s="1078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26"/>
        <v/>
      </c>
      <c r="G337" s="520" t="str">
        <f t="shared" ca="1" si="27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4"/>
        <v/>
      </c>
      <c r="P337" s="742">
        <v>319</v>
      </c>
      <c r="Q337" s="517" t="str">
        <f t="shared" ca="1" si="28"/>
        <v/>
      </c>
      <c r="R337" s="520" t="str">
        <f t="shared" ca="1" si="29"/>
        <v/>
      </c>
      <c r="S337" s="430" t="str">
        <f ca="1"/>
        <v/>
      </c>
      <c r="T337" s="430" t="str">
        <f ca="1"/>
        <v/>
      </c>
      <c r="U337" s="430" t="str">
        <f ca="1"/>
        <v/>
      </c>
      <c r="V337" s="517" t="str">
        <f ca="1"/>
        <v/>
      </c>
      <c r="W337" s="518" t="str">
        <f ca="1"/>
        <v/>
      </c>
      <c r="X337" s="430" t="str">
        <f ca="1"/>
        <v/>
      </c>
      <c r="Y337" s="864" t="str">
        <f t="shared" ca="1" si="25"/>
        <v/>
      </c>
      <c r="AA337" s="828">
        <v>319</v>
      </c>
      <c r="AB337" s="1100"/>
      <c r="AC337" s="1079"/>
      <c r="AD337" s="1067"/>
      <c r="AE337" s="1076"/>
      <c r="AF337" s="1076"/>
      <c r="AG337" s="1048"/>
      <c r="AH337" s="1077"/>
      <c r="AI337" s="1076"/>
      <c r="AJ337" s="1078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26"/>
        <v/>
      </c>
      <c r="G338" s="520" t="str">
        <f t="shared" ca="1" si="27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4"/>
        <v/>
      </c>
      <c r="P338" s="742">
        <v>320</v>
      </c>
      <c r="Q338" s="517" t="str">
        <f t="shared" ca="1" si="28"/>
        <v/>
      </c>
      <c r="R338" s="520" t="str">
        <f t="shared" ca="1" si="29"/>
        <v/>
      </c>
      <c r="S338" s="430" t="str">
        <f ca="1"/>
        <v/>
      </c>
      <c r="T338" s="430" t="str">
        <f ca="1"/>
        <v/>
      </c>
      <c r="U338" s="430" t="str">
        <f ca="1"/>
        <v/>
      </c>
      <c r="V338" s="517" t="str">
        <f ca="1"/>
        <v/>
      </c>
      <c r="W338" s="518" t="str">
        <f ca="1"/>
        <v/>
      </c>
      <c r="X338" s="430" t="str">
        <f ca="1"/>
        <v/>
      </c>
      <c r="Y338" s="864" t="str">
        <f t="shared" ca="1" si="25"/>
        <v/>
      </c>
      <c r="AA338" s="828">
        <v>320</v>
      </c>
      <c r="AB338" s="1100"/>
      <c r="AC338" s="1079"/>
      <c r="AD338" s="1067"/>
      <c r="AE338" s="1076"/>
      <c r="AF338" s="1076"/>
      <c r="AG338" s="1048"/>
      <c r="AH338" s="1077"/>
      <c r="AI338" s="1076"/>
      <c r="AJ338" s="1078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26"/>
        <v/>
      </c>
      <c r="G339" s="520" t="str">
        <f t="shared" ca="1" si="27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0">IF($I339="","",VNS.FixedRate)</f>
        <v/>
      </c>
      <c r="P339" s="742">
        <v>321</v>
      </c>
      <c r="Q339" s="517" t="str">
        <f t="shared" ca="1" si="28"/>
        <v/>
      </c>
      <c r="R339" s="520" t="str">
        <f t="shared" ca="1" si="29"/>
        <v/>
      </c>
      <c r="S339" s="430" t="str">
        <f ca="1"/>
        <v/>
      </c>
      <c r="T339" s="430" t="str">
        <f ca="1"/>
        <v/>
      </c>
      <c r="U339" s="430" t="str">
        <f ca="1"/>
        <v/>
      </c>
      <c r="V339" s="517" t="str">
        <f ca="1"/>
        <v/>
      </c>
      <c r="W339" s="518" t="str">
        <f ca="1"/>
        <v/>
      </c>
      <c r="X339" s="430" t="str">
        <f ca="1"/>
        <v/>
      </c>
      <c r="Y339" s="864" t="str">
        <f t="shared" ref="Y339:Y402" ca="1" si="31">IF($T339="","",VNS.FloatSpread)</f>
        <v/>
      </c>
      <c r="AA339" s="828">
        <v>321</v>
      </c>
      <c r="AB339" s="1100"/>
      <c r="AC339" s="1079"/>
      <c r="AD339" s="1067"/>
      <c r="AE339" s="1076"/>
      <c r="AF339" s="1076"/>
      <c r="AG339" s="1048"/>
      <c r="AH339" s="1077"/>
      <c r="AI339" s="1076"/>
      <c r="AJ339" s="1078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2">IF($I340="","",IF(OR(VNS.FixedAmortization=0,VNS.FixedAmortization.Frequency=0),F339,IF(MOD(E340-1,VNS.FixedAmortization.Frequency)=0,F339-VNS.FixedAmortization,F339)))</f>
        <v/>
      </c>
      <c r="G340" s="520" t="str">
        <f t="shared" ref="G340:G403" ca="1" si="33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0"/>
        <v/>
      </c>
      <c r="P340" s="742">
        <v>322</v>
      </c>
      <c r="Q340" s="517" t="str">
        <f t="shared" ref="Q340:Q403" ca="1" si="34">IF($T340="","",IF(OR(VNS.FloatAmortization=0,VNS.FloatAmortization.Frequency=0),Q339,IF(MOD(P340-1,VNS.FloatAmortization.Frequency)=0,Q339-VNS.FloatAmortization,Q339)))</f>
        <v/>
      </c>
      <c r="R340" s="520" t="str">
        <f t="shared" ref="R340:R403" ca="1" si="35">IF(T340="","",1)</f>
        <v/>
      </c>
      <c r="S340" s="430" t="str">
        <f ca="1"/>
        <v/>
      </c>
      <c r="T340" s="430" t="str">
        <f ca="1"/>
        <v/>
      </c>
      <c r="U340" s="430" t="str">
        <f ca="1"/>
        <v/>
      </c>
      <c r="V340" s="517" t="str">
        <f ca="1"/>
        <v/>
      </c>
      <c r="W340" s="518" t="str">
        <f ca="1"/>
        <v/>
      </c>
      <c r="X340" s="430" t="str">
        <f ca="1"/>
        <v/>
      </c>
      <c r="Y340" s="864" t="str">
        <f t="shared" ca="1" si="31"/>
        <v/>
      </c>
      <c r="AA340" s="828">
        <v>322</v>
      </c>
      <c r="AB340" s="1100"/>
      <c r="AC340" s="1079"/>
      <c r="AD340" s="1067"/>
      <c r="AE340" s="1076"/>
      <c r="AF340" s="1076"/>
      <c r="AG340" s="1048"/>
      <c r="AH340" s="1077"/>
      <c r="AI340" s="1076"/>
      <c r="AJ340" s="1078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2"/>
        <v/>
      </c>
      <c r="G341" s="520" t="str">
        <f t="shared" ca="1" si="33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0"/>
        <v/>
      </c>
      <c r="P341" s="742">
        <v>323</v>
      </c>
      <c r="Q341" s="517" t="str">
        <f t="shared" ca="1" si="34"/>
        <v/>
      </c>
      <c r="R341" s="520" t="str">
        <f t="shared" ca="1" si="35"/>
        <v/>
      </c>
      <c r="S341" s="430" t="str">
        <f ca="1"/>
        <v/>
      </c>
      <c r="T341" s="430" t="str">
        <f ca="1"/>
        <v/>
      </c>
      <c r="U341" s="430" t="str">
        <f ca="1"/>
        <v/>
      </c>
      <c r="V341" s="517" t="str">
        <f ca="1"/>
        <v/>
      </c>
      <c r="W341" s="518" t="str">
        <f ca="1"/>
        <v/>
      </c>
      <c r="X341" s="430" t="str">
        <f ca="1"/>
        <v/>
      </c>
      <c r="Y341" s="864" t="str">
        <f t="shared" ca="1" si="31"/>
        <v/>
      </c>
      <c r="AA341" s="828">
        <v>323</v>
      </c>
      <c r="AB341" s="1100"/>
      <c r="AC341" s="1079"/>
      <c r="AD341" s="1067"/>
      <c r="AE341" s="1076"/>
      <c r="AF341" s="1076"/>
      <c r="AG341" s="1048"/>
      <c r="AH341" s="1077"/>
      <c r="AI341" s="1076"/>
      <c r="AJ341" s="1078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2"/>
        <v/>
      </c>
      <c r="G342" s="520" t="str">
        <f t="shared" ca="1" si="33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0"/>
        <v/>
      </c>
      <c r="P342" s="742">
        <v>324</v>
      </c>
      <c r="Q342" s="517" t="str">
        <f t="shared" ca="1" si="34"/>
        <v/>
      </c>
      <c r="R342" s="520" t="str">
        <f t="shared" ca="1" si="35"/>
        <v/>
      </c>
      <c r="S342" s="430" t="str">
        <f ca="1"/>
        <v/>
      </c>
      <c r="T342" s="430" t="str">
        <f ca="1"/>
        <v/>
      </c>
      <c r="U342" s="430" t="str">
        <f ca="1"/>
        <v/>
      </c>
      <c r="V342" s="517" t="str">
        <f ca="1"/>
        <v/>
      </c>
      <c r="W342" s="518" t="str">
        <f ca="1"/>
        <v/>
      </c>
      <c r="X342" s="430" t="str">
        <f ca="1"/>
        <v/>
      </c>
      <c r="Y342" s="864" t="str">
        <f t="shared" ca="1" si="31"/>
        <v/>
      </c>
      <c r="AA342" s="828">
        <v>324</v>
      </c>
      <c r="AB342" s="1100"/>
      <c r="AC342" s="1079"/>
      <c r="AD342" s="1067"/>
      <c r="AE342" s="1076"/>
      <c r="AF342" s="1076"/>
      <c r="AG342" s="1048"/>
      <c r="AH342" s="1077"/>
      <c r="AI342" s="1076"/>
      <c r="AJ342" s="1078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2"/>
        <v/>
      </c>
      <c r="G343" s="520" t="str">
        <f t="shared" ca="1" si="33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0"/>
        <v/>
      </c>
      <c r="P343" s="742">
        <v>325</v>
      </c>
      <c r="Q343" s="517" t="str">
        <f t="shared" ca="1" si="34"/>
        <v/>
      </c>
      <c r="R343" s="520" t="str">
        <f t="shared" ca="1" si="35"/>
        <v/>
      </c>
      <c r="S343" s="430" t="str">
        <f ca="1"/>
        <v/>
      </c>
      <c r="T343" s="430" t="str">
        <f ca="1"/>
        <v/>
      </c>
      <c r="U343" s="430" t="str">
        <f ca="1"/>
        <v/>
      </c>
      <c r="V343" s="517" t="str">
        <f ca="1"/>
        <v/>
      </c>
      <c r="W343" s="518" t="str">
        <f ca="1"/>
        <v/>
      </c>
      <c r="X343" s="430" t="str">
        <f ca="1"/>
        <v/>
      </c>
      <c r="Y343" s="864" t="str">
        <f t="shared" ca="1" si="31"/>
        <v/>
      </c>
      <c r="AA343" s="828">
        <v>325</v>
      </c>
      <c r="AB343" s="1100"/>
      <c r="AC343" s="1079"/>
      <c r="AD343" s="1067"/>
      <c r="AE343" s="1076"/>
      <c r="AF343" s="1076"/>
      <c r="AG343" s="1048"/>
      <c r="AH343" s="1077"/>
      <c r="AI343" s="1076"/>
      <c r="AJ343" s="1078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2"/>
        <v/>
      </c>
      <c r="G344" s="520" t="str">
        <f t="shared" ca="1" si="33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0"/>
        <v/>
      </c>
      <c r="P344" s="742">
        <v>326</v>
      </c>
      <c r="Q344" s="517" t="str">
        <f t="shared" ca="1" si="34"/>
        <v/>
      </c>
      <c r="R344" s="520" t="str">
        <f t="shared" ca="1" si="35"/>
        <v/>
      </c>
      <c r="S344" s="430" t="str">
        <f ca="1"/>
        <v/>
      </c>
      <c r="T344" s="430" t="str">
        <f ca="1"/>
        <v/>
      </c>
      <c r="U344" s="430" t="str">
        <f ca="1"/>
        <v/>
      </c>
      <c r="V344" s="517" t="str">
        <f ca="1"/>
        <v/>
      </c>
      <c r="W344" s="518" t="str">
        <f ca="1"/>
        <v/>
      </c>
      <c r="X344" s="430" t="str">
        <f ca="1"/>
        <v/>
      </c>
      <c r="Y344" s="864" t="str">
        <f t="shared" ca="1" si="31"/>
        <v/>
      </c>
      <c r="AA344" s="828">
        <v>326</v>
      </c>
      <c r="AB344" s="1100"/>
      <c r="AC344" s="1079"/>
      <c r="AD344" s="1067"/>
      <c r="AE344" s="1076"/>
      <c r="AF344" s="1076"/>
      <c r="AG344" s="1048"/>
      <c r="AH344" s="1077"/>
      <c r="AI344" s="1076"/>
      <c r="AJ344" s="1078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2"/>
        <v/>
      </c>
      <c r="G345" s="520" t="str">
        <f t="shared" ca="1" si="33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0"/>
        <v/>
      </c>
      <c r="P345" s="742">
        <v>327</v>
      </c>
      <c r="Q345" s="517" t="str">
        <f t="shared" ca="1" si="34"/>
        <v/>
      </c>
      <c r="R345" s="520" t="str">
        <f t="shared" ca="1" si="35"/>
        <v/>
      </c>
      <c r="S345" s="430" t="str">
        <f ca="1"/>
        <v/>
      </c>
      <c r="T345" s="430" t="str">
        <f ca="1"/>
        <v/>
      </c>
      <c r="U345" s="430" t="str">
        <f ca="1"/>
        <v/>
      </c>
      <c r="V345" s="517" t="str">
        <f ca="1"/>
        <v/>
      </c>
      <c r="W345" s="518" t="str">
        <f ca="1"/>
        <v/>
      </c>
      <c r="X345" s="430" t="str">
        <f ca="1"/>
        <v/>
      </c>
      <c r="Y345" s="864" t="str">
        <f t="shared" ca="1" si="31"/>
        <v/>
      </c>
      <c r="AA345" s="828">
        <v>327</v>
      </c>
      <c r="AB345" s="1100"/>
      <c r="AC345" s="1079"/>
      <c r="AD345" s="1067"/>
      <c r="AE345" s="1076"/>
      <c r="AF345" s="1076"/>
      <c r="AG345" s="1048"/>
      <c r="AH345" s="1077"/>
      <c r="AI345" s="1076"/>
      <c r="AJ345" s="1078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2"/>
        <v/>
      </c>
      <c r="G346" s="520" t="str">
        <f t="shared" ca="1" si="33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0"/>
        <v/>
      </c>
      <c r="P346" s="742">
        <v>328</v>
      </c>
      <c r="Q346" s="517" t="str">
        <f t="shared" ca="1" si="34"/>
        <v/>
      </c>
      <c r="R346" s="520" t="str">
        <f t="shared" ca="1" si="35"/>
        <v/>
      </c>
      <c r="S346" s="430" t="str">
        <f ca="1"/>
        <v/>
      </c>
      <c r="T346" s="430" t="str">
        <f ca="1"/>
        <v/>
      </c>
      <c r="U346" s="430" t="str">
        <f ca="1"/>
        <v/>
      </c>
      <c r="V346" s="517" t="str">
        <f ca="1"/>
        <v/>
      </c>
      <c r="W346" s="518" t="str">
        <f ca="1"/>
        <v/>
      </c>
      <c r="X346" s="430" t="str">
        <f ca="1"/>
        <v/>
      </c>
      <c r="Y346" s="864" t="str">
        <f t="shared" ca="1" si="31"/>
        <v/>
      </c>
      <c r="AA346" s="828">
        <v>328</v>
      </c>
      <c r="AB346" s="1100"/>
      <c r="AC346" s="1079"/>
      <c r="AD346" s="1067"/>
      <c r="AE346" s="1076"/>
      <c r="AF346" s="1076"/>
      <c r="AG346" s="1048"/>
      <c r="AH346" s="1077"/>
      <c r="AI346" s="1076"/>
      <c r="AJ346" s="1078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2"/>
        <v/>
      </c>
      <c r="G347" s="520" t="str">
        <f t="shared" ca="1" si="33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0"/>
        <v/>
      </c>
      <c r="P347" s="742">
        <v>329</v>
      </c>
      <c r="Q347" s="517" t="str">
        <f t="shared" ca="1" si="34"/>
        <v/>
      </c>
      <c r="R347" s="520" t="str">
        <f t="shared" ca="1" si="35"/>
        <v/>
      </c>
      <c r="S347" s="430" t="str">
        <f ca="1"/>
        <v/>
      </c>
      <c r="T347" s="430" t="str">
        <f ca="1"/>
        <v/>
      </c>
      <c r="U347" s="430" t="str">
        <f ca="1"/>
        <v/>
      </c>
      <c r="V347" s="517" t="str">
        <f ca="1"/>
        <v/>
      </c>
      <c r="W347" s="518" t="str">
        <f ca="1"/>
        <v/>
      </c>
      <c r="X347" s="430" t="str">
        <f ca="1"/>
        <v/>
      </c>
      <c r="Y347" s="864" t="str">
        <f t="shared" ca="1" si="31"/>
        <v/>
      </c>
      <c r="AA347" s="828">
        <v>329</v>
      </c>
      <c r="AB347" s="1100"/>
      <c r="AC347" s="1079"/>
      <c r="AD347" s="1067"/>
      <c r="AE347" s="1076"/>
      <c r="AF347" s="1076"/>
      <c r="AG347" s="1048"/>
      <c r="AH347" s="1077"/>
      <c r="AI347" s="1076"/>
      <c r="AJ347" s="1078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2"/>
        <v/>
      </c>
      <c r="G348" s="520" t="str">
        <f t="shared" ca="1" si="33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0"/>
        <v/>
      </c>
      <c r="P348" s="742">
        <v>330</v>
      </c>
      <c r="Q348" s="517" t="str">
        <f t="shared" ca="1" si="34"/>
        <v/>
      </c>
      <c r="R348" s="520" t="str">
        <f t="shared" ca="1" si="35"/>
        <v/>
      </c>
      <c r="S348" s="430" t="str">
        <f ca="1"/>
        <v/>
      </c>
      <c r="T348" s="430" t="str">
        <f ca="1"/>
        <v/>
      </c>
      <c r="U348" s="430" t="str">
        <f ca="1"/>
        <v/>
      </c>
      <c r="V348" s="517" t="str">
        <f ca="1"/>
        <v/>
      </c>
      <c r="W348" s="518" t="str">
        <f ca="1"/>
        <v/>
      </c>
      <c r="X348" s="430" t="str">
        <f ca="1"/>
        <v/>
      </c>
      <c r="Y348" s="864" t="str">
        <f t="shared" ca="1" si="31"/>
        <v/>
      </c>
      <c r="AA348" s="828">
        <v>330</v>
      </c>
      <c r="AB348" s="1100"/>
      <c r="AC348" s="1079"/>
      <c r="AD348" s="1067"/>
      <c r="AE348" s="1076"/>
      <c r="AF348" s="1076"/>
      <c r="AG348" s="1048"/>
      <c r="AH348" s="1077"/>
      <c r="AI348" s="1076"/>
      <c r="AJ348" s="1078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2"/>
        <v/>
      </c>
      <c r="G349" s="520" t="str">
        <f t="shared" ca="1" si="33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0"/>
        <v/>
      </c>
      <c r="P349" s="742">
        <v>331</v>
      </c>
      <c r="Q349" s="517" t="str">
        <f t="shared" ca="1" si="34"/>
        <v/>
      </c>
      <c r="R349" s="520" t="str">
        <f t="shared" ca="1" si="35"/>
        <v/>
      </c>
      <c r="S349" s="430" t="str">
        <f ca="1"/>
        <v/>
      </c>
      <c r="T349" s="430" t="str">
        <f ca="1"/>
        <v/>
      </c>
      <c r="U349" s="430" t="str">
        <f ca="1"/>
        <v/>
      </c>
      <c r="V349" s="517" t="str">
        <f ca="1"/>
        <v/>
      </c>
      <c r="W349" s="518" t="str">
        <f ca="1"/>
        <v/>
      </c>
      <c r="X349" s="430" t="str">
        <f ca="1"/>
        <v/>
      </c>
      <c r="Y349" s="864" t="str">
        <f t="shared" ca="1" si="31"/>
        <v/>
      </c>
      <c r="AA349" s="828">
        <v>331</v>
      </c>
      <c r="AB349" s="1100"/>
      <c r="AC349" s="1079"/>
      <c r="AD349" s="1067"/>
      <c r="AE349" s="1076"/>
      <c r="AF349" s="1076"/>
      <c r="AG349" s="1048"/>
      <c r="AH349" s="1077"/>
      <c r="AI349" s="1076"/>
      <c r="AJ349" s="1078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2"/>
        <v/>
      </c>
      <c r="G350" s="520" t="str">
        <f t="shared" ca="1" si="33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0"/>
        <v/>
      </c>
      <c r="P350" s="742">
        <v>332</v>
      </c>
      <c r="Q350" s="517" t="str">
        <f t="shared" ca="1" si="34"/>
        <v/>
      </c>
      <c r="R350" s="520" t="str">
        <f t="shared" ca="1" si="35"/>
        <v/>
      </c>
      <c r="S350" s="430" t="str">
        <f ca="1"/>
        <v/>
      </c>
      <c r="T350" s="430" t="str">
        <f ca="1"/>
        <v/>
      </c>
      <c r="U350" s="430" t="str">
        <f ca="1"/>
        <v/>
      </c>
      <c r="V350" s="517" t="str">
        <f ca="1"/>
        <v/>
      </c>
      <c r="W350" s="518" t="str">
        <f ca="1"/>
        <v/>
      </c>
      <c r="X350" s="430" t="str">
        <f ca="1"/>
        <v/>
      </c>
      <c r="Y350" s="864" t="str">
        <f t="shared" ca="1" si="31"/>
        <v/>
      </c>
      <c r="AA350" s="828">
        <v>332</v>
      </c>
      <c r="AB350" s="1100"/>
      <c r="AC350" s="1079"/>
      <c r="AD350" s="1067"/>
      <c r="AE350" s="1076"/>
      <c r="AF350" s="1076"/>
      <c r="AG350" s="1048"/>
      <c r="AH350" s="1077"/>
      <c r="AI350" s="1076"/>
      <c r="AJ350" s="1078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2"/>
        <v/>
      </c>
      <c r="G351" s="520" t="str">
        <f t="shared" ca="1" si="33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0"/>
        <v/>
      </c>
      <c r="P351" s="742">
        <v>333</v>
      </c>
      <c r="Q351" s="517" t="str">
        <f t="shared" ca="1" si="34"/>
        <v/>
      </c>
      <c r="R351" s="520" t="str">
        <f t="shared" ca="1" si="35"/>
        <v/>
      </c>
      <c r="S351" s="430" t="str">
        <f ca="1"/>
        <v/>
      </c>
      <c r="T351" s="430" t="str">
        <f ca="1"/>
        <v/>
      </c>
      <c r="U351" s="430" t="str">
        <f ca="1"/>
        <v/>
      </c>
      <c r="V351" s="517" t="str">
        <f ca="1"/>
        <v/>
      </c>
      <c r="W351" s="518" t="str">
        <f ca="1"/>
        <v/>
      </c>
      <c r="X351" s="430" t="str">
        <f ca="1"/>
        <v/>
      </c>
      <c r="Y351" s="864" t="str">
        <f t="shared" ca="1" si="31"/>
        <v/>
      </c>
      <c r="AA351" s="828">
        <v>333</v>
      </c>
      <c r="AB351" s="1100"/>
      <c r="AC351" s="1079"/>
      <c r="AD351" s="1067"/>
      <c r="AE351" s="1076"/>
      <c r="AF351" s="1076"/>
      <c r="AG351" s="1048"/>
      <c r="AH351" s="1077"/>
      <c r="AI351" s="1076"/>
      <c r="AJ351" s="1078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2"/>
        <v/>
      </c>
      <c r="G352" s="520" t="str">
        <f t="shared" ca="1" si="33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0"/>
        <v/>
      </c>
      <c r="P352" s="742">
        <v>334</v>
      </c>
      <c r="Q352" s="517" t="str">
        <f t="shared" ca="1" si="34"/>
        <v/>
      </c>
      <c r="R352" s="520" t="str">
        <f t="shared" ca="1" si="35"/>
        <v/>
      </c>
      <c r="S352" s="430" t="str">
        <f ca="1"/>
        <v/>
      </c>
      <c r="T352" s="430" t="str">
        <f ca="1"/>
        <v/>
      </c>
      <c r="U352" s="430" t="str">
        <f ca="1"/>
        <v/>
      </c>
      <c r="V352" s="517" t="str">
        <f ca="1"/>
        <v/>
      </c>
      <c r="W352" s="518" t="str">
        <f ca="1"/>
        <v/>
      </c>
      <c r="X352" s="430" t="str">
        <f ca="1"/>
        <v/>
      </c>
      <c r="Y352" s="864" t="str">
        <f t="shared" ca="1" si="31"/>
        <v/>
      </c>
      <c r="AA352" s="828">
        <v>334</v>
      </c>
      <c r="AB352" s="1100"/>
      <c r="AC352" s="1079"/>
      <c r="AD352" s="1067"/>
      <c r="AE352" s="1076"/>
      <c r="AF352" s="1076"/>
      <c r="AG352" s="1048"/>
      <c r="AH352" s="1077"/>
      <c r="AI352" s="1076"/>
      <c r="AJ352" s="1078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2"/>
        <v/>
      </c>
      <c r="G353" s="520" t="str">
        <f t="shared" ca="1" si="33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0"/>
        <v/>
      </c>
      <c r="P353" s="742">
        <v>335</v>
      </c>
      <c r="Q353" s="517" t="str">
        <f t="shared" ca="1" si="34"/>
        <v/>
      </c>
      <c r="R353" s="520" t="str">
        <f t="shared" ca="1" si="35"/>
        <v/>
      </c>
      <c r="S353" s="430" t="str">
        <f ca="1"/>
        <v/>
      </c>
      <c r="T353" s="430" t="str">
        <f ca="1"/>
        <v/>
      </c>
      <c r="U353" s="430" t="str">
        <f ca="1"/>
        <v/>
      </c>
      <c r="V353" s="517" t="str">
        <f ca="1"/>
        <v/>
      </c>
      <c r="W353" s="518" t="str">
        <f ca="1"/>
        <v/>
      </c>
      <c r="X353" s="430" t="str">
        <f ca="1"/>
        <v/>
      </c>
      <c r="Y353" s="864" t="str">
        <f t="shared" ca="1" si="31"/>
        <v/>
      </c>
      <c r="AA353" s="828">
        <v>335</v>
      </c>
      <c r="AB353" s="1100"/>
      <c r="AC353" s="1079"/>
      <c r="AD353" s="1067"/>
      <c r="AE353" s="1076"/>
      <c r="AF353" s="1076"/>
      <c r="AG353" s="1048"/>
      <c r="AH353" s="1077"/>
      <c r="AI353" s="1076"/>
      <c r="AJ353" s="1078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2"/>
        <v/>
      </c>
      <c r="G354" s="520" t="str">
        <f t="shared" ca="1" si="33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0"/>
        <v/>
      </c>
      <c r="P354" s="742">
        <v>336</v>
      </c>
      <c r="Q354" s="517" t="str">
        <f t="shared" ca="1" si="34"/>
        <v/>
      </c>
      <c r="R354" s="520" t="str">
        <f t="shared" ca="1" si="35"/>
        <v/>
      </c>
      <c r="S354" s="430" t="str">
        <f ca="1"/>
        <v/>
      </c>
      <c r="T354" s="430" t="str">
        <f ca="1"/>
        <v/>
      </c>
      <c r="U354" s="430" t="str">
        <f ca="1"/>
        <v/>
      </c>
      <c r="V354" s="517" t="str">
        <f ca="1"/>
        <v/>
      </c>
      <c r="W354" s="518" t="str">
        <f ca="1"/>
        <v/>
      </c>
      <c r="X354" s="430" t="str">
        <f ca="1"/>
        <v/>
      </c>
      <c r="Y354" s="864" t="str">
        <f t="shared" ca="1" si="31"/>
        <v/>
      </c>
      <c r="AA354" s="828">
        <v>336</v>
      </c>
      <c r="AB354" s="1100"/>
      <c r="AC354" s="1079"/>
      <c r="AD354" s="1067"/>
      <c r="AE354" s="1076"/>
      <c r="AF354" s="1076"/>
      <c r="AG354" s="1048"/>
      <c r="AH354" s="1077"/>
      <c r="AI354" s="1076"/>
      <c r="AJ354" s="1078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2"/>
        <v/>
      </c>
      <c r="G355" s="520" t="str">
        <f t="shared" ca="1" si="33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0"/>
        <v/>
      </c>
      <c r="P355" s="742">
        <v>337</v>
      </c>
      <c r="Q355" s="517" t="str">
        <f t="shared" ca="1" si="34"/>
        <v/>
      </c>
      <c r="R355" s="520" t="str">
        <f t="shared" ca="1" si="35"/>
        <v/>
      </c>
      <c r="S355" s="430" t="str">
        <f ca="1"/>
        <v/>
      </c>
      <c r="T355" s="430" t="str">
        <f ca="1"/>
        <v/>
      </c>
      <c r="U355" s="430" t="str">
        <f ca="1"/>
        <v/>
      </c>
      <c r="V355" s="517" t="str">
        <f ca="1"/>
        <v/>
      </c>
      <c r="W355" s="518" t="str">
        <f ca="1"/>
        <v/>
      </c>
      <c r="X355" s="430" t="str">
        <f ca="1"/>
        <v/>
      </c>
      <c r="Y355" s="864" t="str">
        <f t="shared" ca="1" si="31"/>
        <v/>
      </c>
      <c r="AA355" s="828">
        <v>337</v>
      </c>
      <c r="AB355" s="1100"/>
      <c r="AC355" s="1079"/>
      <c r="AD355" s="1067"/>
      <c r="AE355" s="1076"/>
      <c r="AF355" s="1076"/>
      <c r="AG355" s="1048"/>
      <c r="AH355" s="1077"/>
      <c r="AI355" s="1076"/>
      <c r="AJ355" s="1078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2"/>
        <v/>
      </c>
      <c r="G356" s="520" t="str">
        <f t="shared" ca="1" si="33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0"/>
        <v/>
      </c>
      <c r="P356" s="742">
        <v>338</v>
      </c>
      <c r="Q356" s="517" t="str">
        <f t="shared" ca="1" si="34"/>
        <v/>
      </c>
      <c r="R356" s="520" t="str">
        <f t="shared" ca="1" si="35"/>
        <v/>
      </c>
      <c r="S356" s="430" t="str">
        <f ca="1"/>
        <v/>
      </c>
      <c r="T356" s="430" t="str">
        <f ca="1"/>
        <v/>
      </c>
      <c r="U356" s="430" t="str">
        <f ca="1"/>
        <v/>
      </c>
      <c r="V356" s="517" t="str">
        <f ca="1"/>
        <v/>
      </c>
      <c r="W356" s="518" t="str">
        <f ca="1"/>
        <v/>
      </c>
      <c r="X356" s="430" t="str">
        <f ca="1"/>
        <v/>
      </c>
      <c r="Y356" s="864" t="str">
        <f t="shared" ca="1" si="31"/>
        <v/>
      </c>
      <c r="AA356" s="828">
        <v>338</v>
      </c>
      <c r="AB356" s="1100"/>
      <c r="AC356" s="1079"/>
      <c r="AD356" s="1067"/>
      <c r="AE356" s="1076"/>
      <c r="AF356" s="1076"/>
      <c r="AG356" s="1048"/>
      <c r="AH356" s="1077"/>
      <c r="AI356" s="1076"/>
      <c r="AJ356" s="1078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2"/>
        <v/>
      </c>
      <c r="G357" s="520" t="str">
        <f t="shared" ca="1" si="33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0"/>
        <v/>
      </c>
      <c r="P357" s="742">
        <v>339</v>
      </c>
      <c r="Q357" s="517" t="str">
        <f t="shared" ca="1" si="34"/>
        <v/>
      </c>
      <c r="R357" s="520" t="str">
        <f t="shared" ca="1" si="35"/>
        <v/>
      </c>
      <c r="S357" s="430" t="str">
        <f ca="1"/>
        <v/>
      </c>
      <c r="T357" s="430" t="str">
        <f ca="1"/>
        <v/>
      </c>
      <c r="U357" s="430" t="str">
        <f ca="1"/>
        <v/>
      </c>
      <c r="V357" s="517" t="str">
        <f ca="1"/>
        <v/>
      </c>
      <c r="W357" s="518" t="str">
        <f ca="1"/>
        <v/>
      </c>
      <c r="X357" s="430" t="str">
        <f ca="1"/>
        <v/>
      </c>
      <c r="Y357" s="864" t="str">
        <f t="shared" ca="1" si="31"/>
        <v/>
      </c>
      <c r="AA357" s="828">
        <v>339</v>
      </c>
      <c r="AB357" s="1100"/>
      <c r="AC357" s="1079"/>
      <c r="AD357" s="1067"/>
      <c r="AE357" s="1076"/>
      <c r="AF357" s="1076"/>
      <c r="AG357" s="1048"/>
      <c r="AH357" s="1077"/>
      <c r="AI357" s="1076"/>
      <c r="AJ357" s="1078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2"/>
        <v/>
      </c>
      <c r="G358" s="520" t="str">
        <f t="shared" ca="1" si="33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0"/>
        <v/>
      </c>
      <c r="P358" s="742">
        <v>340</v>
      </c>
      <c r="Q358" s="517" t="str">
        <f t="shared" ca="1" si="34"/>
        <v/>
      </c>
      <c r="R358" s="520" t="str">
        <f t="shared" ca="1" si="35"/>
        <v/>
      </c>
      <c r="S358" s="430" t="str">
        <f ca="1"/>
        <v/>
      </c>
      <c r="T358" s="430" t="str">
        <f ca="1"/>
        <v/>
      </c>
      <c r="U358" s="430" t="str">
        <f ca="1"/>
        <v/>
      </c>
      <c r="V358" s="517" t="str">
        <f ca="1"/>
        <v/>
      </c>
      <c r="W358" s="518" t="str">
        <f ca="1"/>
        <v/>
      </c>
      <c r="X358" s="430" t="str">
        <f ca="1"/>
        <v/>
      </c>
      <c r="Y358" s="864" t="str">
        <f t="shared" ca="1" si="31"/>
        <v/>
      </c>
      <c r="AA358" s="828">
        <v>340</v>
      </c>
      <c r="AB358" s="1100"/>
      <c r="AC358" s="1079"/>
      <c r="AD358" s="1067"/>
      <c r="AE358" s="1076"/>
      <c r="AF358" s="1076"/>
      <c r="AG358" s="1048"/>
      <c r="AH358" s="1077"/>
      <c r="AI358" s="1076"/>
      <c r="AJ358" s="1078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2"/>
        <v/>
      </c>
      <c r="G359" s="520" t="str">
        <f t="shared" ca="1" si="33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0"/>
        <v/>
      </c>
      <c r="P359" s="742">
        <v>341</v>
      </c>
      <c r="Q359" s="517" t="str">
        <f t="shared" ca="1" si="34"/>
        <v/>
      </c>
      <c r="R359" s="520" t="str">
        <f t="shared" ca="1" si="35"/>
        <v/>
      </c>
      <c r="S359" s="430" t="str">
        <f ca="1"/>
        <v/>
      </c>
      <c r="T359" s="430" t="str">
        <f ca="1"/>
        <v/>
      </c>
      <c r="U359" s="430" t="str">
        <f ca="1"/>
        <v/>
      </c>
      <c r="V359" s="517" t="str">
        <f ca="1"/>
        <v/>
      </c>
      <c r="W359" s="518" t="str">
        <f ca="1"/>
        <v/>
      </c>
      <c r="X359" s="430" t="str">
        <f ca="1"/>
        <v/>
      </c>
      <c r="Y359" s="864" t="str">
        <f t="shared" ca="1" si="31"/>
        <v/>
      </c>
      <c r="AA359" s="828">
        <v>341</v>
      </c>
      <c r="AB359" s="1100"/>
      <c r="AC359" s="1079"/>
      <c r="AD359" s="1067"/>
      <c r="AE359" s="1076"/>
      <c r="AF359" s="1076"/>
      <c r="AG359" s="1048"/>
      <c r="AH359" s="1077"/>
      <c r="AI359" s="1076"/>
      <c r="AJ359" s="1078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2"/>
        <v/>
      </c>
      <c r="G360" s="520" t="str">
        <f t="shared" ca="1" si="33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0"/>
        <v/>
      </c>
      <c r="P360" s="742">
        <v>342</v>
      </c>
      <c r="Q360" s="517" t="str">
        <f t="shared" ca="1" si="34"/>
        <v/>
      </c>
      <c r="R360" s="520" t="str">
        <f t="shared" ca="1" si="35"/>
        <v/>
      </c>
      <c r="S360" s="430" t="str">
        <f ca="1"/>
        <v/>
      </c>
      <c r="T360" s="430" t="str">
        <f ca="1"/>
        <v/>
      </c>
      <c r="U360" s="430" t="str">
        <f ca="1"/>
        <v/>
      </c>
      <c r="V360" s="517" t="str">
        <f ca="1"/>
        <v/>
      </c>
      <c r="W360" s="518" t="str">
        <f ca="1"/>
        <v/>
      </c>
      <c r="X360" s="430" t="str">
        <f ca="1"/>
        <v/>
      </c>
      <c r="Y360" s="864" t="str">
        <f t="shared" ca="1" si="31"/>
        <v/>
      </c>
      <c r="AA360" s="828">
        <v>342</v>
      </c>
      <c r="AB360" s="1100"/>
      <c r="AC360" s="1079"/>
      <c r="AD360" s="1067"/>
      <c r="AE360" s="1076"/>
      <c r="AF360" s="1076"/>
      <c r="AG360" s="1048"/>
      <c r="AH360" s="1077"/>
      <c r="AI360" s="1076"/>
      <c r="AJ360" s="1078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2"/>
        <v/>
      </c>
      <c r="G361" s="520" t="str">
        <f t="shared" ca="1" si="33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0"/>
        <v/>
      </c>
      <c r="P361" s="742">
        <v>343</v>
      </c>
      <c r="Q361" s="517" t="str">
        <f t="shared" ca="1" si="34"/>
        <v/>
      </c>
      <c r="R361" s="520" t="str">
        <f t="shared" ca="1" si="35"/>
        <v/>
      </c>
      <c r="S361" s="430" t="str">
        <f ca="1"/>
        <v/>
      </c>
      <c r="T361" s="430" t="str">
        <f ca="1"/>
        <v/>
      </c>
      <c r="U361" s="430" t="str">
        <f ca="1"/>
        <v/>
      </c>
      <c r="V361" s="517" t="str">
        <f ca="1"/>
        <v/>
      </c>
      <c r="W361" s="518" t="str">
        <f ca="1"/>
        <v/>
      </c>
      <c r="X361" s="430" t="str">
        <f ca="1"/>
        <v/>
      </c>
      <c r="Y361" s="864" t="str">
        <f t="shared" ca="1" si="31"/>
        <v/>
      </c>
      <c r="AA361" s="828">
        <v>343</v>
      </c>
      <c r="AB361" s="1100"/>
      <c r="AC361" s="1079"/>
      <c r="AD361" s="1067"/>
      <c r="AE361" s="1076"/>
      <c r="AF361" s="1076"/>
      <c r="AG361" s="1048"/>
      <c r="AH361" s="1077"/>
      <c r="AI361" s="1076"/>
      <c r="AJ361" s="1078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2"/>
        <v/>
      </c>
      <c r="G362" s="520" t="str">
        <f t="shared" ca="1" si="33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0"/>
        <v/>
      </c>
      <c r="P362" s="742">
        <v>344</v>
      </c>
      <c r="Q362" s="517" t="str">
        <f t="shared" ca="1" si="34"/>
        <v/>
      </c>
      <c r="R362" s="520" t="str">
        <f t="shared" ca="1" si="35"/>
        <v/>
      </c>
      <c r="S362" s="430" t="str">
        <f ca="1"/>
        <v/>
      </c>
      <c r="T362" s="430" t="str">
        <f ca="1"/>
        <v/>
      </c>
      <c r="U362" s="430" t="str">
        <f ca="1"/>
        <v/>
      </c>
      <c r="V362" s="517" t="str">
        <f ca="1"/>
        <v/>
      </c>
      <c r="W362" s="518" t="str">
        <f ca="1"/>
        <v/>
      </c>
      <c r="X362" s="430" t="str">
        <f ca="1"/>
        <v/>
      </c>
      <c r="Y362" s="864" t="str">
        <f t="shared" ca="1" si="31"/>
        <v/>
      </c>
      <c r="AA362" s="828">
        <v>344</v>
      </c>
      <c r="AB362" s="1100"/>
      <c r="AC362" s="1079"/>
      <c r="AD362" s="1067"/>
      <c r="AE362" s="1076"/>
      <c r="AF362" s="1076"/>
      <c r="AG362" s="1048"/>
      <c r="AH362" s="1077"/>
      <c r="AI362" s="1076"/>
      <c r="AJ362" s="1078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2"/>
        <v/>
      </c>
      <c r="G363" s="520" t="str">
        <f t="shared" ca="1" si="33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0"/>
        <v/>
      </c>
      <c r="P363" s="742">
        <v>345</v>
      </c>
      <c r="Q363" s="517" t="str">
        <f t="shared" ca="1" si="34"/>
        <v/>
      </c>
      <c r="R363" s="520" t="str">
        <f t="shared" ca="1" si="35"/>
        <v/>
      </c>
      <c r="S363" s="430" t="str">
        <f ca="1"/>
        <v/>
      </c>
      <c r="T363" s="430" t="str">
        <f ca="1"/>
        <v/>
      </c>
      <c r="U363" s="430" t="str">
        <f ca="1"/>
        <v/>
      </c>
      <c r="V363" s="517" t="str">
        <f ca="1"/>
        <v/>
      </c>
      <c r="W363" s="518" t="str">
        <f ca="1"/>
        <v/>
      </c>
      <c r="X363" s="430" t="str">
        <f ca="1"/>
        <v/>
      </c>
      <c r="Y363" s="864" t="str">
        <f t="shared" ca="1" si="31"/>
        <v/>
      </c>
      <c r="AA363" s="828">
        <v>345</v>
      </c>
      <c r="AB363" s="1100"/>
      <c r="AC363" s="1079"/>
      <c r="AD363" s="1067"/>
      <c r="AE363" s="1076"/>
      <c r="AF363" s="1076"/>
      <c r="AG363" s="1048"/>
      <c r="AH363" s="1077"/>
      <c r="AI363" s="1076"/>
      <c r="AJ363" s="1078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2"/>
        <v/>
      </c>
      <c r="G364" s="520" t="str">
        <f t="shared" ca="1" si="33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0"/>
        <v/>
      </c>
      <c r="P364" s="742">
        <v>346</v>
      </c>
      <c r="Q364" s="517" t="str">
        <f t="shared" ca="1" si="34"/>
        <v/>
      </c>
      <c r="R364" s="520" t="str">
        <f t="shared" ca="1" si="35"/>
        <v/>
      </c>
      <c r="S364" s="430" t="str">
        <f ca="1"/>
        <v/>
      </c>
      <c r="T364" s="430" t="str">
        <f ca="1"/>
        <v/>
      </c>
      <c r="U364" s="430" t="str">
        <f ca="1"/>
        <v/>
      </c>
      <c r="V364" s="517" t="str">
        <f ca="1"/>
        <v/>
      </c>
      <c r="W364" s="518" t="str">
        <f ca="1"/>
        <v/>
      </c>
      <c r="X364" s="430" t="str">
        <f ca="1"/>
        <v/>
      </c>
      <c r="Y364" s="864" t="str">
        <f t="shared" ca="1" si="31"/>
        <v/>
      </c>
      <c r="AA364" s="828">
        <v>346</v>
      </c>
      <c r="AB364" s="1100"/>
      <c r="AC364" s="1079"/>
      <c r="AD364" s="1067"/>
      <c r="AE364" s="1076"/>
      <c r="AF364" s="1076"/>
      <c r="AG364" s="1048"/>
      <c r="AH364" s="1077"/>
      <c r="AI364" s="1076"/>
      <c r="AJ364" s="1078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2"/>
        <v/>
      </c>
      <c r="G365" s="520" t="str">
        <f t="shared" ca="1" si="33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0"/>
        <v/>
      </c>
      <c r="P365" s="742">
        <v>347</v>
      </c>
      <c r="Q365" s="517" t="str">
        <f t="shared" ca="1" si="34"/>
        <v/>
      </c>
      <c r="R365" s="520" t="str">
        <f t="shared" ca="1" si="35"/>
        <v/>
      </c>
      <c r="S365" s="430" t="str">
        <f ca="1"/>
        <v/>
      </c>
      <c r="T365" s="430" t="str">
        <f ca="1"/>
        <v/>
      </c>
      <c r="U365" s="430" t="str">
        <f ca="1"/>
        <v/>
      </c>
      <c r="V365" s="517" t="str">
        <f ca="1"/>
        <v/>
      </c>
      <c r="W365" s="518" t="str">
        <f ca="1"/>
        <v/>
      </c>
      <c r="X365" s="430" t="str">
        <f ca="1"/>
        <v/>
      </c>
      <c r="Y365" s="864" t="str">
        <f t="shared" ca="1" si="31"/>
        <v/>
      </c>
      <c r="AA365" s="828">
        <v>347</v>
      </c>
      <c r="AB365" s="1100"/>
      <c r="AC365" s="1079"/>
      <c r="AD365" s="1067"/>
      <c r="AE365" s="1076"/>
      <c r="AF365" s="1076"/>
      <c r="AG365" s="1048"/>
      <c r="AH365" s="1077"/>
      <c r="AI365" s="1076"/>
      <c r="AJ365" s="1078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2"/>
        <v/>
      </c>
      <c r="G366" s="520" t="str">
        <f t="shared" ca="1" si="33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0"/>
        <v/>
      </c>
      <c r="P366" s="742">
        <v>348</v>
      </c>
      <c r="Q366" s="517" t="str">
        <f t="shared" ca="1" si="34"/>
        <v/>
      </c>
      <c r="R366" s="520" t="str">
        <f t="shared" ca="1" si="35"/>
        <v/>
      </c>
      <c r="S366" s="430" t="str">
        <f ca="1"/>
        <v/>
      </c>
      <c r="T366" s="430" t="str">
        <f ca="1"/>
        <v/>
      </c>
      <c r="U366" s="430" t="str">
        <f ca="1"/>
        <v/>
      </c>
      <c r="V366" s="517" t="str">
        <f ca="1"/>
        <v/>
      </c>
      <c r="W366" s="518" t="str">
        <f ca="1"/>
        <v/>
      </c>
      <c r="X366" s="430" t="str">
        <f ca="1"/>
        <v/>
      </c>
      <c r="Y366" s="864" t="str">
        <f t="shared" ca="1" si="31"/>
        <v/>
      </c>
      <c r="AA366" s="828">
        <v>348</v>
      </c>
      <c r="AB366" s="1100"/>
      <c r="AC366" s="1079"/>
      <c r="AD366" s="1067"/>
      <c r="AE366" s="1076"/>
      <c r="AF366" s="1076"/>
      <c r="AG366" s="1048"/>
      <c r="AH366" s="1077"/>
      <c r="AI366" s="1076"/>
      <c r="AJ366" s="1078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2"/>
        <v/>
      </c>
      <c r="G367" s="520" t="str">
        <f t="shared" ca="1" si="33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0"/>
        <v/>
      </c>
      <c r="P367" s="742">
        <v>349</v>
      </c>
      <c r="Q367" s="517" t="str">
        <f t="shared" ca="1" si="34"/>
        <v/>
      </c>
      <c r="R367" s="520" t="str">
        <f t="shared" ca="1" si="35"/>
        <v/>
      </c>
      <c r="S367" s="430" t="str">
        <f ca="1"/>
        <v/>
      </c>
      <c r="T367" s="430" t="str">
        <f ca="1"/>
        <v/>
      </c>
      <c r="U367" s="430" t="str">
        <f ca="1"/>
        <v/>
      </c>
      <c r="V367" s="517" t="str">
        <f ca="1"/>
        <v/>
      </c>
      <c r="W367" s="518" t="str">
        <f ca="1"/>
        <v/>
      </c>
      <c r="X367" s="430" t="str">
        <f ca="1"/>
        <v/>
      </c>
      <c r="Y367" s="864" t="str">
        <f t="shared" ca="1" si="31"/>
        <v/>
      </c>
      <c r="AA367" s="828">
        <v>349</v>
      </c>
      <c r="AB367" s="1100"/>
      <c r="AC367" s="1079"/>
      <c r="AD367" s="1067"/>
      <c r="AE367" s="1076"/>
      <c r="AF367" s="1076"/>
      <c r="AG367" s="1048"/>
      <c r="AH367" s="1077"/>
      <c r="AI367" s="1076"/>
      <c r="AJ367" s="1078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2"/>
        <v/>
      </c>
      <c r="G368" s="520" t="str">
        <f t="shared" ca="1" si="33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0"/>
        <v/>
      </c>
      <c r="P368" s="742">
        <v>350</v>
      </c>
      <c r="Q368" s="517" t="str">
        <f t="shared" ca="1" si="34"/>
        <v/>
      </c>
      <c r="R368" s="520" t="str">
        <f t="shared" ca="1" si="35"/>
        <v/>
      </c>
      <c r="S368" s="430" t="str">
        <f ca="1"/>
        <v/>
      </c>
      <c r="T368" s="430" t="str">
        <f ca="1"/>
        <v/>
      </c>
      <c r="U368" s="430" t="str">
        <f ca="1"/>
        <v/>
      </c>
      <c r="V368" s="517" t="str">
        <f ca="1"/>
        <v/>
      </c>
      <c r="W368" s="518" t="str">
        <f ca="1"/>
        <v/>
      </c>
      <c r="X368" s="430" t="str">
        <f ca="1"/>
        <v/>
      </c>
      <c r="Y368" s="864" t="str">
        <f t="shared" ca="1" si="31"/>
        <v/>
      </c>
      <c r="AA368" s="828">
        <v>350</v>
      </c>
      <c r="AB368" s="1100"/>
      <c r="AC368" s="1079"/>
      <c r="AD368" s="1067"/>
      <c r="AE368" s="1076"/>
      <c r="AF368" s="1076"/>
      <c r="AG368" s="1048"/>
      <c r="AH368" s="1077"/>
      <c r="AI368" s="1076"/>
      <c r="AJ368" s="1078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2"/>
        <v/>
      </c>
      <c r="G369" s="520" t="str">
        <f t="shared" ca="1" si="33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0"/>
        <v/>
      </c>
      <c r="P369" s="742">
        <v>351</v>
      </c>
      <c r="Q369" s="517" t="str">
        <f t="shared" ca="1" si="34"/>
        <v/>
      </c>
      <c r="R369" s="520" t="str">
        <f t="shared" ca="1" si="35"/>
        <v/>
      </c>
      <c r="S369" s="430" t="str">
        <f ca="1"/>
        <v/>
      </c>
      <c r="T369" s="430" t="str">
        <f ca="1"/>
        <v/>
      </c>
      <c r="U369" s="430" t="str">
        <f ca="1"/>
        <v/>
      </c>
      <c r="V369" s="517" t="str">
        <f ca="1"/>
        <v/>
      </c>
      <c r="W369" s="518" t="str">
        <f ca="1"/>
        <v/>
      </c>
      <c r="X369" s="430" t="str">
        <f ca="1"/>
        <v/>
      </c>
      <c r="Y369" s="864" t="str">
        <f t="shared" ca="1" si="31"/>
        <v/>
      </c>
      <c r="AA369" s="828">
        <v>351</v>
      </c>
      <c r="AB369" s="1100"/>
      <c r="AC369" s="1079"/>
      <c r="AD369" s="1067"/>
      <c r="AE369" s="1076"/>
      <c r="AF369" s="1076"/>
      <c r="AG369" s="1048"/>
      <c r="AH369" s="1077"/>
      <c r="AI369" s="1076"/>
      <c r="AJ369" s="1078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2"/>
        <v/>
      </c>
      <c r="G370" s="520" t="str">
        <f t="shared" ca="1" si="33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0"/>
        <v/>
      </c>
      <c r="P370" s="742">
        <v>352</v>
      </c>
      <c r="Q370" s="517" t="str">
        <f t="shared" ca="1" si="34"/>
        <v/>
      </c>
      <c r="R370" s="520" t="str">
        <f t="shared" ca="1" si="35"/>
        <v/>
      </c>
      <c r="S370" s="430" t="str">
        <f ca="1"/>
        <v/>
      </c>
      <c r="T370" s="430" t="str">
        <f ca="1"/>
        <v/>
      </c>
      <c r="U370" s="430" t="str">
        <f ca="1"/>
        <v/>
      </c>
      <c r="V370" s="517" t="str">
        <f ca="1"/>
        <v/>
      </c>
      <c r="W370" s="518" t="str">
        <f ca="1"/>
        <v/>
      </c>
      <c r="X370" s="430" t="str">
        <f ca="1"/>
        <v/>
      </c>
      <c r="Y370" s="864" t="str">
        <f t="shared" ca="1" si="31"/>
        <v/>
      </c>
      <c r="AA370" s="828">
        <v>352</v>
      </c>
      <c r="AB370" s="1100"/>
      <c r="AC370" s="1079"/>
      <c r="AD370" s="1067"/>
      <c r="AE370" s="1076"/>
      <c r="AF370" s="1076"/>
      <c r="AG370" s="1048"/>
      <c r="AH370" s="1077"/>
      <c r="AI370" s="1076"/>
      <c r="AJ370" s="1078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2"/>
        <v/>
      </c>
      <c r="G371" s="520" t="str">
        <f t="shared" ca="1" si="33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0"/>
        <v/>
      </c>
      <c r="P371" s="742">
        <v>353</v>
      </c>
      <c r="Q371" s="517" t="str">
        <f t="shared" ca="1" si="34"/>
        <v/>
      </c>
      <c r="R371" s="520" t="str">
        <f t="shared" ca="1" si="35"/>
        <v/>
      </c>
      <c r="S371" s="430" t="str">
        <f ca="1"/>
        <v/>
      </c>
      <c r="T371" s="430" t="str">
        <f ca="1"/>
        <v/>
      </c>
      <c r="U371" s="430" t="str">
        <f ca="1"/>
        <v/>
      </c>
      <c r="V371" s="517" t="str">
        <f ca="1"/>
        <v/>
      </c>
      <c r="W371" s="518" t="str">
        <f ca="1"/>
        <v/>
      </c>
      <c r="X371" s="430" t="str">
        <f ca="1"/>
        <v/>
      </c>
      <c r="Y371" s="864" t="str">
        <f t="shared" ca="1" si="31"/>
        <v/>
      </c>
      <c r="AA371" s="828">
        <v>353</v>
      </c>
      <c r="AB371" s="1100"/>
      <c r="AC371" s="1079"/>
      <c r="AD371" s="1067"/>
      <c r="AE371" s="1076"/>
      <c r="AF371" s="1076"/>
      <c r="AG371" s="1048"/>
      <c r="AH371" s="1077"/>
      <c r="AI371" s="1076"/>
      <c r="AJ371" s="1078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2"/>
        <v/>
      </c>
      <c r="G372" s="520" t="str">
        <f t="shared" ca="1" si="33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0"/>
        <v/>
      </c>
      <c r="P372" s="742">
        <v>354</v>
      </c>
      <c r="Q372" s="517" t="str">
        <f t="shared" ca="1" si="34"/>
        <v/>
      </c>
      <c r="R372" s="520" t="str">
        <f t="shared" ca="1" si="35"/>
        <v/>
      </c>
      <c r="S372" s="430" t="str">
        <f ca="1"/>
        <v/>
      </c>
      <c r="T372" s="430" t="str">
        <f ca="1"/>
        <v/>
      </c>
      <c r="U372" s="430" t="str">
        <f ca="1"/>
        <v/>
      </c>
      <c r="V372" s="517" t="str">
        <f ca="1"/>
        <v/>
      </c>
      <c r="W372" s="518" t="str">
        <f ca="1"/>
        <v/>
      </c>
      <c r="X372" s="430" t="str">
        <f ca="1"/>
        <v/>
      </c>
      <c r="Y372" s="864" t="str">
        <f t="shared" ca="1" si="31"/>
        <v/>
      </c>
      <c r="AA372" s="828">
        <v>354</v>
      </c>
      <c r="AB372" s="1100"/>
      <c r="AC372" s="1079"/>
      <c r="AD372" s="1067"/>
      <c r="AE372" s="1076"/>
      <c r="AF372" s="1076"/>
      <c r="AG372" s="1048"/>
      <c r="AH372" s="1077"/>
      <c r="AI372" s="1076"/>
      <c r="AJ372" s="1078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2"/>
        <v/>
      </c>
      <c r="G373" s="520" t="str">
        <f t="shared" ca="1" si="33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0"/>
        <v/>
      </c>
      <c r="P373" s="742">
        <v>355</v>
      </c>
      <c r="Q373" s="517" t="str">
        <f t="shared" ca="1" si="34"/>
        <v/>
      </c>
      <c r="R373" s="520" t="str">
        <f t="shared" ca="1" si="35"/>
        <v/>
      </c>
      <c r="S373" s="430" t="str">
        <f ca="1"/>
        <v/>
      </c>
      <c r="T373" s="430" t="str">
        <f ca="1"/>
        <v/>
      </c>
      <c r="U373" s="430" t="str">
        <f ca="1"/>
        <v/>
      </c>
      <c r="V373" s="517" t="str">
        <f ca="1"/>
        <v/>
      </c>
      <c r="W373" s="518" t="str">
        <f ca="1"/>
        <v/>
      </c>
      <c r="X373" s="430" t="str">
        <f ca="1"/>
        <v/>
      </c>
      <c r="Y373" s="864" t="str">
        <f t="shared" ca="1" si="31"/>
        <v/>
      </c>
      <c r="AA373" s="828">
        <v>355</v>
      </c>
      <c r="AB373" s="1100"/>
      <c r="AC373" s="1079"/>
      <c r="AD373" s="1067"/>
      <c r="AE373" s="1076"/>
      <c r="AF373" s="1076"/>
      <c r="AG373" s="1048"/>
      <c r="AH373" s="1077"/>
      <c r="AI373" s="1076"/>
      <c r="AJ373" s="1078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2"/>
        <v/>
      </c>
      <c r="G374" s="520" t="str">
        <f t="shared" ca="1" si="33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0"/>
        <v/>
      </c>
      <c r="P374" s="742">
        <v>356</v>
      </c>
      <c r="Q374" s="517" t="str">
        <f t="shared" ca="1" si="34"/>
        <v/>
      </c>
      <c r="R374" s="520" t="str">
        <f t="shared" ca="1" si="35"/>
        <v/>
      </c>
      <c r="S374" s="430" t="str">
        <f ca="1"/>
        <v/>
      </c>
      <c r="T374" s="430" t="str">
        <f ca="1"/>
        <v/>
      </c>
      <c r="U374" s="430" t="str">
        <f ca="1"/>
        <v/>
      </c>
      <c r="V374" s="517" t="str">
        <f ca="1"/>
        <v/>
      </c>
      <c r="W374" s="518" t="str">
        <f ca="1"/>
        <v/>
      </c>
      <c r="X374" s="430" t="str">
        <f ca="1"/>
        <v/>
      </c>
      <c r="Y374" s="864" t="str">
        <f t="shared" ca="1" si="31"/>
        <v/>
      </c>
      <c r="AA374" s="828">
        <v>356</v>
      </c>
      <c r="AB374" s="1100"/>
      <c r="AC374" s="1079"/>
      <c r="AD374" s="1067"/>
      <c r="AE374" s="1076"/>
      <c r="AF374" s="1076"/>
      <c r="AG374" s="1048"/>
      <c r="AH374" s="1077"/>
      <c r="AI374" s="1076"/>
      <c r="AJ374" s="1078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2"/>
        <v/>
      </c>
      <c r="G375" s="520" t="str">
        <f t="shared" ca="1" si="33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0"/>
        <v/>
      </c>
      <c r="P375" s="742">
        <v>357</v>
      </c>
      <c r="Q375" s="517" t="str">
        <f t="shared" ca="1" si="34"/>
        <v/>
      </c>
      <c r="R375" s="520" t="str">
        <f t="shared" ca="1" si="35"/>
        <v/>
      </c>
      <c r="S375" s="430" t="str">
        <f ca="1"/>
        <v/>
      </c>
      <c r="T375" s="430" t="str">
        <f ca="1"/>
        <v/>
      </c>
      <c r="U375" s="430" t="str">
        <f ca="1"/>
        <v/>
      </c>
      <c r="V375" s="517" t="str">
        <f ca="1"/>
        <v/>
      </c>
      <c r="W375" s="518" t="str">
        <f ca="1"/>
        <v/>
      </c>
      <c r="X375" s="430" t="str">
        <f ca="1"/>
        <v/>
      </c>
      <c r="Y375" s="864" t="str">
        <f t="shared" ca="1" si="31"/>
        <v/>
      </c>
      <c r="AA375" s="828">
        <v>357</v>
      </c>
      <c r="AB375" s="1100"/>
      <c r="AC375" s="1079"/>
      <c r="AD375" s="1067"/>
      <c r="AE375" s="1076"/>
      <c r="AF375" s="1076"/>
      <c r="AG375" s="1048"/>
      <c r="AH375" s="1077"/>
      <c r="AI375" s="1076"/>
      <c r="AJ375" s="1078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2"/>
        <v/>
      </c>
      <c r="G376" s="520" t="str">
        <f t="shared" ca="1" si="33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0"/>
        <v/>
      </c>
      <c r="P376" s="742">
        <v>358</v>
      </c>
      <c r="Q376" s="517" t="str">
        <f t="shared" ca="1" si="34"/>
        <v/>
      </c>
      <c r="R376" s="520" t="str">
        <f t="shared" ca="1" si="35"/>
        <v/>
      </c>
      <c r="S376" s="430" t="str">
        <f ca="1"/>
        <v/>
      </c>
      <c r="T376" s="430" t="str">
        <f ca="1"/>
        <v/>
      </c>
      <c r="U376" s="430" t="str">
        <f ca="1"/>
        <v/>
      </c>
      <c r="V376" s="517" t="str">
        <f ca="1"/>
        <v/>
      </c>
      <c r="W376" s="518" t="str">
        <f ca="1"/>
        <v/>
      </c>
      <c r="X376" s="430" t="str">
        <f ca="1"/>
        <v/>
      </c>
      <c r="Y376" s="864" t="str">
        <f t="shared" ca="1" si="31"/>
        <v/>
      </c>
      <c r="AA376" s="828">
        <v>358</v>
      </c>
      <c r="AB376" s="1100"/>
      <c r="AC376" s="1079"/>
      <c r="AD376" s="1067"/>
      <c r="AE376" s="1076"/>
      <c r="AF376" s="1076"/>
      <c r="AG376" s="1048"/>
      <c r="AH376" s="1077"/>
      <c r="AI376" s="1076"/>
      <c r="AJ376" s="1078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2"/>
        <v/>
      </c>
      <c r="G377" s="520" t="str">
        <f t="shared" ca="1" si="33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0"/>
        <v/>
      </c>
      <c r="P377" s="742">
        <v>359</v>
      </c>
      <c r="Q377" s="517" t="str">
        <f t="shared" ca="1" si="34"/>
        <v/>
      </c>
      <c r="R377" s="520" t="str">
        <f t="shared" ca="1" si="35"/>
        <v/>
      </c>
      <c r="S377" s="430" t="str">
        <f ca="1"/>
        <v/>
      </c>
      <c r="T377" s="430" t="str">
        <f ca="1"/>
        <v/>
      </c>
      <c r="U377" s="430" t="str">
        <f ca="1"/>
        <v/>
      </c>
      <c r="V377" s="517" t="str">
        <f ca="1"/>
        <v/>
      </c>
      <c r="W377" s="518" t="str">
        <f ca="1"/>
        <v/>
      </c>
      <c r="X377" s="430" t="str">
        <f ca="1"/>
        <v/>
      </c>
      <c r="Y377" s="864" t="str">
        <f t="shared" ca="1" si="31"/>
        <v/>
      </c>
      <c r="AA377" s="828">
        <v>359</v>
      </c>
      <c r="AB377" s="1100"/>
      <c r="AC377" s="1079"/>
      <c r="AD377" s="1067"/>
      <c r="AE377" s="1076"/>
      <c r="AF377" s="1076"/>
      <c r="AG377" s="1048"/>
      <c r="AH377" s="1077"/>
      <c r="AI377" s="1076"/>
      <c r="AJ377" s="1078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2"/>
        <v/>
      </c>
      <c r="G378" s="520" t="str">
        <f t="shared" ca="1" si="33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0"/>
        <v/>
      </c>
      <c r="P378" s="742">
        <v>360</v>
      </c>
      <c r="Q378" s="517" t="str">
        <f t="shared" ca="1" si="34"/>
        <v/>
      </c>
      <c r="R378" s="520" t="str">
        <f t="shared" ca="1" si="35"/>
        <v/>
      </c>
      <c r="S378" s="430" t="str">
        <f ca="1"/>
        <v/>
      </c>
      <c r="T378" s="430" t="str">
        <f ca="1"/>
        <v/>
      </c>
      <c r="U378" s="430" t="str">
        <f ca="1"/>
        <v/>
      </c>
      <c r="V378" s="517" t="str">
        <f ca="1"/>
        <v/>
      </c>
      <c r="W378" s="518" t="str">
        <f ca="1"/>
        <v/>
      </c>
      <c r="X378" s="430" t="str">
        <f ca="1"/>
        <v/>
      </c>
      <c r="Y378" s="864" t="str">
        <f t="shared" ca="1" si="31"/>
        <v/>
      </c>
      <c r="AA378" s="828">
        <v>360</v>
      </c>
      <c r="AB378" s="1100"/>
      <c r="AC378" s="1079"/>
      <c r="AD378" s="1067"/>
      <c r="AE378" s="1076"/>
      <c r="AF378" s="1076"/>
      <c r="AG378" s="1048"/>
      <c r="AH378" s="1077"/>
      <c r="AI378" s="1076"/>
      <c r="AJ378" s="1078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2"/>
        <v/>
      </c>
      <c r="G379" s="520" t="str">
        <f t="shared" ca="1" si="33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0"/>
        <v/>
      </c>
      <c r="P379" s="742">
        <v>361</v>
      </c>
      <c r="Q379" s="517" t="str">
        <f t="shared" ca="1" si="34"/>
        <v/>
      </c>
      <c r="R379" s="520" t="str">
        <f t="shared" ca="1" si="35"/>
        <v/>
      </c>
      <c r="S379" s="430" t="str">
        <f ca="1"/>
        <v/>
      </c>
      <c r="T379" s="430" t="str">
        <f ca="1"/>
        <v/>
      </c>
      <c r="U379" s="430" t="str">
        <f ca="1"/>
        <v/>
      </c>
      <c r="V379" s="517" t="str">
        <f ca="1"/>
        <v/>
      </c>
      <c r="W379" s="518" t="str">
        <f ca="1"/>
        <v/>
      </c>
      <c r="X379" s="430" t="str">
        <f ca="1"/>
        <v/>
      </c>
      <c r="Y379" s="864" t="str">
        <f t="shared" ca="1" si="31"/>
        <v/>
      </c>
      <c r="AA379" s="828">
        <v>361</v>
      </c>
      <c r="AB379" s="1100"/>
      <c r="AC379" s="1079"/>
      <c r="AD379" s="1067"/>
      <c r="AE379" s="1076"/>
      <c r="AF379" s="1076"/>
      <c r="AG379" s="1048"/>
      <c r="AH379" s="1077"/>
      <c r="AI379" s="1076"/>
      <c r="AJ379" s="1078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2"/>
        <v/>
      </c>
      <c r="G380" s="520" t="str">
        <f t="shared" ca="1" si="33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0"/>
        <v/>
      </c>
      <c r="P380" s="742">
        <v>362</v>
      </c>
      <c r="Q380" s="517" t="str">
        <f t="shared" ca="1" si="34"/>
        <v/>
      </c>
      <c r="R380" s="520" t="str">
        <f t="shared" ca="1" si="35"/>
        <v/>
      </c>
      <c r="S380" s="430" t="str">
        <f ca="1"/>
        <v/>
      </c>
      <c r="T380" s="430" t="str">
        <f ca="1"/>
        <v/>
      </c>
      <c r="U380" s="430" t="str">
        <f ca="1"/>
        <v/>
      </c>
      <c r="V380" s="517" t="str">
        <f ca="1"/>
        <v/>
      </c>
      <c r="W380" s="518" t="str">
        <f ca="1"/>
        <v/>
      </c>
      <c r="X380" s="430" t="str">
        <f ca="1"/>
        <v/>
      </c>
      <c r="Y380" s="864" t="str">
        <f t="shared" ca="1" si="31"/>
        <v/>
      </c>
      <c r="AA380" s="828">
        <v>362</v>
      </c>
      <c r="AB380" s="1100"/>
      <c r="AC380" s="1079"/>
      <c r="AD380" s="1067"/>
      <c r="AE380" s="1076"/>
      <c r="AF380" s="1076"/>
      <c r="AG380" s="1048"/>
      <c r="AH380" s="1077"/>
      <c r="AI380" s="1076"/>
      <c r="AJ380" s="1078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2"/>
        <v/>
      </c>
      <c r="G381" s="520" t="str">
        <f t="shared" ca="1" si="33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0"/>
        <v/>
      </c>
      <c r="P381" s="742">
        <v>363</v>
      </c>
      <c r="Q381" s="517" t="str">
        <f t="shared" ca="1" si="34"/>
        <v/>
      </c>
      <c r="R381" s="520" t="str">
        <f t="shared" ca="1" si="35"/>
        <v/>
      </c>
      <c r="S381" s="430" t="str">
        <f ca="1"/>
        <v/>
      </c>
      <c r="T381" s="430" t="str">
        <f ca="1"/>
        <v/>
      </c>
      <c r="U381" s="430" t="str">
        <f ca="1"/>
        <v/>
      </c>
      <c r="V381" s="517" t="str">
        <f ca="1"/>
        <v/>
      </c>
      <c r="W381" s="518" t="str">
        <f ca="1"/>
        <v/>
      </c>
      <c r="X381" s="430" t="str">
        <f ca="1"/>
        <v/>
      </c>
      <c r="Y381" s="864" t="str">
        <f t="shared" ca="1" si="31"/>
        <v/>
      </c>
      <c r="AA381" s="828">
        <v>363</v>
      </c>
      <c r="AB381" s="1100"/>
      <c r="AC381" s="1079"/>
      <c r="AD381" s="1067"/>
      <c r="AE381" s="1076"/>
      <c r="AF381" s="1076"/>
      <c r="AG381" s="1048"/>
      <c r="AH381" s="1077"/>
      <c r="AI381" s="1076"/>
      <c r="AJ381" s="1078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2"/>
        <v/>
      </c>
      <c r="G382" s="520" t="str">
        <f t="shared" ca="1" si="33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0"/>
        <v/>
      </c>
      <c r="P382" s="742">
        <v>364</v>
      </c>
      <c r="Q382" s="517" t="str">
        <f t="shared" ca="1" si="34"/>
        <v/>
      </c>
      <c r="R382" s="520" t="str">
        <f t="shared" ca="1" si="35"/>
        <v/>
      </c>
      <c r="S382" s="430" t="str">
        <f ca="1"/>
        <v/>
      </c>
      <c r="T382" s="430" t="str">
        <f ca="1"/>
        <v/>
      </c>
      <c r="U382" s="430" t="str">
        <f ca="1"/>
        <v/>
      </c>
      <c r="V382" s="517" t="str">
        <f ca="1"/>
        <v/>
      </c>
      <c r="W382" s="518" t="str">
        <f ca="1"/>
        <v/>
      </c>
      <c r="X382" s="430" t="str">
        <f ca="1"/>
        <v/>
      </c>
      <c r="Y382" s="864" t="str">
        <f t="shared" ca="1" si="31"/>
        <v/>
      </c>
      <c r="AA382" s="828">
        <v>364</v>
      </c>
      <c r="AB382" s="1100"/>
      <c r="AC382" s="1079"/>
      <c r="AD382" s="1067"/>
      <c r="AE382" s="1076"/>
      <c r="AF382" s="1076"/>
      <c r="AG382" s="1048"/>
      <c r="AH382" s="1077"/>
      <c r="AI382" s="1076"/>
      <c r="AJ382" s="1078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2"/>
        <v/>
      </c>
      <c r="G383" s="520" t="str">
        <f t="shared" ca="1" si="33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0"/>
        <v/>
      </c>
      <c r="P383" s="742">
        <v>365</v>
      </c>
      <c r="Q383" s="517" t="str">
        <f t="shared" ca="1" si="34"/>
        <v/>
      </c>
      <c r="R383" s="520" t="str">
        <f t="shared" ca="1" si="35"/>
        <v/>
      </c>
      <c r="S383" s="430" t="str">
        <f ca="1"/>
        <v/>
      </c>
      <c r="T383" s="430" t="str">
        <f ca="1"/>
        <v/>
      </c>
      <c r="U383" s="430" t="str">
        <f ca="1"/>
        <v/>
      </c>
      <c r="V383" s="517" t="str">
        <f ca="1"/>
        <v/>
      </c>
      <c r="W383" s="518" t="str">
        <f ca="1"/>
        <v/>
      </c>
      <c r="X383" s="430" t="str">
        <f ca="1"/>
        <v/>
      </c>
      <c r="Y383" s="864" t="str">
        <f t="shared" ca="1" si="31"/>
        <v/>
      </c>
      <c r="AA383" s="828">
        <v>365</v>
      </c>
      <c r="AB383" s="1100"/>
      <c r="AC383" s="1079"/>
      <c r="AD383" s="1067"/>
      <c r="AE383" s="1076"/>
      <c r="AF383" s="1076"/>
      <c r="AG383" s="1048"/>
      <c r="AH383" s="1077"/>
      <c r="AI383" s="1076"/>
      <c r="AJ383" s="1078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2"/>
        <v/>
      </c>
      <c r="G384" s="520" t="str">
        <f t="shared" ca="1" si="33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0"/>
        <v/>
      </c>
      <c r="P384" s="742">
        <v>366</v>
      </c>
      <c r="Q384" s="517" t="str">
        <f t="shared" ca="1" si="34"/>
        <v/>
      </c>
      <c r="R384" s="520" t="str">
        <f t="shared" ca="1" si="35"/>
        <v/>
      </c>
      <c r="S384" s="430" t="str">
        <f ca="1"/>
        <v/>
      </c>
      <c r="T384" s="430" t="str">
        <f ca="1"/>
        <v/>
      </c>
      <c r="U384" s="430" t="str">
        <f ca="1"/>
        <v/>
      </c>
      <c r="V384" s="517" t="str">
        <f ca="1"/>
        <v/>
      </c>
      <c r="W384" s="518" t="str">
        <f ca="1"/>
        <v/>
      </c>
      <c r="X384" s="430" t="str">
        <f ca="1"/>
        <v/>
      </c>
      <c r="Y384" s="864" t="str">
        <f t="shared" ca="1" si="31"/>
        <v/>
      </c>
      <c r="AA384" s="828">
        <v>366</v>
      </c>
      <c r="AB384" s="1100"/>
      <c r="AC384" s="1079"/>
      <c r="AD384" s="1067"/>
      <c r="AE384" s="1076"/>
      <c r="AF384" s="1076"/>
      <c r="AG384" s="1048"/>
      <c r="AH384" s="1077"/>
      <c r="AI384" s="1076"/>
      <c r="AJ384" s="1078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2"/>
        <v/>
      </c>
      <c r="G385" s="520" t="str">
        <f t="shared" ca="1" si="33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0"/>
        <v/>
      </c>
      <c r="P385" s="742">
        <v>367</v>
      </c>
      <c r="Q385" s="517" t="str">
        <f t="shared" ca="1" si="34"/>
        <v/>
      </c>
      <c r="R385" s="520" t="str">
        <f t="shared" ca="1" si="35"/>
        <v/>
      </c>
      <c r="S385" s="430" t="str">
        <f ca="1"/>
        <v/>
      </c>
      <c r="T385" s="430" t="str">
        <f ca="1"/>
        <v/>
      </c>
      <c r="U385" s="430" t="str">
        <f ca="1"/>
        <v/>
      </c>
      <c r="V385" s="517" t="str">
        <f ca="1"/>
        <v/>
      </c>
      <c r="W385" s="518" t="str">
        <f ca="1"/>
        <v/>
      </c>
      <c r="X385" s="430" t="str">
        <f ca="1"/>
        <v/>
      </c>
      <c r="Y385" s="864" t="str">
        <f t="shared" ca="1" si="31"/>
        <v/>
      </c>
      <c r="AA385" s="828">
        <v>367</v>
      </c>
      <c r="AB385" s="1100"/>
      <c r="AC385" s="1079"/>
      <c r="AD385" s="1067"/>
      <c r="AE385" s="1076"/>
      <c r="AF385" s="1076"/>
      <c r="AG385" s="1048"/>
      <c r="AH385" s="1077"/>
      <c r="AI385" s="1076"/>
      <c r="AJ385" s="1078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2"/>
        <v/>
      </c>
      <c r="G386" s="520" t="str">
        <f t="shared" ca="1" si="33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0"/>
        <v/>
      </c>
      <c r="P386" s="742">
        <v>368</v>
      </c>
      <c r="Q386" s="517" t="str">
        <f t="shared" ca="1" si="34"/>
        <v/>
      </c>
      <c r="R386" s="520" t="str">
        <f t="shared" ca="1" si="35"/>
        <v/>
      </c>
      <c r="S386" s="430" t="str">
        <f ca="1"/>
        <v/>
      </c>
      <c r="T386" s="430" t="str">
        <f ca="1"/>
        <v/>
      </c>
      <c r="U386" s="430" t="str">
        <f ca="1"/>
        <v/>
      </c>
      <c r="V386" s="517" t="str">
        <f ca="1"/>
        <v/>
      </c>
      <c r="W386" s="518" t="str">
        <f ca="1"/>
        <v/>
      </c>
      <c r="X386" s="430" t="str">
        <f ca="1"/>
        <v/>
      </c>
      <c r="Y386" s="864" t="str">
        <f t="shared" ca="1" si="31"/>
        <v/>
      </c>
      <c r="AA386" s="828">
        <v>368</v>
      </c>
      <c r="AB386" s="1100"/>
      <c r="AC386" s="1079"/>
      <c r="AD386" s="1067"/>
      <c r="AE386" s="1076"/>
      <c r="AF386" s="1076"/>
      <c r="AG386" s="1048"/>
      <c r="AH386" s="1077"/>
      <c r="AI386" s="1076"/>
      <c r="AJ386" s="1078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2"/>
        <v/>
      </c>
      <c r="G387" s="520" t="str">
        <f t="shared" ca="1" si="33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0"/>
        <v/>
      </c>
      <c r="P387" s="742">
        <v>369</v>
      </c>
      <c r="Q387" s="517" t="str">
        <f t="shared" ca="1" si="34"/>
        <v/>
      </c>
      <c r="R387" s="520" t="str">
        <f t="shared" ca="1" si="35"/>
        <v/>
      </c>
      <c r="S387" s="430" t="str">
        <f ca="1"/>
        <v/>
      </c>
      <c r="T387" s="430" t="str">
        <f ca="1"/>
        <v/>
      </c>
      <c r="U387" s="430" t="str">
        <f ca="1"/>
        <v/>
      </c>
      <c r="V387" s="517" t="str">
        <f ca="1"/>
        <v/>
      </c>
      <c r="W387" s="518" t="str">
        <f ca="1"/>
        <v/>
      </c>
      <c r="X387" s="430" t="str">
        <f ca="1"/>
        <v/>
      </c>
      <c r="Y387" s="864" t="str">
        <f t="shared" ca="1" si="31"/>
        <v/>
      </c>
      <c r="AA387" s="828">
        <v>369</v>
      </c>
      <c r="AB387" s="1100"/>
      <c r="AC387" s="1079"/>
      <c r="AD387" s="1067"/>
      <c r="AE387" s="1076"/>
      <c r="AF387" s="1076"/>
      <c r="AG387" s="1048"/>
      <c r="AH387" s="1077"/>
      <c r="AI387" s="1076"/>
      <c r="AJ387" s="1078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2"/>
        <v/>
      </c>
      <c r="G388" s="520" t="str">
        <f t="shared" ca="1" si="33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0"/>
        <v/>
      </c>
      <c r="P388" s="742">
        <v>370</v>
      </c>
      <c r="Q388" s="517" t="str">
        <f t="shared" ca="1" si="34"/>
        <v/>
      </c>
      <c r="R388" s="520" t="str">
        <f t="shared" ca="1" si="35"/>
        <v/>
      </c>
      <c r="S388" s="430" t="str">
        <f ca="1"/>
        <v/>
      </c>
      <c r="T388" s="430" t="str">
        <f ca="1"/>
        <v/>
      </c>
      <c r="U388" s="430" t="str">
        <f ca="1"/>
        <v/>
      </c>
      <c r="V388" s="517" t="str">
        <f ca="1"/>
        <v/>
      </c>
      <c r="W388" s="518" t="str">
        <f ca="1"/>
        <v/>
      </c>
      <c r="X388" s="430" t="str">
        <f ca="1"/>
        <v/>
      </c>
      <c r="Y388" s="864" t="str">
        <f t="shared" ca="1" si="31"/>
        <v/>
      </c>
      <c r="AA388" s="828">
        <v>370</v>
      </c>
      <c r="AB388" s="1100"/>
      <c r="AC388" s="1079"/>
      <c r="AD388" s="1067"/>
      <c r="AE388" s="1076"/>
      <c r="AF388" s="1076"/>
      <c r="AG388" s="1048"/>
      <c r="AH388" s="1077"/>
      <c r="AI388" s="1076"/>
      <c r="AJ388" s="1078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2"/>
        <v/>
      </c>
      <c r="G389" s="520" t="str">
        <f t="shared" ca="1" si="33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0"/>
        <v/>
      </c>
      <c r="P389" s="742">
        <v>371</v>
      </c>
      <c r="Q389" s="517" t="str">
        <f t="shared" ca="1" si="34"/>
        <v/>
      </c>
      <c r="R389" s="520" t="str">
        <f t="shared" ca="1" si="35"/>
        <v/>
      </c>
      <c r="S389" s="430" t="str">
        <f ca="1"/>
        <v/>
      </c>
      <c r="T389" s="430" t="str">
        <f ca="1"/>
        <v/>
      </c>
      <c r="U389" s="430" t="str">
        <f ca="1"/>
        <v/>
      </c>
      <c r="V389" s="517" t="str">
        <f ca="1"/>
        <v/>
      </c>
      <c r="W389" s="518" t="str">
        <f ca="1"/>
        <v/>
      </c>
      <c r="X389" s="430" t="str">
        <f ca="1"/>
        <v/>
      </c>
      <c r="Y389" s="864" t="str">
        <f t="shared" ca="1" si="31"/>
        <v/>
      </c>
      <c r="AA389" s="828">
        <v>371</v>
      </c>
      <c r="AB389" s="1100"/>
      <c r="AC389" s="1079"/>
      <c r="AD389" s="1067"/>
      <c r="AE389" s="1076"/>
      <c r="AF389" s="1076"/>
      <c r="AG389" s="1048"/>
      <c r="AH389" s="1077"/>
      <c r="AI389" s="1076"/>
      <c r="AJ389" s="1078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2"/>
        <v/>
      </c>
      <c r="G390" s="520" t="str">
        <f t="shared" ca="1" si="33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0"/>
        <v/>
      </c>
      <c r="P390" s="742">
        <v>372</v>
      </c>
      <c r="Q390" s="517" t="str">
        <f t="shared" ca="1" si="34"/>
        <v/>
      </c>
      <c r="R390" s="520" t="str">
        <f t="shared" ca="1" si="35"/>
        <v/>
      </c>
      <c r="S390" s="430" t="str">
        <f ca="1"/>
        <v/>
      </c>
      <c r="T390" s="430" t="str">
        <f ca="1"/>
        <v/>
      </c>
      <c r="U390" s="430" t="str">
        <f ca="1"/>
        <v/>
      </c>
      <c r="V390" s="517" t="str">
        <f ca="1"/>
        <v/>
      </c>
      <c r="W390" s="518" t="str">
        <f ca="1"/>
        <v/>
      </c>
      <c r="X390" s="430" t="str">
        <f ca="1"/>
        <v/>
      </c>
      <c r="Y390" s="864" t="str">
        <f t="shared" ca="1" si="31"/>
        <v/>
      </c>
      <c r="AA390" s="828">
        <v>372</v>
      </c>
      <c r="AB390" s="1100"/>
      <c r="AC390" s="1079"/>
      <c r="AD390" s="1067"/>
      <c r="AE390" s="1076"/>
      <c r="AF390" s="1076"/>
      <c r="AG390" s="1048"/>
      <c r="AH390" s="1077"/>
      <c r="AI390" s="1076"/>
      <c r="AJ390" s="1078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2"/>
        <v/>
      </c>
      <c r="G391" s="520" t="str">
        <f t="shared" ca="1" si="33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0"/>
        <v/>
      </c>
      <c r="P391" s="742">
        <v>373</v>
      </c>
      <c r="Q391" s="517" t="str">
        <f t="shared" ca="1" si="34"/>
        <v/>
      </c>
      <c r="R391" s="520" t="str">
        <f t="shared" ca="1" si="35"/>
        <v/>
      </c>
      <c r="S391" s="430" t="str">
        <f ca="1"/>
        <v/>
      </c>
      <c r="T391" s="430" t="str">
        <f ca="1"/>
        <v/>
      </c>
      <c r="U391" s="430" t="str">
        <f ca="1"/>
        <v/>
      </c>
      <c r="V391" s="517" t="str">
        <f ca="1"/>
        <v/>
      </c>
      <c r="W391" s="518" t="str">
        <f ca="1"/>
        <v/>
      </c>
      <c r="X391" s="430" t="str">
        <f ca="1"/>
        <v/>
      </c>
      <c r="Y391" s="864" t="str">
        <f t="shared" ca="1" si="31"/>
        <v/>
      </c>
      <c r="AA391" s="828">
        <v>373</v>
      </c>
      <c r="AB391" s="1100"/>
      <c r="AC391" s="1079"/>
      <c r="AD391" s="1067"/>
      <c r="AE391" s="1076"/>
      <c r="AF391" s="1076"/>
      <c r="AG391" s="1048"/>
      <c r="AH391" s="1077"/>
      <c r="AI391" s="1076"/>
      <c r="AJ391" s="1078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2"/>
        <v/>
      </c>
      <c r="G392" s="520" t="str">
        <f t="shared" ca="1" si="33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0"/>
        <v/>
      </c>
      <c r="P392" s="742">
        <v>374</v>
      </c>
      <c r="Q392" s="517" t="str">
        <f t="shared" ca="1" si="34"/>
        <v/>
      </c>
      <c r="R392" s="520" t="str">
        <f t="shared" ca="1" si="35"/>
        <v/>
      </c>
      <c r="S392" s="430" t="str">
        <f ca="1"/>
        <v/>
      </c>
      <c r="T392" s="430" t="str">
        <f ca="1"/>
        <v/>
      </c>
      <c r="U392" s="430" t="str">
        <f ca="1"/>
        <v/>
      </c>
      <c r="V392" s="517" t="str">
        <f ca="1"/>
        <v/>
      </c>
      <c r="W392" s="518" t="str">
        <f ca="1"/>
        <v/>
      </c>
      <c r="X392" s="430" t="str">
        <f ca="1"/>
        <v/>
      </c>
      <c r="Y392" s="864" t="str">
        <f t="shared" ca="1" si="31"/>
        <v/>
      </c>
      <c r="AA392" s="828">
        <v>374</v>
      </c>
      <c r="AB392" s="1100"/>
      <c r="AC392" s="1079"/>
      <c r="AD392" s="1067"/>
      <c r="AE392" s="1076"/>
      <c r="AF392" s="1076"/>
      <c r="AG392" s="1048"/>
      <c r="AH392" s="1077"/>
      <c r="AI392" s="1076"/>
      <c r="AJ392" s="1078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2"/>
        <v/>
      </c>
      <c r="G393" s="520" t="str">
        <f t="shared" ca="1" si="33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0"/>
        <v/>
      </c>
      <c r="P393" s="742">
        <v>375</v>
      </c>
      <c r="Q393" s="517" t="str">
        <f t="shared" ca="1" si="34"/>
        <v/>
      </c>
      <c r="R393" s="520" t="str">
        <f t="shared" ca="1" si="35"/>
        <v/>
      </c>
      <c r="S393" s="430" t="str">
        <f ca="1"/>
        <v/>
      </c>
      <c r="T393" s="430" t="str">
        <f ca="1"/>
        <v/>
      </c>
      <c r="U393" s="430" t="str">
        <f ca="1"/>
        <v/>
      </c>
      <c r="V393" s="517" t="str">
        <f ca="1"/>
        <v/>
      </c>
      <c r="W393" s="518" t="str">
        <f ca="1"/>
        <v/>
      </c>
      <c r="X393" s="430" t="str">
        <f ca="1"/>
        <v/>
      </c>
      <c r="Y393" s="864" t="str">
        <f t="shared" ca="1" si="31"/>
        <v/>
      </c>
      <c r="AA393" s="828">
        <v>375</v>
      </c>
      <c r="AB393" s="1100"/>
      <c r="AC393" s="1079"/>
      <c r="AD393" s="1067"/>
      <c r="AE393" s="1076"/>
      <c r="AF393" s="1076"/>
      <c r="AG393" s="1048"/>
      <c r="AH393" s="1077"/>
      <c r="AI393" s="1076"/>
      <c r="AJ393" s="1078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2"/>
        <v/>
      </c>
      <c r="G394" s="520" t="str">
        <f t="shared" ca="1" si="33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0"/>
        <v/>
      </c>
      <c r="P394" s="742">
        <v>376</v>
      </c>
      <c r="Q394" s="517" t="str">
        <f t="shared" ca="1" si="34"/>
        <v/>
      </c>
      <c r="R394" s="520" t="str">
        <f t="shared" ca="1" si="35"/>
        <v/>
      </c>
      <c r="S394" s="430" t="str">
        <f ca="1"/>
        <v/>
      </c>
      <c r="T394" s="430" t="str">
        <f ca="1"/>
        <v/>
      </c>
      <c r="U394" s="430" t="str">
        <f ca="1"/>
        <v/>
      </c>
      <c r="V394" s="517" t="str">
        <f ca="1"/>
        <v/>
      </c>
      <c r="W394" s="518" t="str">
        <f ca="1"/>
        <v/>
      </c>
      <c r="X394" s="430" t="str">
        <f ca="1"/>
        <v/>
      </c>
      <c r="Y394" s="864" t="str">
        <f t="shared" ca="1" si="31"/>
        <v/>
      </c>
      <c r="AA394" s="828">
        <v>376</v>
      </c>
      <c r="AB394" s="1100"/>
      <c r="AC394" s="1079"/>
      <c r="AD394" s="1067"/>
      <c r="AE394" s="1076"/>
      <c r="AF394" s="1076"/>
      <c r="AG394" s="1048"/>
      <c r="AH394" s="1077"/>
      <c r="AI394" s="1076"/>
      <c r="AJ394" s="1078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2"/>
        <v/>
      </c>
      <c r="G395" s="520" t="str">
        <f t="shared" ca="1" si="33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0"/>
        <v/>
      </c>
      <c r="P395" s="742">
        <v>377</v>
      </c>
      <c r="Q395" s="517" t="str">
        <f t="shared" ca="1" si="34"/>
        <v/>
      </c>
      <c r="R395" s="520" t="str">
        <f t="shared" ca="1" si="35"/>
        <v/>
      </c>
      <c r="S395" s="430" t="str">
        <f ca="1"/>
        <v/>
      </c>
      <c r="T395" s="430" t="str">
        <f ca="1"/>
        <v/>
      </c>
      <c r="U395" s="430" t="str">
        <f ca="1"/>
        <v/>
      </c>
      <c r="V395" s="517" t="str">
        <f ca="1"/>
        <v/>
      </c>
      <c r="W395" s="518" t="str">
        <f ca="1"/>
        <v/>
      </c>
      <c r="X395" s="430" t="str">
        <f ca="1"/>
        <v/>
      </c>
      <c r="Y395" s="864" t="str">
        <f t="shared" ca="1" si="31"/>
        <v/>
      </c>
      <c r="AA395" s="828">
        <v>377</v>
      </c>
      <c r="AB395" s="1100"/>
      <c r="AC395" s="1079"/>
      <c r="AD395" s="1067"/>
      <c r="AE395" s="1076"/>
      <c r="AF395" s="1076"/>
      <c r="AG395" s="1048"/>
      <c r="AH395" s="1077"/>
      <c r="AI395" s="1076"/>
      <c r="AJ395" s="1078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2"/>
        <v/>
      </c>
      <c r="G396" s="520" t="str">
        <f t="shared" ca="1" si="33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0"/>
        <v/>
      </c>
      <c r="P396" s="742">
        <v>378</v>
      </c>
      <c r="Q396" s="517" t="str">
        <f t="shared" ca="1" si="34"/>
        <v/>
      </c>
      <c r="R396" s="520" t="str">
        <f t="shared" ca="1" si="35"/>
        <v/>
      </c>
      <c r="S396" s="430" t="str">
        <f ca="1"/>
        <v/>
      </c>
      <c r="T396" s="430" t="str">
        <f ca="1"/>
        <v/>
      </c>
      <c r="U396" s="430" t="str">
        <f ca="1"/>
        <v/>
      </c>
      <c r="V396" s="517" t="str">
        <f ca="1"/>
        <v/>
      </c>
      <c r="W396" s="518" t="str">
        <f ca="1"/>
        <v/>
      </c>
      <c r="X396" s="430" t="str">
        <f ca="1"/>
        <v/>
      </c>
      <c r="Y396" s="864" t="str">
        <f t="shared" ca="1" si="31"/>
        <v/>
      </c>
      <c r="AA396" s="828">
        <v>378</v>
      </c>
      <c r="AB396" s="1100"/>
      <c r="AC396" s="1079"/>
      <c r="AD396" s="1067"/>
      <c r="AE396" s="1076"/>
      <c r="AF396" s="1076"/>
      <c r="AG396" s="1048"/>
      <c r="AH396" s="1077"/>
      <c r="AI396" s="1076"/>
      <c r="AJ396" s="1078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2"/>
        <v/>
      </c>
      <c r="G397" s="520" t="str">
        <f t="shared" ca="1" si="33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0"/>
        <v/>
      </c>
      <c r="P397" s="742">
        <v>379</v>
      </c>
      <c r="Q397" s="517" t="str">
        <f t="shared" ca="1" si="34"/>
        <v/>
      </c>
      <c r="R397" s="520" t="str">
        <f t="shared" ca="1" si="35"/>
        <v/>
      </c>
      <c r="S397" s="430" t="str">
        <f ca="1"/>
        <v/>
      </c>
      <c r="T397" s="430" t="str">
        <f ca="1"/>
        <v/>
      </c>
      <c r="U397" s="430" t="str">
        <f ca="1"/>
        <v/>
      </c>
      <c r="V397" s="517" t="str">
        <f ca="1"/>
        <v/>
      </c>
      <c r="W397" s="518" t="str">
        <f ca="1"/>
        <v/>
      </c>
      <c r="X397" s="430" t="str">
        <f ca="1"/>
        <v/>
      </c>
      <c r="Y397" s="864" t="str">
        <f t="shared" ca="1" si="31"/>
        <v/>
      </c>
      <c r="AA397" s="828">
        <v>379</v>
      </c>
      <c r="AB397" s="1100"/>
      <c r="AC397" s="1079"/>
      <c r="AD397" s="1067"/>
      <c r="AE397" s="1076"/>
      <c r="AF397" s="1076"/>
      <c r="AG397" s="1048"/>
      <c r="AH397" s="1077"/>
      <c r="AI397" s="1076"/>
      <c r="AJ397" s="1078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2"/>
        <v/>
      </c>
      <c r="G398" s="520" t="str">
        <f t="shared" ca="1" si="33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0"/>
        <v/>
      </c>
      <c r="P398" s="742">
        <v>380</v>
      </c>
      <c r="Q398" s="517" t="str">
        <f t="shared" ca="1" si="34"/>
        <v/>
      </c>
      <c r="R398" s="520" t="str">
        <f t="shared" ca="1" si="35"/>
        <v/>
      </c>
      <c r="S398" s="430" t="str">
        <f ca="1"/>
        <v/>
      </c>
      <c r="T398" s="430" t="str">
        <f ca="1"/>
        <v/>
      </c>
      <c r="U398" s="430" t="str">
        <f ca="1"/>
        <v/>
      </c>
      <c r="V398" s="517" t="str">
        <f ca="1"/>
        <v/>
      </c>
      <c r="W398" s="518" t="str">
        <f ca="1"/>
        <v/>
      </c>
      <c r="X398" s="430" t="str">
        <f ca="1"/>
        <v/>
      </c>
      <c r="Y398" s="864" t="str">
        <f t="shared" ca="1" si="31"/>
        <v/>
      </c>
      <c r="AA398" s="828">
        <v>380</v>
      </c>
      <c r="AB398" s="1100"/>
      <c r="AC398" s="1079"/>
      <c r="AD398" s="1067"/>
      <c r="AE398" s="1076"/>
      <c r="AF398" s="1076"/>
      <c r="AG398" s="1048"/>
      <c r="AH398" s="1077"/>
      <c r="AI398" s="1076"/>
      <c r="AJ398" s="1078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2"/>
        <v/>
      </c>
      <c r="G399" s="520" t="str">
        <f t="shared" ca="1" si="33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0"/>
        <v/>
      </c>
      <c r="P399" s="742">
        <v>381</v>
      </c>
      <c r="Q399" s="517" t="str">
        <f t="shared" ca="1" si="34"/>
        <v/>
      </c>
      <c r="R399" s="520" t="str">
        <f t="shared" ca="1" si="35"/>
        <v/>
      </c>
      <c r="S399" s="430" t="str">
        <f ca="1"/>
        <v/>
      </c>
      <c r="T399" s="430" t="str">
        <f ca="1"/>
        <v/>
      </c>
      <c r="U399" s="430" t="str">
        <f ca="1"/>
        <v/>
      </c>
      <c r="V399" s="517" t="str">
        <f ca="1"/>
        <v/>
      </c>
      <c r="W399" s="518" t="str">
        <f ca="1"/>
        <v/>
      </c>
      <c r="X399" s="430" t="str">
        <f ca="1"/>
        <v/>
      </c>
      <c r="Y399" s="864" t="str">
        <f t="shared" ca="1" si="31"/>
        <v/>
      </c>
      <c r="AA399" s="828">
        <v>381</v>
      </c>
      <c r="AB399" s="1100"/>
      <c r="AC399" s="1079"/>
      <c r="AD399" s="1067"/>
      <c r="AE399" s="1076"/>
      <c r="AF399" s="1076"/>
      <c r="AG399" s="1048"/>
      <c r="AH399" s="1077"/>
      <c r="AI399" s="1076"/>
      <c r="AJ399" s="1078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2"/>
        <v/>
      </c>
      <c r="G400" s="520" t="str">
        <f t="shared" ca="1" si="33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0"/>
        <v/>
      </c>
      <c r="P400" s="742">
        <v>382</v>
      </c>
      <c r="Q400" s="517" t="str">
        <f t="shared" ca="1" si="34"/>
        <v/>
      </c>
      <c r="R400" s="520" t="str">
        <f t="shared" ca="1" si="35"/>
        <v/>
      </c>
      <c r="S400" s="430" t="str">
        <f ca="1"/>
        <v/>
      </c>
      <c r="T400" s="430" t="str">
        <f ca="1"/>
        <v/>
      </c>
      <c r="U400" s="430" t="str">
        <f ca="1"/>
        <v/>
      </c>
      <c r="V400" s="517" t="str">
        <f ca="1"/>
        <v/>
      </c>
      <c r="W400" s="518" t="str">
        <f ca="1"/>
        <v/>
      </c>
      <c r="X400" s="430" t="str">
        <f ca="1"/>
        <v/>
      </c>
      <c r="Y400" s="864" t="str">
        <f t="shared" ca="1" si="31"/>
        <v/>
      </c>
      <c r="AA400" s="828">
        <v>382</v>
      </c>
      <c r="AB400" s="1100"/>
      <c r="AC400" s="1079"/>
      <c r="AD400" s="1067"/>
      <c r="AE400" s="1076"/>
      <c r="AF400" s="1076"/>
      <c r="AG400" s="1048"/>
      <c r="AH400" s="1077"/>
      <c r="AI400" s="1076"/>
      <c r="AJ400" s="1078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2"/>
        <v/>
      </c>
      <c r="G401" s="520" t="str">
        <f t="shared" ca="1" si="33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0"/>
        <v/>
      </c>
      <c r="P401" s="742">
        <v>383</v>
      </c>
      <c r="Q401" s="517" t="str">
        <f t="shared" ca="1" si="34"/>
        <v/>
      </c>
      <c r="R401" s="520" t="str">
        <f t="shared" ca="1" si="35"/>
        <v/>
      </c>
      <c r="S401" s="430" t="str">
        <f ca="1"/>
        <v/>
      </c>
      <c r="T401" s="430" t="str">
        <f ca="1"/>
        <v/>
      </c>
      <c r="U401" s="430" t="str">
        <f ca="1"/>
        <v/>
      </c>
      <c r="V401" s="517" t="str">
        <f ca="1"/>
        <v/>
      </c>
      <c r="W401" s="518" t="str">
        <f ca="1"/>
        <v/>
      </c>
      <c r="X401" s="430" t="str">
        <f ca="1"/>
        <v/>
      </c>
      <c r="Y401" s="864" t="str">
        <f t="shared" ca="1" si="31"/>
        <v/>
      </c>
      <c r="AA401" s="828">
        <v>383</v>
      </c>
      <c r="AB401" s="1100"/>
      <c r="AC401" s="1079"/>
      <c r="AD401" s="1067"/>
      <c r="AE401" s="1076"/>
      <c r="AF401" s="1076"/>
      <c r="AG401" s="1048"/>
      <c r="AH401" s="1077"/>
      <c r="AI401" s="1076"/>
      <c r="AJ401" s="1078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2"/>
        <v/>
      </c>
      <c r="G402" s="520" t="str">
        <f t="shared" ca="1" si="33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0"/>
        <v/>
      </c>
      <c r="P402" s="742">
        <v>384</v>
      </c>
      <c r="Q402" s="517" t="str">
        <f t="shared" ca="1" si="34"/>
        <v/>
      </c>
      <c r="R402" s="520" t="str">
        <f t="shared" ca="1" si="35"/>
        <v/>
      </c>
      <c r="S402" s="430" t="str">
        <f ca="1"/>
        <v/>
      </c>
      <c r="T402" s="430" t="str">
        <f ca="1"/>
        <v/>
      </c>
      <c r="U402" s="430" t="str">
        <f ca="1"/>
        <v/>
      </c>
      <c r="V402" s="517" t="str">
        <f ca="1"/>
        <v/>
      </c>
      <c r="W402" s="518" t="str">
        <f ca="1"/>
        <v/>
      </c>
      <c r="X402" s="430" t="str">
        <f ca="1"/>
        <v/>
      </c>
      <c r="Y402" s="864" t="str">
        <f t="shared" ca="1" si="31"/>
        <v/>
      </c>
      <c r="AA402" s="828">
        <v>384</v>
      </c>
      <c r="AB402" s="1100"/>
      <c r="AC402" s="1079"/>
      <c r="AD402" s="1067"/>
      <c r="AE402" s="1076"/>
      <c r="AF402" s="1076"/>
      <c r="AG402" s="1048"/>
      <c r="AH402" s="1077"/>
      <c r="AI402" s="1076"/>
      <c r="AJ402" s="1078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2"/>
        <v/>
      </c>
      <c r="G403" s="520" t="str">
        <f t="shared" ca="1" si="33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36">IF($I403="","",VNS.FixedRate)</f>
        <v/>
      </c>
      <c r="P403" s="742">
        <v>385</v>
      </c>
      <c r="Q403" s="517" t="str">
        <f t="shared" ca="1" si="34"/>
        <v/>
      </c>
      <c r="R403" s="520" t="str">
        <f t="shared" ca="1" si="35"/>
        <v/>
      </c>
      <c r="S403" s="430" t="str">
        <f ca="1"/>
        <v/>
      </c>
      <c r="T403" s="430" t="str">
        <f ca="1"/>
        <v/>
      </c>
      <c r="U403" s="430" t="str">
        <f ca="1"/>
        <v/>
      </c>
      <c r="V403" s="517" t="str">
        <f ca="1"/>
        <v/>
      </c>
      <c r="W403" s="518" t="str">
        <f ca="1"/>
        <v/>
      </c>
      <c r="X403" s="430" t="str">
        <f ca="1"/>
        <v/>
      </c>
      <c r="Y403" s="864" t="str">
        <f t="shared" ref="Y403:Y466" ca="1" si="37">IF($T403="","",VNS.FloatSpread)</f>
        <v/>
      </c>
      <c r="AA403" s="828">
        <v>385</v>
      </c>
      <c r="AB403" s="1100"/>
      <c r="AC403" s="1079"/>
      <c r="AD403" s="1067"/>
      <c r="AE403" s="1076"/>
      <c r="AF403" s="1076"/>
      <c r="AG403" s="1048"/>
      <c r="AH403" s="1077"/>
      <c r="AI403" s="1076"/>
      <c r="AJ403" s="1078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38">IF($I404="","",IF(OR(VNS.FixedAmortization=0,VNS.FixedAmortization.Frequency=0),F403,IF(MOD(E404-1,VNS.FixedAmortization.Frequency)=0,F403-VNS.FixedAmortization,F403)))</f>
        <v/>
      </c>
      <c r="G404" s="520" t="str">
        <f t="shared" ref="G404:G467" ca="1" si="39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36"/>
        <v/>
      </c>
      <c r="P404" s="742">
        <v>386</v>
      </c>
      <c r="Q404" s="517" t="str">
        <f t="shared" ref="Q404:Q467" ca="1" si="40">IF($T404="","",IF(OR(VNS.FloatAmortization=0,VNS.FloatAmortization.Frequency=0),Q403,IF(MOD(P404-1,VNS.FloatAmortization.Frequency)=0,Q403-VNS.FloatAmortization,Q403)))</f>
        <v/>
      </c>
      <c r="R404" s="520" t="str">
        <f t="shared" ref="R404:R467" ca="1" si="41">IF(T404="","",1)</f>
        <v/>
      </c>
      <c r="S404" s="430" t="str">
        <f ca="1"/>
        <v/>
      </c>
      <c r="T404" s="430" t="str">
        <f ca="1"/>
        <v/>
      </c>
      <c r="U404" s="430" t="str">
        <f ca="1"/>
        <v/>
      </c>
      <c r="V404" s="517" t="str">
        <f ca="1"/>
        <v/>
      </c>
      <c r="W404" s="518" t="str">
        <f ca="1"/>
        <v/>
      </c>
      <c r="X404" s="430" t="str">
        <f ca="1"/>
        <v/>
      </c>
      <c r="Y404" s="864" t="str">
        <f t="shared" ca="1" si="37"/>
        <v/>
      </c>
      <c r="AA404" s="828">
        <v>386</v>
      </c>
      <c r="AB404" s="1100"/>
      <c r="AC404" s="1079"/>
      <c r="AD404" s="1067"/>
      <c r="AE404" s="1076"/>
      <c r="AF404" s="1076"/>
      <c r="AG404" s="1048"/>
      <c r="AH404" s="1077"/>
      <c r="AI404" s="1076"/>
      <c r="AJ404" s="1078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38"/>
        <v/>
      </c>
      <c r="G405" s="520" t="str">
        <f t="shared" ca="1" si="39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36"/>
        <v/>
      </c>
      <c r="P405" s="742">
        <v>387</v>
      </c>
      <c r="Q405" s="517" t="str">
        <f t="shared" ca="1" si="40"/>
        <v/>
      </c>
      <c r="R405" s="520" t="str">
        <f t="shared" ca="1" si="41"/>
        <v/>
      </c>
      <c r="S405" s="430" t="str">
        <f ca="1"/>
        <v/>
      </c>
      <c r="T405" s="430" t="str">
        <f ca="1"/>
        <v/>
      </c>
      <c r="U405" s="430" t="str">
        <f ca="1"/>
        <v/>
      </c>
      <c r="V405" s="517" t="str">
        <f ca="1"/>
        <v/>
      </c>
      <c r="W405" s="518" t="str">
        <f ca="1"/>
        <v/>
      </c>
      <c r="X405" s="430" t="str">
        <f ca="1"/>
        <v/>
      </c>
      <c r="Y405" s="864" t="str">
        <f t="shared" ca="1" si="37"/>
        <v/>
      </c>
      <c r="AA405" s="828">
        <v>387</v>
      </c>
      <c r="AB405" s="1100"/>
      <c r="AC405" s="1079"/>
      <c r="AD405" s="1067"/>
      <c r="AE405" s="1076"/>
      <c r="AF405" s="1076"/>
      <c r="AG405" s="1048"/>
      <c r="AH405" s="1077"/>
      <c r="AI405" s="1076"/>
      <c r="AJ405" s="1078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38"/>
        <v/>
      </c>
      <c r="G406" s="520" t="str">
        <f t="shared" ca="1" si="39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36"/>
        <v/>
      </c>
      <c r="P406" s="742">
        <v>388</v>
      </c>
      <c r="Q406" s="517" t="str">
        <f t="shared" ca="1" si="40"/>
        <v/>
      </c>
      <c r="R406" s="520" t="str">
        <f t="shared" ca="1" si="41"/>
        <v/>
      </c>
      <c r="S406" s="430" t="str">
        <f ca="1"/>
        <v/>
      </c>
      <c r="T406" s="430" t="str">
        <f ca="1"/>
        <v/>
      </c>
      <c r="U406" s="430" t="str">
        <f ca="1"/>
        <v/>
      </c>
      <c r="V406" s="517" t="str">
        <f ca="1"/>
        <v/>
      </c>
      <c r="W406" s="518" t="str">
        <f ca="1"/>
        <v/>
      </c>
      <c r="X406" s="430" t="str">
        <f ca="1"/>
        <v/>
      </c>
      <c r="Y406" s="864" t="str">
        <f t="shared" ca="1" si="37"/>
        <v/>
      </c>
      <c r="AA406" s="828">
        <v>388</v>
      </c>
      <c r="AB406" s="1100"/>
      <c r="AC406" s="1079"/>
      <c r="AD406" s="1067"/>
      <c r="AE406" s="1076"/>
      <c r="AF406" s="1076"/>
      <c r="AG406" s="1048"/>
      <c r="AH406" s="1077"/>
      <c r="AI406" s="1076"/>
      <c r="AJ406" s="1078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38"/>
        <v/>
      </c>
      <c r="G407" s="520" t="str">
        <f t="shared" ca="1" si="39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36"/>
        <v/>
      </c>
      <c r="P407" s="742">
        <v>389</v>
      </c>
      <c r="Q407" s="517" t="str">
        <f t="shared" ca="1" si="40"/>
        <v/>
      </c>
      <c r="R407" s="520" t="str">
        <f t="shared" ca="1" si="41"/>
        <v/>
      </c>
      <c r="S407" s="430" t="str">
        <f ca="1"/>
        <v/>
      </c>
      <c r="T407" s="430" t="str">
        <f ca="1"/>
        <v/>
      </c>
      <c r="U407" s="430" t="str">
        <f ca="1"/>
        <v/>
      </c>
      <c r="V407" s="517" t="str">
        <f ca="1"/>
        <v/>
      </c>
      <c r="W407" s="518" t="str">
        <f ca="1"/>
        <v/>
      </c>
      <c r="X407" s="430" t="str">
        <f ca="1"/>
        <v/>
      </c>
      <c r="Y407" s="864" t="str">
        <f t="shared" ca="1" si="37"/>
        <v/>
      </c>
      <c r="AA407" s="828">
        <v>389</v>
      </c>
      <c r="AB407" s="1100"/>
      <c r="AC407" s="1079"/>
      <c r="AD407" s="1067"/>
      <c r="AE407" s="1076"/>
      <c r="AF407" s="1076"/>
      <c r="AG407" s="1048"/>
      <c r="AH407" s="1077"/>
      <c r="AI407" s="1076"/>
      <c r="AJ407" s="1078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38"/>
        <v/>
      </c>
      <c r="G408" s="520" t="str">
        <f t="shared" ca="1" si="39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36"/>
        <v/>
      </c>
      <c r="P408" s="742">
        <v>390</v>
      </c>
      <c r="Q408" s="517" t="str">
        <f t="shared" ca="1" si="40"/>
        <v/>
      </c>
      <c r="R408" s="520" t="str">
        <f t="shared" ca="1" si="41"/>
        <v/>
      </c>
      <c r="S408" s="430" t="str">
        <f ca="1"/>
        <v/>
      </c>
      <c r="T408" s="430" t="str">
        <f ca="1"/>
        <v/>
      </c>
      <c r="U408" s="430" t="str">
        <f ca="1"/>
        <v/>
      </c>
      <c r="V408" s="517" t="str">
        <f ca="1"/>
        <v/>
      </c>
      <c r="W408" s="518" t="str">
        <f ca="1"/>
        <v/>
      </c>
      <c r="X408" s="430" t="str">
        <f ca="1"/>
        <v/>
      </c>
      <c r="Y408" s="864" t="str">
        <f t="shared" ca="1" si="37"/>
        <v/>
      </c>
      <c r="AA408" s="828">
        <v>390</v>
      </c>
      <c r="AB408" s="1100"/>
      <c r="AC408" s="1079"/>
      <c r="AD408" s="1067"/>
      <c r="AE408" s="1076"/>
      <c r="AF408" s="1076"/>
      <c r="AG408" s="1048"/>
      <c r="AH408" s="1077"/>
      <c r="AI408" s="1076"/>
      <c r="AJ408" s="1078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38"/>
        <v/>
      </c>
      <c r="G409" s="520" t="str">
        <f t="shared" ca="1" si="39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36"/>
        <v/>
      </c>
      <c r="P409" s="742">
        <v>391</v>
      </c>
      <c r="Q409" s="517" t="str">
        <f t="shared" ca="1" si="40"/>
        <v/>
      </c>
      <c r="R409" s="520" t="str">
        <f t="shared" ca="1" si="41"/>
        <v/>
      </c>
      <c r="S409" s="430" t="str">
        <f ca="1"/>
        <v/>
      </c>
      <c r="T409" s="430" t="str">
        <f ca="1"/>
        <v/>
      </c>
      <c r="U409" s="430" t="str">
        <f ca="1"/>
        <v/>
      </c>
      <c r="V409" s="517" t="str">
        <f ca="1"/>
        <v/>
      </c>
      <c r="W409" s="518" t="str">
        <f ca="1"/>
        <v/>
      </c>
      <c r="X409" s="430" t="str">
        <f ca="1"/>
        <v/>
      </c>
      <c r="Y409" s="864" t="str">
        <f t="shared" ca="1" si="37"/>
        <v/>
      </c>
      <c r="AA409" s="828">
        <v>391</v>
      </c>
      <c r="AB409" s="1100"/>
      <c r="AC409" s="1079"/>
      <c r="AD409" s="1067"/>
      <c r="AE409" s="1076"/>
      <c r="AF409" s="1076"/>
      <c r="AG409" s="1048"/>
      <c r="AH409" s="1077"/>
      <c r="AI409" s="1076"/>
      <c r="AJ409" s="1078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38"/>
        <v/>
      </c>
      <c r="G410" s="520" t="str">
        <f t="shared" ca="1" si="39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36"/>
        <v/>
      </c>
      <c r="P410" s="742">
        <v>392</v>
      </c>
      <c r="Q410" s="517" t="str">
        <f t="shared" ca="1" si="40"/>
        <v/>
      </c>
      <c r="R410" s="520" t="str">
        <f t="shared" ca="1" si="41"/>
        <v/>
      </c>
      <c r="S410" s="430" t="str">
        <f ca="1"/>
        <v/>
      </c>
      <c r="T410" s="430" t="str">
        <f ca="1"/>
        <v/>
      </c>
      <c r="U410" s="430" t="str">
        <f ca="1"/>
        <v/>
      </c>
      <c r="V410" s="517" t="str">
        <f ca="1"/>
        <v/>
      </c>
      <c r="W410" s="518" t="str">
        <f ca="1"/>
        <v/>
      </c>
      <c r="X410" s="430" t="str">
        <f ca="1"/>
        <v/>
      </c>
      <c r="Y410" s="864" t="str">
        <f t="shared" ca="1" si="37"/>
        <v/>
      </c>
      <c r="AA410" s="828">
        <v>392</v>
      </c>
      <c r="AB410" s="1100"/>
      <c r="AC410" s="1079"/>
      <c r="AD410" s="1067"/>
      <c r="AE410" s="1076"/>
      <c r="AF410" s="1076"/>
      <c r="AG410" s="1048"/>
      <c r="AH410" s="1077"/>
      <c r="AI410" s="1076"/>
      <c r="AJ410" s="1078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38"/>
        <v/>
      </c>
      <c r="G411" s="520" t="str">
        <f t="shared" ca="1" si="39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36"/>
        <v/>
      </c>
      <c r="P411" s="742">
        <v>393</v>
      </c>
      <c r="Q411" s="517" t="str">
        <f t="shared" ca="1" si="40"/>
        <v/>
      </c>
      <c r="R411" s="520" t="str">
        <f t="shared" ca="1" si="41"/>
        <v/>
      </c>
      <c r="S411" s="430" t="str">
        <f ca="1"/>
        <v/>
      </c>
      <c r="T411" s="430" t="str">
        <f ca="1"/>
        <v/>
      </c>
      <c r="U411" s="430" t="str">
        <f ca="1"/>
        <v/>
      </c>
      <c r="V411" s="517" t="str">
        <f ca="1"/>
        <v/>
      </c>
      <c r="W411" s="518" t="str">
        <f ca="1"/>
        <v/>
      </c>
      <c r="X411" s="430" t="str">
        <f ca="1"/>
        <v/>
      </c>
      <c r="Y411" s="864" t="str">
        <f t="shared" ca="1" si="37"/>
        <v/>
      </c>
      <c r="AA411" s="828">
        <v>393</v>
      </c>
      <c r="AB411" s="1100"/>
      <c r="AC411" s="1079"/>
      <c r="AD411" s="1067"/>
      <c r="AE411" s="1076"/>
      <c r="AF411" s="1076"/>
      <c r="AG411" s="1048"/>
      <c r="AH411" s="1077"/>
      <c r="AI411" s="1076"/>
      <c r="AJ411" s="1078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38"/>
        <v/>
      </c>
      <c r="G412" s="520" t="str">
        <f t="shared" ca="1" si="39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36"/>
        <v/>
      </c>
      <c r="P412" s="742">
        <v>394</v>
      </c>
      <c r="Q412" s="517" t="str">
        <f t="shared" ca="1" si="40"/>
        <v/>
      </c>
      <c r="R412" s="520" t="str">
        <f t="shared" ca="1" si="41"/>
        <v/>
      </c>
      <c r="S412" s="430" t="str">
        <f ca="1"/>
        <v/>
      </c>
      <c r="T412" s="430" t="str">
        <f ca="1"/>
        <v/>
      </c>
      <c r="U412" s="430" t="str">
        <f ca="1"/>
        <v/>
      </c>
      <c r="V412" s="517" t="str">
        <f ca="1"/>
        <v/>
      </c>
      <c r="W412" s="518" t="str">
        <f ca="1"/>
        <v/>
      </c>
      <c r="X412" s="430" t="str">
        <f ca="1"/>
        <v/>
      </c>
      <c r="Y412" s="864" t="str">
        <f t="shared" ca="1" si="37"/>
        <v/>
      </c>
      <c r="AA412" s="828">
        <v>394</v>
      </c>
      <c r="AB412" s="1100"/>
      <c r="AC412" s="1079"/>
      <c r="AD412" s="1067"/>
      <c r="AE412" s="1076"/>
      <c r="AF412" s="1076"/>
      <c r="AG412" s="1048"/>
      <c r="AH412" s="1077"/>
      <c r="AI412" s="1076"/>
      <c r="AJ412" s="1078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38"/>
        <v/>
      </c>
      <c r="G413" s="520" t="str">
        <f t="shared" ca="1" si="39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36"/>
        <v/>
      </c>
      <c r="P413" s="742">
        <v>395</v>
      </c>
      <c r="Q413" s="517" t="str">
        <f t="shared" ca="1" si="40"/>
        <v/>
      </c>
      <c r="R413" s="520" t="str">
        <f t="shared" ca="1" si="41"/>
        <v/>
      </c>
      <c r="S413" s="430" t="str">
        <f ca="1"/>
        <v/>
      </c>
      <c r="T413" s="430" t="str">
        <f ca="1"/>
        <v/>
      </c>
      <c r="U413" s="430" t="str">
        <f ca="1"/>
        <v/>
      </c>
      <c r="V413" s="517" t="str">
        <f ca="1"/>
        <v/>
      </c>
      <c r="W413" s="518" t="str">
        <f ca="1"/>
        <v/>
      </c>
      <c r="X413" s="430" t="str">
        <f ca="1"/>
        <v/>
      </c>
      <c r="Y413" s="864" t="str">
        <f t="shared" ca="1" si="37"/>
        <v/>
      </c>
      <c r="AA413" s="828">
        <v>395</v>
      </c>
      <c r="AB413" s="1100"/>
      <c r="AC413" s="1079"/>
      <c r="AD413" s="1067"/>
      <c r="AE413" s="1076"/>
      <c r="AF413" s="1076"/>
      <c r="AG413" s="1048"/>
      <c r="AH413" s="1077"/>
      <c r="AI413" s="1076"/>
      <c r="AJ413" s="1078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38"/>
        <v/>
      </c>
      <c r="G414" s="520" t="str">
        <f t="shared" ca="1" si="39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36"/>
        <v/>
      </c>
      <c r="P414" s="742">
        <v>396</v>
      </c>
      <c r="Q414" s="517" t="str">
        <f t="shared" ca="1" si="40"/>
        <v/>
      </c>
      <c r="R414" s="520" t="str">
        <f t="shared" ca="1" si="41"/>
        <v/>
      </c>
      <c r="S414" s="430" t="str">
        <f ca="1"/>
        <v/>
      </c>
      <c r="T414" s="430" t="str">
        <f ca="1"/>
        <v/>
      </c>
      <c r="U414" s="430" t="str">
        <f ca="1"/>
        <v/>
      </c>
      <c r="V414" s="517" t="str">
        <f ca="1"/>
        <v/>
      </c>
      <c r="W414" s="518" t="str">
        <f ca="1"/>
        <v/>
      </c>
      <c r="X414" s="430" t="str">
        <f ca="1"/>
        <v/>
      </c>
      <c r="Y414" s="864" t="str">
        <f t="shared" ca="1" si="37"/>
        <v/>
      </c>
      <c r="AA414" s="828">
        <v>396</v>
      </c>
      <c r="AB414" s="1100"/>
      <c r="AC414" s="1079"/>
      <c r="AD414" s="1067"/>
      <c r="AE414" s="1076"/>
      <c r="AF414" s="1076"/>
      <c r="AG414" s="1048"/>
      <c r="AH414" s="1077"/>
      <c r="AI414" s="1076"/>
      <c r="AJ414" s="1078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38"/>
        <v/>
      </c>
      <c r="G415" s="520" t="str">
        <f t="shared" ca="1" si="39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36"/>
        <v/>
      </c>
      <c r="P415" s="742">
        <v>397</v>
      </c>
      <c r="Q415" s="517" t="str">
        <f t="shared" ca="1" si="40"/>
        <v/>
      </c>
      <c r="R415" s="520" t="str">
        <f t="shared" ca="1" si="41"/>
        <v/>
      </c>
      <c r="S415" s="430" t="str">
        <f ca="1"/>
        <v/>
      </c>
      <c r="T415" s="430" t="str">
        <f ca="1"/>
        <v/>
      </c>
      <c r="U415" s="430" t="str">
        <f ca="1"/>
        <v/>
      </c>
      <c r="V415" s="517" t="str">
        <f ca="1"/>
        <v/>
      </c>
      <c r="W415" s="518" t="str">
        <f ca="1"/>
        <v/>
      </c>
      <c r="X415" s="430" t="str">
        <f ca="1"/>
        <v/>
      </c>
      <c r="Y415" s="864" t="str">
        <f t="shared" ca="1" si="37"/>
        <v/>
      </c>
      <c r="AA415" s="828">
        <v>397</v>
      </c>
      <c r="AB415" s="1100"/>
      <c r="AC415" s="1079"/>
      <c r="AD415" s="1067"/>
      <c r="AE415" s="1076"/>
      <c r="AF415" s="1076"/>
      <c r="AG415" s="1048"/>
      <c r="AH415" s="1077"/>
      <c r="AI415" s="1076"/>
      <c r="AJ415" s="1078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38"/>
        <v/>
      </c>
      <c r="G416" s="520" t="str">
        <f t="shared" ca="1" si="39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36"/>
        <v/>
      </c>
      <c r="P416" s="742">
        <v>398</v>
      </c>
      <c r="Q416" s="517" t="str">
        <f t="shared" ca="1" si="40"/>
        <v/>
      </c>
      <c r="R416" s="520" t="str">
        <f t="shared" ca="1" si="41"/>
        <v/>
      </c>
      <c r="S416" s="430" t="str">
        <f ca="1"/>
        <v/>
      </c>
      <c r="T416" s="430" t="str">
        <f ca="1"/>
        <v/>
      </c>
      <c r="U416" s="430" t="str">
        <f ca="1"/>
        <v/>
      </c>
      <c r="V416" s="517" t="str">
        <f ca="1"/>
        <v/>
      </c>
      <c r="W416" s="518" t="str">
        <f ca="1"/>
        <v/>
      </c>
      <c r="X416" s="430" t="str">
        <f ca="1"/>
        <v/>
      </c>
      <c r="Y416" s="864" t="str">
        <f t="shared" ca="1" si="37"/>
        <v/>
      </c>
      <c r="AA416" s="828">
        <v>398</v>
      </c>
      <c r="AB416" s="1100"/>
      <c r="AC416" s="1079"/>
      <c r="AD416" s="1067"/>
      <c r="AE416" s="1076"/>
      <c r="AF416" s="1076"/>
      <c r="AG416" s="1048"/>
      <c r="AH416" s="1077"/>
      <c r="AI416" s="1076"/>
      <c r="AJ416" s="1078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38"/>
        <v/>
      </c>
      <c r="G417" s="520" t="str">
        <f t="shared" ca="1" si="39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36"/>
        <v/>
      </c>
      <c r="P417" s="742">
        <v>399</v>
      </c>
      <c r="Q417" s="517" t="str">
        <f t="shared" ca="1" si="40"/>
        <v/>
      </c>
      <c r="R417" s="520" t="str">
        <f t="shared" ca="1" si="41"/>
        <v/>
      </c>
      <c r="S417" s="430" t="str">
        <f ca="1"/>
        <v/>
      </c>
      <c r="T417" s="430" t="str">
        <f ca="1"/>
        <v/>
      </c>
      <c r="U417" s="430" t="str">
        <f ca="1"/>
        <v/>
      </c>
      <c r="V417" s="517" t="str">
        <f ca="1"/>
        <v/>
      </c>
      <c r="W417" s="518" t="str">
        <f ca="1"/>
        <v/>
      </c>
      <c r="X417" s="430" t="str">
        <f ca="1"/>
        <v/>
      </c>
      <c r="Y417" s="864" t="str">
        <f t="shared" ca="1" si="37"/>
        <v/>
      </c>
      <c r="AA417" s="828">
        <v>399</v>
      </c>
      <c r="AB417" s="1100"/>
      <c r="AC417" s="1079"/>
      <c r="AD417" s="1067"/>
      <c r="AE417" s="1076"/>
      <c r="AF417" s="1076"/>
      <c r="AG417" s="1048"/>
      <c r="AH417" s="1077"/>
      <c r="AI417" s="1076"/>
      <c r="AJ417" s="1078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38"/>
        <v/>
      </c>
      <c r="G418" s="520" t="str">
        <f t="shared" ca="1" si="39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36"/>
        <v/>
      </c>
      <c r="P418" s="742">
        <v>400</v>
      </c>
      <c r="Q418" s="517" t="str">
        <f t="shared" ca="1" si="40"/>
        <v/>
      </c>
      <c r="R418" s="520" t="str">
        <f t="shared" ca="1" si="41"/>
        <v/>
      </c>
      <c r="S418" s="430" t="str">
        <f ca="1"/>
        <v/>
      </c>
      <c r="T418" s="430" t="str">
        <f ca="1"/>
        <v/>
      </c>
      <c r="U418" s="430" t="str">
        <f ca="1"/>
        <v/>
      </c>
      <c r="V418" s="517" t="str">
        <f ca="1"/>
        <v/>
      </c>
      <c r="W418" s="518" t="str">
        <f ca="1"/>
        <v/>
      </c>
      <c r="X418" s="430" t="str">
        <f ca="1"/>
        <v/>
      </c>
      <c r="Y418" s="864" t="str">
        <f t="shared" ca="1" si="37"/>
        <v/>
      </c>
      <c r="AA418" s="828">
        <v>400</v>
      </c>
      <c r="AB418" s="1100"/>
      <c r="AC418" s="1079"/>
      <c r="AD418" s="1067"/>
      <c r="AE418" s="1076"/>
      <c r="AF418" s="1076"/>
      <c r="AG418" s="1048"/>
      <c r="AH418" s="1077"/>
      <c r="AI418" s="1076"/>
      <c r="AJ418" s="1078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38"/>
        <v/>
      </c>
      <c r="G419" s="520" t="str">
        <f t="shared" ca="1" si="39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36"/>
        <v/>
      </c>
      <c r="P419" s="742">
        <v>401</v>
      </c>
      <c r="Q419" s="517" t="str">
        <f t="shared" ca="1" si="40"/>
        <v/>
      </c>
      <c r="R419" s="520" t="str">
        <f t="shared" ca="1" si="41"/>
        <v/>
      </c>
      <c r="S419" s="430" t="str">
        <f ca="1"/>
        <v/>
      </c>
      <c r="T419" s="430" t="str">
        <f ca="1"/>
        <v/>
      </c>
      <c r="U419" s="430" t="str">
        <f ca="1"/>
        <v/>
      </c>
      <c r="V419" s="517" t="str">
        <f ca="1"/>
        <v/>
      </c>
      <c r="W419" s="518" t="str">
        <f ca="1"/>
        <v/>
      </c>
      <c r="X419" s="430" t="str">
        <f ca="1"/>
        <v/>
      </c>
      <c r="Y419" s="864" t="str">
        <f t="shared" ca="1" si="37"/>
        <v/>
      </c>
      <c r="AA419" s="828">
        <v>401</v>
      </c>
      <c r="AB419" s="1100"/>
      <c r="AC419" s="1079"/>
      <c r="AD419" s="1067"/>
      <c r="AE419" s="1076"/>
      <c r="AF419" s="1076"/>
      <c r="AG419" s="1048"/>
      <c r="AH419" s="1077"/>
      <c r="AI419" s="1076"/>
      <c r="AJ419" s="1078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38"/>
        <v/>
      </c>
      <c r="G420" s="520" t="str">
        <f t="shared" ca="1" si="39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36"/>
        <v/>
      </c>
      <c r="P420" s="742">
        <v>402</v>
      </c>
      <c r="Q420" s="517" t="str">
        <f t="shared" ca="1" si="40"/>
        <v/>
      </c>
      <c r="R420" s="520" t="str">
        <f t="shared" ca="1" si="41"/>
        <v/>
      </c>
      <c r="S420" s="430" t="str">
        <f ca="1"/>
        <v/>
      </c>
      <c r="T420" s="430" t="str">
        <f ca="1"/>
        <v/>
      </c>
      <c r="U420" s="430" t="str">
        <f ca="1"/>
        <v/>
      </c>
      <c r="V420" s="517" t="str">
        <f ca="1"/>
        <v/>
      </c>
      <c r="W420" s="518" t="str">
        <f ca="1"/>
        <v/>
      </c>
      <c r="X420" s="430" t="str">
        <f ca="1"/>
        <v/>
      </c>
      <c r="Y420" s="864" t="str">
        <f t="shared" ca="1" si="37"/>
        <v/>
      </c>
      <c r="AA420" s="828">
        <v>402</v>
      </c>
      <c r="AB420" s="1100"/>
      <c r="AC420" s="1079"/>
      <c r="AD420" s="1067"/>
      <c r="AE420" s="1076"/>
      <c r="AF420" s="1076"/>
      <c r="AG420" s="1048"/>
      <c r="AH420" s="1077"/>
      <c r="AI420" s="1076"/>
      <c r="AJ420" s="1078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38"/>
        <v/>
      </c>
      <c r="G421" s="520" t="str">
        <f t="shared" ca="1" si="39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36"/>
        <v/>
      </c>
      <c r="P421" s="742">
        <v>403</v>
      </c>
      <c r="Q421" s="517" t="str">
        <f t="shared" ca="1" si="40"/>
        <v/>
      </c>
      <c r="R421" s="520" t="str">
        <f t="shared" ca="1" si="41"/>
        <v/>
      </c>
      <c r="S421" s="430" t="str">
        <f ca="1"/>
        <v/>
      </c>
      <c r="T421" s="430" t="str">
        <f ca="1"/>
        <v/>
      </c>
      <c r="U421" s="430" t="str">
        <f ca="1"/>
        <v/>
      </c>
      <c r="V421" s="517" t="str">
        <f ca="1"/>
        <v/>
      </c>
      <c r="W421" s="518" t="str">
        <f ca="1"/>
        <v/>
      </c>
      <c r="X421" s="430" t="str">
        <f ca="1"/>
        <v/>
      </c>
      <c r="Y421" s="864" t="str">
        <f t="shared" ca="1" si="37"/>
        <v/>
      </c>
      <c r="AA421" s="828">
        <v>403</v>
      </c>
      <c r="AB421" s="1100"/>
      <c r="AC421" s="1079"/>
      <c r="AD421" s="1067"/>
      <c r="AE421" s="1076"/>
      <c r="AF421" s="1076"/>
      <c r="AG421" s="1048"/>
      <c r="AH421" s="1077"/>
      <c r="AI421" s="1076"/>
      <c r="AJ421" s="1078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38"/>
        <v/>
      </c>
      <c r="G422" s="520" t="str">
        <f t="shared" ca="1" si="39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36"/>
        <v/>
      </c>
      <c r="P422" s="742">
        <v>404</v>
      </c>
      <c r="Q422" s="517" t="str">
        <f t="shared" ca="1" si="40"/>
        <v/>
      </c>
      <c r="R422" s="520" t="str">
        <f t="shared" ca="1" si="41"/>
        <v/>
      </c>
      <c r="S422" s="430" t="str">
        <f ca="1"/>
        <v/>
      </c>
      <c r="T422" s="430" t="str">
        <f ca="1"/>
        <v/>
      </c>
      <c r="U422" s="430" t="str">
        <f ca="1"/>
        <v/>
      </c>
      <c r="V422" s="517" t="str">
        <f ca="1"/>
        <v/>
      </c>
      <c r="W422" s="518" t="str">
        <f ca="1"/>
        <v/>
      </c>
      <c r="X422" s="430" t="str">
        <f ca="1"/>
        <v/>
      </c>
      <c r="Y422" s="864" t="str">
        <f t="shared" ca="1" si="37"/>
        <v/>
      </c>
      <c r="AA422" s="828">
        <v>404</v>
      </c>
      <c r="AB422" s="1100"/>
      <c r="AC422" s="1079"/>
      <c r="AD422" s="1067"/>
      <c r="AE422" s="1076"/>
      <c r="AF422" s="1076"/>
      <c r="AG422" s="1048"/>
      <c r="AH422" s="1077"/>
      <c r="AI422" s="1076"/>
      <c r="AJ422" s="1078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38"/>
        <v/>
      </c>
      <c r="G423" s="520" t="str">
        <f t="shared" ca="1" si="39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36"/>
        <v/>
      </c>
      <c r="P423" s="742">
        <v>405</v>
      </c>
      <c r="Q423" s="517" t="str">
        <f t="shared" ca="1" si="40"/>
        <v/>
      </c>
      <c r="R423" s="520" t="str">
        <f t="shared" ca="1" si="41"/>
        <v/>
      </c>
      <c r="S423" s="430" t="str">
        <f ca="1"/>
        <v/>
      </c>
      <c r="T423" s="430" t="str">
        <f ca="1"/>
        <v/>
      </c>
      <c r="U423" s="430" t="str">
        <f ca="1"/>
        <v/>
      </c>
      <c r="V423" s="517" t="str">
        <f ca="1"/>
        <v/>
      </c>
      <c r="W423" s="518" t="str">
        <f ca="1"/>
        <v/>
      </c>
      <c r="X423" s="430" t="str">
        <f ca="1"/>
        <v/>
      </c>
      <c r="Y423" s="864" t="str">
        <f t="shared" ca="1" si="37"/>
        <v/>
      </c>
      <c r="AA423" s="828">
        <v>405</v>
      </c>
      <c r="AB423" s="1100"/>
      <c r="AC423" s="1079"/>
      <c r="AD423" s="1067"/>
      <c r="AE423" s="1076"/>
      <c r="AF423" s="1076"/>
      <c r="AG423" s="1048"/>
      <c r="AH423" s="1077"/>
      <c r="AI423" s="1076"/>
      <c r="AJ423" s="1078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38"/>
        <v/>
      </c>
      <c r="G424" s="520" t="str">
        <f t="shared" ca="1" si="39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36"/>
        <v/>
      </c>
      <c r="P424" s="742">
        <v>406</v>
      </c>
      <c r="Q424" s="517" t="str">
        <f t="shared" ca="1" si="40"/>
        <v/>
      </c>
      <c r="R424" s="520" t="str">
        <f t="shared" ca="1" si="41"/>
        <v/>
      </c>
      <c r="S424" s="430" t="str">
        <f ca="1"/>
        <v/>
      </c>
      <c r="T424" s="430" t="str">
        <f ca="1"/>
        <v/>
      </c>
      <c r="U424" s="430" t="str">
        <f ca="1"/>
        <v/>
      </c>
      <c r="V424" s="517" t="str">
        <f ca="1"/>
        <v/>
      </c>
      <c r="W424" s="518" t="str">
        <f ca="1"/>
        <v/>
      </c>
      <c r="X424" s="430" t="str">
        <f ca="1"/>
        <v/>
      </c>
      <c r="Y424" s="864" t="str">
        <f t="shared" ca="1" si="37"/>
        <v/>
      </c>
      <c r="AA424" s="828">
        <v>406</v>
      </c>
      <c r="AB424" s="1100"/>
      <c r="AC424" s="1079"/>
      <c r="AD424" s="1067"/>
      <c r="AE424" s="1076"/>
      <c r="AF424" s="1076"/>
      <c r="AG424" s="1048"/>
      <c r="AH424" s="1077"/>
      <c r="AI424" s="1076"/>
      <c r="AJ424" s="1078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38"/>
        <v/>
      </c>
      <c r="G425" s="520" t="str">
        <f t="shared" ca="1" si="39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36"/>
        <v/>
      </c>
      <c r="P425" s="742">
        <v>407</v>
      </c>
      <c r="Q425" s="517" t="str">
        <f t="shared" ca="1" si="40"/>
        <v/>
      </c>
      <c r="R425" s="520" t="str">
        <f t="shared" ca="1" si="41"/>
        <v/>
      </c>
      <c r="S425" s="430" t="str">
        <f ca="1"/>
        <v/>
      </c>
      <c r="T425" s="430" t="str">
        <f ca="1"/>
        <v/>
      </c>
      <c r="U425" s="430" t="str">
        <f ca="1"/>
        <v/>
      </c>
      <c r="V425" s="517" t="str">
        <f ca="1"/>
        <v/>
      </c>
      <c r="W425" s="518" t="str">
        <f ca="1"/>
        <v/>
      </c>
      <c r="X425" s="430" t="str">
        <f ca="1"/>
        <v/>
      </c>
      <c r="Y425" s="864" t="str">
        <f t="shared" ca="1" si="37"/>
        <v/>
      </c>
      <c r="AA425" s="828">
        <v>407</v>
      </c>
      <c r="AB425" s="1100"/>
      <c r="AC425" s="1079"/>
      <c r="AD425" s="1067"/>
      <c r="AE425" s="1076"/>
      <c r="AF425" s="1076"/>
      <c r="AG425" s="1048"/>
      <c r="AH425" s="1077"/>
      <c r="AI425" s="1076"/>
      <c r="AJ425" s="1078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38"/>
        <v/>
      </c>
      <c r="G426" s="520" t="str">
        <f t="shared" ca="1" si="39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36"/>
        <v/>
      </c>
      <c r="P426" s="742">
        <v>408</v>
      </c>
      <c r="Q426" s="517" t="str">
        <f t="shared" ca="1" si="40"/>
        <v/>
      </c>
      <c r="R426" s="520" t="str">
        <f t="shared" ca="1" si="41"/>
        <v/>
      </c>
      <c r="S426" s="430" t="str">
        <f ca="1"/>
        <v/>
      </c>
      <c r="T426" s="430" t="str">
        <f ca="1"/>
        <v/>
      </c>
      <c r="U426" s="430" t="str">
        <f ca="1"/>
        <v/>
      </c>
      <c r="V426" s="517" t="str">
        <f ca="1"/>
        <v/>
      </c>
      <c r="W426" s="518" t="str">
        <f ca="1"/>
        <v/>
      </c>
      <c r="X426" s="430" t="str">
        <f ca="1"/>
        <v/>
      </c>
      <c r="Y426" s="864" t="str">
        <f t="shared" ca="1" si="37"/>
        <v/>
      </c>
      <c r="AA426" s="828">
        <v>408</v>
      </c>
      <c r="AB426" s="1100"/>
      <c r="AC426" s="1079"/>
      <c r="AD426" s="1067"/>
      <c r="AE426" s="1076"/>
      <c r="AF426" s="1076"/>
      <c r="AG426" s="1048"/>
      <c r="AH426" s="1077"/>
      <c r="AI426" s="1076"/>
      <c r="AJ426" s="1078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38"/>
        <v/>
      </c>
      <c r="G427" s="520" t="str">
        <f t="shared" ca="1" si="39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36"/>
        <v/>
      </c>
      <c r="P427" s="742">
        <v>409</v>
      </c>
      <c r="Q427" s="517" t="str">
        <f t="shared" ca="1" si="40"/>
        <v/>
      </c>
      <c r="R427" s="520" t="str">
        <f t="shared" ca="1" si="41"/>
        <v/>
      </c>
      <c r="S427" s="430" t="str">
        <f ca="1"/>
        <v/>
      </c>
      <c r="T427" s="430" t="str">
        <f ca="1"/>
        <v/>
      </c>
      <c r="U427" s="430" t="str">
        <f ca="1"/>
        <v/>
      </c>
      <c r="V427" s="517" t="str">
        <f ca="1"/>
        <v/>
      </c>
      <c r="W427" s="518" t="str">
        <f ca="1"/>
        <v/>
      </c>
      <c r="X427" s="430" t="str">
        <f ca="1"/>
        <v/>
      </c>
      <c r="Y427" s="864" t="str">
        <f t="shared" ca="1" si="37"/>
        <v/>
      </c>
      <c r="AA427" s="828">
        <v>409</v>
      </c>
      <c r="AB427" s="1100"/>
      <c r="AC427" s="1079"/>
      <c r="AD427" s="1067"/>
      <c r="AE427" s="1076"/>
      <c r="AF427" s="1076"/>
      <c r="AG427" s="1048"/>
      <c r="AH427" s="1077"/>
      <c r="AI427" s="1076"/>
      <c r="AJ427" s="1078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38"/>
        <v/>
      </c>
      <c r="G428" s="520" t="str">
        <f t="shared" ca="1" si="39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36"/>
        <v/>
      </c>
      <c r="P428" s="742">
        <v>410</v>
      </c>
      <c r="Q428" s="517" t="str">
        <f t="shared" ca="1" si="40"/>
        <v/>
      </c>
      <c r="R428" s="520" t="str">
        <f t="shared" ca="1" si="41"/>
        <v/>
      </c>
      <c r="S428" s="430" t="str">
        <f ca="1"/>
        <v/>
      </c>
      <c r="T428" s="430" t="str">
        <f ca="1"/>
        <v/>
      </c>
      <c r="U428" s="430" t="str">
        <f ca="1"/>
        <v/>
      </c>
      <c r="V428" s="517" t="str">
        <f ca="1"/>
        <v/>
      </c>
      <c r="W428" s="518" t="str">
        <f ca="1"/>
        <v/>
      </c>
      <c r="X428" s="430" t="str">
        <f ca="1"/>
        <v/>
      </c>
      <c r="Y428" s="864" t="str">
        <f t="shared" ca="1" si="37"/>
        <v/>
      </c>
      <c r="AA428" s="828">
        <v>410</v>
      </c>
      <c r="AB428" s="1100"/>
      <c r="AC428" s="1079"/>
      <c r="AD428" s="1067"/>
      <c r="AE428" s="1076"/>
      <c r="AF428" s="1076"/>
      <c r="AG428" s="1048"/>
      <c r="AH428" s="1077"/>
      <c r="AI428" s="1076"/>
      <c r="AJ428" s="1078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38"/>
        <v/>
      </c>
      <c r="G429" s="520" t="str">
        <f t="shared" ca="1" si="39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36"/>
        <v/>
      </c>
      <c r="P429" s="742">
        <v>411</v>
      </c>
      <c r="Q429" s="517" t="str">
        <f t="shared" ca="1" si="40"/>
        <v/>
      </c>
      <c r="R429" s="520" t="str">
        <f t="shared" ca="1" si="41"/>
        <v/>
      </c>
      <c r="S429" s="430" t="str">
        <f ca="1"/>
        <v/>
      </c>
      <c r="T429" s="430" t="str">
        <f ca="1"/>
        <v/>
      </c>
      <c r="U429" s="430" t="str">
        <f ca="1"/>
        <v/>
      </c>
      <c r="V429" s="517" t="str">
        <f ca="1"/>
        <v/>
      </c>
      <c r="W429" s="518" t="str">
        <f ca="1"/>
        <v/>
      </c>
      <c r="X429" s="430" t="str">
        <f ca="1"/>
        <v/>
      </c>
      <c r="Y429" s="864" t="str">
        <f t="shared" ca="1" si="37"/>
        <v/>
      </c>
      <c r="AA429" s="828">
        <v>411</v>
      </c>
      <c r="AB429" s="1100"/>
      <c r="AC429" s="1079"/>
      <c r="AD429" s="1067"/>
      <c r="AE429" s="1076"/>
      <c r="AF429" s="1076"/>
      <c r="AG429" s="1048"/>
      <c r="AH429" s="1077"/>
      <c r="AI429" s="1076"/>
      <c r="AJ429" s="1078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38"/>
        <v/>
      </c>
      <c r="G430" s="520" t="str">
        <f t="shared" ca="1" si="39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36"/>
        <v/>
      </c>
      <c r="P430" s="742">
        <v>412</v>
      </c>
      <c r="Q430" s="517" t="str">
        <f t="shared" ca="1" si="40"/>
        <v/>
      </c>
      <c r="R430" s="520" t="str">
        <f t="shared" ca="1" si="41"/>
        <v/>
      </c>
      <c r="S430" s="430" t="str">
        <f ca="1"/>
        <v/>
      </c>
      <c r="T430" s="430" t="str">
        <f ca="1"/>
        <v/>
      </c>
      <c r="U430" s="430" t="str">
        <f ca="1"/>
        <v/>
      </c>
      <c r="V430" s="517" t="str">
        <f ca="1"/>
        <v/>
      </c>
      <c r="W430" s="518" t="str">
        <f ca="1"/>
        <v/>
      </c>
      <c r="X430" s="430" t="str">
        <f ca="1"/>
        <v/>
      </c>
      <c r="Y430" s="864" t="str">
        <f t="shared" ca="1" si="37"/>
        <v/>
      </c>
      <c r="AA430" s="828">
        <v>412</v>
      </c>
      <c r="AB430" s="1100"/>
      <c r="AC430" s="1079"/>
      <c r="AD430" s="1067"/>
      <c r="AE430" s="1076"/>
      <c r="AF430" s="1076"/>
      <c r="AG430" s="1048"/>
      <c r="AH430" s="1077"/>
      <c r="AI430" s="1076"/>
      <c r="AJ430" s="1078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38"/>
        <v/>
      </c>
      <c r="G431" s="520" t="str">
        <f t="shared" ca="1" si="39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36"/>
        <v/>
      </c>
      <c r="P431" s="742">
        <v>413</v>
      </c>
      <c r="Q431" s="517" t="str">
        <f t="shared" ca="1" si="40"/>
        <v/>
      </c>
      <c r="R431" s="520" t="str">
        <f t="shared" ca="1" si="41"/>
        <v/>
      </c>
      <c r="S431" s="430" t="str">
        <f ca="1"/>
        <v/>
      </c>
      <c r="T431" s="430" t="str">
        <f ca="1"/>
        <v/>
      </c>
      <c r="U431" s="430" t="str">
        <f ca="1"/>
        <v/>
      </c>
      <c r="V431" s="517" t="str">
        <f ca="1"/>
        <v/>
      </c>
      <c r="W431" s="518" t="str">
        <f ca="1"/>
        <v/>
      </c>
      <c r="X431" s="430" t="str">
        <f ca="1"/>
        <v/>
      </c>
      <c r="Y431" s="864" t="str">
        <f t="shared" ca="1" si="37"/>
        <v/>
      </c>
      <c r="AA431" s="828">
        <v>413</v>
      </c>
      <c r="AB431" s="1100"/>
      <c r="AC431" s="1079"/>
      <c r="AD431" s="1067"/>
      <c r="AE431" s="1076"/>
      <c r="AF431" s="1076"/>
      <c r="AG431" s="1048"/>
      <c r="AH431" s="1077"/>
      <c r="AI431" s="1076"/>
      <c r="AJ431" s="1078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38"/>
        <v/>
      </c>
      <c r="G432" s="520" t="str">
        <f t="shared" ca="1" si="39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36"/>
        <v/>
      </c>
      <c r="P432" s="742">
        <v>414</v>
      </c>
      <c r="Q432" s="517" t="str">
        <f t="shared" ca="1" si="40"/>
        <v/>
      </c>
      <c r="R432" s="520" t="str">
        <f t="shared" ca="1" si="41"/>
        <v/>
      </c>
      <c r="S432" s="430" t="str">
        <f ca="1"/>
        <v/>
      </c>
      <c r="T432" s="430" t="str">
        <f ca="1"/>
        <v/>
      </c>
      <c r="U432" s="430" t="str">
        <f ca="1"/>
        <v/>
      </c>
      <c r="V432" s="517" t="str">
        <f ca="1"/>
        <v/>
      </c>
      <c r="W432" s="518" t="str">
        <f ca="1"/>
        <v/>
      </c>
      <c r="X432" s="430" t="str">
        <f ca="1"/>
        <v/>
      </c>
      <c r="Y432" s="864" t="str">
        <f t="shared" ca="1" si="37"/>
        <v/>
      </c>
      <c r="AA432" s="828">
        <v>414</v>
      </c>
      <c r="AB432" s="1100"/>
      <c r="AC432" s="1079"/>
      <c r="AD432" s="1067"/>
      <c r="AE432" s="1076"/>
      <c r="AF432" s="1076"/>
      <c r="AG432" s="1048"/>
      <c r="AH432" s="1077"/>
      <c r="AI432" s="1076"/>
      <c r="AJ432" s="1078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38"/>
        <v/>
      </c>
      <c r="G433" s="520" t="str">
        <f t="shared" ca="1" si="39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36"/>
        <v/>
      </c>
      <c r="P433" s="742">
        <v>415</v>
      </c>
      <c r="Q433" s="517" t="str">
        <f t="shared" ca="1" si="40"/>
        <v/>
      </c>
      <c r="R433" s="520" t="str">
        <f t="shared" ca="1" si="41"/>
        <v/>
      </c>
      <c r="S433" s="430" t="str">
        <f ca="1"/>
        <v/>
      </c>
      <c r="T433" s="430" t="str">
        <f ca="1"/>
        <v/>
      </c>
      <c r="U433" s="430" t="str">
        <f ca="1"/>
        <v/>
      </c>
      <c r="V433" s="517" t="str">
        <f ca="1"/>
        <v/>
      </c>
      <c r="W433" s="518" t="str">
        <f ca="1"/>
        <v/>
      </c>
      <c r="X433" s="430" t="str">
        <f ca="1"/>
        <v/>
      </c>
      <c r="Y433" s="864" t="str">
        <f t="shared" ca="1" si="37"/>
        <v/>
      </c>
      <c r="AA433" s="828">
        <v>415</v>
      </c>
      <c r="AB433" s="1100"/>
      <c r="AC433" s="1079"/>
      <c r="AD433" s="1067"/>
      <c r="AE433" s="1076"/>
      <c r="AF433" s="1076"/>
      <c r="AG433" s="1048"/>
      <c r="AH433" s="1077"/>
      <c r="AI433" s="1076"/>
      <c r="AJ433" s="1078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38"/>
        <v/>
      </c>
      <c r="G434" s="520" t="str">
        <f t="shared" ca="1" si="39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36"/>
        <v/>
      </c>
      <c r="P434" s="742">
        <v>416</v>
      </c>
      <c r="Q434" s="517" t="str">
        <f t="shared" ca="1" si="40"/>
        <v/>
      </c>
      <c r="R434" s="520" t="str">
        <f t="shared" ca="1" si="41"/>
        <v/>
      </c>
      <c r="S434" s="430" t="str">
        <f ca="1"/>
        <v/>
      </c>
      <c r="T434" s="430" t="str">
        <f ca="1"/>
        <v/>
      </c>
      <c r="U434" s="430" t="str">
        <f ca="1"/>
        <v/>
      </c>
      <c r="V434" s="517" t="str">
        <f ca="1"/>
        <v/>
      </c>
      <c r="W434" s="518" t="str">
        <f ca="1"/>
        <v/>
      </c>
      <c r="X434" s="430" t="str">
        <f ca="1"/>
        <v/>
      </c>
      <c r="Y434" s="864" t="str">
        <f t="shared" ca="1" si="37"/>
        <v/>
      </c>
      <c r="AA434" s="828">
        <v>416</v>
      </c>
      <c r="AB434" s="1100"/>
      <c r="AC434" s="1079"/>
      <c r="AD434" s="1067"/>
      <c r="AE434" s="1076"/>
      <c r="AF434" s="1076"/>
      <c r="AG434" s="1048"/>
      <c r="AH434" s="1077"/>
      <c r="AI434" s="1076"/>
      <c r="AJ434" s="1078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38"/>
        <v/>
      </c>
      <c r="G435" s="520" t="str">
        <f t="shared" ca="1" si="39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36"/>
        <v/>
      </c>
      <c r="P435" s="742">
        <v>417</v>
      </c>
      <c r="Q435" s="517" t="str">
        <f t="shared" ca="1" si="40"/>
        <v/>
      </c>
      <c r="R435" s="520" t="str">
        <f t="shared" ca="1" si="41"/>
        <v/>
      </c>
      <c r="S435" s="430" t="str">
        <f ca="1"/>
        <v/>
      </c>
      <c r="T435" s="430" t="str">
        <f ca="1"/>
        <v/>
      </c>
      <c r="U435" s="430" t="str">
        <f ca="1"/>
        <v/>
      </c>
      <c r="V435" s="517" t="str">
        <f ca="1"/>
        <v/>
      </c>
      <c r="W435" s="518" t="str">
        <f ca="1"/>
        <v/>
      </c>
      <c r="X435" s="430" t="str">
        <f ca="1"/>
        <v/>
      </c>
      <c r="Y435" s="864" t="str">
        <f t="shared" ca="1" si="37"/>
        <v/>
      </c>
      <c r="AA435" s="828">
        <v>417</v>
      </c>
      <c r="AB435" s="1100"/>
      <c r="AC435" s="1079"/>
      <c r="AD435" s="1067"/>
      <c r="AE435" s="1076"/>
      <c r="AF435" s="1076"/>
      <c r="AG435" s="1048"/>
      <c r="AH435" s="1077"/>
      <c r="AI435" s="1076"/>
      <c r="AJ435" s="1078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38"/>
        <v/>
      </c>
      <c r="G436" s="520" t="str">
        <f t="shared" ca="1" si="39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36"/>
        <v/>
      </c>
      <c r="P436" s="742">
        <v>418</v>
      </c>
      <c r="Q436" s="517" t="str">
        <f t="shared" ca="1" si="40"/>
        <v/>
      </c>
      <c r="R436" s="520" t="str">
        <f t="shared" ca="1" si="41"/>
        <v/>
      </c>
      <c r="S436" s="430" t="str">
        <f ca="1"/>
        <v/>
      </c>
      <c r="T436" s="430" t="str">
        <f ca="1"/>
        <v/>
      </c>
      <c r="U436" s="430" t="str">
        <f ca="1"/>
        <v/>
      </c>
      <c r="V436" s="517" t="str">
        <f ca="1"/>
        <v/>
      </c>
      <c r="W436" s="518" t="str">
        <f ca="1"/>
        <v/>
      </c>
      <c r="X436" s="430" t="str">
        <f ca="1"/>
        <v/>
      </c>
      <c r="Y436" s="864" t="str">
        <f t="shared" ca="1" si="37"/>
        <v/>
      </c>
      <c r="AA436" s="828">
        <v>418</v>
      </c>
      <c r="AB436" s="1100"/>
      <c r="AC436" s="1079"/>
      <c r="AD436" s="1067"/>
      <c r="AE436" s="1076"/>
      <c r="AF436" s="1076"/>
      <c r="AG436" s="1048"/>
      <c r="AH436" s="1077"/>
      <c r="AI436" s="1076"/>
      <c r="AJ436" s="1078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38"/>
        <v/>
      </c>
      <c r="G437" s="520" t="str">
        <f t="shared" ca="1" si="39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36"/>
        <v/>
      </c>
      <c r="P437" s="742">
        <v>419</v>
      </c>
      <c r="Q437" s="517" t="str">
        <f t="shared" ca="1" si="40"/>
        <v/>
      </c>
      <c r="R437" s="520" t="str">
        <f t="shared" ca="1" si="41"/>
        <v/>
      </c>
      <c r="S437" s="430" t="str">
        <f ca="1"/>
        <v/>
      </c>
      <c r="T437" s="430" t="str">
        <f ca="1"/>
        <v/>
      </c>
      <c r="U437" s="430" t="str">
        <f ca="1"/>
        <v/>
      </c>
      <c r="V437" s="517" t="str">
        <f ca="1"/>
        <v/>
      </c>
      <c r="W437" s="518" t="str">
        <f ca="1"/>
        <v/>
      </c>
      <c r="X437" s="430" t="str">
        <f ca="1"/>
        <v/>
      </c>
      <c r="Y437" s="864" t="str">
        <f t="shared" ca="1" si="37"/>
        <v/>
      </c>
      <c r="AA437" s="828">
        <v>419</v>
      </c>
      <c r="AB437" s="1100"/>
      <c r="AC437" s="1079"/>
      <c r="AD437" s="1067"/>
      <c r="AE437" s="1076"/>
      <c r="AF437" s="1076"/>
      <c r="AG437" s="1048"/>
      <c r="AH437" s="1077"/>
      <c r="AI437" s="1076"/>
      <c r="AJ437" s="1078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38"/>
        <v/>
      </c>
      <c r="G438" s="520" t="str">
        <f t="shared" ca="1" si="39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36"/>
        <v/>
      </c>
      <c r="P438" s="742">
        <v>420</v>
      </c>
      <c r="Q438" s="517" t="str">
        <f t="shared" ca="1" si="40"/>
        <v/>
      </c>
      <c r="R438" s="520" t="str">
        <f t="shared" ca="1" si="41"/>
        <v/>
      </c>
      <c r="S438" s="430" t="str">
        <f ca="1"/>
        <v/>
      </c>
      <c r="T438" s="430" t="str">
        <f ca="1"/>
        <v/>
      </c>
      <c r="U438" s="430" t="str">
        <f ca="1"/>
        <v/>
      </c>
      <c r="V438" s="517" t="str">
        <f ca="1"/>
        <v/>
      </c>
      <c r="W438" s="518" t="str">
        <f ca="1"/>
        <v/>
      </c>
      <c r="X438" s="430" t="str">
        <f ca="1"/>
        <v/>
      </c>
      <c r="Y438" s="864" t="str">
        <f t="shared" ca="1" si="37"/>
        <v/>
      </c>
      <c r="AA438" s="828">
        <v>420</v>
      </c>
      <c r="AB438" s="1100"/>
      <c r="AC438" s="1079"/>
      <c r="AD438" s="1067"/>
      <c r="AE438" s="1076"/>
      <c r="AF438" s="1076"/>
      <c r="AG438" s="1048"/>
      <c r="AH438" s="1077"/>
      <c r="AI438" s="1076"/>
      <c r="AJ438" s="1078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38"/>
        <v/>
      </c>
      <c r="G439" s="520" t="str">
        <f t="shared" ca="1" si="39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36"/>
        <v/>
      </c>
      <c r="P439" s="742">
        <v>421</v>
      </c>
      <c r="Q439" s="517" t="str">
        <f t="shared" ca="1" si="40"/>
        <v/>
      </c>
      <c r="R439" s="520" t="str">
        <f t="shared" ca="1" si="41"/>
        <v/>
      </c>
      <c r="S439" s="430" t="str">
        <f ca="1"/>
        <v/>
      </c>
      <c r="T439" s="430" t="str">
        <f ca="1"/>
        <v/>
      </c>
      <c r="U439" s="430" t="str">
        <f ca="1"/>
        <v/>
      </c>
      <c r="V439" s="517" t="str">
        <f ca="1"/>
        <v/>
      </c>
      <c r="W439" s="518" t="str">
        <f ca="1"/>
        <v/>
      </c>
      <c r="X439" s="430" t="str">
        <f ca="1"/>
        <v/>
      </c>
      <c r="Y439" s="864" t="str">
        <f t="shared" ca="1" si="37"/>
        <v/>
      </c>
      <c r="AA439" s="828">
        <v>421</v>
      </c>
      <c r="AB439" s="1100"/>
      <c r="AC439" s="1079"/>
      <c r="AD439" s="1067"/>
      <c r="AE439" s="1076"/>
      <c r="AF439" s="1076"/>
      <c r="AG439" s="1048"/>
      <c r="AH439" s="1077"/>
      <c r="AI439" s="1076"/>
      <c r="AJ439" s="1078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38"/>
        <v/>
      </c>
      <c r="G440" s="520" t="str">
        <f t="shared" ca="1" si="39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36"/>
        <v/>
      </c>
      <c r="P440" s="742">
        <v>422</v>
      </c>
      <c r="Q440" s="517" t="str">
        <f t="shared" ca="1" si="40"/>
        <v/>
      </c>
      <c r="R440" s="520" t="str">
        <f t="shared" ca="1" si="41"/>
        <v/>
      </c>
      <c r="S440" s="430" t="str">
        <f ca="1"/>
        <v/>
      </c>
      <c r="T440" s="430" t="str">
        <f ca="1"/>
        <v/>
      </c>
      <c r="U440" s="430" t="str">
        <f ca="1"/>
        <v/>
      </c>
      <c r="V440" s="517" t="str">
        <f ca="1"/>
        <v/>
      </c>
      <c r="W440" s="518" t="str">
        <f ca="1"/>
        <v/>
      </c>
      <c r="X440" s="430" t="str">
        <f ca="1"/>
        <v/>
      </c>
      <c r="Y440" s="864" t="str">
        <f t="shared" ca="1" si="37"/>
        <v/>
      </c>
      <c r="AA440" s="828">
        <v>422</v>
      </c>
      <c r="AB440" s="1100"/>
      <c r="AC440" s="1079"/>
      <c r="AD440" s="1067"/>
      <c r="AE440" s="1076"/>
      <c r="AF440" s="1076"/>
      <c r="AG440" s="1048"/>
      <c r="AH440" s="1077"/>
      <c r="AI440" s="1076"/>
      <c r="AJ440" s="1078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38"/>
        <v/>
      </c>
      <c r="G441" s="520" t="str">
        <f t="shared" ca="1" si="39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36"/>
        <v/>
      </c>
      <c r="P441" s="742">
        <v>423</v>
      </c>
      <c r="Q441" s="517" t="str">
        <f t="shared" ca="1" si="40"/>
        <v/>
      </c>
      <c r="R441" s="520" t="str">
        <f t="shared" ca="1" si="41"/>
        <v/>
      </c>
      <c r="S441" s="430" t="str">
        <f ca="1"/>
        <v/>
      </c>
      <c r="T441" s="430" t="str">
        <f ca="1"/>
        <v/>
      </c>
      <c r="U441" s="430" t="str">
        <f ca="1"/>
        <v/>
      </c>
      <c r="V441" s="517" t="str">
        <f ca="1"/>
        <v/>
      </c>
      <c r="W441" s="518" t="str">
        <f ca="1"/>
        <v/>
      </c>
      <c r="X441" s="430" t="str">
        <f ca="1"/>
        <v/>
      </c>
      <c r="Y441" s="864" t="str">
        <f t="shared" ca="1" si="37"/>
        <v/>
      </c>
      <c r="AA441" s="828">
        <v>423</v>
      </c>
      <c r="AB441" s="1100"/>
      <c r="AC441" s="1079"/>
      <c r="AD441" s="1067"/>
      <c r="AE441" s="1076"/>
      <c r="AF441" s="1076"/>
      <c r="AG441" s="1048"/>
      <c r="AH441" s="1077"/>
      <c r="AI441" s="1076"/>
      <c r="AJ441" s="1078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38"/>
        <v/>
      </c>
      <c r="G442" s="520" t="str">
        <f t="shared" ca="1" si="39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36"/>
        <v/>
      </c>
      <c r="P442" s="742">
        <v>424</v>
      </c>
      <c r="Q442" s="517" t="str">
        <f t="shared" ca="1" si="40"/>
        <v/>
      </c>
      <c r="R442" s="520" t="str">
        <f t="shared" ca="1" si="41"/>
        <v/>
      </c>
      <c r="S442" s="430" t="str">
        <f ca="1"/>
        <v/>
      </c>
      <c r="T442" s="430" t="str">
        <f ca="1"/>
        <v/>
      </c>
      <c r="U442" s="430" t="str">
        <f ca="1"/>
        <v/>
      </c>
      <c r="V442" s="517" t="str">
        <f ca="1"/>
        <v/>
      </c>
      <c r="W442" s="518" t="str">
        <f ca="1"/>
        <v/>
      </c>
      <c r="X442" s="430" t="str">
        <f ca="1"/>
        <v/>
      </c>
      <c r="Y442" s="864" t="str">
        <f t="shared" ca="1" si="37"/>
        <v/>
      </c>
      <c r="AA442" s="828">
        <v>424</v>
      </c>
      <c r="AB442" s="1100"/>
      <c r="AC442" s="1079"/>
      <c r="AD442" s="1067"/>
      <c r="AE442" s="1076"/>
      <c r="AF442" s="1076"/>
      <c r="AG442" s="1048"/>
      <c r="AH442" s="1077"/>
      <c r="AI442" s="1076"/>
      <c r="AJ442" s="1078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38"/>
        <v/>
      </c>
      <c r="G443" s="520" t="str">
        <f t="shared" ca="1" si="39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36"/>
        <v/>
      </c>
      <c r="P443" s="742">
        <v>425</v>
      </c>
      <c r="Q443" s="517" t="str">
        <f t="shared" ca="1" si="40"/>
        <v/>
      </c>
      <c r="R443" s="520" t="str">
        <f t="shared" ca="1" si="41"/>
        <v/>
      </c>
      <c r="S443" s="430" t="str">
        <f ca="1"/>
        <v/>
      </c>
      <c r="T443" s="430" t="str">
        <f ca="1"/>
        <v/>
      </c>
      <c r="U443" s="430" t="str">
        <f ca="1"/>
        <v/>
      </c>
      <c r="V443" s="517" t="str">
        <f ca="1"/>
        <v/>
      </c>
      <c r="W443" s="518" t="str">
        <f ca="1"/>
        <v/>
      </c>
      <c r="X443" s="430" t="str">
        <f ca="1"/>
        <v/>
      </c>
      <c r="Y443" s="864" t="str">
        <f t="shared" ca="1" si="37"/>
        <v/>
      </c>
      <c r="AA443" s="828">
        <v>425</v>
      </c>
      <c r="AB443" s="1100"/>
      <c r="AC443" s="1079"/>
      <c r="AD443" s="1067"/>
      <c r="AE443" s="1076"/>
      <c r="AF443" s="1076"/>
      <c r="AG443" s="1048"/>
      <c r="AH443" s="1077"/>
      <c r="AI443" s="1076"/>
      <c r="AJ443" s="1078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38"/>
        <v/>
      </c>
      <c r="G444" s="520" t="str">
        <f t="shared" ca="1" si="39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36"/>
        <v/>
      </c>
      <c r="P444" s="742">
        <v>426</v>
      </c>
      <c r="Q444" s="517" t="str">
        <f t="shared" ca="1" si="40"/>
        <v/>
      </c>
      <c r="R444" s="520" t="str">
        <f t="shared" ca="1" si="41"/>
        <v/>
      </c>
      <c r="S444" s="430" t="str">
        <f ca="1"/>
        <v/>
      </c>
      <c r="T444" s="430" t="str">
        <f ca="1"/>
        <v/>
      </c>
      <c r="U444" s="430" t="str">
        <f ca="1"/>
        <v/>
      </c>
      <c r="V444" s="517" t="str">
        <f ca="1"/>
        <v/>
      </c>
      <c r="W444" s="518" t="str">
        <f ca="1"/>
        <v/>
      </c>
      <c r="X444" s="430" t="str">
        <f ca="1"/>
        <v/>
      </c>
      <c r="Y444" s="864" t="str">
        <f t="shared" ca="1" si="37"/>
        <v/>
      </c>
      <c r="AA444" s="828">
        <v>426</v>
      </c>
      <c r="AB444" s="1100"/>
      <c r="AC444" s="1079"/>
      <c r="AD444" s="1067"/>
      <c r="AE444" s="1076"/>
      <c r="AF444" s="1076"/>
      <c r="AG444" s="1048"/>
      <c r="AH444" s="1077"/>
      <c r="AI444" s="1076"/>
      <c r="AJ444" s="1078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38"/>
        <v/>
      </c>
      <c r="G445" s="520" t="str">
        <f t="shared" ca="1" si="39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36"/>
        <v/>
      </c>
      <c r="P445" s="742">
        <v>427</v>
      </c>
      <c r="Q445" s="517" t="str">
        <f t="shared" ca="1" si="40"/>
        <v/>
      </c>
      <c r="R445" s="520" t="str">
        <f t="shared" ca="1" si="41"/>
        <v/>
      </c>
      <c r="S445" s="430" t="str">
        <f ca="1"/>
        <v/>
      </c>
      <c r="T445" s="430" t="str">
        <f ca="1"/>
        <v/>
      </c>
      <c r="U445" s="430" t="str">
        <f ca="1"/>
        <v/>
      </c>
      <c r="V445" s="517" t="str">
        <f ca="1"/>
        <v/>
      </c>
      <c r="W445" s="518" t="str">
        <f ca="1"/>
        <v/>
      </c>
      <c r="X445" s="430" t="str">
        <f ca="1"/>
        <v/>
      </c>
      <c r="Y445" s="864" t="str">
        <f t="shared" ca="1" si="37"/>
        <v/>
      </c>
      <c r="AA445" s="828">
        <v>427</v>
      </c>
      <c r="AB445" s="1100"/>
      <c r="AC445" s="1079"/>
      <c r="AD445" s="1067"/>
      <c r="AE445" s="1076"/>
      <c r="AF445" s="1076"/>
      <c r="AG445" s="1048"/>
      <c r="AH445" s="1077"/>
      <c r="AI445" s="1076"/>
      <c r="AJ445" s="1078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38"/>
        <v/>
      </c>
      <c r="G446" s="520" t="str">
        <f t="shared" ca="1" si="39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36"/>
        <v/>
      </c>
      <c r="P446" s="742">
        <v>428</v>
      </c>
      <c r="Q446" s="517" t="str">
        <f t="shared" ca="1" si="40"/>
        <v/>
      </c>
      <c r="R446" s="520" t="str">
        <f t="shared" ca="1" si="41"/>
        <v/>
      </c>
      <c r="S446" s="430" t="str">
        <f ca="1"/>
        <v/>
      </c>
      <c r="T446" s="430" t="str">
        <f ca="1"/>
        <v/>
      </c>
      <c r="U446" s="430" t="str">
        <f ca="1"/>
        <v/>
      </c>
      <c r="V446" s="517" t="str">
        <f ca="1"/>
        <v/>
      </c>
      <c r="W446" s="518" t="str">
        <f ca="1"/>
        <v/>
      </c>
      <c r="X446" s="430" t="str">
        <f ca="1"/>
        <v/>
      </c>
      <c r="Y446" s="864" t="str">
        <f t="shared" ca="1" si="37"/>
        <v/>
      </c>
      <c r="AA446" s="828">
        <v>428</v>
      </c>
      <c r="AB446" s="1100"/>
      <c r="AC446" s="1079"/>
      <c r="AD446" s="1067"/>
      <c r="AE446" s="1076"/>
      <c r="AF446" s="1076"/>
      <c r="AG446" s="1048"/>
      <c r="AH446" s="1077"/>
      <c r="AI446" s="1076"/>
      <c r="AJ446" s="1078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38"/>
        <v/>
      </c>
      <c r="G447" s="520" t="str">
        <f t="shared" ca="1" si="39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36"/>
        <v/>
      </c>
      <c r="P447" s="742">
        <v>429</v>
      </c>
      <c r="Q447" s="517" t="str">
        <f t="shared" ca="1" si="40"/>
        <v/>
      </c>
      <c r="R447" s="520" t="str">
        <f t="shared" ca="1" si="41"/>
        <v/>
      </c>
      <c r="S447" s="430" t="str">
        <f ca="1"/>
        <v/>
      </c>
      <c r="T447" s="430" t="str">
        <f ca="1"/>
        <v/>
      </c>
      <c r="U447" s="430" t="str">
        <f ca="1"/>
        <v/>
      </c>
      <c r="V447" s="517" t="str">
        <f ca="1"/>
        <v/>
      </c>
      <c r="W447" s="518" t="str">
        <f ca="1"/>
        <v/>
      </c>
      <c r="X447" s="430" t="str">
        <f ca="1"/>
        <v/>
      </c>
      <c r="Y447" s="864" t="str">
        <f t="shared" ca="1" si="37"/>
        <v/>
      </c>
      <c r="AA447" s="828">
        <v>429</v>
      </c>
      <c r="AB447" s="1100"/>
      <c r="AC447" s="1079"/>
      <c r="AD447" s="1067"/>
      <c r="AE447" s="1076"/>
      <c r="AF447" s="1076"/>
      <c r="AG447" s="1048"/>
      <c r="AH447" s="1077"/>
      <c r="AI447" s="1076"/>
      <c r="AJ447" s="1078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38"/>
        <v/>
      </c>
      <c r="G448" s="520" t="str">
        <f t="shared" ca="1" si="39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36"/>
        <v/>
      </c>
      <c r="P448" s="742">
        <v>430</v>
      </c>
      <c r="Q448" s="517" t="str">
        <f t="shared" ca="1" si="40"/>
        <v/>
      </c>
      <c r="R448" s="520" t="str">
        <f t="shared" ca="1" si="41"/>
        <v/>
      </c>
      <c r="S448" s="430" t="str">
        <f ca="1"/>
        <v/>
      </c>
      <c r="T448" s="430" t="str">
        <f ca="1"/>
        <v/>
      </c>
      <c r="U448" s="430" t="str">
        <f ca="1"/>
        <v/>
      </c>
      <c r="V448" s="517" t="str">
        <f ca="1"/>
        <v/>
      </c>
      <c r="W448" s="518" t="str">
        <f ca="1"/>
        <v/>
      </c>
      <c r="X448" s="430" t="str">
        <f ca="1"/>
        <v/>
      </c>
      <c r="Y448" s="864" t="str">
        <f t="shared" ca="1" si="37"/>
        <v/>
      </c>
      <c r="AA448" s="828">
        <v>430</v>
      </c>
      <c r="AB448" s="1100"/>
      <c r="AC448" s="1079"/>
      <c r="AD448" s="1067"/>
      <c r="AE448" s="1076"/>
      <c r="AF448" s="1076"/>
      <c r="AG448" s="1048"/>
      <c r="AH448" s="1077"/>
      <c r="AI448" s="1076"/>
      <c r="AJ448" s="1078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38"/>
        <v/>
      </c>
      <c r="G449" s="520" t="str">
        <f t="shared" ca="1" si="39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36"/>
        <v/>
      </c>
      <c r="P449" s="742">
        <v>431</v>
      </c>
      <c r="Q449" s="517" t="str">
        <f t="shared" ca="1" si="40"/>
        <v/>
      </c>
      <c r="R449" s="520" t="str">
        <f t="shared" ca="1" si="41"/>
        <v/>
      </c>
      <c r="S449" s="430" t="str">
        <f ca="1"/>
        <v/>
      </c>
      <c r="T449" s="430" t="str">
        <f ca="1"/>
        <v/>
      </c>
      <c r="U449" s="430" t="str">
        <f ca="1"/>
        <v/>
      </c>
      <c r="V449" s="517" t="str">
        <f ca="1"/>
        <v/>
      </c>
      <c r="W449" s="518" t="str">
        <f ca="1"/>
        <v/>
      </c>
      <c r="X449" s="430" t="str">
        <f ca="1"/>
        <v/>
      </c>
      <c r="Y449" s="864" t="str">
        <f t="shared" ca="1" si="37"/>
        <v/>
      </c>
      <c r="AA449" s="828">
        <v>431</v>
      </c>
      <c r="AB449" s="1100"/>
      <c r="AC449" s="1079"/>
      <c r="AD449" s="1067"/>
      <c r="AE449" s="1076"/>
      <c r="AF449" s="1076"/>
      <c r="AG449" s="1048"/>
      <c r="AH449" s="1077"/>
      <c r="AI449" s="1076"/>
      <c r="AJ449" s="1078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38"/>
        <v/>
      </c>
      <c r="G450" s="520" t="str">
        <f t="shared" ca="1" si="39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36"/>
        <v/>
      </c>
      <c r="P450" s="742">
        <v>432</v>
      </c>
      <c r="Q450" s="517" t="str">
        <f t="shared" ca="1" si="40"/>
        <v/>
      </c>
      <c r="R450" s="520" t="str">
        <f t="shared" ca="1" si="41"/>
        <v/>
      </c>
      <c r="S450" s="430" t="str">
        <f ca="1"/>
        <v/>
      </c>
      <c r="T450" s="430" t="str">
        <f ca="1"/>
        <v/>
      </c>
      <c r="U450" s="430" t="str">
        <f ca="1"/>
        <v/>
      </c>
      <c r="V450" s="517" t="str">
        <f ca="1"/>
        <v/>
      </c>
      <c r="W450" s="518" t="str">
        <f ca="1"/>
        <v/>
      </c>
      <c r="X450" s="430" t="str">
        <f ca="1"/>
        <v/>
      </c>
      <c r="Y450" s="864" t="str">
        <f t="shared" ca="1" si="37"/>
        <v/>
      </c>
      <c r="AA450" s="828">
        <v>432</v>
      </c>
      <c r="AB450" s="1100"/>
      <c r="AC450" s="1079"/>
      <c r="AD450" s="1067"/>
      <c r="AE450" s="1076"/>
      <c r="AF450" s="1076"/>
      <c r="AG450" s="1048"/>
      <c r="AH450" s="1077"/>
      <c r="AI450" s="1076"/>
      <c r="AJ450" s="1078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38"/>
        <v/>
      </c>
      <c r="G451" s="520" t="str">
        <f t="shared" ca="1" si="39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36"/>
        <v/>
      </c>
      <c r="P451" s="742">
        <v>433</v>
      </c>
      <c r="Q451" s="517" t="str">
        <f t="shared" ca="1" si="40"/>
        <v/>
      </c>
      <c r="R451" s="520" t="str">
        <f t="shared" ca="1" si="41"/>
        <v/>
      </c>
      <c r="S451" s="430" t="str">
        <f ca="1"/>
        <v/>
      </c>
      <c r="T451" s="430" t="str">
        <f ca="1"/>
        <v/>
      </c>
      <c r="U451" s="430" t="str">
        <f ca="1"/>
        <v/>
      </c>
      <c r="V451" s="517" t="str">
        <f ca="1"/>
        <v/>
      </c>
      <c r="W451" s="518" t="str">
        <f ca="1"/>
        <v/>
      </c>
      <c r="X451" s="430" t="str">
        <f ca="1"/>
        <v/>
      </c>
      <c r="Y451" s="864" t="str">
        <f t="shared" ca="1" si="37"/>
        <v/>
      </c>
      <c r="AA451" s="828">
        <v>433</v>
      </c>
      <c r="AB451" s="1100"/>
      <c r="AC451" s="1079"/>
      <c r="AD451" s="1067"/>
      <c r="AE451" s="1076"/>
      <c r="AF451" s="1076"/>
      <c r="AG451" s="1048"/>
      <c r="AH451" s="1077"/>
      <c r="AI451" s="1076"/>
      <c r="AJ451" s="1078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38"/>
        <v/>
      </c>
      <c r="G452" s="520" t="str">
        <f t="shared" ca="1" si="39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36"/>
        <v/>
      </c>
      <c r="P452" s="742">
        <v>434</v>
      </c>
      <c r="Q452" s="517" t="str">
        <f t="shared" ca="1" si="40"/>
        <v/>
      </c>
      <c r="R452" s="520" t="str">
        <f t="shared" ca="1" si="41"/>
        <v/>
      </c>
      <c r="S452" s="430" t="str">
        <f ca="1"/>
        <v/>
      </c>
      <c r="T452" s="430" t="str">
        <f ca="1"/>
        <v/>
      </c>
      <c r="U452" s="430" t="str">
        <f ca="1"/>
        <v/>
      </c>
      <c r="V452" s="517" t="str">
        <f ca="1"/>
        <v/>
      </c>
      <c r="W452" s="518" t="str">
        <f ca="1"/>
        <v/>
      </c>
      <c r="X452" s="430" t="str">
        <f ca="1"/>
        <v/>
      </c>
      <c r="Y452" s="864" t="str">
        <f t="shared" ca="1" si="37"/>
        <v/>
      </c>
      <c r="AA452" s="828">
        <v>434</v>
      </c>
      <c r="AB452" s="1100"/>
      <c r="AC452" s="1079"/>
      <c r="AD452" s="1067"/>
      <c r="AE452" s="1076"/>
      <c r="AF452" s="1076"/>
      <c r="AG452" s="1048"/>
      <c r="AH452" s="1077"/>
      <c r="AI452" s="1076"/>
      <c r="AJ452" s="1078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38"/>
        <v/>
      </c>
      <c r="G453" s="520" t="str">
        <f t="shared" ca="1" si="39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36"/>
        <v/>
      </c>
      <c r="P453" s="742">
        <v>435</v>
      </c>
      <c r="Q453" s="517" t="str">
        <f t="shared" ca="1" si="40"/>
        <v/>
      </c>
      <c r="R453" s="520" t="str">
        <f t="shared" ca="1" si="41"/>
        <v/>
      </c>
      <c r="S453" s="430" t="str">
        <f ca="1"/>
        <v/>
      </c>
      <c r="T453" s="430" t="str">
        <f ca="1"/>
        <v/>
      </c>
      <c r="U453" s="430" t="str">
        <f ca="1"/>
        <v/>
      </c>
      <c r="V453" s="517" t="str">
        <f ca="1"/>
        <v/>
      </c>
      <c r="W453" s="518" t="str">
        <f ca="1"/>
        <v/>
      </c>
      <c r="X453" s="430" t="str">
        <f ca="1"/>
        <v/>
      </c>
      <c r="Y453" s="864" t="str">
        <f t="shared" ca="1" si="37"/>
        <v/>
      </c>
      <c r="AA453" s="828">
        <v>435</v>
      </c>
      <c r="AB453" s="1100"/>
      <c r="AC453" s="1079"/>
      <c r="AD453" s="1067"/>
      <c r="AE453" s="1076"/>
      <c r="AF453" s="1076"/>
      <c r="AG453" s="1048"/>
      <c r="AH453" s="1077"/>
      <c r="AI453" s="1076"/>
      <c r="AJ453" s="1078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38"/>
        <v/>
      </c>
      <c r="G454" s="520" t="str">
        <f t="shared" ca="1" si="39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36"/>
        <v/>
      </c>
      <c r="P454" s="742">
        <v>436</v>
      </c>
      <c r="Q454" s="517" t="str">
        <f t="shared" ca="1" si="40"/>
        <v/>
      </c>
      <c r="R454" s="520" t="str">
        <f t="shared" ca="1" si="41"/>
        <v/>
      </c>
      <c r="S454" s="430" t="str">
        <f ca="1"/>
        <v/>
      </c>
      <c r="T454" s="430" t="str">
        <f ca="1"/>
        <v/>
      </c>
      <c r="U454" s="430" t="str">
        <f ca="1"/>
        <v/>
      </c>
      <c r="V454" s="517" t="str">
        <f ca="1"/>
        <v/>
      </c>
      <c r="W454" s="518" t="str">
        <f ca="1"/>
        <v/>
      </c>
      <c r="X454" s="430" t="str">
        <f ca="1"/>
        <v/>
      </c>
      <c r="Y454" s="864" t="str">
        <f t="shared" ca="1" si="37"/>
        <v/>
      </c>
      <c r="AA454" s="828">
        <v>436</v>
      </c>
      <c r="AB454" s="1100"/>
      <c r="AC454" s="1079"/>
      <c r="AD454" s="1067"/>
      <c r="AE454" s="1076"/>
      <c r="AF454" s="1076"/>
      <c r="AG454" s="1048"/>
      <c r="AH454" s="1077"/>
      <c r="AI454" s="1076"/>
      <c r="AJ454" s="1078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38"/>
        <v/>
      </c>
      <c r="G455" s="520" t="str">
        <f t="shared" ca="1" si="39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36"/>
        <v/>
      </c>
      <c r="P455" s="742">
        <v>437</v>
      </c>
      <c r="Q455" s="517" t="str">
        <f t="shared" ca="1" si="40"/>
        <v/>
      </c>
      <c r="R455" s="520" t="str">
        <f t="shared" ca="1" si="41"/>
        <v/>
      </c>
      <c r="S455" s="430" t="str">
        <f ca="1"/>
        <v/>
      </c>
      <c r="T455" s="430" t="str">
        <f ca="1"/>
        <v/>
      </c>
      <c r="U455" s="430" t="str">
        <f ca="1"/>
        <v/>
      </c>
      <c r="V455" s="517" t="str">
        <f ca="1"/>
        <v/>
      </c>
      <c r="W455" s="518" t="str">
        <f ca="1"/>
        <v/>
      </c>
      <c r="X455" s="430" t="str">
        <f ca="1"/>
        <v/>
      </c>
      <c r="Y455" s="864" t="str">
        <f t="shared" ca="1" si="37"/>
        <v/>
      </c>
      <c r="AA455" s="828">
        <v>437</v>
      </c>
      <c r="AB455" s="1100"/>
      <c r="AC455" s="1079"/>
      <c r="AD455" s="1067"/>
      <c r="AE455" s="1076"/>
      <c r="AF455" s="1076"/>
      <c r="AG455" s="1048"/>
      <c r="AH455" s="1077"/>
      <c r="AI455" s="1076"/>
      <c r="AJ455" s="1078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38"/>
        <v/>
      </c>
      <c r="G456" s="520" t="str">
        <f t="shared" ca="1" si="39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36"/>
        <v/>
      </c>
      <c r="P456" s="742">
        <v>438</v>
      </c>
      <c r="Q456" s="517" t="str">
        <f t="shared" ca="1" si="40"/>
        <v/>
      </c>
      <c r="R456" s="520" t="str">
        <f t="shared" ca="1" si="41"/>
        <v/>
      </c>
      <c r="S456" s="430" t="str">
        <f ca="1"/>
        <v/>
      </c>
      <c r="T456" s="430" t="str">
        <f ca="1"/>
        <v/>
      </c>
      <c r="U456" s="430" t="str">
        <f ca="1"/>
        <v/>
      </c>
      <c r="V456" s="517" t="str">
        <f ca="1"/>
        <v/>
      </c>
      <c r="W456" s="518" t="str">
        <f ca="1"/>
        <v/>
      </c>
      <c r="X456" s="430" t="str">
        <f ca="1"/>
        <v/>
      </c>
      <c r="Y456" s="864" t="str">
        <f t="shared" ca="1" si="37"/>
        <v/>
      </c>
      <c r="AA456" s="828">
        <v>438</v>
      </c>
      <c r="AB456" s="1100"/>
      <c r="AC456" s="1079"/>
      <c r="AD456" s="1067"/>
      <c r="AE456" s="1076"/>
      <c r="AF456" s="1076"/>
      <c r="AG456" s="1048"/>
      <c r="AH456" s="1077"/>
      <c r="AI456" s="1076"/>
      <c r="AJ456" s="1078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38"/>
        <v/>
      </c>
      <c r="G457" s="520" t="str">
        <f t="shared" ca="1" si="39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36"/>
        <v/>
      </c>
      <c r="P457" s="742">
        <v>439</v>
      </c>
      <c r="Q457" s="517" t="str">
        <f t="shared" ca="1" si="40"/>
        <v/>
      </c>
      <c r="R457" s="520" t="str">
        <f t="shared" ca="1" si="41"/>
        <v/>
      </c>
      <c r="S457" s="430" t="str">
        <f ca="1"/>
        <v/>
      </c>
      <c r="T457" s="430" t="str">
        <f ca="1"/>
        <v/>
      </c>
      <c r="U457" s="430" t="str">
        <f ca="1"/>
        <v/>
      </c>
      <c r="V457" s="517" t="str">
        <f ca="1"/>
        <v/>
      </c>
      <c r="W457" s="518" t="str">
        <f ca="1"/>
        <v/>
      </c>
      <c r="X457" s="430" t="str">
        <f ca="1"/>
        <v/>
      </c>
      <c r="Y457" s="864" t="str">
        <f t="shared" ca="1" si="37"/>
        <v/>
      </c>
      <c r="AA457" s="828">
        <v>439</v>
      </c>
      <c r="AB457" s="1100"/>
      <c r="AC457" s="1079"/>
      <c r="AD457" s="1067"/>
      <c r="AE457" s="1076"/>
      <c r="AF457" s="1076"/>
      <c r="AG457" s="1048"/>
      <c r="AH457" s="1077"/>
      <c r="AI457" s="1076"/>
      <c r="AJ457" s="1078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38"/>
        <v/>
      </c>
      <c r="G458" s="520" t="str">
        <f t="shared" ca="1" si="39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36"/>
        <v/>
      </c>
      <c r="P458" s="742">
        <v>440</v>
      </c>
      <c r="Q458" s="517" t="str">
        <f t="shared" ca="1" si="40"/>
        <v/>
      </c>
      <c r="R458" s="520" t="str">
        <f t="shared" ca="1" si="41"/>
        <v/>
      </c>
      <c r="S458" s="430" t="str">
        <f ca="1"/>
        <v/>
      </c>
      <c r="T458" s="430" t="str">
        <f ca="1"/>
        <v/>
      </c>
      <c r="U458" s="430" t="str">
        <f ca="1"/>
        <v/>
      </c>
      <c r="V458" s="517" t="str">
        <f ca="1"/>
        <v/>
      </c>
      <c r="W458" s="518" t="str">
        <f ca="1"/>
        <v/>
      </c>
      <c r="X458" s="430" t="str">
        <f ca="1"/>
        <v/>
      </c>
      <c r="Y458" s="864" t="str">
        <f t="shared" ca="1" si="37"/>
        <v/>
      </c>
      <c r="AA458" s="828">
        <v>440</v>
      </c>
      <c r="AB458" s="1100"/>
      <c r="AC458" s="1079"/>
      <c r="AD458" s="1067"/>
      <c r="AE458" s="1076"/>
      <c r="AF458" s="1076"/>
      <c r="AG458" s="1048"/>
      <c r="AH458" s="1077"/>
      <c r="AI458" s="1076"/>
      <c r="AJ458" s="1078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38"/>
        <v/>
      </c>
      <c r="G459" s="520" t="str">
        <f t="shared" ca="1" si="39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36"/>
        <v/>
      </c>
      <c r="P459" s="742">
        <v>441</v>
      </c>
      <c r="Q459" s="517" t="str">
        <f t="shared" ca="1" si="40"/>
        <v/>
      </c>
      <c r="R459" s="520" t="str">
        <f t="shared" ca="1" si="41"/>
        <v/>
      </c>
      <c r="S459" s="430" t="str">
        <f ca="1"/>
        <v/>
      </c>
      <c r="T459" s="430" t="str">
        <f ca="1"/>
        <v/>
      </c>
      <c r="U459" s="430" t="str">
        <f ca="1"/>
        <v/>
      </c>
      <c r="V459" s="517" t="str">
        <f ca="1"/>
        <v/>
      </c>
      <c r="W459" s="518" t="str">
        <f ca="1"/>
        <v/>
      </c>
      <c r="X459" s="430" t="str">
        <f ca="1"/>
        <v/>
      </c>
      <c r="Y459" s="864" t="str">
        <f t="shared" ca="1" si="37"/>
        <v/>
      </c>
      <c r="AA459" s="828">
        <v>441</v>
      </c>
      <c r="AB459" s="1100"/>
      <c r="AC459" s="1079"/>
      <c r="AD459" s="1067"/>
      <c r="AE459" s="1076"/>
      <c r="AF459" s="1076"/>
      <c r="AG459" s="1048"/>
      <c r="AH459" s="1077"/>
      <c r="AI459" s="1076"/>
      <c r="AJ459" s="1078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38"/>
        <v/>
      </c>
      <c r="G460" s="520" t="str">
        <f t="shared" ca="1" si="39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36"/>
        <v/>
      </c>
      <c r="P460" s="742">
        <v>442</v>
      </c>
      <c r="Q460" s="517" t="str">
        <f t="shared" ca="1" si="40"/>
        <v/>
      </c>
      <c r="R460" s="520" t="str">
        <f t="shared" ca="1" si="41"/>
        <v/>
      </c>
      <c r="S460" s="430" t="str">
        <f ca="1"/>
        <v/>
      </c>
      <c r="T460" s="430" t="str">
        <f ca="1"/>
        <v/>
      </c>
      <c r="U460" s="430" t="str">
        <f ca="1"/>
        <v/>
      </c>
      <c r="V460" s="517" t="str">
        <f ca="1"/>
        <v/>
      </c>
      <c r="W460" s="518" t="str">
        <f ca="1"/>
        <v/>
      </c>
      <c r="X460" s="430" t="str">
        <f ca="1"/>
        <v/>
      </c>
      <c r="Y460" s="864" t="str">
        <f t="shared" ca="1" si="37"/>
        <v/>
      </c>
      <c r="AA460" s="828">
        <v>442</v>
      </c>
      <c r="AB460" s="1100"/>
      <c r="AC460" s="1079"/>
      <c r="AD460" s="1067"/>
      <c r="AE460" s="1076"/>
      <c r="AF460" s="1076"/>
      <c r="AG460" s="1048"/>
      <c r="AH460" s="1077"/>
      <c r="AI460" s="1076"/>
      <c r="AJ460" s="1078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38"/>
        <v/>
      </c>
      <c r="G461" s="520" t="str">
        <f t="shared" ca="1" si="39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36"/>
        <v/>
      </c>
      <c r="P461" s="742">
        <v>443</v>
      </c>
      <c r="Q461" s="517" t="str">
        <f t="shared" ca="1" si="40"/>
        <v/>
      </c>
      <c r="R461" s="520" t="str">
        <f t="shared" ca="1" si="41"/>
        <v/>
      </c>
      <c r="S461" s="430" t="str">
        <f ca="1"/>
        <v/>
      </c>
      <c r="T461" s="430" t="str">
        <f ca="1"/>
        <v/>
      </c>
      <c r="U461" s="430" t="str">
        <f ca="1"/>
        <v/>
      </c>
      <c r="V461" s="517" t="str">
        <f ca="1"/>
        <v/>
      </c>
      <c r="W461" s="518" t="str">
        <f ca="1"/>
        <v/>
      </c>
      <c r="X461" s="430" t="str">
        <f ca="1"/>
        <v/>
      </c>
      <c r="Y461" s="864" t="str">
        <f t="shared" ca="1" si="37"/>
        <v/>
      </c>
      <c r="AA461" s="828">
        <v>443</v>
      </c>
      <c r="AB461" s="1100"/>
      <c r="AC461" s="1079"/>
      <c r="AD461" s="1067"/>
      <c r="AE461" s="1076"/>
      <c r="AF461" s="1076"/>
      <c r="AG461" s="1048"/>
      <c r="AH461" s="1077"/>
      <c r="AI461" s="1076"/>
      <c r="AJ461" s="1078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38"/>
        <v/>
      </c>
      <c r="G462" s="520" t="str">
        <f t="shared" ca="1" si="39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36"/>
        <v/>
      </c>
      <c r="P462" s="742">
        <v>444</v>
      </c>
      <c r="Q462" s="517" t="str">
        <f t="shared" ca="1" si="40"/>
        <v/>
      </c>
      <c r="R462" s="520" t="str">
        <f t="shared" ca="1" si="41"/>
        <v/>
      </c>
      <c r="S462" s="430" t="str">
        <f ca="1"/>
        <v/>
      </c>
      <c r="T462" s="430" t="str">
        <f ca="1"/>
        <v/>
      </c>
      <c r="U462" s="430" t="str">
        <f ca="1"/>
        <v/>
      </c>
      <c r="V462" s="517" t="str">
        <f ca="1"/>
        <v/>
      </c>
      <c r="W462" s="518" t="str">
        <f ca="1"/>
        <v/>
      </c>
      <c r="X462" s="430" t="str">
        <f ca="1"/>
        <v/>
      </c>
      <c r="Y462" s="864" t="str">
        <f t="shared" ca="1" si="37"/>
        <v/>
      </c>
      <c r="AA462" s="828">
        <v>444</v>
      </c>
      <c r="AB462" s="1100"/>
      <c r="AC462" s="1079"/>
      <c r="AD462" s="1067"/>
      <c r="AE462" s="1076"/>
      <c r="AF462" s="1076"/>
      <c r="AG462" s="1048"/>
      <c r="AH462" s="1077"/>
      <c r="AI462" s="1076"/>
      <c r="AJ462" s="1078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38"/>
        <v/>
      </c>
      <c r="G463" s="520" t="str">
        <f t="shared" ca="1" si="39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36"/>
        <v/>
      </c>
      <c r="P463" s="742">
        <v>445</v>
      </c>
      <c r="Q463" s="517" t="str">
        <f t="shared" ca="1" si="40"/>
        <v/>
      </c>
      <c r="R463" s="520" t="str">
        <f t="shared" ca="1" si="41"/>
        <v/>
      </c>
      <c r="S463" s="430" t="str">
        <f ca="1"/>
        <v/>
      </c>
      <c r="T463" s="430" t="str">
        <f ca="1"/>
        <v/>
      </c>
      <c r="U463" s="430" t="str">
        <f ca="1"/>
        <v/>
      </c>
      <c r="V463" s="517" t="str">
        <f ca="1"/>
        <v/>
      </c>
      <c r="W463" s="518" t="str">
        <f ca="1"/>
        <v/>
      </c>
      <c r="X463" s="430" t="str">
        <f ca="1"/>
        <v/>
      </c>
      <c r="Y463" s="864" t="str">
        <f t="shared" ca="1" si="37"/>
        <v/>
      </c>
      <c r="AA463" s="828">
        <v>445</v>
      </c>
      <c r="AB463" s="1100"/>
      <c r="AC463" s="1079"/>
      <c r="AD463" s="1067"/>
      <c r="AE463" s="1076"/>
      <c r="AF463" s="1076"/>
      <c r="AG463" s="1048"/>
      <c r="AH463" s="1077"/>
      <c r="AI463" s="1076"/>
      <c r="AJ463" s="1078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38"/>
        <v/>
      </c>
      <c r="G464" s="520" t="str">
        <f t="shared" ca="1" si="39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36"/>
        <v/>
      </c>
      <c r="P464" s="742">
        <v>446</v>
      </c>
      <c r="Q464" s="517" t="str">
        <f t="shared" ca="1" si="40"/>
        <v/>
      </c>
      <c r="R464" s="520" t="str">
        <f t="shared" ca="1" si="41"/>
        <v/>
      </c>
      <c r="S464" s="430" t="str">
        <f ca="1"/>
        <v/>
      </c>
      <c r="T464" s="430" t="str">
        <f ca="1"/>
        <v/>
      </c>
      <c r="U464" s="430" t="str">
        <f ca="1"/>
        <v/>
      </c>
      <c r="V464" s="517" t="str">
        <f ca="1"/>
        <v/>
      </c>
      <c r="W464" s="518" t="str">
        <f ca="1"/>
        <v/>
      </c>
      <c r="X464" s="430" t="str">
        <f ca="1"/>
        <v/>
      </c>
      <c r="Y464" s="864" t="str">
        <f t="shared" ca="1" si="37"/>
        <v/>
      </c>
      <c r="AA464" s="828">
        <v>446</v>
      </c>
      <c r="AB464" s="1100"/>
      <c r="AC464" s="1079"/>
      <c r="AD464" s="1067"/>
      <c r="AE464" s="1076"/>
      <c r="AF464" s="1076"/>
      <c r="AG464" s="1048"/>
      <c r="AH464" s="1077"/>
      <c r="AI464" s="1076"/>
      <c r="AJ464" s="1078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38"/>
        <v/>
      </c>
      <c r="G465" s="520" t="str">
        <f t="shared" ca="1" si="39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36"/>
        <v/>
      </c>
      <c r="P465" s="742">
        <v>447</v>
      </c>
      <c r="Q465" s="517" t="str">
        <f t="shared" ca="1" si="40"/>
        <v/>
      </c>
      <c r="R465" s="520" t="str">
        <f t="shared" ca="1" si="41"/>
        <v/>
      </c>
      <c r="S465" s="430" t="str">
        <f ca="1"/>
        <v/>
      </c>
      <c r="T465" s="430" t="str">
        <f ca="1"/>
        <v/>
      </c>
      <c r="U465" s="430" t="str">
        <f ca="1"/>
        <v/>
      </c>
      <c r="V465" s="517" t="str">
        <f ca="1"/>
        <v/>
      </c>
      <c r="W465" s="518" t="str">
        <f ca="1"/>
        <v/>
      </c>
      <c r="X465" s="430" t="str">
        <f ca="1"/>
        <v/>
      </c>
      <c r="Y465" s="864" t="str">
        <f t="shared" ca="1" si="37"/>
        <v/>
      </c>
      <c r="AA465" s="828">
        <v>447</v>
      </c>
      <c r="AB465" s="1100"/>
      <c r="AC465" s="1079"/>
      <c r="AD465" s="1067"/>
      <c r="AE465" s="1076"/>
      <c r="AF465" s="1076"/>
      <c r="AG465" s="1048"/>
      <c r="AH465" s="1077"/>
      <c r="AI465" s="1076"/>
      <c r="AJ465" s="1078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38"/>
        <v/>
      </c>
      <c r="G466" s="520" t="str">
        <f t="shared" ca="1" si="39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36"/>
        <v/>
      </c>
      <c r="P466" s="742">
        <v>448</v>
      </c>
      <c r="Q466" s="517" t="str">
        <f t="shared" ca="1" si="40"/>
        <v/>
      </c>
      <c r="R466" s="520" t="str">
        <f t="shared" ca="1" si="41"/>
        <v/>
      </c>
      <c r="S466" s="430" t="str">
        <f ca="1"/>
        <v/>
      </c>
      <c r="T466" s="430" t="str">
        <f ca="1"/>
        <v/>
      </c>
      <c r="U466" s="430" t="str">
        <f ca="1"/>
        <v/>
      </c>
      <c r="V466" s="517" t="str">
        <f ca="1"/>
        <v/>
      </c>
      <c r="W466" s="518" t="str">
        <f ca="1"/>
        <v/>
      </c>
      <c r="X466" s="430" t="str">
        <f ca="1"/>
        <v/>
      </c>
      <c r="Y466" s="864" t="str">
        <f t="shared" ca="1" si="37"/>
        <v/>
      </c>
      <c r="AA466" s="828">
        <v>448</v>
      </c>
      <c r="AB466" s="1100"/>
      <c r="AC466" s="1079"/>
      <c r="AD466" s="1067"/>
      <c r="AE466" s="1076"/>
      <c r="AF466" s="1076"/>
      <c r="AG466" s="1048"/>
      <c r="AH466" s="1077"/>
      <c r="AI466" s="1076"/>
      <c r="AJ466" s="1078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38"/>
        <v/>
      </c>
      <c r="G467" s="520" t="str">
        <f t="shared" ca="1" si="39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2">IF($I467="","",VNS.FixedRate)</f>
        <v/>
      </c>
      <c r="P467" s="742">
        <v>449</v>
      </c>
      <c r="Q467" s="517" t="str">
        <f t="shared" ca="1" si="40"/>
        <v/>
      </c>
      <c r="R467" s="520" t="str">
        <f t="shared" ca="1" si="41"/>
        <v/>
      </c>
      <c r="S467" s="430" t="str">
        <f ca="1"/>
        <v/>
      </c>
      <c r="T467" s="430" t="str">
        <f ca="1"/>
        <v/>
      </c>
      <c r="U467" s="430" t="str">
        <f ca="1"/>
        <v/>
      </c>
      <c r="V467" s="517" t="str">
        <f ca="1"/>
        <v/>
      </c>
      <c r="W467" s="518" t="str">
        <f ca="1"/>
        <v/>
      </c>
      <c r="X467" s="430" t="str">
        <f ca="1"/>
        <v/>
      </c>
      <c r="Y467" s="864" t="str">
        <f t="shared" ref="Y467:Y518" ca="1" si="43">IF($T467="","",VNS.FloatSpread)</f>
        <v/>
      </c>
      <c r="AA467" s="828">
        <v>449</v>
      </c>
      <c r="AB467" s="1100"/>
      <c r="AC467" s="1079"/>
      <c r="AD467" s="1067"/>
      <c r="AE467" s="1076"/>
      <c r="AF467" s="1076"/>
      <c r="AG467" s="1048"/>
      <c r="AH467" s="1077"/>
      <c r="AI467" s="1076"/>
      <c r="AJ467" s="1078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4">IF($I468="","",IF(OR(VNS.FixedAmortization=0,VNS.FixedAmortization.Frequency=0),F467,IF(MOD(E468-1,VNS.FixedAmortization.Frequency)=0,F467-VNS.FixedAmortization,F467)))</f>
        <v/>
      </c>
      <c r="G468" s="520" t="str">
        <f t="shared" ref="G468:G518" ca="1" si="45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2"/>
        <v/>
      </c>
      <c r="P468" s="742">
        <v>450</v>
      </c>
      <c r="Q468" s="517" t="str">
        <f t="shared" ref="Q468:Q518" ca="1" si="46">IF($T468="","",IF(OR(VNS.FloatAmortization=0,VNS.FloatAmortization.Frequency=0),Q467,IF(MOD(P468-1,VNS.FloatAmortization.Frequency)=0,Q467-VNS.FloatAmortization,Q467)))</f>
        <v/>
      </c>
      <c r="R468" s="520" t="str">
        <f t="shared" ref="R468:R518" ca="1" si="47">IF(T468="","",1)</f>
        <v/>
      </c>
      <c r="S468" s="430" t="str">
        <f ca="1"/>
        <v/>
      </c>
      <c r="T468" s="430" t="str">
        <f ca="1"/>
        <v/>
      </c>
      <c r="U468" s="430" t="str">
        <f ca="1"/>
        <v/>
      </c>
      <c r="V468" s="517" t="str">
        <f ca="1"/>
        <v/>
      </c>
      <c r="W468" s="518" t="str">
        <f ca="1"/>
        <v/>
      </c>
      <c r="X468" s="430" t="str">
        <f ca="1"/>
        <v/>
      </c>
      <c r="Y468" s="864" t="str">
        <f t="shared" ca="1" si="43"/>
        <v/>
      </c>
      <c r="AA468" s="828">
        <v>450</v>
      </c>
      <c r="AB468" s="1100"/>
      <c r="AC468" s="1079"/>
      <c r="AD468" s="1067"/>
      <c r="AE468" s="1076"/>
      <c r="AF468" s="1076"/>
      <c r="AG468" s="1048"/>
      <c r="AH468" s="1077"/>
      <c r="AI468" s="1076"/>
      <c r="AJ468" s="1078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4"/>
        <v/>
      </c>
      <c r="G469" s="520" t="str">
        <f t="shared" ca="1" si="45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2"/>
        <v/>
      </c>
      <c r="P469" s="742">
        <v>451</v>
      </c>
      <c r="Q469" s="517" t="str">
        <f t="shared" ca="1" si="46"/>
        <v/>
      </c>
      <c r="R469" s="520" t="str">
        <f t="shared" ca="1" si="47"/>
        <v/>
      </c>
      <c r="S469" s="430" t="str">
        <f ca="1"/>
        <v/>
      </c>
      <c r="T469" s="430" t="str">
        <f ca="1"/>
        <v/>
      </c>
      <c r="U469" s="430" t="str">
        <f ca="1"/>
        <v/>
      </c>
      <c r="V469" s="517" t="str">
        <f ca="1"/>
        <v/>
      </c>
      <c r="W469" s="518" t="str">
        <f ca="1"/>
        <v/>
      </c>
      <c r="X469" s="430" t="str">
        <f ca="1"/>
        <v/>
      </c>
      <c r="Y469" s="864" t="str">
        <f t="shared" ca="1" si="43"/>
        <v/>
      </c>
      <c r="AA469" s="828">
        <v>451</v>
      </c>
      <c r="AB469" s="1100"/>
      <c r="AC469" s="1079"/>
      <c r="AD469" s="1067"/>
      <c r="AE469" s="1076"/>
      <c r="AF469" s="1076"/>
      <c r="AG469" s="1048"/>
      <c r="AH469" s="1077"/>
      <c r="AI469" s="1076"/>
      <c r="AJ469" s="1078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4"/>
        <v/>
      </c>
      <c r="G470" s="520" t="str">
        <f t="shared" ca="1" si="45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2"/>
        <v/>
      </c>
      <c r="P470" s="742">
        <v>452</v>
      </c>
      <c r="Q470" s="517" t="str">
        <f t="shared" ca="1" si="46"/>
        <v/>
      </c>
      <c r="R470" s="520" t="str">
        <f t="shared" ca="1" si="47"/>
        <v/>
      </c>
      <c r="S470" s="430" t="str">
        <f ca="1"/>
        <v/>
      </c>
      <c r="T470" s="430" t="str">
        <f ca="1"/>
        <v/>
      </c>
      <c r="U470" s="430" t="str">
        <f ca="1"/>
        <v/>
      </c>
      <c r="V470" s="517" t="str">
        <f ca="1"/>
        <v/>
      </c>
      <c r="W470" s="518" t="str">
        <f ca="1"/>
        <v/>
      </c>
      <c r="X470" s="430" t="str">
        <f ca="1"/>
        <v/>
      </c>
      <c r="Y470" s="864" t="str">
        <f t="shared" ca="1" si="43"/>
        <v/>
      </c>
      <c r="AA470" s="828">
        <v>452</v>
      </c>
      <c r="AB470" s="1100"/>
      <c r="AC470" s="1079"/>
      <c r="AD470" s="1067"/>
      <c r="AE470" s="1076"/>
      <c r="AF470" s="1076"/>
      <c r="AG470" s="1048"/>
      <c r="AH470" s="1077"/>
      <c r="AI470" s="1076"/>
      <c r="AJ470" s="1078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4"/>
        <v/>
      </c>
      <c r="G471" s="520" t="str">
        <f t="shared" ca="1" si="45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2"/>
        <v/>
      </c>
      <c r="P471" s="742">
        <v>453</v>
      </c>
      <c r="Q471" s="517" t="str">
        <f t="shared" ca="1" si="46"/>
        <v/>
      </c>
      <c r="R471" s="520" t="str">
        <f t="shared" ca="1" si="47"/>
        <v/>
      </c>
      <c r="S471" s="430" t="str">
        <f ca="1"/>
        <v/>
      </c>
      <c r="T471" s="430" t="str">
        <f ca="1"/>
        <v/>
      </c>
      <c r="U471" s="430" t="str">
        <f ca="1"/>
        <v/>
      </c>
      <c r="V471" s="517" t="str">
        <f ca="1"/>
        <v/>
      </c>
      <c r="W471" s="518" t="str">
        <f ca="1"/>
        <v/>
      </c>
      <c r="X471" s="430" t="str">
        <f ca="1"/>
        <v/>
      </c>
      <c r="Y471" s="864" t="str">
        <f t="shared" ca="1" si="43"/>
        <v/>
      </c>
      <c r="AA471" s="828">
        <v>453</v>
      </c>
      <c r="AB471" s="1100"/>
      <c r="AC471" s="1079"/>
      <c r="AD471" s="1067"/>
      <c r="AE471" s="1076"/>
      <c r="AF471" s="1076"/>
      <c r="AG471" s="1048"/>
      <c r="AH471" s="1077"/>
      <c r="AI471" s="1076"/>
      <c r="AJ471" s="1078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4"/>
        <v/>
      </c>
      <c r="G472" s="520" t="str">
        <f t="shared" ca="1" si="45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2"/>
        <v/>
      </c>
      <c r="P472" s="742">
        <v>454</v>
      </c>
      <c r="Q472" s="517" t="str">
        <f t="shared" ca="1" si="46"/>
        <v/>
      </c>
      <c r="R472" s="520" t="str">
        <f t="shared" ca="1" si="47"/>
        <v/>
      </c>
      <c r="S472" s="430" t="str">
        <f ca="1"/>
        <v/>
      </c>
      <c r="T472" s="430" t="str">
        <f ca="1"/>
        <v/>
      </c>
      <c r="U472" s="430" t="str">
        <f ca="1"/>
        <v/>
      </c>
      <c r="V472" s="517" t="str">
        <f ca="1"/>
        <v/>
      </c>
      <c r="W472" s="518" t="str">
        <f ca="1"/>
        <v/>
      </c>
      <c r="X472" s="430" t="str">
        <f ca="1"/>
        <v/>
      </c>
      <c r="Y472" s="864" t="str">
        <f t="shared" ca="1" si="43"/>
        <v/>
      </c>
      <c r="AA472" s="828">
        <v>454</v>
      </c>
      <c r="AB472" s="1100"/>
      <c r="AC472" s="1079"/>
      <c r="AD472" s="1067"/>
      <c r="AE472" s="1076"/>
      <c r="AF472" s="1076"/>
      <c r="AG472" s="1048"/>
      <c r="AH472" s="1077"/>
      <c r="AI472" s="1076"/>
      <c r="AJ472" s="1078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4"/>
        <v/>
      </c>
      <c r="G473" s="520" t="str">
        <f t="shared" ca="1" si="45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2"/>
        <v/>
      </c>
      <c r="P473" s="742">
        <v>455</v>
      </c>
      <c r="Q473" s="517" t="str">
        <f t="shared" ca="1" si="46"/>
        <v/>
      </c>
      <c r="R473" s="520" t="str">
        <f t="shared" ca="1" si="47"/>
        <v/>
      </c>
      <c r="S473" s="430" t="str">
        <f ca="1"/>
        <v/>
      </c>
      <c r="T473" s="430" t="str">
        <f ca="1"/>
        <v/>
      </c>
      <c r="U473" s="430" t="str">
        <f ca="1"/>
        <v/>
      </c>
      <c r="V473" s="517" t="str">
        <f ca="1"/>
        <v/>
      </c>
      <c r="W473" s="518" t="str">
        <f ca="1"/>
        <v/>
      </c>
      <c r="X473" s="430" t="str">
        <f ca="1"/>
        <v/>
      </c>
      <c r="Y473" s="864" t="str">
        <f t="shared" ca="1" si="43"/>
        <v/>
      </c>
      <c r="AA473" s="828">
        <v>455</v>
      </c>
      <c r="AB473" s="1100"/>
      <c r="AC473" s="1079"/>
      <c r="AD473" s="1067"/>
      <c r="AE473" s="1076"/>
      <c r="AF473" s="1076"/>
      <c r="AG473" s="1048"/>
      <c r="AH473" s="1077"/>
      <c r="AI473" s="1076"/>
      <c r="AJ473" s="1078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4"/>
        <v/>
      </c>
      <c r="G474" s="520" t="str">
        <f t="shared" ca="1" si="45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2"/>
        <v/>
      </c>
      <c r="P474" s="742">
        <v>456</v>
      </c>
      <c r="Q474" s="517" t="str">
        <f t="shared" ca="1" si="46"/>
        <v/>
      </c>
      <c r="R474" s="520" t="str">
        <f t="shared" ca="1" si="47"/>
        <v/>
      </c>
      <c r="S474" s="430" t="str">
        <f ca="1"/>
        <v/>
      </c>
      <c r="T474" s="430" t="str">
        <f ca="1"/>
        <v/>
      </c>
      <c r="U474" s="430" t="str">
        <f ca="1"/>
        <v/>
      </c>
      <c r="V474" s="517" t="str">
        <f ca="1"/>
        <v/>
      </c>
      <c r="W474" s="518" t="str">
        <f ca="1"/>
        <v/>
      </c>
      <c r="X474" s="430" t="str">
        <f ca="1"/>
        <v/>
      </c>
      <c r="Y474" s="864" t="str">
        <f t="shared" ca="1" si="43"/>
        <v/>
      </c>
      <c r="AA474" s="828">
        <v>456</v>
      </c>
      <c r="AB474" s="1100"/>
      <c r="AC474" s="1079"/>
      <c r="AD474" s="1067"/>
      <c r="AE474" s="1076"/>
      <c r="AF474" s="1076"/>
      <c r="AG474" s="1048"/>
      <c r="AH474" s="1077"/>
      <c r="AI474" s="1076"/>
      <c r="AJ474" s="1078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4"/>
        <v/>
      </c>
      <c r="G475" s="520" t="str">
        <f t="shared" ca="1" si="45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2"/>
        <v/>
      </c>
      <c r="P475" s="742">
        <v>457</v>
      </c>
      <c r="Q475" s="517" t="str">
        <f t="shared" ca="1" si="46"/>
        <v/>
      </c>
      <c r="R475" s="520" t="str">
        <f t="shared" ca="1" si="47"/>
        <v/>
      </c>
      <c r="S475" s="430" t="str">
        <f ca="1"/>
        <v/>
      </c>
      <c r="T475" s="430" t="str">
        <f ca="1"/>
        <v/>
      </c>
      <c r="U475" s="430" t="str">
        <f ca="1"/>
        <v/>
      </c>
      <c r="V475" s="517" t="str">
        <f ca="1"/>
        <v/>
      </c>
      <c r="W475" s="518" t="str">
        <f ca="1"/>
        <v/>
      </c>
      <c r="X475" s="430" t="str">
        <f ca="1"/>
        <v/>
      </c>
      <c r="Y475" s="864" t="str">
        <f t="shared" ca="1" si="43"/>
        <v/>
      </c>
      <c r="AA475" s="828">
        <v>457</v>
      </c>
      <c r="AB475" s="1100"/>
      <c r="AC475" s="1079"/>
      <c r="AD475" s="1067"/>
      <c r="AE475" s="1076"/>
      <c r="AF475" s="1076"/>
      <c r="AG475" s="1048"/>
      <c r="AH475" s="1077"/>
      <c r="AI475" s="1076"/>
      <c r="AJ475" s="1078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4"/>
        <v/>
      </c>
      <c r="G476" s="520" t="str">
        <f t="shared" ca="1" si="45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2"/>
        <v/>
      </c>
      <c r="P476" s="742">
        <v>458</v>
      </c>
      <c r="Q476" s="517" t="str">
        <f t="shared" ca="1" si="46"/>
        <v/>
      </c>
      <c r="R476" s="520" t="str">
        <f t="shared" ca="1" si="47"/>
        <v/>
      </c>
      <c r="S476" s="430" t="str">
        <f ca="1"/>
        <v/>
      </c>
      <c r="T476" s="430" t="str">
        <f ca="1"/>
        <v/>
      </c>
      <c r="U476" s="430" t="str">
        <f ca="1"/>
        <v/>
      </c>
      <c r="V476" s="517" t="str">
        <f ca="1"/>
        <v/>
      </c>
      <c r="W476" s="518" t="str">
        <f ca="1"/>
        <v/>
      </c>
      <c r="X476" s="430" t="str">
        <f ca="1"/>
        <v/>
      </c>
      <c r="Y476" s="864" t="str">
        <f t="shared" ca="1" si="43"/>
        <v/>
      </c>
      <c r="AA476" s="828">
        <v>458</v>
      </c>
      <c r="AB476" s="1100"/>
      <c r="AC476" s="1079"/>
      <c r="AD476" s="1067"/>
      <c r="AE476" s="1076"/>
      <c r="AF476" s="1076"/>
      <c r="AG476" s="1048"/>
      <c r="AH476" s="1077"/>
      <c r="AI476" s="1076"/>
      <c r="AJ476" s="1078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4"/>
        <v/>
      </c>
      <c r="G477" s="520" t="str">
        <f t="shared" ca="1" si="45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2"/>
        <v/>
      </c>
      <c r="P477" s="742">
        <v>459</v>
      </c>
      <c r="Q477" s="517" t="str">
        <f t="shared" ca="1" si="46"/>
        <v/>
      </c>
      <c r="R477" s="520" t="str">
        <f t="shared" ca="1" si="47"/>
        <v/>
      </c>
      <c r="S477" s="430" t="str">
        <f ca="1"/>
        <v/>
      </c>
      <c r="T477" s="430" t="str">
        <f ca="1"/>
        <v/>
      </c>
      <c r="U477" s="430" t="str">
        <f ca="1"/>
        <v/>
      </c>
      <c r="V477" s="517" t="str">
        <f ca="1"/>
        <v/>
      </c>
      <c r="W477" s="518" t="str">
        <f ca="1"/>
        <v/>
      </c>
      <c r="X477" s="430" t="str">
        <f ca="1"/>
        <v/>
      </c>
      <c r="Y477" s="864" t="str">
        <f t="shared" ca="1" si="43"/>
        <v/>
      </c>
      <c r="AA477" s="828">
        <v>459</v>
      </c>
      <c r="AB477" s="1100"/>
      <c r="AC477" s="1079"/>
      <c r="AD477" s="1067"/>
      <c r="AE477" s="1076"/>
      <c r="AF477" s="1076"/>
      <c r="AG477" s="1048"/>
      <c r="AH477" s="1077"/>
      <c r="AI477" s="1076"/>
      <c r="AJ477" s="1078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4"/>
        <v/>
      </c>
      <c r="G478" s="520" t="str">
        <f t="shared" ca="1" si="45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2"/>
        <v/>
      </c>
      <c r="P478" s="742">
        <v>460</v>
      </c>
      <c r="Q478" s="517" t="str">
        <f t="shared" ca="1" si="46"/>
        <v/>
      </c>
      <c r="R478" s="520" t="str">
        <f t="shared" ca="1" si="47"/>
        <v/>
      </c>
      <c r="S478" s="430" t="str">
        <f ca="1"/>
        <v/>
      </c>
      <c r="T478" s="430" t="str">
        <f ca="1"/>
        <v/>
      </c>
      <c r="U478" s="430" t="str">
        <f ca="1"/>
        <v/>
      </c>
      <c r="V478" s="517" t="str">
        <f ca="1"/>
        <v/>
      </c>
      <c r="W478" s="518" t="str">
        <f ca="1"/>
        <v/>
      </c>
      <c r="X478" s="430" t="str">
        <f ca="1"/>
        <v/>
      </c>
      <c r="Y478" s="864" t="str">
        <f t="shared" ca="1" si="43"/>
        <v/>
      </c>
      <c r="AA478" s="828">
        <v>460</v>
      </c>
      <c r="AB478" s="1100"/>
      <c r="AC478" s="1079"/>
      <c r="AD478" s="1067"/>
      <c r="AE478" s="1076"/>
      <c r="AF478" s="1076"/>
      <c r="AG478" s="1048"/>
      <c r="AH478" s="1077"/>
      <c r="AI478" s="1076"/>
      <c r="AJ478" s="1078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4"/>
        <v/>
      </c>
      <c r="G479" s="520" t="str">
        <f t="shared" ca="1" si="45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2"/>
        <v/>
      </c>
      <c r="P479" s="742">
        <v>461</v>
      </c>
      <c r="Q479" s="517" t="str">
        <f t="shared" ca="1" si="46"/>
        <v/>
      </c>
      <c r="R479" s="520" t="str">
        <f t="shared" ca="1" si="47"/>
        <v/>
      </c>
      <c r="S479" s="430" t="str">
        <f ca="1"/>
        <v/>
      </c>
      <c r="T479" s="430" t="str">
        <f ca="1"/>
        <v/>
      </c>
      <c r="U479" s="430" t="str">
        <f ca="1"/>
        <v/>
      </c>
      <c r="V479" s="517" t="str">
        <f ca="1"/>
        <v/>
      </c>
      <c r="W479" s="518" t="str">
        <f ca="1"/>
        <v/>
      </c>
      <c r="X479" s="430" t="str">
        <f ca="1"/>
        <v/>
      </c>
      <c r="Y479" s="864" t="str">
        <f t="shared" ca="1" si="43"/>
        <v/>
      </c>
      <c r="AA479" s="828">
        <v>461</v>
      </c>
      <c r="AB479" s="1100"/>
      <c r="AC479" s="1079"/>
      <c r="AD479" s="1067"/>
      <c r="AE479" s="1076"/>
      <c r="AF479" s="1076"/>
      <c r="AG479" s="1048"/>
      <c r="AH479" s="1077"/>
      <c r="AI479" s="1076"/>
      <c r="AJ479" s="1078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4"/>
        <v/>
      </c>
      <c r="G480" s="520" t="str">
        <f t="shared" ca="1" si="45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2"/>
        <v/>
      </c>
      <c r="P480" s="742">
        <v>462</v>
      </c>
      <c r="Q480" s="517" t="str">
        <f t="shared" ca="1" si="46"/>
        <v/>
      </c>
      <c r="R480" s="520" t="str">
        <f t="shared" ca="1" si="47"/>
        <v/>
      </c>
      <c r="S480" s="430" t="str">
        <f ca="1"/>
        <v/>
      </c>
      <c r="T480" s="430" t="str">
        <f ca="1"/>
        <v/>
      </c>
      <c r="U480" s="430" t="str">
        <f ca="1"/>
        <v/>
      </c>
      <c r="V480" s="517" t="str">
        <f ca="1"/>
        <v/>
      </c>
      <c r="W480" s="518" t="str">
        <f ca="1"/>
        <v/>
      </c>
      <c r="X480" s="430" t="str">
        <f ca="1"/>
        <v/>
      </c>
      <c r="Y480" s="864" t="str">
        <f t="shared" ca="1" si="43"/>
        <v/>
      </c>
      <c r="AA480" s="828">
        <v>462</v>
      </c>
      <c r="AB480" s="1100"/>
      <c r="AC480" s="1079"/>
      <c r="AD480" s="1067"/>
      <c r="AE480" s="1076"/>
      <c r="AF480" s="1076"/>
      <c r="AG480" s="1048"/>
      <c r="AH480" s="1077"/>
      <c r="AI480" s="1076"/>
      <c r="AJ480" s="1078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4"/>
        <v/>
      </c>
      <c r="G481" s="520" t="str">
        <f t="shared" ca="1" si="45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2"/>
        <v/>
      </c>
      <c r="P481" s="742">
        <v>463</v>
      </c>
      <c r="Q481" s="517" t="str">
        <f t="shared" ca="1" si="46"/>
        <v/>
      </c>
      <c r="R481" s="520" t="str">
        <f t="shared" ca="1" si="47"/>
        <v/>
      </c>
      <c r="S481" s="430" t="str">
        <f ca="1"/>
        <v/>
      </c>
      <c r="T481" s="430" t="str">
        <f ca="1"/>
        <v/>
      </c>
      <c r="U481" s="430" t="str">
        <f ca="1"/>
        <v/>
      </c>
      <c r="V481" s="517" t="str">
        <f ca="1"/>
        <v/>
      </c>
      <c r="W481" s="518" t="str">
        <f ca="1"/>
        <v/>
      </c>
      <c r="X481" s="430" t="str">
        <f ca="1"/>
        <v/>
      </c>
      <c r="Y481" s="864" t="str">
        <f t="shared" ca="1" si="43"/>
        <v/>
      </c>
      <c r="AA481" s="828">
        <v>463</v>
      </c>
      <c r="AB481" s="1100"/>
      <c r="AC481" s="1079"/>
      <c r="AD481" s="1067"/>
      <c r="AE481" s="1076"/>
      <c r="AF481" s="1076"/>
      <c r="AG481" s="1048"/>
      <c r="AH481" s="1077"/>
      <c r="AI481" s="1076"/>
      <c r="AJ481" s="1078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4"/>
        <v/>
      </c>
      <c r="G482" s="520" t="str">
        <f t="shared" ca="1" si="45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2"/>
        <v/>
      </c>
      <c r="P482" s="742">
        <v>464</v>
      </c>
      <c r="Q482" s="517" t="str">
        <f t="shared" ca="1" si="46"/>
        <v/>
      </c>
      <c r="R482" s="520" t="str">
        <f t="shared" ca="1" si="47"/>
        <v/>
      </c>
      <c r="S482" s="430" t="str">
        <f ca="1"/>
        <v/>
      </c>
      <c r="T482" s="430" t="str">
        <f ca="1"/>
        <v/>
      </c>
      <c r="U482" s="430" t="str">
        <f ca="1"/>
        <v/>
      </c>
      <c r="V482" s="517" t="str">
        <f ca="1"/>
        <v/>
      </c>
      <c r="W482" s="518" t="str">
        <f ca="1"/>
        <v/>
      </c>
      <c r="X482" s="430" t="str">
        <f ca="1"/>
        <v/>
      </c>
      <c r="Y482" s="864" t="str">
        <f t="shared" ca="1" si="43"/>
        <v/>
      </c>
      <c r="AA482" s="828">
        <v>464</v>
      </c>
      <c r="AB482" s="1100"/>
      <c r="AC482" s="1079"/>
      <c r="AD482" s="1067"/>
      <c r="AE482" s="1076"/>
      <c r="AF482" s="1076"/>
      <c r="AG482" s="1048"/>
      <c r="AH482" s="1077"/>
      <c r="AI482" s="1076"/>
      <c r="AJ482" s="1078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4"/>
        <v/>
      </c>
      <c r="G483" s="520" t="str">
        <f t="shared" ca="1" si="45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2"/>
        <v/>
      </c>
      <c r="P483" s="742">
        <v>465</v>
      </c>
      <c r="Q483" s="517" t="str">
        <f t="shared" ca="1" si="46"/>
        <v/>
      </c>
      <c r="R483" s="520" t="str">
        <f t="shared" ca="1" si="47"/>
        <v/>
      </c>
      <c r="S483" s="430" t="str">
        <f ca="1"/>
        <v/>
      </c>
      <c r="T483" s="430" t="str">
        <f ca="1"/>
        <v/>
      </c>
      <c r="U483" s="430" t="str">
        <f ca="1"/>
        <v/>
      </c>
      <c r="V483" s="517" t="str">
        <f ca="1"/>
        <v/>
      </c>
      <c r="W483" s="518" t="str">
        <f ca="1"/>
        <v/>
      </c>
      <c r="X483" s="430" t="str">
        <f ca="1"/>
        <v/>
      </c>
      <c r="Y483" s="864" t="str">
        <f t="shared" ca="1" si="43"/>
        <v/>
      </c>
      <c r="AA483" s="828">
        <v>465</v>
      </c>
      <c r="AB483" s="1100"/>
      <c r="AC483" s="1079"/>
      <c r="AD483" s="1067"/>
      <c r="AE483" s="1076"/>
      <c r="AF483" s="1076"/>
      <c r="AG483" s="1048"/>
      <c r="AH483" s="1077"/>
      <c r="AI483" s="1076"/>
      <c r="AJ483" s="1078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4"/>
        <v/>
      </c>
      <c r="G484" s="520" t="str">
        <f t="shared" ca="1" si="45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2"/>
        <v/>
      </c>
      <c r="P484" s="742">
        <v>466</v>
      </c>
      <c r="Q484" s="517" t="str">
        <f t="shared" ca="1" si="46"/>
        <v/>
      </c>
      <c r="R484" s="520" t="str">
        <f t="shared" ca="1" si="47"/>
        <v/>
      </c>
      <c r="S484" s="430" t="str">
        <f ca="1"/>
        <v/>
      </c>
      <c r="T484" s="430" t="str">
        <f ca="1"/>
        <v/>
      </c>
      <c r="U484" s="430" t="str">
        <f ca="1"/>
        <v/>
      </c>
      <c r="V484" s="517" t="str">
        <f ca="1"/>
        <v/>
      </c>
      <c r="W484" s="518" t="str">
        <f ca="1"/>
        <v/>
      </c>
      <c r="X484" s="430" t="str">
        <f ca="1"/>
        <v/>
      </c>
      <c r="Y484" s="864" t="str">
        <f t="shared" ca="1" si="43"/>
        <v/>
      </c>
      <c r="AA484" s="828">
        <v>466</v>
      </c>
      <c r="AB484" s="1100"/>
      <c r="AC484" s="1079"/>
      <c r="AD484" s="1067"/>
      <c r="AE484" s="1076"/>
      <c r="AF484" s="1076"/>
      <c r="AG484" s="1048"/>
      <c r="AH484" s="1077"/>
      <c r="AI484" s="1076"/>
      <c r="AJ484" s="1078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4"/>
        <v/>
      </c>
      <c r="G485" s="520" t="str">
        <f t="shared" ca="1" si="45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2"/>
        <v/>
      </c>
      <c r="P485" s="742">
        <v>467</v>
      </c>
      <c r="Q485" s="517" t="str">
        <f t="shared" ca="1" si="46"/>
        <v/>
      </c>
      <c r="R485" s="520" t="str">
        <f t="shared" ca="1" si="47"/>
        <v/>
      </c>
      <c r="S485" s="430" t="str">
        <f ca="1"/>
        <v/>
      </c>
      <c r="T485" s="430" t="str">
        <f ca="1"/>
        <v/>
      </c>
      <c r="U485" s="430" t="str">
        <f ca="1"/>
        <v/>
      </c>
      <c r="V485" s="517" t="str">
        <f ca="1"/>
        <v/>
      </c>
      <c r="W485" s="518" t="str">
        <f ca="1"/>
        <v/>
      </c>
      <c r="X485" s="430" t="str">
        <f ca="1"/>
        <v/>
      </c>
      <c r="Y485" s="864" t="str">
        <f t="shared" ca="1" si="43"/>
        <v/>
      </c>
      <c r="AA485" s="828">
        <v>467</v>
      </c>
      <c r="AB485" s="1100"/>
      <c r="AC485" s="1079"/>
      <c r="AD485" s="1067"/>
      <c r="AE485" s="1076"/>
      <c r="AF485" s="1076"/>
      <c r="AG485" s="1048"/>
      <c r="AH485" s="1077"/>
      <c r="AI485" s="1076"/>
      <c r="AJ485" s="1078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4"/>
        <v/>
      </c>
      <c r="G486" s="520" t="str">
        <f t="shared" ca="1" si="45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2"/>
        <v/>
      </c>
      <c r="P486" s="742">
        <v>468</v>
      </c>
      <c r="Q486" s="517" t="str">
        <f t="shared" ca="1" si="46"/>
        <v/>
      </c>
      <c r="R486" s="520" t="str">
        <f t="shared" ca="1" si="47"/>
        <v/>
      </c>
      <c r="S486" s="430" t="str">
        <f ca="1"/>
        <v/>
      </c>
      <c r="T486" s="430" t="str">
        <f ca="1"/>
        <v/>
      </c>
      <c r="U486" s="430" t="str">
        <f ca="1"/>
        <v/>
      </c>
      <c r="V486" s="517" t="str">
        <f ca="1"/>
        <v/>
      </c>
      <c r="W486" s="518" t="str">
        <f ca="1"/>
        <v/>
      </c>
      <c r="X486" s="430" t="str">
        <f ca="1"/>
        <v/>
      </c>
      <c r="Y486" s="864" t="str">
        <f t="shared" ca="1" si="43"/>
        <v/>
      </c>
      <c r="AA486" s="828">
        <v>468</v>
      </c>
      <c r="AB486" s="1100"/>
      <c r="AC486" s="1079"/>
      <c r="AD486" s="1067"/>
      <c r="AE486" s="1076"/>
      <c r="AF486" s="1076"/>
      <c r="AG486" s="1048"/>
      <c r="AH486" s="1077"/>
      <c r="AI486" s="1076"/>
      <c r="AJ486" s="1078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4"/>
        <v/>
      </c>
      <c r="G487" s="520" t="str">
        <f t="shared" ca="1" si="45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2"/>
        <v/>
      </c>
      <c r="P487" s="742">
        <v>469</v>
      </c>
      <c r="Q487" s="517" t="str">
        <f t="shared" ca="1" si="46"/>
        <v/>
      </c>
      <c r="R487" s="520" t="str">
        <f t="shared" ca="1" si="47"/>
        <v/>
      </c>
      <c r="S487" s="430" t="str">
        <f ca="1"/>
        <v/>
      </c>
      <c r="T487" s="430" t="str">
        <f ca="1"/>
        <v/>
      </c>
      <c r="U487" s="430" t="str">
        <f ca="1"/>
        <v/>
      </c>
      <c r="V487" s="517" t="str">
        <f ca="1"/>
        <v/>
      </c>
      <c r="W487" s="518" t="str">
        <f ca="1"/>
        <v/>
      </c>
      <c r="X487" s="430" t="str">
        <f ca="1"/>
        <v/>
      </c>
      <c r="Y487" s="864" t="str">
        <f t="shared" ca="1" si="43"/>
        <v/>
      </c>
      <c r="AA487" s="828">
        <v>469</v>
      </c>
      <c r="AB487" s="1100"/>
      <c r="AC487" s="1079"/>
      <c r="AD487" s="1067"/>
      <c r="AE487" s="1076"/>
      <c r="AF487" s="1076"/>
      <c r="AG487" s="1048"/>
      <c r="AH487" s="1077"/>
      <c r="AI487" s="1076"/>
      <c r="AJ487" s="1078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4"/>
        <v/>
      </c>
      <c r="G488" s="520" t="str">
        <f t="shared" ca="1" si="45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2"/>
        <v/>
      </c>
      <c r="P488" s="742">
        <v>470</v>
      </c>
      <c r="Q488" s="517" t="str">
        <f t="shared" ca="1" si="46"/>
        <v/>
      </c>
      <c r="R488" s="520" t="str">
        <f t="shared" ca="1" si="47"/>
        <v/>
      </c>
      <c r="S488" s="430" t="str">
        <f ca="1"/>
        <v/>
      </c>
      <c r="T488" s="430" t="str">
        <f ca="1"/>
        <v/>
      </c>
      <c r="U488" s="430" t="str">
        <f ca="1"/>
        <v/>
      </c>
      <c r="V488" s="517" t="str">
        <f ca="1"/>
        <v/>
      </c>
      <c r="W488" s="518" t="str">
        <f ca="1"/>
        <v/>
      </c>
      <c r="X488" s="430" t="str">
        <f ca="1"/>
        <v/>
      </c>
      <c r="Y488" s="864" t="str">
        <f t="shared" ca="1" si="43"/>
        <v/>
      </c>
      <c r="AA488" s="828">
        <v>470</v>
      </c>
      <c r="AB488" s="1100"/>
      <c r="AC488" s="1079"/>
      <c r="AD488" s="1067"/>
      <c r="AE488" s="1076"/>
      <c r="AF488" s="1076"/>
      <c r="AG488" s="1048"/>
      <c r="AH488" s="1077"/>
      <c r="AI488" s="1076"/>
      <c r="AJ488" s="1078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4"/>
        <v/>
      </c>
      <c r="G489" s="520" t="str">
        <f t="shared" ca="1" si="45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2"/>
        <v/>
      </c>
      <c r="P489" s="742">
        <v>471</v>
      </c>
      <c r="Q489" s="517" t="str">
        <f t="shared" ca="1" si="46"/>
        <v/>
      </c>
      <c r="R489" s="520" t="str">
        <f t="shared" ca="1" si="47"/>
        <v/>
      </c>
      <c r="S489" s="430" t="str">
        <f ca="1"/>
        <v/>
      </c>
      <c r="T489" s="430" t="str">
        <f ca="1"/>
        <v/>
      </c>
      <c r="U489" s="430" t="str">
        <f ca="1"/>
        <v/>
      </c>
      <c r="V489" s="517" t="str">
        <f ca="1"/>
        <v/>
      </c>
      <c r="W489" s="518" t="str">
        <f ca="1"/>
        <v/>
      </c>
      <c r="X489" s="430" t="str">
        <f ca="1"/>
        <v/>
      </c>
      <c r="Y489" s="864" t="str">
        <f t="shared" ca="1" si="43"/>
        <v/>
      </c>
      <c r="AA489" s="828">
        <v>471</v>
      </c>
      <c r="AB489" s="1100"/>
      <c r="AC489" s="1079"/>
      <c r="AD489" s="1067"/>
      <c r="AE489" s="1076"/>
      <c r="AF489" s="1076"/>
      <c r="AG489" s="1048"/>
      <c r="AH489" s="1077"/>
      <c r="AI489" s="1076"/>
      <c r="AJ489" s="1078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4"/>
        <v/>
      </c>
      <c r="G490" s="520" t="str">
        <f t="shared" ca="1" si="45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2"/>
        <v/>
      </c>
      <c r="P490" s="742">
        <v>472</v>
      </c>
      <c r="Q490" s="517" t="str">
        <f t="shared" ca="1" si="46"/>
        <v/>
      </c>
      <c r="R490" s="520" t="str">
        <f t="shared" ca="1" si="47"/>
        <v/>
      </c>
      <c r="S490" s="430" t="str">
        <f ca="1"/>
        <v/>
      </c>
      <c r="T490" s="430" t="str">
        <f ca="1"/>
        <v/>
      </c>
      <c r="U490" s="430" t="str">
        <f ca="1"/>
        <v/>
      </c>
      <c r="V490" s="517" t="str">
        <f ca="1"/>
        <v/>
      </c>
      <c r="W490" s="518" t="str">
        <f ca="1"/>
        <v/>
      </c>
      <c r="X490" s="430" t="str">
        <f ca="1"/>
        <v/>
      </c>
      <c r="Y490" s="864" t="str">
        <f t="shared" ca="1" si="43"/>
        <v/>
      </c>
      <c r="AA490" s="828">
        <v>472</v>
      </c>
      <c r="AB490" s="1100"/>
      <c r="AC490" s="1079"/>
      <c r="AD490" s="1067"/>
      <c r="AE490" s="1076"/>
      <c r="AF490" s="1076"/>
      <c r="AG490" s="1048"/>
      <c r="AH490" s="1077"/>
      <c r="AI490" s="1076"/>
      <c r="AJ490" s="1078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4"/>
        <v/>
      </c>
      <c r="G491" s="520" t="str">
        <f t="shared" ca="1" si="45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2"/>
        <v/>
      </c>
      <c r="P491" s="742">
        <v>473</v>
      </c>
      <c r="Q491" s="517" t="str">
        <f t="shared" ca="1" si="46"/>
        <v/>
      </c>
      <c r="R491" s="520" t="str">
        <f t="shared" ca="1" si="47"/>
        <v/>
      </c>
      <c r="S491" s="430" t="str">
        <f ca="1"/>
        <v/>
      </c>
      <c r="T491" s="430" t="str">
        <f ca="1"/>
        <v/>
      </c>
      <c r="U491" s="430" t="str">
        <f ca="1"/>
        <v/>
      </c>
      <c r="V491" s="517" t="str">
        <f ca="1"/>
        <v/>
      </c>
      <c r="W491" s="518" t="str">
        <f ca="1"/>
        <v/>
      </c>
      <c r="X491" s="430" t="str">
        <f ca="1"/>
        <v/>
      </c>
      <c r="Y491" s="864" t="str">
        <f t="shared" ca="1" si="43"/>
        <v/>
      </c>
      <c r="AA491" s="828">
        <v>473</v>
      </c>
      <c r="AB491" s="1100"/>
      <c r="AC491" s="1079"/>
      <c r="AD491" s="1067"/>
      <c r="AE491" s="1076"/>
      <c r="AF491" s="1076"/>
      <c r="AG491" s="1048"/>
      <c r="AH491" s="1077"/>
      <c r="AI491" s="1076"/>
      <c r="AJ491" s="1078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4"/>
        <v/>
      </c>
      <c r="G492" s="520" t="str">
        <f t="shared" ca="1" si="45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2"/>
        <v/>
      </c>
      <c r="P492" s="742">
        <v>474</v>
      </c>
      <c r="Q492" s="517" t="str">
        <f t="shared" ca="1" si="46"/>
        <v/>
      </c>
      <c r="R492" s="520" t="str">
        <f t="shared" ca="1" si="47"/>
        <v/>
      </c>
      <c r="S492" s="430" t="str">
        <f ca="1"/>
        <v/>
      </c>
      <c r="T492" s="430" t="str">
        <f ca="1"/>
        <v/>
      </c>
      <c r="U492" s="430" t="str">
        <f ca="1"/>
        <v/>
      </c>
      <c r="V492" s="517" t="str">
        <f ca="1"/>
        <v/>
      </c>
      <c r="W492" s="518" t="str">
        <f ca="1"/>
        <v/>
      </c>
      <c r="X492" s="430" t="str">
        <f ca="1"/>
        <v/>
      </c>
      <c r="Y492" s="864" t="str">
        <f t="shared" ca="1" si="43"/>
        <v/>
      </c>
      <c r="AA492" s="828">
        <v>474</v>
      </c>
      <c r="AB492" s="1100"/>
      <c r="AC492" s="1079"/>
      <c r="AD492" s="1067"/>
      <c r="AE492" s="1076"/>
      <c r="AF492" s="1076"/>
      <c r="AG492" s="1048"/>
      <c r="AH492" s="1077"/>
      <c r="AI492" s="1076"/>
      <c r="AJ492" s="1078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4"/>
        <v/>
      </c>
      <c r="G493" s="520" t="str">
        <f t="shared" ca="1" si="45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2"/>
        <v/>
      </c>
      <c r="P493" s="742">
        <v>475</v>
      </c>
      <c r="Q493" s="517" t="str">
        <f t="shared" ca="1" si="46"/>
        <v/>
      </c>
      <c r="R493" s="520" t="str">
        <f t="shared" ca="1" si="47"/>
        <v/>
      </c>
      <c r="S493" s="430" t="str">
        <f ca="1"/>
        <v/>
      </c>
      <c r="T493" s="430" t="str">
        <f ca="1"/>
        <v/>
      </c>
      <c r="U493" s="430" t="str">
        <f ca="1"/>
        <v/>
      </c>
      <c r="V493" s="517" t="str">
        <f ca="1"/>
        <v/>
      </c>
      <c r="W493" s="518" t="str">
        <f ca="1"/>
        <v/>
      </c>
      <c r="X493" s="430" t="str">
        <f ca="1"/>
        <v/>
      </c>
      <c r="Y493" s="864" t="str">
        <f t="shared" ca="1" si="43"/>
        <v/>
      </c>
      <c r="AA493" s="828">
        <v>475</v>
      </c>
      <c r="AB493" s="1100"/>
      <c r="AC493" s="1079"/>
      <c r="AD493" s="1067"/>
      <c r="AE493" s="1076"/>
      <c r="AF493" s="1076"/>
      <c r="AG493" s="1048"/>
      <c r="AH493" s="1077"/>
      <c r="AI493" s="1076"/>
      <c r="AJ493" s="1078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4"/>
        <v/>
      </c>
      <c r="G494" s="520" t="str">
        <f t="shared" ca="1" si="45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2"/>
        <v/>
      </c>
      <c r="P494" s="742">
        <v>476</v>
      </c>
      <c r="Q494" s="517" t="str">
        <f t="shared" ca="1" si="46"/>
        <v/>
      </c>
      <c r="R494" s="520" t="str">
        <f t="shared" ca="1" si="47"/>
        <v/>
      </c>
      <c r="S494" s="430" t="str">
        <f ca="1"/>
        <v/>
      </c>
      <c r="T494" s="430" t="str">
        <f ca="1"/>
        <v/>
      </c>
      <c r="U494" s="430" t="str">
        <f ca="1"/>
        <v/>
      </c>
      <c r="V494" s="517" t="str">
        <f ca="1"/>
        <v/>
      </c>
      <c r="W494" s="518" t="str">
        <f ca="1"/>
        <v/>
      </c>
      <c r="X494" s="430" t="str">
        <f ca="1"/>
        <v/>
      </c>
      <c r="Y494" s="864" t="str">
        <f t="shared" ca="1" si="43"/>
        <v/>
      </c>
      <c r="AA494" s="828">
        <v>476</v>
      </c>
      <c r="AB494" s="1100"/>
      <c r="AC494" s="1079"/>
      <c r="AD494" s="1067"/>
      <c r="AE494" s="1076"/>
      <c r="AF494" s="1076"/>
      <c r="AG494" s="1048"/>
      <c r="AH494" s="1077"/>
      <c r="AI494" s="1076"/>
      <c r="AJ494" s="1078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4"/>
        <v/>
      </c>
      <c r="G495" s="520" t="str">
        <f t="shared" ca="1" si="45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2"/>
        <v/>
      </c>
      <c r="P495" s="742">
        <v>477</v>
      </c>
      <c r="Q495" s="517" t="str">
        <f t="shared" ca="1" si="46"/>
        <v/>
      </c>
      <c r="R495" s="520" t="str">
        <f t="shared" ca="1" si="47"/>
        <v/>
      </c>
      <c r="S495" s="430" t="str">
        <f ca="1"/>
        <v/>
      </c>
      <c r="T495" s="430" t="str">
        <f ca="1"/>
        <v/>
      </c>
      <c r="U495" s="430" t="str">
        <f ca="1"/>
        <v/>
      </c>
      <c r="V495" s="517" t="str">
        <f ca="1"/>
        <v/>
      </c>
      <c r="W495" s="518" t="str">
        <f ca="1"/>
        <v/>
      </c>
      <c r="X495" s="430" t="str">
        <f ca="1"/>
        <v/>
      </c>
      <c r="Y495" s="864" t="str">
        <f t="shared" ca="1" si="43"/>
        <v/>
      </c>
      <c r="AA495" s="828">
        <v>477</v>
      </c>
      <c r="AB495" s="1100"/>
      <c r="AC495" s="1079"/>
      <c r="AD495" s="1067"/>
      <c r="AE495" s="1076"/>
      <c r="AF495" s="1076"/>
      <c r="AG495" s="1048"/>
      <c r="AH495" s="1077"/>
      <c r="AI495" s="1076"/>
      <c r="AJ495" s="1078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4"/>
        <v/>
      </c>
      <c r="G496" s="520" t="str">
        <f t="shared" ca="1" si="45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2"/>
        <v/>
      </c>
      <c r="P496" s="742">
        <v>478</v>
      </c>
      <c r="Q496" s="517" t="str">
        <f t="shared" ca="1" si="46"/>
        <v/>
      </c>
      <c r="R496" s="520" t="str">
        <f t="shared" ca="1" si="47"/>
        <v/>
      </c>
      <c r="S496" s="430" t="str">
        <f ca="1"/>
        <v/>
      </c>
      <c r="T496" s="430" t="str">
        <f ca="1"/>
        <v/>
      </c>
      <c r="U496" s="430" t="str">
        <f ca="1"/>
        <v/>
      </c>
      <c r="V496" s="517" t="str">
        <f ca="1"/>
        <v/>
      </c>
      <c r="W496" s="518" t="str">
        <f ca="1"/>
        <v/>
      </c>
      <c r="X496" s="430" t="str">
        <f ca="1"/>
        <v/>
      </c>
      <c r="Y496" s="864" t="str">
        <f t="shared" ca="1" si="43"/>
        <v/>
      </c>
      <c r="AA496" s="828">
        <v>478</v>
      </c>
      <c r="AB496" s="1100"/>
      <c r="AC496" s="1079"/>
      <c r="AD496" s="1067"/>
      <c r="AE496" s="1076"/>
      <c r="AF496" s="1076"/>
      <c r="AG496" s="1048"/>
      <c r="AH496" s="1077"/>
      <c r="AI496" s="1076"/>
      <c r="AJ496" s="1078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4"/>
        <v/>
      </c>
      <c r="G497" s="520" t="str">
        <f t="shared" ca="1" si="45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2"/>
        <v/>
      </c>
      <c r="P497" s="742">
        <v>479</v>
      </c>
      <c r="Q497" s="517" t="str">
        <f t="shared" ca="1" si="46"/>
        <v/>
      </c>
      <c r="R497" s="520" t="str">
        <f t="shared" ca="1" si="47"/>
        <v/>
      </c>
      <c r="S497" s="430" t="str">
        <f ca="1"/>
        <v/>
      </c>
      <c r="T497" s="430" t="str">
        <f ca="1"/>
        <v/>
      </c>
      <c r="U497" s="430" t="str">
        <f ca="1"/>
        <v/>
      </c>
      <c r="V497" s="517" t="str">
        <f ca="1"/>
        <v/>
      </c>
      <c r="W497" s="518" t="str">
        <f ca="1"/>
        <v/>
      </c>
      <c r="X497" s="430" t="str">
        <f ca="1"/>
        <v/>
      </c>
      <c r="Y497" s="864" t="str">
        <f t="shared" ca="1" si="43"/>
        <v/>
      </c>
      <c r="AA497" s="828">
        <v>479</v>
      </c>
      <c r="AB497" s="1100"/>
      <c r="AC497" s="1079"/>
      <c r="AD497" s="1067"/>
      <c r="AE497" s="1076"/>
      <c r="AF497" s="1076"/>
      <c r="AG497" s="1048"/>
      <c r="AH497" s="1077"/>
      <c r="AI497" s="1076"/>
      <c r="AJ497" s="1078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4"/>
        <v/>
      </c>
      <c r="G498" s="520" t="str">
        <f t="shared" ca="1" si="45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2"/>
        <v/>
      </c>
      <c r="P498" s="742">
        <v>480</v>
      </c>
      <c r="Q498" s="517" t="str">
        <f t="shared" ca="1" si="46"/>
        <v/>
      </c>
      <c r="R498" s="520" t="str">
        <f t="shared" ca="1" si="47"/>
        <v/>
      </c>
      <c r="S498" s="430" t="str">
        <f ca="1"/>
        <v/>
      </c>
      <c r="T498" s="430" t="str">
        <f ca="1"/>
        <v/>
      </c>
      <c r="U498" s="430" t="str">
        <f ca="1"/>
        <v/>
      </c>
      <c r="V498" s="517" t="str">
        <f ca="1"/>
        <v/>
      </c>
      <c r="W498" s="518" t="str">
        <f ca="1"/>
        <v/>
      </c>
      <c r="X498" s="430" t="str">
        <f ca="1"/>
        <v/>
      </c>
      <c r="Y498" s="864" t="str">
        <f t="shared" ca="1" si="43"/>
        <v/>
      </c>
      <c r="AA498" s="828">
        <v>480</v>
      </c>
      <c r="AB498" s="1100"/>
      <c r="AC498" s="1079"/>
      <c r="AD498" s="1067"/>
      <c r="AE498" s="1076"/>
      <c r="AF498" s="1076"/>
      <c r="AG498" s="1048"/>
      <c r="AH498" s="1077"/>
      <c r="AI498" s="1076"/>
      <c r="AJ498" s="1078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4"/>
        <v/>
      </c>
      <c r="G499" s="520" t="str">
        <f t="shared" ca="1" si="45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2"/>
        <v/>
      </c>
      <c r="P499" s="742">
        <v>481</v>
      </c>
      <c r="Q499" s="517" t="str">
        <f t="shared" ca="1" si="46"/>
        <v/>
      </c>
      <c r="R499" s="520" t="str">
        <f t="shared" ca="1" si="47"/>
        <v/>
      </c>
      <c r="S499" s="430" t="str">
        <f ca="1"/>
        <v/>
      </c>
      <c r="T499" s="430" t="str">
        <f ca="1"/>
        <v/>
      </c>
      <c r="U499" s="430" t="str">
        <f ca="1"/>
        <v/>
      </c>
      <c r="V499" s="517" t="str">
        <f ca="1"/>
        <v/>
      </c>
      <c r="W499" s="518" t="str">
        <f ca="1"/>
        <v/>
      </c>
      <c r="X499" s="430" t="str">
        <f ca="1"/>
        <v/>
      </c>
      <c r="Y499" s="864" t="str">
        <f t="shared" ca="1" si="43"/>
        <v/>
      </c>
      <c r="AA499" s="828">
        <v>481</v>
      </c>
      <c r="AB499" s="1100"/>
      <c r="AC499" s="1079"/>
      <c r="AD499" s="1067"/>
      <c r="AE499" s="1076"/>
      <c r="AF499" s="1076"/>
      <c r="AG499" s="1048"/>
      <c r="AH499" s="1077"/>
      <c r="AI499" s="1076"/>
      <c r="AJ499" s="1078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4"/>
        <v/>
      </c>
      <c r="G500" s="520" t="str">
        <f t="shared" ca="1" si="45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2"/>
        <v/>
      </c>
      <c r="P500" s="742">
        <v>482</v>
      </c>
      <c r="Q500" s="517" t="str">
        <f t="shared" ca="1" si="46"/>
        <v/>
      </c>
      <c r="R500" s="520" t="str">
        <f t="shared" ca="1" si="47"/>
        <v/>
      </c>
      <c r="S500" s="430" t="str">
        <f ca="1"/>
        <v/>
      </c>
      <c r="T500" s="430" t="str">
        <f ca="1"/>
        <v/>
      </c>
      <c r="U500" s="430" t="str">
        <f ca="1"/>
        <v/>
      </c>
      <c r="V500" s="517" t="str">
        <f ca="1"/>
        <v/>
      </c>
      <c r="W500" s="518" t="str">
        <f ca="1"/>
        <v/>
      </c>
      <c r="X500" s="430" t="str">
        <f ca="1"/>
        <v/>
      </c>
      <c r="Y500" s="864" t="str">
        <f t="shared" ca="1" si="43"/>
        <v/>
      </c>
      <c r="AA500" s="828">
        <v>482</v>
      </c>
      <c r="AB500" s="1100"/>
      <c r="AC500" s="1079"/>
      <c r="AD500" s="1067"/>
      <c r="AE500" s="1076"/>
      <c r="AF500" s="1076"/>
      <c r="AG500" s="1048"/>
      <c r="AH500" s="1077"/>
      <c r="AI500" s="1076"/>
      <c r="AJ500" s="1078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4"/>
        <v/>
      </c>
      <c r="G501" s="520" t="str">
        <f t="shared" ca="1" si="45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2"/>
        <v/>
      </c>
      <c r="P501" s="742">
        <v>483</v>
      </c>
      <c r="Q501" s="517" t="str">
        <f t="shared" ca="1" si="46"/>
        <v/>
      </c>
      <c r="R501" s="520" t="str">
        <f t="shared" ca="1" si="47"/>
        <v/>
      </c>
      <c r="S501" s="430" t="str">
        <f ca="1"/>
        <v/>
      </c>
      <c r="T501" s="430" t="str">
        <f ca="1"/>
        <v/>
      </c>
      <c r="U501" s="430" t="str">
        <f ca="1"/>
        <v/>
      </c>
      <c r="V501" s="517" t="str">
        <f ca="1"/>
        <v/>
      </c>
      <c r="W501" s="518" t="str">
        <f ca="1"/>
        <v/>
      </c>
      <c r="X501" s="430" t="str">
        <f ca="1"/>
        <v/>
      </c>
      <c r="Y501" s="864" t="str">
        <f t="shared" ca="1" si="43"/>
        <v/>
      </c>
      <c r="AA501" s="828">
        <v>483</v>
      </c>
      <c r="AB501" s="1100"/>
      <c r="AC501" s="1079"/>
      <c r="AD501" s="1067"/>
      <c r="AE501" s="1076"/>
      <c r="AF501" s="1076"/>
      <c r="AG501" s="1048"/>
      <c r="AH501" s="1077"/>
      <c r="AI501" s="1076"/>
      <c r="AJ501" s="1078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4"/>
        <v/>
      </c>
      <c r="G502" s="520" t="str">
        <f t="shared" ca="1" si="45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2"/>
        <v/>
      </c>
      <c r="P502" s="742">
        <v>484</v>
      </c>
      <c r="Q502" s="517" t="str">
        <f t="shared" ca="1" si="46"/>
        <v/>
      </c>
      <c r="R502" s="520" t="str">
        <f t="shared" ca="1" si="47"/>
        <v/>
      </c>
      <c r="S502" s="430" t="str">
        <f ca="1"/>
        <v/>
      </c>
      <c r="T502" s="430" t="str">
        <f ca="1"/>
        <v/>
      </c>
      <c r="U502" s="430" t="str">
        <f ca="1"/>
        <v/>
      </c>
      <c r="V502" s="517" t="str">
        <f ca="1"/>
        <v/>
      </c>
      <c r="W502" s="518" t="str">
        <f ca="1"/>
        <v/>
      </c>
      <c r="X502" s="430" t="str">
        <f ca="1"/>
        <v/>
      </c>
      <c r="Y502" s="864" t="str">
        <f t="shared" ca="1" si="43"/>
        <v/>
      </c>
      <c r="AA502" s="828">
        <v>484</v>
      </c>
      <c r="AB502" s="1100"/>
      <c r="AC502" s="1079"/>
      <c r="AD502" s="1067"/>
      <c r="AE502" s="1076"/>
      <c r="AF502" s="1076"/>
      <c r="AG502" s="1048"/>
      <c r="AH502" s="1077"/>
      <c r="AI502" s="1076"/>
      <c r="AJ502" s="1078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4"/>
        <v/>
      </c>
      <c r="G503" s="520" t="str">
        <f t="shared" ca="1" si="45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2"/>
        <v/>
      </c>
      <c r="P503" s="742">
        <v>485</v>
      </c>
      <c r="Q503" s="517" t="str">
        <f t="shared" ca="1" si="46"/>
        <v/>
      </c>
      <c r="R503" s="520" t="str">
        <f t="shared" ca="1" si="47"/>
        <v/>
      </c>
      <c r="S503" s="430" t="str">
        <f ca="1"/>
        <v/>
      </c>
      <c r="T503" s="430" t="str">
        <f ca="1"/>
        <v/>
      </c>
      <c r="U503" s="430" t="str">
        <f ca="1"/>
        <v/>
      </c>
      <c r="V503" s="517" t="str">
        <f ca="1"/>
        <v/>
      </c>
      <c r="W503" s="518" t="str">
        <f ca="1"/>
        <v/>
      </c>
      <c r="X503" s="430" t="str">
        <f ca="1"/>
        <v/>
      </c>
      <c r="Y503" s="864" t="str">
        <f t="shared" ca="1" si="43"/>
        <v/>
      </c>
      <c r="AA503" s="828">
        <v>485</v>
      </c>
      <c r="AB503" s="1100"/>
      <c r="AC503" s="1079"/>
      <c r="AD503" s="1067"/>
      <c r="AE503" s="1076"/>
      <c r="AF503" s="1076"/>
      <c r="AG503" s="1048"/>
      <c r="AH503" s="1077"/>
      <c r="AI503" s="1076"/>
      <c r="AJ503" s="1078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4"/>
        <v/>
      </c>
      <c r="G504" s="520" t="str">
        <f t="shared" ca="1" si="45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2"/>
        <v/>
      </c>
      <c r="P504" s="742">
        <v>486</v>
      </c>
      <c r="Q504" s="517" t="str">
        <f t="shared" ca="1" si="46"/>
        <v/>
      </c>
      <c r="R504" s="520" t="str">
        <f t="shared" ca="1" si="47"/>
        <v/>
      </c>
      <c r="S504" s="430" t="str">
        <f ca="1"/>
        <v/>
      </c>
      <c r="T504" s="430" t="str">
        <f ca="1"/>
        <v/>
      </c>
      <c r="U504" s="430" t="str">
        <f ca="1"/>
        <v/>
      </c>
      <c r="V504" s="517" t="str">
        <f ca="1"/>
        <v/>
      </c>
      <c r="W504" s="518" t="str">
        <f ca="1"/>
        <v/>
      </c>
      <c r="X504" s="430" t="str">
        <f ca="1"/>
        <v/>
      </c>
      <c r="Y504" s="864" t="str">
        <f t="shared" ca="1" si="43"/>
        <v/>
      </c>
      <c r="AA504" s="828">
        <v>486</v>
      </c>
      <c r="AB504" s="1100"/>
      <c r="AC504" s="1079"/>
      <c r="AD504" s="1067"/>
      <c r="AE504" s="1076"/>
      <c r="AF504" s="1076"/>
      <c r="AG504" s="1048"/>
      <c r="AH504" s="1077"/>
      <c r="AI504" s="1076"/>
      <c r="AJ504" s="1078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4"/>
        <v/>
      </c>
      <c r="G505" s="520" t="str">
        <f t="shared" ca="1" si="45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2"/>
        <v/>
      </c>
      <c r="P505" s="742">
        <v>487</v>
      </c>
      <c r="Q505" s="517" t="str">
        <f t="shared" ca="1" si="46"/>
        <v/>
      </c>
      <c r="R505" s="520" t="str">
        <f t="shared" ca="1" si="47"/>
        <v/>
      </c>
      <c r="S505" s="430" t="str">
        <f ca="1"/>
        <v/>
      </c>
      <c r="T505" s="430" t="str">
        <f ca="1"/>
        <v/>
      </c>
      <c r="U505" s="430" t="str">
        <f ca="1"/>
        <v/>
      </c>
      <c r="V505" s="517" t="str">
        <f ca="1"/>
        <v/>
      </c>
      <c r="W505" s="518" t="str">
        <f ca="1"/>
        <v/>
      </c>
      <c r="X505" s="430" t="str">
        <f ca="1"/>
        <v/>
      </c>
      <c r="Y505" s="864" t="str">
        <f t="shared" ca="1" si="43"/>
        <v/>
      </c>
      <c r="AA505" s="828">
        <v>487</v>
      </c>
      <c r="AB505" s="1100"/>
      <c r="AC505" s="1079"/>
      <c r="AD505" s="1067"/>
      <c r="AE505" s="1076"/>
      <c r="AF505" s="1076"/>
      <c r="AG505" s="1048"/>
      <c r="AH505" s="1077"/>
      <c r="AI505" s="1076"/>
      <c r="AJ505" s="1078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4"/>
        <v/>
      </c>
      <c r="G506" s="520" t="str">
        <f t="shared" ca="1" si="45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2"/>
        <v/>
      </c>
      <c r="P506" s="742">
        <v>488</v>
      </c>
      <c r="Q506" s="517" t="str">
        <f t="shared" ca="1" si="46"/>
        <v/>
      </c>
      <c r="R506" s="520" t="str">
        <f t="shared" ca="1" si="47"/>
        <v/>
      </c>
      <c r="S506" s="430" t="str">
        <f ca="1"/>
        <v/>
      </c>
      <c r="T506" s="430" t="str">
        <f ca="1"/>
        <v/>
      </c>
      <c r="U506" s="430" t="str">
        <f ca="1"/>
        <v/>
      </c>
      <c r="V506" s="517" t="str">
        <f ca="1"/>
        <v/>
      </c>
      <c r="W506" s="518" t="str">
        <f ca="1"/>
        <v/>
      </c>
      <c r="X506" s="430" t="str">
        <f ca="1"/>
        <v/>
      </c>
      <c r="Y506" s="864" t="str">
        <f t="shared" ca="1" si="43"/>
        <v/>
      </c>
      <c r="AA506" s="828">
        <v>488</v>
      </c>
      <c r="AB506" s="1100"/>
      <c r="AC506" s="1079"/>
      <c r="AD506" s="1067"/>
      <c r="AE506" s="1076"/>
      <c r="AF506" s="1076"/>
      <c r="AG506" s="1048"/>
      <c r="AH506" s="1077"/>
      <c r="AI506" s="1076"/>
      <c r="AJ506" s="1078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4"/>
        <v/>
      </c>
      <c r="G507" s="520" t="str">
        <f t="shared" ca="1" si="45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2"/>
        <v/>
      </c>
      <c r="P507" s="742">
        <v>489</v>
      </c>
      <c r="Q507" s="517" t="str">
        <f t="shared" ca="1" si="46"/>
        <v/>
      </c>
      <c r="R507" s="520" t="str">
        <f t="shared" ca="1" si="47"/>
        <v/>
      </c>
      <c r="S507" s="430" t="str">
        <f ca="1"/>
        <v/>
      </c>
      <c r="T507" s="430" t="str">
        <f ca="1"/>
        <v/>
      </c>
      <c r="U507" s="430" t="str">
        <f ca="1"/>
        <v/>
      </c>
      <c r="V507" s="517" t="str">
        <f ca="1"/>
        <v/>
      </c>
      <c r="W507" s="518" t="str">
        <f ca="1"/>
        <v/>
      </c>
      <c r="X507" s="430" t="str">
        <f ca="1"/>
        <v/>
      </c>
      <c r="Y507" s="864" t="str">
        <f t="shared" ca="1" si="43"/>
        <v/>
      </c>
      <c r="AA507" s="828">
        <v>489</v>
      </c>
      <c r="AB507" s="1100"/>
      <c r="AC507" s="1079"/>
      <c r="AD507" s="1067"/>
      <c r="AE507" s="1076"/>
      <c r="AF507" s="1076"/>
      <c r="AG507" s="1048"/>
      <c r="AH507" s="1077"/>
      <c r="AI507" s="1076"/>
      <c r="AJ507" s="1078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4"/>
        <v/>
      </c>
      <c r="G508" s="520" t="str">
        <f t="shared" ca="1" si="45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2"/>
        <v/>
      </c>
      <c r="P508" s="742">
        <v>490</v>
      </c>
      <c r="Q508" s="517" t="str">
        <f t="shared" ca="1" si="46"/>
        <v/>
      </c>
      <c r="R508" s="520" t="str">
        <f t="shared" ca="1" si="47"/>
        <v/>
      </c>
      <c r="S508" s="430" t="str">
        <f ca="1"/>
        <v/>
      </c>
      <c r="T508" s="430" t="str">
        <f ca="1"/>
        <v/>
      </c>
      <c r="U508" s="430" t="str">
        <f ca="1"/>
        <v/>
      </c>
      <c r="V508" s="517" t="str">
        <f ca="1"/>
        <v/>
      </c>
      <c r="W508" s="518" t="str">
        <f ca="1"/>
        <v/>
      </c>
      <c r="X508" s="430" t="str">
        <f ca="1"/>
        <v/>
      </c>
      <c r="Y508" s="864" t="str">
        <f t="shared" ca="1" si="43"/>
        <v/>
      </c>
      <c r="AA508" s="828">
        <v>490</v>
      </c>
      <c r="AB508" s="1100"/>
      <c r="AC508" s="1079"/>
      <c r="AD508" s="1067"/>
      <c r="AE508" s="1076"/>
      <c r="AF508" s="1076"/>
      <c r="AG508" s="1048"/>
      <c r="AH508" s="1077"/>
      <c r="AI508" s="1076"/>
      <c r="AJ508" s="1078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4"/>
        <v/>
      </c>
      <c r="G509" s="520" t="str">
        <f t="shared" ca="1" si="45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2"/>
        <v/>
      </c>
      <c r="P509" s="742">
        <v>491</v>
      </c>
      <c r="Q509" s="517" t="str">
        <f t="shared" ca="1" si="46"/>
        <v/>
      </c>
      <c r="R509" s="520" t="str">
        <f t="shared" ca="1" si="47"/>
        <v/>
      </c>
      <c r="S509" s="430" t="str">
        <f ca="1"/>
        <v/>
      </c>
      <c r="T509" s="430" t="str">
        <f ca="1"/>
        <v/>
      </c>
      <c r="U509" s="430" t="str">
        <f ca="1"/>
        <v/>
      </c>
      <c r="V509" s="517" t="str">
        <f ca="1"/>
        <v/>
      </c>
      <c r="W509" s="518" t="str">
        <f ca="1"/>
        <v/>
      </c>
      <c r="X509" s="430" t="str">
        <f ca="1"/>
        <v/>
      </c>
      <c r="Y509" s="864" t="str">
        <f t="shared" ca="1" si="43"/>
        <v/>
      </c>
      <c r="AA509" s="828">
        <v>491</v>
      </c>
      <c r="AB509" s="1100"/>
      <c r="AC509" s="1079"/>
      <c r="AD509" s="1067"/>
      <c r="AE509" s="1076"/>
      <c r="AF509" s="1076"/>
      <c r="AG509" s="1048"/>
      <c r="AH509" s="1077"/>
      <c r="AI509" s="1076"/>
      <c r="AJ509" s="1078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4"/>
        <v/>
      </c>
      <c r="G510" s="520" t="str">
        <f t="shared" ca="1" si="45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2"/>
        <v/>
      </c>
      <c r="P510" s="742">
        <v>492</v>
      </c>
      <c r="Q510" s="517" t="str">
        <f t="shared" ca="1" si="46"/>
        <v/>
      </c>
      <c r="R510" s="520" t="str">
        <f t="shared" ca="1" si="47"/>
        <v/>
      </c>
      <c r="S510" s="430" t="str">
        <f ca="1"/>
        <v/>
      </c>
      <c r="T510" s="430" t="str">
        <f ca="1"/>
        <v/>
      </c>
      <c r="U510" s="430" t="str">
        <f ca="1"/>
        <v/>
      </c>
      <c r="V510" s="517" t="str">
        <f ca="1"/>
        <v/>
      </c>
      <c r="W510" s="518" t="str">
        <f ca="1"/>
        <v/>
      </c>
      <c r="X510" s="430" t="str">
        <f ca="1"/>
        <v/>
      </c>
      <c r="Y510" s="864" t="str">
        <f t="shared" ca="1" si="43"/>
        <v/>
      </c>
      <c r="AA510" s="828">
        <v>492</v>
      </c>
      <c r="AB510" s="1100"/>
      <c r="AC510" s="1079"/>
      <c r="AD510" s="1067"/>
      <c r="AE510" s="1076"/>
      <c r="AF510" s="1076"/>
      <c r="AG510" s="1048"/>
      <c r="AH510" s="1077"/>
      <c r="AI510" s="1076"/>
      <c r="AJ510" s="1078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4"/>
        <v/>
      </c>
      <c r="G511" s="520" t="str">
        <f t="shared" ca="1" si="45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2"/>
        <v/>
      </c>
      <c r="P511" s="742">
        <v>493</v>
      </c>
      <c r="Q511" s="517" t="str">
        <f t="shared" ca="1" si="46"/>
        <v/>
      </c>
      <c r="R511" s="520" t="str">
        <f t="shared" ca="1" si="47"/>
        <v/>
      </c>
      <c r="S511" s="430" t="str">
        <f ca="1"/>
        <v/>
      </c>
      <c r="T511" s="430" t="str">
        <f ca="1"/>
        <v/>
      </c>
      <c r="U511" s="430" t="str">
        <f ca="1"/>
        <v/>
      </c>
      <c r="V511" s="517" t="str">
        <f ca="1"/>
        <v/>
      </c>
      <c r="W511" s="518" t="str">
        <f ca="1"/>
        <v/>
      </c>
      <c r="X511" s="430" t="str">
        <f ca="1"/>
        <v/>
      </c>
      <c r="Y511" s="864" t="str">
        <f t="shared" ca="1" si="43"/>
        <v/>
      </c>
      <c r="AA511" s="828">
        <v>493</v>
      </c>
      <c r="AB511" s="1100"/>
      <c r="AC511" s="1079"/>
      <c r="AD511" s="1067"/>
      <c r="AE511" s="1076"/>
      <c r="AF511" s="1076"/>
      <c r="AG511" s="1048"/>
      <c r="AH511" s="1077"/>
      <c r="AI511" s="1076"/>
      <c r="AJ511" s="1078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4"/>
        <v/>
      </c>
      <c r="G512" s="520" t="str">
        <f t="shared" ca="1" si="45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2"/>
        <v/>
      </c>
      <c r="P512" s="742">
        <v>494</v>
      </c>
      <c r="Q512" s="517" t="str">
        <f t="shared" ca="1" si="46"/>
        <v/>
      </c>
      <c r="R512" s="520" t="str">
        <f t="shared" ca="1" si="47"/>
        <v/>
      </c>
      <c r="S512" s="430" t="str">
        <f ca="1"/>
        <v/>
      </c>
      <c r="T512" s="430" t="str">
        <f ca="1"/>
        <v/>
      </c>
      <c r="U512" s="430" t="str">
        <f ca="1"/>
        <v/>
      </c>
      <c r="V512" s="517" t="str">
        <f ca="1"/>
        <v/>
      </c>
      <c r="W512" s="518" t="str">
        <f ca="1"/>
        <v/>
      </c>
      <c r="X512" s="430" t="str">
        <f ca="1"/>
        <v/>
      </c>
      <c r="Y512" s="864" t="str">
        <f t="shared" ca="1" si="43"/>
        <v/>
      </c>
      <c r="AA512" s="828">
        <v>494</v>
      </c>
      <c r="AB512" s="1100"/>
      <c r="AC512" s="1079"/>
      <c r="AD512" s="1067"/>
      <c r="AE512" s="1076"/>
      <c r="AF512" s="1076"/>
      <c r="AG512" s="1048"/>
      <c r="AH512" s="1077"/>
      <c r="AI512" s="1076"/>
      <c r="AJ512" s="1078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4"/>
        <v/>
      </c>
      <c r="G513" s="520" t="str">
        <f t="shared" ca="1" si="45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2"/>
        <v/>
      </c>
      <c r="P513" s="742">
        <v>495</v>
      </c>
      <c r="Q513" s="517" t="str">
        <f t="shared" ca="1" si="46"/>
        <v/>
      </c>
      <c r="R513" s="520" t="str">
        <f t="shared" ca="1" si="47"/>
        <v/>
      </c>
      <c r="S513" s="430" t="str">
        <f ca="1"/>
        <v/>
      </c>
      <c r="T513" s="430" t="str">
        <f ca="1"/>
        <v/>
      </c>
      <c r="U513" s="430" t="str">
        <f ca="1"/>
        <v/>
      </c>
      <c r="V513" s="517" t="str">
        <f ca="1"/>
        <v/>
      </c>
      <c r="W513" s="518" t="str">
        <f ca="1"/>
        <v/>
      </c>
      <c r="X513" s="430" t="str">
        <f ca="1"/>
        <v/>
      </c>
      <c r="Y513" s="864" t="str">
        <f t="shared" ca="1" si="43"/>
        <v/>
      </c>
      <c r="AA513" s="828">
        <v>495</v>
      </c>
      <c r="AB513" s="1100"/>
      <c r="AC513" s="1079"/>
      <c r="AD513" s="1067"/>
      <c r="AE513" s="1076"/>
      <c r="AF513" s="1076"/>
      <c r="AG513" s="1048"/>
      <c r="AH513" s="1077"/>
      <c r="AI513" s="1076"/>
      <c r="AJ513" s="1078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4"/>
        <v/>
      </c>
      <c r="G514" s="520" t="str">
        <f t="shared" ca="1" si="45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2"/>
        <v/>
      </c>
      <c r="P514" s="742">
        <v>496</v>
      </c>
      <c r="Q514" s="517" t="str">
        <f t="shared" ca="1" si="46"/>
        <v/>
      </c>
      <c r="R514" s="520" t="str">
        <f t="shared" ca="1" si="47"/>
        <v/>
      </c>
      <c r="S514" s="430" t="str">
        <f ca="1"/>
        <v/>
      </c>
      <c r="T514" s="430" t="str">
        <f ca="1"/>
        <v/>
      </c>
      <c r="U514" s="430" t="str">
        <f ca="1"/>
        <v/>
      </c>
      <c r="V514" s="517" t="str">
        <f ca="1"/>
        <v/>
      </c>
      <c r="W514" s="518" t="str">
        <f ca="1"/>
        <v/>
      </c>
      <c r="X514" s="430" t="str">
        <f ca="1"/>
        <v/>
      </c>
      <c r="Y514" s="864" t="str">
        <f t="shared" ca="1" si="43"/>
        <v/>
      </c>
      <c r="AA514" s="828">
        <v>496</v>
      </c>
      <c r="AB514" s="1100"/>
      <c r="AC514" s="1079"/>
      <c r="AD514" s="1067"/>
      <c r="AE514" s="1076"/>
      <c r="AF514" s="1076"/>
      <c r="AG514" s="1048"/>
      <c r="AH514" s="1077"/>
      <c r="AI514" s="1076"/>
      <c r="AJ514" s="1078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4"/>
        <v/>
      </c>
      <c r="G515" s="520" t="str">
        <f t="shared" ca="1" si="45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2"/>
        <v/>
      </c>
      <c r="P515" s="742">
        <v>497</v>
      </c>
      <c r="Q515" s="517" t="str">
        <f t="shared" ca="1" si="46"/>
        <v/>
      </c>
      <c r="R515" s="520" t="str">
        <f t="shared" ca="1" si="47"/>
        <v/>
      </c>
      <c r="S515" s="430" t="str">
        <f ca="1"/>
        <v/>
      </c>
      <c r="T515" s="430" t="str">
        <f ca="1"/>
        <v/>
      </c>
      <c r="U515" s="430" t="str">
        <f ca="1"/>
        <v/>
      </c>
      <c r="V515" s="517" t="str">
        <f ca="1"/>
        <v/>
      </c>
      <c r="W515" s="518" t="str">
        <f ca="1"/>
        <v/>
      </c>
      <c r="X515" s="430" t="str">
        <f ca="1"/>
        <v/>
      </c>
      <c r="Y515" s="864" t="str">
        <f t="shared" ca="1" si="43"/>
        <v/>
      </c>
      <c r="AA515" s="828">
        <v>497</v>
      </c>
      <c r="AB515" s="1100"/>
      <c r="AC515" s="1079"/>
      <c r="AD515" s="1067"/>
      <c r="AE515" s="1076"/>
      <c r="AF515" s="1076"/>
      <c r="AG515" s="1048"/>
      <c r="AH515" s="1077"/>
      <c r="AI515" s="1076"/>
      <c r="AJ515" s="1078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4"/>
        <v/>
      </c>
      <c r="G516" s="520" t="str">
        <f t="shared" ca="1" si="45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2"/>
        <v/>
      </c>
      <c r="P516" s="742">
        <v>498</v>
      </c>
      <c r="Q516" s="517" t="str">
        <f t="shared" ca="1" si="46"/>
        <v/>
      </c>
      <c r="R516" s="520" t="str">
        <f t="shared" ca="1" si="47"/>
        <v/>
      </c>
      <c r="S516" s="430" t="str">
        <f ca="1"/>
        <v/>
      </c>
      <c r="T516" s="430" t="str">
        <f ca="1"/>
        <v/>
      </c>
      <c r="U516" s="430" t="str">
        <f ca="1"/>
        <v/>
      </c>
      <c r="V516" s="517" t="str">
        <f ca="1"/>
        <v/>
      </c>
      <c r="W516" s="518" t="str">
        <f ca="1"/>
        <v/>
      </c>
      <c r="X516" s="430" t="str">
        <f ca="1"/>
        <v/>
      </c>
      <c r="Y516" s="864" t="str">
        <f t="shared" ca="1" si="43"/>
        <v/>
      </c>
      <c r="AA516" s="828">
        <v>498</v>
      </c>
      <c r="AB516" s="1100"/>
      <c r="AC516" s="1079"/>
      <c r="AD516" s="1067"/>
      <c r="AE516" s="1076"/>
      <c r="AF516" s="1076"/>
      <c r="AG516" s="1048"/>
      <c r="AH516" s="1077"/>
      <c r="AI516" s="1076"/>
      <c r="AJ516" s="1078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4"/>
        <v/>
      </c>
      <c r="G517" s="520" t="str">
        <f t="shared" ca="1" si="45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2"/>
        <v/>
      </c>
      <c r="P517" s="742">
        <v>499</v>
      </c>
      <c r="Q517" s="517" t="str">
        <f t="shared" ca="1" si="46"/>
        <v/>
      </c>
      <c r="R517" s="520" t="str">
        <f t="shared" ca="1" si="47"/>
        <v/>
      </c>
      <c r="S517" s="430" t="str">
        <f ca="1"/>
        <v/>
      </c>
      <c r="T517" s="430" t="str">
        <f ca="1"/>
        <v/>
      </c>
      <c r="U517" s="430" t="str">
        <f ca="1"/>
        <v/>
      </c>
      <c r="V517" s="517" t="str">
        <f ca="1"/>
        <v/>
      </c>
      <c r="W517" s="518" t="str">
        <f ca="1"/>
        <v/>
      </c>
      <c r="X517" s="430" t="str">
        <f ca="1"/>
        <v/>
      </c>
      <c r="Y517" s="864" t="str">
        <f t="shared" ca="1" si="43"/>
        <v/>
      </c>
      <c r="AA517" s="828">
        <v>499</v>
      </c>
      <c r="AB517" s="1100"/>
      <c r="AC517" s="1079"/>
      <c r="AD517" s="1067"/>
      <c r="AE517" s="1076"/>
      <c r="AF517" s="1076"/>
      <c r="AG517" s="1048"/>
      <c r="AH517" s="1077"/>
      <c r="AI517" s="1076"/>
      <c r="AJ517" s="1078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4"/>
        <v/>
      </c>
      <c r="G518" s="825" t="str">
        <f t="shared" ca="1" si="45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2"/>
        <v/>
      </c>
      <c r="P518" s="751">
        <v>500</v>
      </c>
      <c r="Q518" s="824" t="str">
        <f t="shared" ca="1" si="46"/>
        <v/>
      </c>
      <c r="R518" s="825" t="str">
        <f t="shared" ca="1" si="47"/>
        <v/>
      </c>
      <c r="S518" s="826" t="str">
        <f ca="1"/>
        <v/>
      </c>
      <c r="T518" s="826" t="str">
        <f ca="1"/>
        <v/>
      </c>
      <c r="U518" s="826" t="str">
        <f ca="1"/>
        <v/>
      </c>
      <c r="V518" s="824" t="str">
        <f ca="1"/>
        <v/>
      </c>
      <c r="W518" s="827" t="str">
        <f ca="1"/>
        <v/>
      </c>
      <c r="X518" s="826" t="str">
        <f ca="1"/>
        <v/>
      </c>
      <c r="Y518" s="865" t="str">
        <f t="shared" ca="1" si="43"/>
        <v/>
      </c>
      <c r="AA518" s="828">
        <v>500</v>
      </c>
      <c r="AB518" s="1101"/>
      <c r="AC518" s="1080"/>
      <c r="AD518" s="1068"/>
      <c r="AE518" s="1081"/>
      <c r="AF518" s="1081"/>
      <c r="AG518" s="1049"/>
      <c r="AH518" s="1082"/>
      <c r="AI518" s="1081"/>
      <c r="AJ518" s="1083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741" t="s">
        <v>12</v>
      </c>
      <c r="F519" s="1046" t="s">
        <v>12</v>
      </c>
      <c r="G519" s="741" t="s">
        <v>12</v>
      </c>
      <c r="H519" s="741" t="s">
        <v>12</v>
      </c>
      <c r="I519" s="741" t="s">
        <v>12</v>
      </c>
      <c r="J519" s="741" t="s">
        <v>12</v>
      </c>
      <c r="K519" s="741" t="s">
        <v>12</v>
      </c>
      <c r="L519" s="741" t="s">
        <v>12</v>
      </c>
      <c r="M519" s="741" t="s">
        <v>12</v>
      </c>
      <c r="N519" s="1046" t="s">
        <v>12</v>
      </c>
      <c r="P519" s="741" t="s">
        <v>12</v>
      </c>
      <c r="Q519" s="741" t="s">
        <v>12</v>
      </c>
      <c r="R519" s="741" t="s">
        <v>12</v>
      </c>
      <c r="S519" s="741" t="s">
        <v>12</v>
      </c>
      <c r="T519" s="741" t="s">
        <v>12</v>
      </c>
      <c r="U519" s="741" t="s">
        <v>12</v>
      </c>
      <c r="V519" s="741" t="s">
        <v>12</v>
      </c>
      <c r="W519" s="741" t="s">
        <v>12</v>
      </c>
      <c r="X519" s="741" t="s">
        <v>12</v>
      </c>
      <c r="Y519" s="741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1046"/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AJ10 AU10 C14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6" r:id="rId4" name="Button 4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5" name="Button 5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7.7109375" customWidth="1"/>
    <col min="4" max="4" width="4.7109375" customWidth="1"/>
    <col min="5" max="5" width="18.85546875" customWidth="1" outlineLevel="1"/>
    <col min="6" max="6" width="15.140625" customWidth="1" outlineLevel="1"/>
    <col min="7" max="7" width="11.7109375" customWidth="1" outlineLevel="1"/>
    <col min="8" max="8" width="19.7109375" customWidth="1" outlineLevel="1"/>
    <col min="9" max="9" width="15.140625" customWidth="1" outlineLevel="1"/>
    <col min="10" max="10" width="12.7109375" customWidth="1" outlineLevel="1"/>
    <col min="11" max="11" width="17.42578125" style="345" bestFit="1" customWidth="1" outlineLevel="1"/>
    <col min="12" max="13" width="10" customWidth="1" outlineLevel="1"/>
    <col min="14" max="14" width="14.42578125" customWidth="1" outlineLevel="1"/>
    <col min="15" max="15" width="14.28515625" bestFit="1" customWidth="1" outlineLevel="1"/>
    <col min="16" max="16" width="17.7109375" style="995" bestFit="1" customWidth="1" outlineLevel="1"/>
    <col min="17" max="17" width="13.140625" style="995" customWidth="1" outlineLevel="1"/>
    <col min="18" max="18" width="26.140625" bestFit="1" customWidth="1"/>
    <col min="19" max="19" width="18.5703125" customWidth="1" outlineLevel="1"/>
    <col min="20" max="21" width="15.28515625" customWidth="1" outlineLevel="1"/>
    <col min="22" max="22" width="11.5703125" bestFit="1" customWidth="1" outlineLevel="1"/>
    <col min="23" max="23" width="19.7109375" customWidth="1" outlineLevel="1"/>
    <col min="24" max="24" width="16" customWidth="1" outlineLevel="1"/>
    <col min="25" max="25" width="17.28515625" bestFit="1" customWidth="1" outlineLevel="1"/>
    <col min="26" max="26" width="17.28515625" style="345" bestFit="1" customWidth="1" outlineLevel="1"/>
    <col min="27" max="27" width="11.7109375" customWidth="1" outlineLevel="1"/>
    <col min="28" max="28" width="13.140625" customWidth="1" outlineLevel="1"/>
    <col min="29" max="29" width="12.5703125" customWidth="1" outlineLevel="1"/>
    <col min="30" max="30" width="14.4257812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bestFit="1" customWidth="1"/>
  </cols>
  <sheetData>
    <row r="1" spans="2:34">
      <c r="E1" s="146"/>
      <c r="R1" s="9" t="s">
        <v>2068</v>
      </c>
      <c r="AH1" s="9" t="s">
        <v>2067</v>
      </c>
    </row>
    <row r="2" spans="2:34">
      <c r="B2" t="s">
        <v>2061</v>
      </c>
      <c r="E2" s="867"/>
      <c r="R2" s="9"/>
      <c r="S2" s="995"/>
      <c r="AH2" s="9"/>
    </row>
    <row r="3" spans="2:34">
      <c r="B3" s="771" t="s">
        <v>2059</v>
      </c>
      <c r="C3" s="772" t="s">
        <v>2103</v>
      </c>
      <c r="D3" t="s">
        <v>12</v>
      </c>
      <c r="E3" s="1084" t="str">
        <f t="array" aca="1" ref="E3:Q100" ca="1">_xll.meUtilityResize(_xll.meLWOSwapDisplayCashflows(VNS,$C$15,$C$14),120,50)</f>
        <v>[2018/05/04 09:52] #Error: Invalid Curve: CurveCollection 'EURYC' does not exist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t="s">
        <v>12</v>
      </c>
      <c r="S3" s="1038" t="str">
        <f t="array" aca="1" ref="S3:AG100" ca="1">_xll.meUtilityResize(_xll.meLWOSwapDisplayCashflows(VNS,C15,$C$22),120,50)</f>
        <v>[2018/05/04 09:52] #Error: Invalid Curve: CurveCollection 'EURYC' does not exist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t="s">
        <v>12</v>
      </c>
    </row>
    <row r="4" spans="2:34">
      <c r="B4" s="773" t="s">
        <v>2000</v>
      </c>
      <c r="C4" s="794" t="str">
        <f ca="1">_xll.meLWOVariableNotionalSwapCreate(C3,C13,C21,B14:C17,B22:C28,FALSE)</f>
        <v>EUR_VNS@12:0</v>
      </c>
      <c r="D4" s="995" t="s">
        <v>12</v>
      </c>
      <c r="E4" s="1015" t="str">
        <f ca="1"/>
        <v/>
      </c>
      <c r="F4" s="1006" t="str">
        <f ca="1"/>
        <v/>
      </c>
      <c r="G4" s="1004" t="str">
        <f ca="1"/>
        <v/>
      </c>
      <c r="H4" s="1017" t="str">
        <f ca="1"/>
        <v/>
      </c>
      <c r="I4" s="1006" t="str">
        <f ca="1"/>
        <v/>
      </c>
      <c r="J4" s="1016" t="str">
        <f ca="1"/>
        <v/>
      </c>
      <c r="K4" s="1016" t="str">
        <f ca="1"/>
        <v/>
      </c>
      <c r="L4" s="1004" t="str">
        <f ca="1"/>
        <v/>
      </c>
      <c r="M4" s="1004" t="str">
        <f ca="1"/>
        <v/>
      </c>
      <c r="N4" s="1004" t="str">
        <f ca="1"/>
        <v/>
      </c>
      <c r="O4" s="1004" t="str">
        <f ca="1"/>
        <v/>
      </c>
      <c r="P4" s="1019" t="str">
        <f ca="1"/>
        <v/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D5" s="995" t="s">
        <v>12</v>
      </c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 t="str">
        <f ca="1"/>
        <v/>
      </c>
      <c r="J5" s="1016" t="str">
        <f ca="1"/>
        <v/>
      </c>
      <c r="K5" s="1016" t="str">
        <f ca="1"/>
        <v/>
      </c>
      <c r="L5" s="1027" t="str">
        <f ca="1"/>
        <v/>
      </c>
      <c r="M5" s="1249" t="str">
        <f ca="1"/>
        <v/>
      </c>
      <c r="N5" s="1016" t="str">
        <f ca="1"/>
        <v/>
      </c>
      <c r="O5" s="1019" t="str">
        <f ca="1"/>
        <v/>
      </c>
      <c r="P5" s="1016" t="str">
        <f ca="1"/>
        <v/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2058</v>
      </c>
      <c r="D6" s="995" t="s">
        <v>12</v>
      </c>
      <c r="E6" s="1015" t="str">
        <f ca="1"/>
        <v/>
      </c>
      <c r="F6" s="1006" t="str">
        <f ca="1"/>
        <v/>
      </c>
      <c r="G6" s="1016" t="str">
        <f ca="1"/>
        <v/>
      </c>
      <c r="H6" s="1017" t="str">
        <f ca="1"/>
        <v/>
      </c>
      <c r="I6" s="1006" t="str">
        <f ca="1"/>
        <v/>
      </c>
      <c r="J6" s="1016" t="str">
        <f ca="1"/>
        <v/>
      </c>
      <c r="K6" s="1016" t="str">
        <f ca="1"/>
        <v/>
      </c>
      <c r="L6" s="1027" t="str">
        <f ca="1"/>
        <v/>
      </c>
      <c r="M6" s="1249" t="str">
        <f ca="1"/>
        <v/>
      </c>
      <c r="N6" s="1016" t="str">
        <f ca="1"/>
        <v/>
      </c>
      <c r="O6" s="1019" t="str">
        <f ca="1"/>
        <v/>
      </c>
      <c r="P6" s="1016" t="str">
        <f ca="1"/>
        <v/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1445</v>
      </c>
      <c r="C7" s="795" t="str">
        <f ca="1">_xll.meLWOSwapPV(VNS,C15)</f>
        <v>[2018/05/04 09:52] #Error: Invalid Curve: CurveCollection 'EURYC' does not exist</v>
      </c>
      <c r="D7" s="995" t="s">
        <v>12</v>
      </c>
      <c r="E7" s="1015" t="str">
        <f ca="1"/>
        <v/>
      </c>
      <c r="F7" s="1006" t="str">
        <f ca="1"/>
        <v/>
      </c>
      <c r="G7" s="1016" t="str">
        <f ca="1"/>
        <v/>
      </c>
      <c r="H7" s="1017" t="str">
        <f ca="1"/>
        <v/>
      </c>
      <c r="I7" s="1006" t="str">
        <f ca="1"/>
        <v/>
      </c>
      <c r="J7" s="1016" t="str">
        <f ca="1"/>
        <v/>
      </c>
      <c r="K7" s="1016" t="str">
        <f ca="1"/>
        <v/>
      </c>
      <c r="L7" s="1027" t="str">
        <f ca="1"/>
        <v/>
      </c>
      <c r="M7" s="1249" t="str">
        <f ca="1"/>
        <v/>
      </c>
      <c r="N7" s="1016" t="str">
        <f ca="1"/>
        <v/>
      </c>
      <c r="O7" s="1019" t="str">
        <f ca="1"/>
        <v/>
      </c>
      <c r="P7" s="1016" t="str">
        <f ca="1"/>
        <v/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1805</v>
      </c>
      <c r="C8" s="796" t="str">
        <f ca="1">_xll.meLWOSwapParRate(VNS,C15)</f>
        <v>[2018/05/04 09:52] #Error: Invalid Curve: CurveCollection 'EURYC' does not exist</v>
      </c>
      <c r="D8" s="995" t="s">
        <v>12</v>
      </c>
      <c r="E8" s="1015" t="str">
        <f ca="1"/>
        <v/>
      </c>
      <c r="F8" s="1006" t="str">
        <f ca="1"/>
        <v/>
      </c>
      <c r="G8" s="1016" t="str">
        <f ca="1"/>
        <v/>
      </c>
      <c r="H8" s="1017" t="str">
        <f ca="1"/>
        <v/>
      </c>
      <c r="I8" s="1006" t="str">
        <f ca="1"/>
        <v/>
      </c>
      <c r="J8" s="1016" t="str">
        <f ca="1"/>
        <v/>
      </c>
      <c r="K8" s="1016" t="str">
        <f ca="1"/>
        <v/>
      </c>
      <c r="L8" s="1027" t="str">
        <f ca="1"/>
        <v/>
      </c>
      <c r="M8" s="1249" t="str">
        <f ca="1"/>
        <v/>
      </c>
      <c r="N8" s="1016" t="str">
        <f ca="1"/>
        <v/>
      </c>
      <c r="O8" s="1019" t="str">
        <f ca="1"/>
        <v/>
      </c>
      <c r="P8" s="1016" t="str">
        <f ca="1"/>
        <v/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 t="str">
        <f ca="1">_xll.meLWOSwapPV01(VNS,C15)</f>
        <v>[2018/05/04 09:52] #Error: Invalid Curve: CurveCollection 'EURYC' does not exist</v>
      </c>
      <c r="D9" s="995" t="s">
        <v>12</v>
      </c>
      <c r="E9" s="1015" t="str">
        <f ca="1"/>
        <v/>
      </c>
      <c r="F9" s="1006" t="str">
        <f ca="1"/>
        <v/>
      </c>
      <c r="G9" s="1016" t="str">
        <f ca="1"/>
        <v/>
      </c>
      <c r="H9" s="1017" t="str">
        <f ca="1"/>
        <v/>
      </c>
      <c r="I9" s="1006" t="str">
        <f ca="1"/>
        <v/>
      </c>
      <c r="J9" s="1016" t="str">
        <f ca="1"/>
        <v/>
      </c>
      <c r="K9" s="1016" t="str">
        <f ca="1"/>
        <v/>
      </c>
      <c r="L9" s="1027" t="str">
        <f ca="1"/>
        <v/>
      </c>
      <c r="M9" s="1249" t="str">
        <f ca="1"/>
        <v/>
      </c>
      <c r="N9" s="1016" t="str">
        <f ca="1"/>
        <v/>
      </c>
      <c r="O9" s="1019" t="str">
        <f ca="1"/>
        <v/>
      </c>
      <c r="P9" s="1016" t="str">
        <f ca="1"/>
        <v/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D10" s="995" t="s">
        <v>12</v>
      </c>
      <c r="E10" s="1015" t="str">
        <f ca="1"/>
        <v/>
      </c>
      <c r="F10" s="1006" t="str">
        <f ca="1"/>
        <v/>
      </c>
      <c r="G10" s="1016" t="str">
        <f ca="1"/>
        <v/>
      </c>
      <c r="H10" s="1017" t="str">
        <f ca="1"/>
        <v/>
      </c>
      <c r="I10" s="1006" t="str">
        <f ca="1"/>
        <v/>
      </c>
      <c r="J10" s="1016" t="str">
        <f ca="1"/>
        <v/>
      </c>
      <c r="K10" s="1016" t="str">
        <f ca="1"/>
        <v/>
      </c>
      <c r="L10" s="1027" t="str">
        <f ca="1"/>
        <v/>
      </c>
      <c r="M10" s="1249" t="str">
        <f ca="1"/>
        <v/>
      </c>
      <c r="N10" s="1016" t="str">
        <f ca="1"/>
        <v/>
      </c>
      <c r="O10" s="1019" t="str">
        <f ca="1"/>
        <v/>
      </c>
      <c r="P10" s="1016" t="str">
        <f ca="1"/>
        <v/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D11" s="995" t="s">
        <v>12</v>
      </c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2062</v>
      </c>
      <c r="C12" s="108"/>
      <c r="D12" s="995" t="s">
        <v>12</v>
      </c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2064</v>
      </c>
      <c r="C13" s="792" t="str">
        <f ca="1">'EUR VNS Schedules'!$C$3</f>
        <v>EUR_FIXEDSCHEDULE@2:0</v>
      </c>
      <c r="D13" s="995" t="s">
        <v>12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2017</v>
      </c>
      <c r="C14" s="868" t="s">
        <v>2060</v>
      </c>
      <c r="D14" s="995" t="s">
        <v>12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1770</v>
      </c>
      <c r="C15" s="869" t="s">
        <v>1045</v>
      </c>
      <c r="D15" s="995" t="s">
        <v>12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1444</v>
      </c>
      <c r="C16" s="870" t="s">
        <v>1870</v>
      </c>
      <c r="D16" s="995" t="s">
        <v>12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2</v>
      </c>
      <c r="D17" s="995" t="s">
        <v>12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D18" s="995" t="s">
        <v>12</v>
      </c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D19" s="995" t="s">
        <v>12</v>
      </c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2063</v>
      </c>
      <c r="C20" s="108"/>
      <c r="D20" s="995" t="s">
        <v>12</v>
      </c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2065</v>
      </c>
      <c r="C21" s="793" t="str">
        <f ca="1">'EUR VNS Schedules'!$C$4</f>
        <v>EUR_FLOATSCHEDULE@6:0</v>
      </c>
      <c r="D21" s="995" t="s">
        <v>12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2017</v>
      </c>
      <c r="C22" s="872" t="s">
        <v>1993</v>
      </c>
      <c r="D22" s="995" t="s">
        <v>12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1770</v>
      </c>
      <c r="C23" s="873" t="s">
        <v>1045</v>
      </c>
      <c r="D23" s="995" t="s">
        <v>12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1443</v>
      </c>
      <c r="C24" s="874" t="s">
        <v>1039</v>
      </c>
      <c r="D24" s="995" t="s">
        <v>12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1444</v>
      </c>
      <c r="C25" s="874" t="s">
        <v>1870</v>
      </c>
      <c r="D25" s="995" t="s">
        <v>12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2</v>
      </c>
      <c r="D26" s="995" t="s">
        <v>12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1796</v>
      </c>
      <c r="C27" s="875"/>
      <c r="D27" s="995" t="s">
        <v>12</v>
      </c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1797</v>
      </c>
      <c r="C28" s="876"/>
      <c r="D28" s="995" t="s">
        <v>12</v>
      </c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D29" s="995" t="s">
        <v>12</v>
      </c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D30" s="995" t="s">
        <v>12</v>
      </c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D31" s="995" t="s">
        <v>12</v>
      </c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D32" s="995" t="s">
        <v>12</v>
      </c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4:34">
      <c r="D33" s="995" t="s">
        <v>12</v>
      </c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4:34">
      <c r="D34" s="995" t="s">
        <v>12</v>
      </c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4:34">
      <c r="D35" s="995" t="s">
        <v>12</v>
      </c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4:34">
      <c r="D36" s="995" t="s">
        <v>12</v>
      </c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4:34">
      <c r="D37" s="995" t="s">
        <v>12</v>
      </c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4:34">
      <c r="D38" s="995" t="s">
        <v>12</v>
      </c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4:34">
      <c r="D39" s="995" t="s">
        <v>12</v>
      </c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4:34">
      <c r="D40" s="995" t="s">
        <v>12</v>
      </c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4:34">
      <c r="D41" s="995" t="s">
        <v>12</v>
      </c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4:34">
      <c r="D42" s="995" t="s">
        <v>12</v>
      </c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4:34">
      <c r="D43" s="995" t="s">
        <v>12</v>
      </c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4:34">
      <c r="D44" s="995" t="s">
        <v>12</v>
      </c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4:34">
      <c r="D45" s="995" t="s">
        <v>12</v>
      </c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4:34">
      <c r="D46" s="995" t="s">
        <v>12</v>
      </c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4:34">
      <c r="D47" s="995" t="s">
        <v>12</v>
      </c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4:34">
      <c r="D48" s="995" t="s">
        <v>12</v>
      </c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4:34">
      <c r="D49" s="995" t="s">
        <v>12</v>
      </c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4:34">
      <c r="D50" s="995" t="s">
        <v>12</v>
      </c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4:34">
      <c r="D51" s="995" t="s">
        <v>12</v>
      </c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4:34">
      <c r="D52" s="995" t="s">
        <v>12</v>
      </c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4:34">
      <c r="D53" s="995" t="s">
        <v>12</v>
      </c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4:34">
      <c r="D54" s="995" t="s">
        <v>12</v>
      </c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4:34">
      <c r="D55" s="995" t="s">
        <v>12</v>
      </c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4:34">
      <c r="D56" s="995" t="s">
        <v>12</v>
      </c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4:34">
      <c r="D57" s="995" t="s">
        <v>12</v>
      </c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4:34">
      <c r="D58" s="995" t="s">
        <v>12</v>
      </c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4:34">
      <c r="D59" s="995" t="s">
        <v>12</v>
      </c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4:34">
      <c r="D60" s="995" t="s">
        <v>12</v>
      </c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4:34">
      <c r="D61" s="995" t="s">
        <v>12</v>
      </c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4:34">
      <c r="D62" s="995" t="s">
        <v>12</v>
      </c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4:34">
      <c r="D63" s="995" t="s">
        <v>12</v>
      </c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4:34">
      <c r="D64" s="995" t="s">
        <v>12</v>
      </c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4:34">
      <c r="D65" s="995" t="s">
        <v>12</v>
      </c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4:34">
      <c r="D66" s="995" t="s">
        <v>12</v>
      </c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4:34">
      <c r="D67" s="995" t="s">
        <v>12</v>
      </c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4:34">
      <c r="D68" s="995" t="s">
        <v>12</v>
      </c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4:34">
      <c r="D69" s="995" t="s">
        <v>12</v>
      </c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4:34">
      <c r="D70" s="995" t="s">
        <v>12</v>
      </c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4:34">
      <c r="D71" s="995" t="s">
        <v>12</v>
      </c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4:34">
      <c r="D72" s="995" t="s">
        <v>12</v>
      </c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4:34">
      <c r="D73" s="995" t="s">
        <v>12</v>
      </c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4:34">
      <c r="D74" s="995" t="s">
        <v>12</v>
      </c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4:34">
      <c r="D75" s="995" t="s">
        <v>12</v>
      </c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4:34">
      <c r="D76" s="995" t="s">
        <v>12</v>
      </c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4:34">
      <c r="D77" s="995" t="s">
        <v>12</v>
      </c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4:34">
      <c r="D78" s="995" t="s">
        <v>12</v>
      </c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4:34">
      <c r="D79" s="995" t="s">
        <v>12</v>
      </c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4:34">
      <c r="D80" s="995" t="s">
        <v>12</v>
      </c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4:34">
      <c r="D81" s="995" t="s">
        <v>12</v>
      </c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4:34">
      <c r="D82" s="995" t="s">
        <v>12</v>
      </c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4:34">
      <c r="D83" s="995" t="s">
        <v>12</v>
      </c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4:34">
      <c r="D84" s="995" t="s">
        <v>12</v>
      </c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4:34">
      <c r="D85" s="995" t="s">
        <v>12</v>
      </c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4:34">
      <c r="D86" s="995" t="s">
        <v>12</v>
      </c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4:34">
      <c r="D87" s="995" t="s">
        <v>12</v>
      </c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4:34">
      <c r="D88" s="995" t="s">
        <v>12</v>
      </c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4:34">
      <c r="D89" s="995" t="s">
        <v>12</v>
      </c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4:34">
      <c r="D90" s="995" t="s">
        <v>12</v>
      </c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4:34">
      <c r="D91" s="995" t="s">
        <v>12</v>
      </c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4:34">
      <c r="D92" s="995" t="s">
        <v>12</v>
      </c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4:34">
      <c r="D93" s="995" t="s">
        <v>12</v>
      </c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4:34">
      <c r="D94" s="995" t="s">
        <v>12</v>
      </c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4:34">
      <c r="D95" s="995" t="s">
        <v>12</v>
      </c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4:34">
      <c r="D96" s="995" t="s">
        <v>12</v>
      </c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4:34">
      <c r="D97" s="995" t="s">
        <v>12</v>
      </c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4:34">
      <c r="D98" s="995" t="s">
        <v>12</v>
      </c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4:34">
      <c r="D99" s="995" t="s">
        <v>12</v>
      </c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4:34">
      <c r="D100" s="995" t="s">
        <v>12</v>
      </c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4:34">
      <c r="E101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8.8554687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8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2069</v>
      </c>
      <c r="AV1" s="9" t="s">
        <v>2070</v>
      </c>
    </row>
    <row r="2" spans="2:48">
      <c r="B2" s="234" t="s">
        <v>2057</v>
      </c>
    </row>
    <row r="3" spans="2:48">
      <c r="B3" s="755" t="s">
        <v>2097</v>
      </c>
      <c r="C3" s="764" t="str">
        <f ca="1">_xll.meLWOScheduleCreateBespoke(B3,VNS.FixedSchedule.Properties,VNS.FixedCashflowSchedule)</f>
        <v>USD_FIXEDSCHEDULE@1:0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2098</v>
      </c>
      <c r="C4" s="761" t="str">
        <f ca="1">_xll.meLWOScheduleCreateBespoke(B4,VNS.FloatSchedule.Properties,VNS.FloatCashflowSchedule)</f>
        <v>USD_FLOATSCHEDULE@4:0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2054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2054</v>
      </c>
      <c r="AU7" s="996"/>
    </row>
    <row r="8" spans="2:48">
      <c r="AI8" s="1008" t="s">
        <v>2051</v>
      </c>
      <c r="AJ8" s="1051" t="s">
        <v>2052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2051</v>
      </c>
      <c r="AU8" s="1051" t="s">
        <v>2053</v>
      </c>
    </row>
    <row r="9" spans="2:48">
      <c r="B9" s="234" t="s">
        <v>2038</v>
      </c>
      <c r="D9" s="108" t="s">
        <v>12</v>
      </c>
      <c r="AI9" s="1050" t="s">
        <v>1803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1803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43224</v>
      </c>
      <c r="D10" s="108" t="s">
        <v>12</v>
      </c>
      <c r="AI10" s="1050" t="s">
        <v>2016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2016</v>
      </c>
      <c r="AU10" s="1097" t="str">
        <f>$C$14</f>
        <v>START_AND_END</v>
      </c>
      <c r="AV10" s="108" t="s">
        <v>12</v>
      </c>
    </row>
    <row r="11" spans="2:48">
      <c r="B11" s="768" t="s">
        <v>1802</v>
      </c>
      <c r="C11" s="779" t="s">
        <v>361</v>
      </c>
      <c r="D11" s="108" t="s">
        <v>12</v>
      </c>
      <c r="AB11" s="234" t="s">
        <v>2039</v>
      </c>
      <c r="AI11" s="1050" t="s">
        <v>2046</v>
      </c>
      <c r="AJ11" s="1097" t="str">
        <f>$C$23</f>
        <v>Semi-Annual</v>
      </c>
      <c r="AK11" s="996" t="s">
        <v>12</v>
      </c>
      <c r="AL11" s="996"/>
      <c r="AM11" s="998" t="s">
        <v>2040</v>
      </c>
      <c r="AN11" s="996"/>
      <c r="AO11" s="996"/>
      <c r="AP11" s="996"/>
      <c r="AQ11" s="996"/>
      <c r="AR11" s="996"/>
      <c r="AS11" s="996"/>
      <c r="AT11" s="1050" t="s">
        <v>2046</v>
      </c>
      <c r="AU11" s="1097" t="str">
        <f>$C$43</f>
        <v>Quarterly</v>
      </c>
      <c r="AV11" s="108" t="s">
        <v>12</v>
      </c>
    </row>
    <row r="12" spans="2:48">
      <c r="B12" s="768" t="s">
        <v>1769</v>
      </c>
      <c r="C12" s="780" t="s">
        <v>31</v>
      </c>
      <c r="D12" s="108" t="s">
        <v>12</v>
      </c>
      <c r="AB12" s="802" t="s">
        <v>2066</v>
      </c>
      <c r="AC12" s="803">
        <f>COUNT(AB19:AB518)</f>
        <v>10</v>
      </c>
      <c r="AI12" s="1050" t="s">
        <v>2014</v>
      </c>
      <c r="AJ12" s="1097" t="str">
        <f>$C$24</f>
        <v>MOD_FOLLOWING</v>
      </c>
      <c r="AK12" s="996" t="s">
        <v>12</v>
      </c>
      <c r="AL12" s="996"/>
      <c r="AM12" s="798" t="s">
        <v>2066</v>
      </c>
      <c r="AN12" s="799">
        <f>COUNT(AM19:AM518)</f>
        <v>20</v>
      </c>
      <c r="AO12" s="996"/>
      <c r="AP12" s="996"/>
      <c r="AQ12" s="996"/>
      <c r="AR12" s="996"/>
      <c r="AS12" s="996"/>
      <c r="AT12" s="1050" t="s">
        <v>2014</v>
      </c>
      <c r="AU12" s="1097" t="str">
        <f>$C$44</f>
        <v>MOD_FOLLOWING</v>
      </c>
      <c r="AV12" s="108" t="s">
        <v>12</v>
      </c>
    </row>
    <row r="13" spans="2:48">
      <c r="B13" s="1053" t="s">
        <v>2143</v>
      </c>
      <c r="C13" s="1096" t="s">
        <v>1995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2013</v>
      </c>
      <c r="AJ13" s="1097" t="str">
        <f>$C$25</f>
        <v>LNB:NYB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2013</v>
      </c>
      <c r="AU13" s="1097" t="str">
        <f>$C$45</f>
        <v>LNB:NYB</v>
      </c>
      <c r="AV13" s="108" t="s">
        <v>12</v>
      </c>
    </row>
    <row r="14" spans="2:48">
      <c r="B14" s="1053" t="s">
        <v>2016</v>
      </c>
      <c r="C14" s="1096" t="s">
        <v>2125</v>
      </c>
      <c r="D14" s="108" t="s">
        <v>12</v>
      </c>
      <c r="AB14" s="765" t="s">
        <v>2041</v>
      </c>
      <c r="AC14" s="753">
        <v>100000</v>
      </c>
      <c r="AD14" s="647" t="s">
        <v>2042</v>
      </c>
      <c r="AI14" s="1009" t="s">
        <v>2045</v>
      </c>
      <c r="AJ14" s="1052" t="str">
        <f>VNS.Daycount.Fixed</f>
        <v>30/360</v>
      </c>
      <c r="AK14" s="996" t="s">
        <v>12</v>
      </c>
      <c r="AL14" s="996"/>
      <c r="AM14" s="765" t="s">
        <v>2041</v>
      </c>
      <c r="AN14" s="753">
        <v>100000</v>
      </c>
      <c r="AO14" s="647" t="s">
        <v>2042</v>
      </c>
      <c r="AP14" s="996"/>
      <c r="AQ14" s="996"/>
      <c r="AR14" s="996"/>
      <c r="AS14" s="996"/>
      <c r="AT14" s="1009" t="s">
        <v>2045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2080</v>
      </c>
      <c r="AC15" s="754">
        <v>0</v>
      </c>
      <c r="AD15" s="647" t="s">
        <v>2042</v>
      </c>
      <c r="AI15" s="647" t="s">
        <v>2089</v>
      </c>
      <c r="AJ15" s="996"/>
      <c r="AK15" s="996" t="s">
        <v>12</v>
      </c>
      <c r="AL15" s="996"/>
      <c r="AM15" s="766" t="s">
        <v>2080</v>
      </c>
      <c r="AN15" s="754">
        <v>0</v>
      </c>
      <c r="AO15" s="647" t="s">
        <v>2042</v>
      </c>
      <c r="AP15" s="996"/>
      <c r="AQ15" s="996"/>
      <c r="AR15" s="996"/>
      <c r="AS15" s="996"/>
      <c r="AT15" s="647" t="s">
        <v>2089</v>
      </c>
      <c r="AU15" s="996"/>
      <c r="AV15" s="108" t="s">
        <v>12</v>
      </c>
    </row>
    <row r="16" spans="2:48">
      <c r="B16" s="768" t="s">
        <v>2056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2055</v>
      </c>
      <c r="C17" s="791">
        <v>0</v>
      </c>
      <c r="D17" s="108" t="s">
        <v>12</v>
      </c>
      <c r="E17" s="998" t="s">
        <v>2082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2090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2044</v>
      </c>
      <c r="F18" s="736" t="s">
        <v>354</v>
      </c>
      <c r="G18" s="736" t="s">
        <v>2015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1772</v>
      </c>
      <c r="O18" s="996"/>
      <c r="P18" s="735" t="s">
        <v>2044</v>
      </c>
      <c r="Q18" s="736" t="s">
        <v>354</v>
      </c>
      <c r="R18" s="736" t="s">
        <v>2015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1784</v>
      </c>
      <c r="AA18" s="828" t="s">
        <v>2044</v>
      </c>
      <c r="AB18" s="832" t="s">
        <v>354</v>
      </c>
      <c r="AC18" s="832" t="s">
        <v>2015</v>
      </c>
      <c r="AD18" s="833" t="s">
        <v>2083</v>
      </c>
      <c r="AE18" s="833" t="s">
        <v>2084</v>
      </c>
      <c r="AF18" s="833" t="s">
        <v>2085</v>
      </c>
      <c r="AG18" s="834" t="s">
        <v>2086</v>
      </c>
      <c r="AH18" s="737" t="s">
        <v>2087</v>
      </c>
      <c r="AI18" s="833" t="s">
        <v>2088</v>
      </c>
      <c r="AJ18" s="835" t="s">
        <v>1772</v>
      </c>
      <c r="AK18" s="108" t="s">
        <v>12</v>
      </c>
      <c r="AL18" s="847" t="s">
        <v>2044</v>
      </c>
      <c r="AM18" s="848" t="s">
        <v>354</v>
      </c>
      <c r="AN18" s="849" t="s">
        <v>2015</v>
      </c>
      <c r="AO18" s="850" t="s">
        <v>2083</v>
      </c>
      <c r="AP18" s="850" t="s">
        <v>2084</v>
      </c>
      <c r="AQ18" s="850" t="s">
        <v>2085</v>
      </c>
      <c r="AR18" s="851" t="s">
        <v>2086</v>
      </c>
      <c r="AS18" s="852" t="s">
        <v>2087</v>
      </c>
      <c r="AT18" s="850" t="s">
        <v>2088</v>
      </c>
      <c r="AU18" s="853" t="s">
        <v>1784</v>
      </c>
      <c r="AV18" s="108" t="s">
        <v>12</v>
      </c>
    </row>
    <row r="19" spans="1:48" ht="15" customHeight="1">
      <c r="B19" s="234" t="s">
        <v>2043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43229</v>
      </c>
      <c r="I19" s="1006">
        <f ca="1"/>
        <v>43229</v>
      </c>
      <c r="J19" s="1006">
        <f ca="1"/>
        <v>43413</v>
      </c>
      <c r="K19" s="1016">
        <f ca="1"/>
        <v>184</v>
      </c>
      <c r="L19" s="1019">
        <f ca="1"/>
        <v>0.5</v>
      </c>
      <c r="M19" s="1006">
        <f ca="1"/>
        <v>43413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43229</v>
      </c>
      <c r="T19" s="1006">
        <f ca="1"/>
        <v>43229</v>
      </c>
      <c r="U19" s="1006">
        <f ca="1"/>
        <v>43321</v>
      </c>
      <c r="V19" s="1016">
        <f ca="1"/>
        <v>92</v>
      </c>
      <c r="W19" s="1019">
        <f ca="1"/>
        <v>0.25555555555555598</v>
      </c>
      <c r="X19" s="1006">
        <f ca="1"/>
        <v>43321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0.49722222222222201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43007</v>
      </c>
      <c r="AR19" s="743">
        <v>91</v>
      </c>
      <c r="AS19" s="837">
        <v>0.25277777777777799</v>
      </c>
      <c r="AT19" s="836">
        <v>43007</v>
      </c>
      <c r="AU19" s="855">
        <v>0</v>
      </c>
      <c r="AV19" s="108" t="s">
        <v>12</v>
      </c>
    </row>
    <row r="20" spans="1:48">
      <c r="B20" s="755" t="s">
        <v>1768</v>
      </c>
      <c r="C20" s="783">
        <f ca="1">_xll.meDateFromTenor(AsOfDate,EffectiveLag,C27,C28)</f>
        <v>43229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43413</v>
      </c>
      <c r="I20" s="1006">
        <f ca="1"/>
        <v>43413</v>
      </c>
      <c r="J20" s="1006">
        <f ca="1"/>
        <v>43594</v>
      </c>
      <c r="K20" s="1016">
        <f ca="1"/>
        <v>181</v>
      </c>
      <c r="L20" s="1019">
        <f ca="1"/>
        <v>0.5</v>
      </c>
      <c r="M20" s="1006">
        <f ca="1"/>
        <v>43594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43321</v>
      </c>
      <c r="T20" s="1006">
        <f ca="1"/>
        <v>43321</v>
      </c>
      <c r="U20" s="1006">
        <f ca="1"/>
        <v>43413</v>
      </c>
      <c r="V20" s="1016">
        <f ca="1"/>
        <v>92</v>
      </c>
      <c r="W20" s="1019">
        <f ca="1"/>
        <v>0.25555555555555598</v>
      </c>
      <c r="X20" s="1006">
        <f ca="1"/>
        <v>43413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0.5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43007</v>
      </c>
      <c r="AP20" s="836">
        <v>43007</v>
      </c>
      <c r="AQ20" s="836">
        <v>43098</v>
      </c>
      <c r="AR20" s="743">
        <v>91</v>
      </c>
      <c r="AS20" s="837">
        <v>0.25277777777777799</v>
      </c>
      <c r="AT20" s="836">
        <v>43098</v>
      </c>
      <c r="AU20" s="855">
        <v>0</v>
      </c>
      <c r="AV20" s="108" t="s">
        <v>12</v>
      </c>
    </row>
    <row r="21" spans="1:48">
      <c r="B21" s="756" t="s">
        <v>1769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43594</v>
      </c>
      <c r="I21" s="1006">
        <f ca="1"/>
        <v>43594</v>
      </c>
      <c r="J21" s="1006">
        <f ca="1"/>
        <v>43781</v>
      </c>
      <c r="K21" s="1016">
        <f ca="1"/>
        <v>187</v>
      </c>
      <c r="L21" s="1019">
        <f ca="1"/>
        <v>0.50833333333333297</v>
      </c>
      <c r="M21" s="1006">
        <f ca="1"/>
        <v>43781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43413</v>
      </c>
      <c r="T21" s="1006">
        <f ca="1"/>
        <v>43413</v>
      </c>
      <c r="U21" s="1006">
        <f ca="1"/>
        <v>43507</v>
      </c>
      <c r="V21" s="1016">
        <f ca="1"/>
        <v>94</v>
      </c>
      <c r="W21" s="1019">
        <f ca="1"/>
        <v>0.26111111111111102</v>
      </c>
      <c r="X21" s="1006">
        <f ca="1"/>
        <v>43507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43465</v>
      </c>
      <c r="AG21" s="743">
        <v>185</v>
      </c>
      <c r="AH21" s="837">
        <v>0.50555555555555598</v>
      </c>
      <c r="AI21" s="836">
        <v>43465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43098</v>
      </c>
      <c r="AP21" s="836">
        <v>43098</v>
      </c>
      <c r="AQ21" s="836">
        <v>43188</v>
      </c>
      <c r="AR21" s="743">
        <v>90</v>
      </c>
      <c r="AS21" s="837">
        <v>0.25</v>
      </c>
      <c r="AT21" s="836">
        <v>43188</v>
      </c>
      <c r="AU21" s="855">
        <v>0</v>
      </c>
      <c r="AV21" s="108" t="s">
        <v>12</v>
      </c>
    </row>
    <row r="22" spans="1:48">
      <c r="B22" s="756" t="s">
        <v>2045</v>
      </c>
      <c r="C22" s="744" t="s">
        <v>157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43781</v>
      </c>
      <c r="I22" s="1006">
        <f ca="1"/>
        <v>43781</v>
      </c>
      <c r="J22" s="1006">
        <f ca="1"/>
        <v>43962</v>
      </c>
      <c r="K22" s="1016">
        <f ca="1"/>
        <v>181</v>
      </c>
      <c r="L22" s="1019">
        <f ca="1"/>
        <v>0.49722222222222201</v>
      </c>
      <c r="M22" s="1006">
        <f ca="1"/>
        <v>43962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43507</v>
      </c>
      <c r="T22" s="1006">
        <f ca="1"/>
        <v>43507</v>
      </c>
      <c r="U22" s="1006">
        <f ca="1"/>
        <v>43594</v>
      </c>
      <c r="V22" s="1016">
        <f ca="1"/>
        <v>87</v>
      </c>
      <c r="W22" s="1019">
        <f ca="1"/>
        <v>0.241666666666667</v>
      </c>
      <c r="X22" s="1006">
        <f ca="1"/>
        <v>43594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43465</v>
      </c>
      <c r="AE22" s="836">
        <v>43465</v>
      </c>
      <c r="AF22" s="836">
        <v>43644</v>
      </c>
      <c r="AG22" s="743">
        <v>179</v>
      </c>
      <c r="AH22" s="837">
        <v>0.49444444444444402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43188</v>
      </c>
      <c r="AP22" s="836">
        <v>43188</v>
      </c>
      <c r="AQ22" s="836">
        <v>43280</v>
      </c>
      <c r="AR22" s="743">
        <v>92</v>
      </c>
      <c r="AS22" s="837">
        <v>0.25555555555555598</v>
      </c>
      <c r="AT22" s="836">
        <v>43280</v>
      </c>
      <c r="AU22" s="855">
        <v>0</v>
      </c>
      <c r="AV22" s="108" t="s">
        <v>12</v>
      </c>
    </row>
    <row r="23" spans="1:48">
      <c r="B23" s="756" t="s">
        <v>2046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43962</v>
      </c>
      <c r="I23" s="1006">
        <f ca="1"/>
        <v>43962</v>
      </c>
      <c r="J23" s="1006">
        <f ca="1"/>
        <v>44144</v>
      </c>
      <c r="K23" s="1016">
        <f ca="1"/>
        <v>182</v>
      </c>
      <c r="L23" s="1019">
        <f ca="1"/>
        <v>0.49444444444444402</v>
      </c>
      <c r="M23" s="1006">
        <f ca="1"/>
        <v>44144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43594</v>
      </c>
      <c r="T23" s="1006">
        <f ca="1"/>
        <v>43594</v>
      </c>
      <c r="U23" s="1006">
        <f ca="1"/>
        <v>43686</v>
      </c>
      <c r="V23" s="1016">
        <f ca="1"/>
        <v>92</v>
      </c>
      <c r="W23" s="1019">
        <f ca="1"/>
        <v>0.25555555555555598</v>
      </c>
      <c r="X23" s="1006">
        <f ca="1"/>
        <v>43686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0.50555555555555598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43280</v>
      </c>
      <c r="AP23" s="836">
        <v>43280</v>
      </c>
      <c r="AQ23" s="836">
        <v>43371</v>
      </c>
      <c r="AR23" s="743">
        <v>91</v>
      </c>
      <c r="AS23" s="837">
        <v>0.25277777777777799</v>
      </c>
      <c r="AT23" s="836">
        <v>43371</v>
      </c>
      <c r="AU23" s="855">
        <v>0</v>
      </c>
      <c r="AV23" s="108" t="s">
        <v>12</v>
      </c>
    </row>
    <row r="24" spans="1:48">
      <c r="B24" s="756" t="s">
        <v>2014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44144</v>
      </c>
      <c r="I24" s="1006">
        <f ca="1"/>
        <v>44144</v>
      </c>
      <c r="J24" s="1006">
        <f ca="1"/>
        <v>44326</v>
      </c>
      <c r="K24" s="1016">
        <f ca="1"/>
        <v>182</v>
      </c>
      <c r="L24" s="1019">
        <f ca="1"/>
        <v>0.50277777777777799</v>
      </c>
      <c r="M24" s="1006">
        <f ca="1"/>
        <v>44326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43686</v>
      </c>
      <c r="T24" s="1006">
        <f ca="1"/>
        <v>43686</v>
      </c>
      <c r="U24" s="1006">
        <f ca="1"/>
        <v>43781</v>
      </c>
      <c r="V24" s="1016">
        <f ca="1"/>
        <v>95</v>
      </c>
      <c r="W24" s="1019">
        <f ca="1"/>
        <v>0.26388888888888901</v>
      </c>
      <c r="X24" s="1006">
        <f ca="1"/>
        <v>43781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43371</v>
      </c>
      <c r="AP24" s="836">
        <v>43371</v>
      </c>
      <c r="AQ24" s="836">
        <v>43465</v>
      </c>
      <c r="AR24" s="743">
        <v>94</v>
      </c>
      <c r="AS24" s="837">
        <v>0.26111111111111102</v>
      </c>
      <c r="AT24" s="836">
        <v>43465</v>
      </c>
      <c r="AU24" s="855">
        <v>0</v>
      </c>
      <c r="AV24" s="108" t="s">
        <v>12</v>
      </c>
    </row>
    <row r="25" spans="1:48">
      <c r="B25" s="756" t="s">
        <v>2013</v>
      </c>
      <c r="C25" s="746" t="s">
        <v>112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44326</v>
      </c>
      <c r="I25" s="1006">
        <f ca="1"/>
        <v>44326</v>
      </c>
      <c r="J25" s="1006">
        <f ca="1"/>
        <v>44509</v>
      </c>
      <c r="K25" s="1016">
        <f ca="1"/>
        <v>183</v>
      </c>
      <c r="L25" s="1019">
        <f ca="1"/>
        <v>0.49722222222222201</v>
      </c>
      <c r="M25" s="1006">
        <f ca="1"/>
        <v>44509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43781</v>
      </c>
      <c r="T25" s="1006">
        <f ca="1"/>
        <v>43781</v>
      </c>
      <c r="U25" s="1006">
        <f ca="1"/>
        <v>43871</v>
      </c>
      <c r="V25" s="1016">
        <f ca="1"/>
        <v>90</v>
      </c>
      <c r="W25" s="1019">
        <f ca="1"/>
        <v>0.25</v>
      </c>
      <c r="X25" s="1006">
        <f ca="1"/>
        <v>43871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43465</v>
      </c>
      <c r="AP25" s="836">
        <v>43465</v>
      </c>
      <c r="AQ25" s="836">
        <v>43553</v>
      </c>
      <c r="AR25" s="743">
        <v>88</v>
      </c>
      <c r="AS25" s="837">
        <v>0.24444444444444399</v>
      </c>
      <c r="AT25" s="836">
        <v>43553</v>
      </c>
      <c r="AU25" s="855">
        <v>0</v>
      </c>
      <c r="AV25" s="108" t="s">
        <v>12</v>
      </c>
    </row>
    <row r="26" spans="1:48">
      <c r="B26" s="756" t="s">
        <v>2047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44509</v>
      </c>
      <c r="I26" s="1006">
        <f ca="1"/>
        <v>44509</v>
      </c>
      <c r="J26" s="1006">
        <f ca="1"/>
        <v>44690</v>
      </c>
      <c r="K26" s="1016">
        <f ca="1"/>
        <v>181</v>
      </c>
      <c r="L26" s="1019">
        <f ca="1"/>
        <v>0.5</v>
      </c>
      <c r="M26" s="1006">
        <f ca="1"/>
        <v>44690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43871</v>
      </c>
      <c r="T26" s="1006">
        <f ca="1"/>
        <v>43871</v>
      </c>
      <c r="U26" s="1006">
        <f ca="1"/>
        <v>43962</v>
      </c>
      <c r="V26" s="1016">
        <f ca="1"/>
        <v>91</v>
      </c>
      <c r="W26" s="1019">
        <f ca="1"/>
        <v>0.25277777777777799</v>
      </c>
      <c r="X26" s="1006">
        <f ca="1"/>
        <v>43962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0.5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43553</v>
      </c>
      <c r="AP26" s="836">
        <v>43553</v>
      </c>
      <c r="AQ26" s="836">
        <v>43644</v>
      </c>
      <c r="AR26" s="743">
        <v>91</v>
      </c>
      <c r="AS26" s="837">
        <v>0.25277777777777799</v>
      </c>
      <c r="AT26" s="836">
        <v>43644</v>
      </c>
      <c r="AU26" s="855">
        <v>0</v>
      </c>
      <c r="AV26" s="108" t="s">
        <v>12</v>
      </c>
    </row>
    <row r="27" spans="1:48">
      <c r="B27" s="756" t="s">
        <v>2009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44690</v>
      </c>
      <c r="I27" s="1006">
        <f ca="1"/>
        <v>44690</v>
      </c>
      <c r="J27" s="1006">
        <f ca="1"/>
        <v>44874</v>
      </c>
      <c r="K27" s="1016">
        <f ca="1"/>
        <v>184</v>
      </c>
      <c r="L27" s="1019">
        <f ca="1"/>
        <v>0.5</v>
      </c>
      <c r="M27" s="1006">
        <f ca="1"/>
        <v>44874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43962</v>
      </c>
      <c r="T27" s="1006">
        <f ca="1"/>
        <v>43962</v>
      </c>
      <c r="U27" s="1006">
        <f ca="1"/>
        <v>44053</v>
      </c>
      <c r="V27" s="1016">
        <f ca="1"/>
        <v>91</v>
      </c>
      <c r="W27" s="1019">
        <f ca="1"/>
        <v>0.25277777777777799</v>
      </c>
      <c r="X27" s="1006">
        <f ca="1"/>
        <v>44053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43644</v>
      </c>
      <c r="AP27" s="836">
        <v>43644</v>
      </c>
      <c r="AQ27" s="836">
        <v>43738</v>
      </c>
      <c r="AR27" s="743">
        <v>94</v>
      </c>
      <c r="AS27" s="837">
        <v>0.26111111111111102</v>
      </c>
      <c r="AT27" s="836">
        <v>43738</v>
      </c>
      <c r="AU27" s="855">
        <v>0</v>
      </c>
      <c r="AV27" s="108" t="s">
        <v>12</v>
      </c>
    </row>
    <row r="28" spans="1:48">
      <c r="B28" s="756" t="s">
        <v>2008</v>
      </c>
      <c r="C28" s="745" t="s">
        <v>112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44874</v>
      </c>
      <c r="I28" s="1006">
        <f ca="1"/>
        <v>44874</v>
      </c>
      <c r="J28" s="1006">
        <f ca="1"/>
        <v>45055</v>
      </c>
      <c r="K28" s="1016">
        <f ca="1"/>
        <v>181</v>
      </c>
      <c r="L28" s="1019">
        <f ca="1"/>
        <v>0.5</v>
      </c>
      <c r="M28" s="1006">
        <f ca="1"/>
        <v>45055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44053</v>
      </c>
      <c r="T28" s="1006">
        <f ca="1"/>
        <v>44053</v>
      </c>
      <c r="U28" s="1006">
        <f ca="1"/>
        <v>44144</v>
      </c>
      <c r="V28" s="1016">
        <f ca="1"/>
        <v>91</v>
      </c>
      <c r="W28" s="1019">
        <f ca="1"/>
        <v>0.25277777777777799</v>
      </c>
      <c r="X28" s="1006">
        <f ca="1"/>
        <v>44144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0.5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43738</v>
      </c>
      <c r="AP28" s="836">
        <v>43738</v>
      </c>
      <c r="AQ28" s="836">
        <v>43829</v>
      </c>
      <c r="AR28" s="743">
        <v>91</v>
      </c>
      <c r="AS28" s="837">
        <v>0.25277777777777799</v>
      </c>
      <c r="AT28" s="836">
        <v>43829</v>
      </c>
      <c r="AU28" s="855">
        <v>0</v>
      </c>
      <c r="AV28" s="108" t="s">
        <v>12</v>
      </c>
    </row>
    <row r="29" spans="1:48">
      <c r="B29" s="756" t="s">
        <v>2007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>
        <f t="shared" ca="1" si="9"/>
        <v>1000000</v>
      </c>
      <c r="R29" s="1027">
        <f t="shared" ca="1" si="10"/>
        <v>1</v>
      </c>
      <c r="S29" s="1006">
        <f ca="1"/>
        <v>44144</v>
      </c>
      <c r="T29" s="1006">
        <f ca="1"/>
        <v>44144</v>
      </c>
      <c r="U29" s="1006">
        <f ca="1"/>
        <v>44236</v>
      </c>
      <c r="V29" s="1016">
        <f ca="1"/>
        <v>92</v>
      </c>
      <c r="W29" s="1019">
        <f ca="1"/>
        <v>0.25555555555555598</v>
      </c>
      <c r="X29" s="1006">
        <f ca="1"/>
        <v>44236</v>
      </c>
      <c r="Y29" s="864">
        <f t="shared" ca="1" si="6"/>
        <v>0</v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>
        <v>1000000</v>
      </c>
      <c r="AN29" s="242">
        <v>1</v>
      </c>
      <c r="AO29" s="836">
        <v>43829</v>
      </c>
      <c r="AP29" s="836">
        <v>43829</v>
      </c>
      <c r="AQ29" s="836">
        <v>43920</v>
      </c>
      <c r="AR29" s="743">
        <v>91</v>
      </c>
      <c r="AS29" s="837">
        <v>0.25277777777777799</v>
      </c>
      <c r="AT29" s="836">
        <v>43920</v>
      </c>
      <c r="AU29" s="855">
        <v>0</v>
      </c>
      <c r="AV29" s="108" t="s">
        <v>12</v>
      </c>
    </row>
    <row r="30" spans="1:48">
      <c r="B30" s="756" t="s">
        <v>2012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>
        <f t="shared" ca="1" si="9"/>
        <v>1000000</v>
      </c>
      <c r="R30" s="1027">
        <f t="shared" ca="1" si="10"/>
        <v>1</v>
      </c>
      <c r="S30" s="1006">
        <f ca="1"/>
        <v>44236</v>
      </c>
      <c r="T30" s="1006">
        <f ca="1"/>
        <v>44236</v>
      </c>
      <c r="U30" s="1006">
        <f ca="1"/>
        <v>44326</v>
      </c>
      <c r="V30" s="1016">
        <f ca="1"/>
        <v>90</v>
      </c>
      <c r="W30" s="1019">
        <f ca="1"/>
        <v>0.25</v>
      </c>
      <c r="X30" s="1006">
        <f ca="1"/>
        <v>44326</v>
      </c>
      <c r="Y30" s="864">
        <f t="shared" ca="1" si="6"/>
        <v>0</v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>
        <v>1000000</v>
      </c>
      <c r="AN30" s="242">
        <v>1</v>
      </c>
      <c r="AO30" s="836">
        <v>43920</v>
      </c>
      <c r="AP30" s="836">
        <v>43920</v>
      </c>
      <c r="AQ30" s="836">
        <v>44012</v>
      </c>
      <c r="AR30" s="743">
        <v>92</v>
      </c>
      <c r="AS30" s="837">
        <v>0.25555555555555598</v>
      </c>
      <c r="AT30" s="836">
        <v>44012</v>
      </c>
      <c r="AU30" s="855">
        <v>0</v>
      </c>
      <c r="AV30" s="108" t="s">
        <v>12</v>
      </c>
    </row>
    <row r="31" spans="1:48">
      <c r="B31" s="756" t="s">
        <v>2011</v>
      </c>
      <c r="C31" s="745" t="s">
        <v>112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>
        <f t="shared" ca="1" si="9"/>
        <v>1000000</v>
      </c>
      <c r="R31" s="1027">
        <f t="shared" ca="1" si="10"/>
        <v>1</v>
      </c>
      <c r="S31" s="1006">
        <f ca="1"/>
        <v>44326</v>
      </c>
      <c r="T31" s="1006">
        <f ca="1"/>
        <v>44326</v>
      </c>
      <c r="U31" s="1006">
        <f ca="1"/>
        <v>44417</v>
      </c>
      <c r="V31" s="1016">
        <f ca="1"/>
        <v>91</v>
      </c>
      <c r="W31" s="1019">
        <f ca="1"/>
        <v>0.25277777777777799</v>
      </c>
      <c r="X31" s="1006">
        <f ca="1"/>
        <v>44417</v>
      </c>
      <c r="Y31" s="864">
        <f t="shared" ca="1" si="6"/>
        <v>0</v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>
        <v>1000000</v>
      </c>
      <c r="AN31" s="242">
        <v>1</v>
      </c>
      <c r="AO31" s="836">
        <v>44012</v>
      </c>
      <c r="AP31" s="836">
        <v>44012</v>
      </c>
      <c r="AQ31" s="836">
        <v>44104</v>
      </c>
      <c r="AR31" s="743">
        <v>92</v>
      </c>
      <c r="AS31" s="837">
        <v>0.25555555555555598</v>
      </c>
      <c r="AT31" s="836">
        <v>44104</v>
      </c>
      <c r="AU31" s="855">
        <v>0</v>
      </c>
      <c r="AV31" s="108" t="s">
        <v>12</v>
      </c>
    </row>
    <row r="32" spans="1:48">
      <c r="B32" s="756" t="s">
        <v>2010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>
        <f t="shared" ca="1" si="9"/>
        <v>1000000</v>
      </c>
      <c r="R32" s="1027">
        <f t="shared" ca="1" si="10"/>
        <v>1</v>
      </c>
      <c r="S32" s="1006">
        <f ca="1"/>
        <v>44417</v>
      </c>
      <c r="T32" s="1006">
        <f ca="1"/>
        <v>44417</v>
      </c>
      <c r="U32" s="1006">
        <f ca="1"/>
        <v>44509</v>
      </c>
      <c r="V32" s="1016">
        <f ca="1"/>
        <v>92</v>
      </c>
      <c r="W32" s="1019">
        <f ca="1"/>
        <v>0.25555555555555598</v>
      </c>
      <c r="X32" s="1006">
        <f ca="1"/>
        <v>44509</v>
      </c>
      <c r="Y32" s="864">
        <f t="shared" ca="1" si="6"/>
        <v>0</v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>
        <v>1000000</v>
      </c>
      <c r="AN32" s="242">
        <v>1</v>
      </c>
      <c r="AO32" s="836">
        <v>44104</v>
      </c>
      <c r="AP32" s="836">
        <v>44104</v>
      </c>
      <c r="AQ32" s="836">
        <v>44195</v>
      </c>
      <c r="AR32" s="743">
        <v>91</v>
      </c>
      <c r="AS32" s="837">
        <v>0.25277777777777799</v>
      </c>
      <c r="AT32" s="836">
        <v>44195</v>
      </c>
      <c r="AU32" s="855">
        <v>0</v>
      </c>
      <c r="AV32" s="108" t="s">
        <v>12</v>
      </c>
    </row>
    <row r="33" spans="2:48">
      <c r="B33" s="756" t="s">
        <v>2048</v>
      </c>
      <c r="C33" s="746" t="s">
        <v>2049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>
        <f t="shared" ca="1" si="9"/>
        <v>1000000</v>
      </c>
      <c r="R33" s="1027">
        <f t="shared" ca="1" si="10"/>
        <v>1</v>
      </c>
      <c r="S33" s="1006">
        <f ca="1"/>
        <v>44509</v>
      </c>
      <c r="T33" s="1006">
        <f ca="1"/>
        <v>44509</v>
      </c>
      <c r="U33" s="1006">
        <f ca="1"/>
        <v>44601</v>
      </c>
      <c r="V33" s="1016">
        <f ca="1"/>
        <v>92</v>
      </c>
      <c r="W33" s="1019">
        <f ca="1"/>
        <v>0.25555555555555598</v>
      </c>
      <c r="X33" s="1006">
        <f ca="1"/>
        <v>44601</v>
      </c>
      <c r="Y33" s="864">
        <f t="shared" ca="1" si="6"/>
        <v>0</v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>
        <v>1000000</v>
      </c>
      <c r="AN33" s="242">
        <v>1</v>
      </c>
      <c r="AO33" s="836">
        <v>44195</v>
      </c>
      <c r="AP33" s="836">
        <v>44195</v>
      </c>
      <c r="AQ33" s="836">
        <v>44285</v>
      </c>
      <c r="AR33" s="743">
        <v>90</v>
      </c>
      <c r="AS33" s="837">
        <v>0.25</v>
      </c>
      <c r="AT33" s="836">
        <v>44285</v>
      </c>
      <c r="AU33" s="855">
        <v>0</v>
      </c>
      <c r="AV33" s="108" t="s">
        <v>12</v>
      </c>
    </row>
    <row r="34" spans="2:48">
      <c r="B34" s="756" t="s">
        <v>2005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>
        <f t="shared" ca="1" si="9"/>
        <v>1000000</v>
      </c>
      <c r="R34" s="1027">
        <f t="shared" ca="1" si="10"/>
        <v>1</v>
      </c>
      <c r="S34" s="1006">
        <f ca="1"/>
        <v>44601</v>
      </c>
      <c r="T34" s="1006">
        <f ca="1"/>
        <v>44601</v>
      </c>
      <c r="U34" s="1006">
        <f ca="1"/>
        <v>44690</v>
      </c>
      <c r="V34" s="1016">
        <f ca="1"/>
        <v>89</v>
      </c>
      <c r="W34" s="1019">
        <f ca="1"/>
        <v>0.24722222222222201</v>
      </c>
      <c r="X34" s="1006">
        <f ca="1"/>
        <v>44690</v>
      </c>
      <c r="Y34" s="864">
        <f t="shared" ca="1" si="6"/>
        <v>0</v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>
        <v>1000000</v>
      </c>
      <c r="AN34" s="242">
        <v>1</v>
      </c>
      <c r="AO34" s="836">
        <v>44285</v>
      </c>
      <c r="AP34" s="836">
        <v>44285</v>
      </c>
      <c r="AQ34" s="836">
        <v>44377</v>
      </c>
      <c r="AR34" s="743">
        <v>92</v>
      </c>
      <c r="AS34" s="837">
        <v>0.25555555555555598</v>
      </c>
      <c r="AT34" s="836">
        <v>44377</v>
      </c>
      <c r="AU34" s="855">
        <v>0</v>
      </c>
      <c r="AV34" s="108" t="s">
        <v>12</v>
      </c>
    </row>
    <row r="35" spans="2:48">
      <c r="B35" s="756" t="s">
        <v>2004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>
        <f t="shared" ca="1" si="9"/>
        <v>1000000</v>
      </c>
      <c r="R35" s="1027">
        <f t="shared" ca="1" si="10"/>
        <v>1</v>
      </c>
      <c r="S35" s="1006">
        <f ca="1"/>
        <v>44690</v>
      </c>
      <c r="T35" s="1006">
        <f ca="1"/>
        <v>44690</v>
      </c>
      <c r="U35" s="1006">
        <f ca="1"/>
        <v>44782</v>
      </c>
      <c r="V35" s="1016">
        <f ca="1"/>
        <v>92</v>
      </c>
      <c r="W35" s="1019">
        <f ca="1"/>
        <v>0.25555555555555598</v>
      </c>
      <c r="X35" s="1006">
        <f ca="1"/>
        <v>44782</v>
      </c>
      <c r="Y35" s="864">
        <f t="shared" ca="1" si="6"/>
        <v>0</v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>
        <v>1000000</v>
      </c>
      <c r="AN35" s="242">
        <v>1</v>
      </c>
      <c r="AO35" s="836">
        <v>44377</v>
      </c>
      <c r="AP35" s="836">
        <v>44377</v>
      </c>
      <c r="AQ35" s="836">
        <v>44469</v>
      </c>
      <c r="AR35" s="743">
        <v>92</v>
      </c>
      <c r="AS35" s="837">
        <v>0.25555555555555598</v>
      </c>
      <c r="AT35" s="836">
        <v>44469</v>
      </c>
      <c r="AU35" s="855">
        <v>0</v>
      </c>
      <c r="AV35" s="108" t="s">
        <v>12</v>
      </c>
    </row>
    <row r="36" spans="2:48">
      <c r="B36" s="758" t="s">
        <v>2006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>
        <f t="shared" ca="1" si="9"/>
        <v>1000000</v>
      </c>
      <c r="R36" s="1027">
        <f t="shared" ca="1" si="10"/>
        <v>1</v>
      </c>
      <c r="S36" s="1006">
        <f ca="1"/>
        <v>44782</v>
      </c>
      <c r="T36" s="1006">
        <f ca="1"/>
        <v>44782</v>
      </c>
      <c r="U36" s="1006">
        <f ca="1"/>
        <v>44874</v>
      </c>
      <c r="V36" s="1016">
        <f ca="1"/>
        <v>92</v>
      </c>
      <c r="W36" s="1019">
        <f ca="1"/>
        <v>0.25555555555555598</v>
      </c>
      <c r="X36" s="1006">
        <f ca="1"/>
        <v>44874</v>
      </c>
      <c r="Y36" s="864">
        <f t="shared" ca="1" si="6"/>
        <v>0</v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>
        <v>1000000</v>
      </c>
      <c r="AN36" s="242">
        <v>1</v>
      </c>
      <c r="AO36" s="839">
        <v>44469</v>
      </c>
      <c r="AP36" s="839">
        <v>44469</v>
      </c>
      <c r="AQ36" s="839">
        <v>44560</v>
      </c>
      <c r="AR36" s="750">
        <v>91</v>
      </c>
      <c r="AS36" s="840">
        <v>0.25277777777777799</v>
      </c>
      <c r="AT36" s="839">
        <v>44560</v>
      </c>
      <c r="AU36" s="856">
        <v>0</v>
      </c>
      <c r="AV36" s="108" t="s">
        <v>12</v>
      </c>
    </row>
    <row r="37" spans="2:48">
      <c r="B37" s="759" t="s">
        <v>2001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>
        <f t="shared" ca="1" si="9"/>
        <v>1000000</v>
      </c>
      <c r="R37" s="1027">
        <f t="shared" ca="1" si="10"/>
        <v>1</v>
      </c>
      <c r="S37" s="1006">
        <f ca="1"/>
        <v>44874</v>
      </c>
      <c r="T37" s="1006">
        <f ca="1"/>
        <v>44874</v>
      </c>
      <c r="U37" s="1006">
        <f ca="1"/>
        <v>44966</v>
      </c>
      <c r="V37" s="1016">
        <f ca="1"/>
        <v>92</v>
      </c>
      <c r="W37" s="1019">
        <f ca="1"/>
        <v>0.25555555555555598</v>
      </c>
      <c r="X37" s="1006">
        <f ca="1"/>
        <v>44966</v>
      </c>
      <c r="Y37" s="864">
        <f t="shared" ca="1" si="6"/>
        <v>0</v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>
        <v>1000000</v>
      </c>
      <c r="AN37" s="242">
        <v>1</v>
      </c>
      <c r="AO37" s="839">
        <v>44560</v>
      </c>
      <c r="AP37" s="839">
        <v>44560</v>
      </c>
      <c r="AQ37" s="839">
        <v>44650</v>
      </c>
      <c r="AR37" s="750">
        <v>90</v>
      </c>
      <c r="AS37" s="840">
        <v>0.25</v>
      </c>
      <c r="AT37" s="839">
        <v>44650</v>
      </c>
      <c r="AU37" s="856">
        <v>0</v>
      </c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>
        <f t="shared" ca="1" si="9"/>
        <v>1000000</v>
      </c>
      <c r="R38" s="1027">
        <f t="shared" ca="1" si="10"/>
        <v>1</v>
      </c>
      <c r="S38" s="1006">
        <f ca="1"/>
        <v>44966</v>
      </c>
      <c r="T38" s="1006">
        <f ca="1"/>
        <v>44966</v>
      </c>
      <c r="U38" s="1006">
        <f ca="1"/>
        <v>45055</v>
      </c>
      <c r="V38" s="1016">
        <f ca="1"/>
        <v>89</v>
      </c>
      <c r="W38" s="1019">
        <f ca="1"/>
        <v>0.24722222222222201</v>
      </c>
      <c r="X38" s="1006">
        <f ca="1"/>
        <v>45055</v>
      </c>
      <c r="Y38" s="864">
        <f t="shared" ca="1" si="6"/>
        <v>0</v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>
        <v>1000000</v>
      </c>
      <c r="AN38" s="242">
        <v>1</v>
      </c>
      <c r="AO38" s="839">
        <v>44650</v>
      </c>
      <c r="AP38" s="839">
        <v>44650</v>
      </c>
      <c r="AQ38" s="839">
        <v>44742</v>
      </c>
      <c r="AR38" s="750">
        <v>92</v>
      </c>
      <c r="AS38" s="840">
        <v>0.25555555555555598</v>
      </c>
      <c r="AT38" s="839">
        <v>44742</v>
      </c>
      <c r="AU38" s="856">
        <v>0</v>
      </c>
      <c r="AV38" s="108" t="s">
        <v>12</v>
      </c>
    </row>
    <row r="39" spans="2:48">
      <c r="B39" s="234" t="s">
        <v>2050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1768</v>
      </c>
      <c r="C40" s="783">
        <f ca="1">_xll.meDateFromTenor(AsOfDate,EffectiveLag,C47,C48)</f>
        <v>43229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1769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2045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2046</v>
      </c>
      <c r="C43" s="514" t="s">
        <v>75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2014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2013</v>
      </c>
      <c r="C45" s="746" t="s">
        <v>112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2047</v>
      </c>
      <c r="C46" s="514" t="s">
        <v>75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2009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2008</v>
      </c>
      <c r="C48" s="745" t="s">
        <v>112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2007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2012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2011</v>
      </c>
      <c r="C51" s="745" t="s">
        <v>112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2010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2048</v>
      </c>
      <c r="C53" s="746" t="s">
        <v>2049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2005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2004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2006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2001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4 AU10 AJ10">
      <formula1>"NONE,START,END,START_AND_END"</formula1>
    </dataValidation>
    <dataValidation type="list" allowBlank="1" showInputMessage="1" showErrorMessage="1" sqref="C13 AU9 AJ9">
      <formula1>"PAY,RECEIVE"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3.28515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2068</v>
      </c>
      <c r="AH1" s="1114" t="s">
        <v>2067</v>
      </c>
    </row>
    <row r="2" spans="2:34">
      <c r="B2" t="s">
        <v>2061</v>
      </c>
      <c r="E2" s="867"/>
      <c r="R2" s="1114"/>
      <c r="AH2" s="1114"/>
    </row>
    <row r="3" spans="2:34">
      <c r="B3" s="771" t="s">
        <v>2059</v>
      </c>
      <c r="C3" s="772" t="s">
        <v>2104</v>
      </c>
      <c r="D3" t="s">
        <v>12</v>
      </c>
      <c r="E3" s="1084" t="str">
        <f t="array" aca="1" ref="E3:Q100" ca="1">_xll.meUtilityResize(_xll.meLWOSwapDisplayCashflows(VNS,$C$15,$C$14),120,50)</f>
        <v>[2018/05/04 09:52] #Error: Invalid Curve: CurveCollection 'USDYC' does not exist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_xll.meUtilityResize(_xll.meLWOSwapDisplayCashflows(VNS,C15,$C$22),120,50)</f>
        <v>[2018/05/04 09:52] #Error: Invalid Curve: CurveCollection 'USDYC' does not exist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2000</v>
      </c>
      <c r="C4" s="794" t="str">
        <f ca="1">_xll.meLWOVariableNotionalSwapCreate(C3,C13,C21,B14:C17,B22:C28,FALSE)</f>
        <v>USD_VNS@9:0</v>
      </c>
      <c r="E4" s="1015" t="str">
        <f ca="1"/>
        <v/>
      </c>
      <c r="F4" s="1006" t="str">
        <f ca="1"/>
        <v/>
      </c>
      <c r="G4" s="1004" t="str">
        <f ca="1"/>
        <v/>
      </c>
      <c r="H4" s="1017" t="str">
        <f ca="1"/>
        <v/>
      </c>
      <c r="I4" s="1006" t="str">
        <f ca="1"/>
        <v/>
      </c>
      <c r="J4" s="1016" t="str">
        <f ca="1"/>
        <v/>
      </c>
      <c r="K4" s="1016" t="str">
        <f ca="1"/>
        <v/>
      </c>
      <c r="L4" s="1004" t="str">
        <f ca="1"/>
        <v/>
      </c>
      <c r="M4" s="1004" t="str">
        <f ca="1"/>
        <v/>
      </c>
      <c r="N4" s="1004" t="str">
        <f ca="1"/>
        <v/>
      </c>
      <c r="O4" s="1004" t="str">
        <f ca="1"/>
        <v/>
      </c>
      <c r="P4" s="1019" t="str">
        <f ca="1"/>
        <v/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 t="str">
        <f ca="1"/>
        <v/>
      </c>
      <c r="J5" s="1016" t="str">
        <f ca="1"/>
        <v/>
      </c>
      <c r="K5" s="1016" t="str">
        <f ca="1"/>
        <v/>
      </c>
      <c r="L5" s="1027" t="str">
        <f ca="1"/>
        <v/>
      </c>
      <c r="M5" s="1249" t="str">
        <f ca="1"/>
        <v/>
      </c>
      <c r="N5" s="1016" t="str">
        <f ca="1"/>
        <v/>
      </c>
      <c r="O5" s="1019" t="str">
        <f ca="1"/>
        <v/>
      </c>
      <c r="P5" s="1016" t="str">
        <f ca="1"/>
        <v/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2058</v>
      </c>
      <c r="E6" s="1015" t="str">
        <f ca="1"/>
        <v/>
      </c>
      <c r="F6" s="1006" t="str">
        <f ca="1"/>
        <v/>
      </c>
      <c r="G6" s="1016" t="str">
        <f ca="1"/>
        <v/>
      </c>
      <c r="H6" s="1017" t="str">
        <f ca="1"/>
        <v/>
      </c>
      <c r="I6" s="1006" t="str">
        <f ca="1"/>
        <v/>
      </c>
      <c r="J6" s="1016" t="str">
        <f ca="1"/>
        <v/>
      </c>
      <c r="K6" s="1016" t="str">
        <f ca="1"/>
        <v/>
      </c>
      <c r="L6" s="1027" t="str">
        <f ca="1"/>
        <v/>
      </c>
      <c r="M6" s="1249" t="str">
        <f ca="1"/>
        <v/>
      </c>
      <c r="N6" s="1016" t="str">
        <f ca="1"/>
        <v/>
      </c>
      <c r="O6" s="1019" t="str">
        <f ca="1"/>
        <v/>
      </c>
      <c r="P6" s="1016" t="str">
        <f ca="1"/>
        <v/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1445</v>
      </c>
      <c r="C7" s="795" t="str">
        <f ca="1">_xll.meLWOSwapPV(VNS,C15)</f>
        <v>[2018/05/04 09:52] #Error: Invalid Curve: CurveCollection 'USDYC' does not exist</v>
      </c>
      <c r="E7" s="1015" t="str">
        <f ca="1"/>
        <v/>
      </c>
      <c r="F7" s="1006" t="str">
        <f ca="1"/>
        <v/>
      </c>
      <c r="G7" s="1016" t="str">
        <f ca="1"/>
        <v/>
      </c>
      <c r="H7" s="1017" t="str">
        <f ca="1"/>
        <v/>
      </c>
      <c r="I7" s="1006" t="str">
        <f ca="1"/>
        <v/>
      </c>
      <c r="J7" s="1016" t="str">
        <f ca="1"/>
        <v/>
      </c>
      <c r="K7" s="1016" t="str">
        <f ca="1"/>
        <v/>
      </c>
      <c r="L7" s="1027" t="str">
        <f ca="1"/>
        <v/>
      </c>
      <c r="M7" s="1249" t="str">
        <f ca="1"/>
        <v/>
      </c>
      <c r="N7" s="1016" t="str">
        <f ca="1"/>
        <v/>
      </c>
      <c r="O7" s="1019" t="str">
        <f ca="1"/>
        <v/>
      </c>
      <c r="P7" s="1016" t="str">
        <f ca="1"/>
        <v/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1805</v>
      </c>
      <c r="C8" s="796" t="str">
        <f ca="1">_xll.meLWOSwapParRate(VNS,C15)</f>
        <v>[2018/05/04 09:52] #Error: Invalid Curve: CurveCollection 'USDYC' does not exist</v>
      </c>
      <c r="E8" s="1015" t="str">
        <f ca="1"/>
        <v/>
      </c>
      <c r="F8" s="1006" t="str">
        <f ca="1"/>
        <v/>
      </c>
      <c r="G8" s="1016" t="str">
        <f ca="1"/>
        <v/>
      </c>
      <c r="H8" s="1017" t="str">
        <f ca="1"/>
        <v/>
      </c>
      <c r="I8" s="1006" t="str">
        <f ca="1"/>
        <v/>
      </c>
      <c r="J8" s="1016" t="str">
        <f ca="1"/>
        <v/>
      </c>
      <c r="K8" s="1016" t="str">
        <f ca="1"/>
        <v/>
      </c>
      <c r="L8" s="1027" t="str">
        <f ca="1"/>
        <v/>
      </c>
      <c r="M8" s="1249" t="str">
        <f ca="1"/>
        <v/>
      </c>
      <c r="N8" s="1016" t="str">
        <f ca="1"/>
        <v/>
      </c>
      <c r="O8" s="1019" t="str">
        <f ca="1"/>
        <v/>
      </c>
      <c r="P8" s="1016" t="str">
        <f ca="1"/>
        <v/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 t="str">
        <f ca="1">_xll.meLWOSwapPV01(VNS,C15)</f>
        <v>[2018/05/04 09:52] #Error: Invalid Curve: CurveCollection 'USDYC' does not exist</v>
      </c>
      <c r="E9" s="1015" t="str">
        <f ca="1"/>
        <v/>
      </c>
      <c r="F9" s="1006" t="str">
        <f ca="1"/>
        <v/>
      </c>
      <c r="G9" s="1016" t="str">
        <f ca="1"/>
        <v/>
      </c>
      <c r="H9" s="1017" t="str">
        <f ca="1"/>
        <v/>
      </c>
      <c r="I9" s="1006" t="str">
        <f ca="1"/>
        <v/>
      </c>
      <c r="J9" s="1016" t="str">
        <f ca="1"/>
        <v/>
      </c>
      <c r="K9" s="1016" t="str">
        <f ca="1"/>
        <v/>
      </c>
      <c r="L9" s="1027" t="str">
        <f ca="1"/>
        <v/>
      </c>
      <c r="M9" s="1249" t="str">
        <f ca="1"/>
        <v/>
      </c>
      <c r="N9" s="1016" t="str">
        <f ca="1"/>
        <v/>
      </c>
      <c r="O9" s="1019" t="str">
        <f ca="1"/>
        <v/>
      </c>
      <c r="P9" s="1016" t="str">
        <f ca="1"/>
        <v/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 t="str">
        <f ca="1"/>
        <v/>
      </c>
      <c r="F10" s="1006" t="str">
        <f ca="1"/>
        <v/>
      </c>
      <c r="G10" s="1016" t="str">
        <f ca="1"/>
        <v/>
      </c>
      <c r="H10" s="1017" t="str">
        <f ca="1"/>
        <v/>
      </c>
      <c r="I10" s="1006" t="str">
        <f ca="1"/>
        <v/>
      </c>
      <c r="J10" s="1016" t="str">
        <f ca="1"/>
        <v/>
      </c>
      <c r="K10" s="1016" t="str">
        <f ca="1"/>
        <v/>
      </c>
      <c r="L10" s="1027" t="str">
        <f ca="1"/>
        <v/>
      </c>
      <c r="M10" s="1249" t="str">
        <f ca="1"/>
        <v/>
      </c>
      <c r="N10" s="1016" t="str">
        <f ca="1"/>
        <v/>
      </c>
      <c r="O10" s="1019" t="str">
        <f ca="1"/>
        <v/>
      </c>
      <c r="P10" s="1016" t="str">
        <f ca="1"/>
        <v/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2062</v>
      </c>
      <c r="C12" s="108"/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2064</v>
      </c>
      <c r="C13" s="792" t="str">
        <f ca="1">'USD VNS Schedules'!C3</f>
        <v>USD_FIXEDSCHEDULE@1:0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2017</v>
      </c>
      <c r="C14" s="868" t="s">
        <v>2060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1770</v>
      </c>
      <c r="C15" s="869" t="s">
        <v>1044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1444</v>
      </c>
      <c r="C16" s="870" t="s">
        <v>1915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181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2063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2065</v>
      </c>
      <c r="C21" s="793" t="str">
        <f ca="1">'USD VNS Schedules'!C4</f>
        <v>USD_FLOATSCHEDULE@4:0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2017</v>
      </c>
      <c r="C22" s="872" t="s">
        <v>1993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1770</v>
      </c>
      <c r="C23" s="873" t="s">
        <v>1044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1443</v>
      </c>
      <c r="C24" s="874" t="s">
        <v>1040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1444</v>
      </c>
      <c r="C25" s="874" t="s">
        <v>1915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181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1796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1797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2069</v>
      </c>
      <c r="AV1" s="9" t="s">
        <v>2070</v>
      </c>
    </row>
    <row r="2" spans="2:48">
      <c r="B2" s="234" t="s">
        <v>2057</v>
      </c>
    </row>
    <row r="3" spans="2:48">
      <c r="B3" s="755" t="s">
        <v>2099</v>
      </c>
      <c r="C3" s="764" t="str">
        <f ca="1">_xll.meLWOScheduleCreateBespoke(B3,VNS.FixedSchedule.Properties,VNS.FixedCashflowSchedule)</f>
        <v>GBP_FIXEDSCHEDULE@3:0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2100</v>
      </c>
      <c r="C4" s="761" t="str">
        <f ca="1">_xll.meLWOScheduleCreateBespoke(B4,VNS.FloatSchedule.Properties,VNS.FloatCashflowSchedule)</f>
        <v>GBP_FLOATSCHEDULE@8:0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2054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2054</v>
      </c>
      <c r="AU7" s="996"/>
    </row>
    <row r="8" spans="2:48">
      <c r="AI8" s="1008" t="s">
        <v>2051</v>
      </c>
      <c r="AJ8" s="1051" t="s">
        <v>2052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2051</v>
      </c>
      <c r="AU8" s="1051" t="s">
        <v>2053</v>
      </c>
    </row>
    <row r="9" spans="2:48">
      <c r="B9" s="234" t="s">
        <v>2038</v>
      </c>
      <c r="D9" s="108" t="s">
        <v>12</v>
      </c>
      <c r="AI9" s="1050" t="s">
        <v>1803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1803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43224</v>
      </c>
      <c r="D10" s="108" t="s">
        <v>12</v>
      </c>
      <c r="AI10" s="1050" t="s">
        <v>2016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2016</v>
      </c>
      <c r="AU10" s="1097" t="str">
        <f>$C$14</f>
        <v>START_AND_END</v>
      </c>
      <c r="AV10" s="108" t="s">
        <v>12</v>
      </c>
    </row>
    <row r="11" spans="2:48">
      <c r="B11" s="768" t="s">
        <v>1802</v>
      </c>
      <c r="C11" s="779" t="s">
        <v>356</v>
      </c>
      <c r="D11" s="108" t="s">
        <v>12</v>
      </c>
      <c r="AB11" s="234" t="s">
        <v>2039</v>
      </c>
      <c r="AI11" s="1050" t="s">
        <v>2046</v>
      </c>
      <c r="AJ11" s="1097" t="str">
        <f>$C$23</f>
        <v>Semi-Annual</v>
      </c>
      <c r="AK11" s="996" t="s">
        <v>12</v>
      </c>
      <c r="AL11" s="996"/>
      <c r="AM11" s="998" t="s">
        <v>2040</v>
      </c>
      <c r="AN11" s="996"/>
      <c r="AO11" s="996"/>
      <c r="AP11" s="996"/>
      <c r="AQ11" s="996"/>
      <c r="AR11" s="996"/>
      <c r="AS11" s="996"/>
      <c r="AT11" s="1050" t="s">
        <v>2046</v>
      </c>
      <c r="AU11" s="1097" t="str">
        <f>$C$43</f>
        <v>Semi-Annual</v>
      </c>
      <c r="AV11" s="108" t="s">
        <v>12</v>
      </c>
    </row>
    <row r="12" spans="2:48">
      <c r="B12" s="768" t="s">
        <v>1769</v>
      </c>
      <c r="C12" s="780" t="s">
        <v>31</v>
      </c>
      <c r="D12" s="108" t="s">
        <v>12</v>
      </c>
      <c r="AB12" s="802" t="s">
        <v>2066</v>
      </c>
      <c r="AC12" s="803">
        <f>COUNT(AB19:AB518)</f>
        <v>10</v>
      </c>
      <c r="AI12" s="1050" t="s">
        <v>2014</v>
      </c>
      <c r="AJ12" s="1097" t="str">
        <f>$C$24</f>
        <v>MOD_FOLLOWING</v>
      </c>
      <c r="AK12" s="996" t="s">
        <v>12</v>
      </c>
      <c r="AL12" s="996"/>
      <c r="AM12" s="798" t="s">
        <v>2066</v>
      </c>
      <c r="AN12" s="799">
        <f>COUNT(AM19:AM518)</f>
        <v>10</v>
      </c>
      <c r="AO12" s="996"/>
      <c r="AP12" s="996"/>
      <c r="AQ12" s="996"/>
      <c r="AR12" s="996"/>
      <c r="AS12" s="996"/>
      <c r="AT12" s="1050" t="s">
        <v>2014</v>
      </c>
      <c r="AU12" s="1097" t="str">
        <f>$C$44</f>
        <v>MOD_FOLLOWING</v>
      </c>
      <c r="AV12" s="108" t="s">
        <v>12</v>
      </c>
    </row>
    <row r="13" spans="2:48">
      <c r="B13" s="1053" t="s">
        <v>2143</v>
      </c>
      <c r="C13" s="1096" t="s">
        <v>1995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2013</v>
      </c>
      <c r="AJ13" s="1097" t="str">
        <f>$C$25</f>
        <v>LNB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2013</v>
      </c>
      <c r="AU13" s="1097" t="str">
        <f>$C$45</f>
        <v>LNB</v>
      </c>
      <c r="AV13" s="108" t="s">
        <v>12</v>
      </c>
    </row>
    <row r="14" spans="2:48">
      <c r="B14" s="1053" t="s">
        <v>2016</v>
      </c>
      <c r="C14" s="1096" t="s">
        <v>2125</v>
      </c>
      <c r="D14" s="108" t="s">
        <v>12</v>
      </c>
      <c r="AB14" s="765" t="s">
        <v>2041</v>
      </c>
      <c r="AC14" s="753">
        <v>100000</v>
      </c>
      <c r="AD14" s="647" t="s">
        <v>2042</v>
      </c>
      <c r="AI14" s="1009" t="s">
        <v>2045</v>
      </c>
      <c r="AJ14" s="1052" t="str">
        <f>VNS.Daycount.Fixed</f>
        <v>ACT/365</v>
      </c>
      <c r="AK14" s="996" t="s">
        <v>12</v>
      </c>
      <c r="AL14" s="996"/>
      <c r="AM14" s="765" t="s">
        <v>2041</v>
      </c>
      <c r="AN14" s="753">
        <v>100000</v>
      </c>
      <c r="AO14" s="647" t="s">
        <v>2042</v>
      </c>
      <c r="AP14" s="996"/>
      <c r="AQ14" s="996"/>
      <c r="AR14" s="996"/>
      <c r="AS14" s="996"/>
      <c r="AT14" s="1009" t="s">
        <v>2045</v>
      </c>
      <c r="AU14" s="1052" t="str">
        <f>VNS.Daycount.Float</f>
        <v>ACT/365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2080</v>
      </c>
      <c r="AC15" s="754">
        <v>0</v>
      </c>
      <c r="AD15" s="647" t="s">
        <v>2042</v>
      </c>
      <c r="AI15" s="647" t="s">
        <v>2089</v>
      </c>
      <c r="AJ15" s="996"/>
      <c r="AK15" s="996" t="s">
        <v>12</v>
      </c>
      <c r="AL15" s="996"/>
      <c r="AM15" s="766" t="s">
        <v>2080</v>
      </c>
      <c r="AN15" s="754">
        <v>0</v>
      </c>
      <c r="AO15" s="647" t="s">
        <v>2042</v>
      </c>
      <c r="AP15" s="996"/>
      <c r="AQ15" s="996"/>
      <c r="AR15" s="996"/>
      <c r="AS15" s="996"/>
      <c r="AT15" s="647" t="s">
        <v>2089</v>
      </c>
      <c r="AU15" s="996"/>
      <c r="AV15" s="108" t="s">
        <v>12</v>
      </c>
    </row>
    <row r="16" spans="2:48">
      <c r="B16" s="768" t="s">
        <v>2056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2055</v>
      </c>
      <c r="C17" s="791">
        <v>0</v>
      </c>
      <c r="D17" s="108" t="s">
        <v>12</v>
      </c>
      <c r="E17" s="998" t="s">
        <v>2082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2090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2044</v>
      </c>
      <c r="F18" s="736" t="s">
        <v>354</v>
      </c>
      <c r="G18" s="736" t="s">
        <v>2015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1772</v>
      </c>
      <c r="O18" s="996"/>
      <c r="P18" s="735" t="s">
        <v>2044</v>
      </c>
      <c r="Q18" s="736" t="s">
        <v>354</v>
      </c>
      <c r="R18" s="736" t="s">
        <v>2015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1784</v>
      </c>
      <c r="AA18" s="828" t="s">
        <v>2044</v>
      </c>
      <c r="AB18" s="832" t="s">
        <v>354</v>
      </c>
      <c r="AC18" s="832" t="s">
        <v>2015</v>
      </c>
      <c r="AD18" s="833" t="s">
        <v>2083</v>
      </c>
      <c r="AE18" s="833" t="s">
        <v>2084</v>
      </c>
      <c r="AF18" s="833" t="s">
        <v>2085</v>
      </c>
      <c r="AG18" s="834" t="s">
        <v>2086</v>
      </c>
      <c r="AH18" s="737" t="s">
        <v>2087</v>
      </c>
      <c r="AI18" s="833" t="s">
        <v>2088</v>
      </c>
      <c r="AJ18" s="835" t="s">
        <v>1772</v>
      </c>
      <c r="AK18" s="108" t="s">
        <v>12</v>
      </c>
      <c r="AL18" s="847" t="s">
        <v>2044</v>
      </c>
      <c r="AM18" s="848" t="s">
        <v>354</v>
      </c>
      <c r="AN18" s="849" t="s">
        <v>2015</v>
      </c>
      <c r="AO18" s="850" t="s">
        <v>2083</v>
      </c>
      <c r="AP18" s="850" t="s">
        <v>2084</v>
      </c>
      <c r="AQ18" s="850" t="s">
        <v>2085</v>
      </c>
      <c r="AR18" s="851" t="s">
        <v>2086</v>
      </c>
      <c r="AS18" s="852" t="s">
        <v>2087</v>
      </c>
      <c r="AT18" s="850" t="s">
        <v>2088</v>
      </c>
      <c r="AU18" s="853" t="s">
        <v>1784</v>
      </c>
      <c r="AV18" s="108" t="s">
        <v>12</v>
      </c>
    </row>
    <row r="19" spans="1:48" ht="15" customHeight="1">
      <c r="B19" s="234" t="s">
        <v>2043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43224</v>
      </c>
      <c r="I19" s="1006">
        <f ca="1"/>
        <v>43224</v>
      </c>
      <c r="J19" s="1006">
        <f ca="1"/>
        <v>43409</v>
      </c>
      <c r="K19" s="1016">
        <f ca="1"/>
        <v>185</v>
      </c>
      <c r="L19" s="1019">
        <f ca="1"/>
        <v>0.50684931506849296</v>
      </c>
      <c r="M19" s="1006">
        <f ca="1"/>
        <v>43409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43224</v>
      </c>
      <c r="T19" s="1006">
        <f ca="1"/>
        <v>43224</v>
      </c>
      <c r="U19" s="1006">
        <f ca="1"/>
        <v>43409</v>
      </c>
      <c r="V19" s="1016">
        <f ca="1"/>
        <v>185</v>
      </c>
      <c r="W19" s="1019">
        <f ca="1"/>
        <v>0.50684931506849296</v>
      </c>
      <c r="X19" s="1006">
        <f ca="1"/>
        <v>43409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42914</v>
      </c>
      <c r="AE19" s="836">
        <v>42914</v>
      </c>
      <c r="AF19" s="836">
        <v>43097</v>
      </c>
      <c r="AG19" s="743">
        <v>183</v>
      </c>
      <c r="AH19" s="837">
        <v>0.50136986301369901</v>
      </c>
      <c r="AI19" s="836">
        <v>43097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42914</v>
      </c>
      <c r="AP19" s="836">
        <v>42914</v>
      </c>
      <c r="AQ19" s="836">
        <v>43097</v>
      </c>
      <c r="AR19" s="743">
        <v>183</v>
      </c>
      <c r="AS19" s="837">
        <v>0.50136986301369901</v>
      </c>
      <c r="AT19" s="836">
        <v>43097</v>
      </c>
      <c r="AU19" s="855">
        <v>0</v>
      </c>
      <c r="AV19" s="108" t="s">
        <v>12</v>
      </c>
    </row>
    <row r="20" spans="1:48">
      <c r="B20" s="755" t="s">
        <v>1768</v>
      </c>
      <c r="C20" s="783">
        <f ca="1">_xll.meDateFromTenor(AsOfDate,EffectiveLag,C27,C28)</f>
        <v>43224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43409</v>
      </c>
      <c r="I20" s="1006">
        <f ca="1"/>
        <v>43409</v>
      </c>
      <c r="J20" s="1006">
        <f ca="1"/>
        <v>43592</v>
      </c>
      <c r="K20" s="1016">
        <f ca="1"/>
        <v>183</v>
      </c>
      <c r="L20" s="1019">
        <f ca="1"/>
        <v>0.50136986301369901</v>
      </c>
      <c r="M20" s="1006">
        <f ca="1"/>
        <v>43592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43409</v>
      </c>
      <c r="T20" s="1006">
        <f ca="1"/>
        <v>43409</v>
      </c>
      <c r="U20" s="1006">
        <f ca="1"/>
        <v>43592</v>
      </c>
      <c r="V20" s="1016">
        <f ca="1"/>
        <v>183</v>
      </c>
      <c r="W20" s="1019">
        <f ca="1"/>
        <v>0.50136986301369901</v>
      </c>
      <c r="X20" s="1006">
        <f ca="1"/>
        <v>43592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43097</v>
      </c>
      <c r="AE20" s="836">
        <v>43097</v>
      </c>
      <c r="AF20" s="836">
        <v>43279</v>
      </c>
      <c r="AG20" s="743">
        <v>182</v>
      </c>
      <c r="AH20" s="837">
        <v>0.49863013698630099</v>
      </c>
      <c r="AI20" s="836">
        <v>43279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43097</v>
      </c>
      <c r="AP20" s="836">
        <v>43097</v>
      </c>
      <c r="AQ20" s="836">
        <v>43279</v>
      </c>
      <c r="AR20" s="743">
        <v>182</v>
      </c>
      <c r="AS20" s="837">
        <v>0.49863013698630099</v>
      </c>
      <c r="AT20" s="836">
        <v>43279</v>
      </c>
      <c r="AU20" s="855">
        <v>0</v>
      </c>
      <c r="AV20" s="108" t="s">
        <v>12</v>
      </c>
    </row>
    <row r="21" spans="1:48">
      <c r="B21" s="756" t="s">
        <v>1769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43592</v>
      </c>
      <c r="I21" s="1006">
        <f ca="1"/>
        <v>43592</v>
      </c>
      <c r="J21" s="1006">
        <f ca="1"/>
        <v>43773</v>
      </c>
      <c r="K21" s="1016">
        <f ca="1"/>
        <v>181</v>
      </c>
      <c r="L21" s="1019">
        <f ca="1"/>
        <v>0.49589041095890402</v>
      </c>
      <c r="M21" s="1006">
        <f ca="1"/>
        <v>43773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43592</v>
      </c>
      <c r="T21" s="1006">
        <f ca="1"/>
        <v>43592</v>
      </c>
      <c r="U21" s="1006">
        <f ca="1"/>
        <v>43773</v>
      </c>
      <c r="V21" s="1016">
        <f ca="1"/>
        <v>181</v>
      </c>
      <c r="W21" s="1019">
        <f ca="1"/>
        <v>0.49589041095890402</v>
      </c>
      <c r="X21" s="1006">
        <f ca="1"/>
        <v>43773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43279</v>
      </c>
      <c r="AE21" s="836">
        <v>43279</v>
      </c>
      <c r="AF21" s="836">
        <v>43462</v>
      </c>
      <c r="AG21" s="743">
        <v>183</v>
      </c>
      <c r="AH21" s="837">
        <v>0.50136986301369901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43279</v>
      </c>
      <c r="AP21" s="836">
        <v>43279</v>
      </c>
      <c r="AQ21" s="836">
        <v>43462</v>
      </c>
      <c r="AR21" s="743">
        <v>183</v>
      </c>
      <c r="AS21" s="837">
        <v>0.50136986301369901</v>
      </c>
      <c r="AT21" s="836">
        <v>43462</v>
      </c>
      <c r="AU21" s="855">
        <v>0</v>
      </c>
      <c r="AV21" s="108" t="s">
        <v>12</v>
      </c>
    </row>
    <row r="22" spans="1:48">
      <c r="B22" s="756" t="s">
        <v>2045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43773</v>
      </c>
      <c r="I22" s="1006">
        <f ca="1"/>
        <v>43773</v>
      </c>
      <c r="J22" s="1006">
        <f ca="1"/>
        <v>43956</v>
      </c>
      <c r="K22" s="1016">
        <f ca="1"/>
        <v>183</v>
      </c>
      <c r="L22" s="1019">
        <f ca="1"/>
        <v>0.50136986301369901</v>
      </c>
      <c r="M22" s="1006">
        <f ca="1"/>
        <v>43956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43773</v>
      </c>
      <c r="T22" s="1006">
        <f ca="1"/>
        <v>43773</v>
      </c>
      <c r="U22" s="1006">
        <f ca="1"/>
        <v>43956</v>
      </c>
      <c r="V22" s="1016">
        <f ca="1"/>
        <v>183</v>
      </c>
      <c r="W22" s="1019">
        <f ca="1"/>
        <v>0.50136986301369901</v>
      </c>
      <c r="X22" s="1006">
        <f ca="1"/>
        <v>43956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0.49863013698630099</v>
      </c>
      <c r="AT22" s="836">
        <v>43644</v>
      </c>
      <c r="AU22" s="855">
        <v>0</v>
      </c>
      <c r="AV22" s="108" t="s">
        <v>12</v>
      </c>
    </row>
    <row r="23" spans="1:48">
      <c r="B23" s="756" t="s">
        <v>2046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43956</v>
      </c>
      <c r="I23" s="1006">
        <f ca="1"/>
        <v>43956</v>
      </c>
      <c r="J23" s="1006">
        <f ca="1"/>
        <v>44139</v>
      </c>
      <c r="K23" s="1016">
        <f ca="1"/>
        <v>183</v>
      </c>
      <c r="L23" s="1019">
        <f ca="1"/>
        <v>0.50136986301369901</v>
      </c>
      <c r="M23" s="1006">
        <f ca="1"/>
        <v>44139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43956</v>
      </c>
      <c r="T23" s="1006">
        <f ca="1"/>
        <v>43956</v>
      </c>
      <c r="U23" s="1006">
        <f ca="1"/>
        <v>44139</v>
      </c>
      <c r="V23" s="1016">
        <f ca="1"/>
        <v>183</v>
      </c>
      <c r="W23" s="1019">
        <f ca="1"/>
        <v>0.50136986301369901</v>
      </c>
      <c r="X23" s="1006">
        <f ca="1"/>
        <v>44139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0.50684931506849296</v>
      </c>
      <c r="AT23" s="836">
        <v>43829</v>
      </c>
      <c r="AU23" s="855">
        <v>0</v>
      </c>
      <c r="AV23" s="108" t="s">
        <v>12</v>
      </c>
    </row>
    <row r="24" spans="1:48">
      <c r="B24" s="756" t="s">
        <v>2014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44139</v>
      </c>
      <c r="I24" s="1006">
        <f ca="1"/>
        <v>44139</v>
      </c>
      <c r="J24" s="1006">
        <f ca="1"/>
        <v>44320</v>
      </c>
      <c r="K24" s="1016">
        <f ca="1"/>
        <v>181</v>
      </c>
      <c r="L24" s="1019">
        <f ca="1"/>
        <v>0.49589041095890402</v>
      </c>
      <c r="M24" s="1006">
        <f ca="1"/>
        <v>44320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44139</v>
      </c>
      <c r="T24" s="1006">
        <f ca="1"/>
        <v>44139</v>
      </c>
      <c r="U24" s="1006">
        <f ca="1"/>
        <v>44320</v>
      </c>
      <c r="V24" s="1016">
        <f ca="1"/>
        <v>181</v>
      </c>
      <c r="W24" s="1019">
        <f ca="1"/>
        <v>0.49589041095890402</v>
      </c>
      <c r="X24" s="1006">
        <f ca="1"/>
        <v>44320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44011</v>
      </c>
      <c r="AG24" s="743">
        <v>182</v>
      </c>
      <c r="AH24" s="837">
        <v>0.49863013698630099</v>
      </c>
      <c r="AI24" s="836">
        <v>44011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44011</v>
      </c>
      <c r="AR24" s="743">
        <v>182</v>
      </c>
      <c r="AS24" s="837">
        <v>0.49863013698630099</v>
      </c>
      <c r="AT24" s="836">
        <v>44011</v>
      </c>
      <c r="AU24" s="855">
        <v>0</v>
      </c>
      <c r="AV24" s="108" t="s">
        <v>12</v>
      </c>
    </row>
    <row r="25" spans="1:48">
      <c r="B25" s="756" t="s">
        <v>2013</v>
      </c>
      <c r="C25" s="746" t="s">
        <v>185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44320</v>
      </c>
      <c r="I25" s="1006">
        <f ca="1"/>
        <v>44320</v>
      </c>
      <c r="J25" s="1006">
        <f ca="1"/>
        <v>44504</v>
      </c>
      <c r="K25" s="1016">
        <f ca="1"/>
        <v>184</v>
      </c>
      <c r="L25" s="1019">
        <f ca="1"/>
        <v>0.50410958904109604</v>
      </c>
      <c r="M25" s="1006">
        <f ca="1"/>
        <v>44504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44320</v>
      </c>
      <c r="T25" s="1006">
        <f ca="1"/>
        <v>44320</v>
      </c>
      <c r="U25" s="1006">
        <f ca="1"/>
        <v>44504</v>
      </c>
      <c r="V25" s="1016">
        <f ca="1"/>
        <v>184</v>
      </c>
      <c r="W25" s="1019">
        <f ca="1"/>
        <v>0.50410958904109604</v>
      </c>
      <c r="X25" s="1006">
        <f ca="1"/>
        <v>44504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44011</v>
      </c>
      <c r="AE25" s="836">
        <v>44011</v>
      </c>
      <c r="AF25" s="836">
        <v>44194</v>
      </c>
      <c r="AG25" s="743">
        <v>183</v>
      </c>
      <c r="AH25" s="837">
        <v>0.50136986301369901</v>
      </c>
      <c r="AI25" s="836">
        <v>44194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44011</v>
      </c>
      <c r="AP25" s="836">
        <v>44011</v>
      </c>
      <c r="AQ25" s="836">
        <v>44194</v>
      </c>
      <c r="AR25" s="743">
        <v>183</v>
      </c>
      <c r="AS25" s="837">
        <v>0.50136986301369901</v>
      </c>
      <c r="AT25" s="836">
        <v>44194</v>
      </c>
      <c r="AU25" s="855">
        <v>0</v>
      </c>
      <c r="AV25" s="108" t="s">
        <v>12</v>
      </c>
    </row>
    <row r="26" spans="1:48">
      <c r="B26" s="756" t="s">
        <v>2047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44504</v>
      </c>
      <c r="I26" s="1006">
        <f ca="1"/>
        <v>44504</v>
      </c>
      <c r="J26" s="1006">
        <f ca="1"/>
        <v>44685</v>
      </c>
      <c r="K26" s="1016">
        <f ca="1"/>
        <v>181</v>
      </c>
      <c r="L26" s="1019">
        <f ca="1"/>
        <v>0.49589041095890402</v>
      </c>
      <c r="M26" s="1006">
        <f ca="1"/>
        <v>44685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44504</v>
      </c>
      <c r="T26" s="1006">
        <f ca="1"/>
        <v>44504</v>
      </c>
      <c r="U26" s="1006">
        <f ca="1"/>
        <v>44685</v>
      </c>
      <c r="V26" s="1016">
        <f ca="1"/>
        <v>181</v>
      </c>
      <c r="W26" s="1019">
        <f ca="1"/>
        <v>0.49589041095890402</v>
      </c>
      <c r="X26" s="1006">
        <f ca="1"/>
        <v>44685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44194</v>
      </c>
      <c r="AE26" s="836">
        <v>44194</v>
      </c>
      <c r="AF26" s="836">
        <v>44375</v>
      </c>
      <c r="AG26" s="743">
        <v>181</v>
      </c>
      <c r="AH26" s="837">
        <v>0.49589041095890402</v>
      </c>
      <c r="AI26" s="836">
        <v>44375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44194</v>
      </c>
      <c r="AP26" s="836">
        <v>44194</v>
      </c>
      <c r="AQ26" s="836">
        <v>44375</v>
      </c>
      <c r="AR26" s="743">
        <v>181</v>
      </c>
      <c r="AS26" s="837">
        <v>0.49589041095890402</v>
      </c>
      <c r="AT26" s="836">
        <v>44375</v>
      </c>
      <c r="AU26" s="855">
        <v>0</v>
      </c>
      <c r="AV26" s="108" t="s">
        <v>12</v>
      </c>
    </row>
    <row r="27" spans="1:48">
      <c r="B27" s="756" t="s">
        <v>2009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44685</v>
      </c>
      <c r="I27" s="1006">
        <f ca="1"/>
        <v>44685</v>
      </c>
      <c r="J27" s="1006">
        <f ca="1"/>
        <v>44869</v>
      </c>
      <c r="K27" s="1016">
        <f ca="1"/>
        <v>184</v>
      </c>
      <c r="L27" s="1019">
        <f ca="1"/>
        <v>0.50410958904109604</v>
      </c>
      <c r="M27" s="1006">
        <f ca="1"/>
        <v>44869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44685</v>
      </c>
      <c r="T27" s="1006">
        <f ca="1"/>
        <v>44685</v>
      </c>
      <c r="U27" s="1006">
        <f ca="1"/>
        <v>44869</v>
      </c>
      <c r="V27" s="1016">
        <f ca="1"/>
        <v>184</v>
      </c>
      <c r="W27" s="1019">
        <f ca="1"/>
        <v>0.50410958904109604</v>
      </c>
      <c r="X27" s="1006">
        <f ca="1"/>
        <v>44869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44375</v>
      </c>
      <c r="AE27" s="836">
        <v>44375</v>
      </c>
      <c r="AF27" s="836">
        <v>44559</v>
      </c>
      <c r="AG27" s="743">
        <v>184</v>
      </c>
      <c r="AH27" s="837">
        <v>0.50410958904109604</v>
      </c>
      <c r="AI27" s="836">
        <v>44559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44375</v>
      </c>
      <c r="AP27" s="836">
        <v>44375</v>
      </c>
      <c r="AQ27" s="836">
        <v>44559</v>
      </c>
      <c r="AR27" s="743">
        <v>184</v>
      </c>
      <c r="AS27" s="837">
        <v>0.50410958904109604</v>
      </c>
      <c r="AT27" s="836">
        <v>44559</v>
      </c>
      <c r="AU27" s="855">
        <v>0</v>
      </c>
      <c r="AV27" s="108" t="s">
        <v>12</v>
      </c>
    </row>
    <row r="28" spans="1:48">
      <c r="B28" s="756" t="s">
        <v>2008</v>
      </c>
      <c r="C28" s="745" t="s">
        <v>185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44869</v>
      </c>
      <c r="I28" s="1006">
        <f ca="1"/>
        <v>44869</v>
      </c>
      <c r="J28" s="1006">
        <f ca="1"/>
        <v>45050</v>
      </c>
      <c r="K28" s="1016">
        <f ca="1"/>
        <v>181</v>
      </c>
      <c r="L28" s="1019">
        <f ca="1"/>
        <v>0.49589041095890402</v>
      </c>
      <c r="M28" s="1006">
        <f ca="1"/>
        <v>45050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44869</v>
      </c>
      <c r="T28" s="1006">
        <f ca="1"/>
        <v>44869</v>
      </c>
      <c r="U28" s="1006">
        <f ca="1"/>
        <v>45050</v>
      </c>
      <c r="V28" s="1016">
        <f ca="1"/>
        <v>181</v>
      </c>
      <c r="W28" s="1019">
        <f ca="1"/>
        <v>0.49589041095890402</v>
      </c>
      <c r="X28" s="1006">
        <f ca="1"/>
        <v>45050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44559</v>
      </c>
      <c r="AE28" s="836">
        <v>44559</v>
      </c>
      <c r="AF28" s="836">
        <v>44740</v>
      </c>
      <c r="AG28" s="743">
        <v>181</v>
      </c>
      <c r="AH28" s="837">
        <v>0.49589041095890402</v>
      </c>
      <c r="AI28" s="836">
        <v>44740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44559</v>
      </c>
      <c r="AP28" s="836">
        <v>44559</v>
      </c>
      <c r="AQ28" s="836">
        <v>44740</v>
      </c>
      <c r="AR28" s="743">
        <v>181</v>
      </c>
      <c r="AS28" s="837">
        <v>0.49589041095890402</v>
      </c>
      <c r="AT28" s="836">
        <v>44740</v>
      </c>
      <c r="AU28" s="855">
        <v>0</v>
      </c>
      <c r="AV28" s="108" t="s">
        <v>12</v>
      </c>
    </row>
    <row r="29" spans="1:48">
      <c r="B29" s="756" t="s">
        <v>2007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2012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2011</v>
      </c>
      <c r="C31" s="745" t="s">
        <v>185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2010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2048</v>
      </c>
      <c r="C33" s="746" t="s">
        <v>2049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2005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2004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2006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2001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2050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1768</v>
      </c>
      <c r="C40" s="783">
        <f ca="1">_xll.meDateFromTenor(AsOfDate,EffectiveLag,C47,C48)</f>
        <v>43224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1769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2045</v>
      </c>
      <c r="C42" s="744" t="s">
        <v>186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2046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2014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2013</v>
      </c>
      <c r="C45" s="746" t="s">
        <v>185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2047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2009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2008</v>
      </c>
      <c r="C48" s="745" t="s">
        <v>185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2007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2012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2011</v>
      </c>
      <c r="C51" s="745" t="s">
        <v>0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2010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2048</v>
      </c>
      <c r="C53" s="746" t="s">
        <v>2049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2005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2004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2006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2001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14062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2068</v>
      </c>
      <c r="AH1" s="1114" t="s">
        <v>2067</v>
      </c>
    </row>
    <row r="2" spans="2:34">
      <c r="B2" t="s">
        <v>2061</v>
      </c>
      <c r="E2" s="867"/>
      <c r="R2" s="1114"/>
      <c r="AH2" s="1114"/>
    </row>
    <row r="3" spans="2:34">
      <c r="B3" s="771" t="s">
        <v>2059</v>
      </c>
      <c r="C3" s="772" t="s">
        <v>2105</v>
      </c>
      <c r="D3" t="s">
        <v>12</v>
      </c>
      <c r="E3" s="1084" t="str">
        <f t="array" aca="1" ref="E3:Q100" ca="1">_xll.meUtilityResize(_xll.meLWOSwapDisplayCashflows(VNS,$C$15,$C$14),120,50)</f>
        <v>[2018/05/04 09:52] #Error: Invalid Curve: CurveCollection 'GBPYC' does not exist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_xll.meUtilityResize(_xll.meLWOSwapDisplayCashflows(VNS,C15,$C$22),150,50)</f>
        <v>[2018/05/04 09:52] #Error: Invalid Curve: CurveCollection 'GBPYC' does not exist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2000</v>
      </c>
      <c r="C4" s="794" t="str">
        <f ca="1">_xll.meLWOVariableNotionalSwapCreate(C3,C13,C21,B14:C17,B22:C28,FALSE)</f>
        <v>GBP_VNS@10:0</v>
      </c>
      <c r="E4" s="1015" t="str">
        <f ca="1"/>
        <v/>
      </c>
      <c r="F4" s="1006" t="str">
        <f ca="1"/>
        <v/>
      </c>
      <c r="G4" s="1004" t="str">
        <f ca="1"/>
        <v/>
      </c>
      <c r="H4" s="1017" t="str">
        <f ca="1"/>
        <v/>
      </c>
      <c r="I4" s="1006" t="str">
        <f ca="1"/>
        <v/>
      </c>
      <c r="J4" s="1016" t="str">
        <f ca="1"/>
        <v/>
      </c>
      <c r="K4" s="1016" t="str">
        <f ca="1"/>
        <v/>
      </c>
      <c r="L4" s="1004" t="str">
        <f ca="1"/>
        <v/>
      </c>
      <c r="M4" s="1004" t="str">
        <f ca="1"/>
        <v/>
      </c>
      <c r="N4" s="1004" t="str">
        <f ca="1"/>
        <v/>
      </c>
      <c r="O4" s="1004" t="str">
        <f ca="1"/>
        <v/>
      </c>
      <c r="P4" s="1019" t="str">
        <f ca="1"/>
        <v/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 t="str">
        <f ca="1"/>
        <v/>
      </c>
      <c r="J5" s="1016" t="str">
        <f ca="1"/>
        <v/>
      </c>
      <c r="K5" s="1016" t="str">
        <f ca="1"/>
        <v/>
      </c>
      <c r="L5" s="1027" t="str">
        <f ca="1"/>
        <v/>
      </c>
      <c r="M5" s="1249" t="str">
        <f ca="1"/>
        <v/>
      </c>
      <c r="N5" s="1016" t="str">
        <f ca="1"/>
        <v/>
      </c>
      <c r="O5" s="1019" t="str">
        <f ca="1"/>
        <v/>
      </c>
      <c r="P5" s="1016" t="str">
        <f ca="1"/>
        <v/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2058</v>
      </c>
      <c r="E6" s="1015" t="str">
        <f ca="1"/>
        <v/>
      </c>
      <c r="F6" s="1006" t="str">
        <f ca="1"/>
        <v/>
      </c>
      <c r="G6" s="1016" t="str">
        <f ca="1"/>
        <v/>
      </c>
      <c r="H6" s="1017" t="str">
        <f ca="1"/>
        <v/>
      </c>
      <c r="I6" s="1006" t="str">
        <f ca="1"/>
        <v/>
      </c>
      <c r="J6" s="1016" t="str">
        <f ca="1"/>
        <v/>
      </c>
      <c r="K6" s="1016" t="str">
        <f ca="1"/>
        <v/>
      </c>
      <c r="L6" s="1027" t="str">
        <f ca="1"/>
        <v/>
      </c>
      <c r="M6" s="1249" t="str">
        <f ca="1"/>
        <v/>
      </c>
      <c r="N6" s="1016" t="str">
        <f ca="1"/>
        <v/>
      </c>
      <c r="O6" s="1019" t="str">
        <f ca="1"/>
        <v/>
      </c>
      <c r="P6" s="1016" t="str">
        <f ca="1"/>
        <v/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1445</v>
      </c>
      <c r="C7" s="795" t="str">
        <f ca="1">_xll.meLWOSwapPV(VNS,C15)</f>
        <v>[2018/05/04 09:52] #Error: Invalid Curve: CurveCollection 'GBPYC' does not exist</v>
      </c>
      <c r="E7" s="1015" t="str">
        <f ca="1"/>
        <v/>
      </c>
      <c r="F7" s="1006" t="str">
        <f ca="1"/>
        <v/>
      </c>
      <c r="G7" s="1016" t="str">
        <f ca="1"/>
        <v/>
      </c>
      <c r="H7" s="1017" t="str">
        <f ca="1"/>
        <v/>
      </c>
      <c r="I7" s="1006" t="str">
        <f ca="1"/>
        <v/>
      </c>
      <c r="J7" s="1016" t="str">
        <f ca="1"/>
        <v/>
      </c>
      <c r="K7" s="1016" t="str">
        <f ca="1"/>
        <v/>
      </c>
      <c r="L7" s="1027" t="str">
        <f ca="1"/>
        <v/>
      </c>
      <c r="M7" s="1249" t="str">
        <f ca="1"/>
        <v/>
      </c>
      <c r="N7" s="1016" t="str">
        <f ca="1"/>
        <v/>
      </c>
      <c r="O7" s="1019" t="str">
        <f ca="1"/>
        <v/>
      </c>
      <c r="P7" s="1016" t="str">
        <f ca="1"/>
        <v/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1805</v>
      </c>
      <c r="C8" s="796" t="str">
        <f ca="1">_xll.meLWOSwapParRate(VNS,C15)</f>
        <v>[2018/05/04 09:52] #Error: Invalid Curve: CurveCollection 'GBPYC' does not exist</v>
      </c>
      <c r="E8" s="1015" t="str">
        <f ca="1"/>
        <v/>
      </c>
      <c r="F8" s="1006" t="str">
        <f ca="1"/>
        <v/>
      </c>
      <c r="G8" s="1016" t="str">
        <f ca="1"/>
        <v/>
      </c>
      <c r="H8" s="1017" t="str">
        <f ca="1"/>
        <v/>
      </c>
      <c r="I8" s="1006" t="str">
        <f ca="1"/>
        <v/>
      </c>
      <c r="J8" s="1016" t="str">
        <f ca="1"/>
        <v/>
      </c>
      <c r="K8" s="1016" t="str">
        <f ca="1"/>
        <v/>
      </c>
      <c r="L8" s="1027" t="str">
        <f ca="1"/>
        <v/>
      </c>
      <c r="M8" s="1249" t="str">
        <f ca="1"/>
        <v/>
      </c>
      <c r="N8" s="1016" t="str">
        <f ca="1"/>
        <v/>
      </c>
      <c r="O8" s="1019" t="str">
        <f ca="1"/>
        <v/>
      </c>
      <c r="P8" s="1016" t="str">
        <f ca="1"/>
        <v/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 t="str">
        <f ca="1">_xll.meLWOSwapPV01(VNS,C15)</f>
        <v>[2018/05/04 09:52] #Error: Invalid Curve: CurveCollection 'GBPYC' does not exist</v>
      </c>
      <c r="E9" s="1015" t="str">
        <f ca="1"/>
        <v/>
      </c>
      <c r="F9" s="1006" t="str">
        <f ca="1"/>
        <v/>
      </c>
      <c r="G9" s="1016" t="str">
        <f ca="1"/>
        <v/>
      </c>
      <c r="H9" s="1017" t="str">
        <f ca="1"/>
        <v/>
      </c>
      <c r="I9" s="1006" t="str">
        <f ca="1"/>
        <v/>
      </c>
      <c r="J9" s="1016" t="str">
        <f ca="1"/>
        <v/>
      </c>
      <c r="K9" s="1016" t="str">
        <f ca="1"/>
        <v/>
      </c>
      <c r="L9" s="1027" t="str">
        <f ca="1"/>
        <v/>
      </c>
      <c r="M9" s="1249" t="str">
        <f ca="1"/>
        <v/>
      </c>
      <c r="N9" s="1016" t="str">
        <f ca="1"/>
        <v/>
      </c>
      <c r="O9" s="1019" t="str">
        <f ca="1"/>
        <v/>
      </c>
      <c r="P9" s="1016" t="str">
        <f ca="1"/>
        <v/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 t="str">
        <f ca="1"/>
        <v/>
      </c>
      <c r="F10" s="1006" t="str">
        <f ca="1"/>
        <v/>
      </c>
      <c r="G10" s="1016" t="str">
        <f ca="1"/>
        <v/>
      </c>
      <c r="H10" s="1017" t="str">
        <f ca="1"/>
        <v/>
      </c>
      <c r="I10" s="1006" t="str">
        <f ca="1"/>
        <v/>
      </c>
      <c r="J10" s="1016" t="str">
        <f ca="1"/>
        <v/>
      </c>
      <c r="K10" s="1016" t="str">
        <f ca="1"/>
        <v/>
      </c>
      <c r="L10" s="1027" t="str">
        <f ca="1"/>
        <v/>
      </c>
      <c r="M10" s="1249" t="str">
        <f ca="1"/>
        <v/>
      </c>
      <c r="N10" s="1016" t="str">
        <f ca="1"/>
        <v/>
      </c>
      <c r="O10" s="1019" t="str">
        <f ca="1"/>
        <v/>
      </c>
      <c r="P10" s="1016" t="str">
        <f ca="1"/>
        <v/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2062</v>
      </c>
      <c r="C12" s="108"/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2064</v>
      </c>
      <c r="C13" s="792" t="str">
        <f ca="1">'GBP VNS Schedules'!C3</f>
        <v>GBP_FIXEDSCHEDULE@3:0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2017</v>
      </c>
      <c r="C14" s="868" t="s">
        <v>2060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1770</v>
      </c>
      <c r="C15" s="869" t="s">
        <v>1046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1444</v>
      </c>
      <c r="C16" s="870" t="s">
        <v>1886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187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2063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2065</v>
      </c>
      <c r="C21" s="793" t="str">
        <f ca="1">'GBP VNS Schedules'!C4</f>
        <v>GBP_FLOATSCHEDULE@8:0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2017</v>
      </c>
      <c r="C22" s="872" t="s">
        <v>1993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1770</v>
      </c>
      <c r="C23" s="873" t="s">
        <v>1046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1443</v>
      </c>
      <c r="C24" s="874" t="s">
        <v>1041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1444</v>
      </c>
      <c r="C25" s="874" t="s">
        <v>1886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187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1796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1797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theme="9" tint="0.79998168889431442"/>
  </sheetPr>
  <dimension ref="A1:AV522"/>
  <sheetViews>
    <sheetView showGridLines="0" zoomScaleNormal="100" workbookViewId="0">
      <pane xSplit="3" topLeftCell="AA1" activePane="topRight" state="frozen"/>
      <selection activeCell="AA1" sqref="AA1"/>
      <selection pane="topRight" activeCell="AA1" sqref="AA1"/>
    </sheetView>
  </sheetViews>
  <sheetFormatPr defaultRowHeight="15" outlineLevelCol="1"/>
  <cols>
    <col min="1" max="1" width="4.7109375" style="108" customWidth="1"/>
    <col min="2" max="2" width="31" style="108" bestFit="1" customWidth="1"/>
    <col min="3" max="3" width="25.7109375" style="108" customWidth="1"/>
    <col min="4" max="5" width="4.7109375" style="108" hidden="1" customWidth="1"/>
    <col min="6" max="14" width="20.7109375" style="108" hidden="1" customWidth="1"/>
    <col min="15" max="16" width="4.7109375" style="108" hidden="1" customWidth="1"/>
    <col min="17" max="25" width="20.7109375" style="108" hidden="1" customWidth="1"/>
    <col min="26" max="26" width="4.7109375" style="108" hidden="1" customWidth="1"/>
    <col min="27" max="27" width="4.7109375" style="108" customWidth="1" outlineLevel="1"/>
    <col min="28" max="28" width="21" style="108" customWidth="1" outlineLevel="1"/>
    <col min="29" max="29" width="13.42578125" style="108" customWidth="1" outlineLevel="1"/>
    <col min="30" max="30" width="16" style="108" customWidth="1" outlineLevel="1"/>
    <col min="31" max="32" width="15.7109375" style="108" customWidth="1" outlineLevel="1"/>
    <col min="33" max="33" width="11.5703125" style="108" customWidth="1" outlineLevel="1"/>
    <col min="34" max="34" width="19.5703125" style="108" customWidth="1" outlineLevel="1"/>
    <col min="35" max="35" width="17.5703125" style="108" customWidth="1" outlineLevel="1"/>
    <col min="36" max="36" width="15.7109375" style="108" customWidth="1" outlineLevel="1"/>
    <col min="37" max="37" width="25.140625" style="108" bestFit="1" customWidth="1"/>
    <col min="38" max="38" width="4.7109375" style="108" customWidth="1" outlineLevel="1"/>
    <col min="39" max="41" width="18.7109375" style="108" customWidth="1" outlineLevel="1"/>
    <col min="42" max="44" width="15.7109375" style="108" customWidth="1" outlineLevel="1"/>
    <col min="45" max="45" width="20.42578125" style="108" customWidth="1" outlineLevel="1"/>
    <col min="46" max="46" width="17.7109375" style="108" customWidth="1" outlineLevel="1"/>
    <col min="47" max="47" width="15.7109375" style="108" customWidth="1" outlineLevel="1"/>
    <col min="48" max="48" width="24.7109375" style="108" bestFit="1" customWidth="1"/>
    <col min="49" max="16384" width="9.140625" style="108"/>
  </cols>
  <sheetData>
    <row r="1" spans="2:48">
      <c r="AK1" s="9" t="s">
        <v>2069</v>
      </c>
      <c r="AV1" s="9" t="s">
        <v>2070</v>
      </c>
    </row>
    <row r="2" spans="2:48">
      <c r="B2" s="234" t="s">
        <v>2057</v>
      </c>
    </row>
    <row r="3" spans="2:48">
      <c r="B3" s="755" t="s">
        <v>2101</v>
      </c>
      <c r="C3" s="764" t="str">
        <f ca="1">_xll.meLWOScheduleCreateBespoke(B3,VNS.FixedSchedule.Properties,VNS.FixedCashflowSchedule)</f>
        <v>JPY_FIXEDSCHEDULE@7:0</v>
      </c>
      <c r="D3" s="108" t="s">
        <v>12</v>
      </c>
      <c r="AA3" s="108" t="s">
        <v>12</v>
      </c>
      <c r="AK3" s="108" t="s">
        <v>12</v>
      </c>
      <c r="AV3" s="108" t="s">
        <v>12</v>
      </c>
    </row>
    <row r="4" spans="2:48">
      <c r="B4" s="763" t="s">
        <v>2102</v>
      </c>
      <c r="C4" s="761" t="str">
        <f ca="1">_xll.meLWOScheduleCreateBespoke(B4,VNS.FloatSchedule.Properties,VNS.FloatCashflowSchedule)</f>
        <v>JPY_FLOATSCHEDULE@5:0</v>
      </c>
      <c r="D4" s="108" t="s">
        <v>12</v>
      </c>
      <c r="AA4" s="108" t="s">
        <v>12</v>
      </c>
      <c r="AK4" s="108" t="s">
        <v>12</v>
      </c>
      <c r="AV4" s="108" t="s">
        <v>12</v>
      </c>
    </row>
    <row r="5" spans="2:48">
      <c r="D5" s="108" t="s">
        <v>12</v>
      </c>
      <c r="AK5" s="108" t="s">
        <v>12</v>
      </c>
      <c r="AV5" s="108" t="s">
        <v>12</v>
      </c>
    </row>
    <row r="7" spans="2:48">
      <c r="AI7" s="998" t="s">
        <v>2054</v>
      </c>
      <c r="AJ7" s="996"/>
      <c r="AK7" s="996"/>
      <c r="AL7" s="996"/>
      <c r="AM7" s="996"/>
      <c r="AN7" s="996"/>
      <c r="AO7" s="996"/>
      <c r="AP7" s="996"/>
      <c r="AQ7" s="996"/>
      <c r="AR7" s="996"/>
      <c r="AS7" s="996"/>
      <c r="AT7" s="998" t="s">
        <v>2054</v>
      </c>
      <c r="AU7" s="996"/>
    </row>
    <row r="8" spans="2:48">
      <c r="AI8" s="1008" t="s">
        <v>2051</v>
      </c>
      <c r="AJ8" s="1051" t="s">
        <v>2052</v>
      </c>
      <c r="AK8" s="996"/>
      <c r="AL8" s="996"/>
      <c r="AM8" s="996"/>
      <c r="AN8" s="996"/>
      <c r="AO8" s="996"/>
      <c r="AP8" s="996"/>
      <c r="AQ8" s="996"/>
      <c r="AR8" s="996"/>
      <c r="AS8" s="996"/>
      <c r="AT8" s="1008" t="s">
        <v>2051</v>
      </c>
      <c r="AU8" s="1051" t="s">
        <v>2053</v>
      </c>
    </row>
    <row r="9" spans="2:48">
      <c r="B9" s="234" t="s">
        <v>2038</v>
      </c>
      <c r="D9" s="108" t="s">
        <v>12</v>
      </c>
      <c r="AI9" s="1050" t="s">
        <v>1803</v>
      </c>
      <c r="AJ9" s="1097" t="str">
        <f>$C$13</f>
        <v>PAY</v>
      </c>
      <c r="AK9" s="996" t="s">
        <v>12</v>
      </c>
      <c r="AL9" s="996"/>
      <c r="AM9" s="996"/>
      <c r="AN9" s="996"/>
      <c r="AO9" s="996"/>
      <c r="AP9" s="996"/>
      <c r="AQ9" s="996"/>
      <c r="AR9" s="996"/>
      <c r="AS9" s="996"/>
      <c r="AT9" s="1050" t="s">
        <v>1803</v>
      </c>
      <c r="AU9" s="1097" t="str">
        <f>IF($C$13="PAY","RECEIVE","PAY")</f>
        <v>RECEIVE</v>
      </c>
      <c r="AV9" s="108" t="s">
        <v>12</v>
      </c>
    </row>
    <row r="10" spans="2:48">
      <c r="B10" s="767" t="s">
        <v>164</v>
      </c>
      <c r="C10" s="770">
        <f ca="1">COB</f>
        <v>43224</v>
      </c>
      <c r="D10" s="108" t="s">
        <v>12</v>
      </c>
      <c r="AI10" s="1050" t="s">
        <v>2016</v>
      </c>
      <c r="AJ10" s="1097" t="str">
        <f>$C$14</f>
        <v>START_AND_END</v>
      </c>
      <c r="AK10" s="996" t="s">
        <v>12</v>
      </c>
      <c r="AL10" s="996"/>
      <c r="AM10" s="996"/>
      <c r="AN10" s="996"/>
      <c r="AO10" s="996"/>
      <c r="AP10" s="996"/>
      <c r="AQ10" s="996"/>
      <c r="AR10" s="996"/>
      <c r="AS10" s="996"/>
      <c r="AT10" s="1050" t="s">
        <v>2016</v>
      </c>
      <c r="AU10" s="1097" t="str">
        <f>$C$14</f>
        <v>START_AND_END</v>
      </c>
      <c r="AV10" s="108" t="s">
        <v>12</v>
      </c>
    </row>
    <row r="11" spans="2:48">
      <c r="B11" s="768" t="s">
        <v>1802</v>
      </c>
      <c r="C11" s="779" t="s">
        <v>361</v>
      </c>
      <c r="D11" s="108" t="s">
        <v>12</v>
      </c>
      <c r="AB11" s="234" t="s">
        <v>2039</v>
      </c>
      <c r="AI11" s="1050" t="s">
        <v>2046</v>
      </c>
      <c r="AJ11" s="1097" t="str">
        <f>$C$23</f>
        <v>Semi-Annual</v>
      </c>
      <c r="AK11" s="996" t="s">
        <v>12</v>
      </c>
      <c r="AL11" s="996"/>
      <c r="AM11" s="998" t="s">
        <v>2040</v>
      </c>
      <c r="AN11" s="996"/>
      <c r="AO11" s="996"/>
      <c r="AP11" s="996"/>
      <c r="AQ11" s="996"/>
      <c r="AR11" s="996"/>
      <c r="AS11" s="996"/>
      <c r="AT11" s="1050" t="s">
        <v>2046</v>
      </c>
      <c r="AU11" s="1097" t="str">
        <f>$C$43</f>
        <v>Semi-Annual</v>
      </c>
      <c r="AV11" s="108" t="s">
        <v>12</v>
      </c>
    </row>
    <row r="12" spans="2:48">
      <c r="B12" s="768" t="s">
        <v>1769</v>
      </c>
      <c r="C12" s="780" t="s">
        <v>31</v>
      </c>
      <c r="D12" s="108" t="s">
        <v>12</v>
      </c>
      <c r="AB12" s="802" t="s">
        <v>2066</v>
      </c>
      <c r="AC12" s="803">
        <f>COUNT(AB19:AB518)</f>
        <v>10</v>
      </c>
      <c r="AI12" s="1050" t="s">
        <v>2014</v>
      </c>
      <c r="AJ12" s="1097" t="str">
        <f>$C$24</f>
        <v>MOD_FOLLOWING</v>
      </c>
      <c r="AK12" s="996" t="s">
        <v>12</v>
      </c>
      <c r="AL12" s="996"/>
      <c r="AM12" s="798" t="s">
        <v>2066</v>
      </c>
      <c r="AN12" s="799">
        <f>COUNT(AM19:AM518)</f>
        <v>10</v>
      </c>
      <c r="AO12" s="996"/>
      <c r="AP12" s="996"/>
      <c r="AQ12" s="996"/>
      <c r="AR12" s="996"/>
      <c r="AS12" s="996"/>
      <c r="AT12" s="1050" t="s">
        <v>2014</v>
      </c>
      <c r="AU12" s="1097" t="str">
        <f>$C$44</f>
        <v>MOD_FOLLOWING</v>
      </c>
      <c r="AV12" s="108" t="s">
        <v>12</v>
      </c>
    </row>
    <row r="13" spans="2:48">
      <c r="B13" s="1053" t="s">
        <v>2143</v>
      </c>
      <c r="C13" s="1096" t="s">
        <v>1995</v>
      </c>
      <c r="D13" s="108" t="s">
        <v>12</v>
      </c>
      <c r="AB13" s="804" t="s">
        <v>354</v>
      </c>
      <c r="AC13" s="805">
        <f>VNS.Notional.Upfront</f>
        <v>1000000</v>
      </c>
      <c r="AI13" s="1050" t="s">
        <v>2013</v>
      </c>
      <c r="AJ13" s="1097" t="str">
        <f>$C$25</f>
        <v>TKB:LNB</v>
      </c>
      <c r="AK13" s="996" t="s">
        <v>12</v>
      </c>
      <c r="AL13" s="996"/>
      <c r="AM13" s="801" t="s">
        <v>354</v>
      </c>
      <c r="AN13" s="800">
        <f>VNS.Notional.Upfront</f>
        <v>1000000</v>
      </c>
      <c r="AO13" s="996"/>
      <c r="AP13" s="996"/>
      <c r="AQ13" s="996"/>
      <c r="AR13" s="996"/>
      <c r="AS13" s="996"/>
      <c r="AT13" s="1050" t="s">
        <v>2013</v>
      </c>
      <c r="AU13" s="1097" t="str">
        <f>$C$45</f>
        <v>TKB:LNB</v>
      </c>
      <c r="AV13" s="108" t="s">
        <v>12</v>
      </c>
    </row>
    <row r="14" spans="2:48">
      <c r="B14" s="1053" t="s">
        <v>2016</v>
      </c>
      <c r="C14" s="1096" t="s">
        <v>2125</v>
      </c>
      <c r="D14" s="108" t="s">
        <v>12</v>
      </c>
      <c r="AB14" s="765" t="s">
        <v>2041</v>
      </c>
      <c r="AC14" s="753">
        <v>100000</v>
      </c>
      <c r="AD14" s="647" t="s">
        <v>2042</v>
      </c>
      <c r="AI14" s="1009" t="s">
        <v>2045</v>
      </c>
      <c r="AJ14" s="1052" t="str">
        <f>VNS.Daycount.Fixed</f>
        <v>ACT/365</v>
      </c>
      <c r="AK14" s="996" t="s">
        <v>12</v>
      </c>
      <c r="AL14" s="996"/>
      <c r="AM14" s="765" t="s">
        <v>2041</v>
      </c>
      <c r="AN14" s="753">
        <v>100000</v>
      </c>
      <c r="AO14" s="647" t="s">
        <v>2042</v>
      </c>
      <c r="AP14" s="996"/>
      <c r="AQ14" s="996"/>
      <c r="AR14" s="996"/>
      <c r="AS14" s="996"/>
      <c r="AT14" s="1009" t="s">
        <v>2045</v>
      </c>
      <c r="AU14" s="1052" t="str">
        <f>VNS.Daycount.Float</f>
        <v>ACT/360</v>
      </c>
      <c r="AV14" s="108" t="s">
        <v>12</v>
      </c>
    </row>
    <row r="15" spans="2:48">
      <c r="B15" s="768" t="s">
        <v>354</v>
      </c>
      <c r="C15" s="781">
        <v>1000000</v>
      </c>
      <c r="D15" s="108" t="s">
        <v>12</v>
      </c>
      <c r="AB15" s="766" t="s">
        <v>2080</v>
      </c>
      <c r="AC15" s="754">
        <v>0</v>
      </c>
      <c r="AD15" s="647" t="s">
        <v>2042</v>
      </c>
      <c r="AI15" s="647" t="s">
        <v>2089</v>
      </c>
      <c r="AJ15" s="996"/>
      <c r="AK15" s="996" t="s">
        <v>12</v>
      </c>
      <c r="AL15" s="996"/>
      <c r="AM15" s="766" t="s">
        <v>2080</v>
      </c>
      <c r="AN15" s="754">
        <v>0</v>
      </c>
      <c r="AO15" s="647" t="s">
        <v>2042</v>
      </c>
      <c r="AP15" s="996"/>
      <c r="AQ15" s="996"/>
      <c r="AR15" s="996"/>
      <c r="AS15" s="996"/>
      <c r="AT15" s="647" t="s">
        <v>2089</v>
      </c>
      <c r="AU15" s="996"/>
      <c r="AV15" s="108" t="s">
        <v>12</v>
      </c>
    </row>
    <row r="16" spans="2:48">
      <c r="B16" s="768" t="s">
        <v>2056</v>
      </c>
      <c r="C16" s="782">
        <v>0.01</v>
      </c>
      <c r="D16" s="108" t="s">
        <v>12</v>
      </c>
      <c r="AK16" s="108" t="s">
        <v>12</v>
      </c>
      <c r="AV16" s="108" t="s">
        <v>12</v>
      </c>
    </row>
    <row r="17" spans="1:48">
      <c r="B17" s="769" t="s">
        <v>2055</v>
      </c>
      <c r="C17" s="791">
        <v>0</v>
      </c>
      <c r="D17" s="108" t="s">
        <v>12</v>
      </c>
      <c r="E17" s="998" t="s">
        <v>2082</v>
      </c>
      <c r="F17" s="996"/>
      <c r="G17" s="996"/>
      <c r="H17" s="996"/>
      <c r="I17" s="996"/>
      <c r="J17" s="996"/>
      <c r="K17" s="996"/>
      <c r="L17" s="996"/>
      <c r="M17" s="996"/>
      <c r="N17" s="996"/>
      <c r="O17" s="996"/>
      <c r="P17" s="998" t="s">
        <v>2090</v>
      </c>
      <c r="Q17" s="996"/>
      <c r="R17" s="996"/>
      <c r="S17" s="996"/>
      <c r="T17" s="996"/>
      <c r="U17" s="996"/>
      <c r="V17" s="996"/>
      <c r="W17" s="996"/>
      <c r="X17" s="996"/>
      <c r="Y17" s="996"/>
      <c r="AC17" s="234"/>
      <c r="AK17" s="108" t="s">
        <v>12</v>
      </c>
      <c r="AM17" s="234"/>
      <c r="AN17" s="234"/>
      <c r="AV17" s="108" t="s">
        <v>12</v>
      </c>
    </row>
    <row r="18" spans="1:48" ht="15" customHeight="1">
      <c r="A18" s="734"/>
      <c r="D18" s="108" t="s">
        <v>12</v>
      </c>
      <c r="E18" s="735" t="s">
        <v>2044</v>
      </c>
      <c r="F18" s="736" t="s">
        <v>354</v>
      </c>
      <c r="G18" s="736" t="s">
        <v>2015</v>
      </c>
      <c r="H18" s="1040" t="str">
        <f t="array" aca="1" ref="H18:M518" ca="1">_xll.meUtilityResize(_xll.meProductSwapSchedule($B$20:$C$37,TRUE,TRUE),510,20)</f>
        <v>FixingDate</v>
      </c>
      <c r="I18" s="1040" t="str">
        <f ca="1"/>
        <v>AccrualStart</v>
      </c>
      <c r="J18" s="1040" t="str">
        <f ca="1"/>
        <v>AccrualEnd</v>
      </c>
      <c r="K18" s="1041" t="str">
        <f ca="1"/>
        <v>AccrualDays</v>
      </c>
      <c r="L18" s="1042" t="str">
        <f ca="1"/>
        <v>AccrualYearFractions</v>
      </c>
      <c r="M18" s="1040" t="str">
        <f ca="1"/>
        <v>PaymentDate</v>
      </c>
      <c r="N18" s="1059" t="s">
        <v>1772</v>
      </c>
      <c r="O18" s="996"/>
      <c r="P18" s="735" t="s">
        <v>2044</v>
      </c>
      <c r="Q18" s="736" t="s">
        <v>354</v>
      </c>
      <c r="R18" s="736" t="s">
        <v>2015</v>
      </c>
      <c r="S18" s="1040" t="str">
        <f t="array" aca="1" ref="S18:X518" ca="1">_xll.meUtilityResize(_xll.meProductSwapSchedule($B$40:$C$57,TRUE,TRUE),510,20)</f>
        <v>FixingDate</v>
      </c>
      <c r="T18" s="1040" t="str">
        <f ca="1"/>
        <v>AccrualStart</v>
      </c>
      <c r="U18" s="1040" t="str">
        <f ca="1"/>
        <v>AccrualEnd</v>
      </c>
      <c r="V18" s="1041" t="str">
        <f ca="1"/>
        <v>AccrualDays</v>
      </c>
      <c r="W18" s="1042" t="str">
        <f ca="1"/>
        <v>AccrualYearFractions</v>
      </c>
      <c r="X18" s="1040" t="str">
        <f ca="1"/>
        <v>PaymentDate</v>
      </c>
      <c r="Y18" s="1059" t="s">
        <v>1784</v>
      </c>
      <c r="AA18" s="828" t="s">
        <v>2044</v>
      </c>
      <c r="AB18" s="832" t="s">
        <v>354</v>
      </c>
      <c r="AC18" s="832" t="s">
        <v>2015</v>
      </c>
      <c r="AD18" s="833" t="s">
        <v>2083</v>
      </c>
      <c r="AE18" s="833" t="s">
        <v>2084</v>
      </c>
      <c r="AF18" s="833" t="s">
        <v>2085</v>
      </c>
      <c r="AG18" s="834" t="s">
        <v>2086</v>
      </c>
      <c r="AH18" s="737" t="s">
        <v>2087</v>
      </c>
      <c r="AI18" s="833" t="s">
        <v>2088</v>
      </c>
      <c r="AJ18" s="835" t="s">
        <v>1772</v>
      </c>
      <c r="AK18" s="108" t="s">
        <v>12</v>
      </c>
      <c r="AL18" s="847" t="s">
        <v>2044</v>
      </c>
      <c r="AM18" s="848" t="s">
        <v>354</v>
      </c>
      <c r="AN18" s="849" t="s">
        <v>2015</v>
      </c>
      <c r="AO18" s="850" t="s">
        <v>2083</v>
      </c>
      <c r="AP18" s="850" t="s">
        <v>2084</v>
      </c>
      <c r="AQ18" s="850" t="s">
        <v>2085</v>
      </c>
      <c r="AR18" s="851" t="s">
        <v>2086</v>
      </c>
      <c r="AS18" s="852" t="s">
        <v>2087</v>
      </c>
      <c r="AT18" s="850" t="s">
        <v>2088</v>
      </c>
      <c r="AU18" s="853" t="s">
        <v>1784</v>
      </c>
      <c r="AV18" s="108" t="s">
        <v>12</v>
      </c>
    </row>
    <row r="19" spans="1:48" ht="15" customHeight="1">
      <c r="B19" s="234" t="s">
        <v>2043</v>
      </c>
      <c r="D19" s="108" t="s">
        <v>12</v>
      </c>
      <c r="E19" s="742">
        <v>1</v>
      </c>
      <c r="F19" s="1248">
        <f ca="1">IF($I19="","",VNS.Notional.Upfront)</f>
        <v>1000000</v>
      </c>
      <c r="G19" s="1027">
        <f ca="1">IF(I19="","",1)</f>
        <v>1</v>
      </c>
      <c r="H19" s="1043">
        <f ca="1"/>
        <v>43229</v>
      </c>
      <c r="I19" s="1006">
        <f ca="1"/>
        <v>43229</v>
      </c>
      <c r="J19" s="1006">
        <f ca="1"/>
        <v>43413</v>
      </c>
      <c r="K19" s="1016">
        <f ca="1"/>
        <v>184</v>
      </c>
      <c r="L19" s="1019">
        <f ca="1"/>
        <v>0.50410958904109604</v>
      </c>
      <c r="M19" s="1006">
        <f ca="1"/>
        <v>43413</v>
      </c>
      <c r="N19" s="1060">
        <f t="shared" ref="N19:N23" ca="1" si="0">IF($I19="","",VNS.FixedRate)</f>
        <v>0.01</v>
      </c>
      <c r="O19" s="996"/>
      <c r="P19" s="742">
        <v>1</v>
      </c>
      <c r="Q19" s="1248">
        <f ca="1">IF($T19="","",VNS.Notional.Upfront)</f>
        <v>1000000</v>
      </c>
      <c r="R19" s="1027">
        <f ca="1">IF(T19="","",1)</f>
        <v>1</v>
      </c>
      <c r="S19" s="1006">
        <f ca="1"/>
        <v>43229</v>
      </c>
      <c r="T19" s="1006">
        <f ca="1"/>
        <v>43229</v>
      </c>
      <c r="U19" s="1006">
        <f ca="1"/>
        <v>43413</v>
      </c>
      <c r="V19" s="1016">
        <f ca="1"/>
        <v>184</v>
      </c>
      <c r="W19" s="1019">
        <f ca="1"/>
        <v>0.51111111111111096</v>
      </c>
      <c r="X19" s="1006">
        <f ca="1"/>
        <v>43413</v>
      </c>
      <c r="Y19" s="864">
        <f t="shared" ref="Y19:Y22" ca="1" si="1">IF($T19="","",VNS.FloatSpread)</f>
        <v>0</v>
      </c>
      <c r="AA19" s="828">
        <v>1</v>
      </c>
      <c r="AB19" s="743">
        <v>1000000</v>
      </c>
      <c r="AC19" s="242">
        <v>1</v>
      </c>
      <c r="AD19" s="829">
        <v>42916</v>
      </c>
      <c r="AE19" s="836">
        <v>42916</v>
      </c>
      <c r="AF19" s="836">
        <v>43098</v>
      </c>
      <c r="AG19" s="743">
        <v>182</v>
      </c>
      <c r="AH19" s="837">
        <v>0.49863013698630099</v>
      </c>
      <c r="AI19" s="836">
        <v>43098</v>
      </c>
      <c r="AJ19" s="838">
        <v>0.01</v>
      </c>
      <c r="AK19" s="108" t="s">
        <v>12</v>
      </c>
      <c r="AL19" s="847">
        <v>1</v>
      </c>
      <c r="AM19" s="854">
        <v>1000000</v>
      </c>
      <c r="AN19" s="242">
        <v>1</v>
      </c>
      <c r="AO19" s="836">
        <v>42916</v>
      </c>
      <c r="AP19" s="836">
        <v>42916</v>
      </c>
      <c r="AQ19" s="836">
        <v>43098</v>
      </c>
      <c r="AR19" s="743">
        <v>182</v>
      </c>
      <c r="AS19" s="837">
        <v>0.50555555555555598</v>
      </c>
      <c r="AT19" s="836">
        <v>43098</v>
      </c>
      <c r="AU19" s="855">
        <v>0</v>
      </c>
      <c r="AV19" s="108" t="s">
        <v>12</v>
      </c>
    </row>
    <row r="20" spans="1:48">
      <c r="B20" s="755" t="s">
        <v>1768</v>
      </c>
      <c r="C20" s="783">
        <f ca="1">_xll.meDateFromTenor(AsOfDate,EffectiveLag,C27,C28)</f>
        <v>43229</v>
      </c>
      <c r="D20" s="108" t="s">
        <v>12</v>
      </c>
      <c r="E20" s="742">
        <v>2</v>
      </c>
      <c r="F20" s="1016">
        <f t="shared" ref="F20:F23" ca="1" si="2">IF($I20="","",IF(OR(VNS.FixedAmortization=0,VNS.FixedAmortization.Frequency=0),F19,IF(MOD(E20-1,VNS.FixedAmortization.Frequency)=0,F19-VNS.FixedAmortization,F19)))</f>
        <v>1000000</v>
      </c>
      <c r="G20" s="1027">
        <f t="shared" ref="G20:G83" ca="1" si="3">IF(I20="","",1)</f>
        <v>1</v>
      </c>
      <c r="H20" s="1043">
        <f ca="1"/>
        <v>43413</v>
      </c>
      <c r="I20" s="1006">
        <f ca="1"/>
        <v>43413</v>
      </c>
      <c r="J20" s="1006">
        <f ca="1"/>
        <v>43594</v>
      </c>
      <c r="K20" s="1016">
        <f ca="1"/>
        <v>181</v>
      </c>
      <c r="L20" s="1019">
        <f ca="1"/>
        <v>0.49589041095890402</v>
      </c>
      <c r="M20" s="1006">
        <f ca="1"/>
        <v>43594</v>
      </c>
      <c r="N20" s="1060">
        <f t="shared" ca="1" si="0"/>
        <v>0.01</v>
      </c>
      <c r="O20" s="996"/>
      <c r="P20" s="742">
        <v>2</v>
      </c>
      <c r="Q20" s="1016">
        <f t="shared" ref="Q20:Q23" ca="1" si="4">IF($T20="","",IF(OR(VNS.FloatAmortization=0,VNS.FloatAmortization.Frequency=0),Q19,IF(MOD(P20-1,VNS.FloatAmortization.Frequency)=0,Q19-VNS.FloatAmortization,Q19)))</f>
        <v>1000000</v>
      </c>
      <c r="R20" s="1027">
        <f t="shared" ref="R20:R22" ca="1" si="5">IF(T20="","",1)</f>
        <v>1</v>
      </c>
      <c r="S20" s="1006">
        <f ca="1"/>
        <v>43413</v>
      </c>
      <c r="T20" s="1006">
        <f ca="1"/>
        <v>43413</v>
      </c>
      <c r="U20" s="1006">
        <f ca="1"/>
        <v>43594</v>
      </c>
      <c r="V20" s="1016">
        <f ca="1"/>
        <v>181</v>
      </c>
      <c r="W20" s="1019">
        <f ca="1"/>
        <v>0.50277777777777799</v>
      </c>
      <c r="X20" s="1006">
        <f ca="1"/>
        <v>43594</v>
      </c>
      <c r="Y20" s="864">
        <f t="shared" ca="1" si="1"/>
        <v>0</v>
      </c>
      <c r="AA20" s="828">
        <v>2</v>
      </c>
      <c r="AB20" s="743">
        <v>1000000</v>
      </c>
      <c r="AC20" s="242">
        <v>1</v>
      </c>
      <c r="AD20" s="829">
        <v>43098</v>
      </c>
      <c r="AE20" s="836">
        <v>43098</v>
      </c>
      <c r="AF20" s="836">
        <v>43280</v>
      </c>
      <c r="AG20" s="743">
        <v>182</v>
      </c>
      <c r="AH20" s="837">
        <v>0.49863013698630099</v>
      </c>
      <c r="AI20" s="836">
        <v>43280</v>
      </c>
      <c r="AJ20" s="838">
        <v>0.01</v>
      </c>
      <c r="AK20" s="108" t="s">
        <v>12</v>
      </c>
      <c r="AL20" s="847">
        <v>2</v>
      </c>
      <c r="AM20" s="854">
        <v>1000000</v>
      </c>
      <c r="AN20" s="242">
        <v>1</v>
      </c>
      <c r="AO20" s="836">
        <v>43098</v>
      </c>
      <c r="AP20" s="836">
        <v>43098</v>
      </c>
      <c r="AQ20" s="836">
        <v>43280</v>
      </c>
      <c r="AR20" s="743">
        <v>182</v>
      </c>
      <c r="AS20" s="837">
        <v>0.50555555555555598</v>
      </c>
      <c r="AT20" s="836">
        <v>43280</v>
      </c>
      <c r="AU20" s="855">
        <v>0</v>
      </c>
      <c r="AV20" s="108" t="s">
        <v>12</v>
      </c>
    </row>
    <row r="21" spans="1:48">
      <c r="B21" s="756" t="s">
        <v>1769</v>
      </c>
      <c r="C21" s="784" t="str">
        <f>MaturityDate</f>
        <v>5Y</v>
      </c>
      <c r="D21" s="108" t="s">
        <v>12</v>
      </c>
      <c r="E21" s="742">
        <v>3</v>
      </c>
      <c r="F21" s="1016">
        <f t="shared" ca="1" si="2"/>
        <v>1000000</v>
      </c>
      <c r="G21" s="1027">
        <f t="shared" ca="1" si="3"/>
        <v>1</v>
      </c>
      <c r="H21" s="1043">
        <f ca="1"/>
        <v>43594</v>
      </c>
      <c r="I21" s="1006">
        <f ca="1"/>
        <v>43594</v>
      </c>
      <c r="J21" s="1006">
        <f ca="1"/>
        <v>43780</v>
      </c>
      <c r="K21" s="1016">
        <f ca="1"/>
        <v>186</v>
      </c>
      <c r="L21" s="1019">
        <f ca="1"/>
        <v>0.50958904109588998</v>
      </c>
      <c r="M21" s="1006">
        <f ca="1"/>
        <v>43780</v>
      </c>
      <c r="N21" s="1060">
        <f t="shared" ca="1" si="0"/>
        <v>0.01</v>
      </c>
      <c r="O21" s="996"/>
      <c r="P21" s="742">
        <v>3</v>
      </c>
      <c r="Q21" s="1016">
        <f t="shared" ca="1" si="4"/>
        <v>1000000</v>
      </c>
      <c r="R21" s="1027">
        <f t="shared" ca="1" si="5"/>
        <v>1</v>
      </c>
      <c r="S21" s="1006">
        <f ca="1"/>
        <v>43594</v>
      </c>
      <c r="T21" s="1006">
        <f ca="1"/>
        <v>43594</v>
      </c>
      <c r="U21" s="1006">
        <f ca="1"/>
        <v>43780</v>
      </c>
      <c r="V21" s="1016">
        <f ca="1"/>
        <v>186</v>
      </c>
      <c r="W21" s="1019">
        <f ca="1"/>
        <v>0.51666666666666705</v>
      </c>
      <c r="X21" s="1006">
        <f ca="1"/>
        <v>43780</v>
      </c>
      <c r="Y21" s="864">
        <f t="shared" ca="1" si="1"/>
        <v>0</v>
      </c>
      <c r="AA21" s="828">
        <v>3</v>
      </c>
      <c r="AB21" s="743">
        <v>1000000</v>
      </c>
      <c r="AC21" s="242">
        <v>1</v>
      </c>
      <c r="AD21" s="829">
        <v>43280</v>
      </c>
      <c r="AE21" s="836">
        <v>43280</v>
      </c>
      <c r="AF21" s="836">
        <v>43462</v>
      </c>
      <c r="AG21" s="743">
        <v>182</v>
      </c>
      <c r="AH21" s="837">
        <v>0.49863013698630099</v>
      </c>
      <c r="AI21" s="836">
        <v>43462</v>
      </c>
      <c r="AJ21" s="838">
        <v>0.01</v>
      </c>
      <c r="AK21" s="108" t="s">
        <v>12</v>
      </c>
      <c r="AL21" s="847">
        <v>3</v>
      </c>
      <c r="AM21" s="854">
        <v>1000000</v>
      </c>
      <c r="AN21" s="242">
        <v>1</v>
      </c>
      <c r="AO21" s="836">
        <v>43280</v>
      </c>
      <c r="AP21" s="836">
        <v>43280</v>
      </c>
      <c r="AQ21" s="836">
        <v>43462</v>
      </c>
      <c r="AR21" s="743">
        <v>182</v>
      </c>
      <c r="AS21" s="837">
        <v>0.50555555555555598</v>
      </c>
      <c r="AT21" s="836">
        <v>43462</v>
      </c>
      <c r="AU21" s="855">
        <v>0</v>
      </c>
      <c r="AV21" s="108" t="s">
        <v>12</v>
      </c>
    </row>
    <row r="22" spans="1:48">
      <c r="B22" s="756" t="s">
        <v>2045</v>
      </c>
      <c r="C22" s="744" t="s">
        <v>186</v>
      </c>
      <c r="D22" s="108" t="s">
        <v>12</v>
      </c>
      <c r="E22" s="742">
        <v>4</v>
      </c>
      <c r="F22" s="1016">
        <f t="shared" ca="1" si="2"/>
        <v>1000000</v>
      </c>
      <c r="G22" s="1027">
        <f t="shared" ca="1" si="3"/>
        <v>1</v>
      </c>
      <c r="H22" s="1043">
        <f ca="1"/>
        <v>43780</v>
      </c>
      <c r="I22" s="1006">
        <f ca="1"/>
        <v>43780</v>
      </c>
      <c r="J22" s="1006">
        <f ca="1"/>
        <v>43962</v>
      </c>
      <c r="K22" s="1016">
        <f ca="1"/>
        <v>182</v>
      </c>
      <c r="L22" s="1019">
        <f ca="1"/>
        <v>0.49863013698630099</v>
      </c>
      <c r="M22" s="1006">
        <f ca="1"/>
        <v>43962</v>
      </c>
      <c r="N22" s="1060">
        <f t="shared" ca="1" si="0"/>
        <v>0.01</v>
      </c>
      <c r="O22" s="996"/>
      <c r="P22" s="742">
        <v>4</v>
      </c>
      <c r="Q22" s="1016">
        <f t="shared" ca="1" si="4"/>
        <v>1000000</v>
      </c>
      <c r="R22" s="1027">
        <f t="shared" ca="1" si="5"/>
        <v>1</v>
      </c>
      <c r="S22" s="1006">
        <f ca="1"/>
        <v>43780</v>
      </c>
      <c r="T22" s="1006">
        <f ca="1"/>
        <v>43780</v>
      </c>
      <c r="U22" s="1006">
        <f ca="1"/>
        <v>43962</v>
      </c>
      <c r="V22" s="1016">
        <f ca="1"/>
        <v>182</v>
      </c>
      <c r="W22" s="1019">
        <f ca="1"/>
        <v>0.50555555555555598</v>
      </c>
      <c r="X22" s="1006">
        <f ca="1"/>
        <v>43962</v>
      </c>
      <c r="Y22" s="864">
        <f t="shared" ca="1" si="1"/>
        <v>0</v>
      </c>
      <c r="AA22" s="828">
        <v>4</v>
      </c>
      <c r="AB22" s="743">
        <v>1000000</v>
      </c>
      <c r="AC22" s="242">
        <v>1</v>
      </c>
      <c r="AD22" s="829">
        <v>43462</v>
      </c>
      <c r="AE22" s="836">
        <v>43462</v>
      </c>
      <c r="AF22" s="836">
        <v>43644</v>
      </c>
      <c r="AG22" s="743">
        <v>182</v>
      </c>
      <c r="AH22" s="837">
        <v>0.49863013698630099</v>
      </c>
      <c r="AI22" s="836">
        <v>43644</v>
      </c>
      <c r="AJ22" s="838">
        <v>0.01</v>
      </c>
      <c r="AK22" s="108" t="s">
        <v>12</v>
      </c>
      <c r="AL22" s="847">
        <v>4</v>
      </c>
      <c r="AM22" s="854">
        <v>1000000</v>
      </c>
      <c r="AN22" s="242">
        <v>1</v>
      </c>
      <c r="AO22" s="836">
        <v>43462</v>
      </c>
      <c r="AP22" s="836">
        <v>43462</v>
      </c>
      <c r="AQ22" s="836">
        <v>43644</v>
      </c>
      <c r="AR22" s="743">
        <v>182</v>
      </c>
      <c r="AS22" s="837">
        <v>0.50555555555555598</v>
      </c>
      <c r="AT22" s="836">
        <v>43644</v>
      </c>
      <c r="AU22" s="855">
        <v>0</v>
      </c>
      <c r="AV22" s="108" t="s">
        <v>12</v>
      </c>
    </row>
    <row r="23" spans="1:48">
      <c r="B23" s="756" t="s">
        <v>2046</v>
      </c>
      <c r="C23" s="514" t="s">
        <v>76</v>
      </c>
      <c r="D23" s="108" t="s">
        <v>12</v>
      </c>
      <c r="E23" s="742">
        <v>5</v>
      </c>
      <c r="F23" s="1016">
        <f t="shared" ca="1" si="2"/>
        <v>1000000</v>
      </c>
      <c r="G23" s="1027">
        <f t="shared" ca="1" si="3"/>
        <v>1</v>
      </c>
      <c r="H23" s="1043">
        <f ca="1"/>
        <v>43962</v>
      </c>
      <c r="I23" s="1006">
        <f ca="1"/>
        <v>43962</v>
      </c>
      <c r="J23" s="1006">
        <f ca="1"/>
        <v>44144</v>
      </c>
      <c r="K23" s="1016">
        <f ca="1"/>
        <v>182</v>
      </c>
      <c r="L23" s="1019">
        <f ca="1"/>
        <v>0.49863013698630099</v>
      </c>
      <c r="M23" s="1006">
        <f ca="1"/>
        <v>44144</v>
      </c>
      <c r="N23" s="1060">
        <f t="shared" ca="1" si="0"/>
        <v>0.01</v>
      </c>
      <c r="O23" s="996"/>
      <c r="P23" s="742">
        <v>5</v>
      </c>
      <c r="Q23" s="1016">
        <f t="shared" ca="1" si="4"/>
        <v>1000000</v>
      </c>
      <c r="R23" s="1027">
        <f t="array" aca="1" ref="R23" ca="1">IF(T23="","",1)</f>
        <v>1</v>
      </c>
      <c r="S23" s="1006">
        <f ca="1"/>
        <v>43962</v>
      </c>
      <c r="T23" s="1006">
        <f ca="1"/>
        <v>43962</v>
      </c>
      <c r="U23" s="1006">
        <f ca="1"/>
        <v>44144</v>
      </c>
      <c r="V23" s="1016">
        <f ca="1"/>
        <v>182</v>
      </c>
      <c r="W23" s="1019">
        <f ca="1"/>
        <v>0.50555555555555598</v>
      </c>
      <c r="X23" s="1006">
        <f ca="1"/>
        <v>44144</v>
      </c>
      <c r="Y23" s="864">
        <f t="shared" ref="Y23:Y82" ca="1" si="6">IF($T23="","",VNS.FloatSpread)</f>
        <v>0</v>
      </c>
      <c r="AA23" s="828">
        <v>5</v>
      </c>
      <c r="AB23" s="743">
        <v>1000000</v>
      </c>
      <c r="AC23" s="242">
        <v>1</v>
      </c>
      <c r="AD23" s="829">
        <v>43644</v>
      </c>
      <c r="AE23" s="836">
        <v>43644</v>
      </c>
      <c r="AF23" s="836">
        <v>43829</v>
      </c>
      <c r="AG23" s="743">
        <v>185</v>
      </c>
      <c r="AH23" s="837">
        <v>0.50684931506849296</v>
      </c>
      <c r="AI23" s="836">
        <v>43829</v>
      </c>
      <c r="AJ23" s="838">
        <v>0.01</v>
      </c>
      <c r="AK23" s="108" t="s">
        <v>12</v>
      </c>
      <c r="AL23" s="847">
        <v>5</v>
      </c>
      <c r="AM23" s="854">
        <v>1000000</v>
      </c>
      <c r="AN23" s="242">
        <v>1</v>
      </c>
      <c r="AO23" s="836">
        <v>43644</v>
      </c>
      <c r="AP23" s="836">
        <v>43644</v>
      </c>
      <c r="AQ23" s="836">
        <v>43829</v>
      </c>
      <c r="AR23" s="743">
        <v>185</v>
      </c>
      <c r="AS23" s="837">
        <v>0.51388888888888895</v>
      </c>
      <c r="AT23" s="836">
        <v>43829</v>
      </c>
      <c r="AU23" s="855">
        <v>0</v>
      </c>
      <c r="AV23" s="108" t="s">
        <v>12</v>
      </c>
    </row>
    <row r="24" spans="1:48">
      <c r="B24" s="756" t="s">
        <v>2014</v>
      </c>
      <c r="C24" s="745" t="s">
        <v>38</v>
      </c>
      <c r="D24" s="108" t="s">
        <v>12</v>
      </c>
      <c r="E24" s="742">
        <v>6</v>
      </c>
      <c r="F24" s="1016">
        <f t="shared" ref="F24:F83" ca="1" si="7">IF($I24="","",IF(OR(VNS.FixedAmortization=0,VNS.FixedAmortization.Frequency=0),F23,IF(MOD(E24-1,VNS.FixedAmortization.Frequency)=0,F23-VNS.FixedAmortization,F23)))</f>
        <v>1000000</v>
      </c>
      <c r="G24" s="1027">
        <f t="shared" ca="1" si="3"/>
        <v>1</v>
      </c>
      <c r="H24" s="1043">
        <f ca="1"/>
        <v>44144</v>
      </c>
      <c r="I24" s="1006">
        <f ca="1"/>
        <v>44144</v>
      </c>
      <c r="J24" s="1006">
        <f ca="1"/>
        <v>44326</v>
      </c>
      <c r="K24" s="1016">
        <f ca="1"/>
        <v>182</v>
      </c>
      <c r="L24" s="1019">
        <f ca="1"/>
        <v>0.49863013698630099</v>
      </c>
      <c r="M24" s="1006">
        <f ca="1"/>
        <v>44326</v>
      </c>
      <c r="N24" s="1060">
        <f t="shared" ref="N24:N82" ca="1" si="8">IF($I24="","",VNS.FixedRate)</f>
        <v>0.01</v>
      </c>
      <c r="O24" s="996"/>
      <c r="P24" s="742">
        <v>6</v>
      </c>
      <c r="Q24" s="1016">
        <f t="shared" ref="Q24:Q83" ca="1" si="9">IF($T24="","",IF(OR(VNS.FloatAmortization=0,VNS.FloatAmortization.Frequency=0),Q23,IF(MOD(P24-1,VNS.FloatAmortization.Frequency)=0,Q23-VNS.FloatAmortization,Q23)))</f>
        <v>1000000</v>
      </c>
      <c r="R24" s="1027">
        <f t="shared" ref="R24:R87" ca="1" si="10">IF(T24="","",1)</f>
        <v>1</v>
      </c>
      <c r="S24" s="1006">
        <f ca="1"/>
        <v>44144</v>
      </c>
      <c r="T24" s="1006">
        <f ca="1"/>
        <v>44144</v>
      </c>
      <c r="U24" s="1006">
        <f ca="1"/>
        <v>44326</v>
      </c>
      <c r="V24" s="1016">
        <f ca="1"/>
        <v>182</v>
      </c>
      <c r="W24" s="1019">
        <f ca="1"/>
        <v>0.50555555555555598</v>
      </c>
      <c r="X24" s="1006">
        <f ca="1"/>
        <v>44326</v>
      </c>
      <c r="Y24" s="864">
        <f t="shared" ca="1" si="6"/>
        <v>0</v>
      </c>
      <c r="AA24" s="828">
        <v>6</v>
      </c>
      <c r="AB24" s="743">
        <v>1000000</v>
      </c>
      <c r="AC24" s="242">
        <v>1</v>
      </c>
      <c r="AD24" s="829">
        <v>43829</v>
      </c>
      <c r="AE24" s="836">
        <v>43829</v>
      </c>
      <c r="AF24" s="836">
        <v>44012</v>
      </c>
      <c r="AG24" s="743">
        <v>183</v>
      </c>
      <c r="AH24" s="837">
        <v>0.50136986301369901</v>
      </c>
      <c r="AI24" s="836">
        <v>44012</v>
      </c>
      <c r="AJ24" s="838">
        <v>0.01</v>
      </c>
      <c r="AK24" s="108" t="s">
        <v>12</v>
      </c>
      <c r="AL24" s="847">
        <v>6</v>
      </c>
      <c r="AM24" s="854">
        <v>1000000</v>
      </c>
      <c r="AN24" s="242">
        <v>1</v>
      </c>
      <c r="AO24" s="836">
        <v>43829</v>
      </c>
      <c r="AP24" s="836">
        <v>43829</v>
      </c>
      <c r="AQ24" s="836">
        <v>44012</v>
      </c>
      <c r="AR24" s="743">
        <v>183</v>
      </c>
      <c r="AS24" s="837">
        <v>0.50833333333333297</v>
      </c>
      <c r="AT24" s="836">
        <v>44012</v>
      </c>
      <c r="AU24" s="855">
        <v>0</v>
      </c>
      <c r="AV24" s="108" t="s">
        <v>12</v>
      </c>
    </row>
    <row r="25" spans="1:48">
      <c r="B25" s="756" t="s">
        <v>2013</v>
      </c>
      <c r="C25" s="746" t="s">
        <v>359</v>
      </c>
      <c r="D25" s="108" t="s">
        <v>12</v>
      </c>
      <c r="E25" s="742">
        <v>7</v>
      </c>
      <c r="F25" s="1016">
        <f t="shared" ca="1" si="7"/>
        <v>1000000</v>
      </c>
      <c r="G25" s="1027">
        <f t="shared" ca="1" si="3"/>
        <v>1</v>
      </c>
      <c r="H25" s="1043">
        <f ca="1"/>
        <v>44326</v>
      </c>
      <c r="I25" s="1006">
        <f ca="1"/>
        <v>44326</v>
      </c>
      <c r="J25" s="1006">
        <f ca="1"/>
        <v>44509</v>
      </c>
      <c r="K25" s="1016">
        <f ca="1"/>
        <v>183</v>
      </c>
      <c r="L25" s="1019">
        <f ca="1"/>
        <v>0.50136986301369901</v>
      </c>
      <c r="M25" s="1006">
        <f ca="1"/>
        <v>44509</v>
      </c>
      <c r="N25" s="1060">
        <f t="shared" ca="1" si="8"/>
        <v>0.01</v>
      </c>
      <c r="O25" s="996"/>
      <c r="P25" s="742">
        <v>7</v>
      </c>
      <c r="Q25" s="1016">
        <f t="shared" ca="1" si="9"/>
        <v>1000000</v>
      </c>
      <c r="R25" s="1027">
        <f t="shared" ca="1" si="10"/>
        <v>1</v>
      </c>
      <c r="S25" s="1006">
        <f ca="1"/>
        <v>44326</v>
      </c>
      <c r="T25" s="1006">
        <f ca="1"/>
        <v>44326</v>
      </c>
      <c r="U25" s="1006">
        <f ca="1"/>
        <v>44509</v>
      </c>
      <c r="V25" s="1016">
        <f ca="1"/>
        <v>183</v>
      </c>
      <c r="W25" s="1019">
        <f ca="1"/>
        <v>0.50833333333333297</v>
      </c>
      <c r="X25" s="1006">
        <f ca="1"/>
        <v>44509</v>
      </c>
      <c r="Y25" s="864">
        <f t="shared" ca="1" si="6"/>
        <v>0</v>
      </c>
      <c r="AA25" s="828">
        <v>7</v>
      </c>
      <c r="AB25" s="743">
        <v>1000000</v>
      </c>
      <c r="AC25" s="242">
        <v>1</v>
      </c>
      <c r="AD25" s="829">
        <v>44012</v>
      </c>
      <c r="AE25" s="836">
        <v>44012</v>
      </c>
      <c r="AF25" s="836">
        <v>44195</v>
      </c>
      <c r="AG25" s="743">
        <v>183</v>
      </c>
      <c r="AH25" s="837">
        <v>0.50136986301369901</v>
      </c>
      <c r="AI25" s="836">
        <v>44195</v>
      </c>
      <c r="AJ25" s="838">
        <v>0.01</v>
      </c>
      <c r="AK25" s="108" t="s">
        <v>12</v>
      </c>
      <c r="AL25" s="847">
        <v>7</v>
      </c>
      <c r="AM25" s="854">
        <v>1000000</v>
      </c>
      <c r="AN25" s="242">
        <v>1</v>
      </c>
      <c r="AO25" s="836">
        <v>44012</v>
      </c>
      <c r="AP25" s="836">
        <v>44012</v>
      </c>
      <c r="AQ25" s="836">
        <v>44195</v>
      </c>
      <c r="AR25" s="743">
        <v>183</v>
      </c>
      <c r="AS25" s="837">
        <v>0.50833333333333297</v>
      </c>
      <c r="AT25" s="836">
        <v>44195</v>
      </c>
      <c r="AU25" s="855">
        <v>0</v>
      </c>
      <c r="AV25" s="108" t="s">
        <v>12</v>
      </c>
    </row>
    <row r="26" spans="1:48">
      <c r="B26" s="756" t="s">
        <v>2047</v>
      </c>
      <c r="C26" s="514" t="s">
        <v>76</v>
      </c>
      <c r="D26" s="108" t="s">
        <v>12</v>
      </c>
      <c r="E26" s="742">
        <v>8</v>
      </c>
      <c r="F26" s="1016">
        <f t="shared" ca="1" si="7"/>
        <v>1000000</v>
      </c>
      <c r="G26" s="1027">
        <f t="shared" ca="1" si="3"/>
        <v>1</v>
      </c>
      <c r="H26" s="1043">
        <f ca="1"/>
        <v>44509</v>
      </c>
      <c r="I26" s="1006">
        <f ca="1"/>
        <v>44509</v>
      </c>
      <c r="J26" s="1006">
        <f ca="1"/>
        <v>44690</v>
      </c>
      <c r="K26" s="1016">
        <f ca="1"/>
        <v>181</v>
      </c>
      <c r="L26" s="1019">
        <f ca="1"/>
        <v>0.49589041095890402</v>
      </c>
      <c r="M26" s="1006">
        <f ca="1"/>
        <v>44690</v>
      </c>
      <c r="N26" s="1060">
        <f t="shared" ca="1" si="8"/>
        <v>0.01</v>
      </c>
      <c r="O26" s="996"/>
      <c r="P26" s="742">
        <v>8</v>
      </c>
      <c r="Q26" s="1016">
        <f t="shared" ca="1" si="9"/>
        <v>1000000</v>
      </c>
      <c r="R26" s="1027">
        <f t="shared" ca="1" si="10"/>
        <v>1</v>
      </c>
      <c r="S26" s="1006">
        <f ca="1"/>
        <v>44509</v>
      </c>
      <c r="T26" s="1006">
        <f ca="1"/>
        <v>44509</v>
      </c>
      <c r="U26" s="1006">
        <f ca="1"/>
        <v>44690</v>
      </c>
      <c r="V26" s="1016">
        <f ca="1"/>
        <v>181</v>
      </c>
      <c r="W26" s="1019">
        <f ca="1"/>
        <v>0.50277777777777799</v>
      </c>
      <c r="X26" s="1006">
        <f ca="1"/>
        <v>44690</v>
      </c>
      <c r="Y26" s="864">
        <f t="shared" ca="1" si="6"/>
        <v>0</v>
      </c>
      <c r="AA26" s="828">
        <v>8</v>
      </c>
      <c r="AB26" s="743">
        <v>1000000</v>
      </c>
      <c r="AC26" s="242">
        <v>1</v>
      </c>
      <c r="AD26" s="829">
        <v>44195</v>
      </c>
      <c r="AE26" s="836">
        <v>44195</v>
      </c>
      <c r="AF26" s="836">
        <v>44377</v>
      </c>
      <c r="AG26" s="743">
        <v>182</v>
      </c>
      <c r="AH26" s="837">
        <v>0.49863013698630099</v>
      </c>
      <c r="AI26" s="836">
        <v>44377</v>
      </c>
      <c r="AJ26" s="838">
        <v>0.01</v>
      </c>
      <c r="AK26" s="108" t="s">
        <v>12</v>
      </c>
      <c r="AL26" s="847">
        <v>8</v>
      </c>
      <c r="AM26" s="854">
        <v>1000000</v>
      </c>
      <c r="AN26" s="242">
        <v>1</v>
      </c>
      <c r="AO26" s="836">
        <v>44195</v>
      </c>
      <c r="AP26" s="836">
        <v>44195</v>
      </c>
      <c r="AQ26" s="836">
        <v>44377</v>
      </c>
      <c r="AR26" s="743">
        <v>182</v>
      </c>
      <c r="AS26" s="837">
        <v>0.50555555555555598</v>
      </c>
      <c r="AT26" s="836">
        <v>44377</v>
      </c>
      <c r="AU26" s="855">
        <v>0</v>
      </c>
      <c r="AV26" s="108" t="s">
        <v>12</v>
      </c>
    </row>
    <row r="27" spans="1:48">
      <c r="B27" s="756" t="s">
        <v>2009</v>
      </c>
      <c r="C27" s="745" t="s">
        <v>38</v>
      </c>
      <c r="D27" s="108" t="s">
        <v>12</v>
      </c>
      <c r="E27" s="742">
        <v>9</v>
      </c>
      <c r="F27" s="1016">
        <f t="shared" ca="1" si="7"/>
        <v>1000000</v>
      </c>
      <c r="G27" s="1027">
        <f t="shared" ca="1" si="3"/>
        <v>1</v>
      </c>
      <c r="H27" s="1043">
        <f ca="1"/>
        <v>44690</v>
      </c>
      <c r="I27" s="1006">
        <f ca="1"/>
        <v>44690</v>
      </c>
      <c r="J27" s="1006">
        <f ca="1"/>
        <v>44874</v>
      </c>
      <c r="K27" s="1016">
        <f ca="1"/>
        <v>184</v>
      </c>
      <c r="L27" s="1019">
        <f ca="1"/>
        <v>0.50410958904109604</v>
      </c>
      <c r="M27" s="1006">
        <f ca="1"/>
        <v>44874</v>
      </c>
      <c r="N27" s="1060">
        <f t="shared" ca="1" si="8"/>
        <v>0.01</v>
      </c>
      <c r="O27" s="996"/>
      <c r="P27" s="742">
        <v>9</v>
      </c>
      <c r="Q27" s="1016">
        <f t="shared" ca="1" si="9"/>
        <v>1000000</v>
      </c>
      <c r="R27" s="1027">
        <f t="shared" ca="1" si="10"/>
        <v>1</v>
      </c>
      <c r="S27" s="1006">
        <f ca="1"/>
        <v>44690</v>
      </c>
      <c r="T27" s="1006">
        <f ca="1"/>
        <v>44690</v>
      </c>
      <c r="U27" s="1006">
        <f ca="1"/>
        <v>44874</v>
      </c>
      <c r="V27" s="1016">
        <f ca="1"/>
        <v>184</v>
      </c>
      <c r="W27" s="1019">
        <f ca="1"/>
        <v>0.51111111111111096</v>
      </c>
      <c r="X27" s="1006">
        <f ca="1"/>
        <v>44874</v>
      </c>
      <c r="Y27" s="864">
        <f t="shared" ca="1" si="6"/>
        <v>0</v>
      </c>
      <c r="AA27" s="828">
        <v>9</v>
      </c>
      <c r="AB27" s="743">
        <v>1000000</v>
      </c>
      <c r="AC27" s="242">
        <v>1</v>
      </c>
      <c r="AD27" s="829">
        <v>44377</v>
      </c>
      <c r="AE27" s="836">
        <v>44377</v>
      </c>
      <c r="AF27" s="836">
        <v>44560</v>
      </c>
      <c r="AG27" s="743">
        <v>183</v>
      </c>
      <c r="AH27" s="837">
        <v>0.50136986301369901</v>
      </c>
      <c r="AI27" s="836">
        <v>44560</v>
      </c>
      <c r="AJ27" s="838">
        <v>0.01</v>
      </c>
      <c r="AK27" s="108" t="s">
        <v>12</v>
      </c>
      <c r="AL27" s="847">
        <v>9</v>
      </c>
      <c r="AM27" s="854">
        <v>1000000</v>
      </c>
      <c r="AN27" s="242">
        <v>1</v>
      </c>
      <c r="AO27" s="836">
        <v>44377</v>
      </c>
      <c r="AP27" s="836">
        <v>44377</v>
      </c>
      <c r="AQ27" s="836">
        <v>44560</v>
      </c>
      <c r="AR27" s="743">
        <v>183</v>
      </c>
      <c r="AS27" s="837">
        <v>0.50833333333333297</v>
      </c>
      <c r="AT27" s="836">
        <v>44560</v>
      </c>
      <c r="AU27" s="855">
        <v>0</v>
      </c>
      <c r="AV27" s="108" t="s">
        <v>12</v>
      </c>
    </row>
    <row r="28" spans="1:48">
      <c r="B28" s="756" t="s">
        <v>2008</v>
      </c>
      <c r="C28" s="745" t="s">
        <v>359</v>
      </c>
      <c r="D28" s="108" t="s">
        <v>12</v>
      </c>
      <c r="E28" s="742">
        <v>10</v>
      </c>
      <c r="F28" s="1016">
        <f t="shared" ca="1" si="7"/>
        <v>1000000</v>
      </c>
      <c r="G28" s="1027">
        <f t="shared" ca="1" si="3"/>
        <v>1</v>
      </c>
      <c r="H28" s="1043">
        <f ca="1"/>
        <v>44874</v>
      </c>
      <c r="I28" s="1006">
        <f ca="1"/>
        <v>44874</v>
      </c>
      <c r="J28" s="1006">
        <f ca="1"/>
        <v>45055</v>
      </c>
      <c r="K28" s="1016">
        <f ca="1"/>
        <v>181</v>
      </c>
      <c r="L28" s="1019">
        <f ca="1"/>
        <v>0.49589041095890402</v>
      </c>
      <c r="M28" s="1006">
        <f ca="1"/>
        <v>45055</v>
      </c>
      <c r="N28" s="1060">
        <f t="shared" ca="1" si="8"/>
        <v>0.01</v>
      </c>
      <c r="O28" s="996"/>
      <c r="P28" s="742">
        <v>10</v>
      </c>
      <c r="Q28" s="1016">
        <f t="shared" ca="1" si="9"/>
        <v>1000000</v>
      </c>
      <c r="R28" s="1027">
        <f t="shared" ca="1" si="10"/>
        <v>1</v>
      </c>
      <c r="S28" s="1006">
        <f ca="1"/>
        <v>44874</v>
      </c>
      <c r="T28" s="1006">
        <f ca="1"/>
        <v>44874</v>
      </c>
      <c r="U28" s="1006">
        <f ca="1"/>
        <v>45055</v>
      </c>
      <c r="V28" s="1016">
        <f ca="1"/>
        <v>181</v>
      </c>
      <c r="W28" s="1019">
        <f ca="1"/>
        <v>0.50277777777777799</v>
      </c>
      <c r="X28" s="1006">
        <f ca="1"/>
        <v>45055</v>
      </c>
      <c r="Y28" s="864">
        <f t="shared" ca="1" si="6"/>
        <v>0</v>
      </c>
      <c r="AA28" s="828">
        <v>10</v>
      </c>
      <c r="AB28" s="743">
        <v>1000000</v>
      </c>
      <c r="AC28" s="242">
        <v>1</v>
      </c>
      <c r="AD28" s="829">
        <v>44560</v>
      </c>
      <c r="AE28" s="836">
        <v>44560</v>
      </c>
      <c r="AF28" s="836">
        <v>44742</v>
      </c>
      <c r="AG28" s="743">
        <v>182</v>
      </c>
      <c r="AH28" s="837">
        <v>0.49863013698630099</v>
      </c>
      <c r="AI28" s="836">
        <v>44742</v>
      </c>
      <c r="AJ28" s="838">
        <v>0.01</v>
      </c>
      <c r="AK28" s="108" t="s">
        <v>12</v>
      </c>
      <c r="AL28" s="847">
        <v>10</v>
      </c>
      <c r="AM28" s="854">
        <v>1000000</v>
      </c>
      <c r="AN28" s="242">
        <v>1</v>
      </c>
      <c r="AO28" s="836">
        <v>44560</v>
      </c>
      <c r="AP28" s="836">
        <v>44560</v>
      </c>
      <c r="AQ28" s="836">
        <v>44742</v>
      </c>
      <c r="AR28" s="743">
        <v>182</v>
      </c>
      <c r="AS28" s="837">
        <v>0.50555555555555598</v>
      </c>
      <c r="AT28" s="836">
        <v>44742</v>
      </c>
      <c r="AU28" s="855">
        <v>0</v>
      </c>
      <c r="AV28" s="108" t="s">
        <v>12</v>
      </c>
    </row>
    <row r="29" spans="1:48">
      <c r="B29" s="756" t="s">
        <v>2007</v>
      </c>
      <c r="C29" s="747" t="s">
        <v>356</v>
      </c>
      <c r="D29" s="108" t="s">
        <v>12</v>
      </c>
      <c r="E29" s="742">
        <v>11</v>
      </c>
      <c r="F29" s="1016" t="str">
        <f t="shared" ca="1" si="7"/>
        <v/>
      </c>
      <c r="G29" s="1027" t="str">
        <f t="shared" ca="1" si="3"/>
        <v/>
      </c>
      <c r="H29" s="1043" t="str">
        <f ca="1"/>
        <v/>
      </c>
      <c r="I29" s="1006" t="str">
        <f ca="1"/>
        <v/>
      </c>
      <c r="J29" s="1006" t="str">
        <f ca="1"/>
        <v/>
      </c>
      <c r="K29" s="1016" t="str">
        <f ca="1"/>
        <v/>
      </c>
      <c r="L29" s="1019" t="str">
        <f ca="1"/>
        <v/>
      </c>
      <c r="M29" s="1006" t="str">
        <f ca="1"/>
        <v/>
      </c>
      <c r="N29" s="1060" t="str">
        <f t="shared" ca="1" si="8"/>
        <v/>
      </c>
      <c r="O29" s="996"/>
      <c r="P29" s="742">
        <v>11</v>
      </c>
      <c r="Q29" s="1016" t="str">
        <f t="shared" ca="1" si="9"/>
        <v/>
      </c>
      <c r="R29" s="1027" t="str">
        <f t="shared" ca="1" si="10"/>
        <v/>
      </c>
      <c r="S29" s="1006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9" t="str">
        <f ca="1"/>
        <v/>
      </c>
      <c r="X29" s="1006" t="str">
        <f ca="1"/>
        <v/>
      </c>
      <c r="Y29" s="864" t="str">
        <f t="shared" ca="1" si="6"/>
        <v/>
      </c>
      <c r="AA29" s="828">
        <v>11</v>
      </c>
      <c r="AB29" s="743"/>
      <c r="AC29" s="242"/>
      <c r="AD29" s="829"/>
      <c r="AE29" s="836"/>
      <c r="AF29" s="836"/>
      <c r="AG29" s="743"/>
      <c r="AH29" s="837"/>
      <c r="AI29" s="836"/>
      <c r="AJ29" s="838"/>
      <c r="AK29" s="108" t="s">
        <v>12</v>
      </c>
      <c r="AL29" s="847">
        <v>11</v>
      </c>
      <c r="AM29" s="854"/>
      <c r="AN29" s="242"/>
      <c r="AO29" s="836"/>
      <c r="AP29" s="836"/>
      <c r="AQ29" s="836"/>
      <c r="AR29" s="743"/>
      <c r="AS29" s="837"/>
      <c r="AT29" s="836"/>
      <c r="AU29" s="855"/>
      <c r="AV29" s="108" t="s">
        <v>12</v>
      </c>
    </row>
    <row r="30" spans="1:48">
      <c r="B30" s="756" t="s">
        <v>2012</v>
      </c>
      <c r="C30" s="748" t="s">
        <v>38</v>
      </c>
      <c r="D30" s="108" t="s">
        <v>12</v>
      </c>
      <c r="E30" s="742">
        <v>12</v>
      </c>
      <c r="F30" s="1016" t="str">
        <f t="shared" ca="1" si="7"/>
        <v/>
      </c>
      <c r="G30" s="1027" t="str">
        <f t="shared" ca="1" si="3"/>
        <v/>
      </c>
      <c r="H30" s="1043" t="str">
        <f ca="1"/>
        <v/>
      </c>
      <c r="I30" s="1006" t="str">
        <f ca="1"/>
        <v/>
      </c>
      <c r="J30" s="1006" t="str">
        <f ca="1"/>
        <v/>
      </c>
      <c r="K30" s="1016" t="str">
        <f ca="1"/>
        <v/>
      </c>
      <c r="L30" s="1019" t="str">
        <f ca="1"/>
        <v/>
      </c>
      <c r="M30" s="1006" t="str">
        <f ca="1"/>
        <v/>
      </c>
      <c r="N30" s="1060" t="str">
        <f t="shared" ca="1" si="8"/>
        <v/>
      </c>
      <c r="O30" s="996"/>
      <c r="P30" s="742">
        <v>12</v>
      </c>
      <c r="Q30" s="1016" t="str">
        <f t="shared" ca="1" si="9"/>
        <v/>
      </c>
      <c r="R30" s="1027" t="str">
        <f t="shared" ca="1" si="10"/>
        <v/>
      </c>
      <c r="S30" s="1006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9" t="str">
        <f ca="1"/>
        <v/>
      </c>
      <c r="X30" s="1006" t="str">
        <f ca="1"/>
        <v/>
      </c>
      <c r="Y30" s="864" t="str">
        <f t="shared" ca="1" si="6"/>
        <v/>
      </c>
      <c r="AA30" s="828">
        <v>12</v>
      </c>
      <c r="AB30" s="743"/>
      <c r="AC30" s="242"/>
      <c r="AD30" s="829"/>
      <c r="AE30" s="836"/>
      <c r="AF30" s="836"/>
      <c r="AG30" s="743"/>
      <c r="AH30" s="837"/>
      <c r="AI30" s="836"/>
      <c r="AJ30" s="838"/>
      <c r="AK30" s="108" t="s">
        <v>12</v>
      </c>
      <c r="AL30" s="847">
        <v>12</v>
      </c>
      <c r="AM30" s="854"/>
      <c r="AN30" s="242"/>
      <c r="AO30" s="836"/>
      <c r="AP30" s="836"/>
      <c r="AQ30" s="836"/>
      <c r="AR30" s="743"/>
      <c r="AS30" s="837"/>
      <c r="AT30" s="836"/>
      <c r="AU30" s="855"/>
      <c r="AV30" s="108" t="s">
        <v>12</v>
      </c>
    </row>
    <row r="31" spans="1:48">
      <c r="B31" s="756" t="s">
        <v>2011</v>
      </c>
      <c r="C31" s="745" t="s">
        <v>359</v>
      </c>
      <c r="D31" s="108" t="s">
        <v>12</v>
      </c>
      <c r="E31" s="742">
        <v>13</v>
      </c>
      <c r="F31" s="1016" t="str">
        <f t="shared" ca="1" si="7"/>
        <v/>
      </c>
      <c r="G31" s="1027" t="str">
        <f t="shared" ca="1" si="3"/>
        <v/>
      </c>
      <c r="H31" s="1043" t="str">
        <f ca="1"/>
        <v/>
      </c>
      <c r="I31" s="1006" t="str">
        <f ca="1"/>
        <v/>
      </c>
      <c r="J31" s="1006" t="str">
        <f ca="1"/>
        <v/>
      </c>
      <c r="K31" s="1016" t="str">
        <f ca="1"/>
        <v/>
      </c>
      <c r="L31" s="1019" t="str">
        <f ca="1"/>
        <v/>
      </c>
      <c r="M31" s="1006" t="str">
        <f ca="1"/>
        <v/>
      </c>
      <c r="N31" s="1060" t="str">
        <f t="shared" ca="1" si="8"/>
        <v/>
      </c>
      <c r="O31" s="996"/>
      <c r="P31" s="742">
        <v>13</v>
      </c>
      <c r="Q31" s="1016" t="str">
        <f t="shared" ca="1" si="9"/>
        <v/>
      </c>
      <c r="R31" s="1027" t="str">
        <f t="shared" ca="1" si="10"/>
        <v/>
      </c>
      <c r="S31" s="1006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9" t="str">
        <f ca="1"/>
        <v/>
      </c>
      <c r="X31" s="1006" t="str">
        <f ca="1"/>
        <v/>
      </c>
      <c r="Y31" s="864" t="str">
        <f t="shared" ca="1" si="6"/>
        <v/>
      </c>
      <c r="AA31" s="828">
        <v>13</v>
      </c>
      <c r="AB31" s="743"/>
      <c r="AC31" s="242"/>
      <c r="AD31" s="829"/>
      <c r="AE31" s="836"/>
      <c r="AF31" s="836"/>
      <c r="AG31" s="743"/>
      <c r="AH31" s="837"/>
      <c r="AI31" s="836"/>
      <c r="AJ31" s="838"/>
      <c r="AK31" s="108" t="s">
        <v>12</v>
      </c>
      <c r="AL31" s="847">
        <v>13</v>
      </c>
      <c r="AM31" s="854"/>
      <c r="AN31" s="242"/>
      <c r="AO31" s="836"/>
      <c r="AP31" s="836"/>
      <c r="AQ31" s="836"/>
      <c r="AR31" s="743"/>
      <c r="AS31" s="837"/>
      <c r="AT31" s="836"/>
      <c r="AU31" s="855"/>
      <c r="AV31" s="108" t="s">
        <v>12</v>
      </c>
    </row>
    <row r="32" spans="1:48">
      <c r="B32" s="756" t="s">
        <v>2010</v>
      </c>
      <c r="C32" s="749" t="s">
        <v>356</v>
      </c>
      <c r="D32" s="108" t="s">
        <v>12</v>
      </c>
      <c r="E32" s="742">
        <v>14</v>
      </c>
      <c r="F32" s="1016" t="str">
        <f t="shared" ca="1" si="7"/>
        <v/>
      </c>
      <c r="G32" s="1027" t="str">
        <f t="shared" ca="1" si="3"/>
        <v/>
      </c>
      <c r="H32" s="1043" t="str">
        <f ca="1"/>
        <v/>
      </c>
      <c r="I32" s="1006" t="str">
        <f ca="1"/>
        <v/>
      </c>
      <c r="J32" s="1006" t="str">
        <f ca="1"/>
        <v/>
      </c>
      <c r="K32" s="1016" t="str">
        <f ca="1"/>
        <v/>
      </c>
      <c r="L32" s="1019" t="str">
        <f ca="1"/>
        <v/>
      </c>
      <c r="M32" s="1006" t="str">
        <f ca="1"/>
        <v/>
      </c>
      <c r="N32" s="1060" t="str">
        <f t="shared" ca="1" si="8"/>
        <v/>
      </c>
      <c r="O32" s="996"/>
      <c r="P32" s="742">
        <v>14</v>
      </c>
      <c r="Q32" s="1016" t="str">
        <f t="shared" ca="1" si="9"/>
        <v/>
      </c>
      <c r="R32" s="1027" t="str">
        <f t="shared" ca="1" si="10"/>
        <v/>
      </c>
      <c r="S32" s="1006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9" t="str">
        <f ca="1"/>
        <v/>
      </c>
      <c r="X32" s="1006" t="str">
        <f ca="1"/>
        <v/>
      </c>
      <c r="Y32" s="864" t="str">
        <f t="shared" ca="1" si="6"/>
        <v/>
      </c>
      <c r="AA32" s="828">
        <v>14</v>
      </c>
      <c r="AB32" s="743"/>
      <c r="AC32" s="242"/>
      <c r="AD32" s="829"/>
      <c r="AE32" s="836"/>
      <c r="AF32" s="836"/>
      <c r="AG32" s="743"/>
      <c r="AH32" s="837"/>
      <c r="AI32" s="836"/>
      <c r="AJ32" s="838"/>
      <c r="AK32" s="108" t="s">
        <v>12</v>
      </c>
      <c r="AL32" s="847">
        <v>14</v>
      </c>
      <c r="AM32" s="854"/>
      <c r="AN32" s="242"/>
      <c r="AO32" s="836"/>
      <c r="AP32" s="836"/>
      <c r="AQ32" s="836"/>
      <c r="AR32" s="743"/>
      <c r="AS32" s="837"/>
      <c r="AT32" s="836"/>
      <c r="AU32" s="855"/>
      <c r="AV32" s="108" t="s">
        <v>12</v>
      </c>
    </row>
    <row r="33" spans="2:48">
      <c r="B33" s="756" t="s">
        <v>2048</v>
      </c>
      <c r="C33" s="746" t="s">
        <v>2049</v>
      </c>
      <c r="D33" s="108" t="s">
        <v>12</v>
      </c>
      <c r="E33" s="742">
        <v>15</v>
      </c>
      <c r="F33" s="1016" t="str">
        <f t="shared" ca="1" si="7"/>
        <v/>
      </c>
      <c r="G33" s="1027" t="str">
        <f t="shared" ca="1" si="3"/>
        <v/>
      </c>
      <c r="H33" s="1043" t="str">
        <f ca="1"/>
        <v/>
      </c>
      <c r="I33" s="1006" t="str">
        <f ca="1"/>
        <v/>
      </c>
      <c r="J33" s="1006" t="str">
        <f ca="1"/>
        <v/>
      </c>
      <c r="K33" s="1016" t="str">
        <f ca="1"/>
        <v/>
      </c>
      <c r="L33" s="1019" t="str">
        <f ca="1"/>
        <v/>
      </c>
      <c r="M33" s="1006" t="str">
        <f ca="1"/>
        <v/>
      </c>
      <c r="N33" s="1060" t="str">
        <f t="shared" ca="1" si="8"/>
        <v/>
      </c>
      <c r="O33" s="996"/>
      <c r="P33" s="742">
        <v>15</v>
      </c>
      <c r="Q33" s="1016" t="str">
        <f t="shared" ca="1" si="9"/>
        <v/>
      </c>
      <c r="R33" s="1027" t="str">
        <f t="shared" ca="1" si="10"/>
        <v/>
      </c>
      <c r="S33" s="1006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9" t="str">
        <f ca="1"/>
        <v/>
      </c>
      <c r="X33" s="1006" t="str">
        <f ca="1"/>
        <v/>
      </c>
      <c r="Y33" s="864" t="str">
        <f t="shared" ca="1" si="6"/>
        <v/>
      </c>
      <c r="AA33" s="828">
        <v>15</v>
      </c>
      <c r="AB33" s="743"/>
      <c r="AC33" s="242"/>
      <c r="AD33" s="829"/>
      <c r="AE33" s="836"/>
      <c r="AF33" s="836"/>
      <c r="AG33" s="743"/>
      <c r="AH33" s="837"/>
      <c r="AI33" s="836"/>
      <c r="AJ33" s="838"/>
      <c r="AK33" s="108" t="s">
        <v>12</v>
      </c>
      <c r="AL33" s="847">
        <v>15</v>
      </c>
      <c r="AM33" s="854"/>
      <c r="AN33" s="242"/>
      <c r="AO33" s="836"/>
      <c r="AP33" s="836"/>
      <c r="AQ33" s="836"/>
      <c r="AR33" s="743"/>
      <c r="AS33" s="837"/>
      <c r="AT33" s="836"/>
      <c r="AU33" s="855"/>
      <c r="AV33" s="108" t="s">
        <v>12</v>
      </c>
    </row>
    <row r="34" spans="2:48">
      <c r="B34" s="756" t="s">
        <v>2005</v>
      </c>
      <c r="C34" s="757"/>
      <c r="D34" s="108" t="s">
        <v>12</v>
      </c>
      <c r="E34" s="742">
        <v>16</v>
      </c>
      <c r="F34" s="1016" t="str">
        <f t="shared" ca="1" si="7"/>
        <v/>
      </c>
      <c r="G34" s="1027" t="str">
        <f t="shared" ca="1" si="3"/>
        <v/>
      </c>
      <c r="H34" s="1043" t="str">
        <f ca="1"/>
        <v/>
      </c>
      <c r="I34" s="1006" t="str">
        <f ca="1"/>
        <v/>
      </c>
      <c r="J34" s="1006" t="str">
        <f ca="1"/>
        <v/>
      </c>
      <c r="K34" s="1016" t="str">
        <f ca="1"/>
        <v/>
      </c>
      <c r="L34" s="1019" t="str">
        <f ca="1"/>
        <v/>
      </c>
      <c r="M34" s="1006" t="str">
        <f ca="1"/>
        <v/>
      </c>
      <c r="N34" s="1060" t="str">
        <f t="shared" ca="1" si="8"/>
        <v/>
      </c>
      <c r="O34" s="996"/>
      <c r="P34" s="742">
        <v>16</v>
      </c>
      <c r="Q34" s="1016" t="str">
        <f t="shared" ca="1" si="9"/>
        <v/>
      </c>
      <c r="R34" s="1027" t="str">
        <f t="shared" ca="1" si="10"/>
        <v/>
      </c>
      <c r="S34" s="1006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9" t="str">
        <f ca="1"/>
        <v/>
      </c>
      <c r="X34" s="1006" t="str">
        <f ca="1"/>
        <v/>
      </c>
      <c r="Y34" s="864" t="str">
        <f t="shared" ca="1" si="6"/>
        <v/>
      </c>
      <c r="AA34" s="828">
        <v>16</v>
      </c>
      <c r="AB34" s="743"/>
      <c r="AC34" s="242"/>
      <c r="AD34" s="829"/>
      <c r="AE34" s="836"/>
      <c r="AF34" s="836"/>
      <c r="AG34" s="743"/>
      <c r="AH34" s="837"/>
      <c r="AI34" s="836"/>
      <c r="AJ34" s="838"/>
      <c r="AK34" s="108" t="s">
        <v>12</v>
      </c>
      <c r="AL34" s="847">
        <v>16</v>
      </c>
      <c r="AM34" s="854"/>
      <c r="AN34" s="242"/>
      <c r="AO34" s="836"/>
      <c r="AP34" s="836"/>
      <c r="AQ34" s="836"/>
      <c r="AR34" s="743"/>
      <c r="AS34" s="837"/>
      <c r="AT34" s="836"/>
      <c r="AU34" s="855"/>
      <c r="AV34" s="108" t="s">
        <v>12</v>
      </c>
    </row>
    <row r="35" spans="2:48">
      <c r="B35" s="756" t="s">
        <v>2004</v>
      </c>
      <c r="C35" s="757"/>
      <c r="D35" s="108" t="s">
        <v>12</v>
      </c>
      <c r="E35" s="742">
        <v>17</v>
      </c>
      <c r="F35" s="1016" t="str">
        <f t="shared" ca="1" si="7"/>
        <v/>
      </c>
      <c r="G35" s="1027" t="str">
        <f t="shared" ca="1" si="3"/>
        <v/>
      </c>
      <c r="H35" s="1043" t="str">
        <f ca="1"/>
        <v/>
      </c>
      <c r="I35" s="1006" t="str">
        <f ca="1"/>
        <v/>
      </c>
      <c r="J35" s="1006" t="str">
        <f ca="1"/>
        <v/>
      </c>
      <c r="K35" s="1016" t="str">
        <f ca="1"/>
        <v/>
      </c>
      <c r="L35" s="1019" t="str">
        <f ca="1"/>
        <v/>
      </c>
      <c r="M35" s="1006" t="str">
        <f ca="1"/>
        <v/>
      </c>
      <c r="N35" s="1060" t="str">
        <f t="shared" ca="1" si="8"/>
        <v/>
      </c>
      <c r="O35" s="996"/>
      <c r="P35" s="742">
        <v>17</v>
      </c>
      <c r="Q35" s="1016" t="str">
        <f t="shared" ca="1" si="9"/>
        <v/>
      </c>
      <c r="R35" s="1027" t="str">
        <f t="shared" ca="1" si="10"/>
        <v/>
      </c>
      <c r="S35" s="1006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9" t="str">
        <f ca="1"/>
        <v/>
      </c>
      <c r="X35" s="1006" t="str">
        <f ca="1"/>
        <v/>
      </c>
      <c r="Y35" s="864" t="str">
        <f t="shared" ca="1" si="6"/>
        <v/>
      </c>
      <c r="AA35" s="828">
        <v>17</v>
      </c>
      <c r="AB35" s="743"/>
      <c r="AC35" s="242"/>
      <c r="AD35" s="829"/>
      <c r="AE35" s="836"/>
      <c r="AF35" s="836"/>
      <c r="AG35" s="743"/>
      <c r="AH35" s="837"/>
      <c r="AI35" s="836"/>
      <c r="AJ35" s="838"/>
      <c r="AK35" s="108" t="s">
        <v>12</v>
      </c>
      <c r="AL35" s="847">
        <v>17</v>
      </c>
      <c r="AM35" s="854"/>
      <c r="AN35" s="242"/>
      <c r="AO35" s="836"/>
      <c r="AP35" s="836"/>
      <c r="AQ35" s="836"/>
      <c r="AR35" s="743"/>
      <c r="AS35" s="837"/>
      <c r="AT35" s="836"/>
      <c r="AU35" s="855"/>
      <c r="AV35" s="108" t="s">
        <v>12</v>
      </c>
    </row>
    <row r="36" spans="2:48">
      <c r="B36" s="758" t="s">
        <v>2006</v>
      </c>
      <c r="C36" s="785"/>
      <c r="D36" s="108" t="s">
        <v>12</v>
      </c>
      <c r="E36" s="742">
        <v>18</v>
      </c>
      <c r="F36" s="1016" t="str">
        <f t="shared" ca="1" si="7"/>
        <v/>
      </c>
      <c r="G36" s="1027" t="str">
        <f t="shared" ca="1" si="3"/>
        <v/>
      </c>
      <c r="H36" s="1043" t="str">
        <f ca="1"/>
        <v/>
      </c>
      <c r="I36" s="1006" t="str">
        <f ca="1"/>
        <v/>
      </c>
      <c r="J36" s="1006" t="str">
        <f ca="1"/>
        <v/>
      </c>
      <c r="K36" s="1016" t="str">
        <f ca="1"/>
        <v/>
      </c>
      <c r="L36" s="1019" t="str">
        <f ca="1"/>
        <v/>
      </c>
      <c r="M36" s="1006" t="str">
        <f ca="1"/>
        <v/>
      </c>
      <c r="N36" s="1060" t="str">
        <f t="shared" ca="1" si="8"/>
        <v/>
      </c>
      <c r="O36" s="996"/>
      <c r="P36" s="742">
        <v>18</v>
      </c>
      <c r="Q36" s="1016" t="str">
        <f t="shared" ca="1" si="9"/>
        <v/>
      </c>
      <c r="R36" s="1027" t="str">
        <f t="shared" ca="1" si="10"/>
        <v/>
      </c>
      <c r="S36" s="1006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9" t="str">
        <f ca="1"/>
        <v/>
      </c>
      <c r="X36" s="1006" t="str">
        <f ca="1"/>
        <v/>
      </c>
      <c r="Y36" s="864" t="str">
        <f t="shared" ca="1" si="6"/>
        <v/>
      </c>
      <c r="AA36" s="828">
        <v>18</v>
      </c>
      <c r="AB36" s="743"/>
      <c r="AC36" s="242"/>
      <c r="AD36" s="830"/>
      <c r="AE36" s="839"/>
      <c r="AF36" s="839"/>
      <c r="AG36" s="750"/>
      <c r="AH36" s="840"/>
      <c r="AI36" s="839"/>
      <c r="AJ36" s="841"/>
      <c r="AK36" s="108" t="s">
        <v>12</v>
      </c>
      <c r="AL36" s="847">
        <v>18</v>
      </c>
      <c r="AM36" s="854"/>
      <c r="AN36" s="242"/>
      <c r="AO36" s="839"/>
      <c r="AP36" s="839"/>
      <c r="AQ36" s="839"/>
      <c r="AR36" s="750"/>
      <c r="AS36" s="840"/>
      <c r="AT36" s="839"/>
      <c r="AU36" s="856"/>
      <c r="AV36" s="108" t="s">
        <v>12</v>
      </c>
    </row>
    <row r="37" spans="2:48">
      <c r="B37" s="759" t="s">
        <v>2001</v>
      </c>
      <c r="C37" s="786" t="s">
        <v>358</v>
      </c>
      <c r="D37" s="108" t="s">
        <v>12</v>
      </c>
      <c r="E37" s="742">
        <v>19</v>
      </c>
      <c r="F37" s="1016" t="str">
        <f t="shared" ca="1" si="7"/>
        <v/>
      </c>
      <c r="G37" s="1027" t="str">
        <f t="shared" ca="1" si="3"/>
        <v/>
      </c>
      <c r="H37" s="1043" t="str">
        <f ca="1"/>
        <v/>
      </c>
      <c r="I37" s="1006" t="str">
        <f ca="1"/>
        <v/>
      </c>
      <c r="J37" s="1006" t="str">
        <f ca="1"/>
        <v/>
      </c>
      <c r="K37" s="1016" t="str">
        <f ca="1"/>
        <v/>
      </c>
      <c r="L37" s="1019" t="str">
        <f ca="1"/>
        <v/>
      </c>
      <c r="M37" s="1006" t="str">
        <f ca="1"/>
        <v/>
      </c>
      <c r="N37" s="1060" t="str">
        <f t="shared" ca="1" si="8"/>
        <v/>
      </c>
      <c r="O37" s="996"/>
      <c r="P37" s="742">
        <v>19</v>
      </c>
      <c r="Q37" s="1016" t="str">
        <f t="shared" ca="1" si="9"/>
        <v/>
      </c>
      <c r="R37" s="1027" t="str">
        <f t="shared" ca="1" si="10"/>
        <v/>
      </c>
      <c r="S37" s="1006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9" t="str">
        <f ca="1"/>
        <v/>
      </c>
      <c r="X37" s="1006" t="str">
        <f ca="1"/>
        <v/>
      </c>
      <c r="Y37" s="864" t="str">
        <f t="shared" ca="1" si="6"/>
        <v/>
      </c>
      <c r="AA37" s="828">
        <v>19</v>
      </c>
      <c r="AB37" s="743"/>
      <c r="AC37" s="242"/>
      <c r="AD37" s="830"/>
      <c r="AE37" s="839"/>
      <c r="AF37" s="839"/>
      <c r="AG37" s="750"/>
      <c r="AH37" s="840"/>
      <c r="AI37" s="839"/>
      <c r="AJ37" s="841"/>
      <c r="AK37" s="108" t="s">
        <v>12</v>
      </c>
      <c r="AL37" s="847">
        <v>19</v>
      </c>
      <c r="AM37" s="854"/>
      <c r="AN37" s="242"/>
      <c r="AO37" s="839"/>
      <c r="AP37" s="839"/>
      <c r="AQ37" s="839"/>
      <c r="AR37" s="750"/>
      <c r="AS37" s="840"/>
      <c r="AT37" s="839"/>
      <c r="AU37" s="856"/>
      <c r="AV37" s="108" t="s">
        <v>12</v>
      </c>
    </row>
    <row r="38" spans="2:48">
      <c r="D38" s="108" t="s">
        <v>12</v>
      </c>
      <c r="E38" s="742">
        <v>20</v>
      </c>
      <c r="F38" s="1016" t="str">
        <f t="shared" ca="1" si="7"/>
        <v/>
      </c>
      <c r="G38" s="1027" t="str">
        <f t="shared" ca="1" si="3"/>
        <v/>
      </c>
      <c r="H38" s="1043" t="str">
        <f ca="1"/>
        <v/>
      </c>
      <c r="I38" s="1006" t="str">
        <f ca="1"/>
        <v/>
      </c>
      <c r="J38" s="1006" t="str">
        <f ca="1"/>
        <v/>
      </c>
      <c r="K38" s="1016" t="str">
        <f ca="1"/>
        <v/>
      </c>
      <c r="L38" s="1019" t="str">
        <f ca="1"/>
        <v/>
      </c>
      <c r="M38" s="1006" t="str">
        <f ca="1"/>
        <v/>
      </c>
      <c r="N38" s="1060" t="str">
        <f t="shared" ca="1" si="8"/>
        <v/>
      </c>
      <c r="O38" s="996"/>
      <c r="P38" s="742">
        <v>20</v>
      </c>
      <c r="Q38" s="1016" t="str">
        <f t="shared" ca="1" si="9"/>
        <v/>
      </c>
      <c r="R38" s="1027" t="str">
        <f t="shared" ca="1" si="10"/>
        <v/>
      </c>
      <c r="S38" s="1006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9" t="str">
        <f ca="1"/>
        <v/>
      </c>
      <c r="X38" s="1006" t="str">
        <f ca="1"/>
        <v/>
      </c>
      <c r="Y38" s="864" t="str">
        <f t="shared" ca="1" si="6"/>
        <v/>
      </c>
      <c r="AA38" s="828">
        <v>20</v>
      </c>
      <c r="AB38" s="743"/>
      <c r="AC38" s="242"/>
      <c r="AD38" s="830"/>
      <c r="AE38" s="839"/>
      <c r="AF38" s="839"/>
      <c r="AG38" s="750"/>
      <c r="AH38" s="840"/>
      <c r="AI38" s="839"/>
      <c r="AJ38" s="841"/>
      <c r="AK38" s="108" t="s">
        <v>12</v>
      </c>
      <c r="AL38" s="847">
        <v>20</v>
      </c>
      <c r="AM38" s="854"/>
      <c r="AN38" s="242"/>
      <c r="AO38" s="839"/>
      <c r="AP38" s="839"/>
      <c r="AQ38" s="839"/>
      <c r="AR38" s="750"/>
      <c r="AS38" s="840"/>
      <c r="AT38" s="839"/>
      <c r="AU38" s="856"/>
      <c r="AV38" s="108" t="s">
        <v>12</v>
      </c>
    </row>
    <row r="39" spans="2:48">
      <c r="B39" s="234" t="s">
        <v>2050</v>
      </c>
      <c r="D39" s="108" t="s">
        <v>12</v>
      </c>
      <c r="E39" s="742">
        <v>21</v>
      </c>
      <c r="F39" s="1016" t="str">
        <f t="shared" ca="1" si="7"/>
        <v/>
      </c>
      <c r="G39" s="1027" t="str">
        <f t="shared" ca="1" si="3"/>
        <v/>
      </c>
      <c r="H39" s="1043" t="str">
        <f ca="1"/>
        <v/>
      </c>
      <c r="I39" s="1006" t="str">
        <f ca="1"/>
        <v/>
      </c>
      <c r="J39" s="1006" t="str">
        <f ca="1"/>
        <v/>
      </c>
      <c r="K39" s="1016" t="str">
        <f ca="1"/>
        <v/>
      </c>
      <c r="L39" s="1019" t="str">
        <f ca="1"/>
        <v/>
      </c>
      <c r="M39" s="1006" t="str">
        <f ca="1"/>
        <v/>
      </c>
      <c r="N39" s="1060" t="str">
        <f t="shared" ca="1" si="8"/>
        <v/>
      </c>
      <c r="O39" s="996"/>
      <c r="P39" s="742">
        <v>21</v>
      </c>
      <c r="Q39" s="1016" t="str">
        <f t="shared" ca="1" si="9"/>
        <v/>
      </c>
      <c r="R39" s="1027" t="str">
        <f t="shared" ca="1" si="10"/>
        <v/>
      </c>
      <c r="S39" s="1006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9" t="str">
        <f ca="1"/>
        <v/>
      </c>
      <c r="X39" s="1006" t="str">
        <f ca="1"/>
        <v/>
      </c>
      <c r="Y39" s="864" t="str">
        <f t="shared" ca="1" si="6"/>
        <v/>
      </c>
      <c r="AA39" s="828">
        <v>21</v>
      </c>
      <c r="AB39" s="743"/>
      <c r="AC39" s="242"/>
      <c r="AD39" s="830"/>
      <c r="AE39" s="839"/>
      <c r="AF39" s="839"/>
      <c r="AG39" s="750"/>
      <c r="AH39" s="840"/>
      <c r="AI39" s="839"/>
      <c r="AJ39" s="841"/>
      <c r="AK39" s="108" t="s">
        <v>12</v>
      </c>
      <c r="AL39" s="847">
        <v>21</v>
      </c>
      <c r="AM39" s="854"/>
      <c r="AN39" s="242"/>
      <c r="AO39" s="839"/>
      <c r="AP39" s="839"/>
      <c r="AQ39" s="839"/>
      <c r="AR39" s="750"/>
      <c r="AS39" s="840"/>
      <c r="AT39" s="839"/>
      <c r="AU39" s="856"/>
      <c r="AV39" s="108" t="s">
        <v>12</v>
      </c>
    </row>
    <row r="40" spans="2:48">
      <c r="B40" s="755" t="s">
        <v>1768</v>
      </c>
      <c r="C40" s="783">
        <f ca="1">_xll.meDateFromTenor(AsOfDate,EffectiveLag,C47,C48)</f>
        <v>43229</v>
      </c>
      <c r="D40" s="108" t="s">
        <v>12</v>
      </c>
      <c r="E40" s="742">
        <v>22</v>
      </c>
      <c r="F40" s="1016" t="str">
        <f t="shared" ca="1" si="7"/>
        <v/>
      </c>
      <c r="G40" s="1027" t="str">
        <f t="shared" ca="1" si="3"/>
        <v/>
      </c>
      <c r="H40" s="1043" t="str">
        <f ca="1"/>
        <v/>
      </c>
      <c r="I40" s="1006" t="str">
        <f ca="1"/>
        <v/>
      </c>
      <c r="J40" s="1006" t="str">
        <f ca="1"/>
        <v/>
      </c>
      <c r="K40" s="1016" t="str">
        <f ca="1"/>
        <v/>
      </c>
      <c r="L40" s="1019" t="str">
        <f ca="1"/>
        <v/>
      </c>
      <c r="M40" s="1006" t="str">
        <f ca="1"/>
        <v/>
      </c>
      <c r="N40" s="1060" t="str">
        <f t="shared" ca="1" si="8"/>
        <v/>
      </c>
      <c r="O40" s="996"/>
      <c r="P40" s="742">
        <v>22</v>
      </c>
      <c r="Q40" s="1016" t="str">
        <f t="shared" ca="1" si="9"/>
        <v/>
      </c>
      <c r="R40" s="1027" t="str">
        <f t="shared" ca="1" si="10"/>
        <v/>
      </c>
      <c r="S40" s="1006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9" t="str">
        <f ca="1"/>
        <v/>
      </c>
      <c r="X40" s="1006" t="str">
        <f ca="1"/>
        <v/>
      </c>
      <c r="Y40" s="864" t="str">
        <f t="shared" ca="1" si="6"/>
        <v/>
      </c>
      <c r="AA40" s="828">
        <v>22</v>
      </c>
      <c r="AB40" s="743"/>
      <c r="AC40" s="242"/>
      <c r="AD40" s="830"/>
      <c r="AE40" s="839"/>
      <c r="AF40" s="839"/>
      <c r="AG40" s="750"/>
      <c r="AH40" s="840"/>
      <c r="AI40" s="839"/>
      <c r="AJ40" s="841"/>
      <c r="AK40" s="108" t="s">
        <v>12</v>
      </c>
      <c r="AL40" s="847">
        <v>22</v>
      </c>
      <c r="AM40" s="854"/>
      <c r="AN40" s="242"/>
      <c r="AO40" s="839"/>
      <c r="AP40" s="839"/>
      <c r="AQ40" s="839"/>
      <c r="AR40" s="750"/>
      <c r="AS40" s="840"/>
      <c r="AT40" s="839"/>
      <c r="AU40" s="856"/>
      <c r="AV40" s="108" t="s">
        <v>12</v>
      </c>
    </row>
    <row r="41" spans="2:48">
      <c r="B41" s="756" t="s">
        <v>1769</v>
      </c>
      <c r="C41" s="784" t="str">
        <f>MaturityDate</f>
        <v>5Y</v>
      </c>
      <c r="D41" s="108" t="s">
        <v>12</v>
      </c>
      <c r="E41" s="742">
        <v>23</v>
      </c>
      <c r="F41" s="1016" t="str">
        <f t="shared" ca="1" si="7"/>
        <v/>
      </c>
      <c r="G41" s="1027" t="str">
        <f t="shared" ca="1" si="3"/>
        <v/>
      </c>
      <c r="H41" s="1043" t="str">
        <f ca="1"/>
        <v/>
      </c>
      <c r="I41" s="1006" t="str">
        <f ca="1"/>
        <v/>
      </c>
      <c r="J41" s="1006" t="str">
        <f ca="1"/>
        <v/>
      </c>
      <c r="K41" s="1016" t="str">
        <f ca="1"/>
        <v/>
      </c>
      <c r="L41" s="1019" t="str">
        <f ca="1"/>
        <v/>
      </c>
      <c r="M41" s="1006" t="str">
        <f ca="1"/>
        <v/>
      </c>
      <c r="N41" s="1060" t="str">
        <f t="shared" ca="1" si="8"/>
        <v/>
      </c>
      <c r="O41" s="996"/>
      <c r="P41" s="742">
        <v>23</v>
      </c>
      <c r="Q41" s="1016" t="str">
        <f t="shared" ca="1" si="9"/>
        <v/>
      </c>
      <c r="R41" s="1027" t="str">
        <f t="shared" ca="1" si="10"/>
        <v/>
      </c>
      <c r="S41" s="1006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9" t="str">
        <f ca="1"/>
        <v/>
      </c>
      <c r="X41" s="1006" t="str">
        <f ca="1"/>
        <v/>
      </c>
      <c r="Y41" s="864" t="str">
        <f t="shared" ca="1" si="6"/>
        <v/>
      </c>
      <c r="AA41" s="828">
        <v>23</v>
      </c>
      <c r="AB41" s="743"/>
      <c r="AC41" s="242"/>
      <c r="AD41" s="830"/>
      <c r="AE41" s="839"/>
      <c r="AF41" s="839"/>
      <c r="AG41" s="750"/>
      <c r="AH41" s="840"/>
      <c r="AI41" s="839"/>
      <c r="AJ41" s="841"/>
      <c r="AK41" s="108" t="s">
        <v>12</v>
      </c>
      <c r="AL41" s="847">
        <v>23</v>
      </c>
      <c r="AM41" s="854"/>
      <c r="AN41" s="242"/>
      <c r="AO41" s="839"/>
      <c r="AP41" s="839"/>
      <c r="AQ41" s="839"/>
      <c r="AR41" s="750"/>
      <c r="AS41" s="840"/>
      <c r="AT41" s="839"/>
      <c r="AU41" s="856"/>
      <c r="AV41" s="108" t="s">
        <v>12</v>
      </c>
    </row>
    <row r="42" spans="2:48">
      <c r="B42" s="756" t="s">
        <v>2045</v>
      </c>
      <c r="C42" s="744" t="s">
        <v>3</v>
      </c>
      <c r="D42" s="108" t="s">
        <v>12</v>
      </c>
      <c r="E42" s="742">
        <v>24</v>
      </c>
      <c r="F42" s="1016" t="str">
        <f t="shared" ca="1" si="7"/>
        <v/>
      </c>
      <c r="G42" s="1027" t="str">
        <f t="shared" ca="1" si="3"/>
        <v/>
      </c>
      <c r="H42" s="1043" t="str">
        <f ca="1"/>
        <v/>
      </c>
      <c r="I42" s="1006" t="str">
        <f ca="1"/>
        <v/>
      </c>
      <c r="J42" s="1006" t="str">
        <f ca="1"/>
        <v/>
      </c>
      <c r="K42" s="1016" t="str">
        <f ca="1"/>
        <v/>
      </c>
      <c r="L42" s="1019" t="str">
        <f ca="1"/>
        <v/>
      </c>
      <c r="M42" s="1006" t="str">
        <f ca="1"/>
        <v/>
      </c>
      <c r="N42" s="1060" t="str">
        <f t="shared" ca="1" si="8"/>
        <v/>
      </c>
      <c r="O42" s="996"/>
      <c r="P42" s="742">
        <v>24</v>
      </c>
      <c r="Q42" s="1016" t="str">
        <f t="shared" ca="1" si="9"/>
        <v/>
      </c>
      <c r="R42" s="1027" t="str">
        <f t="shared" ca="1" si="10"/>
        <v/>
      </c>
      <c r="S42" s="1006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9" t="str">
        <f ca="1"/>
        <v/>
      </c>
      <c r="X42" s="1006" t="str">
        <f ca="1"/>
        <v/>
      </c>
      <c r="Y42" s="864" t="str">
        <f t="shared" ca="1" si="6"/>
        <v/>
      </c>
      <c r="AA42" s="828">
        <v>24</v>
      </c>
      <c r="AB42" s="743"/>
      <c r="AC42" s="242"/>
      <c r="AD42" s="830"/>
      <c r="AE42" s="839"/>
      <c r="AF42" s="839"/>
      <c r="AG42" s="750"/>
      <c r="AH42" s="840"/>
      <c r="AI42" s="839"/>
      <c r="AJ42" s="841"/>
      <c r="AK42" s="108" t="s">
        <v>12</v>
      </c>
      <c r="AL42" s="847">
        <v>24</v>
      </c>
      <c r="AM42" s="854"/>
      <c r="AN42" s="242"/>
      <c r="AO42" s="839"/>
      <c r="AP42" s="839"/>
      <c r="AQ42" s="839"/>
      <c r="AR42" s="750"/>
      <c r="AS42" s="840"/>
      <c r="AT42" s="839"/>
      <c r="AU42" s="856"/>
      <c r="AV42" s="108" t="s">
        <v>12</v>
      </c>
    </row>
    <row r="43" spans="2:48">
      <c r="B43" s="756" t="s">
        <v>2046</v>
      </c>
      <c r="C43" s="514" t="s">
        <v>76</v>
      </c>
      <c r="D43" s="108" t="s">
        <v>12</v>
      </c>
      <c r="E43" s="742">
        <v>25</v>
      </c>
      <c r="F43" s="1016" t="str">
        <f t="shared" ca="1" si="7"/>
        <v/>
      </c>
      <c r="G43" s="1027" t="str">
        <f t="shared" ca="1" si="3"/>
        <v/>
      </c>
      <c r="H43" s="1043" t="str">
        <f ca="1"/>
        <v/>
      </c>
      <c r="I43" s="1006" t="str">
        <f ca="1"/>
        <v/>
      </c>
      <c r="J43" s="1006" t="str">
        <f ca="1"/>
        <v/>
      </c>
      <c r="K43" s="1016" t="str">
        <f ca="1"/>
        <v/>
      </c>
      <c r="L43" s="1019" t="str">
        <f ca="1"/>
        <v/>
      </c>
      <c r="M43" s="1006" t="str">
        <f ca="1"/>
        <v/>
      </c>
      <c r="N43" s="1060" t="str">
        <f t="shared" ca="1" si="8"/>
        <v/>
      </c>
      <c r="O43" s="996"/>
      <c r="P43" s="742">
        <v>25</v>
      </c>
      <c r="Q43" s="1016" t="str">
        <f t="shared" ca="1" si="9"/>
        <v/>
      </c>
      <c r="R43" s="1027" t="str">
        <f t="shared" ca="1" si="10"/>
        <v/>
      </c>
      <c r="S43" s="1006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9" t="str">
        <f ca="1"/>
        <v/>
      </c>
      <c r="X43" s="1006" t="str">
        <f ca="1"/>
        <v/>
      </c>
      <c r="Y43" s="864" t="str">
        <f t="shared" ca="1" si="6"/>
        <v/>
      </c>
      <c r="AA43" s="828">
        <v>25</v>
      </c>
      <c r="AB43" s="743"/>
      <c r="AC43" s="242"/>
      <c r="AD43" s="830"/>
      <c r="AE43" s="839"/>
      <c r="AF43" s="839"/>
      <c r="AG43" s="750"/>
      <c r="AH43" s="840"/>
      <c r="AI43" s="839"/>
      <c r="AJ43" s="841"/>
      <c r="AK43" s="108" t="s">
        <v>12</v>
      </c>
      <c r="AL43" s="847">
        <v>25</v>
      </c>
      <c r="AM43" s="854"/>
      <c r="AN43" s="242"/>
      <c r="AO43" s="839"/>
      <c r="AP43" s="839"/>
      <c r="AQ43" s="839"/>
      <c r="AR43" s="750"/>
      <c r="AS43" s="840"/>
      <c r="AT43" s="839"/>
      <c r="AU43" s="856"/>
      <c r="AV43" s="108" t="s">
        <v>12</v>
      </c>
    </row>
    <row r="44" spans="2:48">
      <c r="B44" s="756" t="s">
        <v>2014</v>
      </c>
      <c r="C44" s="745" t="s">
        <v>38</v>
      </c>
      <c r="D44" s="108" t="s">
        <v>12</v>
      </c>
      <c r="E44" s="742">
        <v>26</v>
      </c>
      <c r="F44" s="1016" t="str">
        <f t="shared" ca="1" si="7"/>
        <v/>
      </c>
      <c r="G44" s="1027" t="str">
        <f t="shared" ca="1" si="3"/>
        <v/>
      </c>
      <c r="H44" s="1043" t="str">
        <f ca="1"/>
        <v/>
      </c>
      <c r="I44" s="1006" t="str">
        <f ca="1"/>
        <v/>
      </c>
      <c r="J44" s="1006" t="str">
        <f ca="1"/>
        <v/>
      </c>
      <c r="K44" s="1016" t="str">
        <f ca="1"/>
        <v/>
      </c>
      <c r="L44" s="1019" t="str">
        <f ca="1"/>
        <v/>
      </c>
      <c r="M44" s="1006" t="str">
        <f ca="1"/>
        <v/>
      </c>
      <c r="N44" s="1060" t="str">
        <f t="shared" ca="1" si="8"/>
        <v/>
      </c>
      <c r="O44" s="996"/>
      <c r="P44" s="742">
        <v>26</v>
      </c>
      <c r="Q44" s="1016" t="str">
        <f t="shared" ca="1" si="9"/>
        <v/>
      </c>
      <c r="R44" s="1027" t="str">
        <f t="shared" ca="1" si="10"/>
        <v/>
      </c>
      <c r="S44" s="1006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9" t="str">
        <f ca="1"/>
        <v/>
      </c>
      <c r="X44" s="1006" t="str">
        <f ca="1"/>
        <v/>
      </c>
      <c r="Y44" s="864" t="str">
        <f t="shared" ca="1" si="6"/>
        <v/>
      </c>
      <c r="AA44" s="828">
        <v>26</v>
      </c>
      <c r="AB44" s="743"/>
      <c r="AC44" s="242"/>
      <c r="AD44" s="830"/>
      <c r="AE44" s="839"/>
      <c r="AF44" s="839"/>
      <c r="AG44" s="750"/>
      <c r="AH44" s="840"/>
      <c r="AI44" s="839"/>
      <c r="AJ44" s="841"/>
      <c r="AK44" s="108" t="s">
        <v>12</v>
      </c>
      <c r="AL44" s="847">
        <v>26</v>
      </c>
      <c r="AM44" s="854"/>
      <c r="AN44" s="242"/>
      <c r="AO44" s="839"/>
      <c r="AP44" s="839"/>
      <c r="AQ44" s="839"/>
      <c r="AR44" s="750"/>
      <c r="AS44" s="840"/>
      <c r="AT44" s="839"/>
      <c r="AU44" s="856"/>
      <c r="AV44" s="108" t="s">
        <v>12</v>
      </c>
    </row>
    <row r="45" spans="2:48">
      <c r="B45" s="756" t="s">
        <v>2013</v>
      </c>
      <c r="C45" s="746" t="s">
        <v>359</v>
      </c>
      <c r="D45" s="108" t="s">
        <v>12</v>
      </c>
      <c r="E45" s="742">
        <v>27</v>
      </c>
      <c r="F45" s="1016" t="str">
        <f t="shared" ca="1" si="7"/>
        <v/>
      </c>
      <c r="G45" s="1027" t="str">
        <f t="shared" ca="1" si="3"/>
        <v/>
      </c>
      <c r="H45" s="1043" t="str">
        <f ca="1"/>
        <v/>
      </c>
      <c r="I45" s="1006" t="str">
        <f ca="1"/>
        <v/>
      </c>
      <c r="J45" s="1006" t="str">
        <f ca="1"/>
        <v/>
      </c>
      <c r="K45" s="1016" t="str">
        <f ca="1"/>
        <v/>
      </c>
      <c r="L45" s="1019" t="str">
        <f ca="1"/>
        <v/>
      </c>
      <c r="M45" s="1006" t="str">
        <f ca="1"/>
        <v/>
      </c>
      <c r="N45" s="1060" t="str">
        <f t="shared" ca="1" si="8"/>
        <v/>
      </c>
      <c r="O45" s="996"/>
      <c r="P45" s="742">
        <v>27</v>
      </c>
      <c r="Q45" s="1016" t="str">
        <f t="shared" ca="1" si="9"/>
        <v/>
      </c>
      <c r="R45" s="1027" t="str">
        <f t="shared" ca="1" si="10"/>
        <v/>
      </c>
      <c r="S45" s="1006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9" t="str">
        <f ca="1"/>
        <v/>
      </c>
      <c r="X45" s="1006" t="str">
        <f ca="1"/>
        <v/>
      </c>
      <c r="Y45" s="864" t="str">
        <f t="shared" ca="1" si="6"/>
        <v/>
      </c>
      <c r="AA45" s="828">
        <v>27</v>
      </c>
      <c r="AB45" s="743"/>
      <c r="AC45" s="242"/>
      <c r="AD45" s="830"/>
      <c r="AE45" s="839"/>
      <c r="AF45" s="839"/>
      <c r="AG45" s="750"/>
      <c r="AH45" s="840"/>
      <c r="AI45" s="839"/>
      <c r="AJ45" s="841"/>
      <c r="AK45" s="108" t="s">
        <v>12</v>
      </c>
      <c r="AL45" s="847">
        <v>27</v>
      </c>
      <c r="AM45" s="854"/>
      <c r="AN45" s="242"/>
      <c r="AO45" s="839"/>
      <c r="AP45" s="839"/>
      <c r="AQ45" s="839"/>
      <c r="AR45" s="750"/>
      <c r="AS45" s="840"/>
      <c r="AT45" s="839"/>
      <c r="AU45" s="856"/>
      <c r="AV45" s="108" t="s">
        <v>12</v>
      </c>
    </row>
    <row r="46" spans="2:48">
      <c r="B46" s="756" t="s">
        <v>2047</v>
      </c>
      <c r="C46" s="514" t="s">
        <v>76</v>
      </c>
      <c r="D46" s="108" t="s">
        <v>12</v>
      </c>
      <c r="E46" s="742">
        <v>28</v>
      </c>
      <c r="F46" s="1016" t="str">
        <f t="shared" ca="1" si="7"/>
        <v/>
      </c>
      <c r="G46" s="1027" t="str">
        <f t="shared" ca="1" si="3"/>
        <v/>
      </c>
      <c r="H46" s="1043" t="str">
        <f ca="1"/>
        <v/>
      </c>
      <c r="I46" s="1006" t="str">
        <f ca="1"/>
        <v/>
      </c>
      <c r="J46" s="1006" t="str">
        <f ca="1"/>
        <v/>
      </c>
      <c r="K46" s="1016" t="str">
        <f ca="1"/>
        <v/>
      </c>
      <c r="L46" s="1019" t="str">
        <f ca="1"/>
        <v/>
      </c>
      <c r="M46" s="1006" t="str">
        <f ca="1"/>
        <v/>
      </c>
      <c r="N46" s="1060" t="str">
        <f t="shared" ca="1" si="8"/>
        <v/>
      </c>
      <c r="O46" s="996"/>
      <c r="P46" s="742">
        <v>28</v>
      </c>
      <c r="Q46" s="1016" t="str">
        <f t="shared" ca="1" si="9"/>
        <v/>
      </c>
      <c r="R46" s="1027" t="str">
        <f t="shared" ca="1" si="10"/>
        <v/>
      </c>
      <c r="S46" s="1006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9" t="str">
        <f ca="1"/>
        <v/>
      </c>
      <c r="X46" s="1006" t="str">
        <f ca="1"/>
        <v/>
      </c>
      <c r="Y46" s="864" t="str">
        <f t="shared" ca="1" si="6"/>
        <v/>
      </c>
      <c r="AA46" s="828">
        <v>28</v>
      </c>
      <c r="AB46" s="743"/>
      <c r="AC46" s="242"/>
      <c r="AD46" s="830"/>
      <c r="AE46" s="839"/>
      <c r="AF46" s="839"/>
      <c r="AG46" s="750"/>
      <c r="AH46" s="840"/>
      <c r="AI46" s="839"/>
      <c r="AJ46" s="841"/>
      <c r="AK46" s="108" t="s">
        <v>12</v>
      </c>
      <c r="AL46" s="847">
        <v>28</v>
      </c>
      <c r="AM46" s="854"/>
      <c r="AN46" s="242"/>
      <c r="AO46" s="839"/>
      <c r="AP46" s="839"/>
      <c r="AQ46" s="839"/>
      <c r="AR46" s="750"/>
      <c r="AS46" s="840"/>
      <c r="AT46" s="839"/>
      <c r="AU46" s="856"/>
      <c r="AV46" s="108" t="s">
        <v>12</v>
      </c>
    </row>
    <row r="47" spans="2:48">
      <c r="B47" s="756" t="s">
        <v>2009</v>
      </c>
      <c r="C47" s="745" t="s">
        <v>38</v>
      </c>
      <c r="D47" s="108" t="s">
        <v>12</v>
      </c>
      <c r="E47" s="742">
        <v>29</v>
      </c>
      <c r="F47" s="1016" t="str">
        <f t="shared" ca="1" si="7"/>
        <v/>
      </c>
      <c r="G47" s="1027" t="str">
        <f t="shared" ca="1" si="3"/>
        <v/>
      </c>
      <c r="H47" s="1043" t="str">
        <f ca="1"/>
        <v/>
      </c>
      <c r="I47" s="1006" t="str">
        <f ca="1"/>
        <v/>
      </c>
      <c r="J47" s="1006" t="str">
        <f ca="1"/>
        <v/>
      </c>
      <c r="K47" s="1016" t="str">
        <f ca="1"/>
        <v/>
      </c>
      <c r="L47" s="1019" t="str">
        <f ca="1"/>
        <v/>
      </c>
      <c r="M47" s="1006" t="str">
        <f ca="1"/>
        <v/>
      </c>
      <c r="N47" s="1060" t="str">
        <f t="shared" ca="1" si="8"/>
        <v/>
      </c>
      <c r="O47" s="996"/>
      <c r="P47" s="742">
        <v>29</v>
      </c>
      <c r="Q47" s="1016" t="str">
        <f t="shared" ca="1" si="9"/>
        <v/>
      </c>
      <c r="R47" s="1027" t="str">
        <f t="shared" ca="1" si="10"/>
        <v/>
      </c>
      <c r="S47" s="1006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9" t="str">
        <f ca="1"/>
        <v/>
      </c>
      <c r="X47" s="1006" t="str">
        <f ca="1"/>
        <v/>
      </c>
      <c r="Y47" s="864" t="str">
        <f t="shared" ca="1" si="6"/>
        <v/>
      </c>
      <c r="AA47" s="828">
        <v>29</v>
      </c>
      <c r="AB47" s="743"/>
      <c r="AC47" s="242"/>
      <c r="AD47" s="830"/>
      <c r="AE47" s="839"/>
      <c r="AF47" s="839"/>
      <c r="AG47" s="750"/>
      <c r="AH47" s="840"/>
      <c r="AI47" s="839"/>
      <c r="AJ47" s="841"/>
      <c r="AK47" s="108" t="s">
        <v>12</v>
      </c>
      <c r="AL47" s="847">
        <v>29</v>
      </c>
      <c r="AM47" s="854"/>
      <c r="AN47" s="242"/>
      <c r="AO47" s="839"/>
      <c r="AP47" s="839"/>
      <c r="AQ47" s="839"/>
      <c r="AR47" s="750"/>
      <c r="AS47" s="840"/>
      <c r="AT47" s="839"/>
      <c r="AU47" s="856"/>
      <c r="AV47" s="108" t="s">
        <v>12</v>
      </c>
    </row>
    <row r="48" spans="2:48">
      <c r="B48" s="756" t="s">
        <v>2008</v>
      </c>
      <c r="C48" s="745" t="s">
        <v>359</v>
      </c>
      <c r="D48" s="108" t="s">
        <v>12</v>
      </c>
      <c r="E48" s="742">
        <v>30</v>
      </c>
      <c r="F48" s="1016" t="str">
        <f t="shared" ca="1" si="7"/>
        <v/>
      </c>
      <c r="G48" s="1027" t="str">
        <f t="shared" ca="1" si="3"/>
        <v/>
      </c>
      <c r="H48" s="1043" t="str">
        <f ca="1"/>
        <v/>
      </c>
      <c r="I48" s="1006" t="str">
        <f ca="1"/>
        <v/>
      </c>
      <c r="J48" s="1006" t="str">
        <f ca="1"/>
        <v/>
      </c>
      <c r="K48" s="1016" t="str">
        <f ca="1"/>
        <v/>
      </c>
      <c r="L48" s="1019" t="str">
        <f ca="1"/>
        <v/>
      </c>
      <c r="M48" s="1006" t="str">
        <f ca="1"/>
        <v/>
      </c>
      <c r="N48" s="1060" t="str">
        <f t="shared" ca="1" si="8"/>
        <v/>
      </c>
      <c r="O48" s="996"/>
      <c r="P48" s="742">
        <v>30</v>
      </c>
      <c r="Q48" s="1016" t="str">
        <f t="shared" ca="1" si="9"/>
        <v/>
      </c>
      <c r="R48" s="1027" t="str">
        <f t="shared" ca="1" si="10"/>
        <v/>
      </c>
      <c r="S48" s="1006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9" t="str">
        <f ca="1"/>
        <v/>
      </c>
      <c r="X48" s="1006" t="str">
        <f ca="1"/>
        <v/>
      </c>
      <c r="Y48" s="864" t="str">
        <f t="shared" ca="1" si="6"/>
        <v/>
      </c>
      <c r="AA48" s="828">
        <v>30</v>
      </c>
      <c r="AB48" s="743"/>
      <c r="AC48" s="242"/>
      <c r="AD48" s="830"/>
      <c r="AE48" s="839"/>
      <c r="AF48" s="839"/>
      <c r="AG48" s="750"/>
      <c r="AH48" s="840"/>
      <c r="AI48" s="839"/>
      <c r="AJ48" s="841"/>
      <c r="AK48" s="108" t="s">
        <v>12</v>
      </c>
      <c r="AL48" s="847">
        <v>30</v>
      </c>
      <c r="AM48" s="854"/>
      <c r="AN48" s="242"/>
      <c r="AO48" s="839"/>
      <c r="AP48" s="839"/>
      <c r="AQ48" s="839"/>
      <c r="AR48" s="750"/>
      <c r="AS48" s="840"/>
      <c r="AT48" s="839"/>
      <c r="AU48" s="856"/>
      <c r="AV48" s="108" t="s">
        <v>12</v>
      </c>
    </row>
    <row r="49" spans="2:48">
      <c r="B49" s="756" t="s">
        <v>2007</v>
      </c>
      <c r="C49" s="747" t="s">
        <v>356</v>
      </c>
      <c r="D49" s="108" t="s">
        <v>12</v>
      </c>
      <c r="E49" s="742">
        <v>31</v>
      </c>
      <c r="F49" s="1016" t="str">
        <f t="shared" ca="1" si="7"/>
        <v/>
      </c>
      <c r="G49" s="1027" t="str">
        <f t="shared" ca="1" si="3"/>
        <v/>
      </c>
      <c r="H49" s="1043" t="str">
        <f ca="1"/>
        <v/>
      </c>
      <c r="I49" s="1006" t="str">
        <f ca="1"/>
        <v/>
      </c>
      <c r="J49" s="1006" t="str">
        <f ca="1"/>
        <v/>
      </c>
      <c r="K49" s="1016" t="str">
        <f ca="1"/>
        <v/>
      </c>
      <c r="L49" s="1019" t="str">
        <f ca="1"/>
        <v/>
      </c>
      <c r="M49" s="1006" t="str">
        <f ca="1"/>
        <v/>
      </c>
      <c r="N49" s="1060" t="str">
        <f t="shared" ca="1" si="8"/>
        <v/>
      </c>
      <c r="O49" s="996"/>
      <c r="P49" s="742">
        <v>31</v>
      </c>
      <c r="Q49" s="1016" t="str">
        <f t="shared" ca="1" si="9"/>
        <v/>
      </c>
      <c r="R49" s="1027" t="str">
        <f t="shared" ca="1" si="10"/>
        <v/>
      </c>
      <c r="S49" s="1006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9" t="str">
        <f ca="1"/>
        <v/>
      </c>
      <c r="X49" s="1006" t="str">
        <f ca="1"/>
        <v/>
      </c>
      <c r="Y49" s="864" t="str">
        <f t="shared" ca="1" si="6"/>
        <v/>
      </c>
      <c r="AA49" s="828">
        <v>31</v>
      </c>
      <c r="AB49" s="743"/>
      <c r="AC49" s="242"/>
      <c r="AD49" s="830"/>
      <c r="AE49" s="839"/>
      <c r="AF49" s="839"/>
      <c r="AG49" s="750"/>
      <c r="AH49" s="840"/>
      <c r="AI49" s="839"/>
      <c r="AJ49" s="841"/>
      <c r="AK49" s="108" t="s">
        <v>12</v>
      </c>
      <c r="AL49" s="847">
        <v>31</v>
      </c>
      <c r="AM49" s="854"/>
      <c r="AN49" s="242"/>
      <c r="AO49" s="839"/>
      <c r="AP49" s="839"/>
      <c r="AQ49" s="839"/>
      <c r="AR49" s="750"/>
      <c r="AS49" s="840"/>
      <c r="AT49" s="839"/>
      <c r="AU49" s="856"/>
      <c r="AV49" s="108" t="s">
        <v>12</v>
      </c>
    </row>
    <row r="50" spans="2:48">
      <c r="B50" s="756" t="s">
        <v>2012</v>
      </c>
      <c r="C50" s="748" t="s">
        <v>38</v>
      </c>
      <c r="D50" s="108" t="s">
        <v>12</v>
      </c>
      <c r="E50" s="742">
        <v>32</v>
      </c>
      <c r="F50" s="1016" t="str">
        <f t="shared" ca="1" si="7"/>
        <v/>
      </c>
      <c r="G50" s="1027" t="str">
        <f t="shared" ca="1" si="3"/>
        <v/>
      </c>
      <c r="H50" s="1043" t="str">
        <f ca="1"/>
        <v/>
      </c>
      <c r="I50" s="1006" t="str">
        <f ca="1"/>
        <v/>
      </c>
      <c r="J50" s="1006" t="str">
        <f ca="1"/>
        <v/>
      </c>
      <c r="K50" s="1016" t="str">
        <f ca="1"/>
        <v/>
      </c>
      <c r="L50" s="1019" t="str">
        <f ca="1"/>
        <v/>
      </c>
      <c r="M50" s="1006" t="str">
        <f ca="1"/>
        <v/>
      </c>
      <c r="N50" s="1060" t="str">
        <f t="shared" ca="1" si="8"/>
        <v/>
      </c>
      <c r="O50" s="996"/>
      <c r="P50" s="742">
        <v>32</v>
      </c>
      <c r="Q50" s="1016" t="str">
        <f t="shared" ca="1" si="9"/>
        <v/>
      </c>
      <c r="R50" s="1027" t="str">
        <f t="shared" ca="1" si="10"/>
        <v/>
      </c>
      <c r="S50" s="1006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9" t="str">
        <f ca="1"/>
        <v/>
      </c>
      <c r="X50" s="1006" t="str">
        <f ca="1"/>
        <v/>
      </c>
      <c r="Y50" s="864" t="str">
        <f t="shared" ca="1" si="6"/>
        <v/>
      </c>
      <c r="AA50" s="828">
        <v>32</v>
      </c>
      <c r="AB50" s="743"/>
      <c r="AC50" s="242"/>
      <c r="AD50" s="830"/>
      <c r="AE50" s="839"/>
      <c r="AF50" s="839"/>
      <c r="AG50" s="750"/>
      <c r="AH50" s="840"/>
      <c r="AI50" s="839"/>
      <c r="AJ50" s="841"/>
      <c r="AK50" s="108" t="s">
        <v>12</v>
      </c>
      <c r="AL50" s="847">
        <v>32</v>
      </c>
      <c r="AM50" s="854"/>
      <c r="AN50" s="242"/>
      <c r="AO50" s="839"/>
      <c r="AP50" s="839"/>
      <c r="AQ50" s="839"/>
      <c r="AR50" s="750"/>
      <c r="AS50" s="840"/>
      <c r="AT50" s="839"/>
      <c r="AU50" s="856"/>
      <c r="AV50" s="108" t="s">
        <v>12</v>
      </c>
    </row>
    <row r="51" spans="2:48">
      <c r="B51" s="756" t="s">
        <v>2011</v>
      </c>
      <c r="C51" s="745" t="s">
        <v>359</v>
      </c>
      <c r="D51" s="108" t="s">
        <v>12</v>
      </c>
      <c r="E51" s="742">
        <v>33</v>
      </c>
      <c r="F51" s="1016" t="str">
        <f t="shared" ca="1" si="7"/>
        <v/>
      </c>
      <c r="G51" s="1027" t="str">
        <f t="shared" ca="1" si="3"/>
        <v/>
      </c>
      <c r="H51" s="1043" t="str">
        <f ca="1"/>
        <v/>
      </c>
      <c r="I51" s="1006" t="str">
        <f ca="1"/>
        <v/>
      </c>
      <c r="J51" s="1006" t="str">
        <f ca="1"/>
        <v/>
      </c>
      <c r="K51" s="1016" t="str">
        <f ca="1"/>
        <v/>
      </c>
      <c r="L51" s="1019" t="str">
        <f ca="1"/>
        <v/>
      </c>
      <c r="M51" s="1006" t="str">
        <f ca="1"/>
        <v/>
      </c>
      <c r="N51" s="1060" t="str">
        <f t="shared" ca="1" si="8"/>
        <v/>
      </c>
      <c r="O51" s="996"/>
      <c r="P51" s="742">
        <v>33</v>
      </c>
      <c r="Q51" s="1016" t="str">
        <f t="shared" ca="1" si="9"/>
        <v/>
      </c>
      <c r="R51" s="1027" t="str">
        <f t="shared" ca="1" si="10"/>
        <v/>
      </c>
      <c r="S51" s="1006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9" t="str">
        <f ca="1"/>
        <v/>
      </c>
      <c r="X51" s="1006" t="str">
        <f ca="1"/>
        <v/>
      </c>
      <c r="Y51" s="864" t="str">
        <f t="shared" ca="1" si="6"/>
        <v/>
      </c>
      <c r="AA51" s="828">
        <v>33</v>
      </c>
      <c r="AB51" s="743"/>
      <c r="AC51" s="242"/>
      <c r="AD51" s="830"/>
      <c r="AE51" s="839"/>
      <c r="AF51" s="839"/>
      <c r="AG51" s="750"/>
      <c r="AH51" s="840"/>
      <c r="AI51" s="839"/>
      <c r="AJ51" s="841"/>
      <c r="AK51" s="108" t="s">
        <v>12</v>
      </c>
      <c r="AL51" s="847">
        <v>33</v>
      </c>
      <c r="AM51" s="854"/>
      <c r="AN51" s="242"/>
      <c r="AO51" s="839"/>
      <c r="AP51" s="839"/>
      <c r="AQ51" s="839"/>
      <c r="AR51" s="750"/>
      <c r="AS51" s="840"/>
      <c r="AT51" s="839"/>
      <c r="AU51" s="856"/>
      <c r="AV51" s="108" t="s">
        <v>12</v>
      </c>
    </row>
    <row r="52" spans="2:48">
      <c r="B52" s="756" t="s">
        <v>2010</v>
      </c>
      <c r="C52" s="749" t="s">
        <v>356</v>
      </c>
      <c r="D52" s="108" t="s">
        <v>12</v>
      </c>
      <c r="E52" s="742">
        <v>34</v>
      </c>
      <c r="F52" s="1016" t="str">
        <f t="shared" ca="1" si="7"/>
        <v/>
      </c>
      <c r="G52" s="1027" t="str">
        <f t="shared" ca="1" si="3"/>
        <v/>
      </c>
      <c r="H52" s="1043" t="str">
        <f ca="1"/>
        <v/>
      </c>
      <c r="I52" s="1006" t="str">
        <f ca="1"/>
        <v/>
      </c>
      <c r="J52" s="1006" t="str">
        <f ca="1"/>
        <v/>
      </c>
      <c r="K52" s="1016" t="str">
        <f ca="1"/>
        <v/>
      </c>
      <c r="L52" s="1019" t="str">
        <f ca="1"/>
        <v/>
      </c>
      <c r="M52" s="1006" t="str">
        <f ca="1"/>
        <v/>
      </c>
      <c r="N52" s="1060" t="str">
        <f t="shared" ca="1" si="8"/>
        <v/>
      </c>
      <c r="O52" s="996"/>
      <c r="P52" s="742">
        <v>34</v>
      </c>
      <c r="Q52" s="1016" t="str">
        <f t="shared" ca="1" si="9"/>
        <v/>
      </c>
      <c r="R52" s="1027" t="str">
        <f t="shared" ca="1" si="10"/>
        <v/>
      </c>
      <c r="S52" s="1006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9" t="str">
        <f ca="1"/>
        <v/>
      </c>
      <c r="X52" s="1006" t="str">
        <f ca="1"/>
        <v/>
      </c>
      <c r="Y52" s="864" t="str">
        <f t="shared" ca="1" si="6"/>
        <v/>
      </c>
      <c r="AA52" s="828">
        <v>34</v>
      </c>
      <c r="AB52" s="743"/>
      <c r="AC52" s="242"/>
      <c r="AD52" s="830"/>
      <c r="AE52" s="839"/>
      <c r="AF52" s="839"/>
      <c r="AG52" s="750"/>
      <c r="AH52" s="840"/>
      <c r="AI52" s="839"/>
      <c r="AJ52" s="841"/>
      <c r="AK52" s="108" t="s">
        <v>12</v>
      </c>
      <c r="AL52" s="847">
        <v>34</v>
      </c>
      <c r="AM52" s="854"/>
      <c r="AN52" s="242"/>
      <c r="AO52" s="839"/>
      <c r="AP52" s="839"/>
      <c r="AQ52" s="839"/>
      <c r="AR52" s="750"/>
      <c r="AS52" s="840"/>
      <c r="AT52" s="839"/>
      <c r="AU52" s="856"/>
      <c r="AV52" s="108" t="s">
        <v>12</v>
      </c>
    </row>
    <row r="53" spans="2:48">
      <c r="B53" s="756" t="s">
        <v>2048</v>
      </c>
      <c r="C53" s="746" t="s">
        <v>2049</v>
      </c>
      <c r="D53" s="108" t="s">
        <v>12</v>
      </c>
      <c r="E53" s="742">
        <v>35</v>
      </c>
      <c r="F53" s="1016" t="str">
        <f t="shared" ca="1" si="7"/>
        <v/>
      </c>
      <c r="G53" s="1027" t="str">
        <f t="shared" ca="1" si="3"/>
        <v/>
      </c>
      <c r="H53" s="1043" t="str">
        <f ca="1"/>
        <v/>
      </c>
      <c r="I53" s="1006" t="str">
        <f ca="1"/>
        <v/>
      </c>
      <c r="J53" s="1006" t="str">
        <f ca="1"/>
        <v/>
      </c>
      <c r="K53" s="1016" t="str">
        <f ca="1"/>
        <v/>
      </c>
      <c r="L53" s="1019" t="str">
        <f ca="1"/>
        <v/>
      </c>
      <c r="M53" s="1006" t="str">
        <f ca="1"/>
        <v/>
      </c>
      <c r="N53" s="1060" t="str">
        <f t="shared" ca="1" si="8"/>
        <v/>
      </c>
      <c r="O53" s="996"/>
      <c r="P53" s="742">
        <v>35</v>
      </c>
      <c r="Q53" s="1016" t="str">
        <f t="shared" ca="1" si="9"/>
        <v/>
      </c>
      <c r="R53" s="1027" t="str">
        <f t="shared" ca="1" si="10"/>
        <v/>
      </c>
      <c r="S53" s="1006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9" t="str">
        <f ca="1"/>
        <v/>
      </c>
      <c r="X53" s="1006" t="str">
        <f ca="1"/>
        <v/>
      </c>
      <c r="Y53" s="864" t="str">
        <f t="shared" ca="1" si="6"/>
        <v/>
      </c>
      <c r="AA53" s="828">
        <v>35</v>
      </c>
      <c r="AB53" s="743"/>
      <c r="AC53" s="242"/>
      <c r="AD53" s="830"/>
      <c r="AE53" s="839"/>
      <c r="AF53" s="839"/>
      <c r="AG53" s="750"/>
      <c r="AH53" s="840"/>
      <c r="AI53" s="839"/>
      <c r="AJ53" s="841"/>
      <c r="AK53" s="108" t="s">
        <v>12</v>
      </c>
      <c r="AL53" s="847">
        <v>35</v>
      </c>
      <c r="AM53" s="854"/>
      <c r="AN53" s="242"/>
      <c r="AO53" s="839"/>
      <c r="AP53" s="839"/>
      <c r="AQ53" s="839"/>
      <c r="AR53" s="750"/>
      <c r="AS53" s="840"/>
      <c r="AT53" s="839"/>
      <c r="AU53" s="856"/>
      <c r="AV53" s="108" t="s">
        <v>12</v>
      </c>
    </row>
    <row r="54" spans="2:48">
      <c r="B54" s="756" t="s">
        <v>2005</v>
      </c>
      <c r="C54" s="757"/>
      <c r="D54" s="108" t="s">
        <v>12</v>
      </c>
      <c r="E54" s="742">
        <v>36</v>
      </c>
      <c r="F54" s="1016" t="str">
        <f t="shared" ca="1" si="7"/>
        <v/>
      </c>
      <c r="G54" s="1027" t="str">
        <f t="shared" ca="1" si="3"/>
        <v/>
      </c>
      <c r="H54" s="1043" t="str">
        <f ca="1"/>
        <v/>
      </c>
      <c r="I54" s="1006" t="str">
        <f ca="1"/>
        <v/>
      </c>
      <c r="J54" s="1006" t="str">
        <f ca="1"/>
        <v/>
      </c>
      <c r="K54" s="1016" t="str">
        <f ca="1"/>
        <v/>
      </c>
      <c r="L54" s="1019" t="str">
        <f ca="1"/>
        <v/>
      </c>
      <c r="M54" s="1006" t="str">
        <f ca="1"/>
        <v/>
      </c>
      <c r="N54" s="1060" t="str">
        <f t="shared" ca="1" si="8"/>
        <v/>
      </c>
      <c r="O54" s="996"/>
      <c r="P54" s="742">
        <v>36</v>
      </c>
      <c r="Q54" s="1016" t="str">
        <f t="shared" ca="1" si="9"/>
        <v/>
      </c>
      <c r="R54" s="1027" t="str">
        <f t="shared" ca="1" si="10"/>
        <v/>
      </c>
      <c r="S54" s="1006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9" t="str">
        <f ca="1"/>
        <v/>
      </c>
      <c r="X54" s="1006" t="str">
        <f ca="1"/>
        <v/>
      </c>
      <c r="Y54" s="864" t="str">
        <f t="shared" ca="1" si="6"/>
        <v/>
      </c>
      <c r="AA54" s="828">
        <v>36</v>
      </c>
      <c r="AB54" s="743"/>
      <c r="AC54" s="242"/>
      <c r="AD54" s="830"/>
      <c r="AE54" s="839"/>
      <c r="AF54" s="839"/>
      <c r="AG54" s="750"/>
      <c r="AH54" s="840"/>
      <c r="AI54" s="839"/>
      <c r="AJ54" s="841"/>
      <c r="AK54" s="108" t="s">
        <v>12</v>
      </c>
      <c r="AL54" s="847">
        <v>36</v>
      </c>
      <c r="AM54" s="854"/>
      <c r="AN54" s="242"/>
      <c r="AO54" s="839"/>
      <c r="AP54" s="839"/>
      <c r="AQ54" s="839"/>
      <c r="AR54" s="750"/>
      <c r="AS54" s="840"/>
      <c r="AT54" s="839"/>
      <c r="AU54" s="856"/>
      <c r="AV54" s="108" t="s">
        <v>12</v>
      </c>
    </row>
    <row r="55" spans="2:48">
      <c r="B55" s="756" t="s">
        <v>2004</v>
      </c>
      <c r="C55" s="757"/>
      <c r="D55" s="108" t="s">
        <v>12</v>
      </c>
      <c r="E55" s="742">
        <v>37</v>
      </c>
      <c r="F55" s="1016" t="str">
        <f t="shared" ca="1" si="7"/>
        <v/>
      </c>
      <c r="G55" s="1027" t="str">
        <f t="shared" ca="1" si="3"/>
        <v/>
      </c>
      <c r="H55" s="1043" t="str">
        <f ca="1"/>
        <v/>
      </c>
      <c r="I55" s="1006" t="str">
        <f ca="1"/>
        <v/>
      </c>
      <c r="J55" s="1006" t="str">
        <f ca="1"/>
        <v/>
      </c>
      <c r="K55" s="1016" t="str">
        <f ca="1"/>
        <v/>
      </c>
      <c r="L55" s="1019" t="str">
        <f ca="1"/>
        <v/>
      </c>
      <c r="M55" s="1006" t="str">
        <f ca="1"/>
        <v/>
      </c>
      <c r="N55" s="1060" t="str">
        <f t="shared" ca="1" si="8"/>
        <v/>
      </c>
      <c r="O55" s="996"/>
      <c r="P55" s="742">
        <v>37</v>
      </c>
      <c r="Q55" s="1016" t="str">
        <f t="shared" ca="1" si="9"/>
        <v/>
      </c>
      <c r="R55" s="1027" t="str">
        <f t="shared" ca="1" si="10"/>
        <v/>
      </c>
      <c r="S55" s="1006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9" t="str">
        <f ca="1"/>
        <v/>
      </c>
      <c r="X55" s="1006" t="str">
        <f ca="1"/>
        <v/>
      </c>
      <c r="Y55" s="864" t="str">
        <f t="shared" ca="1" si="6"/>
        <v/>
      </c>
      <c r="AA55" s="828">
        <v>37</v>
      </c>
      <c r="AB55" s="743"/>
      <c r="AC55" s="242"/>
      <c r="AD55" s="829"/>
      <c r="AE55" s="839"/>
      <c r="AF55" s="839"/>
      <c r="AG55" s="750"/>
      <c r="AH55" s="840"/>
      <c r="AI55" s="839"/>
      <c r="AJ55" s="841"/>
      <c r="AK55" s="108" t="s">
        <v>12</v>
      </c>
      <c r="AL55" s="847">
        <v>37</v>
      </c>
      <c r="AM55" s="854"/>
      <c r="AN55" s="242"/>
      <c r="AO55" s="836"/>
      <c r="AP55" s="839"/>
      <c r="AQ55" s="839"/>
      <c r="AR55" s="750"/>
      <c r="AS55" s="840"/>
      <c r="AT55" s="839"/>
      <c r="AU55" s="856"/>
      <c r="AV55" s="108" t="s">
        <v>12</v>
      </c>
    </row>
    <row r="56" spans="2:48">
      <c r="B56" s="758" t="s">
        <v>2006</v>
      </c>
      <c r="C56" s="785"/>
      <c r="D56" s="108" t="s">
        <v>12</v>
      </c>
      <c r="E56" s="742">
        <v>38</v>
      </c>
      <c r="F56" s="1016" t="str">
        <f t="shared" ca="1" si="7"/>
        <v/>
      </c>
      <c r="G56" s="1027" t="str">
        <f t="shared" ca="1" si="3"/>
        <v/>
      </c>
      <c r="H56" s="1043" t="str">
        <f ca="1"/>
        <v/>
      </c>
      <c r="I56" s="1006" t="str">
        <f ca="1"/>
        <v/>
      </c>
      <c r="J56" s="1006" t="str">
        <f ca="1"/>
        <v/>
      </c>
      <c r="K56" s="1016" t="str">
        <f ca="1"/>
        <v/>
      </c>
      <c r="L56" s="1019" t="str">
        <f ca="1"/>
        <v/>
      </c>
      <c r="M56" s="1006" t="str">
        <f ca="1"/>
        <v/>
      </c>
      <c r="N56" s="1060" t="str">
        <f t="shared" ca="1" si="8"/>
        <v/>
      </c>
      <c r="O56" s="996"/>
      <c r="P56" s="742">
        <v>38</v>
      </c>
      <c r="Q56" s="1016" t="str">
        <f t="shared" ca="1" si="9"/>
        <v/>
      </c>
      <c r="R56" s="1027" t="str">
        <f t="shared" ca="1" si="10"/>
        <v/>
      </c>
      <c r="S56" s="1006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9" t="str">
        <f ca="1"/>
        <v/>
      </c>
      <c r="X56" s="1006" t="str">
        <f ca="1"/>
        <v/>
      </c>
      <c r="Y56" s="864" t="str">
        <f t="shared" ca="1" si="6"/>
        <v/>
      </c>
      <c r="AA56" s="828">
        <v>38</v>
      </c>
      <c r="AB56" s="750"/>
      <c r="AC56" s="842"/>
      <c r="AD56" s="830"/>
      <c r="AE56" s="839"/>
      <c r="AF56" s="836"/>
      <c r="AG56" s="750"/>
      <c r="AH56" s="840"/>
      <c r="AI56" s="839"/>
      <c r="AJ56" s="841"/>
      <c r="AK56" s="108" t="s">
        <v>12</v>
      </c>
      <c r="AL56" s="847">
        <v>38</v>
      </c>
      <c r="AM56" s="857"/>
      <c r="AN56" s="842"/>
      <c r="AO56" s="839"/>
      <c r="AP56" s="839"/>
      <c r="AQ56" s="836"/>
      <c r="AR56" s="750"/>
      <c r="AS56" s="840"/>
      <c r="AT56" s="839"/>
      <c r="AU56" s="856"/>
      <c r="AV56" s="108" t="s">
        <v>12</v>
      </c>
    </row>
    <row r="57" spans="2:48">
      <c r="B57" s="759" t="s">
        <v>2001</v>
      </c>
      <c r="C57" s="786" t="s">
        <v>358</v>
      </c>
      <c r="D57" s="108" t="s">
        <v>12</v>
      </c>
      <c r="E57" s="742">
        <v>39</v>
      </c>
      <c r="F57" s="1016" t="str">
        <f t="shared" ca="1" si="7"/>
        <v/>
      </c>
      <c r="G57" s="1027" t="str">
        <f t="shared" ca="1" si="3"/>
        <v/>
      </c>
      <c r="H57" s="1043" t="str">
        <f ca="1"/>
        <v/>
      </c>
      <c r="I57" s="1006" t="str">
        <f ca="1"/>
        <v/>
      </c>
      <c r="J57" s="1006" t="str">
        <f ca="1"/>
        <v/>
      </c>
      <c r="K57" s="1016" t="str">
        <f ca="1"/>
        <v/>
      </c>
      <c r="L57" s="1019" t="str">
        <f ca="1"/>
        <v/>
      </c>
      <c r="M57" s="1006" t="str">
        <f ca="1"/>
        <v/>
      </c>
      <c r="N57" s="1060" t="str">
        <f t="shared" ca="1" si="8"/>
        <v/>
      </c>
      <c r="O57" s="996"/>
      <c r="P57" s="742">
        <v>39</v>
      </c>
      <c r="Q57" s="1016" t="str">
        <f t="shared" ca="1" si="9"/>
        <v/>
      </c>
      <c r="R57" s="1027" t="str">
        <f t="shared" ca="1" si="10"/>
        <v/>
      </c>
      <c r="S57" s="1006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9" t="str">
        <f ca="1"/>
        <v/>
      </c>
      <c r="X57" s="1006" t="str">
        <f ca="1"/>
        <v/>
      </c>
      <c r="Y57" s="864" t="str">
        <f t="shared" ca="1" si="6"/>
        <v/>
      </c>
      <c r="AA57" s="828">
        <v>39</v>
      </c>
      <c r="AB57" s="750"/>
      <c r="AC57" s="842"/>
      <c r="AD57" s="829"/>
      <c r="AE57" s="839"/>
      <c r="AF57" s="836"/>
      <c r="AG57" s="750"/>
      <c r="AH57" s="840"/>
      <c r="AI57" s="839"/>
      <c r="AJ57" s="841"/>
      <c r="AK57" s="108" t="s">
        <v>12</v>
      </c>
      <c r="AL57" s="847">
        <v>39</v>
      </c>
      <c r="AM57" s="857"/>
      <c r="AN57" s="842"/>
      <c r="AO57" s="836"/>
      <c r="AP57" s="839"/>
      <c r="AQ57" s="836"/>
      <c r="AR57" s="750"/>
      <c r="AS57" s="840"/>
      <c r="AT57" s="839"/>
      <c r="AU57" s="856"/>
      <c r="AV57" s="108" t="s">
        <v>12</v>
      </c>
    </row>
    <row r="58" spans="2:48">
      <c r="D58" s="108" t="s">
        <v>12</v>
      </c>
      <c r="E58" s="742">
        <v>40</v>
      </c>
      <c r="F58" s="1016" t="str">
        <f t="shared" ca="1" si="7"/>
        <v/>
      </c>
      <c r="G58" s="1027" t="str">
        <f t="shared" ca="1" si="3"/>
        <v/>
      </c>
      <c r="H58" s="1043" t="str">
        <f ca="1"/>
        <v/>
      </c>
      <c r="I58" s="1006" t="str">
        <f ca="1"/>
        <v/>
      </c>
      <c r="J58" s="1006" t="str">
        <f ca="1"/>
        <v/>
      </c>
      <c r="K58" s="1016" t="str">
        <f ca="1"/>
        <v/>
      </c>
      <c r="L58" s="1019" t="str">
        <f ca="1"/>
        <v/>
      </c>
      <c r="M58" s="1006" t="str">
        <f ca="1"/>
        <v/>
      </c>
      <c r="N58" s="1060" t="str">
        <f t="shared" ca="1" si="8"/>
        <v/>
      </c>
      <c r="O58" s="996"/>
      <c r="P58" s="742">
        <v>40</v>
      </c>
      <c r="Q58" s="1016" t="str">
        <f t="shared" ca="1" si="9"/>
        <v/>
      </c>
      <c r="R58" s="1027" t="str">
        <f t="shared" ca="1" si="10"/>
        <v/>
      </c>
      <c r="S58" s="1006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9" t="str">
        <f ca="1"/>
        <v/>
      </c>
      <c r="X58" s="1006" t="str">
        <f ca="1"/>
        <v/>
      </c>
      <c r="Y58" s="864" t="str">
        <f t="shared" ca="1" si="6"/>
        <v/>
      </c>
      <c r="AA58" s="828">
        <v>40</v>
      </c>
      <c r="AB58" s="750"/>
      <c r="AC58" s="842"/>
      <c r="AD58" s="829"/>
      <c r="AE58" s="839"/>
      <c r="AF58" s="839"/>
      <c r="AG58" s="750"/>
      <c r="AH58" s="840"/>
      <c r="AI58" s="839"/>
      <c r="AJ58" s="841"/>
      <c r="AK58" s="108" t="s">
        <v>12</v>
      </c>
      <c r="AL58" s="847">
        <v>40</v>
      </c>
      <c r="AM58" s="857"/>
      <c r="AN58" s="842"/>
      <c r="AO58" s="836"/>
      <c r="AP58" s="839"/>
      <c r="AQ58" s="839"/>
      <c r="AR58" s="750"/>
      <c r="AS58" s="840"/>
      <c r="AT58" s="839"/>
      <c r="AU58" s="856"/>
      <c r="AV58" s="108" t="s">
        <v>12</v>
      </c>
    </row>
    <row r="59" spans="2:48">
      <c r="D59" s="108" t="s">
        <v>12</v>
      </c>
      <c r="E59" s="742">
        <v>41</v>
      </c>
      <c r="F59" s="1016" t="str">
        <f t="shared" ca="1" si="7"/>
        <v/>
      </c>
      <c r="G59" s="1027" t="str">
        <f t="shared" ca="1" si="3"/>
        <v/>
      </c>
      <c r="H59" s="1043" t="str">
        <f ca="1"/>
        <v/>
      </c>
      <c r="I59" s="1006" t="str">
        <f ca="1"/>
        <v/>
      </c>
      <c r="J59" s="1006" t="str">
        <f ca="1"/>
        <v/>
      </c>
      <c r="K59" s="1016" t="str">
        <f ca="1"/>
        <v/>
      </c>
      <c r="L59" s="1019" t="str">
        <f ca="1"/>
        <v/>
      </c>
      <c r="M59" s="1006" t="str">
        <f ca="1"/>
        <v/>
      </c>
      <c r="N59" s="1060" t="str">
        <f t="shared" ca="1" si="8"/>
        <v/>
      </c>
      <c r="O59" s="996"/>
      <c r="P59" s="742">
        <v>41</v>
      </c>
      <c r="Q59" s="1016" t="str">
        <f t="shared" ca="1" si="9"/>
        <v/>
      </c>
      <c r="R59" s="1027" t="str">
        <f t="shared" ca="1" si="10"/>
        <v/>
      </c>
      <c r="S59" s="1006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9" t="str">
        <f ca="1"/>
        <v/>
      </c>
      <c r="X59" s="1006" t="str">
        <f ca="1"/>
        <v/>
      </c>
      <c r="Y59" s="864" t="str">
        <f t="shared" ca="1" si="6"/>
        <v/>
      </c>
      <c r="AA59" s="828">
        <v>41</v>
      </c>
      <c r="AB59" s="750"/>
      <c r="AC59" s="842"/>
      <c r="AD59" s="829"/>
      <c r="AE59" s="839"/>
      <c r="AF59" s="839"/>
      <c r="AG59" s="750"/>
      <c r="AH59" s="840"/>
      <c r="AI59" s="839"/>
      <c r="AJ59" s="841"/>
      <c r="AK59" s="108" t="s">
        <v>12</v>
      </c>
      <c r="AL59" s="847">
        <v>41</v>
      </c>
      <c r="AM59" s="857"/>
      <c r="AN59" s="842"/>
      <c r="AO59" s="836"/>
      <c r="AP59" s="839"/>
      <c r="AQ59" s="839"/>
      <c r="AR59" s="750"/>
      <c r="AS59" s="840"/>
      <c r="AT59" s="839"/>
      <c r="AU59" s="856"/>
      <c r="AV59" s="108" t="s">
        <v>12</v>
      </c>
    </row>
    <row r="60" spans="2:48">
      <c r="D60" s="108" t="s">
        <v>12</v>
      </c>
      <c r="E60" s="742">
        <v>42</v>
      </c>
      <c r="F60" s="1016" t="str">
        <f t="shared" ca="1" si="7"/>
        <v/>
      </c>
      <c r="G60" s="1027" t="str">
        <f t="shared" ca="1" si="3"/>
        <v/>
      </c>
      <c r="H60" s="1043" t="str">
        <f ca="1"/>
        <v/>
      </c>
      <c r="I60" s="1006" t="str">
        <f ca="1"/>
        <v/>
      </c>
      <c r="J60" s="1006" t="str">
        <f ca="1"/>
        <v/>
      </c>
      <c r="K60" s="1016" t="str">
        <f ca="1"/>
        <v/>
      </c>
      <c r="L60" s="1019" t="str">
        <f ca="1"/>
        <v/>
      </c>
      <c r="M60" s="1006" t="str">
        <f ca="1"/>
        <v/>
      </c>
      <c r="N60" s="1060" t="str">
        <f t="shared" ca="1" si="8"/>
        <v/>
      </c>
      <c r="O60" s="996"/>
      <c r="P60" s="742">
        <v>42</v>
      </c>
      <c r="Q60" s="1016" t="str">
        <f t="shared" ca="1" si="9"/>
        <v/>
      </c>
      <c r="R60" s="1027" t="str">
        <f t="shared" ca="1" si="10"/>
        <v/>
      </c>
      <c r="S60" s="1006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9" t="str">
        <f ca="1"/>
        <v/>
      </c>
      <c r="X60" s="1006" t="str">
        <f ca="1"/>
        <v/>
      </c>
      <c r="Y60" s="864" t="str">
        <f t="shared" ca="1" si="6"/>
        <v/>
      </c>
      <c r="AA60" s="828">
        <v>42</v>
      </c>
      <c r="AB60" s="750"/>
      <c r="AC60" s="842"/>
      <c r="AD60" s="830"/>
      <c r="AE60" s="839"/>
      <c r="AF60" s="836"/>
      <c r="AG60" s="743"/>
      <c r="AH60" s="840"/>
      <c r="AI60" s="839"/>
      <c r="AJ60" s="841"/>
      <c r="AK60" s="108" t="s">
        <v>12</v>
      </c>
      <c r="AL60" s="847">
        <v>42</v>
      </c>
      <c r="AM60" s="857"/>
      <c r="AN60" s="842"/>
      <c r="AO60" s="839"/>
      <c r="AP60" s="839"/>
      <c r="AQ60" s="836"/>
      <c r="AR60" s="743"/>
      <c r="AS60" s="840"/>
      <c r="AT60" s="839"/>
      <c r="AU60" s="856"/>
      <c r="AV60" s="108" t="s">
        <v>12</v>
      </c>
    </row>
    <row r="61" spans="2:48">
      <c r="D61" s="108" t="s">
        <v>12</v>
      </c>
      <c r="E61" s="742">
        <v>43</v>
      </c>
      <c r="F61" s="1016" t="str">
        <f t="shared" ca="1" si="7"/>
        <v/>
      </c>
      <c r="G61" s="1027" t="str">
        <f t="shared" ca="1" si="3"/>
        <v/>
      </c>
      <c r="H61" s="1043" t="str">
        <f ca="1"/>
        <v/>
      </c>
      <c r="I61" s="1006" t="str">
        <f ca="1"/>
        <v/>
      </c>
      <c r="J61" s="1006" t="str">
        <f ca="1"/>
        <v/>
      </c>
      <c r="K61" s="1016" t="str">
        <f ca="1"/>
        <v/>
      </c>
      <c r="L61" s="1019" t="str">
        <f ca="1"/>
        <v/>
      </c>
      <c r="M61" s="1006" t="str">
        <f ca="1"/>
        <v/>
      </c>
      <c r="N61" s="1060" t="str">
        <f t="shared" ca="1" si="8"/>
        <v/>
      </c>
      <c r="O61" s="996"/>
      <c r="P61" s="742">
        <v>43</v>
      </c>
      <c r="Q61" s="1016" t="str">
        <f t="shared" ca="1" si="9"/>
        <v/>
      </c>
      <c r="R61" s="1027" t="str">
        <f t="shared" ca="1" si="10"/>
        <v/>
      </c>
      <c r="S61" s="1006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9" t="str">
        <f ca="1"/>
        <v/>
      </c>
      <c r="X61" s="1006" t="str">
        <f ca="1"/>
        <v/>
      </c>
      <c r="Y61" s="864" t="str">
        <f t="shared" ca="1" si="6"/>
        <v/>
      </c>
      <c r="AA61" s="828">
        <v>43</v>
      </c>
      <c r="AB61" s="750"/>
      <c r="AC61" s="842"/>
      <c r="AD61" s="830"/>
      <c r="AE61" s="839"/>
      <c r="AF61" s="836"/>
      <c r="AG61" s="743"/>
      <c r="AH61" s="840"/>
      <c r="AI61" s="839"/>
      <c r="AJ61" s="841"/>
      <c r="AK61" s="108" t="s">
        <v>12</v>
      </c>
      <c r="AL61" s="847">
        <v>43</v>
      </c>
      <c r="AM61" s="857"/>
      <c r="AN61" s="842"/>
      <c r="AO61" s="839"/>
      <c r="AP61" s="839"/>
      <c r="AQ61" s="836"/>
      <c r="AR61" s="743"/>
      <c r="AS61" s="840"/>
      <c r="AT61" s="839"/>
      <c r="AU61" s="856"/>
      <c r="AV61" s="108" t="s">
        <v>12</v>
      </c>
    </row>
    <row r="62" spans="2:48">
      <c r="D62" s="108" t="s">
        <v>12</v>
      </c>
      <c r="E62" s="742">
        <v>44</v>
      </c>
      <c r="F62" s="1016" t="str">
        <f t="shared" ca="1" si="7"/>
        <v/>
      </c>
      <c r="G62" s="1027" t="str">
        <f t="shared" ca="1" si="3"/>
        <v/>
      </c>
      <c r="H62" s="1043" t="str">
        <f ca="1"/>
        <v/>
      </c>
      <c r="I62" s="1006" t="str">
        <f ca="1"/>
        <v/>
      </c>
      <c r="J62" s="1006" t="str">
        <f ca="1"/>
        <v/>
      </c>
      <c r="K62" s="1016" t="str">
        <f ca="1"/>
        <v/>
      </c>
      <c r="L62" s="1019" t="str">
        <f ca="1"/>
        <v/>
      </c>
      <c r="M62" s="1006" t="str">
        <f ca="1"/>
        <v/>
      </c>
      <c r="N62" s="1060" t="str">
        <f t="shared" ca="1" si="8"/>
        <v/>
      </c>
      <c r="O62" s="996"/>
      <c r="P62" s="742">
        <v>44</v>
      </c>
      <c r="Q62" s="1016" t="str">
        <f t="shared" ca="1" si="9"/>
        <v/>
      </c>
      <c r="R62" s="1027" t="str">
        <f t="shared" ca="1" si="10"/>
        <v/>
      </c>
      <c r="S62" s="1006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9" t="str">
        <f ca="1"/>
        <v/>
      </c>
      <c r="X62" s="1006" t="str">
        <f ca="1"/>
        <v/>
      </c>
      <c r="Y62" s="864" t="str">
        <f t="shared" ca="1" si="6"/>
        <v/>
      </c>
      <c r="AA62" s="828">
        <v>44</v>
      </c>
      <c r="AB62" s="750"/>
      <c r="AC62" s="842"/>
      <c r="AD62" s="830"/>
      <c r="AE62" s="839"/>
      <c r="AF62" s="836"/>
      <c r="AG62" s="743"/>
      <c r="AH62" s="840"/>
      <c r="AI62" s="839"/>
      <c r="AJ62" s="841"/>
      <c r="AK62" s="108" t="s">
        <v>12</v>
      </c>
      <c r="AL62" s="847">
        <v>44</v>
      </c>
      <c r="AM62" s="857"/>
      <c r="AN62" s="842"/>
      <c r="AO62" s="839"/>
      <c r="AP62" s="839"/>
      <c r="AQ62" s="836"/>
      <c r="AR62" s="743"/>
      <c r="AS62" s="840"/>
      <c r="AT62" s="839"/>
      <c r="AU62" s="856"/>
      <c r="AV62" s="108" t="s">
        <v>12</v>
      </c>
    </row>
    <row r="63" spans="2:48">
      <c r="D63" s="108" t="s">
        <v>12</v>
      </c>
      <c r="E63" s="742">
        <v>45</v>
      </c>
      <c r="F63" s="1016" t="str">
        <f t="shared" ca="1" si="7"/>
        <v/>
      </c>
      <c r="G63" s="1027" t="str">
        <f t="shared" ca="1" si="3"/>
        <v/>
      </c>
      <c r="H63" s="1043" t="str">
        <f ca="1"/>
        <v/>
      </c>
      <c r="I63" s="1006" t="str">
        <f ca="1"/>
        <v/>
      </c>
      <c r="J63" s="1006" t="str">
        <f ca="1"/>
        <v/>
      </c>
      <c r="K63" s="1016" t="str">
        <f ca="1"/>
        <v/>
      </c>
      <c r="L63" s="1019" t="str">
        <f ca="1"/>
        <v/>
      </c>
      <c r="M63" s="1006" t="str">
        <f ca="1"/>
        <v/>
      </c>
      <c r="N63" s="1060" t="str">
        <f t="shared" ca="1" si="8"/>
        <v/>
      </c>
      <c r="O63" s="996"/>
      <c r="P63" s="742">
        <v>45</v>
      </c>
      <c r="Q63" s="1016" t="str">
        <f t="shared" ca="1" si="9"/>
        <v/>
      </c>
      <c r="R63" s="1027" t="str">
        <f t="shared" ca="1" si="10"/>
        <v/>
      </c>
      <c r="S63" s="1006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9" t="str">
        <f ca="1"/>
        <v/>
      </c>
      <c r="X63" s="1006" t="str">
        <f ca="1"/>
        <v/>
      </c>
      <c r="Y63" s="864" t="str">
        <f t="shared" ca="1" si="6"/>
        <v/>
      </c>
      <c r="AA63" s="828">
        <v>45</v>
      </c>
      <c r="AB63" s="750"/>
      <c r="AC63" s="842"/>
      <c r="AD63" s="830"/>
      <c r="AE63" s="839"/>
      <c r="AF63" s="836"/>
      <c r="AG63" s="743"/>
      <c r="AH63" s="840"/>
      <c r="AI63" s="839"/>
      <c r="AJ63" s="841"/>
      <c r="AK63" s="108" t="s">
        <v>12</v>
      </c>
      <c r="AL63" s="847">
        <v>45</v>
      </c>
      <c r="AM63" s="857"/>
      <c r="AN63" s="842"/>
      <c r="AO63" s="839"/>
      <c r="AP63" s="839"/>
      <c r="AQ63" s="836"/>
      <c r="AR63" s="743"/>
      <c r="AS63" s="840"/>
      <c r="AT63" s="839"/>
      <c r="AU63" s="856"/>
      <c r="AV63" s="108" t="s">
        <v>12</v>
      </c>
    </row>
    <row r="64" spans="2:48">
      <c r="D64" s="108" t="s">
        <v>12</v>
      </c>
      <c r="E64" s="742">
        <v>46</v>
      </c>
      <c r="F64" s="1016" t="str">
        <f t="shared" ca="1" si="7"/>
        <v/>
      </c>
      <c r="G64" s="1027" t="str">
        <f t="shared" ca="1" si="3"/>
        <v/>
      </c>
      <c r="H64" s="1043" t="str">
        <f ca="1"/>
        <v/>
      </c>
      <c r="I64" s="1006" t="str">
        <f ca="1"/>
        <v/>
      </c>
      <c r="J64" s="1006" t="str">
        <f ca="1"/>
        <v/>
      </c>
      <c r="K64" s="1016" t="str">
        <f ca="1"/>
        <v/>
      </c>
      <c r="L64" s="1019" t="str">
        <f ca="1"/>
        <v/>
      </c>
      <c r="M64" s="1006" t="str">
        <f ca="1"/>
        <v/>
      </c>
      <c r="N64" s="1060" t="str">
        <f t="shared" ca="1" si="8"/>
        <v/>
      </c>
      <c r="O64" s="996"/>
      <c r="P64" s="742">
        <v>46</v>
      </c>
      <c r="Q64" s="1016" t="str">
        <f t="shared" ca="1" si="9"/>
        <v/>
      </c>
      <c r="R64" s="1027" t="str">
        <f t="shared" ca="1" si="10"/>
        <v/>
      </c>
      <c r="S64" s="1006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9" t="str">
        <f ca="1"/>
        <v/>
      </c>
      <c r="X64" s="1006" t="str">
        <f ca="1"/>
        <v/>
      </c>
      <c r="Y64" s="864" t="str">
        <f t="shared" ca="1" si="6"/>
        <v/>
      </c>
      <c r="AA64" s="828">
        <v>46</v>
      </c>
      <c r="AB64" s="750"/>
      <c r="AC64" s="842"/>
      <c r="AD64" s="830"/>
      <c r="AE64" s="839"/>
      <c r="AF64" s="836"/>
      <c r="AG64" s="743"/>
      <c r="AH64" s="840"/>
      <c r="AI64" s="839"/>
      <c r="AJ64" s="841"/>
      <c r="AK64" s="108" t="s">
        <v>12</v>
      </c>
      <c r="AL64" s="847">
        <v>46</v>
      </c>
      <c r="AM64" s="857"/>
      <c r="AN64" s="842"/>
      <c r="AO64" s="839"/>
      <c r="AP64" s="839"/>
      <c r="AQ64" s="836"/>
      <c r="AR64" s="743"/>
      <c r="AS64" s="840"/>
      <c r="AT64" s="839"/>
      <c r="AU64" s="856"/>
      <c r="AV64" s="108" t="s">
        <v>12</v>
      </c>
    </row>
    <row r="65" spans="4:48">
      <c r="D65" s="108" t="s">
        <v>12</v>
      </c>
      <c r="E65" s="742">
        <v>47</v>
      </c>
      <c r="F65" s="1016" t="str">
        <f t="shared" ca="1" si="7"/>
        <v/>
      </c>
      <c r="G65" s="1027" t="str">
        <f t="shared" ca="1" si="3"/>
        <v/>
      </c>
      <c r="H65" s="1043" t="str">
        <f ca="1"/>
        <v/>
      </c>
      <c r="I65" s="1006" t="str">
        <f ca="1"/>
        <v/>
      </c>
      <c r="J65" s="1006" t="str">
        <f ca="1"/>
        <v/>
      </c>
      <c r="K65" s="1016" t="str">
        <f ca="1"/>
        <v/>
      </c>
      <c r="L65" s="1019" t="str">
        <f ca="1"/>
        <v/>
      </c>
      <c r="M65" s="1006" t="str">
        <f ca="1"/>
        <v/>
      </c>
      <c r="N65" s="1060" t="str">
        <f t="shared" ca="1" si="8"/>
        <v/>
      </c>
      <c r="O65" s="996"/>
      <c r="P65" s="742">
        <v>47</v>
      </c>
      <c r="Q65" s="1016" t="str">
        <f t="shared" ca="1" si="9"/>
        <v/>
      </c>
      <c r="R65" s="1027" t="str">
        <f t="shared" ca="1" si="10"/>
        <v/>
      </c>
      <c r="S65" s="1006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9" t="str">
        <f ca="1"/>
        <v/>
      </c>
      <c r="X65" s="1006" t="str">
        <f ca="1"/>
        <v/>
      </c>
      <c r="Y65" s="864" t="str">
        <f t="shared" ca="1" si="6"/>
        <v/>
      </c>
      <c r="AA65" s="828">
        <v>47</v>
      </c>
      <c r="AB65" s="750"/>
      <c r="AC65" s="842"/>
      <c r="AD65" s="830"/>
      <c r="AE65" s="839"/>
      <c r="AF65" s="836"/>
      <c r="AG65" s="743"/>
      <c r="AH65" s="840"/>
      <c r="AI65" s="839"/>
      <c r="AJ65" s="841"/>
      <c r="AK65" s="108" t="s">
        <v>12</v>
      </c>
      <c r="AL65" s="847">
        <v>47</v>
      </c>
      <c r="AM65" s="857"/>
      <c r="AN65" s="842"/>
      <c r="AO65" s="839"/>
      <c r="AP65" s="839"/>
      <c r="AQ65" s="836"/>
      <c r="AR65" s="743"/>
      <c r="AS65" s="840"/>
      <c r="AT65" s="839"/>
      <c r="AU65" s="856"/>
      <c r="AV65" s="108" t="s">
        <v>12</v>
      </c>
    </row>
    <row r="66" spans="4:48">
      <c r="D66" s="108" t="s">
        <v>12</v>
      </c>
      <c r="E66" s="742">
        <v>48</v>
      </c>
      <c r="F66" s="1016" t="str">
        <f t="shared" ca="1" si="7"/>
        <v/>
      </c>
      <c r="G66" s="1027" t="str">
        <f t="shared" ca="1" si="3"/>
        <v/>
      </c>
      <c r="H66" s="1043" t="str">
        <f ca="1"/>
        <v/>
      </c>
      <c r="I66" s="1006" t="str">
        <f ca="1"/>
        <v/>
      </c>
      <c r="J66" s="1006" t="str">
        <f ca="1"/>
        <v/>
      </c>
      <c r="K66" s="1016" t="str">
        <f ca="1"/>
        <v/>
      </c>
      <c r="L66" s="1019" t="str">
        <f ca="1"/>
        <v/>
      </c>
      <c r="M66" s="1006" t="str">
        <f ca="1"/>
        <v/>
      </c>
      <c r="N66" s="1060" t="str">
        <f t="shared" ca="1" si="8"/>
        <v/>
      </c>
      <c r="O66" s="996"/>
      <c r="P66" s="742">
        <v>48</v>
      </c>
      <c r="Q66" s="1016" t="str">
        <f t="shared" ca="1" si="9"/>
        <v/>
      </c>
      <c r="R66" s="1027" t="str">
        <f t="shared" ca="1" si="10"/>
        <v/>
      </c>
      <c r="S66" s="1006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9" t="str">
        <f ca="1"/>
        <v/>
      </c>
      <c r="X66" s="1006" t="str">
        <f ca="1"/>
        <v/>
      </c>
      <c r="Y66" s="864" t="str">
        <f t="shared" ca="1" si="6"/>
        <v/>
      </c>
      <c r="AA66" s="828">
        <v>48</v>
      </c>
      <c r="AB66" s="750"/>
      <c r="AC66" s="842"/>
      <c r="AD66" s="830"/>
      <c r="AE66" s="839"/>
      <c r="AF66" s="836"/>
      <c r="AG66" s="743"/>
      <c r="AH66" s="840"/>
      <c r="AI66" s="839"/>
      <c r="AJ66" s="841"/>
      <c r="AK66" s="108" t="s">
        <v>12</v>
      </c>
      <c r="AL66" s="847">
        <v>48</v>
      </c>
      <c r="AM66" s="857"/>
      <c r="AN66" s="842"/>
      <c r="AO66" s="839"/>
      <c r="AP66" s="839"/>
      <c r="AQ66" s="836"/>
      <c r="AR66" s="743"/>
      <c r="AS66" s="840"/>
      <c r="AT66" s="839"/>
      <c r="AU66" s="856"/>
      <c r="AV66" s="108" t="s">
        <v>12</v>
      </c>
    </row>
    <row r="67" spans="4:48">
      <c r="D67" s="108" t="s">
        <v>12</v>
      </c>
      <c r="E67" s="742">
        <v>49</v>
      </c>
      <c r="F67" s="1016" t="str">
        <f t="shared" ca="1" si="7"/>
        <v/>
      </c>
      <c r="G67" s="1027" t="str">
        <f t="shared" ca="1" si="3"/>
        <v/>
      </c>
      <c r="H67" s="1043" t="str">
        <f ca="1"/>
        <v/>
      </c>
      <c r="I67" s="1006" t="str">
        <f ca="1"/>
        <v/>
      </c>
      <c r="J67" s="1006" t="str">
        <f ca="1"/>
        <v/>
      </c>
      <c r="K67" s="1016" t="str">
        <f ca="1"/>
        <v/>
      </c>
      <c r="L67" s="1019" t="str">
        <f ca="1"/>
        <v/>
      </c>
      <c r="M67" s="1006" t="str">
        <f ca="1"/>
        <v/>
      </c>
      <c r="N67" s="1060" t="str">
        <f t="shared" ca="1" si="8"/>
        <v/>
      </c>
      <c r="O67" s="996"/>
      <c r="P67" s="742">
        <v>49</v>
      </c>
      <c r="Q67" s="1016" t="str">
        <f t="shared" ca="1" si="9"/>
        <v/>
      </c>
      <c r="R67" s="1027" t="str">
        <f t="shared" ca="1" si="10"/>
        <v/>
      </c>
      <c r="S67" s="1006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9" t="str">
        <f ca="1"/>
        <v/>
      </c>
      <c r="X67" s="1006" t="str">
        <f ca="1"/>
        <v/>
      </c>
      <c r="Y67" s="864" t="str">
        <f t="shared" ca="1" si="6"/>
        <v/>
      </c>
      <c r="AA67" s="828">
        <v>49</v>
      </c>
      <c r="AB67" s="750"/>
      <c r="AC67" s="842"/>
      <c r="AD67" s="830"/>
      <c r="AE67" s="839"/>
      <c r="AF67" s="836"/>
      <c r="AG67" s="743"/>
      <c r="AH67" s="840"/>
      <c r="AI67" s="839"/>
      <c r="AJ67" s="841"/>
      <c r="AK67" s="108" t="s">
        <v>12</v>
      </c>
      <c r="AL67" s="847">
        <v>49</v>
      </c>
      <c r="AM67" s="857"/>
      <c r="AN67" s="842"/>
      <c r="AO67" s="839"/>
      <c r="AP67" s="839"/>
      <c r="AQ67" s="836"/>
      <c r="AR67" s="743"/>
      <c r="AS67" s="840"/>
      <c r="AT67" s="839"/>
      <c r="AU67" s="856"/>
      <c r="AV67" s="108" t="s">
        <v>12</v>
      </c>
    </row>
    <row r="68" spans="4:48">
      <c r="D68" s="108" t="s">
        <v>12</v>
      </c>
      <c r="E68" s="742">
        <v>50</v>
      </c>
      <c r="F68" s="1016" t="str">
        <f t="shared" ca="1" si="7"/>
        <v/>
      </c>
      <c r="G68" s="1027" t="str">
        <f t="shared" ca="1" si="3"/>
        <v/>
      </c>
      <c r="H68" s="1043" t="str">
        <f ca="1"/>
        <v/>
      </c>
      <c r="I68" s="1006" t="str">
        <f ca="1"/>
        <v/>
      </c>
      <c r="J68" s="1006" t="str">
        <f ca="1"/>
        <v/>
      </c>
      <c r="K68" s="1016" t="str">
        <f ca="1"/>
        <v/>
      </c>
      <c r="L68" s="1019" t="str">
        <f ca="1"/>
        <v/>
      </c>
      <c r="M68" s="1006" t="str">
        <f ca="1"/>
        <v/>
      </c>
      <c r="N68" s="1060" t="str">
        <f t="shared" ca="1" si="8"/>
        <v/>
      </c>
      <c r="O68" s="996"/>
      <c r="P68" s="742">
        <v>50</v>
      </c>
      <c r="Q68" s="1016" t="str">
        <f t="shared" ca="1" si="9"/>
        <v/>
      </c>
      <c r="R68" s="1027" t="str">
        <f t="shared" ca="1" si="10"/>
        <v/>
      </c>
      <c r="S68" s="1006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9" t="str">
        <f ca="1"/>
        <v/>
      </c>
      <c r="X68" s="1006" t="str">
        <f ca="1"/>
        <v/>
      </c>
      <c r="Y68" s="864" t="str">
        <f t="shared" ca="1" si="6"/>
        <v/>
      </c>
      <c r="AA68" s="828">
        <v>50</v>
      </c>
      <c r="AB68" s="750"/>
      <c r="AC68" s="842"/>
      <c r="AD68" s="830"/>
      <c r="AE68" s="839"/>
      <c r="AF68" s="836"/>
      <c r="AG68" s="743"/>
      <c r="AH68" s="840"/>
      <c r="AI68" s="839"/>
      <c r="AJ68" s="841"/>
      <c r="AK68" s="108" t="s">
        <v>12</v>
      </c>
      <c r="AL68" s="847">
        <v>50</v>
      </c>
      <c r="AM68" s="857"/>
      <c r="AN68" s="842"/>
      <c r="AO68" s="839"/>
      <c r="AP68" s="839"/>
      <c r="AQ68" s="836"/>
      <c r="AR68" s="743"/>
      <c r="AS68" s="840"/>
      <c r="AT68" s="839"/>
      <c r="AU68" s="856"/>
      <c r="AV68" s="108" t="s">
        <v>12</v>
      </c>
    </row>
    <row r="69" spans="4:48">
      <c r="D69" s="108" t="s">
        <v>12</v>
      </c>
      <c r="E69" s="742">
        <v>51</v>
      </c>
      <c r="F69" s="1016" t="str">
        <f t="shared" ca="1" si="7"/>
        <v/>
      </c>
      <c r="G69" s="1027" t="str">
        <f t="shared" ca="1" si="3"/>
        <v/>
      </c>
      <c r="H69" s="1043" t="str">
        <f ca="1"/>
        <v/>
      </c>
      <c r="I69" s="1006" t="str">
        <f ca="1"/>
        <v/>
      </c>
      <c r="J69" s="1006" t="str">
        <f ca="1"/>
        <v/>
      </c>
      <c r="K69" s="1016" t="str">
        <f ca="1"/>
        <v/>
      </c>
      <c r="L69" s="1019" t="str">
        <f ca="1"/>
        <v/>
      </c>
      <c r="M69" s="1006" t="str">
        <f ca="1"/>
        <v/>
      </c>
      <c r="N69" s="1060" t="str">
        <f t="shared" ca="1" si="8"/>
        <v/>
      </c>
      <c r="O69" s="996"/>
      <c r="P69" s="742">
        <v>51</v>
      </c>
      <c r="Q69" s="1016" t="str">
        <f t="shared" ca="1" si="9"/>
        <v/>
      </c>
      <c r="R69" s="1027" t="str">
        <f t="shared" ca="1" si="10"/>
        <v/>
      </c>
      <c r="S69" s="1006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9" t="str">
        <f ca="1"/>
        <v/>
      </c>
      <c r="X69" s="1006" t="str">
        <f ca="1"/>
        <v/>
      </c>
      <c r="Y69" s="864" t="str">
        <f t="shared" ca="1" si="6"/>
        <v/>
      </c>
      <c r="AA69" s="828">
        <v>51</v>
      </c>
      <c r="AB69" s="750"/>
      <c r="AC69" s="842"/>
      <c r="AD69" s="830"/>
      <c r="AE69" s="839"/>
      <c r="AF69" s="839"/>
      <c r="AG69" s="750"/>
      <c r="AH69" s="840"/>
      <c r="AI69" s="839"/>
      <c r="AJ69" s="841"/>
      <c r="AK69" s="108" t="s">
        <v>12</v>
      </c>
      <c r="AL69" s="847">
        <v>51</v>
      </c>
      <c r="AM69" s="857"/>
      <c r="AN69" s="842"/>
      <c r="AO69" s="839"/>
      <c r="AP69" s="839"/>
      <c r="AQ69" s="839"/>
      <c r="AR69" s="750"/>
      <c r="AS69" s="840"/>
      <c r="AT69" s="839"/>
      <c r="AU69" s="856"/>
      <c r="AV69" s="108" t="s">
        <v>12</v>
      </c>
    </row>
    <row r="70" spans="4:48">
      <c r="D70" s="108" t="s">
        <v>12</v>
      </c>
      <c r="E70" s="742">
        <v>52</v>
      </c>
      <c r="F70" s="1016" t="str">
        <f t="shared" ca="1" si="7"/>
        <v/>
      </c>
      <c r="G70" s="1027" t="str">
        <f t="shared" ca="1" si="3"/>
        <v/>
      </c>
      <c r="H70" s="1043" t="str">
        <f ca="1"/>
        <v/>
      </c>
      <c r="I70" s="1006" t="str">
        <f ca="1"/>
        <v/>
      </c>
      <c r="J70" s="1006" t="str">
        <f ca="1"/>
        <v/>
      </c>
      <c r="K70" s="1016" t="str">
        <f ca="1"/>
        <v/>
      </c>
      <c r="L70" s="1019" t="str">
        <f ca="1"/>
        <v/>
      </c>
      <c r="M70" s="1006" t="str">
        <f ca="1"/>
        <v/>
      </c>
      <c r="N70" s="1060" t="str">
        <f t="shared" ca="1" si="8"/>
        <v/>
      </c>
      <c r="O70" s="996"/>
      <c r="P70" s="742">
        <v>52</v>
      </c>
      <c r="Q70" s="1016" t="str">
        <f t="shared" ca="1" si="9"/>
        <v/>
      </c>
      <c r="R70" s="1027" t="str">
        <f t="shared" ca="1" si="10"/>
        <v/>
      </c>
      <c r="S70" s="1006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9" t="str">
        <f ca="1"/>
        <v/>
      </c>
      <c r="X70" s="1006" t="str">
        <f ca="1"/>
        <v/>
      </c>
      <c r="Y70" s="864" t="str">
        <f t="shared" ca="1" si="6"/>
        <v/>
      </c>
      <c r="AA70" s="828">
        <v>52</v>
      </c>
      <c r="AB70" s="750"/>
      <c r="AC70" s="842"/>
      <c r="AD70" s="830"/>
      <c r="AE70" s="839"/>
      <c r="AF70" s="839"/>
      <c r="AG70" s="750"/>
      <c r="AH70" s="840"/>
      <c r="AI70" s="839"/>
      <c r="AJ70" s="841"/>
      <c r="AK70" s="108" t="s">
        <v>12</v>
      </c>
      <c r="AL70" s="847">
        <v>52</v>
      </c>
      <c r="AM70" s="857"/>
      <c r="AN70" s="842"/>
      <c r="AO70" s="839"/>
      <c r="AP70" s="839"/>
      <c r="AQ70" s="839"/>
      <c r="AR70" s="750"/>
      <c r="AS70" s="840"/>
      <c r="AT70" s="839"/>
      <c r="AU70" s="856"/>
      <c r="AV70" s="108" t="s">
        <v>12</v>
      </c>
    </row>
    <row r="71" spans="4:48">
      <c r="D71" s="108" t="s">
        <v>12</v>
      </c>
      <c r="E71" s="742">
        <v>53</v>
      </c>
      <c r="F71" s="1016" t="str">
        <f t="shared" ca="1" si="7"/>
        <v/>
      </c>
      <c r="G71" s="1027" t="str">
        <f t="shared" ca="1" si="3"/>
        <v/>
      </c>
      <c r="H71" s="1043" t="str">
        <f ca="1"/>
        <v/>
      </c>
      <c r="I71" s="1006" t="str">
        <f ca="1"/>
        <v/>
      </c>
      <c r="J71" s="1006" t="str">
        <f ca="1"/>
        <v/>
      </c>
      <c r="K71" s="1016" t="str">
        <f ca="1"/>
        <v/>
      </c>
      <c r="L71" s="1019" t="str">
        <f ca="1"/>
        <v/>
      </c>
      <c r="M71" s="1006" t="str">
        <f ca="1"/>
        <v/>
      </c>
      <c r="N71" s="1060" t="str">
        <f t="shared" ca="1" si="8"/>
        <v/>
      </c>
      <c r="O71" s="996"/>
      <c r="P71" s="742">
        <v>53</v>
      </c>
      <c r="Q71" s="1016" t="str">
        <f t="shared" ca="1" si="9"/>
        <v/>
      </c>
      <c r="R71" s="1027" t="str">
        <f t="shared" ca="1" si="10"/>
        <v/>
      </c>
      <c r="S71" s="1006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9" t="str">
        <f ca="1"/>
        <v/>
      </c>
      <c r="X71" s="1006" t="str">
        <f ca="1"/>
        <v/>
      </c>
      <c r="Y71" s="864" t="str">
        <f t="shared" ca="1" si="6"/>
        <v/>
      </c>
      <c r="AA71" s="828">
        <v>53</v>
      </c>
      <c r="AB71" s="750"/>
      <c r="AC71" s="842"/>
      <c r="AD71" s="830"/>
      <c r="AE71" s="839"/>
      <c r="AF71" s="839"/>
      <c r="AG71" s="750"/>
      <c r="AH71" s="840"/>
      <c r="AI71" s="839"/>
      <c r="AJ71" s="841"/>
      <c r="AK71" s="108" t="s">
        <v>12</v>
      </c>
      <c r="AL71" s="847">
        <v>53</v>
      </c>
      <c r="AM71" s="857"/>
      <c r="AN71" s="842"/>
      <c r="AO71" s="839"/>
      <c r="AP71" s="839"/>
      <c r="AQ71" s="839"/>
      <c r="AR71" s="750"/>
      <c r="AS71" s="840"/>
      <c r="AT71" s="839"/>
      <c r="AU71" s="856"/>
      <c r="AV71" s="108" t="s">
        <v>12</v>
      </c>
    </row>
    <row r="72" spans="4:48">
      <c r="D72" s="108" t="s">
        <v>12</v>
      </c>
      <c r="E72" s="742">
        <v>54</v>
      </c>
      <c r="F72" s="1016" t="str">
        <f t="shared" ca="1" si="7"/>
        <v/>
      </c>
      <c r="G72" s="1027" t="str">
        <f t="shared" ca="1" si="3"/>
        <v/>
      </c>
      <c r="H72" s="1043" t="str">
        <f ca="1"/>
        <v/>
      </c>
      <c r="I72" s="1006" t="str">
        <f ca="1"/>
        <v/>
      </c>
      <c r="J72" s="1006" t="str">
        <f ca="1"/>
        <v/>
      </c>
      <c r="K72" s="1016" t="str">
        <f ca="1"/>
        <v/>
      </c>
      <c r="L72" s="1019" t="str">
        <f ca="1"/>
        <v/>
      </c>
      <c r="M72" s="1006" t="str">
        <f ca="1"/>
        <v/>
      </c>
      <c r="N72" s="1060" t="str">
        <f t="shared" ca="1" si="8"/>
        <v/>
      </c>
      <c r="O72" s="996"/>
      <c r="P72" s="742">
        <v>54</v>
      </c>
      <c r="Q72" s="1016" t="str">
        <f t="shared" ca="1" si="9"/>
        <v/>
      </c>
      <c r="R72" s="1027" t="str">
        <f t="shared" ca="1" si="10"/>
        <v/>
      </c>
      <c r="S72" s="1006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9" t="str">
        <f ca="1"/>
        <v/>
      </c>
      <c r="X72" s="1006" t="str">
        <f ca="1"/>
        <v/>
      </c>
      <c r="Y72" s="864" t="str">
        <f t="shared" ca="1" si="6"/>
        <v/>
      </c>
      <c r="AA72" s="828">
        <v>54</v>
      </c>
      <c r="AB72" s="750"/>
      <c r="AC72" s="842"/>
      <c r="AD72" s="830"/>
      <c r="AE72" s="839"/>
      <c r="AF72" s="839"/>
      <c r="AG72" s="750"/>
      <c r="AH72" s="840"/>
      <c r="AI72" s="839"/>
      <c r="AJ72" s="841"/>
      <c r="AK72" s="108" t="s">
        <v>12</v>
      </c>
      <c r="AL72" s="847">
        <v>54</v>
      </c>
      <c r="AM72" s="857"/>
      <c r="AN72" s="842"/>
      <c r="AO72" s="839"/>
      <c r="AP72" s="839"/>
      <c r="AQ72" s="839"/>
      <c r="AR72" s="750"/>
      <c r="AS72" s="840"/>
      <c r="AT72" s="839"/>
      <c r="AU72" s="856"/>
      <c r="AV72" s="108" t="s">
        <v>12</v>
      </c>
    </row>
    <row r="73" spans="4:48">
      <c r="D73" s="108" t="s">
        <v>12</v>
      </c>
      <c r="E73" s="742">
        <v>55</v>
      </c>
      <c r="F73" s="1016" t="str">
        <f t="shared" ca="1" si="7"/>
        <v/>
      </c>
      <c r="G73" s="1027" t="str">
        <f t="shared" ca="1" si="3"/>
        <v/>
      </c>
      <c r="H73" s="1043" t="str">
        <f ca="1"/>
        <v/>
      </c>
      <c r="I73" s="1006" t="str">
        <f ca="1"/>
        <v/>
      </c>
      <c r="J73" s="1006" t="str">
        <f ca="1"/>
        <v/>
      </c>
      <c r="K73" s="1016" t="str">
        <f ca="1"/>
        <v/>
      </c>
      <c r="L73" s="1019" t="str">
        <f ca="1"/>
        <v/>
      </c>
      <c r="M73" s="1006" t="str">
        <f ca="1"/>
        <v/>
      </c>
      <c r="N73" s="1060" t="str">
        <f t="shared" ca="1" si="8"/>
        <v/>
      </c>
      <c r="O73" s="996"/>
      <c r="P73" s="742">
        <v>55</v>
      </c>
      <c r="Q73" s="1016" t="str">
        <f t="shared" ca="1" si="9"/>
        <v/>
      </c>
      <c r="R73" s="1027" t="str">
        <f t="shared" ca="1" si="10"/>
        <v/>
      </c>
      <c r="S73" s="1006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9" t="str">
        <f ca="1"/>
        <v/>
      </c>
      <c r="X73" s="1006" t="str">
        <f ca="1"/>
        <v/>
      </c>
      <c r="Y73" s="864" t="str">
        <f t="shared" ca="1" si="6"/>
        <v/>
      </c>
      <c r="AA73" s="828">
        <v>55</v>
      </c>
      <c r="AB73" s="750"/>
      <c r="AC73" s="842"/>
      <c r="AD73" s="830"/>
      <c r="AE73" s="839"/>
      <c r="AF73" s="839"/>
      <c r="AG73" s="750"/>
      <c r="AH73" s="840"/>
      <c r="AI73" s="839"/>
      <c r="AJ73" s="841"/>
      <c r="AK73" s="108" t="s">
        <v>12</v>
      </c>
      <c r="AL73" s="847">
        <v>55</v>
      </c>
      <c r="AM73" s="857"/>
      <c r="AN73" s="842"/>
      <c r="AO73" s="839"/>
      <c r="AP73" s="839"/>
      <c r="AQ73" s="839"/>
      <c r="AR73" s="750"/>
      <c r="AS73" s="840"/>
      <c r="AT73" s="839"/>
      <c r="AU73" s="856"/>
      <c r="AV73" s="108" t="s">
        <v>12</v>
      </c>
    </row>
    <row r="74" spans="4:48">
      <c r="D74" s="108" t="s">
        <v>12</v>
      </c>
      <c r="E74" s="742">
        <v>56</v>
      </c>
      <c r="F74" s="1016" t="str">
        <f t="shared" ca="1" si="7"/>
        <v/>
      </c>
      <c r="G74" s="1027" t="str">
        <f t="shared" ca="1" si="3"/>
        <v/>
      </c>
      <c r="H74" s="1043" t="str">
        <f ca="1"/>
        <v/>
      </c>
      <c r="I74" s="1006" t="str">
        <f ca="1"/>
        <v/>
      </c>
      <c r="J74" s="1006" t="str">
        <f ca="1"/>
        <v/>
      </c>
      <c r="K74" s="1016" t="str">
        <f ca="1"/>
        <v/>
      </c>
      <c r="L74" s="1019" t="str">
        <f ca="1"/>
        <v/>
      </c>
      <c r="M74" s="1006" t="str">
        <f ca="1"/>
        <v/>
      </c>
      <c r="N74" s="1060" t="str">
        <f t="shared" ca="1" si="8"/>
        <v/>
      </c>
      <c r="O74" s="996"/>
      <c r="P74" s="742">
        <v>56</v>
      </c>
      <c r="Q74" s="1016" t="str">
        <f t="shared" ca="1" si="9"/>
        <v/>
      </c>
      <c r="R74" s="1027" t="str">
        <f t="shared" ca="1" si="10"/>
        <v/>
      </c>
      <c r="S74" s="1006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9" t="str">
        <f ca="1"/>
        <v/>
      </c>
      <c r="X74" s="1006" t="str">
        <f ca="1"/>
        <v/>
      </c>
      <c r="Y74" s="864" t="str">
        <f t="shared" ca="1" si="6"/>
        <v/>
      </c>
      <c r="AA74" s="828">
        <v>56</v>
      </c>
      <c r="AB74" s="750"/>
      <c r="AC74" s="842"/>
      <c r="AD74" s="830"/>
      <c r="AE74" s="839"/>
      <c r="AF74" s="839"/>
      <c r="AG74" s="750"/>
      <c r="AH74" s="840"/>
      <c r="AI74" s="839"/>
      <c r="AJ74" s="841"/>
      <c r="AK74" s="108" t="s">
        <v>12</v>
      </c>
      <c r="AL74" s="847">
        <v>56</v>
      </c>
      <c r="AM74" s="857"/>
      <c r="AN74" s="842"/>
      <c r="AO74" s="839"/>
      <c r="AP74" s="839"/>
      <c r="AQ74" s="839"/>
      <c r="AR74" s="750"/>
      <c r="AS74" s="840"/>
      <c r="AT74" s="839"/>
      <c r="AU74" s="856"/>
      <c r="AV74" s="108" t="s">
        <v>12</v>
      </c>
    </row>
    <row r="75" spans="4:48">
      <c r="D75" s="108" t="s">
        <v>12</v>
      </c>
      <c r="E75" s="742">
        <v>57</v>
      </c>
      <c r="F75" s="1016" t="str">
        <f t="shared" ca="1" si="7"/>
        <v/>
      </c>
      <c r="G75" s="1027" t="str">
        <f t="shared" ca="1" si="3"/>
        <v/>
      </c>
      <c r="H75" s="1043" t="str">
        <f ca="1"/>
        <v/>
      </c>
      <c r="I75" s="1006" t="str">
        <f ca="1"/>
        <v/>
      </c>
      <c r="J75" s="1006" t="str">
        <f ca="1"/>
        <v/>
      </c>
      <c r="K75" s="1016" t="str">
        <f ca="1"/>
        <v/>
      </c>
      <c r="L75" s="1019" t="str">
        <f ca="1"/>
        <v/>
      </c>
      <c r="M75" s="1006" t="str">
        <f ca="1"/>
        <v/>
      </c>
      <c r="N75" s="1060" t="str">
        <f t="shared" ca="1" si="8"/>
        <v/>
      </c>
      <c r="O75" s="996"/>
      <c r="P75" s="742">
        <v>57</v>
      </c>
      <c r="Q75" s="1016" t="str">
        <f t="shared" ca="1" si="9"/>
        <v/>
      </c>
      <c r="R75" s="1027" t="str">
        <f t="shared" ca="1" si="10"/>
        <v/>
      </c>
      <c r="S75" s="1006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9" t="str">
        <f ca="1"/>
        <v/>
      </c>
      <c r="X75" s="1006" t="str">
        <f ca="1"/>
        <v/>
      </c>
      <c r="Y75" s="864" t="str">
        <f t="shared" ca="1" si="6"/>
        <v/>
      </c>
      <c r="AA75" s="828">
        <v>57</v>
      </c>
      <c r="AB75" s="750"/>
      <c r="AC75" s="842"/>
      <c r="AD75" s="830"/>
      <c r="AE75" s="839"/>
      <c r="AF75" s="839"/>
      <c r="AG75" s="750"/>
      <c r="AH75" s="840"/>
      <c r="AI75" s="839"/>
      <c r="AJ75" s="841"/>
      <c r="AK75" s="108" t="s">
        <v>12</v>
      </c>
      <c r="AL75" s="847">
        <v>57</v>
      </c>
      <c r="AM75" s="857"/>
      <c r="AN75" s="842"/>
      <c r="AO75" s="839"/>
      <c r="AP75" s="839"/>
      <c r="AQ75" s="839"/>
      <c r="AR75" s="750"/>
      <c r="AS75" s="840"/>
      <c r="AT75" s="839"/>
      <c r="AU75" s="856"/>
      <c r="AV75" s="108" t="s">
        <v>12</v>
      </c>
    </row>
    <row r="76" spans="4:48">
      <c r="D76" s="108" t="s">
        <v>12</v>
      </c>
      <c r="E76" s="742">
        <v>58</v>
      </c>
      <c r="F76" s="1016" t="str">
        <f t="shared" ca="1" si="7"/>
        <v/>
      </c>
      <c r="G76" s="1027" t="str">
        <f t="shared" ca="1" si="3"/>
        <v/>
      </c>
      <c r="H76" s="1043" t="str">
        <f ca="1"/>
        <v/>
      </c>
      <c r="I76" s="1006" t="str">
        <f ca="1"/>
        <v/>
      </c>
      <c r="J76" s="1006" t="str">
        <f ca="1"/>
        <v/>
      </c>
      <c r="K76" s="1016" t="str">
        <f ca="1"/>
        <v/>
      </c>
      <c r="L76" s="1019" t="str">
        <f ca="1"/>
        <v/>
      </c>
      <c r="M76" s="1006" t="str">
        <f ca="1"/>
        <v/>
      </c>
      <c r="N76" s="1060" t="str">
        <f t="shared" ca="1" si="8"/>
        <v/>
      </c>
      <c r="O76" s="996"/>
      <c r="P76" s="742">
        <v>58</v>
      </c>
      <c r="Q76" s="1016" t="str">
        <f t="shared" ca="1" si="9"/>
        <v/>
      </c>
      <c r="R76" s="1027" t="str">
        <f t="shared" ca="1" si="10"/>
        <v/>
      </c>
      <c r="S76" s="1006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9" t="str">
        <f ca="1"/>
        <v/>
      </c>
      <c r="X76" s="1006" t="str">
        <f ca="1"/>
        <v/>
      </c>
      <c r="Y76" s="864" t="str">
        <f t="shared" ca="1" si="6"/>
        <v/>
      </c>
      <c r="AA76" s="828">
        <v>58</v>
      </c>
      <c r="AB76" s="750"/>
      <c r="AC76" s="842"/>
      <c r="AD76" s="830"/>
      <c r="AE76" s="839"/>
      <c r="AF76" s="839"/>
      <c r="AG76" s="750"/>
      <c r="AH76" s="840"/>
      <c r="AI76" s="839"/>
      <c r="AJ76" s="841"/>
      <c r="AK76" s="108" t="s">
        <v>12</v>
      </c>
      <c r="AL76" s="847">
        <v>58</v>
      </c>
      <c r="AM76" s="857"/>
      <c r="AN76" s="842"/>
      <c r="AO76" s="839"/>
      <c r="AP76" s="839"/>
      <c r="AQ76" s="839"/>
      <c r="AR76" s="750"/>
      <c r="AS76" s="840"/>
      <c r="AT76" s="839"/>
      <c r="AU76" s="856"/>
      <c r="AV76" s="108" t="s">
        <v>12</v>
      </c>
    </row>
    <row r="77" spans="4:48">
      <c r="D77" s="108" t="s">
        <v>12</v>
      </c>
      <c r="E77" s="742">
        <v>59</v>
      </c>
      <c r="F77" s="1016" t="str">
        <f t="shared" ca="1" si="7"/>
        <v/>
      </c>
      <c r="G77" s="1027" t="str">
        <f t="shared" ca="1" si="3"/>
        <v/>
      </c>
      <c r="H77" s="1043" t="str">
        <f ca="1"/>
        <v/>
      </c>
      <c r="I77" s="1006" t="str">
        <f ca="1"/>
        <v/>
      </c>
      <c r="J77" s="1006" t="str">
        <f ca="1"/>
        <v/>
      </c>
      <c r="K77" s="1016" t="str">
        <f ca="1"/>
        <v/>
      </c>
      <c r="L77" s="1019" t="str">
        <f ca="1"/>
        <v/>
      </c>
      <c r="M77" s="1006" t="str">
        <f ca="1"/>
        <v/>
      </c>
      <c r="N77" s="1060" t="str">
        <f t="shared" ca="1" si="8"/>
        <v/>
      </c>
      <c r="O77" s="996"/>
      <c r="P77" s="742">
        <v>59</v>
      </c>
      <c r="Q77" s="1016" t="str">
        <f t="shared" ca="1" si="9"/>
        <v/>
      </c>
      <c r="R77" s="1027" t="str">
        <f t="shared" ca="1" si="10"/>
        <v/>
      </c>
      <c r="S77" s="1006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9" t="str">
        <f ca="1"/>
        <v/>
      </c>
      <c r="X77" s="1006" t="str">
        <f ca="1"/>
        <v/>
      </c>
      <c r="Y77" s="864" t="str">
        <f t="shared" ca="1" si="6"/>
        <v/>
      </c>
      <c r="AA77" s="828">
        <v>59</v>
      </c>
      <c r="AB77" s="750"/>
      <c r="AC77" s="842"/>
      <c r="AD77" s="830"/>
      <c r="AE77" s="839"/>
      <c r="AF77" s="839"/>
      <c r="AG77" s="750"/>
      <c r="AH77" s="840"/>
      <c r="AI77" s="839"/>
      <c r="AJ77" s="841"/>
      <c r="AK77" s="108" t="s">
        <v>12</v>
      </c>
      <c r="AL77" s="847">
        <v>59</v>
      </c>
      <c r="AM77" s="857"/>
      <c r="AN77" s="842"/>
      <c r="AO77" s="839"/>
      <c r="AP77" s="839"/>
      <c r="AQ77" s="839"/>
      <c r="AR77" s="750"/>
      <c r="AS77" s="840"/>
      <c r="AT77" s="839"/>
      <c r="AU77" s="856"/>
      <c r="AV77" s="108" t="s">
        <v>12</v>
      </c>
    </row>
    <row r="78" spans="4:48">
      <c r="D78" s="108" t="s">
        <v>12</v>
      </c>
      <c r="E78" s="742">
        <v>60</v>
      </c>
      <c r="F78" s="1016" t="str">
        <f t="shared" ca="1" si="7"/>
        <v/>
      </c>
      <c r="G78" s="1027" t="str">
        <f t="shared" ca="1" si="3"/>
        <v/>
      </c>
      <c r="H78" s="1043" t="str">
        <f ca="1"/>
        <v/>
      </c>
      <c r="I78" s="1006" t="str">
        <f ca="1"/>
        <v/>
      </c>
      <c r="J78" s="1006" t="str">
        <f ca="1"/>
        <v/>
      </c>
      <c r="K78" s="1016" t="str">
        <f ca="1"/>
        <v/>
      </c>
      <c r="L78" s="1019" t="str">
        <f ca="1"/>
        <v/>
      </c>
      <c r="M78" s="1006" t="str">
        <f ca="1"/>
        <v/>
      </c>
      <c r="N78" s="1060" t="str">
        <f t="shared" ca="1" si="8"/>
        <v/>
      </c>
      <c r="O78" s="996"/>
      <c r="P78" s="742">
        <v>60</v>
      </c>
      <c r="Q78" s="1016" t="str">
        <f t="shared" ca="1" si="9"/>
        <v/>
      </c>
      <c r="R78" s="1027" t="str">
        <f t="shared" ca="1" si="10"/>
        <v/>
      </c>
      <c r="S78" s="1006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9" t="str">
        <f ca="1"/>
        <v/>
      </c>
      <c r="X78" s="1006" t="str">
        <f ca="1"/>
        <v/>
      </c>
      <c r="Y78" s="864" t="str">
        <f t="shared" ca="1" si="6"/>
        <v/>
      </c>
      <c r="AA78" s="828">
        <v>60</v>
      </c>
      <c r="AB78" s="750"/>
      <c r="AC78" s="842"/>
      <c r="AD78" s="830"/>
      <c r="AE78" s="839"/>
      <c r="AF78" s="839"/>
      <c r="AG78" s="750"/>
      <c r="AH78" s="840"/>
      <c r="AI78" s="839"/>
      <c r="AJ78" s="841"/>
      <c r="AK78" s="108" t="s">
        <v>12</v>
      </c>
      <c r="AL78" s="847">
        <v>60</v>
      </c>
      <c r="AM78" s="857"/>
      <c r="AN78" s="842"/>
      <c r="AO78" s="839"/>
      <c r="AP78" s="839"/>
      <c r="AQ78" s="839"/>
      <c r="AR78" s="750"/>
      <c r="AS78" s="840"/>
      <c r="AT78" s="839"/>
      <c r="AU78" s="856"/>
      <c r="AV78" s="108" t="s">
        <v>12</v>
      </c>
    </row>
    <row r="79" spans="4:48">
      <c r="D79" s="108" t="s">
        <v>12</v>
      </c>
      <c r="E79" s="742">
        <v>61</v>
      </c>
      <c r="F79" s="1016" t="str">
        <f t="shared" ca="1" si="7"/>
        <v/>
      </c>
      <c r="G79" s="1027" t="str">
        <f t="shared" ca="1" si="3"/>
        <v/>
      </c>
      <c r="H79" s="1043" t="str">
        <f ca="1"/>
        <v/>
      </c>
      <c r="I79" s="1006" t="str">
        <f ca="1"/>
        <v/>
      </c>
      <c r="J79" s="1006" t="str">
        <f ca="1"/>
        <v/>
      </c>
      <c r="K79" s="1016" t="str">
        <f ca="1"/>
        <v/>
      </c>
      <c r="L79" s="1019" t="str">
        <f ca="1"/>
        <v/>
      </c>
      <c r="M79" s="1006" t="str">
        <f ca="1"/>
        <v/>
      </c>
      <c r="N79" s="1060" t="str">
        <f t="shared" ca="1" si="8"/>
        <v/>
      </c>
      <c r="O79" s="996"/>
      <c r="P79" s="742">
        <v>61</v>
      </c>
      <c r="Q79" s="1016" t="str">
        <f t="shared" ca="1" si="9"/>
        <v/>
      </c>
      <c r="R79" s="1027" t="str">
        <f t="shared" ca="1" si="10"/>
        <v/>
      </c>
      <c r="S79" s="1006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9" t="str">
        <f ca="1"/>
        <v/>
      </c>
      <c r="X79" s="1006" t="str">
        <f ca="1"/>
        <v/>
      </c>
      <c r="Y79" s="864" t="str">
        <f t="shared" ca="1" si="6"/>
        <v/>
      </c>
      <c r="AA79" s="828">
        <v>61</v>
      </c>
      <c r="AB79" s="750"/>
      <c r="AC79" s="842"/>
      <c r="AD79" s="830"/>
      <c r="AE79" s="839"/>
      <c r="AF79" s="839"/>
      <c r="AG79" s="750"/>
      <c r="AH79" s="840"/>
      <c r="AI79" s="839"/>
      <c r="AJ79" s="841"/>
      <c r="AK79" s="108" t="s">
        <v>12</v>
      </c>
      <c r="AL79" s="847">
        <v>61</v>
      </c>
      <c r="AM79" s="857"/>
      <c r="AN79" s="842"/>
      <c r="AO79" s="839"/>
      <c r="AP79" s="839"/>
      <c r="AQ79" s="839"/>
      <c r="AR79" s="750"/>
      <c r="AS79" s="840"/>
      <c r="AT79" s="839"/>
      <c r="AU79" s="856"/>
      <c r="AV79" s="108" t="s">
        <v>12</v>
      </c>
    </row>
    <row r="80" spans="4:48">
      <c r="D80" s="108" t="s">
        <v>12</v>
      </c>
      <c r="E80" s="742">
        <v>62</v>
      </c>
      <c r="F80" s="1016" t="str">
        <f t="shared" ca="1" si="7"/>
        <v/>
      </c>
      <c r="G80" s="1027" t="str">
        <f t="shared" ca="1" si="3"/>
        <v/>
      </c>
      <c r="H80" s="1043" t="str">
        <f ca="1"/>
        <v/>
      </c>
      <c r="I80" s="1006" t="str">
        <f ca="1"/>
        <v/>
      </c>
      <c r="J80" s="1006" t="str">
        <f ca="1"/>
        <v/>
      </c>
      <c r="K80" s="1016" t="str">
        <f ca="1"/>
        <v/>
      </c>
      <c r="L80" s="1019" t="str">
        <f ca="1"/>
        <v/>
      </c>
      <c r="M80" s="1006" t="str">
        <f ca="1"/>
        <v/>
      </c>
      <c r="N80" s="1060" t="str">
        <f t="shared" ca="1" si="8"/>
        <v/>
      </c>
      <c r="O80" s="996"/>
      <c r="P80" s="742">
        <v>62</v>
      </c>
      <c r="Q80" s="1016" t="str">
        <f t="shared" ca="1" si="9"/>
        <v/>
      </c>
      <c r="R80" s="1027" t="str">
        <f t="shared" ca="1" si="10"/>
        <v/>
      </c>
      <c r="S80" s="1006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9" t="str">
        <f ca="1"/>
        <v/>
      </c>
      <c r="X80" s="1006" t="str">
        <f ca="1"/>
        <v/>
      </c>
      <c r="Y80" s="864" t="str">
        <f t="shared" ca="1" si="6"/>
        <v/>
      </c>
      <c r="AA80" s="828">
        <v>62</v>
      </c>
      <c r="AB80" s="750"/>
      <c r="AC80" s="842"/>
      <c r="AD80" s="830"/>
      <c r="AE80" s="839"/>
      <c r="AF80" s="839"/>
      <c r="AG80" s="750"/>
      <c r="AH80" s="840"/>
      <c r="AI80" s="839"/>
      <c r="AJ80" s="841"/>
      <c r="AK80" s="108" t="s">
        <v>12</v>
      </c>
      <c r="AL80" s="847">
        <v>62</v>
      </c>
      <c r="AM80" s="857"/>
      <c r="AN80" s="842"/>
      <c r="AO80" s="839"/>
      <c r="AP80" s="839"/>
      <c r="AQ80" s="839"/>
      <c r="AR80" s="750"/>
      <c r="AS80" s="840"/>
      <c r="AT80" s="839"/>
      <c r="AU80" s="856"/>
      <c r="AV80" s="108" t="s">
        <v>12</v>
      </c>
    </row>
    <row r="81" spans="4:48">
      <c r="D81" s="108" t="s">
        <v>12</v>
      </c>
      <c r="E81" s="742">
        <v>63</v>
      </c>
      <c r="F81" s="1016" t="str">
        <f t="shared" ca="1" si="7"/>
        <v/>
      </c>
      <c r="G81" s="1027" t="str">
        <f t="shared" ca="1" si="3"/>
        <v/>
      </c>
      <c r="H81" s="1043" t="str">
        <f ca="1"/>
        <v/>
      </c>
      <c r="I81" s="1006" t="str">
        <f ca="1"/>
        <v/>
      </c>
      <c r="J81" s="1006" t="str">
        <f ca="1"/>
        <v/>
      </c>
      <c r="K81" s="1016" t="str">
        <f ca="1"/>
        <v/>
      </c>
      <c r="L81" s="1019" t="str">
        <f ca="1"/>
        <v/>
      </c>
      <c r="M81" s="1006" t="str">
        <f ca="1"/>
        <v/>
      </c>
      <c r="N81" s="1060" t="str">
        <f t="shared" ca="1" si="8"/>
        <v/>
      </c>
      <c r="O81" s="996"/>
      <c r="P81" s="742">
        <v>63</v>
      </c>
      <c r="Q81" s="1016" t="str">
        <f t="shared" ca="1" si="9"/>
        <v/>
      </c>
      <c r="R81" s="1027" t="str">
        <f t="shared" ca="1" si="10"/>
        <v/>
      </c>
      <c r="S81" s="1006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9" t="str">
        <f ca="1"/>
        <v/>
      </c>
      <c r="X81" s="1006" t="str">
        <f ca="1"/>
        <v/>
      </c>
      <c r="Y81" s="864" t="str">
        <f t="shared" ca="1" si="6"/>
        <v/>
      </c>
      <c r="AA81" s="828">
        <v>63</v>
      </c>
      <c r="AB81" s="750"/>
      <c r="AC81" s="842"/>
      <c r="AD81" s="830"/>
      <c r="AE81" s="839"/>
      <c r="AF81" s="839"/>
      <c r="AG81" s="750"/>
      <c r="AH81" s="840"/>
      <c r="AI81" s="839"/>
      <c r="AJ81" s="841"/>
      <c r="AK81" s="108" t="s">
        <v>12</v>
      </c>
      <c r="AL81" s="847">
        <v>63</v>
      </c>
      <c r="AM81" s="857"/>
      <c r="AN81" s="842"/>
      <c r="AO81" s="839"/>
      <c r="AP81" s="839"/>
      <c r="AQ81" s="839"/>
      <c r="AR81" s="750"/>
      <c r="AS81" s="840"/>
      <c r="AT81" s="839"/>
      <c r="AU81" s="856"/>
      <c r="AV81" s="108" t="s">
        <v>12</v>
      </c>
    </row>
    <row r="82" spans="4:48">
      <c r="D82" s="108" t="s">
        <v>12</v>
      </c>
      <c r="E82" s="742">
        <v>64</v>
      </c>
      <c r="F82" s="1016" t="str">
        <f t="shared" ca="1" si="7"/>
        <v/>
      </c>
      <c r="G82" s="1027" t="str">
        <f t="shared" ca="1" si="3"/>
        <v/>
      </c>
      <c r="H82" s="1043" t="str">
        <f ca="1"/>
        <v/>
      </c>
      <c r="I82" s="1006" t="str">
        <f ca="1"/>
        <v/>
      </c>
      <c r="J82" s="1006" t="str">
        <f ca="1"/>
        <v/>
      </c>
      <c r="K82" s="1016" t="str">
        <f ca="1"/>
        <v/>
      </c>
      <c r="L82" s="1019" t="str">
        <f ca="1"/>
        <v/>
      </c>
      <c r="M82" s="1006" t="str">
        <f ca="1"/>
        <v/>
      </c>
      <c r="N82" s="1060" t="str">
        <f t="shared" ca="1" si="8"/>
        <v/>
      </c>
      <c r="O82" s="996"/>
      <c r="P82" s="742">
        <v>64</v>
      </c>
      <c r="Q82" s="1016" t="str">
        <f t="shared" ca="1" si="9"/>
        <v/>
      </c>
      <c r="R82" s="1027" t="str">
        <f t="shared" ca="1" si="10"/>
        <v/>
      </c>
      <c r="S82" s="1006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9" t="str">
        <f ca="1"/>
        <v/>
      </c>
      <c r="X82" s="1006" t="str">
        <f ca="1"/>
        <v/>
      </c>
      <c r="Y82" s="864" t="str">
        <f t="shared" ca="1" si="6"/>
        <v/>
      </c>
      <c r="AA82" s="828">
        <v>64</v>
      </c>
      <c r="AB82" s="750"/>
      <c r="AC82" s="842"/>
      <c r="AD82" s="830"/>
      <c r="AE82" s="839"/>
      <c r="AF82" s="839"/>
      <c r="AG82" s="750"/>
      <c r="AH82" s="840"/>
      <c r="AI82" s="839"/>
      <c r="AJ82" s="841"/>
      <c r="AK82" s="108" t="s">
        <v>12</v>
      </c>
      <c r="AL82" s="847">
        <v>64</v>
      </c>
      <c r="AM82" s="857"/>
      <c r="AN82" s="842"/>
      <c r="AO82" s="839"/>
      <c r="AP82" s="839"/>
      <c r="AQ82" s="839"/>
      <c r="AR82" s="750"/>
      <c r="AS82" s="840"/>
      <c r="AT82" s="839"/>
      <c r="AU82" s="856"/>
      <c r="AV82" s="108" t="s">
        <v>12</v>
      </c>
    </row>
    <row r="83" spans="4:48">
      <c r="D83" s="108" t="s">
        <v>12</v>
      </c>
      <c r="E83" s="742">
        <v>65</v>
      </c>
      <c r="F83" s="1016" t="str">
        <f t="shared" ca="1" si="7"/>
        <v/>
      </c>
      <c r="G83" s="1027" t="str">
        <f t="shared" ca="1" si="3"/>
        <v/>
      </c>
      <c r="H83" s="1043" t="str">
        <f ca="1"/>
        <v/>
      </c>
      <c r="I83" s="1006" t="str">
        <f ca="1"/>
        <v/>
      </c>
      <c r="J83" s="1006" t="str">
        <f ca="1"/>
        <v/>
      </c>
      <c r="K83" s="1016" t="str">
        <f ca="1"/>
        <v/>
      </c>
      <c r="L83" s="1019" t="str">
        <f ca="1"/>
        <v/>
      </c>
      <c r="M83" s="1006" t="str">
        <f ca="1"/>
        <v/>
      </c>
      <c r="N83" s="1060" t="str">
        <f t="shared" ref="N83:N146" ca="1" si="11">IF($I83="","",VNS.FixedRate)</f>
        <v/>
      </c>
      <c r="O83" s="996"/>
      <c r="P83" s="742">
        <v>65</v>
      </c>
      <c r="Q83" s="1016" t="str">
        <f t="shared" ca="1" si="9"/>
        <v/>
      </c>
      <c r="R83" s="1027" t="str">
        <f t="shared" ca="1" si="10"/>
        <v/>
      </c>
      <c r="S83" s="1006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9" t="str">
        <f ca="1"/>
        <v/>
      </c>
      <c r="X83" s="1006" t="str">
        <f ca="1"/>
        <v/>
      </c>
      <c r="Y83" s="864" t="str">
        <f t="shared" ref="Y83:Y146" ca="1" si="12">IF($T83="","",VNS.FloatSpread)</f>
        <v/>
      </c>
      <c r="AA83" s="828">
        <v>65</v>
      </c>
      <c r="AB83" s="750"/>
      <c r="AC83" s="842"/>
      <c r="AD83" s="830"/>
      <c r="AE83" s="839"/>
      <c r="AF83" s="839"/>
      <c r="AG83" s="750"/>
      <c r="AH83" s="840"/>
      <c r="AI83" s="839"/>
      <c r="AJ83" s="841"/>
      <c r="AK83" s="108" t="s">
        <v>12</v>
      </c>
      <c r="AL83" s="847">
        <v>65</v>
      </c>
      <c r="AM83" s="857"/>
      <c r="AN83" s="842"/>
      <c r="AO83" s="839"/>
      <c r="AP83" s="839"/>
      <c r="AQ83" s="839"/>
      <c r="AR83" s="750"/>
      <c r="AS83" s="840"/>
      <c r="AT83" s="839"/>
      <c r="AU83" s="856"/>
      <c r="AV83" s="108" t="s">
        <v>12</v>
      </c>
    </row>
    <row r="84" spans="4:48">
      <c r="D84" s="108" t="s">
        <v>12</v>
      </c>
      <c r="E84" s="742">
        <v>66</v>
      </c>
      <c r="F84" s="1016" t="str">
        <f t="shared" ref="F84:F147" ca="1" si="13">IF($I84="","",IF(OR(VNS.FixedAmortization=0,VNS.FixedAmortization.Frequency=0),F83,IF(MOD(E84-1,VNS.FixedAmortization.Frequency)=0,F83-VNS.FixedAmortization,F83)))</f>
        <v/>
      </c>
      <c r="G84" s="1027" t="str">
        <f t="shared" ref="G84:G147" ca="1" si="14">IF(I84="","",1)</f>
        <v/>
      </c>
      <c r="H84" s="1043" t="str">
        <f ca="1"/>
        <v/>
      </c>
      <c r="I84" s="1006" t="str">
        <f ca="1"/>
        <v/>
      </c>
      <c r="J84" s="1006" t="str">
        <f ca="1"/>
        <v/>
      </c>
      <c r="K84" s="1016" t="str">
        <f ca="1"/>
        <v/>
      </c>
      <c r="L84" s="1019" t="str">
        <f ca="1"/>
        <v/>
      </c>
      <c r="M84" s="1006" t="str">
        <f ca="1"/>
        <v/>
      </c>
      <c r="N84" s="1060" t="str">
        <f t="shared" ca="1" si="11"/>
        <v/>
      </c>
      <c r="O84" s="996"/>
      <c r="P84" s="742">
        <v>66</v>
      </c>
      <c r="Q84" s="1016" t="str">
        <f t="shared" ref="Q84:Q147" ca="1" si="15">IF($T84="","",IF(OR(VNS.FloatAmortization=0,VNS.FloatAmortization.Frequency=0),Q83,IF(MOD(P84-1,VNS.FloatAmortization.Frequency)=0,Q83-VNS.FloatAmortization,Q83)))</f>
        <v/>
      </c>
      <c r="R84" s="1027" t="str">
        <f t="shared" ca="1" si="10"/>
        <v/>
      </c>
      <c r="S84" s="1006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9" t="str">
        <f ca="1"/>
        <v/>
      </c>
      <c r="X84" s="1006" t="str">
        <f ca="1"/>
        <v/>
      </c>
      <c r="Y84" s="864" t="str">
        <f t="shared" ca="1" si="12"/>
        <v/>
      </c>
      <c r="AA84" s="828">
        <v>66</v>
      </c>
      <c r="AB84" s="750"/>
      <c r="AC84" s="842"/>
      <c r="AD84" s="830"/>
      <c r="AE84" s="839"/>
      <c r="AF84" s="839"/>
      <c r="AG84" s="750"/>
      <c r="AH84" s="840"/>
      <c r="AI84" s="839"/>
      <c r="AJ84" s="841"/>
      <c r="AK84" s="108" t="s">
        <v>12</v>
      </c>
      <c r="AL84" s="847">
        <v>66</v>
      </c>
      <c r="AM84" s="857"/>
      <c r="AN84" s="842"/>
      <c r="AO84" s="839"/>
      <c r="AP84" s="839"/>
      <c r="AQ84" s="839"/>
      <c r="AR84" s="750"/>
      <c r="AS84" s="840"/>
      <c r="AT84" s="839"/>
      <c r="AU84" s="856"/>
      <c r="AV84" s="108" t="s">
        <v>12</v>
      </c>
    </row>
    <row r="85" spans="4:48">
      <c r="D85" s="108" t="s">
        <v>12</v>
      </c>
      <c r="E85" s="742">
        <v>67</v>
      </c>
      <c r="F85" s="1016" t="str">
        <f t="shared" ca="1" si="13"/>
        <v/>
      </c>
      <c r="G85" s="1027" t="str">
        <f t="shared" ca="1" si="14"/>
        <v/>
      </c>
      <c r="H85" s="1043" t="str">
        <f ca="1"/>
        <v/>
      </c>
      <c r="I85" s="1006" t="str">
        <f ca="1"/>
        <v/>
      </c>
      <c r="J85" s="1006" t="str">
        <f ca="1"/>
        <v/>
      </c>
      <c r="K85" s="1016" t="str">
        <f ca="1"/>
        <v/>
      </c>
      <c r="L85" s="1019" t="str">
        <f ca="1"/>
        <v/>
      </c>
      <c r="M85" s="1006" t="str">
        <f ca="1"/>
        <v/>
      </c>
      <c r="N85" s="1060" t="str">
        <f t="shared" ca="1" si="11"/>
        <v/>
      </c>
      <c r="O85" s="996"/>
      <c r="P85" s="742">
        <v>67</v>
      </c>
      <c r="Q85" s="1016" t="str">
        <f t="shared" ca="1" si="15"/>
        <v/>
      </c>
      <c r="R85" s="1027" t="str">
        <f t="shared" ca="1" si="10"/>
        <v/>
      </c>
      <c r="S85" s="1006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9" t="str">
        <f ca="1"/>
        <v/>
      </c>
      <c r="X85" s="1006" t="str">
        <f ca="1"/>
        <v/>
      </c>
      <c r="Y85" s="864" t="str">
        <f t="shared" ca="1" si="12"/>
        <v/>
      </c>
      <c r="AA85" s="828">
        <v>67</v>
      </c>
      <c r="AB85" s="750"/>
      <c r="AC85" s="842"/>
      <c r="AD85" s="830"/>
      <c r="AE85" s="839"/>
      <c r="AF85" s="839"/>
      <c r="AG85" s="750"/>
      <c r="AH85" s="840"/>
      <c r="AI85" s="839"/>
      <c r="AJ85" s="841"/>
      <c r="AK85" s="108" t="s">
        <v>12</v>
      </c>
      <c r="AL85" s="847">
        <v>67</v>
      </c>
      <c r="AM85" s="857"/>
      <c r="AN85" s="842"/>
      <c r="AO85" s="839"/>
      <c r="AP85" s="839"/>
      <c r="AQ85" s="839"/>
      <c r="AR85" s="750"/>
      <c r="AS85" s="840"/>
      <c r="AT85" s="839"/>
      <c r="AU85" s="856"/>
      <c r="AV85" s="108" t="s">
        <v>12</v>
      </c>
    </row>
    <row r="86" spans="4:48">
      <c r="D86" s="108" t="s">
        <v>12</v>
      </c>
      <c r="E86" s="742">
        <v>68</v>
      </c>
      <c r="F86" s="1016" t="str">
        <f t="shared" ca="1" si="13"/>
        <v/>
      </c>
      <c r="G86" s="1027" t="str">
        <f t="shared" ca="1" si="14"/>
        <v/>
      </c>
      <c r="H86" s="1043" t="str">
        <f ca="1"/>
        <v/>
      </c>
      <c r="I86" s="1006" t="str">
        <f ca="1"/>
        <v/>
      </c>
      <c r="J86" s="1006" t="str">
        <f ca="1"/>
        <v/>
      </c>
      <c r="K86" s="1016" t="str">
        <f ca="1"/>
        <v/>
      </c>
      <c r="L86" s="1019" t="str">
        <f ca="1"/>
        <v/>
      </c>
      <c r="M86" s="1006" t="str">
        <f ca="1"/>
        <v/>
      </c>
      <c r="N86" s="1060" t="str">
        <f t="shared" ca="1" si="11"/>
        <v/>
      </c>
      <c r="O86" s="996"/>
      <c r="P86" s="742">
        <v>68</v>
      </c>
      <c r="Q86" s="1016" t="str">
        <f t="shared" ca="1" si="15"/>
        <v/>
      </c>
      <c r="R86" s="1027" t="str">
        <f t="shared" ca="1" si="10"/>
        <v/>
      </c>
      <c r="S86" s="1006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9" t="str">
        <f ca="1"/>
        <v/>
      </c>
      <c r="X86" s="1006" t="str">
        <f ca="1"/>
        <v/>
      </c>
      <c r="Y86" s="864" t="str">
        <f t="shared" ca="1" si="12"/>
        <v/>
      </c>
      <c r="AA86" s="828">
        <v>68</v>
      </c>
      <c r="AB86" s="750"/>
      <c r="AC86" s="842"/>
      <c r="AD86" s="830"/>
      <c r="AE86" s="839"/>
      <c r="AF86" s="839"/>
      <c r="AG86" s="750"/>
      <c r="AH86" s="840"/>
      <c r="AI86" s="839"/>
      <c r="AJ86" s="841"/>
      <c r="AK86" s="108" t="s">
        <v>12</v>
      </c>
      <c r="AL86" s="847">
        <v>68</v>
      </c>
      <c r="AM86" s="857"/>
      <c r="AN86" s="842"/>
      <c r="AO86" s="839"/>
      <c r="AP86" s="839"/>
      <c r="AQ86" s="839"/>
      <c r="AR86" s="750"/>
      <c r="AS86" s="840"/>
      <c r="AT86" s="839"/>
      <c r="AU86" s="856"/>
      <c r="AV86" s="108" t="s">
        <v>12</v>
      </c>
    </row>
    <row r="87" spans="4:48">
      <c r="D87" s="108" t="s">
        <v>12</v>
      </c>
      <c r="E87" s="742">
        <v>69</v>
      </c>
      <c r="F87" s="1016" t="str">
        <f t="shared" ca="1" si="13"/>
        <v/>
      </c>
      <c r="G87" s="1027" t="str">
        <f t="shared" ca="1" si="14"/>
        <v/>
      </c>
      <c r="H87" s="1043" t="str">
        <f ca="1"/>
        <v/>
      </c>
      <c r="I87" s="1006" t="str">
        <f ca="1"/>
        <v/>
      </c>
      <c r="J87" s="1006" t="str">
        <f ca="1"/>
        <v/>
      </c>
      <c r="K87" s="1016" t="str">
        <f ca="1"/>
        <v/>
      </c>
      <c r="L87" s="1019" t="str">
        <f ca="1"/>
        <v/>
      </c>
      <c r="M87" s="1006" t="str">
        <f ca="1"/>
        <v/>
      </c>
      <c r="N87" s="1060" t="str">
        <f t="shared" ca="1" si="11"/>
        <v/>
      </c>
      <c r="O87" s="996"/>
      <c r="P87" s="742">
        <v>69</v>
      </c>
      <c r="Q87" s="1016" t="str">
        <f t="shared" ca="1" si="15"/>
        <v/>
      </c>
      <c r="R87" s="1027" t="str">
        <f t="shared" ca="1" si="10"/>
        <v/>
      </c>
      <c r="S87" s="1006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9" t="str">
        <f ca="1"/>
        <v/>
      </c>
      <c r="X87" s="1006" t="str">
        <f ca="1"/>
        <v/>
      </c>
      <c r="Y87" s="864" t="str">
        <f t="shared" ca="1" si="12"/>
        <v/>
      </c>
      <c r="AA87" s="828">
        <v>69</v>
      </c>
      <c r="AB87" s="750"/>
      <c r="AC87" s="842"/>
      <c r="AD87" s="830"/>
      <c r="AE87" s="839"/>
      <c r="AF87" s="839"/>
      <c r="AG87" s="750"/>
      <c r="AH87" s="840"/>
      <c r="AI87" s="839"/>
      <c r="AJ87" s="841"/>
      <c r="AK87" s="108" t="s">
        <v>12</v>
      </c>
      <c r="AL87" s="847">
        <v>69</v>
      </c>
      <c r="AM87" s="857"/>
      <c r="AN87" s="842"/>
      <c r="AO87" s="839"/>
      <c r="AP87" s="839"/>
      <c r="AQ87" s="839"/>
      <c r="AR87" s="750"/>
      <c r="AS87" s="840"/>
      <c r="AT87" s="839"/>
      <c r="AU87" s="856"/>
      <c r="AV87" s="108" t="s">
        <v>12</v>
      </c>
    </row>
    <row r="88" spans="4:48">
      <c r="D88" s="108" t="s">
        <v>12</v>
      </c>
      <c r="E88" s="742">
        <v>70</v>
      </c>
      <c r="F88" s="1016" t="str">
        <f t="shared" ca="1" si="13"/>
        <v/>
      </c>
      <c r="G88" s="1027" t="str">
        <f t="shared" ca="1" si="14"/>
        <v/>
      </c>
      <c r="H88" s="1043" t="str">
        <f ca="1"/>
        <v/>
      </c>
      <c r="I88" s="1006" t="str">
        <f ca="1"/>
        <v/>
      </c>
      <c r="J88" s="1006" t="str">
        <f ca="1"/>
        <v/>
      </c>
      <c r="K88" s="1016" t="str">
        <f ca="1"/>
        <v/>
      </c>
      <c r="L88" s="1019" t="str">
        <f ca="1"/>
        <v/>
      </c>
      <c r="M88" s="1006" t="str">
        <f ca="1"/>
        <v/>
      </c>
      <c r="N88" s="1060" t="str">
        <f t="shared" ca="1" si="11"/>
        <v/>
      </c>
      <c r="O88" s="996"/>
      <c r="P88" s="742">
        <v>70</v>
      </c>
      <c r="Q88" s="1016" t="str">
        <f t="shared" ca="1" si="15"/>
        <v/>
      </c>
      <c r="R88" s="1027" t="str">
        <f t="shared" ref="R88:R151" ca="1" si="16">IF(T88="","",1)</f>
        <v/>
      </c>
      <c r="S88" s="1006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9" t="str">
        <f ca="1"/>
        <v/>
      </c>
      <c r="X88" s="1006" t="str">
        <f ca="1"/>
        <v/>
      </c>
      <c r="Y88" s="864" t="str">
        <f t="shared" ca="1" si="12"/>
        <v/>
      </c>
      <c r="AA88" s="828">
        <v>70</v>
      </c>
      <c r="AB88" s="750"/>
      <c r="AC88" s="842"/>
      <c r="AD88" s="830"/>
      <c r="AE88" s="839"/>
      <c r="AF88" s="839"/>
      <c r="AG88" s="750"/>
      <c r="AH88" s="840"/>
      <c r="AI88" s="839"/>
      <c r="AJ88" s="841"/>
      <c r="AK88" s="108" t="s">
        <v>12</v>
      </c>
      <c r="AL88" s="847">
        <v>70</v>
      </c>
      <c r="AM88" s="857"/>
      <c r="AN88" s="842"/>
      <c r="AO88" s="839"/>
      <c r="AP88" s="839"/>
      <c r="AQ88" s="839"/>
      <c r="AR88" s="750"/>
      <c r="AS88" s="840"/>
      <c r="AT88" s="839"/>
      <c r="AU88" s="856"/>
      <c r="AV88" s="108" t="s">
        <v>12</v>
      </c>
    </row>
    <row r="89" spans="4:48">
      <c r="D89" s="108" t="s">
        <v>12</v>
      </c>
      <c r="E89" s="742">
        <v>71</v>
      </c>
      <c r="F89" s="1016" t="str">
        <f t="shared" ca="1" si="13"/>
        <v/>
      </c>
      <c r="G89" s="1027" t="str">
        <f t="shared" ca="1" si="14"/>
        <v/>
      </c>
      <c r="H89" s="1043" t="str">
        <f ca="1"/>
        <v/>
      </c>
      <c r="I89" s="1006" t="str">
        <f ca="1"/>
        <v/>
      </c>
      <c r="J89" s="1006" t="str">
        <f ca="1"/>
        <v/>
      </c>
      <c r="K89" s="1016" t="str">
        <f ca="1"/>
        <v/>
      </c>
      <c r="L89" s="1019" t="str">
        <f ca="1"/>
        <v/>
      </c>
      <c r="M89" s="1006" t="str">
        <f ca="1"/>
        <v/>
      </c>
      <c r="N89" s="1060" t="str">
        <f t="shared" ca="1" si="11"/>
        <v/>
      </c>
      <c r="O89" s="996"/>
      <c r="P89" s="742">
        <v>71</v>
      </c>
      <c r="Q89" s="1016" t="str">
        <f t="shared" ca="1" si="15"/>
        <v/>
      </c>
      <c r="R89" s="1027" t="str">
        <f t="shared" ca="1" si="16"/>
        <v/>
      </c>
      <c r="S89" s="1006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9" t="str">
        <f ca="1"/>
        <v/>
      </c>
      <c r="X89" s="1006" t="str">
        <f ca="1"/>
        <v/>
      </c>
      <c r="Y89" s="864" t="str">
        <f t="shared" ca="1" si="12"/>
        <v/>
      </c>
      <c r="AA89" s="828">
        <v>71</v>
      </c>
      <c r="AB89" s="750"/>
      <c r="AC89" s="842"/>
      <c r="AD89" s="830"/>
      <c r="AE89" s="839"/>
      <c r="AF89" s="839"/>
      <c r="AG89" s="750"/>
      <c r="AH89" s="840"/>
      <c r="AI89" s="839"/>
      <c r="AJ89" s="841"/>
      <c r="AK89" s="108" t="s">
        <v>12</v>
      </c>
      <c r="AL89" s="847">
        <v>71</v>
      </c>
      <c r="AM89" s="857"/>
      <c r="AN89" s="842"/>
      <c r="AO89" s="839"/>
      <c r="AP89" s="839"/>
      <c r="AQ89" s="839"/>
      <c r="AR89" s="750"/>
      <c r="AS89" s="840"/>
      <c r="AT89" s="839"/>
      <c r="AU89" s="856"/>
      <c r="AV89" s="108" t="s">
        <v>12</v>
      </c>
    </row>
    <row r="90" spans="4:48">
      <c r="D90" s="108" t="s">
        <v>12</v>
      </c>
      <c r="E90" s="742">
        <v>72</v>
      </c>
      <c r="F90" s="1016" t="str">
        <f t="shared" ca="1" si="13"/>
        <v/>
      </c>
      <c r="G90" s="1027" t="str">
        <f t="shared" ca="1" si="14"/>
        <v/>
      </c>
      <c r="H90" s="1043" t="str">
        <f ca="1"/>
        <v/>
      </c>
      <c r="I90" s="1006" t="str">
        <f ca="1"/>
        <v/>
      </c>
      <c r="J90" s="1006" t="str">
        <f ca="1"/>
        <v/>
      </c>
      <c r="K90" s="1016" t="str">
        <f ca="1"/>
        <v/>
      </c>
      <c r="L90" s="1019" t="str">
        <f ca="1"/>
        <v/>
      </c>
      <c r="M90" s="1006" t="str">
        <f ca="1"/>
        <v/>
      </c>
      <c r="N90" s="1060" t="str">
        <f t="shared" ca="1" si="11"/>
        <v/>
      </c>
      <c r="O90" s="996"/>
      <c r="P90" s="742">
        <v>72</v>
      </c>
      <c r="Q90" s="1016" t="str">
        <f t="shared" ca="1" si="15"/>
        <v/>
      </c>
      <c r="R90" s="1027" t="str">
        <f t="shared" ca="1" si="16"/>
        <v/>
      </c>
      <c r="S90" s="1006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9" t="str">
        <f ca="1"/>
        <v/>
      </c>
      <c r="X90" s="1006" t="str">
        <f ca="1"/>
        <v/>
      </c>
      <c r="Y90" s="864" t="str">
        <f t="shared" ca="1" si="12"/>
        <v/>
      </c>
      <c r="AA90" s="828">
        <v>72</v>
      </c>
      <c r="AB90" s="750"/>
      <c r="AC90" s="842"/>
      <c r="AD90" s="830"/>
      <c r="AE90" s="839"/>
      <c r="AF90" s="839"/>
      <c r="AG90" s="750"/>
      <c r="AH90" s="840"/>
      <c r="AI90" s="839"/>
      <c r="AJ90" s="841"/>
      <c r="AK90" s="108" t="s">
        <v>12</v>
      </c>
      <c r="AL90" s="847">
        <v>72</v>
      </c>
      <c r="AM90" s="857"/>
      <c r="AN90" s="842"/>
      <c r="AO90" s="839"/>
      <c r="AP90" s="839"/>
      <c r="AQ90" s="839"/>
      <c r="AR90" s="750"/>
      <c r="AS90" s="840"/>
      <c r="AT90" s="839"/>
      <c r="AU90" s="856"/>
      <c r="AV90" s="108" t="s">
        <v>12</v>
      </c>
    </row>
    <row r="91" spans="4:48">
      <c r="D91" s="108" t="s">
        <v>12</v>
      </c>
      <c r="E91" s="742">
        <v>73</v>
      </c>
      <c r="F91" s="1016" t="str">
        <f t="shared" ca="1" si="13"/>
        <v/>
      </c>
      <c r="G91" s="1027" t="str">
        <f t="shared" ca="1" si="14"/>
        <v/>
      </c>
      <c r="H91" s="1043" t="str">
        <f ca="1"/>
        <v/>
      </c>
      <c r="I91" s="1006" t="str">
        <f ca="1"/>
        <v/>
      </c>
      <c r="J91" s="1006" t="str">
        <f ca="1"/>
        <v/>
      </c>
      <c r="K91" s="1016" t="str">
        <f ca="1"/>
        <v/>
      </c>
      <c r="L91" s="1019" t="str">
        <f ca="1"/>
        <v/>
      </c>
      <c r="M91" s="1006" t="str">
        <f ca="1"/>
        <v/>
      </c>
      <c r="N91" s="1060" t="str">
        <f t="shared" ca="1" si="11"/>
        <v/>
      </c>
      <c r="O91" s="996"/>
      <c r="P91" s="742">
        <v>73</v>
      </c>
      <c r="Q91" s="1016" t="str">
        <f t="shared" ca="1" si="15"/>
        <v/>
      </c>
      <c r="R91" s="1027" t="str">
        <f t="shared" ca="1" si="16"/>
        <v/>
      </c>
      <c r="S91" s="1006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9" t="str">
        <f ca="1"/>
        <v/>
      </c>
      <c r="X91" s="1006" t="str">
        <f ca="1"/>
        <v/>
      </c>
      <c r="Y91" s="864" t="str">
        <f t="shared" ca="1" si="12"/>
        <v/>
      </c>
      <c r="AA91" s="828">
        <v>73</v>
      </c>
      <c r="AB91" s="750"/>
      <c r="AC91" s="842"/>
      <c r="AD91" s="830"/>
      <c r="AE91" s="839"/>
      <c r="AF91" s="839"/>
      <c r="AG91" s="750"/>
      <c r="AH91" s="840"/>
      <c r="AI91" s="839"/>
      <c r="AJ91" s="841"/>
      <c r="AK91" s="108" t="s">
        <v>12</v>
      </c>
      <c r="AL91" s="847">
        <v>73</v>
      </c>
      <c r="AM91" s="857"/>
      <c r="AN91" s="842"/>
      <c r="AO91" s="839"/>
      <c r="AP91" s="839"/>
      <c r="AQ91" s="839"/>
      <c r="AR91" s="750"/>
      <c r="AS91" s="840"/>
      <c r="AT91" s="839"/>
      <c r="AU91" s="856"/>
      <c r="AV91" s="108" t="s">
        <v>12</v>
      </c>
    </row>
    <row r="92" spans="4:48">
      <c r="D92" s="108" t="s">
        <v>12</v>
      </c>
      <c r="E92" s="742">
        <v>74</v>
      </c>
      <c r="F92" s="1016" t="str">
        <f t="shared" ca="1" si="13"/>
        <v/>
      </c>
      <c r="G92" s="1027" t="str">
        <f t="shared" ca="1" si="14"/>
        <v/>
      </c>
      <c r="H92" s="1043" t="str">
        <f ca="1"/>
        <v/>
      </c>
      <c r="I92" s="1006" t="str">
        <f ca="1"/>
        <v/>
      </c>
      <c r="J92" s="1006" t="str">
        <f ca="1"/>
        <v/>
      </c>
      <c r="K92" s="1016" t="str">
        <f ca="1"/>
        <v/>
      </c>
      <c r="L92" s="1019" t="str">
        <f ca="1"/>
        <v/>
      </c>
      <c r="M92" s="1006" t="str">
        <f ca="1"/>
        <v/>
      </c>
      <c r="N92" s="1060" t="str">
        <f t="shared" ca="1" si="11"/>
        <v/>
      </c>
      <c r="O92" s="996"/>
      <c r="P92" s="742">
        <v>74</v>
      </c>
      <c r="Q92" s="1016" t="str">
        <f t="shared" ca="1" si="15"/>
        <v/>
      </c>
      <c r="R92" s="1027" t="str">
        <f t="shared" ca="1" si="16"/>
        <v/>
      </c>
      <c r="S92" s="1006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9" t="str">
        <f ca="1"/>
        <v/>
      </c>
      <c r="X92" s="1006" t="str">
        <f ca="1"/>
        <v/>
      </c>
      <c r="Y92" s="864" t="str">
        <f t="shared" ca="1" si="12"/>
        <v/>
      </c>
      <c r="AA92" s="828">
        <v>74</v>
      </c>
      <c r="AB92" s="750"/>
      <c r="AC92" s="842"/>
      <c r="AD92" s="830"/>
      <c r="AE92" s="839"/>
      <c r="AF92" s="839"/>
      <c r="AG92" s="750"/>
      <c r="AH92" s="840"/>
      <c r="AI92" s="839"/>
      <c r="AJ92" s="841"/>
      <c r="AK92" s="108" t="s">
        <v>12</v>
      </c>
      <c r="AL92" s="847">
        <v>74</v>
      </c>
      <c r="AM92" s="857"/>
      <c r="AN92" s="842"/>
      <c r="AO92" s="839"/>
      <c r="AP92" s="839"/>
      <c r="AQ92" s="839"/>
      <c r="AR92" s="750"/>
      <c r="AS92" s="840"/>
      <c r="AT92" s="839"/>
      <c r="AU92" s="856"/>
      <c r="AV92" s="108" t="s">
        <v>12</v>
      </c>
    </row>
    <row r="93" spans="4:48">
      <c r="D93" s="108" t="s">
        <v>12</v>
      </c>
      <c r="E93" s="742">
        <v>75</v>
      </c>
      <c r="F93" s="1016" t="str">
        <f t="shared" ca="1" si="13"/>
        <v/>
      </c>
      <c r="G93" s="1027" t="str">
        <f t="shared" ca="1" si="14"/>
        <v/>
      </c>
      <c r="H93" s="1043" t="str">
        <f ca="1"/>
        <v/>
      </c>
      <c r="I93" s="1006" t="str">
        <f ca="1"/>
        <v/>
      </c>
      <c r="J93" s="1006" t="str">
        <f ca="1"/>
        <v/>
      </c>
      <c r="K93" s="1016" t="str">
        <f ca="1"/>
        <v/>
      </c>
      <c r="L93" s="1019" t="str">
        <f ca="1"/>
        <v/>
      </c>
      <c r="M93" s="1006" t="str">
        <f ca="1"/>
        <v/>
      </c>
      <c r="N93" s="1060" t="str">
        <f t="shared" ca="1" si="11"/>
        <v/>
      </c>
      <c r="O93" s="996"/>
      <c r="P93" s="742">
        <v>75</v>
      </c>
      <c r="Q93" s="1016" t="str">
        <f t="shared" ca="1" si="15"/>
        <v/>
      </c>
      <c r="R93" s="1027" t="str">
        <f t="shared" ca="1" si="16"/>
        <v/>
      </c>
      <c r="S93" s="1006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9" t="str">
        <f ca="1"/>
        <v/>
      </c>
      <c r="X93" s="1006" t="str">
        <f ca="1"/>
        <v/>
      </c>
      <c r="Y93" s="864" t="str">
        <f t="shared" ca="1" si="12"/>
        <v/>
      </c>
      <c r="AA93" s="828">
        <v>75</v>
      </c>
      <c r="AB93" s="750"/>
      <c r="AC93" s="842"/>
      <c r="AD93" s="830"/>
      <c r="AE93" s="839"/>
      <c r="AF93" s="839"/>
      <c r="AG93" s="750"/>
      <c r="AH93" s="840"/>
      <c r="AI93" s="839"/>
      <c r="AJ93" s="841"/>
      <c r="AK93" s="108" t="s">
        <v>12</v>
      </c>
      <c r="AL93" s="847">
        <v>75</v>
      </c>
      <c r="AM93" s="857"/>
      <c r="AN93" s="842"/>
      <c r="AO93" s="839"/>
      <c r="AP93" s="839"/>
      <c r="AQ93" s="839"/>
      <c r="AR93" s="750"/>
      <c r="AS93" s="840"/>
      <c r="AT93" s="839"/>
      <c r="AU93" s="856"/>
      <c r="AV93" s="108" t="s">
        <v>12</v>
      </c>
    </row>
    <row r="94" spans="4:48">
      <c r="D94" s="108" t="s">
        <v>12</v>
      </c>
      <c r="E94" s="742">
        <v>76</v>
      </c>
      <c r="F94" s="1016" t="str">
        <f t="shared" ca="1" si="13"/>
        <v/>
      </c>
      <c r="G94" s="1027" t="str">
        <f t="shared" ca="1" si="14"/>
        <v/>
      </c>
      <c r="H94" s="1043" t="str">
        <f ca="1"/>
        <v/>
      </c>
      <c r="I94" s="1006" t="str">
        <f ca="1"/>
        <v/>
      </c>
      <c r="J94" s="1006" t="str">
        <f ca="1"/>
        <v/>
      </c>
      <c r="K94" s="1016" t="str">
        <f ca="1"/>
        <v/>
      </c>
      <c r="L94" s="1019" t="str">
        <f ca="1"/>
        <v/>
      </c>
      <c r="M94" s="1006" t="str">
        <f ca="1"/>
        <v/>
      </c>
      <c r="N94" s="1060" t="str">
        <f t="shared" ca="1" si="11"/>
        <v/>
      </c>
      <c r="O94" s="996"/>
      <c r="P94" s="742">
        <v>76</v>
      </c>
      <c r="Q94" s="1016" t="str">
        <f t="shared" ca="1" si="15"/>
        <v/>
      </c>
      <c r="R94" s="1027" t="str">
        <f t="shared" ca="1" si="16"/>
        <v/>
      </c>
      <c r="S94" s="1006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9" t="str">
        <f ca="1"/>
        <v/>
      </c>
      <c r="X94" s="1006" t="str">
        <f ca="1"/>
        <v/>
      </c>
      <c r="Y94" s="864" t="str">
        <f t="shared" ca="1" si="12"/>
        <v/>
      </c>
      <c r="AA94" s="828">
        <v>76</v>
      </c>
      <c r="AB94" s="750"/>
      <c r="AC94" s="842"/>
      <c r="AD94" s="830"/>
      <c r="AE94" s="839"/>
      <c r="AF94" s="839"/>
      <c r="AG94" s="750"/>
      <c r="AH94" s="840"/>
      <c r="AI94" s="839"/>
      <c r="AJ94" s="841"/>
      <c r="AK94" s="108" t="s">
        <v>12</v>
      </c>
      <c r="AL94" s="847">
        <v>76</v>
      </c>
      <c r="AM94" s="857"/>
      <c r="AN94" s="842"/>
      <c r="AO94" s="839"/>
      <c r="AP94" s="839"/>
      <c r="AQ94" s="839"/>
      <c r="AR94" s="750"/>
      <c r="AS94" s="840"/>
      <c r="AT94" s="839"/>
      <c r="AU94" s="856"/>
      <c r="AV94" s="108" t="s">
        <v>12</v>
      </c>
    </row>
    <row r="95" spans="4:48">
      <c r="D95" s="108" t="s">
        <v>12</v>
      </c>
      <c r="E95" s="742">
        <v>77</v>
      </c>
      <c r="F95" s="1016" t="str">
        <f t="shared" ca="1" si="13"/>
        <v/>
      </c>
      <c r="G95" s="1027" t="str">
        <f t="shared" ca="1" si="14"/>
        <v/>
      </c>
      <c r="H95" s="1043" t="str">
        <f ca="1"/>
        <v/>
      </c>
      <c r="I95" s="1006" t="str">
        <f ca="1"/>
        <v/>
      </c>
      <c r="J95" s="1006" t="str">
        <f ca="1"/>
        <v/>
      </c>
      <c r="K95" s="1016" t="str">
        <f ca="1"/>
        <v/>
      </c>
      <c r="L95" s="1019" t="str">
        <f ca="1"/>
        <v/>
      </c>
      <c r="M95" s="1006" t="str">
        <f ca="1"/>
        <v/>
      </c>
      <c r="N95" s="1060" t="str">
        <f t="shared" ca="1" si="11"/>
        <v/>
      </c>
      <c r="O95" s="996"/>
      <c r="P95" s="742">
        <v>77</v>
      </c>
      <c r="Q95" s="1016" t="str">
        <f t="shared" ca="1" si="15"/>
        <v/>
      </c>
      <c r="R95" s="1027" t="str">
        <f t="shared" ca="1" si="16"/>
        <v/>
      </c>
      <c r="S95" s="1006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9" t="str">
        <f ca="1"/>
        <v/>
      </c>
      <c r="X95" s="1006" t="str">
        <f ca="1"/>
        <v/>
      </c>
      <c r="Y95" s="864" t="str">
        <f t="shared" ca="1" si="12"/>
        <v/>
      </c>
      <c r="AA95" s="828">
        <v>77</v>
      </c>
      <c r="AB95" s="750"/>
      <c r="AC95" s="842"/>
      <c r="AD95" s="830"/>
      <c r="AE95" s="839"/>
      <c r="AF95" s="839"/>
      <c r="AG95" s="750"/>
      <c r="AH95" s="840"/>
      <c r="AI95" s="839"/>
      <c r="AJ95" s="841"/>
      <c r="AK95" s="108" t="s">
        <v>12</v>
      </c>
      <c r="AL95" s="847">
        <v>77</v>
      </c>
      <c r="AM95" s="857"/>
      <c r="AN95" s="842"/>
      <c r="AO95" s="839"/>
      <c r="AP95" s="839"/>
      <c r="AQ95" s="839"/>
      <c r="AR95" s="750"/>
      <c r="AS95" s="840"/>
      <c r="AT95" s="839"/>
      <c r="AU95" s="856"/>
      <c r="AV95" s="108" t="s">
        <v>12</v>
      </c>
    </row>
    <row r="96" spans="4:48">
      <c r="D96" s="108" t="s">
        <v>12</v>
      </c>
      <c r="E96" s="742">
        <v>78</v>
      </c>
      <c r="F96" s="1016" t="str">
        <f t="shared" ca="1" si="13"/>
        <v/>
      </c>
      <c r="G96" s="1027" t="str">
        <f t="shared" ca="1" si="14"/>
        <v/>
      </c>
      <c r="H96" s="1043" t="str">
        <f ca="1"/>
        <v/>
      </c>
      <c r="I96" s="1006" t="str">
        <f ca="1"/>
        <v/>
      </c>
      <c r="J96" s="1006" t="str">
        <f ca="1"/>
        <v/>
      </c>
      <c r="K96" s="1016" t="str">
        <f ca="1"/>
        <v/>
      </c>
      <c r="L96" s="1019" t="str">
        <f ca="1"/>
        <v/>
      </c>
      <c r="M96" s="1006" t="str">
        <f ca="1"/>
        <v/>
      </c>
      <c r="N96" s="1060" t="str">
        <f t="shared" ca="1" si="11"/>
        <v/>
      </c>
      <c r="O96" s="996"/>
      <c r="P96" s="742">
        <v>78</v>
      </c>
      <c r="Q96" s="1016" t="str">
        <f t="shared" ca="1" si="15"/>
        <v/>
      </c>
      <c r="R96" s="1027" t="str">
        <f t="shared" ca="1" si="16"/>
        <v/>
      </c>
      <c r="S96" s="1006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9" t="str">
        <f ca="1"/>
        <v/>
      </c>
      <c r="X96" s="1006" t="str">
        <f ca="1"/>
        <v/>
      </c>
      <c r="Y96" s="864" t="str">
        <f t="shared" ca="1" si="12"/>
        <v/>
      </c>
      <c r="AA96" s="828">
        <v>78</v>
      </c>
      <c r="AB96" s="750"/>
      <c r="AC96" s="842"/>
      <c r="AD96" s="830"/>
      <c r="AE96" s="839"/>
      <c r="AF96" s="839"/>
      <c r="AG96" s="750"/>
      <c r="AH96" s="840"/>
      <c r="AI96" s="839"/>
      <c r="AJ96" s="841"/>
      <c r="AK96" s="108" t="s">
        <v>12</v>
      </c>
      <c r="AL96" s="847">
        <v>78</v>
      </c>
      <c r="AM96" s="857"/>
      <c r="AN96" s="842"/>
      <c r="AO96" s="839"/>
      <c r="AP96" s="839"/>
      <c r="AQ96" s="839"/>
      <c r="AR96" s="750"/>
      <c r="AS96" s="840"/>
      <c r="AT96" s="839"/>
      <c r="AU96" s="856"/>
      <c r="AV96" s="108" t="s">
        <v>12</v>
      </c>
    </row>
    <row r="97" spans="4:48">
      <c r="D97" s="108" t="s">
        <v>12</v>
      </c>
      <c r="E97" s="742">
        <v>79</v>
      </c>
      <c r="F97" s="1016" t="str">
        <f t="shared" ca="1" si="13"/>
        <v/>
      </c>
      <c r="G97" s="1027" t="str">
        <f t="shared" ca="1" si="14"/>
        <v/>
      </c>
      <c r="H97" s="1043" t="str">
        <f ca="1"/>
        <v/>
      </c>
      <c r="I97" s="1006" t="str">
        <f ca="1"/>
        <v/>
      </c>
      <c r="J97" s="1006" t="str">
        <f ca="1"/>
        <v/>
      </c>
      <c r="K97" s="1016" t="str">
        <f ca="1"/>
        <v/>
      </c>
      <c r="L97" s="1019" t="str">
        <f ca="1"/>
        <v/>
      </c>
      <c r="M97" s="1006" t="str">
        <f ca="1"/>
        <v/>
      </c>
      <c r="N97" s="1060" t="str">
        <f t="shared" ca="1" si="11"/>
        <v/>
      </c>
      <c r="O97" s="996"/>
      <c r="P97" s="742">
        <v>79</v>
      </c>
      <c r="Q97" s="1016" t="str">
        <f t="shared" ca="1" si="15"/>
        <v/>
      </c>
      <c r="R97" s="1027" t="str">
        <f t="shared" ca="1" si="16"/>
        <v/>
      </c>
      <c r="S97" s="1006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9" t="str">
        <f ca="1"/>
        <v/>
      </c>
      <c r="X97" s="1006" t="str">
        <f ca="1"/>
        <v/>
      </c>
      <c r="Y97" s="864" t="str">
        <f t="shared" ca="1" si="12"/>
        <v/>
      </c>
      <c r="AA97" s="828">
        <v>79</v>
      </c>
      <c r="AB97" s="750"/>
      <c r="AC97" s="842"/>
      <c r="AD97" s="830"/>
      <c r="AE97" s="839"/>
      <c r="AF97" s="839"/>
      <c r="AG97" s="750"/>
      <c r="AH97" s="840"/>
      <c r="AI97" s="839"/>
      <c r="AJ97" s="841"/>
      <c r="AK97" s="108" t="s">
        <v>12</v>
      </c>
      <c r="AL97" s="847">
        <v>79</v>
      </c>
      <c r="AM97" s="857"/>
      <c r="AN97" s="842"/>
      <c r="AO97" s="839"/>
      <c r="AP97" s="839"/>
      <c r="AQ97" s="839"/>
      <c r="AR97" s="750"/>
      <c r="AS97" s="840"/>
      <c r="AT97" s="839"/>
      <c r="AU97" s="856"/>
      <c r="AV97" s="108" t="s">
        <v>12</v>
      </c>
    </row>
    <row r="98" spans="4:48">
      <c r="D98" s="108" t="s">
        <v>12</v>
      </c>
      <c r="E98" s="742">
        <v>80</v>
      </c>
      <c r="F98" s="1016" t="str">
        <f t="shared" ca="1" si="13"/>
        <v/>
      </c>
      <c r="G98" s="1027" t="str">
        <f t="shared" ca="1" si="14"/>
        <v/>
      </c>
      <c r="H98" s="1043" t="str">
        <f ca="1"/>
        <v/>
      </c>
      <c r="I98" s="1006" t="str">
        <f ca="1"/>
        <v/>
      </c>
      <c r="J98" s="1006" t="str">
        <f ca="1"/>
        <v/>
      </c>
      <c r="K98" s="1016" t="str">
        <f ca="1"/>
        <v/>
      </c>
      <c r="L98" s="1019" t="str">
        <f ca="1"/>
        <v/>
      </c>
      <c r="M98" s="1006" t="str">
        <f ca="1"/>
        <v/>
      </c>
      <c r="N98" s="1060" t="str">
        <f t="shared" ca="1" si="11"/>
        <v/>
      </c>
      <c r="O98" s="996"/>
      <c r="P98" s="742">
        <v>80</v>
      </c>
      <c r="Q98" s="1016" t="str">
        <f t="shared" ca="1" si="15"/>
        <v/>
      </c>
      <c r="R98" s="1027" t="str">
        <f t="shared" ca="1" si="16"/>
        <v/>
      </c>
      <c r="S98" s="1006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9" t="str">
        <f ca="1"/>
        <v/>
      </c>
      <c r="X98" s="1006" t="str">
        <f ca="1"/>
        <v/>
      </c>
      <c r="Y98" s="864" t="str">
        <f t="shared" ca="1" si="12"/>
        <v/>
      </c>
      <c r="AA98" s="828">
        <v>80</v>
      </c>
      <c r="AB98" s="750"/>
      <c r="AC98" s="842"/>
      <c r="AD98" s="830"/>
      <c r="AE98" s="839"/>
      <c r="AF98" s="839"/>
      <c r="AG98" s="750"/>
      <c r="AH98" s="840"/>
      <c r="AI98" s="839"/>
      <c r="AJ98" s="841"/>
      <c r="AK98" s="108" t="s">
        <v>12</v>
      </c>
      <c r="AL98" s="847">
        <v>80</v>
      </c>
      <c r="AM98" s="857"/>
      <c r="AN98" s="842"/>
      <c r="AO98" s="839"/>
      <c r="AP98" s="839"/>
      <c r="AQ98" s="839"/>
      <c r="AR98" s="750"/>
      <c r="AS98" s="840"/>
      <c r="AT98" s="839"/>
      <c r="AU98" s="856"/>
      <c r="AV98" s="108" t="s">
        <v>12</v>
      </c>
    </row>
    <row r="99" spans="4:48">
      <c r="D99" s="108" t="s">
        <v>12</v>
      </c>
      <c r="E99" s="742">
        <v>81</v>
      </c>
      <c r="F99" s="1016" t="str">
        <f t="shared" ca="1" si="13"/>
        <v/>
      </c>
      <c r="G99" s="1027" t="str">
        <f t="shared" ca="1" si="14"/>
        <v/>
      </c>
      <c r="H99" s="1043" t="str">
        <f ca="1"/>
        <v/>
      </c>
      <c r="I99" s="1006" t="str">
        <f ca="1"/>
        <v/>
      </c>
      <c r="J99" s="1006" t="str">
        <f ca="1"/>
        <v/>
      </c>
      <c r="K99" s="1016" t="str">
        <f ca="1"/>
        <v/>
      </c>
      <c r="L99" s="1019" t="str">
        <f ca="1"/>
        <v/>
      </c>
      <c r="M99" s="1006" t="str">
        <f ca="1"/>
        <v/>
      </c>
      <c r="N99" s="1060" t="str">
        <f t="shared" ca="1" si="11"/>
        <v/>
      </c>
      <c r="O99" s="996"/>
      <c r="P99" s="742">
        <v>81</v>
      </c>
      <c r="Q99" s="1016" t="str">
        <f t="shared" ca="1" si="15"/>
        <v/>
      </c>
      <c r="R99" s="1027" t="str">
        <f t="shared" ca="1" si="16"/>
        <v/>
      </c>
      <c r="S99" s="1006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9" t="str">
        <f ca="1"/>
        <v/>
      </c>
      <c r="X99" s="1006" t="str">
        <f ca="1"/>
        <v/>
      </c>
      <c r="Y99" s="864" t="str">
        <f t="shared" ca="1" si="12"/>
        <v/>
      </c>
      <c r="AA99" s="828">
        <v>81</v>
      </c>
      <c r="AB99" s="750"/>
      <c r="AC99" s="842"/>
      <c r="AD99" s="830"/>
      <c r="AE99" s="839"/>
      <c r="AF99" s="839"/>
      <c r="AG99" s="750"/>
      <c r="AH99" s="840"/>
      <c r="AI99" s="839"/>
      <c r="AJ99" s="841"/>
      <c r="AK99" s="108" t="s">
        <v>12</v>
      </c>
      <c r="AL99" s="847">
        <v>81</v>
      </c>
      <c r="AM99" s="857"/>
      <c r="AN99" s="842"/>
      <c r="AO99" s="839"/>
      <c r="AP99" s="839"/>
      <c r="AQ99" s="839"/>
      <c r="AR99" s="750"/>
      <c r="AS99" s="840"/>
      <c r="AT99" s="839"/>
      <c r="AU99" s="856"/>
      <c r="AV99" s="108" t="s">
        <v>12</v>
      </c>
    </row>
    <row r="100" spans="4:48">
      <c r="D100" s="108" t="s">
        <v>12</v>
      </c>
      <c r="E100" s="742">
        <v>82</v>
      </c>
      <c r="F100" s="1016" t="str">
        <f t="shared" ca="1" si="13"/>
        <v/>
      </c>
      <c r="G100" s="1027" t="str">
        <f t="shared" ca="1" si="14"/>
        <v/>
      </c>
      <c r="H100" s="1043" t="str">
        <f ca="1"/>
        <v/>
      </c>
      <c r="I100" s="1006" t="str">
        <f ca="1"/>
        <v/>
      </c>
      <c r="J100" s="1006" t="str">
        <f ca="1"/>
        <v/>
      </c>
      <c r="K100" s="1016" t="str">
        <f ca="1"/>
        <v/>
      </c>
      <c r="L100" s="1019" t="str">
        <f ca="1"/>
        <v/>
      </c>
      <c r="M100" s="1006" t="str">
        <f ca="1"/>
        <v/>
      </c>
      <c r="N100" s="1060" t="str">
        <f t="shared" ca="1" si="11"/>
        <v/>
      </c>
      <c r="O100" s="996"/>
      <c r="P100" s="742">
        <v>82</v>
      </c>
      <c r="Q100" s="1016" t="str">
        <f t="shared" ca="1" si="15"/>
        <v/>
      </c>
      <c r="R100" s="1027" t="str">
        <f t="shared" ca="1" si="16"/>
        <v/>
      </c>
      <c r="S100" s="1006" t="str">
        <f ca="1"/>
        <v/>
      </c>
      <c r="T100" s="1006" t="str">
        <f ca="1"/>
        <v/>
      </c>
      <c r="U100" s="1006" t="str">
        <f ca="1"/>
        <v/>
      </c>
      <c r="V100" s="1016" t="str">
        <f ca="1"/>
        <v/>
      </c>
      <c r="W100" s="1019" t="str">
        <f ca="1"/>
        <v/>
      </c>
      <c r="X100" s="1006" t="str">
        <f ca="1"/>
        <v/>
      </c>
      <c r="Y100" s="864" t="str">
        <f t="shared" ca="1" si="12"/>
        <v/>
      </c>
      <c r="AA100" s="828">
        <v>82</v>
      </c>
      <c r="AB100" s="750"/>
      <c r="AC100" s="842"/>
      <c r="AD100" s="830"/>
      <c r="AE100" s="839"/>
      <c r="AF100" s="839"/>
      <c r="AG100" s="750"/>
      <c r="AH100" s="840"/>
      <c r="AI100" s="839"/>
      <c r="AJ100" s="841"/>
      <c r="AK100" s="108" t="s">
        <v>12</v>
      </c>
      <c r="AL100" s="847">
        <v>82</v>
      </c>
      <c r="AM100" s="857"/>
      <c r="AN100" s="842"/>
      <c r="AO100" s="839"/>
      <c r="AP100" s="839"/>
      <c r="AQ100" s="839"/>
      <c r="AR100" s="750"/>
      <c r="AS100" s="840"/>
      <c r="AT100" s="839"/>
      <c r="AU100" s="856"/>
      <c r="AV100" s="108" t="s">
        <v>12</v>
      </c>
    </row>
    <row r="101" spans="4:48">
      <c r="D101" s="108" t="s">
        <v>12</v>
      </c>
      <c r="E101" s="742">
        <v>83</v>
      </c>
      <c r="F101" s="1016" t="str">
        <f t="shared" ca="1" si="13"/>
        <v/>
      </c>
      <c r="G101" s="1027" t="str">
        <f t="shared" ca="1" si="14"/>
        <v/>
      </c>
      <c r="H101" s="1043" t="str">
        <f ca="1"/>
        <v/>
      </c>
      <c r="I101" s="1006" t="str">
        <f ca="1"/>
        <v/>
      </c>
      <c r="J101" s="1006" t="str">
        <f ca="1"/>
        <v/>
      </c>
      <c r="K101" s="1016" t="str">
        <f ca="1"/>
        <v/>
      </c>
      <c r="L101" s="1019" t="str">
        <f ca="1"/>
        <v/>
      </c>
      <c r="M101" s="1006" t="str">
        <f ca="1"/>
        <v/>
      </c>
      <c r="N101" s="1060" t="str">
        <f t="shared" ca="1" si="11"/>
        <v/>
      </c>
      <c r="O101" s="996"/>
      <c r="P101" s="742">
        <v>83</v>
      </c>
      <c r="Q101" s="1016" t="str">
        <f t="shared" ca="1" si="15"/>
        <v/>
      </c>
      <c r="R101" s="1027" t="str">
        <f t="shared" ca="1" si="16"/>
        <v/>
      </c>
      <c r="S101" s="1006" t="str">
        <f ca="1"/>
        <v/>
      </c>
      <c r="T101" s="1006" t="str">
        <f ca="1"/>
        <v/>
      </c>
      <c r="U101" s="1006" t="str">
        <f ca="1"/>
        <v/>
      </c>
      <c r="V101" s="1016" t="str">
        <f ca="1"/>
        <v/>
      </c>
      <c r="W101" s="1019" t="str">
        <f ca="1"/>
        <v/>
      </c>
      <c r="X101" s="1006" t="str">
        <f ca="1"/>
        <v/>
      </c>
      <c r="Y101" s="864" t="str">
        <f t="shared" ca="1" si="12"/>
        <v/>
      </c>
      <c r="AA101" s="828">
        <v>83</v>
      </c>
      <c r="AB101" s="750"/>
      <c r="AC101" s="842"/>
      <c r="AD101" s="830"/>
      <c r="AE101" s="839"/>
      <c r="AF101" s="839"/>
      <c r="AG101" s="750"/>
      <c r="AH101" s="840"/>
      <c r="AI101" s="839"/>
      <c r="AJ101" s="841"/>
      <c r="AK101" s="108" t="s">
        <v>12</v>
      </c>
      <c r="AL101" s="847">
        <v>83</v>
      </c>
      <c r="AM101" s="857"/>
      <c r="AN101" s="842"/>
      <c r="AO101" s="839"/>
      <c r="AP101" s="839"/>
      <c r="AQ101" s="839"/>
      <c r="AR101" s="750"/>
      <c r="AS101" s="840"/>
      <c r="AT101" s="839"/>
      <c r="AU101" s="856"/>
      <c r="AV101" s="108" t="s">
        <v>12</v>
      </c>
    </row>
    <row r="102" spans="4:48">
      <c r="D102" s="108" t="s">
        <v>12</v>
      </c>
      <c r="E102" s="742">
        <v>84</v>
      </c>
      <c r="F102" s="1016" t="str">
        <f t="shared" ca="1" si="13"/>
        <v/>
      </c>
      <c r="G102" s="1027" t="str">
        <f t="shared" ca="1" si="14"/>
        <v/>
      </c>
      <c r="H102" s="1043" t="str">
        <f ca="1"/>
        <v/>
      </c>
      <c r="I102" s="1006" t="str">
        <f ca="1"/>
        <v/>
      </c>
      <c r="J102" s="1006" t="str">
        <f ca="1"/>
        <v/>
      </c>
      <c r="K102" s="1016" t="str">
        <f ca="1"/>
        <v/>
      </c>
      <c r="L102" s="1019" t="str">
        <f ca="1"/>
        <v/>
      </c>
      <c r="M102" s="1006" t="str">
        <f ca="1"/>
        <v/>
      </c>
      <c r="N102" s="1060" t="str">
        <f t="shared" ca="1" si="11"/>
        <v/>
      </c>
      <c r="O102" s="996"/>
      <c r="P102" s="742">
        <v>84</v>
      </c>
      <c r="Q102" s="1016" t="str">
        <f t="shared" ca="1" si="15"/>
        <v/>
      </c>
      <c r="R102" s="1027" t="str">
        <f t="shared" ca="1" si="16"/>
        <v/>
      </c>
      <c r="S102" s="1006" t="str">
        <f ca="1"/>
        <v/>
      </c>
      <c r="T102" s="1006" t="str">
        <f ca="1"/>
        <v/>
      </c>
      <c r="U102" s="1006" t="str">
        <f ca="1"/>
        <v/>
      </c>
      <c r="V102" s="1016" t="str">
        <f ca="1"/>
        <v/>
      </c>
      <c r="W102" s="1019" t="str">
        <f ca="1"/>
        <v/>
      </c>
      <c r="X102" s="1006" t="str">
        <f ca="1"/>
        <v/>
      </c>
      <c r="Y102" s="864" t="str">
        <f t="shared" ca="1" si="12"/>
        <v/>
      </c>
      <c r="AA102" s="828">
        <v>84</v>
      </c>
      <c r="AB102" s="750"/>
      <c r="AC102" s="842"/>
      <c r="AD102" s="830"/>
      <c r="AE102" s="839"/>
      <c r="AF102" s="839"/>
      <c r="AG102" s="750"/>
      <c r="AH102" s="840"/>
      <c r="AI102" s="839"/>
      <c r="AJ102" s="841"/>
      <c r="AK102" s="108" t="s">
        <v>12</v>
      </c>
      <c r="AL102" s="847">
        <v>84</v>
      </c>
      <c r="AM102" s="857"/>
      <c r="AN102" s="842"/>
      <c r="AO102" s="839"/>
      <c r="AP102" s="839"/>
      <c r="AQ102" s="839"/>
      <c r="AR102" s="750"/>
      <c r="AS102" s="840"/>
      <c r="AT102" s="839"/>
      <c r="AU102" s="856"/>
      <c r="AV102" s="108" t="s">
        <v>12</v>
      </c>
    </row>
    <row r="103" spans="4:48">
      <c r="D103" s="108" t="s">
        <v>12</v>
      </c>
      <c r="E103" s="742">
        <v>85</v>
      </c>
      <c r="F103" s="1016" t="str">
        <f t="shared" ca="1" si="13"/>
        <v/>
      </c>
      <c r="G103" s="1027" t="str">
        <f t="shared" ca="1" si="14"/>
        <v/>
      </c>
      <c r="H103" s="1043" t="str">
        <f ca="1"/>
        <v/>
      </c>
      <c r="I103" s="1006" t="str">
        <f ca="1"/>
        <v/>
      </c>
      <c r="J103" s="1006" t="str">
        <f ca="1"/>
        <v/>
      </c>
      <c r="K103" s="1016" t="str">
        <f ca="1"/>
        <v/>
      </c>
      <c r="L103" s="1019" t="str">
        <f ca="1"/>
        <v/>
      </c>
      <c r="M103" s="1006" t="str">
        <f ca="1"/>
        <v/>
      </c>
      <c r="N103" s="1060" t="str">
        <f t="shared" ca="1" si="11"/>
        <v/>
      </c>
      <c r="O103" s="996"/>
      <c r="P103" s="742">
        <v>85</v>
      </c>
      <c r="Q103" s="1016" t="str">
        <f t="shared" ca="1" si="15"/>
        <v/>
      </c>
      <c r="R103" s="1027" t="str">
        <f t="shared" ca="1" si="16"/>
        <v/>
      </c>
      <c r="S103" s="1006" t="str">
        <f ca="1"/>
        <v/>
      </c>
      <c r="T103" s="1006" t="str">
        <f ca="1"/>
        <v/>
      </c>
      <c r="U103" s="1006" t="str">
        <f ca="1"/>
        <v/>
      </c>
      <c r="V103" s="1016" t="str">
        <f ca="1"/>
        <v/>
      </c>
      <c r="W103" s="1019" t="str">
        <f ca="1"/>
        <v/>
      </c>
      <c r="X103" s="1006" t="str">
        <f ca="1"/>
        <v/>
      </c>
      <c r="Y103" s="864" t="str">
        <f t="shared" ca="1" si="12"/>
        <v/>
      </c>
      <c r="AA103" s="828">
        <v>85</v>
      </c>
      <c r="AB103" s="750"/>
      <c r="AC103" s="842"/>
      <c r="AD103" s="830"/>
      <c r="AE103" s="839"/>
      <c r="AF103" s="839"/>
      <c r="AG103" s="750"/>
      <c r="AH103" s="840"/>
      <c r="AI103" s="839"/>
      <c r="AJ103" s="841"/>
      <c r="AK103" s="108" t="s">
        <v>12</v>
      </c>
      <c r="AL103" s="847">
        <v>85</v>
      </c>
      <c r="AM103" s="857"/>
      <c r="AN103" s="842"/>
      <c r="AO103" s="839"/>
      <c r="AP103" s="839"/>
      <c r="AQ103" s="839"/>
      <c r="AR103" s="750"/>
      <c r="AS103" s="840"/>
      <c r="AT103" s="839"/>
      <c r="AU103" s="856"/>
      <c r="AV103" s="108" t="s">
        <v>12</v>
      </c>
    </row>
    <row r="104" spans="4:48">
      <c r="D104" s="108" t="s">
        <v>12</v>
      </c>
      <c r="E104" s="742">
        <v>86</v>
      </c>
      <c r="F104" s="1016" t="str">
        <f t="shared" ca="1" si="13"/>
        <v/>
      </c>
      <c r="G104" s="1027" t="str">
        <f t="shared" ca="1" si="14"/>
        <v/>
      </c>
      <c r="H104" s="1043" t="str">
        <f ca="1"/>
        <v/>
      </c>
      <c r="I104" s="1006" t="str">
        <f ca="1"/>
        <v/>
      </c>
      <c r="J104" s="1006" t="str">
        <f ca="1"/>
        <v/>
      </c>
      <c r="K104" s="1016" t="str">
        <f ca="1"/>
        <v/>
      </c>
      <c r="L104" s="1019" t="str">
        <f ca="1"/>
        <v/>
      </c>
      <c r="M104" s="1006" t="str">
        <f ca="1"/>
        <v/>
      </c>
      <c r="N104" s="1060" t="str">
        <f t="shared" ca="1" si="11"/>
        <v/>
      </c>
      <c r="O104" s="996"/>
      <c r="P104" s="742">
        <v>86</v>
      </c>
      <c r="Q104" s="1016" t="str">
        <f t="shared" ca="1" si="15"/>
        <v/>
      </c>
      <c r="R104" s="1027" t="str">
        <f t="shared" ca="1" si="16"/>
        <v/>
      </c>
      <c r="S104" s="1006" t="str">
        <f ca="1"/>
        <v/>
      </c>
      <c r="T104" s="1006" t="str">
        <f ca="1"/>
        <v/>
      </c>
      <c r="U104" s="1006" t="str">
        <f ca="1"/>
        <v/>
      </c>
      <c r="V104" s="1016" t="str">
        <f ca="1"/>
        <v/>
      </c>
      <c r="W104" s="1019" t="str">
        <f ca="1"/>
        <v/>
      </c>
      <c r="X104" s="1006" t="str">
        <f ca="1"/>
        <v/>
      </c>
      <c r="Y104" s="864" t="str">
        <f t="shared" ca="1" si="12"/>
        <v/>
      </c>
      <c r="AA104" s="828">
        <v>86</v>
      </c>
      <c r="AB104" s="750"/>
      <c r="AC104" s="842"/>
      <c r="AD104" s="830"/>
      <c r="AE104" s="839"/>
      <c r="AF104" s="839"/>
      <c r="AG104" s="750"/>
      <c r="AH104" s="840"/>
      <c r="AI104" s="839"/>
      <c r="AJ104" s="841"/>
      <c r="AK104" s="108" t="s">
        <v>12</v>
      </c>
      <c r="AL104" s="847">
        <v>86</v>
      </c>
      <c r="AM104" s="857"/>
      <c r="AN104" s="842"/>
      <c r="AO104" s="839"/>
      <c r="AP104" s="839"/>
      <c r="AQ104" s="839"/>
      <c r="AR104" s="750"/>
      <c r="AS104" s="840"/>
      <c r="AT104" s="839"/>
      <c r="AU104" s="856"/>
      <c r="AV104" s="108" t="s">
        <v>12</v>
      </c>
    </row>
    <row r="105" spans="4:48">
      <c r="D105" s="108" t="s">
        <v>12</v>
      </c>
      <c r="E105" s="742">
        <v>87</v>
      </c>
      <c r="F105" s="1016" t="str">
        <f t="shared" ca="1" si="13"/>
        <v/>
      </c>
      <c r="G105" s="1027" t="str">
        <f t="shared" ca="1" si="14"/>
        <v/>
      </c>
      <c r="H105" s="1043" t="str">
        <f ca="1"/>
        <v/>
      </c>
      <c r="I105" s="1006" t="str">
        <f ca="1"/>
        <v/>
      </c>
      <c r="J105" s="1006" t="str">
        <f ca="1"/>
        <v/>
      </c>
      <c r="K105" s="1016" t="str">
        <f ca="1"/>
        <v/>
      </c>
      <c r="L105" s="1019" t="str">
        <f ca="1"/>
        <v/>
      </c>
      <c r="M105" s="1006" t="str">
        <f ca="1"/>
        <v/>
      </c>
      <c r="N105" s="1060" t="str">
        <f t="shared" ca="1" si="11"/>
        <v/>
      </c>
      <c r="O105" s="996"/>
      <c r="P105" s="742">
        <v>87</v>
      </c>
      <c r="Q105" s="1016" t="str">
        <f t="shared" ca="1" si="15"/>
        <v/>
      </c>
      <c r="R105" s="1027" t="str">
        <f t="shared" ca="1" si="16"/>
        <v/>
      </c>
      <c r="S105" s="1006" t="str">
        <f ca="1"/>
        <v/>
      </c>
      <c r="T105" s="1006" t="str">
        <f ca="1"/>
        <v/>
      </c>
      <c r="U105" s="1006" t="str">
        <f ca="1"/>
        <v/>
      </c>
      <c r="V105" s="1016" t="str">
        <f ca="1"/>
        <v/>
      </c>
      <c r="W105" s="1019" t="str">
        <f ca="1"/>
        <v/>
      </c>
      <c r="X105" s="1006" t="str">
        <f ca="1"/>
        <v/>
      </c>
      <c r="Y105" s="864" t="str">
        <f t="shared" ca="1" si="12"/>
        <v/>
      </c>
      <c r="AA105" s="828">
        <v>87</v>
      </c>
      <c r="AB105" s="750"/>
      <c r="AC105" s="842"/>
      <c r="AD105" s="830"/>
      <c r="AE105" s="839"/>
      <c r="AF105" s="839"/>
      <c r="AG105" s="750"/>
      <c r="AH105" s="840"/>
      <c r="AI105" s="839"/>
      <c r="AJ105" s="841"/>
      <c r="AK105" s="108" t="s">
        <v>12</v>
      </c>
      <c r="AL105" s="847">
        <v>87</v>
      </c>
      <c r="AM105" s="857"/>
      <c r="AN105" s="842"/>
      <c r="AO105" s="839"/>
      <c r="AP105" s="839"/>
      <c r="AQ105" s="839"/>
      <c r="AR105" s="750"/>
      <c r="AS105" s="840"/>
      <c r="AT105" s="839"/>
      <c r="AU105" s="856"/>
      <c r="AV105" s="108" t="s">
        <v>12</v>
      </c>
    </row>
    <row r="106" spans="4:48">
      <c r="D106" s="108" t="s">
        <v>12</v>
      </c>
      <c r="E106" s="742">
        <v>88</v>
      </c>
      <c r="F106" s="1016" t="str">
        <f t="shared" ca="1" si="13"/>
        <v/>
      </c>
      <c r="G106" s="1027" t="str">
        <f t="shared" ca="1" si="14"/>
        <v/>
      </c>
      <c r="H106" s="1043" t="str">
        <f ca="1"/>
        <v/>
      </c>
      <c r="I106" s="1006" t="str">
        <f ca="1"/>
        <v/>
      </c>
      <c r="J106" s="1006" t="str">
        <f ca="1"/>
        <v/>
      </c>
      <c r="K106" s="1016" t="str">
        <f ca="1"/>
        <v/>
      </c>
      <c r="L106" s="1019" t="str">
        <f ca="1"/>
        <v/>
      </c>
      <c r="M106" s="1006" t="str">
        <f ca="1"/>
        <v/>
      </c>
      <c r="N106" s="1060" t="str">
        <f t="shared" ca="1" si="11"/>
        <v/>
      </c>
      <c r="O106" s="996"/>
      <c r="P106" s="742">
        <v>88</v>
      </c>
      <c r="Q106" s="1016" t="str">
        <f t="shared" ca="1" si="15"/>
        <v/>
      </c>
      <c r="R106" s="1027" t="str">
        <f t="shared" ca="1" si="16"/>
        <v/>
      </c>
      <c r="S106" s="1006" t="str">
        <f ca="1"/>
        <v/>
      </c>
      <c r="T106" s="1006" t="str">
        <f ca="1"/>
        <v/>
      </c>
      <c r="U106" s="1006" t="str">
        <f ca="1"/>
        <v/>
      </c>
      <c r="V106" s="1016" t="str">
        <f ca="1"/>
        <v/>
      </c>
      <c r="W106" s="1019" t="str">
        <f ca="1"/>
        <v/>
      </c>
      <c r="X106" s="1006" t="str">
        <f ca="1"/>
        <v/>
      </c>
      <c r="Y106" s="864" t="str">
        <f t="shared" ca="1" si="12"/>
        <v/>
      </c>
      <c r="AA106" s="828">
        <v>88</v>
      </c>
      <c r="AB106" s="750"/>
      <c r="AC106" s="842"/>
      <c r="AD106" s="830"/>
      <c r="AE106" s="839"/>
      <c r="AF106" s="839"/>
      <c r="AG106" s="750"/>
      <c r="AH106" s="840"/>
      <c r="AI106" s="839"/>
      <c r="AJ106" s="841"/>
      <c r="AK106" s="108" t="s">
        <v>12</v>
      </c>
      <c r="AL106" s="847">
        <v>88</v>
      </c>
      <c r="AM106" s="857"/>
      <c r="AN106" s="842"/>
      <c r="AO106" s="839"/>
      <c r="AP106" s="839"/>
      <c r="AQ106" s="839"/>
      <c r="AR106" s="750"/>
      <c r="AS106" s="840"/>
      <c r="AT106" s="839"/>
      <c r="AU106" s="856"/>
      <c r="AV106" s="108" t="s">
        <v>12</v>
      </c>
    </row>
    <row r="107" spans="4:48">
      <c r="D107" s="108" t="s">
        <v>12</v>
      </c>
      <c r="E107" s="742">
        <v>89</v>
      </c>
      <c r="F107" s="1016" t="str">
        <f t="shared" ca="1" si="13"/>
        <v/>
      </c>
      <c r="G107" s="1027" t="str">
        <f t="shared" ca="1" si="14"/>
        <v/>
      </c>
      <c r="H107" s="1043" t="str">
        <f ca="1"/>
        <v/>
      </c>
      <c r="I107" s="1006" t="str">
        <f ca="1"/>
        <v/>
      </c>
      <c r="J107" s="1006" t="str">
        <f ca="1"/>
        <v/>
      </c>
      <c r="K107" s="1016" t="str">
        <f ca="1"/>
        <v/>
      </c>
      <c r="L107" s="1019" t="str">
        <f ca="1"/>
        <v/>
      </c>
      <c r="M107" s="1006" t="str">
        <f ca="1"/>
        <v/>
      </c>
      <c r="N107" s="1060" t="str">
        <f t="shared" ca="1" si="11"/>
        <v/>
      </c>
      <c r="O107" s="996"/>
      <c r="P107" s="742">
        <v>89</v>
      </c>
      <c r="Q107" s="1016" t="str">
        <f t="shared" ca="1" si="15"/>
        <v/>
      </c>
      <c r="R107" s="1027" t="str">
        <f t="shared" ca="1" si="16"/>
        <v/>
      </c>
      <c r="S107" s="1006" t="str">
        <f ca="1"/>
        <v/>
      </c>
      <c r="T107" s="1006" t="str">
        <f ca="1"/>
        <v/>
      </c>
      <c r="U107" s="1006" t="str">
        <f ca="1"/>
        <v/>
      </c>
      <c r="V107" s="1016" t="str">
        <f ca="1"/>
        <v/>
      </c>
      <c r="W107" s="1019" t="str">
        <f ca="1"/>
        <v/>
      </c>
      <c r="X107" s="1006" t="str">
        <f ca="1"/>
        <v/>
      </c>
      <c r="Y107" s="864" t="str">
        <f t="shared" ca="1" si="12"/>
        <v/>
      </c>
      <c r="AA107" s="828">
        <v>89</v>
      </c>
      <c r="AB107" s="750"/>
      <c r="AC107" s="842"/>
      <c r="AD107" s="830"/>
      <c r="AE107" s="839"/>
      <c r="AF107" s="839"/>
      <c r="AG107" s="750"/>
      <c r="AH107" s="840"/>
      <c r="AI107" s="839"/>
      <c r="AJ107" s="841"/>
      <c r="AK107" s="108" t="s">
        <v>12</v>
      </c>
      <c r="AL107" s="847">
        <v>89</v>
      </c>
      <c r="AM107" s="857"/>
      <c r="AN107" s="842"/>
      <c r="AO107" s="839"/>
      <c r="AP107" s="839"/>
      <c r="AQ107" s="839"/>
      <c r="AR107" s="750"/>
      <c r="AS107" s="840"/>
      <c r="AT107" s="839"/>
      <c r="AU107" s="856"/>
      <c r="AV107" s="108" t="s">
        <v>12</v>
      </c>
    </row>
    <row r="108" spans="4:48">
      <c r="D108" s="108" t="s">
        <v>12</v>
      </c>
      <c r="E108" s="742">
        <v>90</v>
      </c>
      <c r="F108" s="1016" t="str">
        <f t="shared" ca="1" si="13"/>
        <v/>
      </c>
      <c r="G108" s="1027" t="str">
        <f t="shared" ca="1" si="14"/>
        <v/>
      </c>
      <c r="H108" s="1043" t="str">
        <f ca="1"/>
        <v/>
      </c>
      <c r="I108" s="1006" t="str">
        <f ca="1"/>
        <v/>
      </c>
      <c r="J108" s="1006" t="str">
        <f ca="1"/>
        <v/>
      </c>
      <c r="K108" s="1016" t="str">
        <f ca="1"/>
        <v/>
      </c>
      <c r="L108" s="1019" t="str">
        <f ca="1"/>
        <v/>
      </c>
      <c r="M108" s="1006" t="str">
        <f ca="1"/>
        <v/>
      </c>
      <c r="N108" s="1060" t="str">
        <f t="shared" ca="1" si="11"/>
        <v/>
      </c>
      <c r="O108" s="996"/>
      <c r="P108" s="742">
        <v>90</v>
      </c>
      <c r="Q108" s="1016" t="str">
        <f t="shared" ca="1" si="15"/>
        <v/>
      </c>
      <c r="R108" s="1027" t="str">
        <f t="shared" ca="1" si="16"/>
        <v/>
      </c>
      <c r="S108" s="1006" t="str">
        <f ca="1"/>
        <v/>
      </c>
      <c r="T108" s="1006" t="str">
        <f ca="1"/>
        <v/>
      </c>
      <c r="U108" s="1006" t="str">
        <f ca="1"/>
        <v/>
      </c>
      <c r="V108" s="1016" t="str">
        <f ca="1"/>
        <v/>
      </c>
      <c r="W108" s="1019" t="str">
        <f ca="1"/>
        <v/>
      </c>
      <c r="X108" s="1006" t="str">
        <f ca="1"/>
        <v/>
      </c>
      <c r="Y108" s="864" t="str">
        <f t="shared" ca="1" si="12"/>
        <v/>
      </c>
      <c r="AA108" s="828">
        <v>90</v>
      </c>
      <c r="AB108" s="750"/>
      <c r="AC108" s="842"/>
      <c r="AD108" s="830"/>
      <c r="AE108" s="839"/>
      <c r="AF108" s="839"/>
      <c r="AG108" s="750"/>
      <c r="AH108" s="840"/>
      <c r="AI108" s="839"/>
      <c r="AJ108" s="841"/>
      <c r="AK108" s="108" t="s">
        <v>12</v>
      </c>
      <c r="AL108" s="847">
        <v>90</v>
      </c>
      <c r="AM108" s="857"/>
      <c r="AN108" s="842"/>
      <c r="AO108" s="839"/>
      <c r="AP108" s="839"/>
      <c r="AQ108" s="839"/>
      <c r="AR108" s="750"/>
      <c r="AS108" s="840"/>
      <c r="AT108" s="839"/>
      <c r="AU108" s="856"/>
      <c r="AV108" s="108" t="s">
        <v>12</v>
      </c>
    </row>
    <row r="109" spans="4:48">
      <c r="D109" s="108" t="s">
        <v>12</v>
      </c>
      <c r="E109" s="742">
        <v>91</v>
      </c>
      <c r="F109" s="1016" t="str">
        <f t="shared" ca="1" si="13"/>
        <v/>
      </c>
      <c r="G109" s="1027" t="str">
        <f t="shared" ca="1" si="14"/>
        <v/>
      </c>
      <c r="H109" s="1043" t="str">
        <f ca="1"/>
        <v/>
      </c>
      <c r="I109" s="1006" t="str">
        <f ca="1"/>
        <v/>
      </c>
      <c r="J109" s="1006" t="str">
        <f ca="1"/>
        <v/>
      </c>
      <c r="K109" s="1016" t="str">
        <f ca="1"/>
        <v/>
      </c>
      <c r="L109" s="1019" t="str">
        <f ca="1"/>
        <v/>
      </c>
      <c r="M109" s="1006" t="str">
        <f ca="1"/>
        <v/>
      </c>
      <c r="N109" s="1060" t="str">
        <f t="shared" ca="1" si="11"/>
        <v/>
      </c>
      <c r="O109" s="996"/>
      <c r="P109" s="742">
        <v>91</v>
      </c>
      <c r="Q109" s="1016" t="str">
        <f t="shared" ca="1" si="15"/>
        <v/>
      </c>
      <c r="R109" s="1027" t="str">
        <f t="shared" ca="1" si="16"/>
        <v/>
      </c>
      <c r="S109" s="1006" t="str">
        <f ca="1"/>
        <v/>
      </c>
      <c r="T109" s="1006" t="str">
        <f ca="1"/>
        <v/>
      </c>
      <c r="U109" s="1006" t="str">
        <f ca="1"/>
        <v/>
      </c>
      <c r="V109" s="1016" t="str">
        <f ca="1"/>
        <v/>
      </c>
      <c r="W109" s="1019" t="str">
        <f ca="1"/>
        <v/>
      </c>
      <c r="X109" s="1006" t="str">
        <f ca="1"/>
        <v/>
      </c>
      <c r="Y109" s="864" t="str">
        <f t="shared" ca="1" si="12"/>
        <v/>
      </c>
      <c r="AA109" s="828">
        <v>91</v>
      </c>
      <c r="AB109" s="750"/>
      <c r="AC109" s="842"/>
      <c r="AD109" s="830"/>
      <c r="AE109" s="839"/>
      <c r="AF109" s="839"/>
      <c r="AG109" s="750"/>
      <c r="AH109" s="840"/>
      <c r="AI109" s="839"/>
      <c r="AJ109" s="841"/>
      <c r="AK109" s="108" t="s">
        <v>12</v>
      </c>
      <c r="AL109" s="847">
        <v>91</v>
      </c>
      <c r="AM109" s="857"/>
      <c r="AN109" s="842"/>
      <c r="AO109" s="839"/>
      <c r="AP109" s="839"/>
      <c r="AQ109" s="839"/>
      <c r="AR109" s="750"/>
      <c r="AS109" s="840"/>
      <c r="AT109" s="839"/>
      <c r="AU109" s="856"/>
      <c r="AV109" s="108" t="s">
        <v>12</v>
      </c>
    </row>
    <row r="110" spans="4:48">
      <c r="D110" s="108" t="s">
        <v>12</v>
      </c>
      <c r="E110" s="742">
        <v>92</v>
      </c>
      <c r="F110" s="1016" t="str">
        <f t="shared" ca="1" si="13"/>
        <v/>
      </c>
      <c r="G110" s="1027" t="str">
        <f t="shared" ca="1" si="14"/>
        <v/>
      </c>
      <c r="H110" s="1043" t="str">
        <f ca="1"/>
        <v/>
      </c>
      <c r="I110" s="1006" t="str">
        <f ca="1"/>
        <v/>
      </c>
      <c r="J110" s="1006" t="str">
        <f ca="1"/>
        <v/>
      </c>
      <c r="K110" s="1016" t="str">
        <f ca="1"/>
        <v/>
      </c>
      <c r="L110" s="1019" t="str">
        <f ca="1"/>
        <v/>
      </c>
      <c r="M110" s="1006" t="str">
        <f ca="1"/>
        <v/>
      </c>
      <c r="N110" s="1060" t="str">
        <f t="shared" ca="1" si="11"/>
        <v/>
      </c>
      <c r="O110" s="996"/>
      <c r="P110" s="742">
        <v>92</v>
      </c>
      <c r="Q110" s="1016" t="str">
        <f t="shared" ca="1" si="15"/>
        <v/>
      </c>
      <c r="R110" s="1027" t="str">
        <f t="shared" ca="1" si="16"/>
        <v/>
      </c>
      <c r="S110" s="1006" t="str">
        <f ca="1"/>
        <v/>
      </c>
      <c r="T110" s="1006" t="str">
        <f ca="1"/>
        <v/>
      </c>
      <c r="U110" s="1006" t="str">
        <f ca="1"/>
        <v/>
      </c>
      <c r="V110" s="1016" t="str">
        <f ca="1"/>
        <v/>
      </c>
      <c r="W110" s="1019" t="str">
        <f ca="1"/>
        <v/>
      </c>
      <c r="X110" s="1006" t="str">
        <f ca="1"/>
        <v/>
      </c>
      <c r="Y110" s="864" t="str">
        <f t="shared" ca="1" si="12"/>
        <v/>
      </c>
      <c r="AA110" s="828">
        <v>92</v>
      </c>
      <c r="AB110" s="750"/>
      <c r="AC110" s="842"/>
      <c r="AD110" s="830"/>
      <c r="AE110" s="839"/>
      <c r="AF110" s="839"/>
      <c r="AG110" s="750"/>
      <c r="AH110" s="840"/>
      <c r="AI110" s="839"/>
      <c r="AJ110" s="841"/>
      <c r="AK110" s="108" t="s">
        <v>12</v>
      </c>
      <c r="AL110" s="847">
        <v>92</v>
      </c>
      <c r="AM110" s="857"/>
      <c r="AN110" s="842"/>
      <c r="AO110" s="839"/>
      <c r="AP110" s="839"/>
      <c r="AQ110" s="839"/>
      <c r="AR110" s="750"/>
      <c r="AS110" s="840"/>
      <c r="AT110" s="839"/>
      <c r="AU110" s="856"/>
      <c r="AV110" s="108" t="s">
        <v>12</v>
      </c>
    </row>
    <row r="111" spans="4:48">
      <c r="D111" s="108" t="s">
        <v>12</v>
      </c>
      <c r="E111" s="742">
        <v>93</v>
      </c>
      <c r="F111" s="1016" t="str">
        <f t="shared" ca="1" si="13"/>
        <v/>
      </c>
      <c r="G111" s="1027" t="str">
        <f t="shared" ca="1" si="14"/>
        <v/>
      </c>
      <c r="H111" s="1043" t="str">
        <f ca="1"/>
        <v/>
      </c>
      <c r="I111" s="1006" t="str">
        <f ca="1"/>
        <v/>
      </c>
      <c r="J111" s="1006" t="str">
        <f ca="1"/>
        <v/>
      </c>
      <c r="K111" s="1016" t="str">
        <f ca="1"/>
        <v/>
      </c>
      <c r="L111" s="1019" t="str">
        <f ca="1"/>
        <v/>
      </c>
      <c r="M111" s="1006" t="str">
        <f ca="1"/>
        <v/>
      </c>
      <c r="N111" s="1060" t="str">
        <f t="shared" ca="1" si="11"/>
        <v/>
      </c>
      <c r="O111" s="996"/>
      <c r="P111" s="742">
        <v>93</v>
      </c>
      <c r="Q111" s="1016" t="str">
        <f t="shared" ca="1" si="15"/>
        <v/>
      </c>
      <c r="R111" s="1027" t="str">
        <f t="shared" ca="1" si="16"/>
        <v/>
      </c>
      <c r="S111" s="1006" t="str">
        <f ca="1"/>
        <v/>
      </c>
      <c r="T111" s="1006" t="str">
        <f ca="1"/>
        <v/>
      </c>
      <c r="U111" s="1006" t="str">
        <f ca="1"/>
        <v/>
      </c>
      <c r="V111" s="1016" t="str">
        <f ca="1"/>
        <v/>
      </c>
      <c r="W111" s="1019" t="str">
        <f ca="1"/>
        <v/>
      </c>
      <c r="X111" s="1006" t="str">
        <f ca="1"/>
        <v/>
      </c>
      <c r="Y111" s="864" t="str">
        <f t="shared" ca="1" si="12"/>
        <v/>
      </c>
      <c r="AA111" s="828">
        <v>93</v>
      </c>
      <c r="AB111" s="750"/>
      <c r="AC111" s="842"/>
      <c r="AD111" s="830"/>
      <c r="AE111" s="839"/>
      <c r="AF111" s="839"/>
      <c r="AG111" s="750"/>
      <c r="AH111" s="840"/>
      <c r="AI111" s="839"/>
      <c r="AJ111" s="841"/>
      <c r="AK111" s="108" t="s">
        <v>12</v>
      </c>
      <c r="AL111" s="847">
        <v>93</v>
      </c>
      <c r="AM111" s="857"/>
      <c r="AN111" s="842"/>
      <c r="AO111" s="839"/>
      <c r="AP111" s="839"/>
      <c r="AQ111" s="839"/>
      <c r="AR111" s="750"/>
      <c r="AS111" s="840"/>
      <c r="AT111" s="839"/>
      <c r="AU111" s="856"/>
      <c r="AV111" s="108" t="s">
        <v>12</v>
      </c>
    </row>
    <row r="112" spans="4:48">
      <c r="D112" s="108" t="s">
        <v>12</v>
      </c>
      <c r="E112" s="742">
        <v>94</v>
      </c>
      <c r="F112" s="1016" t="str">
        <f t="shared" ca="1" si="13"/>
        <v/>
      </c>
      <c r="G112" s="1027" t="str">
        <f t="shared" ca="1" si="14"/>
        <v/>
      </c>
      <c r="H112" s="1043" t="str">
        <f ca="1"/>
        <v/>
      </c>
      <c r="I112" s="1006" t="str">
        <f ca="1"/>
        <v/>
      </c>
      <c r="J112" s="1006" t="str">
        <f ca="1"/>
        <v/>
      </c>
      <c r="K112" s="1016" t="str">
        <f ca="1"/>
        <v/>
      </c>
      <c r="L112" s="1019" t="str">
        <f ca="1"/>
        <v/>
      </c>
      <c r="M112" s="1006" t="str">
        <f ca="1"/>
        <v/>
      </c>
      <c r="N112" s="1060" t="str">
        <f t="shared" ca="1" si="11"/>
        <v/>
      </c>
      <c r="O112" s="996"/>
      <c r="P112" s="742">
        <v>94</v>
      </c>
      <c r="Q112" s="1016" t="str">
        <f t="shared" ca="1" si="15"/>
        <v/>
      </c>
      <c r="R112" s="1027" t="str">
        <f t="shared" ca="1" si="16"/>
        <v/>
      </c>
      <c r="S112" s="1006" t="str">
        <f ca="1"/>
        <v/>
      </c>
      <c r="T112" s="1006" t="str">
        <f ca="1"/>
        <v/>
      </c>
      <c r="U112" s="1006" t="str">
        <f ca="1"/>
        <v/>
      </c>
      <c r="V112" s="1016" t="str">
        <f ca="1"/>
        <v/>
      </c>
      <c r="W112" s="1019" t="str">
        <f ca="1"/>
        <v/>
      </c>
      <c r="X112" s="1006" t="str">
        <f ca="1"/>
        <v/>
      </c>
      <c r="Y112" s="864" t="str">
        <f t="shared" ca="1" si="12"/>
        <v/>
      </c>
      <c r="AA112" s="828">
        <v>94</v>
      </c>
      <c r="AB112" s="750"/>
      <c r="AC112" s="842"/>
      <c r="AD112" s="830"/>
      <c r="AE112" s="839"/>
      <c r="AF112" s="839"/>
      <c r="AG112" s="750"/>
      <c r="AH112" s="840"/>
      <c r="AI112" s="839"/>
      <c r="AJ112" s="841"/>
      <c r="AK112" s="108" t="s">
        <v>12</v>
      </c>
      <c r="AL112" s="847">
        <v>94</v>
      </c>
      <c r="AM112" s="857"/>
      <c r="AN112" s="842"/>
      <c r="AO112" s="839"/>
      <c r="AP112" s="839"/>
      <c r="AQ112" s="839"/>
      <c r="AR112" s="750"/>
      <c r="AS112" s="840"/>
      <c r="AT112" s="839"/>
      <c r="AU112" s="856"/>
      <c r="AV112" s="108" t="s">
        <v>12</v>
      </c>
    </row>
    <row r="113" spans="4:48">
      <c r="D113" s="108" t="s">
        <v>12</v>
      </c>
      <c r="E113" s="742">
        <v>95</v>
      </c>
      <c r="F113" s="1016" t="str">
        <f t="shared" ca="1" si="13"/>
        <v/>
      </c>
      <c r="G113" s="1027" t="str">
        <f t="shared" ca="1" si="14"/>
        <v/>
      </c>
      <c r="H113" s="1043" t="str">
        <f ca="1"/>
        <v/>
      </c>
      <c r="I113" s="1006" t="str">
        <f ca="1"/>
        <v/>
      </c>
      <c r="J113" s="1006" t="str">
        <f ca="1"/>
        <v/>
      </c>
      <c r="K113" s="1016" t="str">
        <f ca="1"/>
        <v/>
      </c>
      <c r="L113" s="1019" t="str">
        <f ca="1"/>
        <v/>
      </c>
      <c r="M113" s="1006" t="str">
        <f ca="1"/>
        <v/>
      </c>
      <c r="N113" s="1060" t="str">
        <f t="shared" ca="1" si="11"/>
        <v/>
      </c>
      <c r="O113" s="996"/>
      <c r="P113" s="742">
        <v>95</v>
      </c>
      <c r="Q113" s="1016" t="str">
        <f t="shared" ca="1" si="15"/>
        <v/>
      </c>
      <c r="R113" s="1027" t="str">
        <f t="shared" ca="1" si="16"/>
        <v/>
      </c>
      <c r="S113" s="1006" t="str">
        <f ca="1"/>
        <v/>
      </c>
      <c r="T113" s="1006" t="str">
        <f ca="1"/>
        <v/>
      </c>
      <c r="U113" s="1006" t="str">
        <f ca="1"/>
        <v/>
      </c>
      <c r="V113" s="1016" t="str">
        <f ca="1"/>
        <v/>
      </c>
      <c r="W113" s="1019" t="str">
        <f ca="1"/>
        <v/>
      </c>
      <c r="X113" s="1006" t="str">
        <f ca="1"/>
        <v/>
      </c>
      <c r="Y113" s="864" t="str">
        <f t="shared" ca="1" si="12"/>
        <v/>
      </c>
      <c r="AA113" s="828">
        <v>95</v>
      </c>
      <c r="AB113" s="750"/>
      <c r="AC113" s="842"/>
      <c r="AD113" s="830"/>
      <c r="AE113" s="839"/>
      <c r="AF113" s="839"/>
      <c r="AG113" s="750"/>
      <c r="AH113" s="840"/>
      <c r="AI113" s="839"/>
      <c r="AJ113" s="841"/>
      <c r="AK113" s="108" t="s">
        <v>12</v>
      </c>
      <c r="AL113" s="847">
        <v>95</v>
      </c>
      <c r="AM113" s="857"/>
      <c r="AN113" s="842"/>
      <c r="AO113" s="839"/>
      <c r="AP113" s="839"/>
      <c r="AQ113" s="839"/>
      <c r="AR113" s="750"/>
      <c r="AS113" s="840"/>
      <c r="AT113" s="839"/>
      <c r="AU113" s="856"/>
      <c r="AV113" s="108" t="s">
        <v>12</v>
      </c>
    </row>
    <row r="114" spans="4:48">
      <c r="D114" s="108" t="s">
        <v>12</v>
      </c>
      <c r="E114" s="742">
        <v>96</v>
      </c>
      <c r="F114" s="1016" t="str">
        <f t="shared" ca="1" si="13"/>
        <v/>
      </c>
      <c r="G114" s="1027" t="str">
        <f t="shared" ca="1" si="14"/>
        <v/>
      </c>
      <c r="H114" s="1043" t="str">
        <f ca="1"/>
        <v/>
      </c>
      <c r="I114" s="1006" t="str">
        <f ca="1"/>
        <v/>
      </c>
      <c r="J114" s="1006" t="str">
        <f ca="1"/>
        <v/>
      </c>
      <c r="K114" s="1016" t="str">
        <f ca="1"/>
        <v/>
      </c>
      <c r="L114" s="1019" t="str">
        <f ca="1"/>
        <v/>
      </c>
      <c r="M114" s="1006" t="str">
        <f ca="1"/>
        <v/>
      </c>
      <c r="N114" s="1060" t="str">
        <f t="shared" ca="1" si="11"/>
        <v/>
      </c>
      <c r="O114" s="996"/>
      <c r="P114" s="742">
        <v>96</v>
      </c>
      <c r="Q114" s="1016" t="str">
        <f t="shared" ca="1" si="15"/>
        <v/>
      </c>
      <c r="R114" s="1027" t="str">
        <f t="shared" ca="1" si="16"/>
        <v/>
      </c>
      <c r="S114" s="1006" t="str">
        <f ca="1"/>
        <v/>
      </c>
      <c r="T114" s="1006" t="str">
        <f ca="1"/>
        <v/>
      </c>
      <c r="U114" s="1006" t="str">
        <f ca="1"/>
        <v/>
      </c>
      <c r="V114" s="1016" t="str">
        <f ca="1"/>
        <v/>
      </c>
      <c r="W114" s="1019" t="str">
        <f ca="1"/>
        <v/>
      </c>
      <c r="X114" s="1006" t="str">
        <f ca="1"/>
        <v/>
      </c>
      <c r="Y114" s="864" t="str">
        <f t="shared" ca="1" si="12"/>
        <v/>
      </c>
      <c r="AA114" s="828">
        <v>96</v>
      </c>
      <c r="AB114" s="750"/>
      <c r="AC114" s="842"/>
      <c r="AD114" s="830"/>
      <c r="AE114" s="839"/>
      <c r="AF114" s="839"/>
      <c r="AG114" s="750"/>
      <c r="AH114" s="840"/>
      <c r="AI114" s="839"/>
      <c r="AJ114" s="841"/>
      <c r="AK114" s="108" t="s">
        <v>12</v>
      </c>
      <c r="AL114" s="847">
        <v>96</v>
      </c>
      <c r="AM114" s="857"/>
      <c r="AN114" s="842"/>
      <c r="AO114" s="839"/>
      <c r="AP114" s="839"/>
      <c r="AQ114" s="839"/>
      <c r="AR114" s="750"/>
      <c r="AS114" s="840"/>
      <c r="AT114" s="839"/>
      <c r="AU114" s="856"/>
      <c r="AV114" s="108" t="s">
        <v>12</v>
      </c>
    </row>
    <row r="115" spans="4:48">
      <c r="D115" s="108" t="s">
        <v>12</v>
      </c>
      <c r="E115" s="742">
        <v>97</v>
      </c>
      <c r="F115" s="1016" t="str">
        <f t="shared" ca="1" si="13"/>
        <v/>
      </c>
      <c r="G115" s="1027" t="str">
        <f t="shared" ca="1" si="14"/>
        <v/>
      </c>
      <c r="H115" s="1043" t="str">
        <f ca="1"/>
        <v/>
      </c>
      <c r="I115" s="1006" t="str">
        <f ca="1"/>
        <v/>
      </c>
      <c r="J115" s="1006" t="str">
        <f ca="1"/>
        <v/>
      </c>
      <c r="K115" s="1016" t="str">
        <f ca="1"/>
        <v/>
      </c>
      <c r="L115" s="1019" t="str">
        <f ca="1"/>
        <v/>
      </c>
      <c r="M115" s="1006" t="str">
        <f ca="1"/>
        <v/>
      </c>
      <c r="N115" s="1060" t="str">
        <f t="shared" ca="1" si="11"/>
        <v/>
      </c>
      <c r="O115" s="996"/>
      <c r="P115" s="742">
        <v>97</v>
      </c>
      <c r="Q115" s="1016" t="str">
        <f t="shared" ca="1" si="15"/>
        <v/>
      </c>
      <c r="R115" s="1027" t="str">
        <f t="shared" ca="1" si="16"/>
        <v/>
      </c>
      <c r="S115" s="1006" t="str">
        <f ca="1"/>
        <v/>
      </c>
      <c r="T115" s="1006" t="str">
        <f ca="1"/>
        <v/>
      </c>
      <c r="U115" s="1006" t="str">
        <f ca="1"/>
        <v/>
      </c>
      <c r="V115" s="1016" t="str">
        <f ca="1"/>
        <v/>
      </c>
      <c r="W115" s="1019" t="str">
        <f ca="1"/>
        <v/>
      </c>
      <c r="X115" s="1006" t="str">
        <f ca="1"/>
        <v/>
      </c>
      <c r="Y115" s="864" t="str">
        <f t="shared" ca="1" si="12"/>
        <v/>
      </c>
      <c r="AA115" s="828">
        <v>97</v>
      </c>
      <c r="AB115" s="750"/>
      <c r="AC115" s="842"/>
      <c r="AD115" s="830"/>
      <c r="AE115" s="839"/>
      <c r="AF115" s="839"/>
      <c r="AG115" s="750"/>
      <c r="AH115" s="840"/>
      <c r="AI115" s="839"/>
      <c r="AJ115" s="841"/>
      <c r="AK115" s="108" t="s">
        <v>12</v>
      </c>
      <c r="AL115" s="847">
        <v>97</v>
      </c>
      <c r="AM115" s="857"/>
      <c r="AN115" s="842"/>
      <c r="AO115" s="839"/>
      <c r="AP115" s="839"/>
      <c r="AQ115" s="839"/>
      <c r="AR115" s="750"/>
      <c r="AS115" s="840"/>
      <c r="AT115" s="839"/>
      <c r="AU115" s="856"/>
      <c r="AV115" s="108" t="s">
        <v>12</v>
      </c>
    </row>
    <row r="116" spans="4:48">
      <c r="D116" s="108" t="s">
        <v>12</v>
      </c>
      <c r="E116" s="742">
        <v>98</v>
      </c>
      <c r="F116" s="1016" t="str">
        <f t="shared" ca="1" si="13"/>
        <v/>
      </c>
      <c r="G116" s="1027" t="str">
        <f t="shared" ca="1" si="14"/>
        <v/>
      </c>
      <c r="H116" s="1043" t="str">
        <f ca="1"/>
        <v/>
      </c>
      <c r="I116" s="1006" t="str">
        <f ca="1"/>
        <v/>
      </c>
      <c r="J116" s="1006" t="str">
        <f ca="1"/>
        <v/>
      </c>
      <c r="K116" s="1016" t="str">
        <f ca="1"/>
        <v/>
      </c>
      <c r="L116" s="1019" t="str">
        <f ca="1"/>
        <v/>
      </c>
      <c r="M116" s="1006" t="str">
        <f ca="1"/>
        <v/>
      </c>
      <c r="N116" s="1060" t="str">
        <f t="shared" ca="1" si="11"/>
        <v/>
      </c>
      <c r="O116" s="996"/>
      <c r="P116" s="742">
        <v>98</v>
      </c>
      <c r="Q116" s="1016" t="str">
        <f t="shared" ca="1" si="15"/>
        <v/>
      </c>
      <c r="R116" s="1027" t="str">
        <f t="shared" ca="1" si="16"/>
        <v/>
      </c>
      <c r="S116" s="1006" t="str">
        <f ca="1"/>
        <v/>
      </c>
      <c r="T116" s="1006" t="str">
        <f ca="1"/>
        <v/>
      </c>
      <c r="U116" s="1006" t="str">
        <f ca="1"/>
        <v/>
      </c>
      <c r="V116" s="1016" t="str">
        <f ca="1"/>
        <v/>
      </c>
      <c r="W116" s="1019" t="str">
        <f ca="1"/>
        <v/>
      </c>
      <c r="X116" s="1006" t="str">
        <f ca="1"/>
        <v/>
      </c>
      <c r="Y116" s="864" t="str">
        <f t="shared" ca="1" si="12"/>
        <v/>
      </c>
      <c r="AA116" s="828">
        <v>98</v>
      </c>
      <c r="AB116" s="750"/>
      <c r="AC116" s="842"/>
      <c r="AD116" s="830"/>
      <c r="AE116" s="839"/>
      <c r="AF116" s="839"/>
      <c r="AG116" s="750"/>
      <c r="AH116" s="840"/>
      <c r="AI116" s="839"/>
      <c r="AJ116" s="841"/>
      <c r="AK116" s="108" t="s">
        <v>12</v>
      </c>
      <c r="AL116" s="847">
        <v>98</v>
      </c>
      <c r="AM116" s="857"/>
      <c r="AN116" s="842"/>
      <c r="AO116" s="839"/>
      <c r="AP116" s="839"/>
      <c r="AQ116" s="839"/>
      <c r="AR116" s="750"/>
      <c r="AS116" s="840"/>
      <c r="AT116" s="839"/>
      <c r="AU116" s="856"/>
      <c r="AV116" s="108" t="s">
        <v>12</v>
      </c>
    </row>
    <row r="117" spans="4:48">
      <c r="D117" s="108" t="s">
        <v>12</v>
      </c>
      <c r="E117" s="742">
        <v>99</v>
      </c>
      <c r="F117" s="1016" t="str">
        <f t="shared" ca="1" si="13"/>
        <v/>
      </c>
      <c r="G117" s="1027" t="str">
        <f t="shared" ca="1" si="14"/>
        <v/>
      </c>
      <c r="H117" s="1043" t="str">
        <f ca="1"/>
        <v/>
      </c>
      <c r="I117" s="1006" t="str">
        <f ca="1"/>
        <v/>
      </c>
      <c r="J117" s="1006" t="str">
        <f ca="1"/>
        <v/>
      </c>
      <c r="K117" s="1016" t="str">
        <f ca="1"/>
        <v/>
      </c>
      <c r="L117" s="1019" t="str">
        <f ca="1"/>
        <v/>
      </c>
      <c r="M117" s="1006" t="str">
        <f ca="1"/>
        <v/>
      </c>
      <c r="N117" s="1060" t="str">
        <f t="shared" ca="1" si="11"/>
        <v/>
      </c>
      <c r="O117" s="996"/>
      <c r="P117" s="742">
        <v>99</v>
      </c>
      <c r="Q117" s="1016" t="str">
        <f t="shared" ca="1" si="15"/>
        <v/>
      </c>
      <c r="R117" s="1027" t="str">
        <f t="shared" ca="1" si="16"/>
        <v/>
      </c>
      <c r="S117" s="1006" t="str">
        <f ca="1"/>
        <v/>
      </c>
      <c r="T117" s="1006" t="str">
        <f ca="1"/>
        <v/>
      </c>
      <c r="U117" s="1006" t="str">
        <f ca="1"/>
        <v/>
      </c>
      <c r="V117" s="1016" t="str">
        <f ca="1"/>
        <v/>
      </c>
      <c r="W117" s="1019" t="str">
        <f ca="1"/>
        <v/>
      </c>
      <c r="X117" s="1006" t="str">
        <f ca="1"/>
        <v/>
      </c>
      <c r="Y117" s="864" t="str">
        <f t="shared" ca="1" si="12"/>
        <v/>
      </c>
      <c r="AA117" s="828">
        <v>99</v>
      </c>
      <c r="AB117" s="750"/>
      <c r="AC117" s="842"/>
      <c r="AD117" s="830"/>
      <c r="AE117" s="839"/>
      <c r="AF117" s="839"/>
      <c r="AG117" s="750"/>
      <c r="AH117" s="840"/>
      <c r="AI117" s="839"/>
      <c r="AJ117" s="841"/>
      <c r="AK117" s="108" t="s">
        <v>12</v>
      </c>
      <c r="AL117" s="847">
        <v>99</v>
      </c>
      <c r="AM117" s="857"/>
      <c r="AN117" s="842"/>
      <c r="AO117" s="839"/>
      <c r="AP117" s="839"/>
      <c r="AQ117" s="839"/>
      <c r="AR117" s="750"/>
      <c r="AS117" s="840"/>
      <c r="AT117" s="839"/>
      <c r="AU117" s="856"/>
      <c r="AV117" s="108" t="s">
        <v>12</v>
      </c>
    </row>
    <row r="118" spans="4:48">
      <c r="D118" s="108" t="s">
        <v>12</v>
      </c>
      <c r="E118" s="742">
        <v>100</v>
      </c>
      <c r="F118" s="1016" t="str">
        <f t="shared" ca="1" si="13"/>
        <v/>
      </c>
      <c r="G118" s="1027" t="str">
        <f t="shared" ca="1" si="14"/>
        <v/>
      </c>
      <c r="H118" s="1043" t="str">
        <f ca="1"/>
        <v/>
      </c>
      <c r="I118" s="1006" t="str">
        <f ca="1"/>
        <v/>
      </c>
      <c r="J118" s="1006" t="str">
        <f ca="1"/>
        <v/>
      </c>
      <c r="K118" s="1016" t="str">
        <f ca="1"/>
        <v/>
      </c>
      <c r="L118" s="1019" t="str">
        <f ca="1"/>
        <v/>
      </c>
      <c r="M118" s="1006" t="str">
        <f ca="1"/>
        <v/>
      </c>
      <c r="N118" s="1060" t="str">
        <f t="shared" ca="1" si="11"/>
        <v/>
      </c>
      <c r="O118" s="996"/>
      <c r="P118" s="742">
        <v>100</v>
      </c>
      <c r="Q118" s="1016" t="str">
        <f t="shared" ca="1" si="15"/>
        <v/>
      </c>
      <c r="R118" s="1027" t="str">
        <f t="shared" ca="1" si="16"/>
        <v/>
      </c>
      <c r="S118" s="1006" t="str">
        <f ca="1"/>
        <v/>
      </c>
      <c r="T118" s="1006" t="str">
        <f ca="1"/>
        <v/>
      </c>
      <c r="U118" s="1006" t="str">
        <f ca="1"/>
        <v/>
      </c>
      <c r="V118" s="1016" t="str">
        <f ca="1"/>
        <v/>
      </c>
      <c r="W118" s="1019" t="str">
        <f ca="1"/>
        <v/>
      </c>
      <c r="X118" s="1006" t="str">
        <f ca="1"/>
        <v/>
      </c>
      <c r="Y118" s="864" t="str">
        <f t="shared" ca="1" si="12"/>
        <v/>
      </c>
      <c r="AA118" s="828">
        <v>100</v>
      </c>
      <c r="AB118" s="750"/>
      <c r="AC118" s="842"/>
      <c r="AD118" s="830"/>
      <c r="AE118" s="839"/>
      <c r="AF118" s="839"/>
      <c r="AG118" s="750"/>
      <c r="AH118" s="840"/>
      <c r="AI118" s="839"/>
      <c r="AJ118" s="841"/>
      <c r="AK118" s="108" t="s">
        <v>12</v>
      </c>
      <c r="AL118" s="847">
        <v>100</v>
      </c>
      <c r="AM118" s="857"/>
      <c r="AN118" s="842"/>
      <c r="AO118" s="839"/>
      <c r="AP118" s="839"/>
      <c r="AQ118" s="839"/>
      <c r="AR118" s="750"/>
      <c r="AS118" s="840"/>
      <c r="AT118" s="839"/>
      <c r="AU118" s="856"/>
      <c r="AV118" s="108" t="s">
        <v>12</v>
      </c>
    </row>
    <row r="119" spans="4:48">
      <c r="D119" s="108" t="s">
        <v>12</v>
      </c>
      <c r="E119" s="742">
        <v>101</v>
      </c>
      <c r="F119" s="1016" t="str">
        <f t="shared" ca="1" si="13"/>
        <v/>
      </c>
      <c r="G119" s="1027" t="str">
        <f t="shared" ca="1" si="14"/>
        <v/>
      </c>
      <c r="H119" s="1043" t="str">
        <f ca="1"/>
        <v/>
      </c>
      <c r="I119" s="1006" t="str">
        <f ca="1"/>
        <v/>
      </c>
      <c r="J119" s="1006" t="str">
        <f ca="1"/>
        <v/>
      </c>
      <c r="K119" s="1016" t="str">
        <f ca="1"/>
        <v/>
      </c>
      <c r="L119" s="1019" t="str">
        <f ca="1"/>
        <v/>
      </c>
      <c r="M119" s="1006" t="str">
        <f ca="1"/>
        <v/>
      </c>
      <c r="N119" s="1060" t="str">
        <f t="shared" ca="1" si="11"/>
        <v/>
      </c>
      <c r="O119" s="996"/>
      <c r="P119" s="742">
        <v>101</v>
      </c>
      <c r="Q119" s="1016" t="str">
        <f t="shared" ca="1" si="15"/>
        <v/>
      </c>
      <c r="R119" s="1027" t="str">
        <f t="shared" ca="1" si="16"/>
        <v/>
      </c>
      <c r="S119" s="1006" t="str">
        <f ca="1"/>
        <v/>
      </c>
      <c r="T119" s="1006" t="str">
        <f ca="1"/>
        <v/>
      </c>
      <c r="U119" s="1006" t="str">
        <f ca="1"/>
        <v/>
      </c>
      <c r="V119" s="1016" t="str">
        <f ca="1"/>
        <v/>
      </c>
      <c r="W119" s="1019" t="str">
        <f ca="1"/>
        <v/>
      </c>
      <c r="X119" s="1006" t="str">
        <f ca="1"/>
        <v/>
      </c>
      <c r="Y119" s="864" t="str">
        <f t="shared" ca="1" si="12"/>
        <v/>
      </c>
      <c r="AA119" s="828">
        <v>101</v>
      </c>
      <c r="AB119" s="750"/>
      <c r="AC119" s="842"/>
      <c r="AD119" s="830"/>
      <c r="AE119" s="839"/>
      <c r="AF119" s="839"/>
      <c r="AG119" s="750"/>
      <c r="AH119" s="840"/>
      <c r="AI119" s="839"/>
      <c r="AJ119" s="841"/>
      <c r="AK119" s="108" t="s">
        <v>12</v>
      </c>
      <c r="AL119" s="847">
        <v>101</v>
      </c>
      <c r="AM119" s="857"/>
      <c r="AN119" s="842"/>
      <c r="AO119" s="839"/>
      <c r="AP119" s="839"/>
      <c r="AQ119" s="839"/>
      <c r="AR119" s="750"/>
      <c r="AS119" s="840"/>
      <c r="AT119" s="839"/>
      <c r="AU119" s="856"/>
      <c r="AV119" s="108" t="s">
        <v>12</v>
      </c>
    </row>
    <row r="120" spans="4:48">
      <c r="D120" s="108" t="s">
        <v>12</v>
      </c>
      <c r="E120" s="742">
        <v>102</v>
      </c>
      <c r="F120" s="1016" t="str">
        <f t="shared" ca="1" si="13"/>
        <v/>
      </c>
      <c r="G120" s="1027" t="str">
        <f t="shared" ca="1" si="14"/>
        <v/>
      </c>
      <c r="H120" s="1043" t="str">
        <f ca="1"/>
        <v/>
      </c>
      <c r="I120" s="1006" t="str">
        <f ca="1"/>
        <v/>
      </c>
      <c r="J120" s="1006" t="str">
        <f ca="1"/>
        <v/>
      </c>
      <c r="K120" s="1016" t="str">
        <f ca="1"/>
        <v/>
      </c>
      <c r="L120" s="1019" t="str">
        <f ca="1"/>
        <v/>
      </c>
      <c r="M120" s="1006" t="str">
        <f ca="1"/>
        <v/>
      </c>
      <c r="N120" s="1060" t="str">
        <f t="shared" ca="1" si="11"/>
        <v/>
      </c>
      <c r="O120" s="996"/>
      <c r="P120" s="742">
        <v>102</v>
      </c>
      <c r="Q120" s="1016" t="str">
        <f t="shared" ca="1" si="15"/>
        <v/>
      </c>
      <c r="R120" s="1027" t="str">
        <f t="shared" ca="1" si="16"/>
        <v/>
      </c>
      <c r="S120" s="1006" t="str">
        <f ca="1"/>
        <v/>
      </c>
      <c r="T120" s="1006" t="str">
        <f ca="1"/>
        <v/>
      </c>
      <c r="U120" s="1006" t="str">
        <f ca="1"/>
        <v/>
      </c>
      <c r="V120" s="1016" t="str">
        <f ca="1"/>
        <v/>
      </c>
      <c r="W120" s="1019" t="str">
        <f ca="1"/>
        <v/>
      </c>
      <c r="X120" s="1006" t="str">
        <f ca="1"/>
        <v/>
      </c>
      <c r="Y120" s="864" t="str">
        <f t="shared" ca="1" si="12"/>
        <v/>
      </c>
      <c r="AA120" s="828">
        <v>102</v>
      </c>
      <c r="AB120" s="750"/>
      <c r="AC120" s="842"/>
      <c r="AD120" s="830"/>
      <c r="AE120" s="839"/>
      <c r="AF120" s="839"/>
      <c r="AG120" s="750"/>
      <c r="AH120" s="840"/>
      <c r="AI120" s="839"/>
      <c r="AJ120" s="841"/>
      <c r="AK120" s="108" t="s">
        <v>12</v>
      </c>
      <c r="AL120" s="847">
        <v>102</v>
      </c>
      <c r="AM120" s="857"/>
      <c r="AN120" s="842"/>
      <c r="AO120" s="839"/>
      <c r="AP120" s="839"/>
      <c r="AQ120" s="839"/>
      <c r="AR120" s="750"/>
      <c r="AS120" s="840"/>
      <c r="AT120" s="839"/>
      <c r="AU120" s="856"/>
      <c r="AV120" s="108" t="s">
        <v>12</v>
      </c>
    </row>
    <row r="121" spans="4:48">
      <c r="D121" s="108" t="s">
        <v>12</v>
      </c>
      <c r="E121" s="742">
        <v>103</v>
      </c>
      <c r="F121" s="1016" t="str">
        <f t="shared" ca="1" si="13"/>
        <v/>
      </c>
      <c r="G121" s="1027" t="str">
        <f t="shared" ca="1" si="14"/>
        <v/>
      </c>
      <c r="H121" s="1043" t="str">
        <f ca="1"/>
        <v/>
      </c>
      <c r="I121" s="1006" t="str">
        <f ca="1"/>
        <v/>
      </c>
      <c r="J121" s="1006" t="str">
        <f ca="1"/>
        <v/>
      </c>
      <c r="K121" s="1016" t="str">
        <f ca="1"/>
        <v/>
      </c>
      <c r="L121" s="1019" t="str">
        <f ca="1"/>
        <v/>
      </c>
      <c r="M121" s="1006" t="str">
        <f ca="1"/>
        <v/>
      </c>
      <c r="N121" s="1060" t="str">
        <f t="shared" ca="1" si="11"/>
        <v/>
      </c>
      <c r="O121" s="996"/>
      <c r="P121" s="742">
        <v>103</v>
      </c>
      <c r="Q121" s="1016" t="str">
        <f t="shared" ca="1" si="15"/>
        <v/>
      </c>
      <c r="R121" s="1027" t="str">
        <f t="shared" ca="1" si="16"/>
        <v/>
      </c>
      <c r="S121" s="1006" t="str">
        <f ca="1"/>
        <v/>
      </c>
      <c r="T121" s="1006" t="str">
        <f ca="1"/>
        <v/>
      </c>
      <c r="U121" s="1006" t="str">
        <f ca="1"/>
        <v/>
      </c>
      <c r="V121" s="1016" t="str">
        <f ca="1"/>
        <v/>
      </c>
      <c r="W121" s="1019" t="str">
        <f ca="1"/>
        <v/>
      </c>
      <c r="X121" s="1006" t="str">
        <f ca="1"/>
        <v/>
      </c>
      <c r="Y121" s="864" t="str">
        <f t="shared" ca="1" si="12"/>
        <v/>
      </c>
      <c r="AA121" s="828">
        <v>103</v>
      </c>
      <c r="AB121" s="750"/>
      <c r="AC121" s="842"/>
      <c r="AD121" s="830"/>
      <c r="AE121" s="839"/>
      <c r="AF121" s="839"/>
      <c r="AG121" s="750"/>
      <c r="AH121" s="840"/>
      <c r="AI121" s="839"/>
      <c r="AJ121" s="841"/>
      <c r="AK121" s="108" t="s">
        <v>12</v>
      </c>
      <c r="AL121" s="847">
        <v>103</v>
      </c>
      <c r="AM121" s="857"/>
      <c r="AN121" s="842"/>
      <c r="AO121" s="839"/>
      <c r="AP121" s="839"/>
      <c r="AQ121" s="839"/>
      <c r="AR121" s="750"/>
      <c r="AS121" s="840"/>
      <c r="AT121" s="839"/>
      <c r="AU121" s="856"/>
      <c r="AV121" s="108" t="s">
        <v>12</v>
      </c>
    </row>
    <row r="122" spans="4:48">
      <c r="D122" s="108" t="s">
        <v>12</v>
      </c>
      <c r="E122" s="742">
        <v>104</v>
      </c>
      <c r="F122" s="1016" t="str">
        <f t="shared" ca="1" si="13"/>
        <v/>
      </c>
      <c r="G122" s="1027" t="str">
        <f t="shared" ca="1" si="14"/>
        <v/>
      </c>
      <c r="H122" s="1043" t="str">
        <f ca="1"/>
        <v/>
      </c>
      <c r="I122" s="1006" t="str">
        <f ca="1"/>
        <v/>
      </c>
      <c r="J122" s="1006" t="str">
        <f ca="1"/>
        <v/>
      </c>
      <c r="K122" s="1016" t="str">
        <f ca="1"/>
        <v/>
      </c>
      <c r="L122" s="1019" t="str">
        <f ca="1"/>
        <v/>
      </c>
      <c r="M122" s="1006" t="str">
        <f ca="1"/>
        <v/>
      </c>
      <c r="N122" s="1060" t="str">
        <f t="shared" ca="1" si="11"/>
        <v/>
      </c>
      <c r="O122" s="996"/>
      <c r="P122" s="742">
        <v>104</v>
      </c>
      <c r="Q122" s="1016" t="str">
        <f t="shared" ca="1" si="15"/>
        <v/>
      </c>
      <c r="R122" s="1027" t="str">
        <f t="shared" ca="1" si="16"/>
        <v/>
      </c>
      <c r="S122" s="1006" t="str">
        <f ca="1"/>
        <v/>
      </c>
      <c r="T122" s="1006" t="str">
        <f ca="1"/>
        <v/>
      </c>
      <c r="U122" s="1006" t="str">
        <f ca="1"/>
        <v/>
      </c>
      <c r="V122" s="1016" t="str">
        <f ca="1"/>
        <v/>
      </c>
      <c r="W122" s="1019" t="str">
        <f ca="1"/>
        <v/>
      </c>
      <c r="X122" s="1006" t="str">
        <f ca="1"/>
        <v/>
      </c>
      <c r="Y122" s="864" t="str">
        <f t="shared" ca="1" si="12"/>
        <v/>
      </c>
      <c r="AA122" s="828">
        <v>104</v>
      </c>
      <c r="AB122" s="750"/>
      <c r="AC122" s="842"/>
      <c r="AD122" s="830"/>
      <c r="AE122" s="839"/>
      <c r="AF122" s="839"/>
      <c r="AG122" s="750"/>
      <c r="AH122" s="840"/>
      <c r="AI122" s="839"/>
      <c r="AJ122" s="841"/>
      <c r="AK122" s="108" t="s">
        <v>12</v>
      </c>
      <c r="AL122" s="847">
        <v>104</v>
      </c>
      <c r="AM122" s="857"/>
      <c r="AN122" s="842"/>
      <c r="AO122" s="839"/>
      <c r="AP122" s="839"/>
      <c r="AQ122" s="839"/>
      <c r="AR122" s="750"/>
      <c r="AS122" s="840"/>
      <c r="AT122" s="839"/>
      <c r="AU122" s="856"/>
      <c r="AV122" s="108" t="s">
        <v>12</v>
      </c>
    </row>
    <row r="123" spans="4:48">
      <c r="D123" s="108" t="s">
        <v>12</v>
      </c>
      <c r="E123" s="742">
        <v>105</v>
      </c>
      <c r="F123" s="1016" t="str">
        <f t="shared" ca="1" si="13"/>
        <v/>
      </c>
      <c r="G123" s="1027" t="str">
        <f t="shared" ca="1" si="14"/>
        <v/>
      </c>
      <c r="H123" s="1043" t="str">
        <f ca="1"/>
        <v/>
      </c>
      <c r="I123" s="1006" t="str">
        <f ca="1"/>
        <v/>
      </c>
      <c r="J123" s="1006" t="str">
        <f ca="1"/>
        <v/>
      </c>
      <c r="K123" s="1016" t="str">
        <f ca="1"/>
        <v/>
      </c>
      <c r="L123" s="1019" t="str">
        <f ca="1"/>
        <v/>
      </c>
      <c r="M123" s="1006" t="str">
        <f ca="1"/>
        <v/>
      </c>
      <c r="N123" s="1060" t="str">
        <f t="shared" ca="1" si="11"/>
        <v/>
      </c>
      <c r="O123" s="996"/>
      <c r="P123" s="742">
        <v>105</v>
      </c>
      <c r="Q123" s="1016" t="str">
        <f t="shared" ca="1" si="15"/>
        <v/>
      </c>
      <c r="R123" s="1027" t="str">
        <f t="shared" ca="1" si="16"/>
        <v/>
      </c>
      <c r="S123" s="1006" t="str">
        <f ca="1"/>
        <v/>
      </c>
      <c r="T123" s="1006" t="str">
        <f ca="1"/>
        <v/>
      </c>
      <c r="U123" s="1006" t="str">
        <f ca="1"/>
        <v/>
      </c>
      <c r="V123" s="1016" t="str">
        <f ca="1"/>
        <v/>
      </c>
      <c r="W123" s="1019" t="str">
        <f ca="1"/>
        <v/>
      </c>
      <c r="X123" s="1006" t="str">
        <f ca="1"/>
        <v/>
      </c>
      <c r="Y123" s="864" t="str">
        <f t="shared" ca="1" si="12"/>
        <v/>
      </c>
      <c r="AA123" s="828">
        <v>105</v>
      </c>
      <c r="AB123" s="750"/>
      <c r="AC123" s="842"/>
      <c r="AD123" s="830"/>
      <c r="AE123" s="839"/>
      <c r="AF123" s="839"/>
      <c r="AG123" s="750"/>
      <c r="AH123" s="840"/>
      <c r="AI123" s="839"/>
      <c r="AJ123" s="841"/>
      <c r="AK123" s="108" t="s">
        <v>12</v>
      </c>
      <c r="AL123" s="847">
        <v>105</v>
      </c>
      <c r="AM123" s="857"/>
      <c r="AN123" s="842"/>
      <c r="AO123" s="839"/>
      <c r="AP123" s="839"/>
      <c r="AQ123" s="839"/>
      <c r="AR123" s="750"/>
      <c r="AS123" s="840"/>
      <c r="AT123" s="839"/>
      <c r="AU123" s="856"/>
      <c r="AV123" s="108" t="s">
        <v>12</v>
      </c>
    </row>
    <row r="124" spans="4:48">
      <c r="D124" s="108" t="s">
        <v>12</v>
      </c>
      <c r="E124" s="742">
        <v>106</v>
      </c>
      <c r="F124" s="1016" t="str">
        <f t="shared" ca="1" si="13"/>
        <v/>
      </c>
      <c r="G124" s="1027" t="str">
        <f t="shared" ca="1" si="14"/>
        <v/>
      </c>
      <c r="H124" s="1043" t="str">
        <f ca="1"/>
        <v/>
      </c>
      <c r="I124" s="1006" t="str">
        <f ca="1"/>
        <v/>
      </c>
      <c r="J124" s="1006" t="str">
        <f ca="1"/>
        <v/>
      </c>
      <c r="K124" s="1016" t="str">
        <f ca="1"/>
        <v/>
      </c>
      <c r="L124" s="1019" t="str">
        <f ca="1"/>
        <v/>
      </c>
      <c r="M124" s="1006" t="str">
        <f ca="1"/>
        <v/>
      </c>
      <c r="N124" s="1060" t="str">
        <f t="shared" ca="1" si="11"/>
        <v/>
      </c>
      <c r="O124" s="996"/>
      <c r="P124" s="742">
        <v>106</v>
      </c>
      <c r="Q124" s="1016" t="str">
        <f t="shared" ca="1" si="15"/>
        <v/>
      </c>
      <c r="R124" s="1027" t="str">
        <f t="shared" ca="1" si="16"/>
        <v/>
      </c>
      <c r="S124" s="1006" t="str">
        <f ca="1"/>
        <v/>
      </c>
      <c r="T124" s="1006" t="str">
        <f ca="1"/>
        <v/>
      </c>
      <c r="U124" s="1006" t="str">
        <f ca="1"/>
        <v/>
      </c>
      <c r="V124" s="1016" t="str">
        <f ca="1"/>
        <v/>
      </c>
      <c r="W124" s="1019" t="str">
        <f ca="1"/>
        <v/>
      </c>
      <c r="X124" s="1006" t="str">
        <f ca="1"/>
        <v/>
      </c>
      <c r="Y124" s="864" t="str">
        <f t="shared" ca="1" si="12"/>
        <v/>
      </c>
      <c r="AA124" s="828">
        <v>106</v>
      </c>
      <c r="AB124" s="750"/>
      <c r="AC124" s="842"/>
      <c r="AD124" s="830"/>
      <c r="AE124" s="839"/>
      <c r="AF124" s="839"/>
      <c r="AG124" s="750"/>
      <c r="AH124" s="840"/>
      <c r="AI124" s="839"/>
      <c r="AJ124" s="841"/>
      <c r="AK124" s="108" t="s">
        <v>12</v>
      </c>
      <c r="AL124" s="847">
        <v>106</v>
      </c>
      <c r="AM124" s="857"/>
      <c r="AN124" s="842"/>
      <c r="AO124" s="839"/>
      <c r="AP124" s="839"/>
      <c r="AQ124" s="839"/>
      <c r="AR124" s="750"/>
      <c r="AS124" s="840"/>
      <c r="AT124" s="839"/>
      <c r="AU124" s="856"/>
      <c r="AV124" s="108" t="s">
        <v>12</v>
      </c>
    </row>
    <row r="125" spans="4:48">
      <c r="D125" s="108" t="s">
        <v>12</v>
      </c>
      <c r="E125" s="742">
        <v>107</v>
      </c>
      <c r="F125" s="1016" t="str">
        <f t="shared" ca="1" si="13"/>
        <v/>
      </c>
      <c r="G125" s="1027" t="str">
        <f t="shared" ca="1" si="14"/>
        <v/>
      </c>
      <c r="H125" s="1043" t="str">
        <f ca="1"/>
        <v/>
      </c>
      <c r="I125" s="1006" t="str">
        <f ca="1"/>
        <v/>
      </c>
      <c r="J125" s="1006" t="str">
        <f ca="1"/>
        <v/>
      </c>
      <c r="K125" s="1016" t="str">
        <f ca="1"/>
        <v/>
      </c>
      <c r="L125" s="1019" t="str">
        <f ca="1"/>
        <v/>
      </c>
      <c r="M125" s="1006" t="str">
        <f ca="1"/>
        <v/>
      </c>
      <c r="N125" s="1060" t="str">
        <f t="shared" ca="1" si="11"/>
        <v/>
      </c>
      <c r="O125" s="996"/>
      <c r="P125" s="742">
        <v>107</v>
      </c>
      <c r="Q125" s="1016" t="str">
        <f t="shared" ca="1" si="15"/>
        <v/>
      </c>
      <c r="R125" s="1027" t="str">
        <f t="shared" ca="1" si="16"/>
        <v/>
      </c>
      <c r="S125" s="1006" t="str">
        <f ca="1"/>
        <v/>
      </c>
      <c r="T125" s="1006" t="str">
        <f ca="1"/>
        <v/>
      </c>
      <c r="U125" s="1006" t="str">
        <f ca="1"/>
        <v/>
      </c>
      <c r="V125" s="1016" t="str">
        <f ca="1"/>
        <v/>
      </c>
      <c r="W125" s="1019" t="str">
        <f ca="1"/>
        <v/>
      </c>
      <c r="X125" s="1006" t="str">
        <f ca="1"/>
        <v/>
      </c>
      <c r="Y125" s="864" t="str">
        <f t="shared" ca="1" si="12"/>
        <v/>
      </c>
      <c r="AA125" s="828">
        <v>107</v>
      </c>
      <c r="AB125" s="750"/>
      <c r="AC125" s="842"/>
      <c r="AD125" s="830"/>
      <c r="AE125" s="839"/>
      <c r="AF125" s="839"/>
      <c r="AG125" s="750"/>
      <c r="AH125" s="840"/>
      <c r="AI125" s="839"/>
      <c r="AJ125" s="841"/>
      <c r="AK125" s="108" t="s">
        <v>12</v>
      </c>
      <c r="AL125" s="847">
        <v>107</v>
      </c>
      <c r="AM125" s="857"/>
      <c r="AN125" s="842"/>
      <c r="AO125" s="839"/>
      <c r="AP125" s="839"/>
      <c r="AQ125" s="839"/>
      <c r="AR125" s="750"/>
      <c r="AS125" s="840"/>
      <c r="AT125" s="839"/>
      <c r="AU125" s="856"/>
      <c r="AV125" s="108" t="s">
        <v>12</v>
      </c>
    </row>
    <row r="126" spans="4:48">
      <c r="D126" s="108" t="s">
        <v>12</v>
      </c>
      <c r="E126" s="742">
        <v>108</v>
      </c>
      <c r="F126" s="1016" t="str">
        <f t="shared" ca="1" si="13"/>
        <v/>
      </c>
      <c r="G126" s="1027" t="str">
        <f t="shared" ca="1" si="14"/>
        <v/>
      </c>
      <c r="H126" s="1043" t="str">
        <f ca="1"/>
        <v/>
      </c>
      <c r="I126" s="1006" t="str">
        <f ca="1"/>
        <v/>
      </c>
      <c r="J126" s="1006" t="str">
        <f ca="1"/>
        <v/>
      </c>
      <c r="K126" s="1016" t="str">
        <f ca="1"/>
        <v/>
      </c>
      <c r="L126" s="1019" t="str">
        <f ca="1"/>
        <v/>
      </c>
      <c r="M126" s="1006" t="str">
        <f ca="1"/>
        <v/>
      </c>
      <c r="N126" s="1060" t="str">
        <f t="shared" ca="1" si="11"/>
        <v/>
      </c>
      <c r="O126" s="996"/>
      <c r="P126" s="742">
        <v>108</v>
      </c>
      <c r="Q126" s="1016" t="str">
        <f t="shared" ca="1" si="15"/>
        <v/>
      </c>
      <c r="R126" s="1027" t="str">
        <f t="shared" ca="1" si="16"/>
        <v/>
      </c>
      <c r="S126" s="1006" t="str">
        <f ca="1"/>
        <v/>
      </c>
      <c r="T126" s="1006" t="str">
        <f ca="1"/>
        <v/>
      </c>
      <c r="U126" s="1006" t="str">
        <f ca="1"/>
        <v/>
      </c>
      <c r="V126" s="1016" t="str">
        <f ca="1"/>
        <v/>
      </c>
      <c r="W126" s="1019" t="str">
        <f ca="1"/>
        <v/>
      </c>
      <c r="X126" s="1006" t="str">
        <f ca="1"/>
        <v/>
      </c>
      <c r="Y126" s="864" t="str">
        <f t="shared" ca="1" si="12"/>
        <v/>
      </c>
      <c r="AA126" s="828">
        <v>108</v>
      </c>
      <c r="AB126" s="750"/>
      <c r="AC126" s="842"/>
      <c r="AD126" s="830"/>
      <c r="AE126" s="839"/>
      <c r="AF126" s="839"/>
      <c r="AG126" s="750"/>
      <c r="AH126" s="840"/>
      <c r="AI126" s="839"/>
      <c r="AJ126" s="841"/>
      <c r="AK126" s="108" t="s">
        <v>12</v>
      </c>
      <c r="AL126" s="847">
        <v>108</v>
      </c>
      <c r="AM126" s="857"/>
      <c r="AN126" s="842"/>
      <c r="AO126" s="839"/>
      <c r="AP126" s="839"/>
      <c r="AQ126" s="839"/>
      <c r="AR126" s="750"/>
      <c r="AS126" s="840"/>
      <c r="AT126" s="839"/>
      <c r="AU126" s="856"/>
      <c r="AV126" s="108" t="s">
        <v>12</v>
      </c>
    </row>
    <row r="127" spans="4:48">
      <c r="D127" s="108" t="s">
        <v>12</v>
      </c>
      <c r="E127" s="742">
        <v>109</v>
      </c>
      <c r="F127" s="1016" t="str">
        <f t="shared" ca="1" si="13"/>
        <v/>
      </c>
      <c r="G127" s="1027" t="str">
        <f t="shared" ca="1" si="14"/>
        <v/>
      </c>
      <c r="H127" s="1043" t="str">
        <f ca="1"/>
        <v/>
      </c>
      <c r="I127" s="1006" t="str">
        <f ca="1"/>
        <v/>
      </c>
      <c r="J127" s="1006" t="str">
        <f ca="1"/>
        <v/>
      </c>
      <c r="K127" s="1016" t="str">
        <f ca="1"/>
        <v/>
      </c>
      <c r="L127" s="1019" t="str">
        <f ca="1"/>
        <v/>
      </c>
      <c r="M127" s="1006" t="str">
        <f ca="1"/>
        <v/>
      </c>
      <c r="N127" s="1060" t="str">
        <f t="shared" ca="1" si="11"/>
        <v/>
      </c>
      <c r="O127" s="996"/>
      <c r="P127" s="742">
        <v>109</v>
      </c>
      <c r="Q127" s="1016" t="str">
        <f t="shared" ca="1" si="15"/>
        <v/>
      </c>
      <c r="R127" s="1027" t="str">
        <f t="shared" ca="1" si="16"/>
        <v/>
      </c>
      <c r="S127" s="1006" t="str">
        <f ca="1"/>
        <v/>
      </c>
      <c r="T127" s="1006" t="str">
        <f ca="1"/>
        <v/>
      </c>
      <c r="U127" s="1006" t="str">
        <f ca="1"/>
        <v/>
      </c>
      <c r="V127" s="1016" t="str">
        <f ca="1"/>
        <v/>
      </c>
      <c r="W127" s="1019" t="str">
        <f ca="1"/>
        <v/>
      </c>
      <c r="X127" s="1006" t="str">
        <f ca="1"/>
        <v/>
      </c>
      <c r="Y127" s="864" t="str">
        <f t="shared" ca="1" si="12"/>
        <v/>
      </c>
      <c r="AA127" s="828">
        <v>109</v>
      </c>
      <c r="AB127" s="750"/>
      <c r="AC127" s="842"/>
      <c r="AD127" s="830"/>
      <c r="AE127" s="839"/>
      <c r="AF127" s="839"/>
      <c r="AG127" s="750"/>
      <c r="AH127" s="840"/>
      <c r="AI127" s="839"/>
      <c r="AJ127" s="841"/>
      <c r="AK127" s="108" t="s">
        <v>12</v>
      </c>
      <c r="AL127" s="847">
        <v>109</v>
      </c>
      <c r="AM127" s="857"/>
      <c r="AN127" s="842"/>
      <c r="AO127" s="839"/>
      <c r="AP127" s="839"/>
      <c r="AQ127" s="839"/>
      <c r="AR127" s="750"/>
      <c r="AS127" s="840"/>
      <c r="AT127" s="839"/>
      <c r="AU127" s="856"/>
      <c r="AV127" s="108" t="s">
        <v>12</v>
      </c>
    </row>
    <row r="128" spans="4:48">
      <c r="D128" s="108" t="s">
        <v>12</v>
      </c>
      <c r="E128" s="742">
        <v>110</v>
      </c>
      <c r="F128" s="1016" t="str">
        <f t="shared" ca="1" si="13"/>
        <v/>
      </c>
      <c r="G128" s="1027" t="str">
        <f t="shared" ca="1" si="14"/>
        <v/>
      </c>
      <c r="H128" s="1043" t="str">
        <f ca="1"/>
        <v/>
      </c>
      <c r="I128" s="1006" t="str">
        <f ca="1"/>
        <v/>
      </c>
      <c r="J128" s="1006" t="str">
        <f ca="1"/>
        <v/>
      </c>
      <c r="K128" s="1016" t="str">
        <f ca="1"/>
        <v/>
      </c>
      <c r="L128" s="1019" t="str">
        <f ca="1"/>
        <v/>
      </c>
      <c r="M128" s="1006" t="str">
        <f ca="1"/>
        <v/>
      </c>
      <c r="N128" s="1060" t="str">
        <f t="shared" ca="1" si="11"/>
        <v/>
      </c>
      <c r="O128" s="996"/>
      <c r="P128" s="742">
        <v>110</v>
      </c>
      <c r="Q128" s="1016" t="str">
        <f t="shared" ca="1" si="15"/>
        <v/>
      </c>
      <c r="R128" s="1027" t="str">
        <f t="shared" ca="1" si="16"/>
        <v/>
      </c>
      <c r="S128" s="1006" t="str">
        <f ca="1"/>
        <v/>
      </c>
      <c r="T128" s="1006" t="str">
        <f ca="1"/>
        <v/>
      </c>
      <c r="U128" s="1006" t="str">
        <f ca="1"/>
        <v/>
      </c>
      <c r="V128" s="1016" t="str">
        <f ca="1"/>
        <v/>
      </c>
      <c r="W128" s="1019" t="str">
        <f ca="1"/>
        <v/>
      </c>
      <c r="X128" s="1006" t="str">
        <f ca="1"/>
        <v/>
      </c>
      <c r="Y128" s="864" t="str">
        <f t="shared" ca="1" si="12"/>
        <v/>
      </c>
      <c r="AA128" s="828">
        <v>110</v>
      </c>
      <c r="AB128" s="750"/>
      <c r="AC128" s="842"/>
      <c r="AD128" s="830"/>
      <c r="AE128" s="839"/>
      <c r="AF128" s="839"/>
      <c r="AG128" s="750"/>
      <c r="AH128" s="840"/>
      <c r="AI128" s="839"/>
      <c r="AJ128" s="841"/>
      <c r="AK128" s="108" t="s">
        <v>12</v>
      </c>
      <c r="AL128" s="847">
        <v>110</v>
      </c>
      <c r="AM128" s="857"/>
      <c r="AN128" s="842"/>
      <c r="AO128" s="839"/>
      <c r="AP128" s="839"/>
      <c r="AQ128" s="839"/>
      <c r="AR128" s="750"/>
      <c r="AS128" s="840"/>
      <c r="AT128" s="839"/>
      <c r="AU128" s="856"/>
      <c r="AV128" s="108" t="s">
        <v>12</v>
      </c>
    </row>
    <row r="129" spans="4:48">
      <c r="D129" s="108" t="s">
        <v>12</v>
      </c>
      <c r="E129" s="742">
        <v>111</v>
      </c>
      <c r="F129" s="1016" t="str">
        <f t="shared" ca="1" si="13"/>
        <v/>
      </c>
      <c r="G129" s="1027" t="str">
        <f t="shared" ca="1" si="14"/>
        <v/>
      </c>
      <c r="H129" s="1043" t="str">
        <f ca="1"/>
        <v/>
      </c>
      <c r="I129" s="1006" t="str">
        <f ca="1"/>
        <v/>
      </c>
      <c r="J129" s="1006" t="str">
        <f ca="1"/>
        <v/>
      </c>
      <c r="K129" s="1016" t="str">
        <f ca="1"/>
        <v/>
      </c>
      <c r="L129" s="1019" t="str">
        <f ca="1"/>
        <v/>
      </c>
      <c r="M129" s="1006" t="str">
        <f ca="1"/>
        <v/>
      </c>
      <c r="N129" s="1060" t="str">
        <f t="shared" ca="1" si="11"/>
        <v/>
      </c>
      <c r="O129" s="996"/>
      <c r="P129" s="742">
        <v>111</v>
      </c>
      <c r="Q129" s="1016" t="str">
        <f t="shared" ca="1" si="15"/>
        <v/>
      </c>
      <c r="R129" s="1027" t="str">
        <f t="shared" ca="1" si="16"/>
        <v/>
      </c>
      <c r="S129" s="1006" t="str">
        <f ca="1"/>
        <v/>
      </c>
      <c r="T129" s="1006" t="str">
        <f ca="1"/>
        <v/>
      </c>
      <c r="U129" s="1006" t="str">
        <f ca="1"/>
        <v/>
      </c>
      <c r="V129" s="1016" t="str">
        <f ca="1"/>
        <v/>
      </c>
      <c r="W129" s="1019" t="str">
        <f ca="1"/>
        <v/>
      </c>
      <c r="X129" s="1006" t="str">
        <f ca="1"/>
        <v/>
      </c>
      <c r="Y129" s="864" t="str">
        <f t="shared" ca="1" si="12"/>
        <v/>
      </c>
      <c r="AA129" s="828">
        <v>111</v>
      </c>
      <c r="AB129" s="750"/>
      <c r="AC129" s="842"/>
      <c r="AD129" s="830"/>
      <c r="AE129" s="839"/>
      <c r="AF129" s="839"/>
      <c r="AG129" s="750"/>
      <c r="AH129" s="840"/>
      <c r="AI129" s="839"/>
      <c r="AJ129" s="841"/>
      <c r="AK129" s="108" t="s">
        <v>12</v>
      </c>
      <c r="AL129" s="847">
        <v>111</v>
      </c>
      <c r="AM129" s="857"/>
      <c r="AN129" s="842"/>
      <c r="AO129" s="839"/>
      <c r="AP129" s="839"/>
      <c r="AQ129" s="839"/>
      <c r="AR129" s="750"/>
      <c r="AS129" s="840"/>
      <c r="AT129" s="839"/>
      <c r="AU129" s="856"/>
      <c r="AV129" s="108" t="s">
        <v>12</v>
      </c>
    </row>
    <row r="130" spans="4:48">
      <c r="D130" s="108" t="s">
        <v>12</v>
      </c>
      <c r="E130" s="742">
        <v>112</v>
      </c>
      <c r="F130" s="1016" t="str">
        <f t="shared" ca="1" si="13"/>
        <v/>
      </c>
      <c r="G130" s="1027" t="str">
        <f t="shared" ca="1" si="14"/>
        <v/>
      </c>
      <c r="H130" s="1043" t="str">
        <f ca="1"/>
        <v/>
      </c>
      <c r="I130" s="1006" t="str">
        <f ca="1"/>
        <v/>
      </c>
      <c r="J130" s="1006" t="str">
        <f ca="1"/>
        <v/>
      </c>
      <c r="K130" s="1016" t="str">
        <f ca="1"/>
        <v/>
      </c>
      <c r="L130" s="1019" t="str">
        <f ca="1"/>
        <v/>
      </c>
      <c r="M130" s="1006" t="str">
        <f ca="1"/>
        <v/>
      </c>
      <c r="N130" s="1060" t="str">
        <f t="shared" ca="1" si="11"/>
        <v/>
      </c>
      <c r="O130" s="996"/>
      <c r="P130" s="742">
        <v>112</v>
      </c>
      <c r="Q130" s="1016" t="str">
        <f t="shared" ca="1" si="15"/>
        <v/>
      </c>
      <c r="R130" s="1027" t="str">
        <f t="shared" ca="1" si="16"/>
        <v/>
      </c>
      <c r="S130" s="1006" t="str">
        <f ca="1"/>
        <v/>
      </c>
      <c r="T130" s="1006" t="str">
        <f ca="1"/>
        <v/>
      </c>
      <c r="U130" s="1006" t="str">
        <f ca="1"/>
        <v/>
      </c>
      <c r="V130" s="1016" t="str">
        <f ca="1"/>
        <v/>
      </c>
      <c r="W130" s="1019" t="str">
        <f ca="1"/>
        <v/>
      </c>
      <c r="X130" s="1006" t="str">
        <f ca="1"/>
        <v/>
      </c>
      <c r="Y130" s="864" t="str">
        <f t="shared" ca="1" si="12"/>
        <v/>
      </c>
      <c r="AA130" s="828">
        <v>112</v>
      </c>
      <c r="AB130" s="750"/>
      <c r="AC130" s="842"/>
      <c r="AD130" s="830"/>
      <c r="AE130" s="839"/>
      <c r="AF130" s="839"/>
      <c r="AG130" s="750"/>
      <c r="AH130" s="840"/>
      <c r="AI130" s="839"/>
      <c r="AJ130" s="841"/>
      <c r="AK130" s="108" t="s">
        <v>12</v>
      </c>
      <c r="AL130" s="847">
        <v>112</v>
      </c>
      <c r="AM130" s="857"/>
      <c r="AN130" s="842"/>
      <c r="AO130" s="839"/>
      <c r="AP130" s="839"/>
      <c r="AQ130" s="839"/>
      <c r="AR130" s="750"/>
      <c r="AS130" s="840"/>
      <c r="AT130" s="839"/>
      <c r="AU130" s="856"/>
      <c r="AV130" s="108" t="s">
        <v>12</v>
      </c>
    </row>
    <row r="131" spans="4:48">
      <c r="D131" s="108" t="s">
        <v>12</v>
      </c>
      <c r="E131" s="742">
        <v>113</v>
      </c>
      <c r="F131" s="1016" t="str">
        <f t="shared" ca="1" si="13"/>
        <v/>
      </c>
      <c r="G131" s="1027" t="str">
        <f t="shared" ca="1" si="14"/>
        <v/>
      </c>
      <c r="H131" s="1043" t="str">
        <f ca="1"/>
        <v/>
      </c>
      <c r="I131" s="1006" t="str">
        <f ca="1"/>
        <v/>
      </c>
      <c r="J131" s="1006" t="str">
        <f ca="1"/>
        <v/>
      </c>
      <c r="K131" s="1016" t="str">
        <f ca="1"/>
        <v/>
      </c>
      <c r="L131" s="1019" t="str">
        <f ca="1"/>
        <v/>
      </c>
      <c r="M131" s="1006" t="str">
        <f ca="1"/>
        <v/>
      </c>
      <c r="N131" s="1060" t="str">
        <f t="shared" ca="1" si="11"/>
        <v/>
      </c>
      <c r="O131" s="996"/>
      <c r="P131" s="742">
        <v>113</v>
      </c>
      <c r="Q131" s="1016" t="str">
        <f t="shared" ca="1" si="15"/>
        <v/>
      </c>
      <c r="R131" s="1027" t="str">
        <f t="shared" ca="1" si="16"/>
        <v/>
      </c>
      <c r="S131" s="1006" t="str">
        <f ca="1"/>
        <v/>
      </c>
      <c r="T131" s="1006" t="str">
        <f ca="1"/>
        <v/>
      </c>
      <c r="U131" s="1006" t="str">
        <f ca="1"/>
        <v/>
      </c>
      <c r="V131" s="1016" t="str">
        <f ca="1"/>
        <v/>
      </c>
      <c r="W131" s="1019" t="str">
        <f ca="1"/>
        <v/>
      </c>
      <c r="X131" s="1006" t="str">
        <f ca="1"/>
        <v/>
      </c>
      <c r="Y131" s="864" t="str">
        <f t="shared" ca="1" si="12"/>
        <v/>
      </c>
      <c r="AA131" s="828">
        <v>113</v>
      </c>
      <c r="AB131" s="750"/>
      <c r="AC131" s="842"/>
      <c r="AD131" s="830"/>
      <c r="AE131" s="839"/>
      <c r="AF131" s="839"/>
      <c r="AG131" s="750"/>
      <c r="AH131" s="840"/>
      <c r="AI131" s="839"/>
      <c r="AJ131" s="841"/>
      <c r="AK131" s="108" t="s">
        <v>12</v>
      </c>
      <c r="AL131" s="847">
        <v>113</v>
      </c>
      <c r="AM131" s="857"/>
      <c r="AN131" s="842"/>
      <c r="AO131" s="839"/>
      <c r="AP131" s="839"/>
      <c r="AQ131" s="839"/>
      <c r="AR131" s="750"/>
      <c r="AS131" s="840"/>
      <c r="AT131" s="839"/>
      <c r="AU131" s="856"/>
      <c r="AV131" s="108" t="s">
        <v>12</v>
      </c>
    </row>
    <row r="132" spans="4:48">
      <c r="D132" s="108" t="s">
        <v>12</v>
      </c>
      <c r="E132" s="742">
        <v>114</v>
      </c>
      <c r="F132" s="1016" t="str">
        <f t="shared" ca="1" si="13"/>
        <v/>
      </c>
      <c r="G132" s="1027" t="str">
        <f t="shared" ca="1" si="14"/>
        <v/>
      </c>
      <c r="H132" s="1043" t="str">
        <f ca="1"/>
        <v/>
      </c>
      <c r="I132" s="1006" t="str">
        <f ca="1"/>
        <v/>
      </c>
      <c r="J132" s="1006" t="str">
        <f ca="1"/>
        <v/>
      </c>
      <c r="K132" s="1016" t="str">
        <f ca="1"/>
        <v/>
      </c>
      <c r="L132" s="1019" t="str">
        <f ca="1"/>
        <v/>
      </c>
      <c r="M132" s="1006" t="str">
        <f ca="1"/>
        <v/>
      </c>
      <c r="N132" s="1060" t="str">
        <f t="shared" ca="1" si="11"/>
        <v/>
      </c>
      <c r="O132" s="996"/>
      <c r="P132" s="742">
        <v>114</v>
      </c>
      <c r="Q132" s="1016" t="str">
        <f t="shared" ca="1" si="15"/>
        <v/>
      </c>
      <c r="R132" s="1027" t="str">
        <f t="shared" ca="1" si="16"/>
        <v/>
      </c>
      <c r="S132" s="1006" t="str">
        <f ca="1"/>
        <v/>
      </c>
      <c r="T132" s="1006" t="str">
        <f ca="1"/>
        <v/>
      </c>
      <c r="U132" s="1006" t="str">
        <f ca="1"/>
        <v/>
      </c>
      <c r="V132" s="1016" t="str">
        <f ca="1"/>
        <v/>
      </c>
      <c r="W132" s="1019" t="str">
        <f ca="1"/>
        <v/>
      </c>
      <c r="X132" s="1006" t="str">
        <f ca="1"/>
        <v/>
      </c>
      <c r="Y132" s="864" t="str">
        <f t="shared" ca="1" si="12"/>
        <v/>
      </c>
      <c r="AA132" s="828">
        <v>114</v>
      </c>
      <c r="AB132" s="750"/>
      <c r="AC132" s="842"/>
      <c r="AD132" s="830"/>
      <c r="AE132" s="839"/>
      <c r="AF132" s="839"/>
      <c r="AG132" s="750"/>
      <c r="AH132" s="840"/>
      <c r="AI132" s="839"/>
      <c r="AJ132" s="841"/>
      <c r="AK132" s="108" t="s">
        <v>12</v>
      </c>
      <c r="AL132" s="847">
        <v>114</v>
      </c>
      <c r="AM132" s="857"/>
      <c r="AN132" s="842"/>
      <c r="AO132" s="839"/>
      <c r="AP132" s="839"/>
      <c r="AQ132" s="839"/>
      <c r="AR132" s="750"/>
      <c r="AS132" s="840"/>
      <c r="AT132" s="839"/>
      <c r="AU132" s="856"/>
      <c r="AV132" s="108" t="s">
        <v>12</v>
      </c>
    </row>
    <row r="133" spans="4:48">
      <c r="D133" s="108" t="s">
        <v>12</v>
      </c>
      <c r="E133" s="742">
        <v>115</v>
      </c>
      <c r="F133" s="1016" t="str">
        <f t="shared" ca="1" si="13"/>
        <v/>
      </c>
      <c r="G133" s="1027" t="str">
        <f t="shared" ca="1" si="14"/>
        <v/>
      </c>
      <c r="H133" s="1043" t="str">
        <f ca="1"/>
        <v/>
      </c>
      <c r="I133" s="1006" t="str">
        <f ca="1"/>
        <v/>
      </c>
      <c r="J133" s="1006" t="str">
        <f ca="1"/>
        <v/>
      </c>
      <c r="K133" s="1016" t="str">
        <f ca="1"/>
        <v/>
      </c>
      <c r="L133" s="1019" t="str">
        <f ca="1"/>
        <v/>
      </c>
      <c r="M133" s="1006" t="str">
        <f ca="1"/>
        <v/>
      </c>
      <c r="N133" s="1060" t="str">
        <f t="shared" ca="1" si="11"/>
        <v/>
      </c>
      <c r="O133" s="996"/>
      <c r="P133" s="742">
        <v>115</v>
      </c>
      <c r="Q133" s="1016" t="str">
        <f t="shared" ca="1" si="15"/>
        <v/>
      </c>
      <c r="R133" s="1027" t="str">
        <f t="shared" ca="1" si="16"/>
        <v/>
      </c>
      <c r="S133" s="1006" t="str">
        <f ca="1"/>
        <v/>
      </c>
      <c r="T133" s="1006" t="str">
        <f ca="1"/>
        <v/>
      </c>
      <c r="U133" s="1006" t="str">
        <f ca="1"/>
        <v/>
      </c>
      <c r="V133" s="1016" t="str">
        <f ca="1"/>
        <v/>
      </c>
      <c r="W133" s="1019" t="str">
        <f ca="1"/>
        <v/>
      </c>
      <c r="X133" s="1006" t="str">
        <f ca="1"/>
        <v/>
      </c>
      <c r="Y133" s="864" t="str">
        <f t="shared" ca="1" si="12"/>
        <v/>
      </c>
      <c r="AA133" s="828">
        <v>115</v>
      </c>
      <c r="AB133" s="750"/>
      <c r="AC133" s="842"/>
      <c r="AD133" s="830"/>
      <c r="AE133" s="839"/>
      <c r="AF133" s="839"/>
      <c r="AG133" s="750"/>
      <c r="AH133" s="840"/>
      <c r="AI133" s="839"/>
      <c r="AJ133" s="841"/>
      <c r="AK133" s="108" t="s">
        <v>12</v>
      </c>
      <c r="AL133" s="847">
        <v>115</v>
      </c>
      <c r="AM133" s="857"/>
      <c r="AN133" s="842"/>
      <c r="AO133" s="839"/>
      <c r="AP133" s="839"/>
      <c r="AQ133" s="839"/>
      <c r="AR133" s="750"/>
      <c r="AS133" s="840"/>
      <c r="AT133" s="839"/>
      <c r="AU133" s="856"/>
      <c r="AV133" s="108" t="s">
        <v>12</v>
      </c>
    </row>
    <row r="134" spans="4:48">
      <c r="D134" s="108" t="s">
        <v>12</v>
      </c>
      <c r="E134" s="742">
        <v>116</v>
      </c>
      <c r="F134" s="1016" t="str">
        <f t="shared" ca="1" si="13"/>
        <v/>
      </c>
      <c r="G134" s="1027" t="str">
        <f t="shared" ca="1" si="14"/>
        <v/>
      </c>
      <c r="H134" s="1043" t="str">
        <f ca="1"/>
        <v/>
      </c>
      <c r="I134" s="1006" t="str">
        <f ca="1"/>
        <v/>
      </c>
      <c r="J134" s="1006" t="str">
        <f ca="1"/>
        <v/>
      </c>
      <c r="K134" s="1016" t="str">
        <f ca="1"/>
        <v/>
      </c>
      <c r="L134" s="1019" t="str">
        <f ca="1"/>
        <v/>
      </c>
      <c r="M134" s="1006" t="str">
        <f ca="1"/>
        <v/>
      </c>
      <c r="N134" s="1060" t="str">
        <f t="shared" ca="1" si="11"/>
        <v/>
      </c>
      <c r="O134" s="996"/>
      <c r="P134" s="742">
        <v>116</v>
      </c>
      <c r="Q134" s="1016" t="str">
        <f t="shared" ca="1" si="15"/>
        <v/>
      </c>
      <c r="R134" s="1027" t="str">
        <f t="shared" ca="1" si="16"/>
        <v/>
      </c>
      <c r="S134" s="1006" t="str">
        <f ca="1"/>
        <v/>
      </c>
      <c r="T134" s="1006" t="str">
        <f ca="1"/>
        <v/>
      </c>
      <c r="U134" s="1006" t="str">
        <f ca="1"/>
        <v/>
      </c>
      <c r="V134" s="1016" t="str">
        <f ca="1"/>
        <v/>
      </c>
      <c r="W134" s="1019" t="str">
        <f ca="1"/>
        <v/>
      </c>
      <c r="X134" s="1006" t="str">
        <f ca="1"/>
        <v/>
      </c>
      <c r="Y134" s="864" t="str">
        <f t="shared" ca="1" si="12"/>
        <v/>
      </c>
      <c r="AA134" s="828">
        <v>116</v>
      </c>
      <c r="AB134" s="750"/>
      <c r="AC134" s="842"/>
      <c r="AD134" s="830"/>
      <c r="AE134" s="839"/>
      <c r="AF134" s="839"/>
      <c r="AG134" s="750"/>
      <c r="AH134" s="840"/>
      <c r="AI134" s="839"/>
      <c r="AJ134" s="841"/>
      <c r="AK134" s="108" t="s">
        <v>12</v>
      </c>
      <c r="AL134" s="847">
        <v>116</v>
      </c>
      <c r="AM134" s="857"/>
      <c r="AN134" s="842"/>
      <c r="AO134" s="839"/>
      <c r="AP134" s="839"/>
      <c r="AQ134" s="839"/>
      <c r="AR134" s="750"/>
      <c r="AS134" s="840"/>
      <c r="AT134" s="839"/>
      <c r="AU134" s="856"/>
      <c r="AV134" s="108" t="s">
        <v>12</v>
      </c>
    </row>
    <row r="135" spans="4:48">
      <c r="D135" s="108" t="s">
        <v>12</v>
      </c>
      <c r="E135" s="742">
        <v>117</v>
      </c>
      <c r="F135" s="1016" t="str">
        <f t="shared" ca="1" si="13"/>
        <v/>
      </c>
      <c r="G135" s="1027" t="str">
        <f t="shared" ca="1" si="14"/>
        <v/>
      </c>
      <c r="H135" s="1043" t="str">
        <f ca="1"/>
        <v/>
      </c>
      <c r="I135" s="1006" t="str">
        <f ca="1"/>
        <v/>
      </c>
      <c r="J135" s="1006" t="str">
        <f ca="1"/>
        <v/>
      </c>
      <c r="K135" s="1016" t="str">
        <f ca="1"/>
        <v/>
      </c>
      <c r="L135" s="1019" t="str">
        <f ca="1"/>
        <v/>
      </c>
      <c r="M135" s="1006" t="str">
        <f ca="1"/>
        <v/>
      </c>
      <c r="N135" s="1060" t="str">
        <f t="shared" ca="1" si="11"/>
        <v/>
      </c>
      <c r="O135" s="996"/>
      <c r="P135" s="742">
        <v>117</v>
      </c>
      <c r="Q135" s="1016" t="str">
        <f t="shared" ca="1" si="15"/>
        <v/>
      </c>
      <c r="R135" s="1027" t="str">
        <f t="shared" ca="1" si="16"/>
        <v/>
      </c>
      <c r="S135" s="1006" t="str">
        <f ca="1"/>
        <v/>
      </c>
      <c r="T135" s="1006" t="str">
        <f ca="1"/>
        <v/>
      </c>
      <c r="U135" s="1006" t="str">
        <f ca="1"/>
        <v/>
      </c>
      <c r="V135" s="1016" t="str">
        <f ca="1"/>
        <v/>
      </c>
      <c r="W135" s="1019" t="str">
        <f ca="1"/>
        <v/>
      </c>
      <c r="X135" s="1006" t="str">
        <f ca="1"/>
        <v/>
      </c>
      <c r="Y135" s="864" t="str">
        <f t="shared" ca="1" si="12"/>
        <v/>
      </c>
      <c r="AA135" s="828">
        <v>117</v>
      </c>
      <c r="AB135" s="750"/>
      <c r="AC135" s="842"/>
      <c r="AD135" s="830"/>
      <c r="AE135" s="839"/>
      <c r="AF135" s="839"/>
      <c r="AG135" s="750"/>
      <c r="AH135" s="840"/>
      <c r="AI135" s="839"/>
      <c r="AJ135" s="841"/>
      <c r="AK135" s="108" t="s">
        <v>12</v>
      </c>
      <c r="AL135" s="847">
        <v>117</v>
      </c>
      <c r="AM135" s="857"/>
      <c r="AN135" s="842"/>
      <c r="AO135" s="839"/>
      <c r="AP135" s="839"/>
      <c r="AQ135" s="839"/>
      <c r="AR135" s="750"/>
      <c r="AS135" s="840"/>
      <c r="AT135" s="839"/>
      <c r="AU135" s="856"/>
      <c r="AV135" s="108" t="s">
        <v>12</v>
      </c>
    </row>
    <row r="136" spans="4:48">
      <c r="D136" s="108" t="s">
        <v>12</v>
      </c>
      <c r="E136" s="742">
        <v>118</v>
      </c>
      <c r="F136" s="1016" t="str">
        <f t="shared" ca="1" si="13"/>
        <v/>
      </c>
      <c r="G136" s="1027" t="str">
        <f t="shared" ca="1" si="14"/>
        <v/>
      </c>
      <c r="H136" s="1043" t="str">
        <f ca="1"/>
        <v/>
      </c>
      <c r="I136" s="1006" t="str">
        <f ca="1"/>
        <v/>
      </c>
      <c r="J136" s="1006" t="str">
        <f ca="1"/>
        <v/>
      </c>
      <c r="K136" s="1016" t="str">
        <f ca="1"/>
        <v/>
      </c>
      <c r="L136" s="1019" t="str">
        <f ca="1"/>
        <v/>
      </c>
      <c r="M136" s="1006" t="str">
        <f ca="1"/>
        <v/>
      </c>
      <c r="N136" s="1060" t="str">
        <f t="shared" ca="1" si="11"/>
        <v/>
      </c>
      <c r="O136" s="996"/>
      <c r="P136" s="742">
        <v>118</v>
      </c>
      <c r="Q136" s="1016" t="str">
        <f t="shared" ca="1" si="15"/>
        <v/>
      </c>
      <c r="R136" s="1027" t="str">
        <f t="shared" ca="1" si="16"/>
        <v/>
      </c>
      <c r="S136" s="1006" t="str">
        <f ca="1"/>
        <v/>
      </c>
      <c r="T136" s="1006" t="str">
        <f ca="1"/>
        <v/>
      </c>
      <c r="U136" s="1006" t="str">
        <f ca="1"/>
        <v/>
      </c>
      <c r="V136" s="1016" t="str">
        <f ca="1"/>
        <v/>
      </c>
      <c r="W136" s="1019" t="str">
        <f ca="1"/>
        <v/>
      </c>
      <c r="X136" s="1006" t="str">
        <f ca="1"/>
        <v/>
      </c>
      <c r="Y136" s="864" t="str">
        <f t="shared" ca="1" si="12"/>
        <v/>
      </c>
      <c r="AA136" s="828">
        <v>118</v>
      </c>
      <c r="AB136" s="750"/>
      <c r="AC136" s="842"/>
      <c r="AD136" s="830"/>
      <c r="AE136" s="839"/>
      <c r="AF136" s="839"/>
      <c r="AG136" s="750"/>
      <c r="AH136" s="840"/>
      <c r="AI136" s="839"/>
      <c r="AJ136" s="841"/>
      <c r="AK136" s="108" t="s">
        <v>12</v>
      </c>
      <c r="AL136" s="847">
        <v>118</v>
      </c>
      <c r="AM136" s="857"/>
      <c r="AN136" s="842"/>
      <c r="AO136" s="839"/>
      <c r="AP136" s="839"/>
      <c r="AQ136" s="839"/>
      <c r="AR136" s="750"/>
      <c r="AS136" s="840"/>
      <c r="AT136" s="839"/>
      <c r="AU136" s="856"/>
      <c r="AV136" s="108" t="s">
        <v>12</v>
      </c>
    </row>
    <row r="137" spans="4:48">
      <c r="D137" s="108" t="s">
        <v>12</v>
      </c>
      <c r="E137" s="742">
        <v>119</v>
      </c>
      <c r="F137" s="1016" t="str">
        <f t="shared" ca="1" si="13"/>
        <v/>
      </c>
      <c r="G137" s="1027" t="str">
        <f t="shared" ca="1" si="14"/>
        <v/>
      </c>
      <c r="H137" s="1043" t="str">
        <f ca="1"/>
        <v/>
      </c>
      <c r="I137" s="1006" t="str">
        <f ca="1"/>
        <v/>
      </c>
      <c r="J137" s="1006" t="str">
        <f ca="1"/>
        <v/>
      </c>
      <c r="K137" s="1016" t="str">
        <f ca="1"/>
        <v/>
      </c>
      <c r="L137" s="1019" t="str">
        <f ca="1"/>
        <v/>
      </c>
      <c r="M137" s="1006" t="str">
        <f ca="1"/>
        <v/>
      </c>
      <c r="N137" s="1060" t="str">
        <f t="shared" ca="1" si="11"/>
        <v/>
      </c>
      <c r="O137" s="996"/>
      <c r="P137" s="742">
        <v>119</v>
      </c>
      <c r="Q137" s="1016" t="str">
        <f t="shared" ca="1" si="15"/>
        <v/>
      </c>
      <c r="R137" s="1027" t="str">
        <f t="shared" ca="1" si="16"/>
        <v/>
      </c>
      <c r="S137" s="1006" t="str">
        <f ca="1"/>
        <v/>
      </c>
      <c r="T137" s="1006" t="str">
        <f ca="1"/>
        <v/>
      </c>
      <c r="U137" s="1006" t="str">
        <f ca="1"/>
        <v/>
      </c>
      <c r="V137" s="1016" t="str">
        <f ca="1"/>
        <v/>
      </c>
      <c r="W137" s="1019" t="str">
        <f ca="1"/>
        <v/>
      </c>
      <c r="X137" s="1006" t="str">
        <f ca="1"/>
        <v/>
      </c>
      <c r="Y137" s="864" t="str">
        <f t="shared" ca="1" si="12"/>
        <v/>
      </c>
      <c r="AA137" s="828">
        <v>119</v>
      </c>
      <c r="AB137" s="750"/>
      <c r="AC137" s="842"/>
      <c r="AD137" s="830"/>
      <c r="AE137" s="839"/>
      <c r="AF137" s="839"/>
      <c r="AG137" s="750"/>
      <c r="AH137" s="840"/>
      <c r="AI137" s="839"/>
      <c r="AJ137" s="841"/>
      <c r="AK137" s="108" t="s">
        <v>12</v>
      </c>
      <c r="AL137" s="847">
        <v>119</v>
      </c>
      <c r="AM137" s="857"/>
      <c r="AN137" s="842"/>
      <c r="AO137" s="839"/>
      <c r="AP137" s="839"/>
      <c r="AQ137" s="839"/>
      <c r="AR137" s="750"/>
      <c r="AS137" s="840"/>
      <c r="AT137" s="839"/>
      <c r="AU137" s="856"/>
      <c r="AV137" s="108" t="s">
        <v>12</v>
      </c>
    </row>
    <row r="138" spans="4:48">
      <c r="D138" s="108" t="s">
        <v>12</v>
      </c>
      <c r="E138" s="742">
        <v>120</v>
      </c>
      <c r="F138" s="1016" t="str">
        <f t="shared" ca="1" si="13"/>
        <v/>
      </c>
      <c r="G138" s="1027" t="str">
        <f t="shared" ca="1" si="14"/>
        <v/>
      </c>
      <c r="H138" s="1043" t="str">
        <f ca="1"/>
        <v/>
      </c>
      <c r="I138" s="1006" t="str">
        <f ca="1"/>
        <v/>
      </c>
      <c r="J138" s="1006" t="str">
        <f ca="1"/>
        <v/>
      </c>
      <c r="K138" s="1016" t="str">
        <f ca="1"/>
        <v/>
      </c>
      <c r="L138" s="1019" t="str">
        <f ca="1"/>
        <v/>
      </c>
      <c r="M138" s="1006" t="str">
        <f ca="1"/>
        <v/>
      </c>
      <c r="N138" s="1060" t="str">
        <f t="shared" ca="1" si="11"/>
        <v/>
      </c>
      <c r="O138" s="996"/>
      <c r="P138" s="742">
        <v>120</v>
      </c>
      <c r="Q138" s="1016" t="str">
        <f t="shared" ca="1" si="15"/>
        <v/>
      </c>
      <c r="R138" s="1027" t="str">
        <f t="shared" ca="1" si="16"/>
        <v/>
      </c>
      <c r="S138" s="1006" t="str">
        <f ca="1"/>
        <v/>
      </c>
      <c r="T138" s="1006" t="str">
        <f ca="1"/>
        <v/>
      </c>
      <c r="U138" s="1006" t="str">
        <f ca="1"/>
        <v/>
      </c>
      <c r="V138" s="1016" t="str">
        <f ca="1"/>
        <v/>
      </c>
      <c r="W138" s="1019" t="str">
        <f ca="1"/>
        <v/>
      </c>
      <c r="X138" s="1006" t="str">
        <f ca="1"/>
        <v/>
      </c>
      <c r="Y138" s="864" t="str">
        <f t="shared" ca="1" si="12"/>
        <v/>
      </c>
      <c r="AA138" s="828">
        <v>120</v>
      </c>
      <c r="AB138" s="750"/>
      <c r="AC138" s="842"/>
      <c r="AD138" s="830"/>
      <c r="AE138" s="839"/>
      <c r="AF138" s="839"/>
      <c r="AG138" s="750"/>
      <c r="AH138" s="840"/>
      <c r="AI138" s="839"/>
      <c r="AJ138" s="841"/>
      <c r="AK138" s="108" t="s">
        <v>12</v>
      </c>
      <c r="AL138" s="847">
        <v>120</v>
      </c>
      <c r="AM138" s="857"/>
      <c r="AN138" s="842"/>
      <c r="AO138" s="839"/>
      <c r="AP138" s="839"/>
      <c r="AQ138" s="839"/>
      <c r="AR138" s="750"/>
      <c r="AS138" s="840"/>
      <c r="AT138" s="839"/>
      <c r="AU138" s="856"/>
      <c r="AV138" s="108" t="s">
        <v>12</v>
      </c>
    </row>
    <row r="139" spans="4:48">
      <c r="D139" s="108" t="s">
        <v>12</v>
      </c>
      <c r="E139" s="742">
        <v>121</v>
      </c>
      <c r="F139" s="1016" t="str">
        <f t="shared" ca="1" si="13"/>
        <v/>
      </c>
      <c r="G139" s="1027" t="str">
        <f t="shared" ca="1" si="14"/>
        <v/>
      </c>
      <c r="H139" s="1043" t="str">
        <f ca="1"/>
        <v/>
      </c>
      <c r="I139" s="1006" t="str">
        <f ca="1"/>
        <v/>
      </c>
      <c r="J139" s="1006" t="str">
        <f ca="1"/>
        <v/>
      </c>
      <c r="K139" s="1016" t="str">
        <f ca="1"/>
        <v/>
      </c>
      <c r="L139" s="1019" t="str">
        <f ca="1"/>
        <v/>
      </c>
      <c r="M139" s="1006" t="str">
        <f ca="1"/>
        <v/>
      </c>
      <c r="N139" s="1060" t="str">
        <f t="shared" ca="1" si="11"/>
        <v/>
      </c>
      <c r="O139" s="996"/>
      <c r="P139" s="742">
        <v>121</v>
      </c>
      <c r="Q139" s="1016" t="str">
        <f t="shared" ca="1" si="15"/>
        <v/>
      </c>
      <c r="R139" s="1027" t="str">
        <f t="shared" ca="1" si="16"/>
        <v/>
      </c>
      <c r="S139" s="1006" t="str">
        <f ca="1"/>
        <v/>
      </c>
      <c r="T139" s="1006" t="str">
        <f ca="1"/>
        <v/>
      </c>
      <c r="U139" s="1006" t="str">
        <f ca="1"/>
        <v/>
      </c>
      <c r="V139" s="1016" t="str">
        <f ca="1"/>
        <v/>
      </c>
      <c r="W139" s="1019" t="str">
        <f ca="1"/>
        <v/>
      </c>
      <c r="X139" s="1006" t="str">
        <f ca="1"/>
        <v/>
      </c>
      <c r="Y139" s="864" t="str">
        <f t="shared" ca="1" si="12"/>
        <v/>
      </c>
      <c r="AA139" s="828">
        <v>121</v>
      </c>
      <c r="AB139" s="750"/>
      <c r="AC139" s="842"/>
      <c r="AD139" s="830"/>
      <c r="AE139" s="839"/>
      <c r="AF139" s="839"/>
      <c r="AG139" s="750"/>
      <c r="AH139" s="840"/>
      <c r="AI139" s="839"/>
      <c r="AJ139" s="841"/>
      <c r="AK139" s="108" t="s">
        <v>12</v>
      </c>
      <c r="AL139" s="847">
        <v>121</v>
      </c>
      <c r="AM139" s="857"/>
      <c r="AN139" s="842"/>
      <c r="AO139" s="839"/>
      <c r="AP139" s="839"/>
      <c r="AQ139" s="839"/>
      <c r="AR139" s="750"/>
      <c r="AS139" s="840"/>
      <c r="AT139" s="839"/>
      <c r="AU139" s="856"/>
      <c r="AV139" s="108" t="s">
        <v>12</v>
      </c>
    </row>
    <row r="140" spans="4:48">
      <c r="D140" s="108" t="s">
        <v>12</v>
      </c>
      <c r="E140" s="742">
        <v>122</v>
      </c>
      <c r="F140" s="1016" t="str">
        <f t="shared" ca="1" si="13"/>
        <v/>
      </c>
      <c r="G140" s="1027" t="str">
        <f t="shared" ca="1" si="14"/>
        <v/>
      </c>
      <c r="H140" s="1043" t="str">
        <f ca="1"/>
        <v/>
      </c>
      <c r="I140" s="1006" t="str">
        <f ca="1"/>
        <v/>
      </c>
      <c r="J140" s="1006" t="str">
        <f ca="1"/>
        <v/>
      </c>
      <c r="K140" s="1016" t="str">
        <f ca="1"/>
        <v/>
      </c>
      <c r="L140" s="1019" t="str">
        <f ca="1"/>
        <v/>
      </c>
      <c r="M140" s="1006" t="str">
        <f ca="1"/>
        <v/>
      </c>
      <c r="N140" s="1060" t="str">
        <f t="shared" ca="1" si="11"/>
        <v/>
      </c>
      <c r="O140" s="996"/>
      <c r="P140" s="742">
        <v>122</v>
      </c>
      <c r="Q140" s="1016" t="str">
        <f t="shared" ca="1" si="15"/>
        <v/>
      </c>
      <c r="R140" s="1027" t="str">
        <f t="shared" ca="1" si="16"/>
        <v/>
      </c>
      <c r="S140" s="1006" t="str">
        <f ca="1"/>
        <v/>
      </c>
      <c r="T140" s="1006" t="str">
        <f ca="1"/>
        <v/>
      </c>
      <c r="U140" s="1006" t="str">
        <f ca="1"/>
        <v/>
      </c>
      <c r="V140" s="1016" t="str">
        <f ca="1"/>
        <v/>
      </c>
      <c r="W140" s="1019" t="str">
        <f ca="1"/>
        <v/>
      </c>
      <c r="X140" s="1006" t="str">
        <f ca="1"/>
        <v/>
      </c>
      <c r="Y140" s="864" t="str">
        <f t="shared" ca="1" si="12"/>
        <v/>
      </c>
      <c r="AA140" s="828">
        <v>122</v>
      </c>
      <c r="AB140" s="750"/>
      <c r="AC140" s="842"/>
      <c r="AD140" s="830"/>
      <c r="AE140" s="839"/>
      <c r="AF140" s="839"/>
      <c r="AG140" s="750"/>
      <c r="AH140" s="840"/>
      <c r="AI140" s="839"/>
      <c r="AJ140" s="841"/>
      <c r="AK140" s="108" t="s">
        <v>12</v>
      </c>
      <c r="AL140" s="847">
        <v>122</v>
      </c>
      <c r="AM140" s="857"/>
      <c r="AN140" s="842"/>
      <c r="AO140" s="839"/>
      <c r="AP140" s="839"/>
      <c r="AQ140" s="839"/>
      <c r="AR140" s="750"/>
      <c r="AS140" s="840"/>
      <c r="AT140" s="839"/>
      <c r="AU140" s="856"/>
      <c r="AV140" s="108" t="s">
        <v>12</v>
      </c>
    </row>
    <row r="141" spans="4:48">
      <c r="D141" s="108" t="s">
        <v>12</v>
      </c>
      <c r="E141" s="742">
        <v>123</v>
      </c>
      <c r="F141" s="1016" t="str">
        <f t="shared" ca="1" si="13"/>
        <v/>
      </c>
      <c r="G141" s="1027" t="str">
        <f t="shared" ca="1" si="14"/>
        <v/>
      </c>
      <c r="H141" s="1043" t="str">
        <f ca="1"/>
        <v/>
      </c>
      <c r="I141" s="1006" t="str">
        <f ca="1"/>
        <v/>
      </c>
      <c r="J141" s="1006" t="str">
        <f ca="1"/>
        <v/>
      </c>
      <c r="K141" s="1016" t="str">
        <f ca="1"/>
        <v/>
      </c>
      <c r="L141" s="1019" t="str">
        <f ca="1"/>
        <v/>
      </c>
      <c r="M141" s="1006" t="str">
        <f ca="1"/>
        <v/>
      </c>
      <c r="N141" s="1060" t="str">
        <f t="shared" ca="1" si="11"/>
        <v/>
      </c>
      <c r="O141" s="996"/>
      <c r="P141" s="742">
        <v>123</v>
      </c>
      <c r="Q141" s="1016" t="str">
        <f t="shared" ca="1" si="15"/>
        <v/>
      </c>
      <c r="R141" s="1027" t="str">
        <f t="shared" ca="1" si="16"/>
        <v/>
      </c>
      <c r="S141" s="1006" t="str">
        <f ca="1"/>
        <v/>
      </c>
      <c r="T141" s="1006" t="str">
        <f ca="1"/>
        <v/>
      </c>
      <c r="U141" s="1006" t="str">
        <f ca="1"/>
        <v/>
      </c>
      <c r="V141" s="1016" t="str">
        <f ca="1"/>
        <v/>
      </c>
      <c r="W141" s="1019" t="str">
        <f ca="1"/>
        <v/>
      </c>
      <c r="X141" s="1006" t="str">
        <f ca="1"/>
        <v/>
      </c>
      <c r="Y141" s="864" t="str">
        <f t="shared" ca="1" si="12"/>
        <v/>
      </c>
      <c r="AA141" s="828">
        <v>123</v>
      </c>
      <c r="AB141" s="750"/>
      <c r="AC141" s="842"/>
      <c r="AD141" s="830"/>
      <c r="AE141" s="839"/>
      <c r="AF141" s="839"/>
      <c r="AG141" s="750"/>
      <c r="AH141" s="840"/>
      <c r="AI141" s="839"/>
      <c r="AJ141" s="841"/>
      <c r="AK141" s="108" t="s">
        <v>12</v>
      </c>
      <c r="AL141" s="847">
        <v>123</v>
      </c>
      <c r="AM141" s="857"/>
      <c r="AN141" s="842"/>
      <c r="AO141" s="839"/>
      <c r="AP141" s="839"/>
      <c r="AQ141" s="839"/>
      <c r="AR141" s="750"/>
      <c r="AS141" s="840"/>
      <c r="AT141" s="839"/>
      <c r="AU141" s="856"/>
      <c r="AV141" s="108" t="s">
        <v>12</v>
      </c>
    </row>
    <row r="142" spans="4:48">
      <c r="D142" s="108" t="s">
        <v>12</v>
      </c>
      <c r="E142" s="742">
        <v>124</v>
      </c>
      <c r="F142" s="1016" t="str">
        <f t="shared" ca="1" si="13"/>
        <v/>
      </c>
      <c r="G142" s="1027" t="str">
        <f t="shared" ca="1" si="14"/>
        <v/>
      </c>
      <c r="H142" s="1043" t="str">
        <f ca="1"/>
        <v/>
      </c>
      <c r="I142" s="1006" t="str">
        <f ca="1"/>
        <v/>
      </c>
      <c r="J142" s="1006" t="str">
        <f ca="1"/>
        <v/>
      </c>
      <c r="K142" s="1016" t="str">
        <f ca="1"/>
        <v/>
      </c>
      <c r="L142" s="1019" t="str">
        <f ca="1"/>
        <v/>
      </c>
      <c r="M142" s="1006" t="str">
        <f ca="1"/>
        <v/>
      </c>
      <c r="N142" s="1060" t="str">
        <f t="shared" ca="1" si="11"/>
        <v/>
      </c>
      <c r="O142" s="996"/>
      <c r="P142" s="742">
        <v>124</v>
      </c>
      <c r="Q142" s="1016" t="str">
        <f t="shared" ca="1" si="15"/>
        <v/>
      </c>
      <c r="R142" s="1027" t="str">
        <f t="shared" ca="1" si="16"/>
        <v/>
      </c>
      <c r="S142" s="1006" t="str">
        <f ca="1"/>
        <v/>
      </c>
      <c r="T142" s="1006" t="str">
        <f ca="1"/>
        <v/>
      </c>
      <c r="U142" s="1006" t="str">
        <f ca="1"/>
        <v/>
      </c>
      <c r="V142" s="1016" t="str">
        <f ca="1"/>
        <v/>
      </c>
      <c r="W142" s="1019" t="str">
        <f ca="1"/>
        <v/>
      </c>
      <c r="X142" s="1006" t="str">
        <f ca="1"/>
        <v/>
      </c>
      <c r="Y142" s="864" t="str">
        <f t="shared" ca="1" si="12"/>
        <v/>
      </c>
      <c r="AA142" s="828">
        <v>124</v>
      </c>
      <c r="AB142" s="750"/>
      <c r="AC142" s="842"/>
      <c r="AD142" s="830"/>
      <c r="AE142" s="839"/>
      <c r="AF142" s="839"/>
      <c r="AG142" s="750"/>
      <c r="AH142" s="840"/>
      <c r="AI142" s="839"/>
      <c r="AJ142" s="841"/>
      <c r="AK142" s="108" t="s">
        <v>12</v>
      </c>
      <c r="AL142" s="847">
        <v>124</v>
      </c>
      <c r="AM142" s="857"/>
      <c r="AN142" s="842"/>
      <c r="AO142" s="839"/>
      <c r="AP142" s="839"/>
      <c r="AQ142" s="839"/>
      <c r="AR142" s="750"/>
      <c r="AS142" s="840"/>
      <c r="AT142" s="839"/>
      <c r="AU142" s="856"/>
      <c r="AV142" s="108" t="s">
        <v>12</v>
      </c>
    </row>
    <row r="143" spans="4:48">
      <c r="D143" s="108" t="s">
        <v>12</v>
      </c>
      <c r="E143" s="742">
        <v>125</v>
      </c>
      <c r="F143" s="1016" t="str">
        <f t="shared" ca="1" si="13"/>
        <v/>
      </c>
      <c r="G143" s="1027" t="str">
        <f t="shared" ca="1" si="14"/>
        <v/>
      </c>
      <c r="H143" s="1043" t="str">
        <f ca="1"/>
        <v/>
      </c>
      <c r="I143" s="1006" t="str">
        <f ca="1"/>
        <v/>
      </c>
      <c r="J143" s="1006" t="str">
        <f ca="1"/>
        <v/>
      </c>
      <c r="K143" s="1016" t="str">
        <f ca="1"/>
        <v/>
      </c>
      <c r="L143" s="1019" t="str">
        <f ca="1"/>
        <v/>
      </c>
      <c r="M143" s="1006" t="str">
        <f ca="1"/>
        <v/>
      </c>
      <c r="N143" s="1060" t="str">
        <f t="shared" ca="1" si="11"/>
        <v/>
      </c>
      <c r="O143" s="996"/>
      <c r="P143" s="742">
        <v>125</v>
      </c>
      <c r="Q143" s="1016" t="str">
        <f t="shared" ca="1" si="15"/>
        <v/>
      </c>
      <c r="R143" s="1027" t="str">
        <f t="shared" ca="1" si="16"/>
        <v/>
      </c>
      <c r="S143" s="1006" t="str">
        <f ca="1"/>
        <v/>
      </c>
      <c r="T143" s="1006" t="str">
        <f ca="1"/>
        <v/>
      </c>
      <c r="U143" s="1006" t="str">
        <f ca="1"/>
        <v/>
      </c>
      <c r="V143" s="1016" t="str">
        <f ca="1"/>
        <v/>
      </c>
      <c r="W143" s="1019" t="str">
        <f ca="1"/>
        <v/>
      </c>
      <c r="X143" s="1006" t="str">
        <f ca="1"/>
        <v/>
      </c>
      <c r="Y143" s="864" t="str">
        <f t="shared" ca="1" si="12"/>
        <v/>
      </c>
      <c r="AA143" s="828">
        <v>125</v>
      </c>
      <c r="AB143" s="750"/>
      <c r="AC143" s="842"/>
      <c r="AD143" s="830"/>
      <c r="AE143" s="839"/>
      <c r="AF143" s="839"/>
      <c r="AG143" s="750"/>
      <c r="AH143" s="840"/>
      <c r="AI143" s="839"/>
      <c r="AJ143" s="841"/>
      <c r="AK143" s="108" t="s">
        <v>12</v>
      </c>
      <c r="AL143" s="847">
        <v>125</v>
      </c>
      <c r="AM143" s="857"/>
      <c r="AN143" s="842"/>
      <c r="AO143" s="839"/>
      <c r="AP143" s="839"/>
      <c r="AQ143" s="839"/>
      <c r="AR143" s="750"/>
      <c r="AS143" s="840"/>
      <c r="AT143" s="839"/>
      <c r="AU143" s="856"/>
      <c r="AV143" s="108" t="s">
        <v>12</v>
      </c>
    </row>
    <row r="144" spans="4:48">
      <c r="D144" s="108" t="s">
        <v>12</v>
      </c>
      <c r="E144" s="742">
        <v>126</v>
      </c>
      <c r="F144" s="1016" t="str">
        <f t="shared" ca="1" si="13"/>
        <v/>
      </c>
      <c r="G144" s="1027" t="str">
        <f t="shared" ca="1" si="14"/>
        <v/>
      </c>
      <c r="H144" s="1043" t="str">
        <f ca="1"/>
        <v/>
      </c>
      <c r="I144" s="1006" t="str">
        <f ca="1"/>
        <v/>
      </c>
      <c r="J144" s="1006" t="str">
        <f ca="1"/>
        <v/>
      </c>
      <c r="K144" s="1016" t="str">
        <f ca="1"/>
        <v/>
      </c>
      <c r="L144" s="1019" t="str">
        <f ca="1"/>
        <v/>
      </c>
      <c r="M144" s="1006" t="str">
        <f ca="1"/>
        <v/>
      </c>
      <c r="N144" s="1060" t="str">
        <f t="shared" ca="1" si="11"/>
        <v/>
      </c>
      <c r="O144" s="996"/>
      <c r="P144" s="742">
        <v>126</v>
      </c>
      <c r="Q144" s="1016" t="str">
        <f t="shared" ca="1" si="15"/>
        <v/>
      </c>
      <c r="R144" s="1027" t="str">
        <f t="shared" ca="1" si="16"/>
        <v/>
      </c>
      <c r="S144" s="1006" t="str">
        <f ca="1"/>
        <v/>
      </c>
      <c r="T144" s="1006" t="str">
        <f ca="1"/>
        <v/>
      </c>
      <c r="U144" s="1006" t="str">
        <f ca="1"/>
        <v/>
      </c>
      <c r="V144" s="1016" t="str">
        <f ca="1"/>
        <v/>
      </c>
      <c r="W144" s="1019" t="str">
        <f ca="1"/>
        <v/>
      </c>
      <c r="X144" s="1006" t="str">
        <f ca="1"/>
        <v/>
      </c>
      <c r="Y144" s="864" t="str">
        <f t="shared" ca="1" si="12"/>
        <v/>
      </c>
      <c r="AA144" s="828">
        <v>126</v>
      </c>
      <c r="AB144" s="750"/>
      <c r="AC144" s="842"/>
      <c r="AD144" s="830"/>
      <c r="AE144" s="839"/>
      <c r="AF144" s="839"/>
      <c r="AG144" s="750"/>
      <c r="AH144" s="840"/>
      <c r="AI144" s="839"/>
      <c r="AJ144" s="841"/>
      <c r="AK144" s="108" t="s">
        <v>12</v>
      </c>
      <c r="AL144" s="847">
        <v>126</v>
      </c>
      <c r="AM144" s="857"/>
      <c r="AN144" s="842"/>
      <c r="AO144" s="839"/>
      <c r="AP144" s="839"/>
      <c r="AQ144" s="839"/>
      <c r="AR144" s="750"/>
      <c r="AS144" s="840"/>
      <c r="AT144" s="839"/>
      <c r="AU144" s="856"/>
      <c r="AV144" s="108" t="s">
        <v>12</v>
      </c>
    </row>
    <row r="145" spans="4:48">
      <c r="D145" s="108" t="s">
        <v>12</v>
      </c>
      <c r="E145" s="742">
        <v>127</v>
      </c>
      <c r="F145" s="1016" t="str">
        <f t="shared" ca="1" si="13"/>
        <v/>
      </c>
      <c r="G145" s="1027" t="str">
        <f t="shared" ca="1" si="14"/>
        <v/>
      </c>
      <c r="H145" s="1043" t="str">
        <f ca="1"/>
        <v/>
      </c>
      <c r="I145" s="1006" t="str">
        <f ca="1"/>
        <v/>
      </c>
      <c r="J145" s="1006" t="str">
        <f ca="1"/>
        <v/>
      </c>
      <c r="K145" s="1016" t="str">
        <f ca="1"/>
        <v/>
      </c>
      <c r="L145" s="1019" t="str">
        <f ca="1"/>
        <v/>
      </c>
      <c r="M145" s="1006" t="str">
        <f ca="1"/>
        <v/>
      </c>
      <c r="N145" s="1060" t="str">
        <f t="shared" ca="1" si="11"/>
        <v/>
      </c>
      <c r="O145" s="996"/>
      <c r="P145" s="742">
        <v>127</v>
      </c>
      <c r="Q145" s="1016" t="str">
        <f t="shared" ca="1" si="15"/>
        <v/>
      </c>
      <c r="R145" s="1027" t="str">
        <f t="shared" ca="1" si="16"/>
        <v/>
      </c>
      <c r="S145" s="1006" t="str">
        <f ca="1"/>
        <v/>
      </c>
      <c r="T145" s="1006" t="str">
        <f ca="1"/>
        <v/>
      </c>
      <c r="U145" s="1006" t="str">
        <f ca="1"/>
        <v/>
      </c>
      <c r="V145" s="1016" t="str">
        <f ca="1"/>
        <v/>
      </c>
      <c r="W145" s="1019" t="str">
        <f ca="1"/>
        <v/>
      </c>
      <c r="X145" s="1006" t="str">
        <f ca="1"/>
        <v/>
      </c>
      <c r="Y145" s="864" t="str">
        <f t="shared" ca="1" si="12"/>
        <v/>
      </c>
      <c r="AA145" s="828">
        <v>127</v>
      </c>
      <c r="AB145" s="750"/>
      <c r="AC145" s="842"/>
      <c r="AD145" s="830"/>
      <c r="AE145" s="839"/>
      <c r="AF145" s="839"/>
      <c r="AG145" s="750"/>
      <c r="AH145" s="840"/>
      <c r="AI145" s="839"/>
      <c r="AJ145" s="841"/>
      <c r="AK145" s="108" t="s">
        <v>12</v>
      </c>
      <c r="AL145" s="847">
        <v>127</v>
      </c>
      <c r="AM145" s="857"/>
      <c r="AN145" s="842"/>
      <c r="AO145" s="839"/>
      <c r="AP145" s="839"/>
      <c r="AQ145" s="839"/>
      <c r="AR145" s="750"/>
      <c r="AS145" s="840"/>
      <c r="AT145" s="839"/>
      <c r="AU145" s="856"/>
      <c r="AV145" s="108" t="s">
        <v>12</v>
      </c>
    </row>
    <row r="146" spans="4:48">
      <c r="D146" s="108" t="s">
        <v>12</v>
      </c>
      <c r="E146" s="742">
        <v>128</v>
      </c>
      <c r="F146" s="1016" t="str">
        <f t="shared" ca="1" si="13"/>
        <v/>
      </c>
      <c r="G146" s="1027" t="str">
        <f t="shared" ca="1" si="14"/>
        <v/>
      </c>
      <c r="H146" s="1043" t="str">
        <f ca="1"/>
        <v/>
      </c>
      <c r="I146" s="1006" t="str">
        <f ca="1"/>
        <v/>
      </c>
      <c r="J146" s="1006" t="str">
        <f ca="1"/>
        <v/>
      </c>
      <c r="K146" s="1016" t="str">
        <f ca="1"/>
        <v/>
      </c>
      <c r="L146" s="1019" t="str">
        <f ca="1"/>
        <v/>
      </c>
      <c r="M146" s="1006" t="str">
        <f ca="1"/>
        <v/>
      </c>
      <c r="N146" s="1060" t="str">
        <f t="shared" ca="1" si="11"/>
        <v/>
      </c>
      <c r="O146" s="996"/>
      <c r="P146" s="742">
        <v>128</v>
      </c>
      <c r="Q146" s="1016" t="str">
        <f t="shared" ca="1" si="15"/>
        <v/>
      </c>
      <c r="R146" s="1027" t="str">
        <f t="shared" ca="1" si="16"/>
        <v/>
      </c>
      <c r="S146" s="1006" t="str">
        <f ca="1"/>
        <v/>
      </c>
      <c r="T146" s="1006" t="str">
        <f ca="1"/>
        <v/>
      </c>
      <c r="U146" s="1006" t="str">
        <f ca="1"/>
        <v/>
      </c>
      <c r="V146" s="1016" t="str">
        <f ca="1"/>
        <v/>
      </c>
      <c r="W146" s="1019" t="str">
        <f ca="1"/>
        <v/>
      </c>
      <c r="X146" s="1006" t="str">
        <f ca="1"/>
        <v/>
      </c>
      <c r="Y146" s="864" t="str">
        <f t="shared" ca="1" si="12"/>
        <v/>
      </c>
      <c r="AA146" s="828">
        <v>128</v>
      </c>
      <c r="AB146" s="750"/>
      <c r="AC146" s="842"/>
      <c r="AD146" s="830"/>
      <c r="AE146" s="839"/>
      <c r="AF146" s="839"/>
      <c r="AG146" s="750"/>
      <c r="AH146" s="840"/>
      <c r="AI146" s="839"/>
      <c r="AJ146" s="841"/>
      <c r="AK146" s="108" t="s">
        <v>12</v>
      </c>
      <c r="AL146" s="847">
        <v>128</v>
      </c>
      <c r="AM146" s="857"/>
      <c r="AN146" s="842"/>
      <c r="AO146" s="839"/>
      <c r="AP146" s="839"/>
      <c r="AQ146" s="839"/>
      <c r="AR146" s="750"/>
      <c r="AS146" s="840"/>
      <c r="AT146" s="839"/>
      <c r="AU146" s="856"/>
      <c r="AV146" s="108" t="s">
        <v>12</v>
      </c>
    </row>
    <row r="147" spans="4:48">
      <c r="D147" s="108" t="s">
        <v>12</v>
      </c>
      <c r="E147" s="742">
        <v>129</v>
      </c>
      <c r="F147" s="1016" t="str">
        <f t="shared" ca="1" si="13"/>
        <v/>
      </c>
      <c r="G147" s="1027" t="str">
        <f t="shared" ca="1" si="14"/>
        <v/>
      </c>
      <c r="H147" s="1043" t="str">
        <f ca="1"/>
        <v/>
      </c>
      <c r="I147" s="1006" t="str">
        <f ca="1"/>
        <v/>
      </c>
      <c r="J147" s="1006" t="str">
        <f ca="1"/>
        <v/>
      </c>
      <c r="K147" s="1016" t="str">
        <f ca="1"/>
        <v/>
      </c>
      <c r="L147" s="1019" t="str">
        <f ca="1"/>
        <v/>
      </c>
      <c r="M147" s="1006" t="str">
        <f ca="1"/>
        <v/>
      </c>
      <c r="N147" s="1060" t="str">
        <f t="shared" ref="N147:N210" ca="1" si="17">IF($I147="","",VNS.FixedRate)</f>
        <v/>
      </c>
      <c r="O147" s="996"/>
      <c r="P147" s="742">
        <v>129</v>
      </c>
      <c r="Q147" s="1016" t="str">
        <f t="shared" ca="1" si="15"/>
        <v/>
      </c>
      <c r="R147" s="1027" t="str">
        <f t="shared" ca="1" si="16"/>
        <v/>
      </c>
      <c r="S147" s="1006" t="str">
        <f ca="1"/>
        <v/>
      </c>
      <c r="T147" s="1006" t="str">
        <f ca="1"/>
        <v/>
      </c>
      <c r="U147" s="1006" t="str">
        <f ca="1"/>
        <v/>
      </c>
      <c r="V147" s="1016" t="str">
        <f ca="1"/>
        <v/>
      </c>
      <c r="W147" s="1019" t="str">
        <f ca="1"/>
        <v/>
      </c>
      <c r="X147" s="1006" t="str">
        <f ca="1"/>
        <v/>
      </c>
      <c r="Y147" s="864" t="str">
        <f t="shared" ref="Y147:Y210" ca="1" si="18">IF($T147="","",VNS.FloatSpread)</f>
        <v/>
      </c>
      <c r="AA147" s="828">
        <v>129</v>
      </c>
      <c r="AB147" s="750"/>
      <c r="AC147" s="842"/>
      <c r="AD147" s="830"/>
      <c r="AE147" s="839"/>
      <c r="AF147" s="839"/>
      <c r="AG147" s="750"/>
      <c r="AH147" s="840"/>
      <c r="AI147" s="839"/>
      <c r="AJ147" s="841"/>
      <c r="AK147" s="108" t="s">
        <v>12</v>
      </c>
      <c r="AL147" s="847">
        <v>129</v>
      </c>
      <c r="AM147" s="857"/>
      <c r="AN147" s="842"/>
      <c r="AO147" s="839"/>
      <c r="AP147" s="839"/>
      <c r="AQ147" s="839"/>
      <c r="AR147" s="750"/>
      <c r="AS147" s="840"/>
      <c r="AT147" s="839"/>
      <c r="AU147" s="856"/>
      <c r="AV147" s="108" t="s">
        <v>12</v>
      </c>
    </row>
    <row r="148" spans="4:48">
      <c r="D148" s="108" t="s">
        <v>12</v>
      </c>
      <c r="E148" s="742">
        <v>130</v>
      </c>
      <c r="F148" s="1016" t="str">
        <f t="shared" ref="F148:F211" ca="1" si="19">IF($I148="","",IF(OR(VNS.FixedAmortization=0,VNS.FixedAmortization.Frequency=0),F147,IF(MOD(E148-1,VNS.FixedAmortization.Frequency)=0,F147-VNS.FixedAmortization,F147)))</f>
        <v/>
      </c>
      <c r="G148" s="1027" t="str">
        <f t="shared" ref="G148:G211" ca="1" si="20">IF(I148="","",1)</f>
        <v/>
      </c>
      <c r="H148" s="1043" t="str">
        <f ca="1"/>
        <v/>
      </c>
      <c r="I148" s="1006" t="str">
        <f ca="1"/>
        <v/>
      </c>
      <c r="J148" s="1006" t="str">
        <f ca="1"/>
        <v/>
      </c>
      <c r="K148" s="1016" t="str">
        <f ca="1"/>
        <v/>
      </c>
      <c r="L148" s="1019" t="str">
        <f ca="1"/>
        <v/>
      </c>
      <c r="M148" s="1006" t="str">
        <f ca="1"/>
        <v/>
      </c>
      <c r="N148" s="1060" t="str">
        <f t="shared" ca="1" si="17"/>
        <v/>
      </c>
      <c r="O148" s="996"/>
      <c r="P148" s="742">
        <v>130</v>
      </c>
      <c r="Q148" s="1016" t="str">
        <f t="shared" ref="Q148:Q211" ca="1" si="21">IF($T148="","",IF(OR(VNS.FloatAmortization=0,VNS.FloatAmortization.Frequency=0),Q147,IF(MOD(P148-1,VNS.FloatAmortization.Frequency)=0,Q147-VNS.FloatAmortization,Q147)))</f>
        <v/>
      </c>
      <c r="R148" s="1027" t="str">
        <f t="shared" ca="1" si="16"/>
        <v/>
      </c>
      <c r="S148" s="1006" t="str">
        <f ca="1"/>
        <v/>
      </c>
      <c r="T148" s="1006" t="str">
        <f ca="1"/>
        <v/>
      </c>
      <c r="U148" s="1006" t="str">
        <f ca="1"/>
        <v/>
      </c>
      <c r="V148" s="1016" t="str">
        <f ca="1"/>
        <v/>
      </c>
      <c r="W148" s="1019" t="str">
        <f ca="1"/>
        <v/>
      </c>
      <c r="X148" s="1006" t="str">
        <f ca="1"/>
        <v/>
      </c>
      <c r="Y148" s="864" t="str">
        <f t="shared" ca="1" si="18"/>
        <v/>
      </c>
      <c r="AA148" s="828">
        <v>130</v>
      </c>
      <c r="AB148" s="750"/>
      <c r="AC148" s="842"/>
      <c r="AD148" s="830"/>
      <c r="AE148" s="839"/>
      <c r="AF148" s="839"/>
      <c r="AG148" s="750"/>
      <c r="AH148" s="840"/>
      <c r="AI148" s="839"/>
      <c r="AJ148" s="841"/>
      <c r="AK148" s="108" t="s">
        <v>12</v>
      </c>
      <c r="AL148" s="847">
        <v>130</v>
      </c>
      <c r="AM148" s="857"/>
      <c r="AN148" s="842"/>
      <c r="AO148" s="839"/>
      <c r="AP148" s="839"/>
      <c r="AQ148" s="839"/>
      <c r="AR148" s="750"/>
      <c r="AS148" s="840"/>
      <c r="AT148" s="839"/>
      <c r="AU148" s="856"/>
      <c r="AV148" s="108" t="s">
        <v>12</v>
      </c>
    </row>
    <row r="149" spans="4:48">
      <c r="D149" s="108" t="s">
        <v>12</v>
      </c>
      <c r="E149" s="742">
        <v>131</v>
      </c>
      <c r="F149" s="1016" t="str">
        <f t="shared" ca="1" si="19"/>
        <v/>
      </c>
      <c r="G149" s="1027" t="str">
        <f t="shared" ca="1" si="20"/>
        <v/>
      </c>
      <c r="H149" s="1043" t="str">
        <f ca="1"/>
        <v/>
      </c>
      <c r="I149" s="1006" t="str">
        <f ca="1"/>
        <v/>
      </c>
      <c r="J149" s="1006" t="str">
        <f ca="1"/>
        <v/>
      </c>
      <c r="K149" s="1016" t="str">
        <f ca="1"/>
        <v/>
      </c>
      <c r="L149" s="1019" t="str">
        <f ca="1"/>
        <v/>
      </c>
      <c r="M149" s="1006" t="str">
        <f ca="1"/>
        <v/>
      </c>
      <c r="N149" s="1060" t="str">
        <f t="shared" ca="1" si="17"/>
        <v/>
      </c>
      <c r="O149" s="996"/>
      <c r="P149" s="742">
        <v>131</v>
      </c>
      <c r="Q149" s="1016" t="str">
        <f t="shared" ca="1" si="21"/>
        <v/>
      </c>
      <c r="R149" s="1027" t="str">
        <f t="shared" ca="1" si="16"/>
        <v/>
      </c>
      <c r="S149" s="1006" t="str">
        <f ca="1"/>
        <v/>
      </c>
      <c r="T149" s="1006" t="str">
        <f ca="1"/>
        <v/>
      </c>
      <c r="U149" s="1006" t="str">
        <f ca="1"/>
        <v/>
      </c>
      <c r="V149" s="1016" t="str">
        <f ca="1"/>
        <v/>
      </c>
      <c r="W149" s="1019" t="str">
        <f ca="1"/>
        <v/>
      </c>
      <c r="X149" s="1006" t="str">
        <f ca="1"/>
        <v/>
      </c>
      <c r="Y149" s="864" t="str">
        <f t="shared" ca="1" si="18"/>
        <v/>
      </c>
      <c r="AA149" s="828">
        <v>131</v>
      </c>
      <c r="AB149" s="750"/>
      <c r="AC149" s="842"/>
      <c r="AD149" s="830"/>
      <c r="AE149" s="839"/>
      <c r="AF149" s="839"/>
      <c r="AG149" s="750"/>
      <c r="AH149" s="840"/>
      <c r="AI149" s="839"/>
      <c r="AJ149" s="841"/>
      <c r="AK149" s="108" t="s">
        <v>12</v>
      </c>
      <c r="AL149" s="847">
        <v>131</v>
      </c>
      <c r="AM149" s="857"/>
      <c r="AN149" s="842"/>
      <c r="AO149" s="839"/>
      <c r="AP149" s="839"/>
      <c r="AQ149" s="839"/>
      <c r="AR149" s="750"/>
      <c r="AS149" s="840"/>
      <c r="AT149" s="839"/>
      <c r="AU149" s="856"/>
      <c r="AV149" s="108" t="s">
        <v>12</v>
      </c>
    </row>
    <row r="150" spans="4:48">
      <c r="D150" s="108" t="s">
        <v>12</v>
      </c>
      <c r="E150" s="742">
        <v>132</v>
      </c>
      <c r="F150" s="1016" t="str">
        <f t="shared" ca="1" si="19"/>
        <v/>
      </c>
      <c r="G150" s="1027" t="str">
        <f t="shared" ca="1" si="20"/>
        <v/>
      </c>
      <c r="H150" s="1043" t="str">
        <f ca="1"/>
        <v/>
      </c>
      <c r="I150" s="1006" t="str">
        <f ca="1"/>
        <v/>
      </c>
      <c r="J150" s="1006" t="str">
        <f ca="1"/>
        <v/>
      </c>
      <c r="K150" s="1016" t="str">
        <f ca="1"/>
        <v/>
      </c>
      <c r="L150" s="1019" t="str">
        <f ca="1"/>
        <v/>
      </c>
      <c r="M150" s="1006" t="str">
        <f ca="1"/>
        <v/>
      </c>
      <c r="N150" s="1060" t="str">
        <f t="shared" ca="1" si="17"/>
        <v/>
      </c>
      <c r="O150" s="996"/>
      <c r="P150" s="742">
        <v>132</v>
      </c>
      <c r="Q150" s="1016" t="str">
        <f t="shared" ca="1" si="21"/>
        <v/>
      </c>
      <c r="R150" s="1027" t="str">
        <f t="shared" ca="1" si="16"/>
        <v/>
      </c>
      <c r="S150" s="1006" t="str">
        <f ca="1"/>
        <v/>
      </c>
      <c r="T150" s="1006" t="str">
        <f ca="1"/>
        <v/>
      </c>
      <c r="U150" s="1006" t="str">
        <f ca="1"/>
        <v/>
      </c>
      <c r="V150" s="1016" t="str">
        <f ca="1"/>
        <v/>
      </c>
      <c r="W150" s="1019" t="str">
        <f ca="1"/>
        <v/>
      </c>
      <c r="X150" s="1006" t="str">
        <f ca="1"/>
        <v/>
      </c>
      <c r="Y150" s="864" t="str">
        <f t="shared" ca="1" si="18"/>
        <v/>
      </c>
      <c r="AA150" s="828">
        <v>132</v>
      </c>
      <c r="AB150" s="750"/>
      <c r="AC150" s="842"/>
      <c r="AD150" s="830"/>
      <c r="AE150" s="839"/>
      <c r="AF150" s="839"/>
      <c r="AG150" s="750"/>
      <c r="AH150" s="840"/>
      <c r="AI150" s="839"/>
      <c r="AJ150" s="841"/>
      <c r="AK150" s="108" t="s">
        <v>12</v>
      </c>
      <c r="AL150" s="847">
        <v>132</v>
      </c>
      <c r="AM150" s="857"/>
      <c r="AN150" s="842"/>
      <c r="AO150" s="839"/>
      <c r="AP150" s="839"/>
      <c r="AQ150" s="839"/>
      <c r="AR150" s="750"/>
      <c r="AS150" s="840"/>
      <c r="AT150" s="839"/>
      <c r="AU150" s="856"/>
      <c r="AV150" s="108" t="s">
        <v>12</v>
      </c>
    </row>
    <row r="151" spans="4:48">
      <c r="D151" s="108" t="s">
        <v>12</v>
      </c>
      <c r="E151" s="742">
        <v>133</v>
      </c>
      <c r="F151" s="1016" t="str">
        <f t="shared" ca="1" si="19"/>
        <v/>
      </c>
      <c r="G151" s="1027" t="str">
        <f t="shared" ca="1" si="20"/>
        <v/>
      </c>
      <c r="H151" s="1043" t="str">
        <f ca="1"/>
        <v/>
      </c>
      <c r="I151" s="1006" t="str">
        <f ca="1"/>
        <v/>
      </c>
      <c r="J151" s="1006" t="str">
        <f ca="1"/>
        <v/>
      </c>
      <c r="K151" s="1016" t="str">
        <f ca="1"/>
        <v/>
      </c>
      <c r="L151" s="1019" t="str">
        <f ca="1"/>
        <v/>
      </c>
      <c r="M151" s="1006" t="str">
        <f ca="1"/>
        <v/>
      </c>
      <c r="N151" s="1060" t="str">
        <f t="shared" ca="1" si="17"/>
        <v/>
      </c>
      <c r="O151" s="996"/>
      <c r="P151" s="742">
        <v>133</v>
      </c>
      <c r="Q151" s="1016" t="str">
        <f t="shared" ca="1" si="21"/>
        <v/>
      </c>
      <c r="R151" s="1027" t="str">
        <f t="shared" ca="1" si="16"/>
        <v/>
      </c>
      <c r="S151" s="1006" t="str">
        <f ca="1"/>
        <v/>
      </c>
      <c r="T151" s="1006" t="str">
        <f ca="1"/>
        <v/>
      </c>
      <c r="U151" s="1006" t="str">
        <f ca="1"/>
        <v/>
      </c>
      <c r="V151" s="1016" t="str">
        <f ca="1"/>
        <v/>
      </c>
      <c r="W151" s="1019" t="str">
        <f ca="1"/>
        <v/>
      </c>
      <c r="X151" s="1006" t="str">
        <f ca="1"/>
        <v/>
      </c>
      <c r="Y151" s="864" t="str">
        <f t="shared" ca="1" si="18"/>
        <v/>
      </c>
      <c r="AA151" s="828">
        <v>133</v>
      </c>
      <c r="AB151" s="750"/>
      <c r="AC151" s="842"/>
      <c r="AD151" s="830"/>
      <c r="AE151" s="839"/>
      <c r="AF151" s="839"/>
      <c r="AG151" s="750"/>
      <c r="AH151" s="840"/>
      <c r="AI151" s="839"/>
      <c r="AJ151" s="841"/>
      <c r="AK151" s="108" t="s">
        <v>12</v>
      </c>
      <c r="AL151" s="847">
        <v>133</v>
      </c>
      <c r="AM151" s="857"/>
      <c r="AN151" s="842"/>
      <c r="AO151" s="839"/>
      <c r="AP151" s="839"/>
      <c r="AQ151" s="839"/>
      <c r="AR151" s="750"/>
      <c r="AS151" s="840"/>
      <c r="AT151" s="839"/>
      <c r="AU151" s="856"/>
      <c r="AV151" s="108" t="s">
        <v>12</v>
      </c>
    </row>
    <row r="152" spans="4:48">
      <c r="D152" s="108" t="s">
        <v>12</v>
      </c>
      <c r="E152" s="742">
        <v>134</v>
      </c>
      <c r="F152" s="1016" t="str">
        <f t="shared" ca="1" si="19"/>
        <v/>
      </c>
      <c r="G152" s="1027" t="str">
        <f t="shared" ca="1" si="20"/>
        <v/>
      </c>
      <c r="H152" s="1043" t="str">
        <f ca="1"/>
        <v/>
      </c>
      <c r="I152" s="1006" t="str">
        <f ca="1"/>
        <v/>
      </c>
      <c r="J152" s="1006" t="str">
        <f ca="1"/>
        <v/>
      </c>
      <c r="K152" s="1016" t="str">
        <f ca="1"/>
        <v/>
      </c>
      <c r="L152" s="1019" t="str">
        <f ca="1"/>
        <v/>
      </c>
      <c r="M152" s="1006" t="str">
        <f ca="1"/>
        <v/>
      </c>
      <c r="N152" s="1060" t="str">
        <f t="shared" ca="1" si="17"/>
        <v/>
      </c>
      <c r="O152" s="996"/>
      <c r="P152" s="742">
        <v>134</v>
      </c>
      <c r="Q152" s="1016" t="str">
        <f t="shared" ca="1" si="21"/>
        <v/>
      </c>
      <c r="R152" s="1027" t="str">
        <f t="shared" ref="R152:R215" ca="1" si="22">IF(T152="","",1)</f>
        <v/>
      </c>
      <c r="S152" s="1006" t="str">
        <f ca="1"/>
        <v/>
      </c>
      <c r="T152" s="1006" t="str">
        <f ca="1"/>
        <v/>
      </c>
      <c r="U152" s="1006" t="str">
        <f ca="1"/>
        <v/>
      </c>
      <c r="V152" s="1016" t="str">
        <f ca="1"/>
        <v/>
      </c>
      <c r="W152" s="1019" t="str">
        <f ca="1"/>
        <v/>
      </c>
      <c r="X152" s="1006" t="str">
        <f ca="1"/>
        <v/>
      </c>
      <c r="Y152" s="864" t="str">
        <f t="shared" ca="1" si="18"/>
        <v/>
      </c>
      <c r="AA152" s="828">
        <v>134</v>
      </c>
      <c r="AB152" s="750"/>
      <c r="AC152" s="842"/>
      <c r="AD152" s="830"/>
      <c r="AE152" s="839"/>
      <c r="AF152" s="839"/>
      <c r="AG152" s="750"/>
      <c r="AH152" s="840"/>
      <c r="AI152" s="839"/>
      <c r="AJ152" s="841"/>
      <c r="AK152" s="108" t="s">
        <v>12</v>
      </c>
      <c r="AL152" s="847">
        <v>134</v>
      </c>
      <c r="AM152" s="857"/>
      <c r="AN152" s="842"/>
      <c r="AO152" s="839"/>
      <c r="AP152" s="839"/>
      <c r="AQ152" s="839"/>
      <c r="AR152" s="750"/>
      <c r="AS152" s="840"/>
      <c r="AT152" s="839"/>
      <c r="AU152" s="856"/>
      <c r="AV152" s="108" t="s">
        <v>12</v>
      </c>
    </row>
    <row r="153" spans="4:48">
      <c r="D153" s="108" t="s">
        <v>12</v>
      </c>
      <c r="E153" s="742">
        <v>135</v>
      </c>
      <c r="F153" s="1016" t="str">
        <f t="shared" ca="1" si="19"/>
        <v/>
      </c>
      <c r="G153" s="1027" t="str">
        <f t="shared" ca="1" si="20"/>
        <v/>
      </c>
      <c r="H153" s="1043" t="str">
        <f ca="1"/>
        <v/>
      </c>
      <c r="I153" s="1006" t="str">
        <f ca="1"/>
        <v/>
      </c>
      <c r="J153" s="1006" t="str">
        <f ca="1"/>
        <v/>
      </c>
      <c r="K153" s="1016" t="str">
        <f ca="1"/>
        <v/>
      </c>
      <c r="L153" s="1019" t="str">
        <f ca="1"/>
        <v/>
      </c>
      <c r="M153" s="1006" t="str">
        <f ca="1"/>
        <v/>
      </c>
      <c r="N153" s="1060" t="str">
        <f t="shared" ca="1" si="17"/>
        <v/>
      </c>
      <c r="O153" s="996"/>
      <c r="P153" s="742">
        <v>135</v>
      </c>
      <c r="Q153" s="1016" t="str">
        <f t="shared" ca="1" si="21"/>
        <v/>
      </c>
      <c r="R153" s="1027" t="str">
        <f t="shared" ca="1" si="22"/>
        <v/>
      </c>
      <c r="S153" s="1006" t="str">
        <f ca="1"/>
        <v/>
      </c>
      <c r="T153" s="1006" t="str">
        <f ca="1"/>
        <v/>
      </c>
      <c r="U153" s="1006" t="str">
        <f ca="1"/>
        <v/>
      </c>
      <c r="V153" s="1016" t="str">
        <f ca="1"/>
        <v/>
      </c>
      <c r="W153" s="1019" t="str">
        <f ca="1"/>
        <v/>
      </c>
      <c r="X153" s="1006" t="str">
        <f ca="1"/>
        <v/>
      </c>
      <c r="Y153" s="864" t="str">
        <f t="shared" ca="1" si="18"/>
        <v/>
      </c>
      <c r="AA153" s="828">
        <v>135</v>
      </c>
      <c r="AB153" s="750"/>
      <c r="AC153" s="842"/>
      <c r="AD153" s="830"/>
      <c r="AE153" s="839"/>
      <c r="AF153" s="839"/>
      <c r="AG153" s="750"/>
      <c r="AH153" s="840"/>
      <c r="AI153" s="839"/>
      <c r="AJ153" s="841"/>
      <c r="AK153" s="108" t="s">
        <v>12</v>
      </c>
      <c r="AL153" s="847">
        <v>135</v>
      </c>
      <c r="AM153" s="857"/>
      <c r="AN153" s="842"/>
      <c r="AO153" s="839"/>
      <c r="AP153" s="839"/>
      <c r="AQ153" s="839"/>
      <c r="AR153" s="750"/>
      <c r="AS153" s="840"/>
      <c r="AT153" s="839"/>
      <c r="AU153" s="856"/>
      <c r="AV153" s="108" t="s">
        <v>12</v>
      </c>
    </row>
    <row r="154" spans="4:48">
      <c r="D154" s="108" t="s">
        <v>12</v>
      </c>
      <c r="E154" s="742">
        <v>136</v>
      </c>
      <c r="F154" s="1016" t="str">
        <f t="shared" ca="1" si="19"/>
        <v/>
      </c>
      <c r="G154" s="1027" t="str">
        <f t="shared" ca="1" si="20"/>
        <v/>
      </c>
      <c r="H154" s="1043" t="str">
        <f ca="1"/>
        <v/>
      </c>
      <c r="I154" s="1006" t="str">
        <f ca="1"/>
        <v/>
      </c>
      <c r="J154" s="1006" t="str">
        <f ca="1"/>
        <v/>
      </c>
      <c r="K154" s="1016" t="str">
        <f ca="1"/>
        <v/>
      </c>
      <c r="L154" s="1019" t="str">
        <f ca="1"/>
        <v/>
      </c>
      <c r="M154" s="1006" t="str">
        <f ca="1"/>
        <v/>
      </c>
      <c r="N154" s="1060" t="str">
        <f t="shared" ca="1" si="17"/>
        <v/>
      </c>
      <c r="O154" s="996"/>
      <c r="P154" s="742">
        <v>136</v>
      </c>
      <c r="Q154" s="1016" t="str">
        <f t="shared" ca="1" si="21"/>
        <v/>
      </c>
      <c r="R154" s="1027" t="str">
        <f t="shared" ca="1" si="22"/>
        <v/>
      </c>
      <c r="S154" s="1006" t="str">
        <f ca="1"/>
        <v/>
      </c>
      <c r="T154" s="1006" t="str">
        <f ca="1"/>
        <v/>
      </c>
      <c r="U154" s="1006" t="str">
        <f ca="1"/>
        <v/>
      </c>
      <c r="V154" s="1016" t="str">
        <f ca="1"/>
        <v/>
      </c>
      <c r="W154" s="1019" t="str">
        <f ca="1"/>
        <v/>
      </c>
      <c r="X154" s="1006" t="str">
        <f ca="1"/>
        <v/>
      </c>
      <c r="Y154" s="864" t="str">
        <f t="shared" ca="1" si="18"/>
        <v/>
      </c>
      <c r="AA154" s="828">
        <v>136</v>
      </c>
      <c r="AB154" s="750"/>
      <c r="AC154" s="842"/>
      <c r="AD154" s="830"/>
      <c r="AE154" s="839"/>
      <c r="AF154" s="839"/>
      <c r="AG154" s="750"/>
      <c r="AH154" s="840"/>
      <c r="AI154" s="839"/>
      <c r="AJ154" s="841"/>
      <c r="AK154" s="108" t="s">
        <v>12</v>
      </c>
      <c r="AL154" s="847">
        <v>136</v>
      </c>
      <c r="AM154" s="857"/>
      <c r="AN154" s="842"/>
      <c r="AO154" s="839"/>
      <c r="AP154" s="839"/>
      <c r="AQ154" s="839"/>
      <c r="AR154" s="750"/>
      <c r="AS154" s="840"/>
      <c r="AT154" s="839"/>
      <c r="AU154" s="856"/>
      <c r="AV154" s="108" t="s">
        <v>12</v>
      </c>
    </row>
    <row r="155" spans="4:48">
      <c r="D155" s="108" t="s">
        <v>12</v>
      </c>
      <c r="E155" s="742">
        <v>137</v>
      </c>
      <c r="F155" s="1016" t="str">
        <f t="shared" ca="1" si="19"/>
        <v/>
      </c>
      <c r="G155" s="1027" t="str">
        <f t="shared" ca="1" si="20"/>
        <v/>
      </c>
      <c r="H155" s="1043" t="str">
        <f ca="1"/>
        <v/>
      </c>
      <c r="I155" s="1006" t="str">
        <f ca="1"/>
        <v/>
      </c>
      <c r="J155" s="1006" t="str">
        <f ca="1"/>
        <v/>
      </c>
      <c r="K155" s="1016" t="str">
        <f ca="1"/>
        <v/>
      </c>
      <c r="L155" s="1019" t="str">
        <f ca="1"/>
        <v/>
      </c>
      <c r="M155" s="1006" t="str">
        <f ca="1"/>
        <v/>
      </c>
      <c r="N155" s="1060" t="str">
        <f t="shared" ca="1" si="17"/>
        <v/>
      </c>
      <c r="O155" s="996"/>
      <c r="P155" s="742">
        <v>137</v>
      </c>
      <c r="Q155" s="1016" t="str">
        <f t="shared" ca="1" si="21"/>
        <v/>
      </c>
      <c r="R155" s="1027" t="str">
        <f t="shared" ca="1" si="22"/>
        <v/>
      </c>
      <c r="S155" s="1006" t="str">
        <f ca="1"/>
        <v/>
      </c>
      <c r="T155" s="1006" t="str">
        <f ca="1"/>
        <v/>
      </c>
      <c r="U155" s="1006" t="str">
        <f ca="1"/>
        <v/>
      </c>
      <c r="V155" s="1016" t="str">
        <f ca="1"/>
        <v/>
      </c>
      <c r="W155" s="1019" t="str">
        <f ca="1"/>
        <v/>
      </c>
      <c r="X155" s="1006" t="str">
        <f ca="1"/>
        <v/>
      </c>
      <c r="Y155" s="864" t="str">
        <f t="shared" ca="1" si="18"/>
        <v/>
      </c>
      <c r="AA155" s="828">
        <v>137</v>
      </c>
      <c r="AB155" s="750"/>
      <c r="AC155" s="842"/>
      <c r="AD155" s="830"/>
      <c r="AE155" s="839"/>
      <c r="AF155" s="839"/>
      <c r="AG155" s="750"/>
      <c r="AH155" s="840"/>
      <c r="AI155" s="839"/>
      <c r="AJ155" s="841"/>
      <c r="AK155" s="108" t="s">
        <v>12</v>
      </c>
      <c r="AL155" s="847">
        <v>137</v>
      </c>
      <c r="AM155" s="857"/>
      <c r="AN155" s="842"/>
      <c r="AO155" s="839"/>
      <c r="AP155" s="839"/>
      <c r="AQ155" s="839"/>
      <c r="AR155" s="750"/>
      <c r="AS155" s="840"/>
      <c r="AT155" s="839"/>
      <c r="AU155" s="856"/>
      <c r="AV155" s="108" t="s">
        <v>12</v>
      </c>
    </row>
    <row r="156" spans="4:48">
      <c r="D156" s="108" t="s">
        <v>12</v>
      </c>
      <c r="E156" s="742">
        <v>138</v>
      </c>
      <c r="F156" s="1016" t="str">
        <f t="shared" ca="1" si="19"/>
        <v/>
      </c>
      <c r="G156" s="1027" t="str">
        <f t="shared" ca="1" si="20"/>
        <v/>
      </c>
      <c r="H156" s="1043" t="str">
        <f ca="1"/>
        <v/>
      </c>
      <c r="I156" s="1006" t="str">
        <f ca="1"/>
        <v/>
      </c>
      <c r="J156" s="1006" t="str">
        <f ca="1"/>
        <v/>
      </c>
      <c r="K156" s="1016" t="str">
        <f ca="1"/>
        <v/>
      </c>
      <c r="L156" s="1019" t="str">
        <f ca="1"/>
        <v/>
      </c>
      <c r="M156" s="1006" t="str">
        <f ca="1"/>
        <v/>
      </c>
      <c r="N156" s="1060" t="str">
        <f t="shared" ca="1" si="17"/>
        <v/>
      </c>
      <c r="O156" s="996"/>
      <c r="P156" s="742">
        <v>138</v>
      </c>
      <c r="Q156" s="1016" t="str">
        <f t="shared" ca="1" si="21"/>
        <v/>
      </c>
      <c r="R156" s="1027" t="str">
        <f t="shared" ca="1" si="22"/>
        <v/>
      </c>
      <c r="S156" s="1006" t="str">
        <f ca="1"/>
        <v/>
      </c>
      <c r="T156" s="1006" t="str">
        <f ca="1"/>
        <v/>
      </c>
      <c r="U156" s="1006" t="str">
        <f ca="1"/>
        <v/>
      </c>
      <c r="V156" s="1016" t="str">
        <f ca="1"/>
        <v/>
      </c>
      <c r="W156" s="1019" t="str">
        <f ca="1"/>
        <v/>
      </c>
      <c r="X156" s="1006" t="str">
        <f ca="1"/>
        <v/>
      </c>
      <c r="Y156" s="864" t="str">
        <f t="shared" ca="1" si="18"/>
        <v/>
      </c>
      <c r="AA156" s="828">
        <v>138</v>
      </c>
      <c r="AB156" s="750"/>
      <c r="AC156" s="842"/>
      <c r="AD156" s="830"/>
      <c r="AE156" s="839"/>
      <c r="AF156" s="839"/>
      <c r="AG156" s="750"/>
      <c r="AH156" s="840"/>
      <c r="AI156" s="839"/>
      <c r="AJ156" s="841"/>
      <c r="AK156" s="108" t="s">
        <v>12</v>
      </c>
      <c r="AL156" s="847">
        <v>138</v>
      </c>
      <c r="AM156" s="857"/>
      <c r="AN156" s="842"/>
      <c r="AO156" s="839"/>
      <c r="AP156" s="839"/>
      <c r="AQ156" s="839"/>
      <c r="AR156" s="750"/>
      <c r="AS156" s="840"/>
      <c r="AT156" s="839"/>
      <c r="AU156" s="856"/>
      <c r="AV156" s="108" t="s">
        <v>12</v>
      </c>
    </row>
    <row r="157" spans="4:48">
      <c r="D157" s="108" t="s">
        <v>12</v>
      </c>
      <c r="E157" s="742">
        <v>139</v>
      </c>
      <c r="F157" s="1016" t="str">
        <f t="shared" ca="1" si="19"/>
        <v/>
      </c>
      <c r="G157" s="1027" t="str">
        <f t="shared" ca="1" si="20"/>
        <v/>
      </c>
      <c r="H157" s="1043" t="str">
        <f ca="1"/>
        <v/>
      </c>
      <c r="I157" s="1006" t="str">
        <f ca="1"/>
        <v/>
      </c>
      <c r="J157" s="1006" t="str">
        <f ca="1"/>
        <v/>
      </c>
      <c r="K157" s="1016" t="str">
        <f ca="1"/>
        <v/>
      </c>
      <c r="L157" s="1019" t="str">
        <f ca="1"/>
        <v/>
      </c>
      <c r="M157" s="1006" t="str">
        <f ca="1"/>
        <v/>
      </c>
      <c r="N157" s="1060" t="str">
        <f t="shared" ca="1" si="17"/>
        <v/>
      </c>
      <c r="O157" s="996"/>
      <c r="P157" s="742">
        <v>139</v>
      </c>
      <c r="Q157" s="1016" t="str">
        <f t="shared" ca="1" si="21"/>
        <v/>
      </c>
      <c r="R157" s="1027" t="str">
        <f t="shared" ca="1" si="22"/>
        <v/>
      </c>
      <c r="S157" s="1006" t="str">
        <f ca="1"/>
        <v/>
      </c>
      <c r="T157" s="1006" t="str">
        <f ca="1"/>
        <v/>
      </c>
      <c r="U157" s="1006" t="str">
        <f ca="1"/>
        <v/>
      </c>
      <c r="V157" s="1016" t="str">
        <f ca="1"/>
        <v/>
      </c>
      <c r="W157" s="1019" t="str">
        <f ca="1"/>
        <v/>
      </c>
      <c r="X157" s="1006" t="str">
        <f ca="1"/>
        <v/>
      </c>
      <c r="Y157" s="864" t="str">
        <f t="shared" ca="1" si="18"/>
        <v/>
      </c>
      <c r="AA157" s="828">
        <v>139</v>
      </c>
      <c r="AB157" s="750"/>
      <c r="AC157" s="842"/>
      <c r="AD157" s="830"/>
      <c r="AE157" s="839"/>
      <c r="AF157" s="839"/>
      <c r="AG157" s="750"/>
      <c r="AH157" s="840"/>
      <c r="AI157" s="839"/>
      <c r="AJ157" s="841"/>
      <c r="AK157" s="108" t="s">
        <v>12</v>
      </c>
      <c r="AL157" s="847">
        <v>139</v>
      </c>
      <c r="AM157" s="857"/>
      <c r="AN157" s="842"/>
      <c r="AO157" s="839"/>
      <c r="AP157" s="839"/>
      <c r="AQ157" s="839"/>
      <c r="AR157" s="750"/>
      <c r="AS157" s="840"/>
      <c r="AT157" s="839"/>
      <c r="AU157" s="856"/>
      <c r="AV157" s="108" t="s">
        <v>12</v>
      </c>
    </row>
    <row r="158" spans="4:48">
      <c r="D158" s="108" t="s">
        <v>12</v>
      </c>
      <c r="E158" s="742">
        <v>140</v>
      </c>
      <c r="F158" s="1016" t="str">
        <f t="shared" ca="1" si="19"/>
        <v/>
      </c>
      <c r="G158" s="1027" t="str">
        <f t="shared" ca="1" si="20"/>
        <v/>
      </c>
      <c r="H158" s="1043" t="str">
        <f ca="1"/>
        <v/>
      </c>
      <c r="I158" s="1006" t="str">
        <f ca="1"/>
        <v/>
      </c>
      <c r="J158" s="1006" t="str">
        <f ca="1"/>
        <v/>
      </c>
      <c r="K158" s="1016" t="str">
        <f ca="1"/>
        <v/>
      </c>
      <c r="L158" s="1019" t="str">
        <f ca="1"/>
        <v/>
      </c>
      <c r="M158" s="1006" t="str">
        <f ca="1"/>
        <v/>
      </c>
      <c r="N158" s="1060" t="str">
        <f t="shared" ca="1" si="17"/>
        <v/>
      </c>
      <c r="O158" s="996"/>
      <c r="P158" s="742">
        <v>140</v>
      </c>
      <c r="Q158" s="1016" t="str">
        <f t="shared" ca="1" si="21"/>
        <v/>
      </c>
      <c r="R158" s="1027" t="str">
        <f t="shared" ca="1" si="22"/>
        <v/>
      </c>
      <c r="S158" s="1006" t="str">
        <f ca="1"/>
        <v/>
      </c>
      <c r="T158" s="1006" t="str">
        <f ca="1"/>
        <v/>
      </c>
      <c r="U158" s="1006" t="str">
        <f ca="1"/>
        <v/>
      </c>
      <c r="V158" s="1016" t="str">
        <f ca="1"/>
        <v/>
      </c>
      <c r="W158" s="1019" t="str">
        <f ca="1"/>
        <v/>
      </c>
      <c r="X158" s="1006" t="str">
        <f ca="1"/>
        <v/>
      </c>
      <c r="Y158" s="864" t="str">
        <f t="shared" ca="1" si="18"/>
        <v/>
      </c>
      <c r="AA158" s="828">
        <v>140</v>
      </c>
      <c r="AB158" s="750"/>
      <c r="AC158" s="842"/>
      <c r="AD158" s="830"/>
      <c r="AE158" s="839"/>
      <c r="AF158" s="839"/>
      <c r="AG158" s="750"/>
      <c r="AH158" s="840"/>
      <c r="AI158" s="839"/>
      <c r="AJ158" s="841"/>
      <c r="AK158" s="108" t="s">
        <v>12</v>
      </c>
      <c r="AL158" s="847">
        <v>140</v>
      </c>
      <c r="AM158" s="857"/>
      <c r="AN158" s="842"/>
      <c r="AO158" s="839"/>
      <c r="AP158" s="839"/>
      <c r="AQ158" s="839"/>
      <c r="AR158" s="750"/>
      <c r="AS158" s="840"/>
      <c r="AT158" s="839"/>
      <c r="AU158" s="856"/>
      <c r="AV158" s="108" t="s">
        <v>12</v>
      </c>
    </row>
    <row r="159" spans="4:48">
      <c r="D159" s="108" t="s">
        <v>12</v>
      </c>
      <c r="E159" s="742">
        <v>141</v>
      </c>
      <c r="F159" s="1016" t="str">
        <f t="shared" ca="1" si="19"/>
        <v/>
      </c>
      <c r="G159" s="1027" t="str">
        <f t="shared" ca="1" si="20"/>
        <v/>
      </c>
      <c r="H159" s="1043" t="str">
        <f ca="1"/>
        <v/>
      </c>
      <c r="I159" s="1006" t="str">
        <f ca="1"/>
        <v/>
      </c>
      <c r="J159" s="1006" t="str">
        <f ca="1"/>
        <v/>
      </c>
      <c r="K159" s="1016" t="str">
        <f ca="1"/>
        <v/>
      </c>
      <c r="L159" s="1019" t="str">
        <f ca="1"/>
        <v/>
      </c>
      <c r="M159" s="1006" t="str">
        <f ca="1"/>
        <v/>
      </c>
      <c r="N159" s="1060" t="str">
        <f t="shared" ca="1" si="17"/>
        <v/>
      </c>
      <c r="O159" s="996"/>
      <c r="P159" s="742">
        <v>141</v>
      </c>
      <c r="Q159" s="1016" t="str">
        <f t="shared" ca="1" si="21"/>
        <v/>
      </c>
      <c r="R159" s="1027" t="str">
        <f t="shared" ca="1" si="22"/>
        <v/>
      </c>
      <c r="S159" s="1006" t="str">
        <f ca="1"/>
        <v/>
      </c>
      <c r="T159" s="1006" t="str">
        <f ca="1"/>
        <v/>
      </c>
      <c r="U159" s="1006" t="str">
        <f ca="1"/>
        <v/>
      </c>
      <c r="V159" s="1016" t="str">
        <f ca="1"/>
        <v/>
      </c>
      <c r="W159" s="1019" t="str">
        <f ca="1"/>
        <v/>
      </c>
      <c r="X159" s="1006" t="str">
        <f ca="1"/>
        <v/>
      </c>
      <c r="Y159" s="864" t="str">
        <f t="shared" ca="1" si="18"/>
        <v/>
      </c>
      <c r="AA159" s="828">
        <v>141</v>
      </c>
      <c r="AB159" s="750"/>
      <c r="AC159" s="842"/>
      <c r="AD159" s="830"/>
      <c r="AE159" s="839"/>
      <c r="AF159" s="839"/>
      <c r="AG159" s="750"/>
      <c r="AH159" s="840"/>
      <c r="AI159" s="839"/>
      <c r="AJ159" s="841"/>
      <c r="AK159" s="108" t="s">
        <v>12</v>
      </c>
      <c r="AL159" s="847">
        <v>141</v>
      </c>
      <c r="AM159" s="857"/>
      <c r="AN159" s="842"/>
      <c r="AO159" s="839"/>
      <c r="AP159" s="839"/>
      <c r="AQ159" s="839"/>
      <c r="AR159" s="750"/>
      <c r="AS159" s="840"/>
      <c r="AT159" s="839"/>
      <c r="AU159" s="856"/>
      <c r="AV159" s="108" t="s">
        <v>12</v>
      </c>
    </row>
    <row r="160" spans="4:48">
      <c r="D160" s="108" t="s">
        <v>12</v>
      </c>
      <c r="E160" s="742">
        <v>142</v>
      </c>
      <c r="F160" s="1016" t="str">
        <f t="shared" ca="1" si="19"/>
        <v/>
      </c>
      <c r="G160" s="1027" t="str">
        <f t="shared" ca="1" si="20"/>
        <v/>
      </c>
      <c r="H160" s="1043" t="str">
        <f ca="1"/>
        <v/>
      </c>
      <c r="I160" s="1006" t="str">
        <f ca="1"/>
        <v/>
      </c>
      <c r="J160" s="1006" t="str">
        <f ca="1"/>
        <v/>
      </c>
      <c r="K160" s="1016" t="str">
        <f ca="1"/>
        <v/>
      </c>
      <c r="L160" s="1019" t="str">
        <f ca="1"/>
        <v/>
      </c>
      <c r="M160" s="1006" t="str">
        <f ca="1"/>
        <v/>
      </c>
      <c r="N160" s="1060" t="str">
        <f t="shared" ca="1" si="17"/>
        <v/>
      </c>
      <c r="O160" s="996"/>
      <c r="P160" s="742">
        <v>142</v>
      </c>
      <c r="Q160" s="1016" t="str">
        <f t="shared" ca="1" si="21"/>
        <v/>
      </c>
      <c r="R160" s="1027" t="str">
        <f t="shared" ca="1" si="22"/>
        <v/>
      </c>
      <c r="S160" s="1006" t="str">
        <f ca="1"/>
        <v/>
      </c>
      <c r="T160" s="1006" t="str">
        <f ca="1"/>
        <v/>
      </c>
      <c r="U160" s="1006" t="str">
        <f ca="1"/>
        <v/>
      </c>
      <c r="V160" s="1016" t="str">
        <f ca="1"/>
        <v/>
      </c>
      <c r="W160" s="1019" t="str">
        <f ca="1"/>
        <v/>
      </c>
      <c r="X160" s="1006" t="str">
        <f ca="1"/>
        <v/>
      </c>
      <c r="Y160" s="864" t="str">
        <f t="shared" ca="1" si="18"/>
        <v/>
      </c>
      <c r="AA160" s="828">
        <v>142</v>
      </c>
      <c r="AB160" s="750"/>
      <c r="AC160" s="842"/>
      <c r="AD160" s="830"/>
      <c r="AE160" s="839"/>
      <c r="AF160" s="839"/>
      <c r="AG160" s="750"/>
      <c r="AH160" s="840"/>
      <c r="AI160" s="839"/>
      <c r="AJ160" s="841"/>
      <c r="AK160" s="108" t="s">
        <v>12</v>
      </c>
      <c r="AL160" s="847">
        <v>142</v>
      </c>
      <c r="AM160" s="857"/>
      <c r="AN160" s="842"/>
      <c r="AO160" s="839"/>
      <c r="AP160" s="839"/>
      <c r="AQ160" s="839"/>
      <c r="AR160" s="750"/>
      <c r="AS160" s="840"/>
      <c r="AT160" s="839"/>
      <c r="AU160" s="856"/>
      <c r="AV160" s="108" t="s">
        <v>12</v>
      </c>
    </row>
    <row r="161" spans="4:48">
      <c r="D161" s="108" t="s">
        <v>12</v>
      </c>
      <c r="E161" s="742">
        <v>143</v>
      </c>
      <c r="F161" s="1016" t="str">
        <f t="shared" ca="1" si="19"/>
        <v/>
      </c>
      <c r="G161" s="1027" t="str">
        <f t="shared" ca="1" si="20"/>
        <v/>
      </c>
      <c r="H161" s="1043" t="str">
        <f ca="1"/>
        <v/>
      </c>
      <c r="I161" s="1006" t="str">
        <f ca="1"/>
        <v/>
      </c>
      <c r="J161" s="1006" t="str">
        <f ca="1"/>
        <v/>
      </c>
      <c r="K161" s="1016" t="str">
        <f ca="1"/>
        <v/>
      </c>
      <c r="L161" s="1019" t="str">
        <f ca="1"/>
        <v/>
      </c>
      <c r="M161" s="1006" t="str">
        <f ca="1"/>
        <v/>
      </c>
      <c r="N161" s="1060" t="str">
        <f t="shared" ca="1" si="17"/>
        <v/>
      </c>
      <c r="O161" s="996"/>
      <c r="P161" s="742">
        <v>143</v>
      </c>
      <c r="Q161" s="1016" t="str">
        <f t="shared" ca="1" si="21"/>
        <v/>
      </c>
      <c r="R161" s="1027" t="str">
        <f t="shared" ca="1" si="22"/>
        <v/>
      </c>
      <c r="S161" s="1006" t="str">
        <f ca="1"/>
        <v/>
      </c>
      <c r="T161" s="1006" t="str">
        <f ca="1"/>
        <v/>
      </c>
      <c r="U161" s="1006" t="str">
        <f ca="1"/>
        <v/>
      </c>
      <c r="V161" s="1016" t="str">
        <f ca="1"/>
        <v/>
      </c>
      <c r="W161" s="1019" t="str">
        <f ca="1"/>
        <v/>
      </c>
      <c r="X161" s="1006" t="str">
        <f ca="1"/>
        <v/>
      </c>
      <c r="Y161" s="864" t="str">
        <f t="shared" ca="1" si="18"/>
        <v/>
      </c>
      <c r="AA161" s="828">
        <v>143</v>
      </c>
      <c r="AB161" s="750"/>
      <c r="AC161" s="842"/>
      <c r="AD161" s="830"/>
      <c r="AE161" s="839"/>
      <c r="AF161" s="839"/>
      <c r="AG161" s="750"/>
      <c r="AH161" s="840"/>
      <c r="AI161" s="839"/>
      <c r="AJ161" s="841"/>
      <c r="AK161" s="108" t="s">
        <v>12</v>
      </c>
      <c r="AL161" s="847">
        <v>143</v>
      </c>
      <c r="AM161" s="857"/>
      <c r="AN161" s="842"/>
      <c r="AO161" s="839"/>
      <c r="AP161" s="839"/>
      <c r="AQ161" s="839"/>
      <c r="AR161" s="750"/>
      <c r="AS161" s="840"/>
      <c r="AT161" s="839"/>
      <c r="AU161" s="856"/>
      <c r="AV161" s="108" t="s">
        <v>12</v>
      </c>
    </row>
    <row r="162" spans="4:48">
      <c r="D162" s="108" t="s">
        <v>12</v>
      </c>
      <c r="E162" s="742">
        <v>144</v>
      </c>
      <c r="F162" s="1016" t="str">
        <f t="shared" ca="1" si="19"/>
        <v/>
      </c>
      <c r="G162" s="1027" t="str">
        <f t="shared" ca="1" si="20"/>
        <v/>
      </c>
      <c r="H162" s="1043" t="str">
        <f ca="1"/>
        <v/>
      </c>
      <c r="I162" s="1006" t="str">
        <f ca="1"/>
        <v/>
      </c>
      <c r="J162" s="1006" t="str">
        <f ca="1"/>
        <v/>
      </c>
      <c r="K162" s="1016" t="str">
        <f ca="1"/>
        <v/>
      </c>
      <c r="L162" s="1019" t="str">
        <f ca="1"/>
        <v/>
      </c>
      <c r="M162" s="1006" t="str">
        <f ca="1"/>
        <v/>
      </c>
      <c r="N162" s="1060" t="str">
        <f t="shared" ca="1" si="17"/>
        <v/>
      </c>
      <c r="O162" s="996"/>
      <c r="P162" s="742">
        <v>144</v>
      </c>
      <c r="Q162" s="1016" t="str">
        <f t="shared" ca="1" si="21"/>
        <v/>
      </c>
      <c r="R162" s="1027" t="str">
        <f t="shared" ca="1" si="22"/>
        <v/>
      </c>
      <c r="S162" s="1006" t="str">
        <f ca="1"/>
        <v/>
      </c>
      <c r="T162" s="1006" t="str">
        <f ca="1"/>
        <v/>
      </c>
      <c r="U162" s="1006" t="str">
        <f ca="1"/>
        <v/>
      </c>
      <c r="V162" s="1016" t="str">
        <f ca="1"/>
        <v/>
      </c>
      <c r="W162" s="1019" t="str">
        <f ca="1"/>
        <v/>
      </c>
      <c r="X162" s="1006" t="str">
        <f ca="1"/>
        <v/>
      </c>
      <c r="Y162" s="864" t="str">
        <f t="shared" ca="1" si="18"/>
        <v/>
      </c>
      <c r="AA162" s="828">
        <v>144</v>
      </c>
      <c r="AB162" s="750"/>
      <c r="AC162" s="842"/>
      <c r="AD162" s="830"/>
      <c r="AE162" s="839"/>
      <c r="AF162" s="839"/>
      <c r="AG162" s="750"/>
      <c r="AH162" s="840"/>
      <c r="AI162" s="839"/>
      <c r="AJ162" s="841"/>
      <c r="AK162" s="108" t="s">
        <v>12</v>
      </c>
      <c r="AL162" s="847">
        <v>144</v>
      </c>
      <c r="AM162" s="857"/>
      <c r="AN162" s="842"/>
      <c r="AO162" s="839"/>
      <c r="AP162" s="839"/>
      <c r="AQ162" s="839"/>
      <c r="AR162" s="750"/>
      <c r="AS162" s="840"/>
      <c r="AT162" s="839"/>
      <c r="AU162" s="856"/>
      <c r="AV162" s="108" t="s">
        <v>12</v>
      </c>
    </row>
    <row r="163" spans="4:48">
      <c r="D163" s="108" t="s">
        <v>12</v>
      </c>
      <c r="E163" s="742">
        <v>145</v>
      </c>
      <c r="F163" s="1016" t="str">
        <f t="shared" ca="1" si="19"/>
        <v/>
      </c>
      <c r="G163" s="1027" t="str">
        <f t="shared" ca="1" si="20"/>
        <v/>
      </c>
      <c r="H163" s="1043" t="str">
        <f ca="1"/>
        <v/>
      </c>
      <c r="I163" s="1006" t="str">
        <f ca="1"/>
        <v/>
      </c>
      <c r="J163" s="1006" t="str">
        <f ca="1"/>
        <v/>
      </c>
      <c r="K163" s="1016" t="str">
        <f ca="1"/>
        <v/>
      </c>
      <c r="L163" s="1019" t="str">
        <f ca="1"/>
        <v/>
      </c>
      <c r="M163" s="1006" t="str">
        <f ca="1"/>
        <v/>
      </c>
      <c r="N163" s="1060" t="str">
        <f t="shared" ca="1" si="17"/>
        <v/>
      </c>
      <c r="O163" s="996"/>
      <c r="P163" s="742">
        <v>145</v>
      </c>
      <c r="Q163" s="1016" t="str">
        <f t="shared" ca="1" si="21"/>
        <v/>
      </c>
      <c r="R163" s="1027" t="str">
        <f t="shared" ca="1" si="22"/>
        <v/>
      </c>
      <c r="S163" s="1006" t="str">
        <f ca="1"/>
        <v/>
      </c>
      <c r="T163" s="1006" t="str">
        <f ca="1"/>
        <v/>
      </c>
      <c r="U163" s="1006" t="str">
        <f ca="1"/>
        <v/>
      </c>
      <c r="V163" s="1016" t="str">
        <f ca="1"/>
        <v/>
      </c>
      <c r="W163" s="1019" t="str">
        <f ca="1"/>
        <v/>
      </c>
      <c r="X163" s="1006" t="str">
        <f ca="1"/>
        <v/>
      </c>
      <c r="Y163" s="864" t="str">
        <f t="shared" ca="1" si="18"/>
        <v/>
      </c>
      <c r="AA163" s="828">
        <v>145</v>
      </c>
      <c r="AB163" s="750"/>
      <c r="AC163" s="842"/>
      <c r="AD163" s="830"/>
      <c r="AE163" s="839"/>
      <c r="AF163" s="839"/>
      <c r="AG163" s="750"/>
      <c r="AH163" s="840"/>
      <c r="AI163" s="839"/>
      <c r="AJ163" s="841"/>
      <c r="AK163" s="108" t="s">
        <v>12</v>
      </c>
      <c r="AL163" s="847">
        <v>145</v>
      </c>
      <c r="AM163" s="857"/>
      <c r="AN163" s="842"/>
      <c r="AO163" s="839"/>
      <c r="AP163" s="839"/>
      <c r="AQ163" s="839"/>
      <c r="AR163" s="750"/>
      <c r="AS163" s="840"/>
      <c r="AT163" s="839"/>
      <c r="AU163" s="856"/>
      <c r="AV163" s="108" t="s">
        <v>12</v>
      </c>
    </row>
    <row r="164" spans="4:48">
      <c r="D164" s="108" t="s">
        <v>12</v>
      </c>
      <c r="E164" s="742">
        <v>146</v>
      </c>
      <c r="F164" s="1016" t="str">
        <f t="shared" ca="1" si="19"/>
        <v/>
      </c>
      <c r="G164" s="1027" t="str">
        <f t="shared" ca="1" si="20"/>
        <v/>
      </c>
      <c r="H164" s="1043" t="str">
        <f ca="1"/>
        <v/>
      </c>
      <c r="I164" s="1006" t="str">
        <f ca="1"/>
        <v/>
      </c>
      <c r="J164" s="1006" t="str">
        <f ca="1"/>
        <v/>
      </c>
      <c r="K164" s="1016" t="str">
        <f ca="1"/>
        <v/>
      </c>
      <c r="L164" s="1019" t="str">
        <f ca="1"/>
        <v/>
      </c>
      <c r="M164" s="1006" t="str">
        <f ca="1"/>
        <v/>
      </c>
      <c r="N164" s="1060" t="str">
        <f t="shared" ca="1" si="17"/>
        <v/>
      </c>
      <c r="O164" s="996"/>
      <c r="P164" s="742">
        <v>146</v>
      </c>
      <c r="Q164" s="1016" t="str">
        <f t="shared" ca="1" si="21"/>
        <v/>
      </c>
      <c r="R164" s="1027" t="str">
        <f t="shared" ca="1" si="22"/>
        <v/>
      </c>
      <c r="S164" s="1006" t="str">
        <f ca="1"/>
        <v/>
      </c>
      <c r="T164" s="1006" t="str">
        <f ca="1"/>
        <v/>
      </c>
      <c r="U164" s="1006" t="str">
        <f ca="1"/>
        <v/>
      </c>
      <c r="V164" s="1016" t="str">
        <f ca="1"/>
        <v/>
      </c>
      <c r="W164" s="1019" t="str">
        <f ca="1"/>
        <v/>
      </c>
      <c r="X164" s="1006" t="str">
        <f ca="1"/>
        <v/>
      </c>
      <c r="Y164" s="864" t="str">
        <f t="shared" ca="1" si="18"/>
        <v/>
      </c>
      <c r="AA164" s="828">
        <v>146</v>
      </c>
      <c r="AB164" s="750"/>
      <c r="AC164" s="842"/>
      <c r="AD164" s="830"/>
      <c r="AE164" s="839"/>
      <c r="AF164" s="839"/>
      <c r="AG164" s="750"/>
      <c r="AH164" s="840"/>
      <c r="AI164" s="839"/>
      <c r="AJ164" s="841"/>
      <c r="AK164" s="108" t="s">
        <v>12</v>
      </c>
      <c r="AL164" s="847">
        <v>146</v>
      </c>
      <c r="AM164" s="857"/>
      <c r="AN164" s="842"/>
      <c r="AO164" s="839"/>
      <c r="AP164" s="839"/>
      <c r="AQ164" s="839"/>
      <c r="AR164" s="750"/>
      <c r="AS164" s="840"/>
      <c r="AT164" s="839"/>
      <c r="AU164" s="856"/>
      <c r="AV164" s="108" t="s">
        <v>12</v>
      </c>
    </row>
    <row r="165" spans="4:48">
      <c r="D165" s="108" t="s">
        <v>12</v>
      </c>
      <c r="E165" s="742">
        <v>147</v>
      </c>
      <c r="F165" s="1016" t="str">
        <f t="shared" ca="1" si="19"/>
        <v/>
      </c>
      <c r="G165" s="1027" t="str">
        <f t="shared" ca="1" si="20"/>
        <v/>
      </c>
      <c r="H165" s="1043" t="str">
        <f ca="1"/>
        <v/>
      </c>
      <c r="I165" s="1006" t="str">
        <f ca="1"/>
        <v/>
      </c>
      <c r="J165" s="1006" t="str">
        <f ca="1"/>
        <v/>
      </c>
      <c r="K165" s="1016" t="str">
        <f ca="1"/>
        <v/>
      </c>
      <c r="L165" s="1019" t="str">
        <f ca="1"/>
        <v/>
      </c>
      <c r="M165" s="1006" t="str">
        <f ca="1"/>
        <v/>
      </c>
      <c r="N165" s="1060" t="str">
        <f t="shared" ca="1" si="17"/>
        <v/>
      </c>
      <c r="O165" s="996"/>
      <c r="P165" s="742">
        <v>147</v>
      </c>
      <c r="Q165" s="1016" t="str">
        <f t="shared" ca="1" si="21"/>
        <v/>
      </c>
      <c r="R165" s="1027" t="str">
        <f t="shared" ca="1" si="22"/>
        <v/>
      </c>
      <c r="S165" s="1006" t="str">
        <f ca="1"/>
        <v/>
      </c>
      <c r="T165" s="1006" t="str">
        <f ca="1"/>
        <v/>
      </c>
      <c r="U165" s="1006" t="str">
        <f ca="1"/>
        <v/>
      </c>
      <c r="V165" s="1016" t="str">
        <f ca="1"/>
        <v/>
      </c>
      <c r="W165" s="1019" t="str">
        <f ca="1"/>
        <v/>
      </c>
      <c r="X165" s="1006" t="str">
        <f ca="1"/>
        <v/>
      </c>
      <c r="Y165" s="864" t="str">
        <f t="shared" ca="1" si="18"/>
        <v/>
      </c>
      <c r="AA165" s="828">
        <v>147</v>
      </c>
      <c r="AB165" s="750"/>
      <c r="AC165" s="842"/>
      <c r="AD165" s="830"/>
      <c r="AE165" s="839"/>
      <c r="AF165" s="839"/>
      <c r="AG165" s="750"/>
      <c r="AH165" s="840"/>
      <c r="AI165" s="839"/>
      <c r="AJ165" s="841"/>
      <c r="AK165" s="108" t="s">
        <v>12</v>
      </c>
      <c r="AL165" s="847">
        <v>147</v>
      </c>
      <c r="AM165" s="857"/>
      <c r="AN165" s="842"/>
      <c r="AO165" s="839"/>
      <c r="AP165" s="839"/>
      <c r="AQ165" s="839"/>
      <c r="AR165" s="750"/>
      <c r="AS165" s="840"/>
      <c r="AT165" s="839"/>
      <c r="AU165" s="856"/>
      <c r="AV165" s="108" t="s">
        <v>12</v>
      </c>
    </row>
    <row r="166" spans="4:48">
      <c r="D166" s="108" t="s">
        <v>12</v>
      </c>
      <c r="E166" s="742">
        <v>148</v>
      </c>
      <c r="F166" s="1016" t="str">
        <f t="shared" ca="1" si="19"/>
        <v/>
      </c>
      <c r="G166" s="1027" t="str">
        <f t="shared" ca="1" si="20"/>
        <v/>
      </c>
      <c r="H166" s="1043" t="str">
        <f ca="1"/>
        <v/>
      </c>
      <c r="I166" s="1006" t="str">
        <f ca="1"/>
        <v/>
      </c>
      <c r="J166" s="1006" t="str">
        <f ca="1"/>
        <v/>
      </c>
      <c r="K166" s="1016" t="str">
        <f ca="1"/>
        <v/>
      </c>
      <c r="L166" s="1019" t="str">
        <f ca="1"/>
        <v/>
      </c>
      <c r="M166" s="1006" t="str">
        <f ca="1"/>
        <v/>
      </c>
      <c r="N166" s="1060" t="str">
        <f t="shared" ca="1" si="17"/>
        <v/>
      </c>
      <c r="O166" s="996"/>
      <c r="P166" s="742">
        <v>148</v>
      </c>
      <c r="Q166" s="1016" t="str">
        <f t="shared" ca="1" si="21"/>
        <v/>
      </c>
      <c r="R166" s="1027" t="str">
        <f t="shared" ca="1" si="22"/>
        <v/>
      </c>
      <c r="S166" s="1006" t="str">
        <f ca="1"/>
        <v/>
      </c>
      <c r="T166" s="1006" t="str">
        <f ca="1"/>
        <v/>
      </c>
      <c r="U166" s="1006" t="str">
        <f ca="1"/>
        <v/>
      </c>
      <c r="V166" s="1016" t="str">
        <f ca="1"/>
        <v/>
      </c>
      <c r="W166" s="1019" t="str">
        <f ca="1"/>
        <v/>
      </c>
      <c r="X166" s="1006" t="str">
        <f ca="1"/>
        <v/>
      </c>
      <c r="Y166" s="864" t="str">
        <f t="shared" ca="1" si="18"/>
        <v/>
      </c>
      <c r="AA166" s="828">
        <v>148</v>
      </c>
      <c r="AB166" s="750"/>
      <c r="AC166" s="842"/>
      <c r="AD166" s="830"/>
      <c r="AE166" s="839"/>
      <c r="AF166" s="839"/>
      <c r="AG166" s="750"/>
      <c r="AH166" s="840"/>
      <c r="AI166" s="839"/>
      <c r="AJ166" s="841"/>
      <c r="AK166" s="108" t="s">
        <v>12</v>
      </c>
      <c r="AL166" s="847">
        <v>148</v>
      </c>
      <c r="AM166" s="857"/>
      <c r="AN166" s="842"/>
      <c r="AO166" s="839"/>
      <c r="AP166" s="839"/>
      <c r="AQ166" s="839"/>
      <c r="AR166" s="750"/>
      <c r="AS166" s="840"/>
      <c r="AT166" s="839"/>
      <c r="AU166" s="856"/>
      <c r="AV166" s="108" t="s">
        <v>12</v>
      </c>
    </row>
    <row r="167" spans="4:48">
      <c r="D167" s="108" t="s">
        <v>12</v>
      </c>
      <c r="E167" s="742">
        <v>149</v>
      </c>
      <c r="F167" s="1016" t="str">
        <f t="shared" ca="1" si="19"/>
        <v/>
      </c>
      <c r="G167" s="1027" t="str">
        <f t="shared" ca="1" si="20"/>
        <v/>
      </c>
      <c r="H167" s="1043" t="str">
        <f ca="1"/>
        <v/>
      </c>
      <c r="I167" s="1006" t="str">
        <f ca="1"/>
        <v/>
      </c>
      <c r="J167" s="1006" t="str">
        <f ca="1"/>
        <v/>
      </c>
      <c r="K167" s="1016" t="str">
        <f ca="1"/>
        <v/>
      </c>
      <c r="L167" s="1019" t="str">
        <f ca="1"/>
        <v/>
      </c>
      <c r="M167" s="1006" t="str">
        <f ca="1"/>
        <v/>
      </c>
      <c r="N167" s="1060" t="str">
        <f t="shared" ca="1" si="17"/>
        <v/>
      </c>
      <c r="O167" s="996"/>
      <c r="P167" s="742">
        <v>149</v>
      </c>
      <c r="Q167" s="1016" t="str">
        <f t="shared" ca="1" si="21"/>
        <v/>
      </c>
      <c r="R167" s="1027" t="str">
        <f t="shared" ca="1" si="22"/>
        <v/>
      </c>
      <c r="S167" s="1006" t="str">
        <f ca="1"/>
        <v/>
      </c>
      <c r="T167" s="1006" t="str">
        <f ca="1"/>
        <v/>
      </c>
      <c r="U167" s="1006" t="str">
        <f ca="1"/>
        <v/>
      </c>
      <c r="V167" s="1016" t="str">
        <f ca="1"/>
        <v/>
      </c>
      <c r="W167" s="1019" t="str">
        <f ca="1"/>
        <v/>
      </c>
      <c r="X167" s="1006" t="str">
        <f ca="1"/>
        <v/>
      </c>
      <c r="Y167" s="864" t="str">
        <f t="shared" ca="1" si="18"/>
        <v/>
      </c>
      <c r="AA167" s="828">
        <v>149</v>
      </c>
      <c r="AB167" s="750"/>
      <c r="AC167" s="842"/>
      <c r="AD167" s="830"/>
      <c r="AE167" s="839"/>
      <c r="AF167" s="839"/>
      <c r="AG167" s="750"/>
      <c r="AH167" s="840"/>
      <c r="AI167" s="839"/>
      <c r="AJ167" s="841"/>
      <c r="AK167" s="108" t="s">
        <v>12</v>
      </c>
      <c r="AL167" s="847">
        <v>149</v>
      </c>
      <c r="AM167" s="857"/>
      <c r="AN167" s="842"/>
      <c r="AO167" s="839"/>
      <c r="AP167" s="839"/>
      <c r="AQ167" s="839"/>
      <c r="AR167" s="750"/>
      <c r="AS167" s="840"/>
      <c r="AT167" s="839"/>
      <c r="AU167" s="856"/>
      <c r="AV167" s="108" t="s">
        <v>12</v>
      </c>
    </row>
    <row r="168" spans="4:48">
      <c r="D168" s="108" t="s">
        <v>12</v>
      </c>
      <c r="E168" s="742">
        <v>150</v>
      </c>
      <c r="F168" s="1016" t="str">
        <f t="shared" ca="1" si="19"/>
        <v/>
      </c>
      <c r="G168" s="1027" t="str">
        <f t="shared" ca="1" si="20"/>
        <v/>
      </c>
      <c r="H168" s="1043" t="str">
        <f ca="1"/>
        <v/>
      </c>
      <c r="I168" s="1006" t="str">
        <f ca="1"/>
        <v/>
      </c>
      <c r="J168" s="1006" t="str">
        <f ca="1"/>
        <v/>
      </c>
      <c r="K168" s="1016" t="str">
        <f ca="1"/>
        <v/>
      </c>
      <c r="L168" s="1019" t="str">
        <f ca="1"/>
        <v/>
      </c>
      <c r="M168" s="1006" t="str">
        <f ca="1"/>
        <v/>
      </c>
      <c r="N168" s="1060" t="str">
        <f t="shared" ca="1" si="17"/>
        <v/>
      </c>
      <c r="O168" s="996"/>
      <c r="P168" s="742">
        <v>150</v>
      </c>
      <c r="Q168" s="1016" t="str">
        <f t="shared" ca="1" si="21"/>
        <v/>
      </c>
      <c r="R168" s="1027" t="str">
        <f t="shared" ca="1" si="22"/>
        <v/>
      </c>
      <c r="S168" s="1006" t="str">
        <f ca="1"/>
        <v/>
      </c>
      <c r="T168" s="1006" t="str">
        <f ca="1"/>
        <v/>
      </c>
      <c r="U168" s="1006" t="str">
        <f ca="1"/>
        <v/>
      </c>
      <c r="V168" s="1016" t="str">
        <f ca="1"/>
        <v/>
      </c>
      <c r="W168" s="1019" t="str">
        <f ca="1"/>
        <v/>
      </c>
      <c r="X168" s="1006" t="str">
        <f ca="1"/>
        <v/>
      </c>
      <c r="Y168" s="864" t="str">
        <f t="shared" ca="1" si="18"/>
        <v/>
      </c>
      <c r="AA168" s="828">
        <v>150</v>
      </c>
      <c r="AB168" s="750"/>
      <c r="AC168" s="842"/>
      <c r="AD168" s="830"/>
      <c r="AE168" s="839"/>
      <c r="AF168" s="839"/>
      <c r="AG168" s="750"/>
      <c r="AH168" s="840"/>
      <c r="AI168" s="839"/>
      <c r="AJ168" s="841"/>
      <c r="AK168" s="108" t="s">
        <v>12</v>
      </c>
      <c r="AL168" s="847">
        <v>150</v>
      </c>
      <c r="AM168" s="857"/>
      <c r="AN168" s="842"/>
      <c r="AO168" s="839"/>
      <c r="AP168" s="839"/>
      <c r="AQ168" s="839"/>
      <c r="AR168" s="750"/>
      <c r="AS168" s="840"/>
      <c r="AT168" s="839"/>
      <c r="AU168" s="856"/>
      <c r="AV168" s="108" t="s">
        <v>12</v>
      </c>
    </row>
    <row r="169" spans="4:48">
      <c r="D169" s="108" t="s">
        <v>12</v>
      </c>
      <c r="E169" s="742">
        <v>151</v>
      </c>
      <c r="F169" s="1016" t="str">
        <f t="shared" ca="1" si="19"/>
        <v/>
      </c>
      <c r="G169" s="1027" t="str">
        <f t="shared" ca="1" si="20"/>
        <v/>
      </c>
      <c r="H169" s="1043" t="str">
        <f ca="1"/>
        <v/>
      </c>
      <c r="I169" s="1006" t="str">
        <f ca="1"/>
        <v/>
      </c>
      <c r="J169" s="1006" t="str">
        <f ca="1"/>
        <v/>
      </c>
      <c r="K169" s="1016" t="str">
        <f ca="1"/>
        <v/>
      </c>
      <c r="L169" s="1019" t="str">
        <f ca="1"/>
        <v/>
      </c>
      <c r="M169" s="1006" t="str">
        <f ca="1"/>
        <v/>
      </c>
      <c r="N169" s="1060" t="str">
        <f t="shared" ca="1" si="17"/>
        <v/>
      </c>
      <c r="O169" s="996"/>
      <c r="P169" s="742">
        <v>151</v>
      </c>
      <c r="Q169" s="1016" t="str">
        <f t="shared" ca="1" si="21"/>
        <v/>
      </c>
      <c r="R169" s="1027" t="str">
        <f t="shared" ca="1" si="22"/>
        <v/>
      </c>
      <c r="S169" s="1006" t="str">
        <f ca="1"/>
        <v/>
      </c>
      <c r="T169" s="1006" t="str">
        <f ca="1"/>
        <v/>
      </c>
      <c r="U169" s="1006" t="str">
        <f ca="1"/>
        <v/>
      </c>
      <c r="V169" s="1016" t="str">
        <f ca="1"/>
        <v/>
      </c>
      <c r="W169" s="1019" t="str">
        <f ca="1"/>
        <v/>
      </c>
      <c r="X169" s="1006" t="str">
        <f ca="1"/>
        <v/>
      </c>
      <c r="Y169" s="864" t="str">
        <f t="shared" ca="1" si="18"/>
        <v/>
      </c>
      <c r="AA169" s="828">
        <v>151</v>
      </c>
      <c r="AB169" s="750"/>
      <c r="AC169" s="842"/>
      <c r="AD169" s="830"/>
      <c r="AE169" s="839"/>
      <c r="AF169" s="839"/>
      <c r="AG169" s="750"/>
      <c r="AH169" s="840"/>
      <c r="AI169" s="839"/>
      <c r="AJ169" s="841"/>
      <c r="AK169" s="108" t="s">
        <v>12</v>
      </c>
      <c r="AL169" s="847">
        <v>151</v>
      </c>
      <c r="AM169" s="857"/>
      <c r="AN169" s="842"/>
      <c r="AO169" s="839"/>
      <c r="AP169" s="839"/>
      <c r="AQ169" s="839"/>
      <c r="AR169" s="750"/>
      <c r="AS169" s="840"/>
      <c r="AT169" s="839"/>
      <c r="AU169" s="856"/>
      <c r="AV169" s="108" t="s">
        <v>12</v>
      </c>
    </row>
    <row r="170" spans="4:48">
      <c r="D170" s="108" t="s">
        <v>12</v>
      </c>
      <c r="E170" s="742">
        <v>152</v>
      </c>
      <c r="F170" s="1016" t="str">
        <f t="shared" ca="1" si="19"/>
        <v/>
      </c>
      <c r="G170" s="1027" t="str">
        <f t="shared" ca="1" si="20"/>
        <v/>
      </c>
      <c r="H170" s="1043" t="str">
        <f ca="1"/>
        <v/>
      </c>
      <c r="I170" s="1006" t="str">
        <f ca="1"/>
        <v/>
      </c>
      <c r="J170" s="1006" t="str">
        <f ca="1"/>
        <v/>
      </c>
      <c r="K170" s="1016" t="str">
        <f ca="1"/>
        <v/>
      </c>
      <c r="L170" s="1019" t="str">
        <f ca="1"/>
        <v/>
      </c>
      <c r="M170" s="1006" t="str">
        <f ca="1"/>
        <v/>
      </c>
      <c r="N170" s="1060" t="str">
        <f t="shared" ca="1" si="17"/>
        <v/>
      </c>
      <c r="O170" s="996"/>
      <c r="P170" s="742">
        <v>152</v>
      </c>
      <c r="Q170" s="1016" t="str">
        <f t="shared" ca="1" si="21"/>
        <v/>
      </c>
      <c r="R170" s="1027" t="str">
        <f t="shared" ca="1" si="22"/>
        <v/>
      </c>
      <c r="S170" s="1006" t="str">
        <f ca="1"/>
        <v/>
      </c>
      <c r="T170" s="1006" t="str">
        <f ca="1"/>
        <v/>
      </c>
      <c r="U170" s="1006" t="str">
        <f ca="1"/>
        <v/>
      </c>
      <c r="V170" s="1016" t="str">
        <f ca="1"/>
        <v/>
      </c>
      <c r="W170" s="1019" t="str">
        <f ca="1"/>
        <v/>
      </c>
      <c r="X170" s="1006" t="str">
        <f ca="1"/>
        <v/>
      </c>
      <c r="Y170" s="864" t="str">
        <f t="shared" ca="1" si="18"/>
        <v/>
      </c>
      <c r="AA170" s="828">
        <v>152</v>
      </c>
      <c r="AB170" s="750"/>
      <c r="AC170" s="842"/>
      <c r="AD170" s="830"/>
      <c r="AE170" s="839"/>
      <c r="AF170" s="839"/>
      <c r="AG170" s="750"/>
      <c r="AH170" s="840"/>
      <c r="AI170" s="839"/>
      <c r="AJ170" s="841"/>
      <c r="AK170" s="108" t="s">
        <v>12</v>
      </c>
      <c r="AL170" s="847">
        <v>152</v>
      </c>
      <c r="AM170" s="857"/>
      <c r="AN170" s="842"/>
      <c r="AO170" s="839"/>
      <c r="AP170" s="839"/>
      <c r="AQ170" s="839"/>
      <c r="AR170" s="750"/>
      <c r="AS170" s="840"/>
      <c r="AT170" s="839"/>
      <c r="AU170" s="856"/>
      <c r="AV170" s="108" t="s">
        <v>12</v>
      </c>
    </row>
    <row r="171" spans="4:48">
      <c r="D171" s="108" t="s">
        <v>12</v>
      </c>
      <c r="E171" s="742">
        <v>153</v>
      </c>
      <c r="F171" s="1016" t="str">
        <f t="shared" ca="1" si="19"/>
        <v/>
      </c>
      <c r="G171" s="1027" t="str">
        <f t="shared" ca="1" si="20"/>
        <v/>
      </c>
      <c r="H171" s="1043" t="str">
        <f ca="1"/>
        <v/>
      </c>
      <c r="I171" s="1006" t="str">
        <f ca="1"/>
        <v/>
      </c>
      <c r="J171" s="1006" t="str">
        <f ca="1"/>
        <v/>
      </c>
      <c r="K171" s="1016" t="str">
        <f ca="1"/>
        <v/>
      </c>
      <c r="L171" s="1019" t="str">
        <f ca="1"/>
        <v/>
      </c>
      <c r="M171" s="1006" t="str">
        <f ca="1"/>
        <v/>
      </c>
      <c r="N171" s="1060" t="str">
        <f t="shared" ca="1" si="17"/>
        <v/>
      </c>
      <c r="O171" s="996"/>
      <c r="P171" s="742">
        <v>153</v>
      </c>
      <c r="Q171" s="1016" t="str">
        <f t="shared" ca="1" si="21"/>
        <v/>
      </c>
      <c r="R171" s="1027" t="str">
        <f t="shared" ca="1" si="22"/>
        <v/>
      </c>
      <c r="S171" s="1006" t="str">
        <f ca="1"/>
        <v/>
      </c>
      <c r="T171" s="1006" t="str">
        <f ca="1"/>
        <v/>
      </c>
      <c r="U171" s="1006" t="str">
        <f ca="1"/>
        <v/>
      </c>
      <c r="V171" s="1016" t="str">
        <f ca="1"/>
        <v/>
      </c>
      <c r="W171" s="1019" t="str">
        <f ca="1"/>
        <v/>
      </c>
      <c r="X171" s="1006" t="str">
        <f ca="1"/>
        <v/>
      </c>
      <c r="Y171" s="864" t="str">
        <f t="shared" ca="1" si="18"/>
        <v/>
      </c>
      <c r="AA171" s="828">
        <v>153</v>
      </c>
      <c r="AB171" s="750"/>
      <c r="AC171" s="842"/>
      <c r="AD171" s="830"/>
      <c r="AE171" s="839"/>
      <c r="AF171" s="839"/>
      <c r="AG171" s="750"/>
      <c r="AH171" s="840"/>
      <c r="AI171" s="839"/>
      <c r="AJ171" s="841"/>
      <c r="AK171" s="108" t="s">
        <v>12</v>
      </c>
      <c r="AL171" s="847">
        <v>153</v>
      </c>
      <c r="AM171" s="857"/>
      <c r="AN171" s="842"/>
      <c r="AO171" s="839"/>
      <c r="AP171" s="839"/>
      <c r="AQ171" s="839"/>
      <c r="AR171" s="750"/>
      <c r="AS171" s="840"/>
      <c r="AT171" s="839"/>
      <c r="AU171" s="856"/>
      <c r="AV171" s="108" t="s">
        <v>12</v>
      </c>
    </row>
    <row r="172" spans="4:48">
      <c r="D172" s="108" t="s">
        <v>12</v>
      </c>
      <c r="E172" s="742">
        <v>154</v>
      </c>
      <c r="F172" s="1016" t="str">
        <f t="shared" ca="1" si="19"/>
        <v/>
      </c>
      <c r="G172" s="1027" t="str">
        <f t="shared" ca="1" si="20"/>
        <v/>
      </c>
      <c r="H172" s="1043" t="str">
        <f ca="1"/>
        <v/>
      </c>
      <c r="I172" s="1006" t="str">
        <f ca="1"/>
        <v/>
      </c>
      <c r="J172" s="1006" t="str">
        <f ca="1"/>
        <v/>
      </c>
      <c r="K172" s="1016" t="str">
        <f ca="1"/>
        <v/>
      </c>
      <c r="L172" s="1019" t="str">
        <f ca="1"/>
        <v/>
      </c>
      <c r="M172" s="1006" t="str">
        <f ca="1"/>
        <v/>
      </c>
      <c r="N172" s="1060" t="str">
        <f t="shared" ca="1" si="17"/>
        <v/>
      </c>
      <c r="O172" s="996"/>
      <c r="P172" s="742">
        <v>154</v>
      </c>
      <c r="Q172" s="1016" t="str">
        <f t="shared" ca="1" si="21"/>
        <v/>
      </c>
      <c r="R172" s="1027" t="str">
        <f t="shared" ca="1" si="22"/>
        <v/>
      </c>
      <c r="S172" s="1006" t="str">
        <f ca="1"/>
        <v/>
      </c>
      <c r="T172" s="1006" t="str">
        <f ca="1"/>
        <v/>
      </c>
      <c r="U172" s="1006" t="str">
        <f ca="1"/>
        <v/>
      </c>
      <c r="V172" s="1016" t="str">
        <f ca="1"/>
        <v/>
      </c>
      <c r="W172" s="1019" t="str">
        <f ca="1"/>
        <v/>
      </c>
      <c r="X172" s="1006" t="str">
        <f ca="1"/>
        <v/>
      </c>
      <c r="Y172" s="864" t="str">
        <f t="shared" ca="1" si="18"/>
        <v/>
      </c>
      <c r="AA172" s="828">
        <v>154</v>
      </c>
      <c r="AB172" s="750"/>
      <c r="AC172" s="842"/>
      <c r="AD172" s="830"/>
      <c r="AE172" s="839"/>
      <c r="AF172" s="839"/>
      <c r="AG172" s="750"/>
      <c r="AH172" s="840"/>
      <c r="AI172" s="839"/>
      <c r="AJ172" s="841"/>
      <c r="AK172" s="108" t="s">
        <v>12</v>
      </c>
      <c r="AL172" s="847">
        <v>154</v>
      </c>
      <c r="AM172" s="857"/>
      <c r="AN172" s="842"/>
      <c r="AO172" s="839"/>
      <c r="AP172" s="839"/>
      <c r="AQ172" s="839"/>
      <c r="AR172" s="750"/>
      <c r="AS172" s="840"/>
      <c r="AT172" s="839"/>
      <c r="AU172" s="856"/>
      <c r="AV172" s="108" t="s">
        <v>12</v>
      </c>
    </row>
    <row r="173" spans="4:48">
      <c r="D173" s="108" t="s">
        <v>12</v>
      </c>
      <c r="E173" s="742">
        <v>155</v>
      </c>
      <c r="F173" s="1016" t="str">
        <f t="shared" ca="1" si="19"/>
        <v/>
      </c>
      <c r="G173" s="1027" t="str">
        <f t="shared" ca="1" si="20"/>
        <v/>
      </c>
      <c r="H173" s="1043" t="str">
        <f ca="1"/>
        <v/>
      </c>
      <c r="I173" s="1006" t="str">
        <f ca="1"/>
        <v/>
      </c>
      <c r="J173" s="1006" t="str">
        <f ca="1"/>
        <v/>
      </c>
      <c r="K173" s="1016" t="str">
        <f ca="1"/>
        <v/>
      </c>
      <c r="L173" s="1019" t="str">
        <f ca="1"/>
        <v/>
      </c>
      <c r="M173" s="1006" t="str">
        <f ca="1"/>
        <v/>
      </c>
      <c r="N173" s="1060" t="str">
        <f t="shared" ca="1" si="17"/>
        <v/>
      </c>
      <c r="O173" s="996"/>
      <c r="P173" s="742">
        <v>155</v>
      </c>
      <c r="Q173" s="1016" t="str">
        <f t="shared" ca="1" si="21"/>
        <v/>
      </c>
      <c r="R173" s="1027" t="str">
        <f t="shared" ca="1" si="22"/>
        <v/>
      </c>
      <c r="S173" s="1006" t="str">
        <f ca="1"/>
        <v/>
      </c>
      <c r="T173" s="1006" t="str">
        <f ca="1"/>
        <v/>
      </c>
      <c r="U173" s="1006" t="str">
        <f ca="1"/>
        <v/>
      </c>
      <c r="V173" s="1016" t="str">
        <f ca="1"/>
        <v/>
      </c>
      <c r="W173" s="1019" t="str">
        <f ca="1"/>
        <v/>
      </c>
      <c r="X173" s="1006" t="str">
        <f ca="1"/>
        <v/>
      </c>
      <c r="Y173" s="864" t="str">
        <f t="shared" ca="1" si="18"/>
        <v/>
      </c>
      <c r="AA173" s="828">
        <v>155</v>
      </c>
      <c r="AB173" s="750"/>
      <c r="AC173" s="842"/>
      <c r="AD173" s="830"/>
      <c r="AE173" s="839"/>
      <c r="AF173" s="839"/>
      <c r="AG173" s="750"/>
      <c r="AH173" s="840"/>
      <c r="AI173" s="839"/>
      <c r="AJ173" s="841"/>
      <c r="AK173" s="108" t="s">
        <v>12</v>
      </c>
      <c r="AL173" s="847">
        <v>155</v>
      </c>
      <c r="AM173" s="857"/>
      <c r="AN173" s="842"/>
      <c r="AO173" s="839"/>
      <c r="AP173" s="839"/>
      <c r="AQ173" s="839"/>
      <c r="AR173" s="750"/>
      <c r="AS173" s="840"/>
      <c r="AT173" s="839"/>
      <c r="AU173" s="856"/>
      <c r="AV173" s="108" t="s">
        <v>12</v>
      </c>
    </row>
    <row r="174" spans="4:48">
      <c r="D174" s="108" t="s">
        <v>12</v>
      </c>
      <c r="E174" s="742">
        <v>156</v>
      </c>
      <c r="F174" s="1016" t="str">
        <f t="shared" ca="1" si="19"/>
        <v/>
      </c>
      <c r="G174" s="1027" t="str">
        <f t="shared" ca="1" si="20"/>
        <v/>
      </c>
      <c r="H174" s="1043" t="str">
        <f ca="1"/>
        <v/>
      </c>
      <c r="I174" s="1006" t="str">
        <f ca="1"/>
        <v/>
      </c>
      <c r="J174" s="1006" t="str">
        <f ca="1"/>
        <v/>
      </c>
      <c r="K174" s="1016" t="str">
        <f ca="1"/>
        <v/>
      </c>
      <c r="L174" s="1019" t="str">
        <f ca="1"/>
        <v/>
      </c>
      <c r="M174" s="1006" t="str">
        <f ca="1"/>
        <v/>
      </c>
      <c r="N174" s="1060" t="str">
        <f t="shared" ca="1" si="17"/>
        <v/>
      </c>
      <c r="O174" s="996"/>
      <c r="P174" s="742">
        <v>156</v>
      </c>
      <c r="Q174" s="1016" t="str">
        <f t="shared" ca="1" si="21"/>
        <v/>
      </c>
      <c r="R174" s="1027" t="str">
        <f t="shared" ca="1" si="22"/>
        <v/>
      </c>
      <c r="S174" s="1006" t="str">
        <f ca="1"/>
        <v/>
      </c>
      <c r="T174" s="1006" t="str">
        <f ca="1"/>
        <v/>
      </c>
      <c r="U174" s="1006" t="str">
        <f ca="1"/>
        <v/>
      </c>
      <c r="V174" s="1016" t="str">
        <f ca="1"/>
        <v/>
      </c>
      <c r="W174" s="1019" t="str">
        <f ca="1"/>
        <v/>
      </c>
      <c r="X174" s="1006" t="str">
        <f ca="1"/>
        <v/>
      </c>
      <c r="Y174" s="864" t="str">
        <f t="shared" ca="1" si="18"/>
        <v/>
      </c>
      <c r="AA174" s="828">
        <v>156</v>
      </c>
      <c r="AB174" s="750"/>
      <c r="AC174" s="842"/>
      <c r="AD174" s="830"/>
      <c r="AE174" s="839"/>
      <c r="AF174" s="839"/>
      <c r="AG174" s="750"/>
      <c r="AH174" s="840"/>
      <c r="AI174" s="839"/>
      <c r="AJ174" s="841"/>
      <c r="AK174" s="108" t="s">
        <v>12</v>
      </c>
      <c r="AL174" s="847">
        <v>156</v>
      </c>
      <c r="AM174" s="857"/>
      <c r="AN174" s="842"/>
      <c r="AO174" s="839"/>
      <c r="AP174" s="839"/>
      <c r="AQ174" s="839"/>
      <c r="AR174" s="750"/>
      <c r="AS174" s="840"/>
      <c r="AT174" s="839"/>
      <c r="AU174" s="856"/>
      <c r="AV174" s="108" t="s">
        <v>12</v>
      </c>
    </row>
    <row r="175" spans="4:48">
      <c r="D175" s="108" t="s">
        <v>12</v>
      </c>
      <c r="E175" s="742">
        <v>157</v>
      </c>
      <c r="F175" s="1016" t="str">
        <f t="shared" ca="1" si="19"/>
        <v/>
      </c>
      <c r="G175" s="1027" t="str">
        <f t="shared" ca="1" si="20"/>
        <v/>
      </c>
      <c r="H175" s="1043" t="str">
        <f ca="1"/>
        <v/>
      </c>
      <c r="I175" s="1006" t="str">
        <f ca="1"/>
        <v/>
      </c>
      <c r="J175" s="1006" t="str">
        <f ca="1"/>
        <v/>
      </c>
      <c r="K175" s="1016" t="str">
        <f ca="1"/>
        <v/>
      </c>
      <c r="L175" s="1019" t="str">
        <f ca="1"/>
        <v/>
      </c>
      <c r="M175" s="1006" t="str">
        <f ca="1"/>
        <v/>
      </c>
      <c r="N175" s="1060" t="str">
        <f t="shared" ca="1" si="17"/>
        <v/>
      </c>
      <c r="O175" s="996"/>
      <c r="P175" s="742">
        <v>157</v>
      </c>
      <c r="Q175" s="1016" t="str">
        <f t="shared" ca="1" si="21"/>
        <v/>
      </c>
      <c r="R175" s="1027" t="str">
        <f t="shared" ca="1" si="22"/>
        <v/>
      </c>
      <c r="S175" s="1006" t="str">
        <f ca="1"/>
        <v/>
      </c>
      <c r="T175" s="1006" t="str">
        <f ca="1"/>
        <v/>
      </c>
      <c r="U175" s="1006" t="str">
        <f ca="1"/>
        <v/>
      </c>
      <c r="V175" s="1016" t="str">
        <f ca="1"/>
        <v/>
      </c>
      <c r="W175" s="1019" t="str">
        <f ca="1"/>
        <v/>
      </c>
      <c r="X175" s="1006" t="str">
        <f ca="1"/>
        <v/>
      </c>
      <c r="Y175" s="864" t="str">
        <f t="shared" ca="1" si="18"/>
        <v/>
      </c>
      <c r="AA175" s="828">
        <v>157</v>
      </c>
      <c r="AB175" s="750"/>
      <c r="AC175" s="842"/>
      <c r="AD175" s="830"/>
      <c r="AE175" s="839"/>
      <c r="AF175" s="839"/>
      <c r="AG175" s="750"/>
      <c r="AH175" s="840"/>
      <c r="AI175" s="839"/>
      <c r="AJ175" s="841"/>
      <c r="AK175" s="108" t="s">
        <v>12</v>
      </c>
      <c r="AL175" s="847">
        <v>157</v>
      </c>
      <c r="AM175" s="857"/>
      <c r="AN175" s="842"/>
      <c r="AO175" s="839"/>
      <c r="AP175" s="839"/>
      <c r="AQ175" s="839"/>
      <c r="AR175" s="750"/>
      <c r="AS175" s="840"/>
      <c r="AT175" s="839"/>
      <c r="AU175" s="856"/>
      <c r="AV175" s="108" t="s">
        <v>12</v>
      </c>
    </row>
    <row r="176" spans="4:48">
      <c r="D176" s="108" t="s">
        <v>12</v>
      </c>
      <c r="E176" s="742">
        <v>158</v>
      </c>
      <c r="F176" s="1016" t="str">
        <f t="shared" ca="1" si="19"/>
        <v/>
      </c>
      <c r="G176" s="1027" t="str">
        <f t="shared" ca="1" si="20"/>
        <v/>
      </c>
      <c r="H176" s="1043" t="str">
        <f ca="1"/>
        <v/>
      </c>
      <c r="I176" s="1006" t="str">
        <f ca="1"/>
        <v/>
      </c>
      <c r="J176" s="1006" t="str">
        <f ca="1"/>
        <v/>
      </c>
      <c r="K176" s="1016" t="str">
        <f ca="1"/>
        <v/>
      </c>
      <c r="L176" s="1019" t="str">
        <f ca="1"/>
        <v/>
      </c>
      <c r="M176" s="1006" t="str">
        <f ca="1"/>
        <v/>
      </c>
      <c r="N176" s="1060" t="str">
        <f t="shared" ca="1" si="17"/>
        <v/>
      </c>
      <c r="O176" s="996"/>
      <c r="P176" s="742">
        <v>158</v>
      </c>
      <c r="Q176" s="1016" t="str">
        <f t="shared" ca="1" si="21"/>
        <v/>
      </c>
      <c r="R176" s="1027" t="str">
        <f t="shared" ca="1" si="22"/>
        <v/>
      </c>
      <c r="S176" s="1006" t="str">
        <f ca="1"/>
        <v/>
      </c>
      <c r="T176" s="1006" t="str">
        <f ca="1"/>
        <v/>
      </c>
      <c r="U176" s="1006" t="str">
        <f ca="1"/>
        <v/>
      </c>
      <c r="V176" s="1016" t="str">
        <f ca="1"/>
        <v/>
      </c>
      <c r="W176" s="1019" t="str">
        <f ca="1"/>
        <v/>
      </c>
      <c r="X176" s="1006" t="str">
        <f ca="1"/>
        <v/>
      </c>
      <c r="Y176" s="864" t="str">
        <f t="shared" ca="1" si="18"/>
        <v/>
      </c>
      <c r="AA176" s="828">
        <v>158</v>
      </c>
      <c r="AB176" s="750"/>
      <c r="AC176" s="842"/>
      <c r="AD176" s="830"/>
      <c r="AE176" s="839"/>
      <c r="AF176" s="839"/>
      <c r="AG176" s="750"/>
      <c r="AH176" s="840"/>
      <c r="AI176" s="839"/>
      <c r="AJ176" s="841"/>
      <c r="AK176" s="108" t="s">
        <v>12</v>
      </c>
      <c r="AL176" s="847">
        <v>158</v>
      </c>
      <c r="AM176" s="857"/>
      <c r="AN176" s="842"/>
      <c r="AO176" s="839"/>
      <c r="AP176" s="839"/>
      <c r="AQ176" s="839"/>
      <c r="AR176" s="750"/>
      <c r="AS176" s="840"/>
      <c r="AT176" s="839"/>
      <c r="AU176" s="856"/>
      <c r="AV176" s="108" t="s">
        <v>12</v>
      </c>
    </row>
    <row r="177" spans="4:48">
      <c r="D177" s="108" t="s">
        <v>12</v>
      </c>
      <c r="E177" s="742">
        <v>159</v>
      </c>
      <c r="F177" s="1016" t="str">
        <f t="shared" ca="1" si="19"/>
        <v/>
      </c>
      <c r="G177" s="1027" t="str">
        <f t="shared" ca="1" si="20"/>
        <v/>
      </c>
      <c r="H177" s="1043" t="str">
        <f ca="1"/>
        <v/>
      </c>
      <c r="I177" s="1006" t="str">
        <f ca="1"/>
        <v/>
      </c>
      <c r="J177" s="1006" t="str">
        <f ca="1"/>
        <v/>
      </c>
      <c r="K177" s="1016" t="str">
        <f ca="1"/>
        <v/>
      </c>
      <c r="L177" s="1019" t="str">
        <f ca="1"/>
        <v/>
      </c>
      <c r="M177" s="1006" t="str">
        <f ca="1"/>
        <v/>
      </c>
      <c r="N177" s="1060" t="str">
        <f t="shared" ca="1" si="17"/>
        <v/>
      </c>
      <c r="O177" s="996"/>
      <c r="P177" s="742">
        <v>159</v>
      </c>
      <c r="Q177" s="1016" t="str">
        <f t="shared" ca="1" si="21"/>
        <v/>
      </c>
      <c r="R177" s="1027" t="str">
        <f t="shared" ca="1" si="22"/>
        <v/>
      </c>
      <c r="S177" s="1006" t="str">
        <f ca="1"/>
        <v/>
      </c>
      <c r="T177" s="1006" t="str">
        <f ca="1"/>
        <v/>
      </c>
      <c r="U177" s="1006" t="str">
        <f ca="1"/>
        <v/>
      </c>
      <c r="V177" s="1016" t="str">
        <f ca="1"/>
        <v/>
      </c>
      <c r="W177" s="1019" t="str">
        <f ca="1"/>
        <v/>
      </c>
      <c r="X177" s="1006" t="str">
        <f ca="1"/>
        <v/>
      </c>
      <c r="Y177" s="864" t="str">
        <f t="shared" ca="1" si="18"/>
        <v/>
      </c>
      <c r="AA177" s="828">
        <v>159</v>
      </c>
      <c r="AB177" s="750"/>
      <c r="AC177" s="842"/>
      <c r="AD177" s="830"/>
      <c r="AE177" s="839"/>
      <c r="AF177" s="839"/>
      <c r="AG177" s="750"/>
      <c r="AH177" s="840"/>
      <c r="AI177" s="839"/>
      <c r="AJ177" s="841"/>
      <c r="AK177" s="108" t="s">
        <v>12</v>
      </c>
      <c r="AL177" s="847">
        <v>159</v>
      </c>
      <c r="AM177" s="857"/>
      <c r="AN177" s="842"/>
      <c r="AO177" s="839"/>
      <c r="AP177" s="839"/>
      <c r="AQ177" s="839"/>
      <c r="AR177" s="750"/>
      <c r="AS177" s="840"/>
      <c r="AT177" s="839"/>
      <c r="AU177" s="856"/>
      <c r="AV177" s="108" t="s">
        <v>12</v>
      </c>
    </row>
    <row r="178" spans="4:48">
      <c r="D178" s="108" t="s">
        <v>12</v>
      </c>
      <c r="E178" s="742">
        <v>160</v>
      </c>
      <c r="F178" s="1016" t="str">
        <f t="shared" ca="1" si="19"/>
        <v/>
      </c>
      <c r="G178" s="1027" t="str">
        <f t="shared" ca="1" si="20"/>
        <v/>
      </c>
      <c r="H178" s="1043" t="str">
        <f ca="1"/>
        <v/>
      </c>
      <c r="I178" s="1006" t="str">
        <f ca="1"/>
        <v/>
      </c>
      <c r="J178" s="1006" t="str">
        <f ca="1"/>
        <v/>
      </c>
      <c r="K178" s="1016" t="str">
        <f ca="1"/>
        <v/>
      </c>
      <c r="L178" s="1019" t="str">
        <f ca="1"/>
        <v/>
      </c>
      <c r="M178" s="1006" t="str">
        <f ca="1"/>
        <v/>
      </c>
      <c r="N178" s="1060" t="str">
        <f t="shared" ca="1" si="17"/>
        <v/>
      </c>
      <c r="O178" s="996"/>
      <c r="P178" s="742">
        <v>160</v>
      </c>
      <c r="Q178" s="1016" t="str">
        <f t="shared" ca="1" si="21"/>
        <v/>
      </c>
      <c r="R178" s="1027" t="str">
        <f t="shared" ca="1" si="22"/>
        <v/>
      </c>
      <c r="S178" s="1006" t="str">
        <f ca="1"/>
        <v/>
      </c>
      <c r="T178" s="1006" t="str">
        <f ca="1"/>
        <v/>
      </c>
      <c r="U178" s="1006" t="str">
        <f ca="1"/>
        <v/>
      </c>
      <c r="V178" s="1016" t="str">
        <f ca="1"/>
        <v/>
      </c>
      <c r="W178" s="1019" t="str">
        <f ca="1"/>
        <v/>
      </c>
      <c r="X178" s="1006" t="str">
        <f ca="1"/>
        <v/>
      </c>
      <c r="Y178" s="864" t="str">
        <f t="shared" ca="1" si="18"/>
        <v/>
      </c>
      <c r="AA178" s="828">
        <v>160</v>
      </c>
      <c r="AB178" s="750"/>
      <c r="AC178" s="842"/>
      <c r="AD178" s="830"/>
      <c r="AE178" s="839"/>
      <c r="AF178" s="839"/>
      <c r="AG178" s="750"/>
      <c r="AH178" s="840"/>
      <c r="AI178" s="839"/>
      <c r="AJ178" s="841"/>
      <c r="AK178" s="108" t="s">
        <v>12</v>
      </c>
      <c r="AL178" s="847">
        <v>160</v>
      </c>
      <c r="AM178" s="857"/>
      <c r="AN178" s="842"/>
      <c r="AO178" s="839"/>
      <c r="AP178" s="839"/>
      <c r="AQ178" s="839"/>
      <c r="AR178" s="750"/>
      <c r="AS178" s="840"/>
      <c r="AT178" s="839"/>
      <c r="AU178" s="856"/>
      <c r="AV178" s="108" t="s">
        <v>12</v>
      </c>
    </row>
    <row r="179" spans="4:48">
      <c r="D179" s="108" t="s">
        <v>12</v>
      </c>
      <c r="E179" s="742">
        <v>161</v>
      </c>
      <c r="F179" s="1016" t="str">
        <f t="shared" ca="1" si="19"/>
        <v/>
      </c>
      <c r="G179" s="1027" t="str">
        <f t="shared" ca="1" si="20"/>
        <v/>
      </c>
      <c r="H179" s="1043" t="str">
        <f ca="1"/>
        <v/>
      </c>
      <c r="I179" s="1006" t="str">
        <f ca="1"/>
        <v/>
      </c>
      <c r="J179" s="1006" t="str">
        <f ca="1"/>
        <v/>
      </c>
      <c r="K179" s="1016" t="str">
        <f ca="1"/>
        <v/>
      </c>
      <c r="L179" s="1019" t="str">
        <f ca="1"/>
        <v/>
      </c>
      <c r="M179" s="1006" t="str">
        <f ca="1"/>
        <v/>
      </c>
      <c r="N179" s="1060" t="str">
        <f t="shared" ca="1" si="17"/>
        <v/>
      </c>
      <c r="O179" s="996"/>
      <c r="P179" s="742">
        <v>161</v>
      </c>
      <c r="Q179" s="1016" t="str">
        <f t="shared" ca="1" si="21"/>
        <v/>
      </c>
      <c r="R179" s="1027" t="str">
        <f t="shared" ca="1" si="22"/>
        <v/>
      </c>
      <c r="S179" s="1006" t="str">
        <f ca="1"/>
        <v/>
      </c>
      <c r="T179" s="1006" t="str">
        <f ca="1"/>
        <v/>
      </c>
      <c r="U179" s="1006" t="str">
        <f ca="1"/>
        <v/>
      </c>
      <c r="V179" s="1016" t="str">
        <f ca="1"/>
        <v/>
      </c>
      <c r="W179" s="1019" t="str">
        <f ca="1"/>
        <v/>
      </c>
      <c r="X179" s="1006" t="str">
        <f ca="1"/>
        <v/>
      </c>
      <c r="Y179" s="864" t="str">
        <f t="shared" ca="1" si="18"/>
        <v/>
      </c>
      <c r="AA179" s="828">
        <v>161</v>
      </c>
      <c r="AB179" s="750"/>
      <c r="AC179" s="842"/>
      <c r="AD179" s="830"/>
      <c r="AE179" s="839"/>
      <c r="AF179" s="839"/>
      <c r="AG179" s="750"/>
      <c r="AH179" s="840"/>
      <c r="AI179" s="839"/>
      <c r="AJ179" s="841"/>
      <c r="AK179" s="108" t="s">
        <v>12</v>
      </c>
      <c r="AL179" s="847">
        <v>161</v>
      </c>
      <c r="AM179" s="857"/>
      <c r="AN179" s="842"/>
      <c r="AO179" s="839"/>
      <c r="AP179" s="839"/>
      <c r="AQ179" s="839"/>
      <c r="AR179" s="750"/>
      <c r="AS179" s="840"/>
      <c r="AT179" s="839"/>
      <c r="AU179" s="856"/>
      <c r="AV179" s="108" t="s">
        <v>12</v>
      </c>
    </row>
    <row r="180" spans="4:48">
      <c r="D180" s="108" t="s">
        <v>12</v>
      </c>
      <c r="E180" s="742">
        <v>162</v>
      </c>
      <c r="F180" s="1016" t="str">
        <f t="shared" ca="1" si="19"/>
        <v/>
      </c>
      <c r="G180" s="1027" t="str">
        <f t="shared" ca="1" si="20"/>
        <v/>
      </c>
      <c r="H180" s="1043" t="str">
        <f ca="1"/>
        <v/>
      </c>
      <c r="I180" s="1006" t="str">
        <f ca="1"/>
        <v/>
      </c>
      <c r="J180" s="1006" t="str">
        <f ca="1"/>
        <v/>
      </c>
      <c r="K180" s="1016" t="str">
        <f ca="1"/>
        <v/>
      </c>
      <c r="L180" s="1019" t="str">
        <f ca="1"/>
        <v/>
      </c>
      <c r="M180" s="1006" t="str">
        <f ca="1"/>
        <v/>
      </c>
      <c r="N180" s="1060" t="str">
        <f t="shared" ca="1" si="17"/>
        <v/>
      </c>
      <c r="O180" s="996"/>
      <c r="P180" s="742">
        <v>162</v>
      </c>
      <c r="Q180" s="1016" t="str">
        <f t="shared" ca="1" si="21"/>
        <v/>
      </c>
      <c r="R180" s="1027" t="str">
        <f t="shared" ca="1" si="22"/>
        <v/>
      </c>
      <c r="S180" s="1006" t="str">
        <f ca="1"/>
        <v/>
      </c>
      <c r="T180" s="1006" t="str">
        <f ca="1"/>
        <v/>
      </c>
      <c r="U180" s="1006" t="str">
        <f ca="1"/>
        <v/>
      </c>
      <c r="V180" s="1016" t="str">
        <f ca="1"/>
        <v/>
      </c>
      <c r="W180" s="1019" t="str">
        <f ca="1"/>
        <v/>
      </c>
      <c r="X180" s="1006" t="str">
        <f ca="1"/>
        <v/>
      </c>
      <c r="Y180" s="864" t="str">
        <f t="shared" ca="1" si="18"/>
        <v/>
      </c>
      <c r="AA180" s="828">
        <v>162</v>
      </c>
      <c r="AB180" s="750"/>
      <c r="AC180" s="842"/>
      <c r="AD180" s="830"/>
      <c r="AE180" s="839"/>
      <c r="AF180" s="839"/>
      <c r="AG180" s="750"/>
      <c r="AH180" s="840"/>
      <c r="AI180" s="839"/>
      <c r="AJ180" s="841"/>
      <c r="AK180" s="108" t="s">
        <v>12</v>
      </c>
      <c r="AL180" s="847">
        <v>162</v>
      </c>
      <c r="AM180" s="857"/>
      <c r="AN180" s="842"/>
      <c r="AO180" s="839"/>
      <c r="AP180" s="839"/>
      <c r="AQ180" s="839"/>
      <c r="AR180" s="750"/>
      <c r="AS180" s="840"/>
      <c r="AT180" s="839"/>
      <c r="AU180" s="856"/>
      <c r="AV180" s="108" t="s">
        <v>12</v>
      </c>
    </row>
    <row r="181" spans="4:48">
      <c r="D181" s="108" t="s">
        <v>12</v>
      </c>
      <c r="E181" s="742">
        <v>163</v>
      </c>
      <c r="F181" s="1016" t="str">
        <f t="shared" ca="1" si="19"/>
        <v/>
      </c>
      <c r="G181" s="1027" t="str">
        <f t="shared" ca="1" si="20"/>
        <v/>
      </c>
      <c r="H181" s="1043" t="str">
        <f ca="1"/>
        <v/>
      </c>
      <c r="I181" s="1006" t="str">
        <f ca="1"/>
        <v/>
      </c>
      <c r="J181" s="1006" t="str">
        <f ca="1"/>
        <v/>
      </c>
      <c r="K181" s="1016" t="str">
        <f ca="1"/>
        <v/>
      </c>
      <c r="L181" s="1019" t="str">
        <f ca="1"/>
        <v/>
      </c>
      <c r="M181" s="1006" t="str">
        <f ca="1"/>
        <v/>
      </c>
      <c r="N181" s="1060" t="str">
        <f t="shared" ca="1" si="17"/>
        <v/>
      </c>
      <c r="O181" s="996"/>
      <c r="P181" s="742">
        <v>163</v>
      </c>
      <c r="Q181" s="1016" t="str">
        <f t="shared" ca="1" si="21"/>
        <v/>
      </c>
      <c r="R181" s="1027" t="str">
        <f t="shared" ca="1" si="22"/>
        <v/>
      </c>
      <c r="S181" s="1006" t="str">
        <f ca="1"/>
        <v/>
      </c>
      <c r="T181" s="1006" t="str">
        <f ca="1"/>
        <v/>
      </c>
      <c r="U181" s="1006" t="str">
        <f ca="1"/>
        <v/>
      </c>
      <c r="V181" s="1016" t="str">
        <f ca="1"/>
        <v/>
      </c>
      <c r="W181" s="1019" t="str">
        <f ca="1"/>
        <v/>
      </c>
      <c r="X181" s="1006" t="str">
        <f ca="1"/>
        <v/>
      </c>
      <c r="Y181" s="864" t="str">
        <f t="shared" ca="1" si="18"/>
        <v/>
      </c>
      <c r="AA181" s="828">
        <v>163</v>
      </c>
      <c r="AB181" s="750"/>
      <c r="AC181" s="842"/>
      <c r="AD181" s="830"/>
      <c r="AE181" s="839"/>
      <c r="AF181" s="839"/>
      <c r="AG181" s="750"/>
      <c r="AH181" s="840"/>
      <c r="AI181" s="839"/>
      <c r="AJ181" s="841"/>
      <c r="AK181" s="108" t="s">
        <v>12</v>
      </c>
      <c r="AL181" s="847">
        <v>163</v>
      </c>
      <c r="AM181" s="857"/>
      <c r="AN181" s="842"/>
      <c r="AO181" s="839"/>
      <c r="AP181" s="839"/>
      <c r="AQ181" s="839"/>
      <c r="AR181" s="750"/>
      <c r="AS181" s="840"/>
      <c r="AT181" s="839"/>
      <c r="AU181" s="856"/>
      <c r="AV181" s="108" t="s">
        <v>12</v>
      </c>
    </row>
    <row r="182" spans="4:48">
      <c r="D182" s="108" t="s">
        <v>12</v>
      </c>
      <c r="E182" s="742">
        <v>164</v>
      </c>
      <c r="F182" s="1016" t="str">
        <f t="shared" ca="1" si="19"/>
        <v/>
      </c>
      <c r="G182" s="1027" t="str">
        <f t="shared" ca="1" si="20"/>
        <v/>
      </c>
      <c r="H182" s="1043" t="str">
        <f ca="1"/>
        <v/>
      </c>
      <c r="I182" s="1006" t="str">
        <f ca="1"/>
        <v/>
      </c>
      <c r="J182" s="1006" t="str">
        <f ca="1"/>
        <v/>
      </c>
      <c r="K182" s="1016" t="str">
        <f ca="1"/>
        <v/>
      </c>
      <c r="L182" s="1019" t="str">
        <f ca="1"/>
        <v/>
      </c>
      <c r="M182" s="1006" t="str">
        <f ca="1"/>
        <v/>
      </c>
      <c r="N182" s="1060" t="str">
        <f t="shared" ca="1" si="17"/>
        <v/>
      </c>
      <c r="O182" s="996"/>
      <c r="P182" s="742">
        <v>164</v>
      </c>
      <c r="Q182" s="1016" t="str">
        <f t="shared" ca="1" si="21"/>
        <v/>
      </c>
      <c r="R182" s="1027" t="str">
        <f t="shared" ca="1" si="22"/>
        <v/>
      </c>
      <c r="S182" s="1006" t="str">
        <f ca="1"/>
        <v/>
      </c>
      <c r="T182" s="1006" t="str">
        <f ca="1"/>
        <v/>
      </c>
      <c r="U182" s="1006" t="str">
        <f ca="1"/>
        <v/>
      </c>
      <c r="V182" s="1016" t="str">
        <f ca="1"/>
        <v/>
      </c>
      <c r="W182" s="1019" t="str">
        <f ca="1"/>
        <v/>
      </c>
      <c r="X182" s="1006" t="str">
        <f ca="1"/>
        <v/>
      </c>
      <c r="Y182" s="864" t="str">
        <f t="shared" ca="1" si="18"/>
        <v/>
      </c>
      <c r="AA182" s="828">
        <v>164</v>
      </c>
      <c r="AB182" s="750"/>
      <c r="AC182" s="842"/>
      <c r="AD182" s="830"/>
      <c r="AE182" s="839"/>
      <c r="AF182" s="839"/>
      <c r="AG182" s="750"/>
      <c r="AH182" s="840"/>
      <c r="AI182" s="839"/>
      <c r="AJ182" s="841"/>
      <c r="AK182" s="108" t="s">
        <v>12</v>
      </c>
      <c r="AL182" s="847">
        <v>164</v>
      </c>
      <c r="AM182" s="857"/>
      <c r="AN182" s="842"/>
      <c r="AO182" s="839"/>
      <c r="AP182" s="839"/>
      <c r="AQ182" s="839"/>
      <c r="AR182" s="750"/>
      <c r="AS182" s="840"/>
      <c r="AT182" s="839"/>
      <c r="AU182" s="856"/>
      <c r="AV182" s="108" t="s">
        <v>12</v>
      </c>
    </row>
    <row r="183" spans="4:48">
      <c r="D183" s="108" t="s">
        <v>12</v>
      </c>
      <c r="E183" s="742">
        <v>165</v>
      </c>
      <c r="F183" s="1016" t="str">
        <f t="shared" ca="1" si="19"/>
        <v/>
      </c>
      <c r="G183" s="1027" t="str">
        <f t="shared" ca="1" si="20"/>
        <v/>
      </c>
      <c r="H183" s="1043" t="str">
        <f ca="1"/>
        <v/>
      </c>
      <c r="I183" s="1006" t="str">
        <f ca="1"/>
        <v/>
      </c>
      <c r="J183" s="1006" t="str">
        <f ca="1"/>
        <v/>
      </c>
      <c r="K183" s="1016" t="str">
        <f ca="1"/>
        <v/>
      </c>
      <c r="L183" s="1019" t="str">
        <f ca="1"/>
        <v/>
      </c>
      <c r="M183" s="1006" t="str">
        <f ca="1"/>
        <v/>
      </c>
      <c r="N183" s="1060" t="str">
        <f t="shared" ca="1" si="17"/>
        <v/>
      </c>
      <c r="O183" s="996"/>
      <c r="P183" s="742">
        <v>165</v>
      </c>
      <c r="Q183" s="1016" t="str">
        <f t="shared" ca="1" si="21"/>
        <v/>
      </c>
      <c r="R183" s="1027" t="str">
        <f t="shared" ca="1" si="22"/>
        <v/>
      </c>
      <c r="S183" s="1006" t="str">
        <f ca="1"/>
        <v/>
      </c>
      <c r="T183" s="1006" t="str">
        <f ca="1"/>
        <v/>
      </c>
      <c r="U183" s="1006" t="str">
        <f ca="1"/>
        <v/>
      </c>
      <c r="V183" s="1016" t="str">
        <f ca="1"/>
        <v/>
      </c>
      <c r="W183" s="1019" t="str">
        <f ca="1"/>
        <v/>
      </c>
      <c r="X183" s="1006" t="str">
        <f ca="1"/>
        <v/>
      </c>
      <c r="Y183" s="864" t="str">
        <f t="shared" ca="1" si="18"/>
        <v/>
      </c>
      <c r="AA183" s="828">
        <v>165</v>
      </c>
      <c r="AB183" s="750"/>
      <c r="AC183" s="842"/>
      <c r="AD183" s="830"/>
      <c r="AE183" s="839"/>
      <c r="AF183" s="839"/>
      <c r="AG183" s="750"/>
      <c r="AH183" s="840"/>
      <c r="AI183" s="839"/>
      <c r="AJ183" s="841"/>
      <c r="AK183" s="108" t="s">
        <v>12</v>
      </c>
      <c r="AL183" s="847">
        <v>165</v>
      </c>
      <c r="AM183" s="857"/>
      <c r="AN183" s="842"/>
      <c r="AO183" s="839"/>
      <c r="AP183" s="839"/>
      <c r="AQ183" s="839"/>
      <c r="AR183" s="750"/>
      <c r="AS183" s="840"/>
      <c r="AT183" s="839"/>
      <c r="AU183" s="856"/>
      <c r="AV183" s="108" t="s">
        <v>12</v>
      </c>
    </row>
    <row r="184" spans="4:48">
      <c r="D184" s="108" t="s">
        <v>12</v>
      </c>
      <c r="E184" s="742">
        <v>166</v>
      </c>
      <c r="F184" s="1016" t="str">
        <f t="shared" ca="1" si="19"/>
        <v/>
      </c>
      <c r="G184" s="1027" t="str">
        <f t="shared" ca="1" si="20"/>
        <v/>
      </c>
      <c r="H184" s="1043" t="str">
        <f ca="1"/>
        <v/>
      </c>
      <c r="I184" s="1006" t="str">
        <f ca="1"/>
        <v/>
      </c>
      <c r="J184" s="1006" t="str">
        <f ca="1"/>
        <v/>
      </c>
      <c r="K184" s="1016" t="str">
        <f ca="1"/>
        <v/>
      </c>
      <c r="L184" s="1019" t="str">
        <f ca="1"/>
        <v/>
      </c>
      <c r="M184" s="1006" t="str">
        <f ca="1"/>
        <v/>
      </c>
      <c r="N184" s="1060" t="str">
        <f t="shared" ca="1" si="17"/>
        <v/>
      </c>
      <c r="O184" s="996"/>
      <c r="P184" s="742">
        <v>166</v>
      </c>
      <c r="Q184" s="1016" t="str">
        <f t="shared" ca="1" si="21"/>
        <v/>
      </c>
      <c r="R184" s="1027" t="str">
        <f t="shared" ca="1" si="22"/>
        <v/>
      </c>
      <c r="S184" s="1006" t="str">
        <f ca="1"/>
        <v/>
      </c>
      <c r="T184" s="1006" t="str">
        <f ca="1"/>
        <v/>
      </c>
      <c r="U184" s="1006" t="str">
        <f ca="1"/>
        <v/>
      </c>
      <c r="V184" s="1016" t="str">
        <f ca="1"/>
        <v/>
      </c>
      <c r="W184" s="1019" t="str">
        <f ca="1"/>
        <v/>
      </c>
      <c r="X184" s="1006" t="str">
        <f ca="1"/>
        <v/>
      </c>
      <c r="Y184" s="864" t="str">
        <f t="shared" ca="1" si="18"/>
        <v/>
      </c>
      <c r="AA184" s="828">
        <v>166</v>
      </c>
      <c r="AB184" s="750"/>
      <c r="AC184" s="842"/>
      <c r="AD184" s="830"/>
      <c r="AE184" s="839"/>
      <c r="AF184" s="839"/>
      <c r="AG184" s="750"/>
      <c r="AH184" s="840"/>
      <c r="AI184" s="839"/>
      <c r="AJ184" s="841"/>
      <c r="AK184" s="108" t="s">
        <v>12</v>
      </c>
      <c r="AL184" s="847">
        <v>166</v>
      </c>
      <c r="AM184" s="857"/>
      <c r="AN184" s="842"/>
      <c r="AO184" s="839"/>
      <c r="AP184" s="839"/>
      <c r="AQ184" s="839"/>
      <c r="AR184" s="750"/>
      <c r="AS184" s="840"/>
      <c r="AT184" s="839"/>
      <c r="AU184" s="856"/>
      <c r="AV184" s="108" t="s">
        <v>12</v>
      </c>
    </row>
    <row r="185" spans="4:48">
      <c r="D185" s="108" t="s">
        <v>12</v>
      </c>
      <c r="E185" s="742">
        <v>167</v>
      </c>
      <c r="F185" s="1016" t="str">
        <f t="shared" ca="1" si="19"/>
        <v/>
      </c>
      <c r="G185" s="1027" t="str">
        <f t="shared" ca="1" si="20"/>
        <v/>
      </c>
      <c r="H185" s="1043" t="str">
        <f ca="1"/>
        <v/>
      </c>
      <c r="I185" s="1006" t="str">
        <f ca="1"/>
        <v/>
      </c>
      <c r="J185" s="1006" t="str">
        <f ca="1"/>
        <v/>
      </c>
      <c r="K185" s="1016" t="str">
        <f ca="1"/>
        <v/>
      </c>
      <c r="L185" s="1019" t="str">
        <f ca="1"/>
        <v/>
      </c>
      <c r="M185" s="1006" t="str">
        <f ca="1"/>
        <v/>
      </c>
      <c r="N185" s="1060" t="str">
        <f t="shared" ca="1" si="17"/>
        <v/>
      </c>
      <c r="O185" s="996"/>
      <c r="P185" s="742">
        <v>167</v>
      </c>
      <c r="Q185" s="1016" t="str">
        <f t="shared" ca="1" si="21"/>
        <v/>
      </c>
      <c r="R185" s="1027" t="str">
        <f t="shared" ca="1" si="22"/>
        <v/>
      </c>
      <c r="S185" s="1006" t="str">
        <f ca="1"/>
        <v/>
      </c>
      <c r="T185" s="1006" t="str">
        <f ca="1"/>
        <v/>
      </c>
      <c r="U185" s="1006" t="str">
        <f ca="1"/>
        <v/>
      </c>
      <c r="V185" s="1016" t="str">
        <f ca="1"/>
        <v/>
      </c>
      <c r="W185" s="1019" t="str">
        <f ca="1"/>
        <v/>
      </c>
      <c r="X185" s="1006" t="str">
        <f ca="1"/>
        <v/>
      </c>
      <c r="Y185" s="864" t="str">
        <f t="shared" ca="1" si="18"/>
        <v/>
      </c>
      <c r="AA185" s="828">
        <v>167</v>
      </c>
      <c r="AB185" s="750"/>
      <c r="AC185" s="842"/>
      <c r="AD185" s="830"/>
      <c r="AE185" s="839"/>
      <c r="AF185" s="839"/>
      <c r="AG185" s="750"/>
      <c r="AH185" s="840"/>
      <c r="AI185" s="839"/>
      <c r="AJ185" s="841"/>
      <c r="AK185" s="108" t="s">
        <v>12</v>
      </c>
      <c r="AL185" s="847">
        <v>167</v>
      </c>
      <c r="AM185" s="857"/>
      <c r="AN185" s="842"/>
      <c r="AO185" s="839"/>
      <c r="AP185" s="839"/>
      <c r="AQ185" s="839"/>
      <c r="AR185" s="750"/>
      <c r="AS185" s="840"/>
      <c r="AT185" s="839"/>
      <c r="AU185" s="856"/>
      <c r="AV185" s="108" t="s">
        <v>12</v>
      </c>
    </row>
    <row r="186" spans="4:48">
      <c r="D186" s="108" t="s">
        <v>12</v>
      </c>
      <c r="E186" s="742">
        <v>168</v>
      </c>
      <c r="F186" s="1016" t="str">
        <f t="shared" ca="1" si="19"/>
        <v/>
      </c>
      <c r="G186" s="1027" t="str">
        <f t="shared" ca="1" si="20"/>
        <v/>
      </c>
      <c r="H186" s="1043" t="str">
        <f ca="1"/>
        <v/>
      </c>
      <c r="I186" s="1006" t="str">
        <f ca="1"/>
        <v/>
      </c>
      <c r="J186" s="1006" t="str">
        <f ca="1"/>
        <v/>
      </c>
      <c r="K186" s="1016" t="str">
        <f ca="1"/>
        <v/>
      </c>
      <c r="L186" s="1019" t="str">
        <f ca="1"/>
        <v/>
      </c>
      <c r="M186" s="1006" t="str">
        <f ca="1"/>
        <v/>
      </c>
      <c r="N186" s="1060" t="str">
        <f t="shared" ca="1" si="17"/>
        <v/>
      </c>
      <c r="O186" s="996"/>
      <c r="P186" s="742">
        <v>168</v>
      </c>
      <c r="Q186" s="1016" t="str">
        <f t="shared" ca="1" si="21"/>
        <v/>
      </c>
      <c r="R186" s="1027" t="str">
        <f t="shared" ca="1" si="22"/>
        <v/>
      </c>
      <c r="S186" s="1006" t="str">
        <f ca="1"/>
        <v/>
      </c>
      <c r="T186" s="1006" t="str">
        <f ca="1"/>
        <v/>
      </c>
      <c r="U186" s="1006" t="str">
        <f ca="1"/>
        <v/>
      </c>
      <c r="V186" s="1016" t="str">
        <f ca="1"/>
        <v/>
      </c>
      <c r="W186" s="1019" t="str">
        <f ca="1"/>
        <v/>
      </c>
      <c r="X186" s="1006" t="str">
        <f ca="1"/>
        <v/>
      </c>
      <c r="Y186" s="864" t="str">
        <f t="shared" ca="1" si="18"/>
        <v/>
      </c>
      <c r="AA186" s="828">
        <v>168</v>
      </c>
      <c r="AB186" s="750"/>
      <c r="AC186" s="842"/>
      <c r="AD186" s="830"/>
      <c r="AE186" s="839"/>
      <c r="AF186" s="839"/>
      <c r="AG186" s="750"/>
      <c r="AH186" s="840"/>
      <c r="AI186" s="839"/>
      <c r="AJ186" s="841"/>
      <c r="AK186" s="108" t="s">
        <v>12</v>
      </c>
      <c r="AL186" s="847">
        <v>168</v>
      </c>
      <c r="AM186" s="857"/>
      <c r="AN186" s="842"/>
      <c r="AO186" s="839"/>
      <c r="AP186" s="839"/>
      <c r="AQ186" s="839"/>
      <c r="AR186" s="750"/>
      <c r="AS186" s="840"/>
      <c r="AT186" s="839"/>
      <c r="AU186" s="856"/>
      <c r="AV186" s="108" t="s">
        <v>12</v>
      </c>
    </row>
    <row r="187" spans="4:48">
      <c r="D187" s="108" t="s">
        <v>12</v>
      </c>
      <c r="E187" s="742">
        <v>169</v>
      </c>
      <c r="F187" s="1016" t="str">
        <f t="shared" ca="1" si="19"/>
        <v/>
      </c>
      <c r="G187" s="1027" t="str">
        <f t="shared" ca="1" si="20"/>
        <v/>
      </c>
      <c r="H187" s="1043" t="str">
        <f ca="1"/>
        <v/>
      </c>
      <c r="I187" s="1006" t="str">
        <f ca="1"/>
        <v/>
      </c>
      <c r="J187" s="1006" t="str">
        <f ca="1"/>
        <v/>
      </c>
      <c r="K187" s="1016" t="str">
        <f ca="1"/>
        <v/>
      </c>
      <c r="L187" s="1019" t="str">
        <f ca="1"/>
        <v/>
      </c>
      <c r="M187" s="1006" t="str">
        <f ca="1"/>
        <v/>
      </c>
      <c r="N187" s="1060" t="str">
        <f t="shared" ca="1" si="17"/>
        <v/>
      </c>
      <c r="O187" s="996"/>
      <c r="P187" s="742">
        <v>169</v>
      </c>
      <c r="Q187" s="1016" t="str">
        <f t="shared" ca="1" si="21"/>
        <v/>
      </c>
      <c r="R187" s="1027" t="str">
        <f t="shared" ca="1" si="22"/>
        <v/>
      </c>
      <c r="S187" s="1006" t="str">
        <f ca="1"/>
        <v/>
      </c>
      <c r="T187" s="1006" t="str">
        <f ca="1"/>
        <v/>
      </c>
      <c r="U187" s="1006" t="str">
        <f ca="1"/>
        <v/>
      </c>
      <c r="V187" s="1016" t="str">
        <f ca="1"/>
        <v/>
      </c>
      <c r="W187" s="1019" t="str">
        <f ca="1"/>
        <v/>
      </c>
      <c r="X187" s="1006" t="str">
        <f ca="1"/>
        <v/>
      </c>
      <c r="Y187" s="864" t="str">
        <f t="shared" ca="1" si="18"/>
        <v/>
      </c>
      <c r="AA187" s="828">
        <v>169</v>
      </c>
      <c r="AB187" s="750"/>
      <c r="AC187" s="842"/>
      <c r="AD187" s="830"/>
      <c r="AE187" s="839"/>
      <c r="AF187" s="839"/>
      <c r="AG187" s="750"/>
      <c r="AH187" s="840"/>
      <c r="AI187" s="839"/>
      <c r="AJ187" s="841"/>
      <c r="AK187" s="108" t="s">
        <v>12</v>
      </c>
      <c r="AL187" s="847">
        <v>169</v>
      </c>
      <c r="AM187" s="857"/>
      <c r="AN187" s="842"/>
      <c r="AO187" s="839"/>
      <c r="AP187" s="839"/>
      <c r="AQ187" s="839"/>
      <c r="AR187" s="750"/>
      <c r="AS187" s="840"/>
      <c r="AT187" s="839"/>
      <c r="AU187" s="856"/>
      <c r="AV187" s="108" t="s">
        <v>12</v>
      </c>
    </row>
    <row r="188" spans="4:48">
      <c r="D188" s="108" t="s">
        <v>12</v>
      </c>
      <c r="E188" s="742">
        <v>170</v>
      </c>
      <c r="F188" s="1016" t="str">
        <f t="shared" ca="1" si="19"/>
        <v/>
      </c>
      <c r="G188" s="1027" t="str">
        <f t="shared" ca="1" si="20"/>
        <v/>
      </c>
      <c r="H188" s="1043" t="str">
        <f ca="1"/>
        <v/>
      </c>
      <c r="I188" s="1006" t="str">
        <f ca="1"/>
        <v/>
      </c>
      <c r="J188" s="1006" t="str">
        <f ca="1"/>
        <v/>
      </c>
      <c r="K188" s="1016" t="str">
        <f ca="1"/>
        <v/>
      </c>
      <c r="L188" s="1019" t="str">
        <f ca="1"/>
        <v/>
      </c>
      <c r="M188" s="1006" t="str">
        <f ca="1"/>
        <v/>
      </c>
      <c r="N188" s="1060" t="str">
        <f t="shared" ca="1" si="17"/>
        <v/>
      </c>
      <c r="O188" s="996"/>
      <c r="P188" s="742">
        <v>170</v>
      </c>
      <c r="Q188" s="1016" t="str">
        <f t="shared" ca="1" si="21"/>
        <v/>
      </c>
      <c r="R188" s="1027" t="str">
        <f t="shared" ca="1" si="22"/>
        <v/>
      </c>
      <c r="S188" s="1006" t="str">
        <f ca="1"/>
        <v/>
      </c>
      <c r="T188" s="1006" t="str">
        <f ca="1"/>
        <v/>
      </c>
      <c r="U188" s="1006" t="str">
        <f ca="1"/>
        <v/>
      </c>
      <c r="V188" s="1016" t="str">
        <f ca="1"/>
        <v/>
      </c>
      <c r="W188" s="1019" t="str">
        <f ca="1"/>
        <v/>
      </c>
      <c r="X188" s="1006" t="str">
        <f ca="1"/>
        <v/>
      </c>
      <c r="Y188" s="864" t="str">
        <f t="shared" ca="1" si="18"/>
        <v/>
      </c>
      <c r="AA188" s="828">
        <v>170</v>
      </c>
      <c r="AB188" s="750"/>
      <c r="AC188" s="842"/>
      <c r="AD188" s="830"/>
      <c r="AE188" s="839"/>
      <c r="AF188" s="839"/>
      <c r="AG188" s="750"/>
      <c r="AH188" s="840"/>
      <c r="AI188" s="839"/>
      <c r="AJ188" s="841"/>
      <c r="AK188" s="108" t="s">
        <v>12</v>
      </c>
      <c r="AL188" s="847">
        <v>170</v>
      </c>
      <c r="AM188" s="857"/>
      <c r="AN188" s="842"/>
      <c r="AO188" s="839"/>
      <c r="AP188" s="839"/>
      <c r="AQ188" s="839"/>
      <c r="AR188" s="750"/>
      <c r="AS188" s="840"/>
      <c r="AT188" s="839"/>
      <c r="AU188" s="856"/>
      <c r="AV188" s="108" t="s">
        <v>12</v>
      </c>
    </row>
    <row r="189" spans="4:48">
      <c r="D189" s="108" t="s">
        <v>12</v>
      </c>
      <c r="E189" s="742">
        <v>171</v>
      </c>
      <c r="F189" s="1016" t="str">
        <f t="shared" ca="1" si="19"/>
        <v/>
      </c>
      <c r="G189" s="1027" t="str">
        <f t="shared" ca="1" si="20"/>
        <v/>
      </c>
      <c r="H189" s="1043" t="str">
        <f ca="1"/>
        <v/>
      </c>
      <c r="I189" s="1006" t="str">
        <f ca="1"/>
        <v/>
      </c>
      <c r="J189" s="1006" t="str">
        <f ca="1"/>
        <v/>
      </c>
      <c r="K189" s="1016" t="str">
        <f ca="1"/>
        <v/>
      </c>
      <c r="L189" s="1019" t="str">
        <f ca="1"/>
        <v/>
      </c>
      <c r="M189" s="1006" t="str">
        <f ca="1"/>
        <v/>
      </c>
      <c r="N189" s="1060" t="str">
        <f t="shared" ca="1" si="17"/>
        <v/>
      </c>
      <c r="O189" s="996"/>
      <c r="P189" s="742">
        <v>171</v>
      </c>
      <c r="Q189" s="1016" t="str">
        <f t="shared" ca="1" si="21"/>
        <v/>
      </c>
      <c r="R189" s="1027" t="str">
        <f t="shared" ca="1" si="22"/>
        <v/>
      </c>
      <c r="S189" s="1006" t="str">
        <f ca="1"/>
        <v/>
      </c>
      <c r="T189" s="1006" t="str">
        <f ca="1"/>
        <v/>
      </c>
      <c r="U189" s="1006" t="str">
        <f ca="1"/>
        <v/>
      </c>
      <c r="V189" s="1016" t="str">
        <f ca="1"/>
        <v/>
      </c>
      <c r="W189" s="1019" t="str">
        <f ca="1"/>
        <v/>
      </c>
      <c r="X189" s="1006" t="str">
        <f ca="1"/>
        <v/>
      </c>
      <c r="Y189" s="864" t="str">
        <f t="shared" ca="1" si="18"/>
        <v/>
      </c>
      <c r="AA189" s="828">
        <v>171</v>
      </c>
      <c r="AB189" s="750"/>
      <c r="AC189" s="842"/>
      <c r="AD189" s="830"/>
      <c r="AE189" s="839"/>
      <c r="AF189" s="839"/>
      <c r="AG189" s="750"/>
      <c r="AH189" s="840"/>
      <c r="AI189" s="839"/>
      <c r="AJ189" s="841"/>
      <c r="AK189" s="108" t="s">
        <v>12</v>
      </c>
      <c r="AL189" s="847">
        <v>171</v>
      </c>
      <c r="AM189" s="857"/>
      <c r="AN189" s="842"/>
      <c r="AO189" s="839"/>
      <c r="AP189" s="839"/>
      <c r="AQ189" s="839"/>
      <c r="AR189" s="750"/>
      <c r="AS189" s="840"/>
      <c r="AT189" s="839"/>
      <c r="AU189" s="856"/>
      <c r="AV189" s="108" t="s">
        <v>12</v>
      </c>
    </row>
    <row r="190" spans="4:48">
      <c r="D190" s="108" t="s">
        <v>12</v>
      </c>
      <c r="E190" s="742">
        <v>172</v>
      </c>
      <c r="F190" s="1016" t="str">
        <f t="shared" ca="1" si="19"/>
        <v/>
      </c>
      <c r="G190" s="1027" t="str">
        <f t="shared" ca="1" si="20"/>
        <v/>
      </c>
      <c r="H190" s="1043" t="str">
        <f ca="1"/>
        <v/>
      </c>
      <c r="I190" s="1006" t="str">
        <f ca="1"/>
        <v/>
      </c>
      <c r="J190" s="1006" t="str">
        <f ca="1"/>
        <v/>
      </c>
      <c r="K190" s="1016" t="str">
        <f ca="1"/>
        <v/>
      </c>
      <c r="L190" s="1019" t="str">
        <f ca="1"/>
        <v/>
      </c>
      <c r="M190" s="1006" t="str">
        <f ca="1"/>
        <v/>
      </c>
      <c r="N190" s="1060" t="str">
        <f t="shared" ca="1" si="17"/>
        <v/>
      </c>
      <c r="O190" s="996"/>
      <c r="P190" s="742">
        <v>172</v>
      </c>
      <c r="Q190" s="1016" t="str">
        <f t="shared" ca="1" si="21"/>
        <v/>
      </c>
      <c r="R190" s="1027" t="str">
        <f t="shared" ca="1" si="22"/>
        <v/>
      </c>
      <c r="S190" s="1006" t="str">
        <f ca="1"/>
        <v/>
      </c>
      <c r="T190" s="1006" t="str">
        <f ca="1"/>
        <v/>
      </c>
      <c r="U190" s="1006" t="str">
        <f ca="1"/>
        <v/>
      </c>
      <c r="V190" s="1016" t="str">
        <f ca="1"/>
        <v/>
      </c>
      <c r="W190" s="1019" t="str">
        <f ca="1"/>
        <v/>
      </c>
      <c r="X190" s="1006" t="str">
        <f ca="1"/>
        <v/>
      </c>
      <c r="Y190" s="864" t="str">
        <f t="shared" ca="1" si="18"/>
        <v/>
      </c>
      <c r="AA190" s="828">
        <v>172</v>
      </c>
      <c r="AB190" s="750"/>
      <c r="AC190" s="842"/>
      <c r="AD190" s="830"/>
      <c r="AE190" s="839"/>
      <c r="AF190" s="839"/>
      <c r="AG190" s="750"/>
      <c r="AH190" s="840"/>
      <c r="AI190" s="839"/>
      <c r="AJ190" s="841"/>
      <c r="AK190" s="108" t="s">
        <v>12</v>
      </c>
      <c r="AL190" s="847">
        <v>172</v>
      </c>
      <c r="AM190" s="857"/>
      <c r="AN190" s="842"/>
      <c r="AO190" s="839"/>
      <c r="AP190" s="839"/>
      <c r="AQ190" s="839"/>
      <c r="AR190" s="750"/>
      <c r="AS190" s="840"/>
      <c r="AT190" s="839"/>
      <c r="AU190" s="856"/>
      <c r="AV190" s="108" t="s">
        <v>12</v>
      </c>
    </row>
    <row r="191" spans="4:48">
      <c r="D191" s="108" t="s">
        <v>12</v>
      </c>
      <c r="E191" s="742">
        <v>173</v>
      </c>
      <c r="F191" s="1016" t="str">
        <f t="shared" ca="1" si="19"/>
        <v/>
      </c>
      <c r="G191" s="1027" t="str">
        <f t="shared" ca="1" si="20"/>
        <v/>
      </c>
      <c r="H191" s="1043" t="str">
        <f ca="1"/>
        <v/>
      </c>
      <c r="I191" s="1006" t="str">
        <f ca="1"/>
        <v/>
      </c>
      <c r="J191" s="1006" t="str">
        <f ca="1"/>
        <v/>
      </c>
      <c r="K191" s="1016" t="str">
        <f ca="1"/>
        <v/>
      </c>
      <c r="L191" s="1019" t="str">
        <f ca="1"/>
        <v/>
      </c>
      <c r="M191" s="1006" t="str">
        <f ca="1"/>
        <v/>
      </c>
      <c r="N191" s="1060" t="str">
        <f t="shared" ca="1" si="17"/>
        <v/>
      </c>
      <c r="O191" s="996"/>
      <c r="P191" s="742">
        <v>173</v>
      </c>
      <c r="Q191" s="1016" t="str">
        <f t="shared" ca="1" si="21"/>
        <v/>
      </c>
      <c r="R191" s="1027" t="str">
        <f t="shared" ca="1" si="22"/>
        <v/>
      </c>
      <c r="S191" s="1006" t="str">
        <f ca="1"/>
        <v/>
      </c>
      <c r="T191" s="1006" t="str">
        <f ca="1"/>
        <v/>
      </c>
      <c r="U191" s="1006" t="str">
        <f ca="1"/>
        <v/>
      </c>
      <c r="V191" s="1016" t="str">
        <f ca="1"/>
        <v/>
      </c>
      <c r="W191" s="1019" t="str">
        <f ca="1"/>
        <v/>
      </c>
      <c r="X191" s="1006" t="str">
        <f ca="1"/>
        <v/>
      </c>
      <c r="Y191" s="864" t="str">
        <f t="shared" ca="1" si="18"/>
        <v/>
      </c>
      <c r="AA191" s="828">
        <v>173</v>
      </c>
      <c r="AB191" s="750"/>
      <c r="AC191" s="842"/>
      <c r="AD191" s="830"/>
      <c r="AE191" s="839"/>
      <c r="AF191" s="839"/>
      <c r="AG191" s="750"/>
      <c r="AH191" s="840"/>
      <c r="AI191" s="839"/>
      <c r="AJ191" s="841"/>
      <c r="AK191" s="108" t="s">
        <v>12</v>
      </c>
      <c r="AL191" s="847">
        <v>173</v>
      </c>
      <c r="AM191" s="857"/>
      <c r="AN191" s="842"/>
      <c r="AO191" s="839"/>
      <c r="AP191" s="839"/>
      <c r="AQ191" s="839"/>
      <c r="AR191" s="750"/>
      <c r="AS191" s="840"/>
      <c r="AT191" s="839"/>
      <c r="AU191" s="856"/>
      <c r="AV191" s="108" t="s">
        <v>12</v>
      </c>
    </row>
    <row r="192" spans="4:48">
      <c r="D192" s="108" t="s">
        <v>12</v>
      </c>
      <c r="E192" s="742">
        <v>174</v>
      </c>
      <c r="F192" s="1016" t="str">
        <f t="shared" ca="1" si="19"/>
        <v/>
      </c>
      <c r="G192" s="1027" t="str">
        <f t="shared" ca="1" si="20"/>
        <v/>
      </c>
      <c r="H192" s="1043" t="str">
        <f ca="1"/>
        <v/>
      </c>
      <c r="I192" s="1006" t="str">
        <f ca="1"/>
        <v/>
      </c>
      <c r="J192" s="1006" t="str">
        <f ca="1"/>
        <v/>
      </c>
      <c r="K192" s="1016" t="str">
        <f ca="1"/>
        <v/>
      </c>
      <c r="L192" s="1019" t="str">
        <f ca="1"/>
        <v/>
      </c>
      <c r="M192" s="1006" t="str">
        <f ca="1"/>
        <v/>
      </c>
      <c r="N192" s="1060" t="str">
        <f t="shared" ca="1" si="17"/>
        <v/>
      </c>
      <c r="O192" s="996"/>
      <c r="P192" s="742">
        <v>174</v>
      </c>
      <c r="Q192" s="1016" t="str">
        <f t="shared" ca="1" si="21"/>
        <v/>
      </c>
      <c r="R192" s="1027" t="str">
        <f t="shared" ca="1" si="22"/>
        <v/>
      </c>
      <c r="S192" s="1006" t="str">
        <f ca="1"/>
        <v/>
      </c>
      <c r="T192" s="1006" t="str">
        <f ca="1"/>
        <v/>
      </c>
      <c r="U192" s="1006" t="str">
        <f ca="1"/>
        <v/>
      </c>
      <c r="V192" s="1016" t="str">
        <f ca="1"/>
        <v/>
      </c>
      <c r="W192" s="1019" t="str">
        <f ca="1"/>
        <v/>
      </c>
      <c r="X192" s="1006" t="str">
        <f ca="1"/>
        <v/>
      </c>
      <c r="Y192" s="864" t="str">
        <f t="shared" ca="1" si="18"/>
        <v/>
      </c>
      <c r="AA192" s="828">
        <v>174</v>
      </c>
      <c r="AB192" s="750"/>
      <c r="AC192" s="842"/>
      <c r="AD192" s="830"/>
      <c r="AE192" s="839"/>
      <c r="AF192" s="839"/>
      <c r="AG192" s="750"/>
      <c r="AH192" s="840"/>
      <c r="AI192" s="839"/>
      <c r="AJ192" s="841"/>
      <c r="AK192" s="108" t="s">
        <v>12</v>
      </c>
      <c r="AL192" s="847">
        <v>174</v>
      </c>
      <c r="AM192" s="857"/>
      <c r="AN192" s="842"/>
      <c r="AO192" s="839"/>
      <c r="AP192" s="839"/>
      <c r="AQ192" s="839"/>
      <c r="AR192" s="750"/>
      <c r="AS192" s="840"/>
      <c r="AT192" s="839"/>
      <c r="AU192" s="856"/>
      <c r="AV192" s="108" t="s">
        <v>12</v>
      </c>
    </row>
    <row r="193" spans="4:48">
      <c r="D193" s="108" t="s">
        <v>12</v>
      </c>
      <c r="E193" s="742">
        <v>175</v>
      </c>
      <c r="F193" s="1016" t="str">
        <f t="shared" ca="1" si="19"/>
        <v/>
      </c>
      <c r="G193" s="1027" t="str">
        <f t="shared" ca="1" si="20"/>
        <v/>
      </c>
      <c r="H193" s="1043" t="str">
        <f ca="1"/>
        <v/>
      </c>
      <c r="I193" s="1006" t="str">
        <f ca="1"/>
        <v/>
      </c>
      <c r="J193" s="1006" t="str">
        <f ca="1"/>
        <v/>
      </c>
      <c r="K193" s="1016" t="str">
        <f ca="1"/>
        <v/>
      </c>
      <c r="L193" s="1019" t="str">
        <f ca="1"/>
        <v/>
      </c>
      <c r="M193" s="1006" t="str">
        <f ca="1"/>
        <v/>
      </c>
      <c r="N193" s="1060" t="str">
        <f t="shared" ca="1" si="17"/>
        <v/>
      </c>
      <c r="O193" s="996"/>
      <c r="P193" s="742">
        <v>175</v>
      </c>
      <c r="Q193" s="1016" t="str">
        <f t="shared" ca="1" si="21"/>
        <v/>
      </c>
      <c r="R193" s="1027" t="str">
        <f t="shared" ca="1" si="22"/>
        <v/>
      </c>
      <c r="S193" s="1006" t="str">
        <f ca="1"/>
        <v/>
      </c>
      <c r="T193" s="1006" t="str">
        <f ca="1"/>
        <v/>
      </c>
      <c r="U193" s="1006" t="str">
        <f ca="1"/>
        <v/>
      </c>
      <c r="V193" s="1016" t="str">
        <f ca="1"/>
        <v/>
      </c>
      <c r="W193" s="1019" t="str">
        <f ca="1"/>
        <v/>
      </c>
      <c r="X193" s="1006" t="str">
        <f ca="1"/>
        <v/>
      </c>
      <c r="Y193" s="864" t="str">
        <f t="shared" ca="1" si="18"/>
        <v/>
      </c>
      <c r="AA193" s="828">
        <v>175</v>
      </c>
      <c r="AB193" s="750"/>
      <c r="AC193" s="842"/>
      <c r="AD193" s="830"/>
      <c r="AE193" s="839"/>
      <c r="AF193" s="839"/>
      <c r="AG193" s="750"/>
      <c r="AH193" s="840"/>
      <c r="AI193" s="839"/>
      <c r="AJ193" s="841"/>
      <c r="AK193" s="108" t="s">
        <v>12</v>
      </c>
      <c r="AL193" s="847">
        <v>175</v>
      </c>
      <c r="AM193" s="857"/>
      <c r="AN193" s="842"/>
      <c r="AO193" s="839"/>
      <c r="AP193" s="839"/>
      <c r="AQ193" s="839"/>
      <c r="AR193" s="750"/>
      <c r="AS193" s="840"/>
      <c r="AT193" s="839"/>
      <c r="AU193" s="856"/>
      <c r="AV193" s="108" t="s">
        <v>12</v>
      </c>
    </row>
    <row r="194" spans="4:48">
      <c r="D194" s="108" t="s">
        <v>12</v>
      </c>
      <c r="E194" s="742">
        <v>176</v>
      </c>
      <c r="F194" s="1016" t="str">
        <f t="shared" ca="1" si="19"/>
        <v/>
      </c>
      <c r="G194" s="1027" t="str">
        <f t="shared" ca="1" si="20"/>
        <v/>
      </c>
      <c r="H194" s="1043" t="str">
        <f ca="1"/>
        <v/>
      </c>
      <c r="I194" s="1006" t="str">
        <f ca="1"/>
        <v/>
      </c>
      <c r="J194" s="1006" t="str">
        <f ca="1"/>
        <v/>
      </c>
      <c r="K194" s="1016" t="str">
        <f ca="1"/>
        <v/>
      </c>
      <c r="L194" s="1019" t="str">
        <f ca="1"/>
        <v/>
      </c>
      <c r="M194" s="1006" t="str">
        <f ca="1"/>
        <v/>
      </c>
      <c r="N194" s="1060" t="str">
        <f t="shared" ca="1" si="17"/>
        <v/>
      </c>
      <c r="O194" s="996"/>
      <c r="P194" s="742">
        <v>176</v>
      </c>
      <c r="Q194" s="1016" t="str">
        <f t="shared" ca="1" si="21"/>
        <v/>
      </c>
      <c r="R194" s="1027" t="str">
        <f t="shared" ca="1" si="22"/>
        <v/>
      </c>
      <c r="S194" s="1006" t="str">
        <f ca="1"/>
        <v/>
      </c>
      <c r="T194" s="1006" t="str">
        <f ca="1"/>
        <v/>
      </c>
      <c r="U194" s="1006" t="str">
        <f ca="1"/>
        <v/>
      </c>
      <c r="V194" s="1016" t="str">
        <f ca="1"/>
        <v/>
      </c>
      <c r="W194" s="1019" t="str">
        <f ca="1"/>
        <v/>
      </c>
      <c r="X194" s="1006" t="str">
        <f ca="1"/>
        <v/>
      </c>
      <c r="Y194" s="864" t="str">
        <f t="shared" ca="1" si="18"/>
        <v/>
      </c>
      <c r="AA194" s="828">
        <v>176</v>
      </c>
      <c r="AB194" s="750"/>
      <c r="AC194" s="842"/>
      <c r="AD194" s="830"/>
      <c r="AE194" s="839"/>
      <c r="AF194" s="839"/>
      <c r="AG194" s="750"/>
      <c r="AH194" s="840"/>
      <c r="AI194" s="839"/>
      <c r="AJ194" s="841"/>
      <c r="AK194" s="108" t="s">
        <v>12</v>
      </c>
      <c r="AL194" s="847">
        <v>176</v>
      </c>
      <c r="AM194" s="857"/>
      <c r="AN194" s="842"/>
      <c r="AO194" s="839"/>
      <c r="AP194" s="839"/>
      <c r="AQ194" s="839"/>
      <c r="AR194" s="750"/>
      <c r="AS194" s="840"/>
      <c r="AT194" s="839"/>
      <c r="AU194" s="856"/>
      <c r="AV194" s="108" t="s">
        <v>12</v>
      </c>
    </row>
    <row r="195" spans="4:48">
      <c r="D195" s="108" t="s">
        <v>12</v>
      </c>
      <c r="E195" s="742">
        <v>177</v>
      </c>
      <c r="F195" s="1016" t="str">
        <f t="shared" ca="1" si="19"/>
        <v/>
      </c>
      <c r="G195" s="1027" t="str">
        <f t="shared" ca="1" si="20"/>
        <v/>
      </c>
      <c r="H195" s="1043" t="str">
        <f ca="1"/>
        <v/>
      </c>
      <c r="I195" s="1006" t="str">
        <f ca="1"/>
        <v/>
      </c>
      <c r="J195" s="1006" t="str">
        <f ca="1"/>
        <v/>
      </c>
      <c r="K195" s="1016" t="str">
        <f ca="1"/>
        <v/>
      </c>
      <c r="L195" s="1019" t="str">
        <f ca="1"/>
        <v/>
      </c>
      <c r="M195" s="1006" t="str">
        <f ca="1"/>
        <v/>
      </c>
      <c r="N195" s="1060" t="str">
        <f t="shared" ca="1" si="17"/>
        <v/>
      </c>
      <c r="O195" s="996"/>
      <c r="P195" s="742">
        <v>177</v>
      </c>
      <c r="Q195" s="1016" t="str">
        <f t="shared" ca="1" si="21"/>
        <v/>
      </c>
      <c r="R195" s="1027" t="str">
        <f t="shared" ca="1" si="22"/>
        <v/>
      </c>
      <c r="S195" s="1006" t="str">
        <f ca="1"/>
        <v/>
      </c>
      <c r="T195" s="1006" t="str">
        <f ca="1"/>
        <v/>
      </c>
      <c r="U195" s="1006" t="str">
        <f ca="1"/>
        <v/>
      </c>
      <c r="V195" s="1016" t="str">
        <f ca="1"/>
        <v/>
      </c>
      <c r="W195" s="1019" t="str">
        <f ca="1"/>
        <v/>
      </c>
      <c r="X195" s="1006" t="str">
        <f ca="1"/>
        <v/>
      </c>
      <c r="Y195" s="864" t="str">
        <f t="shared" ca="1" si="18"/>
        <v/>
      </c>
      <c r="AA195" s="828">
        <v>177</v>
      </c>
      <c r="AB195" s="750"/>
      <c r="AC195" s="842"/>
      <c r="AD195" s="830"/>
      <c r="AE195" s="839"/>
      <c r="AF195" s="839"/>
      <c r="AG195" s="750"/>
      <c r="AH195" s="840"/>
      <c r="AI195" s="839"/>
      <c r="AJ195" s="841"/>
      <c r="AK195" s="108" t="s">
        <v>12</v>
      </c>
      <c r="AL195" s="847">
        <v>177</v>
      </c>
      <c r="AM195" s="857"/>
      <c r="AN195" s="842"/>
      <c r="AO195" s="839"/>
      <c r="AP195" s="839"/>
      <c r="AQ195" s="839"/>
      <c r="AR195" s="750"/>
      <c r="AS195" s="840"/>
      <c r="AT195" s="839"/>
      <c r="AU195" s="856"/>
      <c r="AV195" s="108" t="s">
        <v>12</v>
      </c>
    </row>
    <row r="196" spans="4:48">
      <c r="D196" s="108" t="s">
        <v>12</v>
      </c>
      <c r="E196" s="742">
        <v>178</v>
      </c>
      <c r="F196" s="1016" t="str">
        <f t="shared" ca="1" si="19"/>
        <v/>
      </c>
      <c r="G196" s="1027" t="str">
        <f t="shared" ca="1" si="20"/>
        <v/>
      </c>
      <c r="H196" s="1043" t="str">
        <f ca="1"/>
        <v/>
      </c>
      <c r="I196" s="1006" t="str">
        <f ca="1"/>
        <v/>
      </c>
      <c r="J196" s="1006" t="str">
        <f ca="1"/>
        <v/>
      </c>
      <c r="K196" s="1016" t="str">
        <f ca="1"/>
        <v/>
      </c>
      <c r="L196" s="1019" t="str">
        <f ca="1"/>
        <v/>
      </c>
      <c r="M196" s="1006" t="str">
        <f ca="1"/>
        <v/>
      </c>
      <c r="N196" s="1060" t="str">
        <f t="shared" ca="1" si="17"/>
        <v/>
      </c>
      <c r="O196" s="996"/>
      <c r="P196" s="742">
        <v>178</v>
      </c>
      <c r="Q196" s="1016" t="str">
        <f t="shared" ca="1" si="21"/>
        <v/>
      </c>
      <c r="R196" s="1027" t="str">
        <f t="shared" ca="1" si="22"/>
        <v/>
      </c>
      <c r="S196" s="1006" t="str">
        <f ca="1"/>
        <v/>
      </c>
      <c r="T196" s="1006" t="str">
        <f ca="1"/>
        <v/>
      </c>
      <c r="U196" s="1006" t="str">
        <f ca="1"/>
        <v/>
      </c>
      <c r="V196" s="1016" t="str">
        <f ca="1"/>
        <v/>
      </c>
      <c r="W196" s="1019" t="str">
        <f ca="1"/>
        <v/>
      </c>
      <c r="X196" s="1006" t="str">
        <f ca="1"/>
        <v/>
      </c>
      <c r="Y196" s="864" t="str">
        <f t="shared" ca="1" si="18"/>
        <v/>
      </c>
      <c r="AA196" s="828">
        <v>178</v>
      </c>
      <c r="AB196" s="750"/>
      <c r="AC196" s="842"/>
      <c r="AD196" s="830"/>
      <c r="AE196" s="839"/>
      <c r="AF196" s="839"/>
      <c r="AG196" s="750"/>
      <c r="AH196" s="840"/>
      <c r="AI196" s="839"/>
      <c r="AJ196" s="841"/>
      <c r="AK196" s="108" t="s">
        <v>12</v>
      </c>
      <c r="AL196" s="847">
        <v>178</v>
      </c>
      <c r="AM196" s="857"/>
      <c r="AN196" s="842"/>
      <c r="AO196" s="839"/>
      <c r="AP196" s="839"/>
      <c r="AQ196" s="839"/>
      <c r="AR196" s="750"/>
      <c r="AS196" s="840"/>
      <c r="AT196" s="839"/>
      <c r="AU196" s="856"/>
      <c r="AV196" s="108" t="s">
        <v>12</v>
      </c>
    </row>
    <row r="197" spans="4:48">
      <c r="D197" s="108" t="s">
        <v>12</v>
      </c>
      <c r="E197" s="742">
        <v>179</v>
      </c>
      <c r="F197" s="1016" t="str">
        <f t="shared" ca="1" si="19"/>
        <v/>
      </c>
      <c r="G197" s="1027" t="str">
        <f t="shared" ca="1" si="20"/>
        <v/>
      </c>
      <c r="H197" s="1043" t="str">
        <f ca="1"/>
        <v/>
      </c>
      <c r="I197" s="1006" t="str">
        <f ca="1"/>
        <v/>
      </c>
      <c r="J197" s="1006" t="str">
        <f ca="1"/>
        <v/>
      </c>
      <c r="K197" s="1016" t="str">
        <f ca="1"/>
        <v/>
      </c>
      <c r="L197" s="1019" t="str">
        <f ca="1"/>
        <v/>
      </c>
      <c r="M197" s="1006" t="str">
        <f ca="1"/>
        <v/>
      </c>
      <c r="N197" s="1060" t="str">
        <f t="shared" ca="1" si="17"/>
        <v/>
      </c>
      <c r="O197" s="996"/>
      <c r="P197" s="742">
        <v>179</v>
      </c>
      <c r="Q197" s="1016" t="str">
        <f t="shared" ca="1" si="21"/>
        <v/>
      </c>
      <c r="R197" s="1027" t="str">
        <f t="shared" ca="1" si="22"/>
        <v/>
      </c>
      <c r="S197" s="1006" t="str">
        <f ca="1"/>
        <v/>
      </c>
      <c r="T197" s="1006" t="str">
        <f ca="1"/>
        <v/>
      </c>
      <c r="U197" s="1006" t="str">
        <f ca="1"/>
        <v/>
      </c>
      <c r="V197" s="1016" t="str">
        <f ca="1"/>
        <v/>
      </c>
      <c r="W197" s="1019" t="str">
        <f ca="1"/>
        <v/>
      </c>
      <c r="X197" s="1006" t="str">
        <f ca="1"/>
        <v/>
      </c>
      <c r="Y197" s="864" t="str">
        <f t="shared" ca="1" si="18"/>
        <v/>
      </c>
      <c r="AA197" s="828">
        <v>179</v>
      </c>
      <c r="AB197" s="750"/>
      <c r="AC197" s="842"/>
      <c r="AD197" s="830"/>
      <c r="AE197" s="839"/>
      <c r="AF197" s="839"/>
      <c r="AG197" s="750"/>
      <c r="AH197" s="840"/>
      <c r="AI197" s="839"/>
      <c r="AJ197" s="841"/>
      <c r="AK197" s="108" t="s">
        <v>12</v>
      </c>
      <c r="AL197" s="847">
        <v>179</v>
      </c>
      <c r="AM197" s="857"/>
      <c r="AN197" s="842"/>
      <c r="AO197" s="839"/>
      <c r="AP197" s="839"/>
      <c r="AQ197" s="839"/>
      <c r="AR197" s="750"/>
      <c r="AS197" s="840"/>
      <c r="AT197" s="839"/>
      <c r="AU197" s="856"/>
      <c r="AV197" s="108" t="s">
        <v>12</v>
      </c>
    </row>
    <row r="198" spans="4:48">
      <c r="D198" s="108" t="s">
        <v>12</v>
      </c>
      <c r="E198" s="742">
        <v>180</v>
      </c>
      <c r="F198" s="1016" t="str">
        <f t="shared" ca="1" si="19"/>
        <v/>
      </c>
      <c r="G198" s="1027" t="str">
        <f t="shared" ca="1" si="20"/>
        <v/>
      </c>
      <c r="H198" s="1043" t="str">
        <f ca="1"/>
        <v/>
      </c>
      <c r="I198" s="1006" t="str">
        <f ca="1"/>
        <v/>
      </c>
      <c r="J198" s="1006" t="str">
        <f ca="1"/>
        <v/>
      </c>
      <c r="K198" s="1016" t="str">
        <f ca="1"/>
        <v/>
      </c>
      <c r="L198" s="1019" t="str">
        <f ca="1"/>
        <v/>
      </c>
      <c r="M198" s="1006" t="str">
        <f ca="1"/>
        <v/>
      </c>
      <c r="N198" s="1060" t="str">
        <f t="shared" ca="1" si="17"/>
        <v/>
      </c>
      <c r="O198" s="996"/>
      <c r="P198" s="742">
        <v>180</v>
      </c>
      <c r="Q198" s="1016" t="str">
        <f t="shared" ca="1" si="21"/>
        <v/>
      </c>
      <c r="R198" s="1027" t="str">
        <f t="shared" ca="1" si="22"/>
        <v/>
      </c>
      <c r="S198" s="1006" t="str">
        <f ca="1"/>
        <v/>
      </c>
      <c r="T198" s="1006" t="str">
        <f ca="1"/>
        <v/>
      </c>
      <c r="U198" s="1006" t="str">
        <f ca="1"/>
        <v/>
      </c>
      <c r="V198" s="1016" t="str">
        <f ca="1"/>
        <v/>
      </c>
      <c r="W198" s="1019" t="str">
        <f ca="1"/>
        <v/>
      </c>
      <c r="X198" s="1006" t="str">
        <f ca="1"/>
        <v/>
      </c>
      <c r="Y198" s="864" t="str">
        <f t="shared" ca="1" si="18"/>
        <v/>
      </c>
      <c r="AA198" s="828">
        <v>180</v>
      </c>
      <c r="AB198" s="750"/>
      <c r="AC198" s="842"/>
      <c r="AD198" s="830"/>
      <c r="AE198" s="839"/>
      <c r="AF198" s="839"/>
      <c r="AG198" s="750"/>
      <c r="AH198" s="840"/>
      <c r="AI198" s="839"/>
      <c r="AJ198" s="841"/>
      <c r="AK198" s="108" t="s">
        <v>12</v>
      </c>
      <c r="AL198" s="847">
        <v>180</v>
      </c>
      <c r="AM198" s="857"/>
      <c r="AN198" s="842"/>
      <c r="AO198" s="839"/>
      <c r="AP198" s="839"/>
      <c r="AQ198" s="839"/>
      <c r="AR198" s="750"/>
      <c r="AS198" s="840"/>
      <c r="AT198" s="839"/>
      <c r="AU198" s="856"/>
      <c r="AV198" s="108" t="s">
        <v>12</v>
      </c>
    </row>
    <row r="199" spans="4:48">
      <c r="D199" s="108" t="s">
        <v>12</v>
      </c>
      <c r="E199" s="742">
        <v>181</v>
      </c>
      <c r="F199" s="1016" t="str">
        <f t="shared" ca="1" si="19"/>
        <v/>
      </c>
      <c r="G199" s="1027" t="str">
        <f t="shared" ca="1" si="20"/>
        <v/>
      </c>
      <c r="H199" s="1043" t="str">
        <f ca="1"/>
        <v/>
      </c>
      <c r="I199" s="1006" t="str">
        <f ca="1"/>
        <v/>
      </c>
      <c r="J199" s="1006" t="str">
        <f ca="1"/>
        <v/>
      </c>
      <c r="K199" s="1016" t="str">
        <f ca="1"/>
        <v/>
      </c>
      <c r="L199" s="1019" t="str">
        <f ca="1"/>
        <v/>
      </c>
      <c r="M199" s="1006" t="str">
        <f ca="1"/>
        <v/>
      </c>
      <c r="N199" s="1060" t="str">
        <f t="shared" ca="1" si="17"/>
        <v/>
      </c>
      <c r="O199" s="996"/>
      <c r="P199" s="742">
        <v>181</v>
      </c>
      <c r="Q199" s="1016" t="str">
        <f t="shared" ca="1" si="21"/>
        <v/>
      </c>
      <c r="R199" s="1027" t="str">
        <f t="shared" ca="1" si="22"/>
        <v/>
      </c>
      <c r="S199" s="1006" t="str">
        <f ca="1"/>
        <v/>
      </c>
      <c r="T199" s="1006" t="str">
        <f ca="1"/>
        <v/>
      </c>
      <c r="U199" s="1006" t="str">
        <f ca="1"/>
        <v/>
      </c>
      <c r="V199" s="1016" t="str">
        <f ca="1"/>
        <v/>
      </c>
      <c r="W199" s="1019" t="str">
        <f ca="1"/>
        <v/>
      </c>
      <c r="X199" s="1006" t="str">
        <f ca="1"/>
        <v/>
      </c>
      <c r="Y199" s="864" t="str">
        <f t="shared" ca="1" si="18"/>
        <v/>
      </c>
      <c r="AA199" s="828">
        <v>181</v>
      </c>
      <c r="AB199" s="750"/>
      <c r="AC199" s="842"/>
      <c r="AD199" s="830"/>
      <c r="AE199" s="839"/>
      <c r="AF199" s="839"/>
      <c r="AG199" s="750"/>
      <c r="AH199" s="840"/>
      <c r="AI199" s="839"/>
      <c r="AJ199" s="841"/>
      <c r="AK199" s="108" t="s">
        <v>12</v>
      </c>
      <c r="AL199" s="847">
        <v>181</v>
      </c>
      <c r="AM199" s="857"/>
      <c r="AN199" s="842"/>
      <c r="AO199" s="839"/>
      <c r="AP199" s="839"/>
      <c r="AQ199" s="839"/>
      <c r="AR199" s="750"/>
      <c r="AS199" s="840"/>
      <c r="AT199" s="839"/>
      <c r="AU199" s="856"/>
      <c r="AV199" s="108" t="s">
        <v>12</v>
      </c>
    </row>
    <row r="200" spans="4:48">
      <c r="D200" s="108" t="s">
        <v>12</v>
      </c>
      <c r="E200" s="742">
        <v>182</v>
      </c>
      <c r="F200" s="1016" t="str">
        <f t="shared" ca="1" si="19"/>
        <v/>
      </c>
      <c r="G200" s="1027" t="str">
        <f t="shared" ca="1" si="20"/>
        <v/>
      </c>
      <c r="H200" s="1043" t="str">
        <f ca="1"/>
        <v/>
      </c>
      <c r="I200" s="1006" t="str">
        <f ca="1"/>
        <v/>
      </c>
      <c r="J200" s="1006" t="str">
        <f ca="1"/>
        <v/>
      </c>
      <c r="K200" s="1016" t="str">
        <f ca="1"/>
        <v/>
      </c>
      <c r="L200" s="1019" t="str">
        <f ca="1"/>
        <v/>
      </c>
      <c r="M200" s="1006" t="str">
        <f ca="1"/>
        <v/>
      </c>
      <c r="N200" s="1060" t="str">
        <f t="shared" ca="1" si="17"/>
        <v/>
      </c>
      <c r="O200" s="996"/>
      <c r="P200" s="742">
        <v>182</v>
      </c>
      <c r="Q200" s="1016" t="str">
        <f t="shared" ca="1" si="21"/>
        <v/>
      </c>
      <c r="R200" s="1027" t="str">
        <f t="shared" ca="1" si="22"/>
        <v/>
      </c>
      <c r="S200" s="1006" t="str">
        <f ca="1"/>
        <v/>
      </c>
      <c r="T200" s="1006" t="str">
        <f ca="1"/>
        <v/>
      </c>
      <c r="U200" s="1006" t="str">
        <f ca="1"/>
        <v/>
      </c>
      <c r="V200" s="1016" t="str">
        <f ca="1"/>
        <v/>
      </c>
      <c r="W200" s="1019" t="str">
        <f ca="1"/>
        <v/>
      </c>
      <c r="X200" s="1006" t="str">
        <f ca="1"/>
        <v/>
      </c>
      <c r="Y200" s="864" t="str">
        <f t="shared" ca="1" si="18"/>
        <v/>
      </c>
      <c r="AA200" s="828">
        <v>182</v>
      </c>
      <c r="AB200" s="750"/>
      <c r="AC200" s="842"/>
      <c r="AD200" s="830"/>
      <c r="AE200" s="839"/>
      <c r="AF200" s="839"/>
      <c r="AG200" s="750"/>
      <c r="AH200" s="840"/>
      <c r="AI200" s="839"/>
      <c r="AJ200" s="841"/>
      <c r="AK200" s="108" t="s">
        <v>12</v>
      </c>
      <c r="AL200" s="847">
        <v>182</v>
      </c>
      <c r="AM200" s="857"/>
      <c r="AN200" s="842"/>
      <c r="AO200" s="839"/>
      <c r="AP200" s="839"/>
      <c r="AQ200" s="839"/>
      <c r="AR200" s="750"/>
      <c r="AS200" s="840"/>
      <c r="AT200" s="839"/>
      <c r="AU200" s="856"/>
      <c r="AV200" s="108" t="s">
        <v>12</v>
      </c>
    </row>
    <row r="201" spans="4:48">
      <c r="D201" s="108" t="s">
        <v>12</v>
      </c>
      <c r="E201" s="742">
        <v>183</v>
      </c>
      <c r="F201" s="1016" t="str">
        <f t="shared" ca="1" si="19"/>
        <v/>
      </c>
      <c r="G201" s="1027" t="str">
        <f t="shared" ca="1" si="20"/>
        <v/>
      </c>
      <c r="H201" s="1043" t="str">
        <f ca="1"/>
        <v/>
      </c>
      <c r="I201" s="1006" t="str">
        <f ca="1"/>
        <v/>
      </c>
      <c r="J201" s="1006" t="str">
        <f ca="1"/>
        <v/>
      </c>
      <c r="K201" s="1016" t="str">
        <f ca="1"/>
        <v/>
      </c>
      <c r="L201" s="1019" t="str">
        <f ca="1"/>
        <v/>
      </c>
      <c r="M201" s="1006" t="str">
        <f ca="1"/>
        <v/>
      </c>
      <c r="N201" s="1060" t="str">
        <f t="shared" ca="1" si="17"/>
        <v/>
      </c>
      <c r="O201" s="996"/>
      <c r="P201" s="742">
        <v>183</v>
      </c>
      <c r="Q201" s="1016" t="str">
        <f t="shared" ca="1" si="21"/>
        <v/>
      </c>
      <c r="R201" s="1027" t="str">
        <f t="shared" ca="1" si="22"/>
        <v/>
      </c>
      <c r="S201" s="1006" t="str">
        <f ca="1"/>
        <v/>
      </c>
      <c r="T201" s="1006" t="str">
        <f ca="1"/>
        <v/>
      </c>
      <c r="U201" s="1006" t="str">
        <f ca="1"/>
        <v/>
      </c>
      <c r="V201" s="1016" t="str">
        <f ca="1"/>
        <v/>
      </c>
      <c r="W201" s="1019" t="str">
        <f ca="1"/>
        <v/>
      </c>
      <c r="X201" s="1006" t="str">
        <f ca="1"/>
        <v/>
      </c>
      <c r="Y201" s="864" t="str">
        <f t="shared" ca="1" si="18"/>
        <v/>
      </c>
      <c r="AA201" s="828">
        <v>183</v>
      </c>
      <c r="AB201" s="750"/>
      <c r="AC201" s="842"/>
      <c r="AD201" s="830"/>
      <c r="AE201" s="839"/>
      <c r="AF201" s="839"/>
      <c r="AG201" s="750"/>
      <c r="AH201" s="840"/>
      <c r="AI201" s="839"/>
      <c r="AJ201" s="841"/>
      <c r="AK201" s="108" t="s">
        <v>12</v>
      </c>
      <c r="AL201" s="847">
        <v>183</v>
      </c>
      <c r="AM201" s="857"/>
      <c r="AN201" s="842"/>
      <c r="AO201" s="839"/>
      <c r="AP201" s="839"/>
      <c r="AQ201" s="839"/>
      <c r="AR201" s="750"/>
      <c r="AS201" s="840"/>
      <c r="AT201" s="839"/>
      <c r="AU201" s="856"/>
      <c r="AV201" s="108" t="s">
        <v>12</v>
      </c>
    </row>
    <row r="202" spans="4:48">
      <c r="D202" s="108" t="s">
        <v>12</v>
      </c>
      <c r="E202" s="742">
        <v>184</v>
      </c>
      <c r="F202" s="1016" t="str">
        <f t="shared" ca="1" si="19"/>
        <v/>
      </c>
      <c r="G202" s="1027" t="str">
        <f t="shared" ca="1" si="20"/>
        <v/>
      </c>
      <c r="H202" s="1043" t="str">
        <f ca="1"/>
        <v/>
      </c>
      <c r="I202" s="1006" t="str">
        <f ca="1"/>
        <v/>
      </c>
      <c r="J202" s="1006" t="str">
        <f ca="1"/>
        <v/>
      </c>
      <c r="K202" s="1016" t="str">
        <f ca="1"/>
        <v/>
      </c>
      <c r="L202" s="1019" t="str">
        <f ca="1"/>
        <v/>
      </c>
      <c r="M202" s="1006" t="str">
        <f ca="1"/>
        <v/>
      </c>
      <c r="N202" s="1060" t="str">
        <f t="shared" ca="1" si="17"/>
        <v/>
      </c>
      <c r="O202" s="996"/>
      <c r="P202" s="742">
        <v>184</v>
      </c>
      <c r="Q202" s="1016" t="str">
        <f t="shared" ca="1" si="21"/>
        <v/>
      </c>
      <c r="R202" s="1027" t="str">
        <f t="shared" ca="1" si="22"/>
        <v/>
      </c>
      <c r="S202" s="1006" t="str">
        <f ca="1"/>
        <v/>
      </c>
      <c r="T202" s="1006" t="str">
        <f ca="1"/>
        <v/>
      </c>
      <c r="U202" s="1006" t="str">
        <f ca="1"/>
        <v/>
      </c>
      <c r="V202" s="1016" t="str">
        <f ca="1"/>
        <v/>
      </c>
      <c r="W202" s="1019" t="str">
        <f ca="1"/>
        <v/>
      </c>
      <c r="X202" s="1006" t="str">
        <f ca="1"/>
        <v/>
      </c>
      <c r="Y202" s="864" t="str">
        <f t="shared" ca="1" si="18"/>
        <v/>
      </c>
      <c r="AA202" s="828">
        <v>184</v>
      </c>
      <c r="AB202" s="750"/>
      <c r="AC202" s="842"/>
      <c r="AD202" s="830"/>
      <c r="AE202" s="839"/>
      <c r="AF202" s="839"/>
      <c r="AG202" s="750"/>
      <c r="AH202" s="840"/>
      <c r="AI202" s="839"/>
      <c r="AJ202" s="841"/>
      <c r="AK202" s="108" t="s">
        <v>12</v>
      </c>
      <c r="AL202" s="847">
        <v>184</v>
      </c>
      <c r="AM202" s="857"/>
      <c r="AN202" s="842"/>
      <c r="AO202" s="839"/>
      <c r="AP202" s="839"/>
      <c r="AQ202" s="839"/>
      <c r="AR202" s="750"/>
      <c r="AS202" s="840"/>
      <c r="AT202" s="839"/>
      <c r="AU202" s="856"/>
      <c r="AV202" s="108" t="s">
        <v>12</v>
      </c>
    </row>
    <row r="203" spans="4:48">
      <c r="D203" s="108" t="s">
        <v>12</v>
      </c>
      <c r="E203" s="742">
        <v>185</v>
      </c>
      <c r="F203" s="1016" t="str">
        <f t="shared" ca="1" si="19"/>
        <v/>
      </c>
      <c r="G203" s="1027" t="str">
        <f t="shared" ca="1" si="20"/>
        <v/>
      </c>
      <c r="H203" s="1043" t="str">
        <f ca="1"/>
        <v/>
      </c>
      <c r="I203" s="1006" t="str">
        <f ca="1"/>
        <v/>
      </c>
      <c r="J203" s="1006" t="str">
        <f ca="1"/>
        <v/>
      </c>
      <c r="K203" s="1016" t="str">
        <f ca="1"/>
        <v/>
      </c>
      <c r="L203" s="1019" t="str">
        <f ca="1"/>
        <v/>
      </c>
      <c r="M203" s="1006" t="str">
        <f ca="1"/>
        <v/>
      </c>
      <c r="N203" s="1060" t="str">
        <f t="shared" ca="1" si="17"/>
        <v/>
      </c>
      <c r="O203" s="996"/>
      <c r="P203" s="742">
        <v>185</v>
      </c>
      <c r="Q203" s="1016" t="str">
        <f t="shared" ca="1" si="21"/>
        <v/>
      </c>
      <c r="R203" s="1027" t="str">
        <f t="shared" ca="1" si="22"/>
        <v/>
      </c>
      <c r="S203" s="1006" t="str">
        <f ca="1"/>
        <v/>
      </c>
      <c r="T203" s="1006" t="str">
        <f ca="1"/>
        <v/>
      </c>
      <c r="U203" s="1006" t="str">
        <f ca="1"/>
        <v/>
      </c>
      <c r="V203" s="1016" t="str">
        <f ca="1"/>
        <v/>
      </c>
      <c r="W203" s="1019" t="str">
        <f ca="1"/>
        <v/>
      </c>
      <c r="X203" s="1006" t="str">
        <f ca="1"/>
        <v/>
      </c>
      <c r="Y203" s="864" t="str">
        <f t="shared" ca="1" si="18"/>
        <v/>
      </c>
      <c r="AA203" s="828">
        <v>185</v>
      </c>
      <c r="AB203" s="750"/>
      <c r="AC203" s="842"/>
      <c r="AD203" s="830"/>
      <c r="AE203" s="839"/>
      <c r="AF203" s="839"/>
      <c r="AG203" s="750"/>
      <c r="AH203" s="840"/>
      <c r="AI203" s="839"/>
      <c r="AJ203" s="841"/>
      <c r="AK203" s="108" t="s">
        <v>12</v>
      </c>
      <c r="AL203" s="847">
        <v>185</v>
      </c>
      <c r="AM203" s="857"/>
      <c r="AN203" s="842"/>
      <c r="AO203" s="839"/>
      <c r="AP203" s="839"/>
      <c r="AQ203" s="839"/>
      <c r="AR203" s="750"/>
      <c r="AS203" s="840"/>
      <c r="AT203" s="839"/>
      <c r="AU203" s="856"/>
      <c r="AV203" s="108" t="s">
        <v>12</v>
      </c>
    </row>
    <row r="204" spans="4:48">
      <c r="D204" s="108" t="s">
        <v>12</v>
      </c>
      <c r="E204" s="742">
        <v>186</v>
      </c>
      <c r="F204" s="1016" t="str">
        <f t="shared" ca="1" si="19"/>
        <v/>
      </c>
      <c r="G204" s="1027" t="str">
        <f t="shared" ca="1" si="20"/>
        <v/>
      </c>
      <c r="H204" s="1043" t="str">
        <f ca="1"/>
        <v/>
      </c>
      <c r="I204" s="1006" t="str">
        <f ca="1"/>
        <v/>
      </c>
      <c r="J204" s="1006" t="str">
        <f ca="1"/>
        <v/>
      </c>
      <c r="K204" s="1016" t="str">
        <f ca="1"/>
        <v/>
      </c>
      <c r="L204" s="1019" t="str">
        <f ca="1"/>
        <v/>
      </c>
      <c r="M204" s="1006" t="str">
        <f ca="1"/>
        <v/>
      </c>
      <c r="N204" s="1060" t="str">
        <f t="shared" ca="1" si="17"/>
        <v/>
      </c>
      <c r="O204" s="996"/>
      <c r="P204" s="742">
        <v>186</v>
      </c>
      <c r="Q204" s="1016" t="str">
        <f t="shared" ca="1" si="21"/>
        <v/>
      </c>
      <c r="R204" s="1027" t="str">
        <f t="shared" ca="1" si="22"/>
        <v/>
      </c>
      <c r="S204" s="1006" t="str">
        <f ca="1"/>
        <v/>
      </c>
      <c r="T204" s="1006" t="str">
        <f ca="1"/>
        <v/>
      </c>
      <c r="U204" s="1006" t="str">
        <f ca="1"/>
        <v/>
      </c>
      <c r="V204" s="1016" t="str">
        <f ca="1"/>
        <v/>
      </c>
      <c r="W204" s="1019" t="str">
        <f ca="1"/>
        <v/>
      </c>
      <c r="X204" s="1006" t="str">
        <f ca="1"/>
        <v/>
      </c>
      <c r="Y204" s="864" t="str">
        <f t="shared" ca="1" si="18"/>
        <v/>
      </c>
      <c r="AA204" s="828">
        <v>186</v>
      </c>
      <c r="AB204" s="750"/>
      <c r="AC204" s="842"/>
      <c r="AD204" s="830"/>
      <c r="AE204" s="839"/>
      <c r="AF204" s="839"/>
      <c r="AG204" s="750"/>
      <c r="AH204" s="840"/>
      <c r="AI204" s="839"/>
      <c r="AJ204" s="841"/>
      <c r="AK204" s="108" t="s">
        <v>12</v>
      </c>
      <c r="AL204" s="847">
        <v>186</v>
      </c>
      <c r="AM204" s="857"/>
      <c r="AN204" s="842"/>
      <c r="AO204" s="839"/>
      <c r="AP204" s="839"/>
      <c r="AQ204" s="839"/>
      <c r="AR204" s="750"/>
      <c r="AS204" s="840"/>
      <c r="AT204" s="839"/>
      <c r="AU204" s="856"/>
      <c r="AV204" s="108" t="s">
        <v>12</v>
      </c>
    </row>
    <row r="205" spans="4:48">
      <c r="D205" s="108" t="s">
        <v>12</v>
      </c>
      <c r="E205" s="742">
        <v>187</v>
      </c>
      <c r="F205" s="1016" t="str">
        <f t="shared" ca="1" si="19"/>
        <v/>
      </c>
      <c r="G205" s="1027" t="str">
        <f t="shared" ca="1" si="20"/>
        <v/>
      </c>
      <c r="H205" s="1043" t="str">
        <f ca="1"/>
        <v/>
      </c>
      <c r="I205" s="1006" t="str">
        <f ca="1"/>
        <v/>
      </c>
      <c r="J205" s="1006" t="str">
        <f ca="1"/>
        <v/>
      </c>
      <c r="K205" s="1016" t="str">
        <f ca="1"/>
        <v/>
      </c>
      <c r="L205" s="1019" t="str">
        <f ca="1"/>
        <v/>
      </c>
      <c r="M205" s="1006" t="str">
        <f ca="1"/>
        <v/>
      </c>
      <c r="N205" s="1060" t="str">
        <f t="shared" ca="1" si="17"/>
        <v/>
      </c>
      <c r="O205" s="996"/>
      <c r="P205" s="742">
        <v>187</v>
      </c>
      <c r="Q205" s="1016" t="str">
        <f t="shared" ca="1" si="21"/>
        <v/>
      </c>
      <c r="R205" s="1027" t="str">
        <f t="shared" ca="1" si="22"/>
        <v/>
      </c>
      <c r="S205" s="1006" t="str">
        <f ca="1"/>
        <v/>
      </c>
      <c r="T205" s="1006" t="str">
        <f ca="1"/>
        <v/>
      </c>
      <c r="U205" s="1006" t="str">
        <f ca="1"/>
        <v/>
      </c>
      <c r="V205" s="1016" t="str">
        <f ca="1"/>
        <v/>
      </c>
      <c r="W205" s="1019" t="str">
        <f ca="1"/>
        <v/>
      </c>
      <c r="X205" s="1006" t="str">
        <f ca="1"/>
        <v/>
      </c>
      <c r="Y205" s="864" t="str">
        <f t="shared" ca="1" si="18"/>
        <v/>
      </c>
      <c r="AA205" s="828">
        <v>187</v>
      </c>
      <c r="AB205" s="750"/>
      <c r="AC205" s="842"/>
      <c r="AD205" s="830"/>
      <c r="AE205" s="839"/>
      <c r="AF205" s="839"/>
      <c r="AG205" s="750"/>
      <c r="AH205" s="840"/>
      <c r="AI205" s="839"/>
      <c r="AJ205" s="841"/>
      <c r="AK205" s="108" t="s">
        <v>12</v>
      </c>
      <c r="AL205" s="847">
        <v>187</v>
      </c>
      <c r="AM205" s="857"/>
      <c r="AN205" s="842"/>
      <c r="AO205" s="839"/>
      <c r="AP205" s="839"/>
      <c r="AQ205" s="839"/>
      <c r="AR205" s="750"/>
      <c r="AS205" s="840"/>
      <c r="AT205" s="839"/>
      <c r="AU205" s="856"/>
      <c r="AV205" s="108" t="s">
        <v>12</v>
      </c>
    </row>
    <row r="206" spans="4:48">
      <c r="D206" s="108" t="s">
        <v>12</v>
      </c>
      <c r="E206" s="742">
        <v>188</v>
      </c>
      <c r="F206" s="1016" t="str">
        <f t="shared" ca="1" si="19"/>
        <v/>
      </c>
      <c r="G206" s="1027" t="str">
        <f t="shared" ca="1" si="20"/>
        <v/>
      </c>
      <c r="H206" s="1043" t="str">
        <f ca="1"/>
        <v/>
      </c>
      <c r="I206" s="1006" t="str">
        <f ca="1"/>
        <v/>
      </c>
      <c r="J206" s="1006" t="str">
        <f ca="1"/>
        <v/>
      </c>
      <c r="K206" s="1016" t="str">
        <f ca="1"/>
        <v/>
      </c>
      <c r="L206" s="1019" t="str">
        <f ca="1"/>
        <v/>
      </c>
      <c r="M206" s="1006" t="str">
        <f ca="1"/>
        <v/>
      </c>
      <c r="N206" s="1060" t="str">
        <f t="shared" ca="1" si="17"/>
        <v/>
      </c>
      <c r="O206" s="996"/>
      <c r="P206" s="742">
        <v>188</v>
      </c>
      <c r="Q206" s="1016" t="str">
        <f t="shared" ca="1" si="21"/>
        <v/>
      </c>
      <c r="R206" s="1027" t="str">
        <f t="shared" ca="1" si="22"/>
        <v/>
      </c>
      <c r="S206" s="1006" t="str">
        <f ca="1"/>
        <v/>
      </c>
      <c r="T206" s="1006" t="str">
        <f ca="1"/>
        <v/>
      </c>
      <c r="U206" s="1006" t="str">
        <f ca="1"/>
        <v/>
      </c>
      <c r="V206" s="1016" t="str">
        <f ca="1"/>
        <v/>
      </c>
      <c r="W206" s="1019" t="str">
        <f ca="1"/>
        <v/>
      </c>
      <c r="X206" s="1006" t="str">
        <f ca="1"/>
        <v/>
      </c>
      <c r="Y206" s="864" t="str">
        <f t="shared" ca="1" si="18"/>
        <v/>
      </c>
      <c r="AA206" s="828">
        <v>188</v>
      </c>
      <c r="AB206" s="750"/>
      <c r="AC206" s="842"/>
      <c r="AD206" s="830"/>
      <c r="AE206" s="839"/>
      <c r="AF206" s="839"/>
      <c r="AG206" s="750"/>
      <c r="AH206" s="840"/>
      <c r="AI206" s="839"/>
      <c r="AJ206" s="841"/>
      <c r="AK206" s="108" t="s">
        <v>12</v>
      </c>
      <c r="AL206" s="847">
        <v>188</v>
      </c>
      <c r="AM206" s="857"/>
      <c r="AN206" s="842"/>
      <c r="AO206" s="839"/>
      <c r="AP206" s="839"/>
      <c r="AQ206" s="839"/>
      <c r="AR206" s="750"/>
      <c r="AS206" s="840"/>
      <c r="AT206" s="839"/>
      <c r="AU206" s="856"/>
      <c r="AV206" s="108" t="s">
        <v>12</v>
      </c>
    </row>
    <row r="207" spans="4:48">
      <c r="D207" s="108" t="s">
        <v>12</v>
      </c>
      <c r="E207" s="742">
        <v>189</v>
      </c>
      <c r="F207" s="1016" t="str">
        <f t="shared" ca="1" si="19"/>
        <v/>
      </c>
      <c r="G207" s="1027" t="str">
        <f t="shared" ca="1" si="20"/>
        <v/>
      </c>
      <c r="H207" s="1043" t="str">
        <f ca="1"/>
        <v/>
      </c>
      <c r="I207" s="1006" t="str">
        <f ca="1"/>
        <v/>
      </c>
      <c r="J207" s="1006" t="str">
        <f ca="1"/>
        <v/>
      </c>
      <c r="K207" s="1016" t="str">
        <f ca="1"/>
        <v/>
      </c>
      <c r="L207" s="1019" t="str">
        <f ca="1"/>
        <v/>
      </c>
      <c r="M207" s="1006" t="str">
        <f ca="1"/>
        <v/>
      </c>
      <c r="N207" s="1060" t="str">
        <f t="shared" ca="1" si="17"/>
        <v/>
      </c>
      <c r="O207" s="996"/>
      <c r="P207" s="742">
        <v>189</v>
      </c>
      <c r="Q207" s="1016" t="str">
        <f t="shared" ca="1" si="21"/>
        <v/>
      </c>
      <c r="R207" s="1027" t="str">
        <f t="shared" ca="1" si="22"/>
        <v/>
      </c>
      <c r="S207" s="1006" t="str">
        <f ca="1"/>
        <v/>
      </c>
      <c r="T207" s="1006" t="str">
        <f ca="1"/>
        <v/>
      </c>
      <c r="U207" s="1006" t="str">
        <f ca="1"/>
        <v/>
      </c>
      <c r="V207" s="1016" t="str">
        <f ca="1"/>
        <v/>
      </c>
      <c r="W207" s="1019" t="str">
        <f ca="1"/>
        <v/>
      </c>
      <c r="X207" s="1006" t="str">
        <f ca="1"/>
        <v/>
      </c>
      <c r="Y207" s="864" t="str">
        <f t="shared" ca="1" si="18"/>
        <v/>
      </c>
      <c r="AA207" s="828">
        <v>189</v>
      </c>
      <c r="AB207" s="750"/>
      <c r="AC207" s="842"/>
      <c r="AD207" s="830"/>
      <c r="AE207" s="839"/>
      <c r="AF207" s="839"/>
      <c r="AG207" s="750"/>
      <c r="AH207" s="840"/>
      <c r="AI207" s="839"/>
      <c r="AJ207" s="841"/>
      <c r="AK207" s="108" t="s">
        <v>12</v>
      </c>
      <c r="AL207" s="847">
        <v>189</v>
      </c>
      <c r="AM207" s="857"/>
      <c r="AN207" s="842"/>
      <c r="AO207" s="839"/>
      <c r="AP207" s="839"/>
      <c r="AQ207" s="839"/>
      <c r="AR207" s="750"/>
      <c r="AS207" s="840"/>
      <c r="AT207" s="839"/>
      <c r="AU207" s="856"/>
      <c r="AV207" s="108" t="s">
        <v>12</v>
      </c>
    </row>
    <row r="208" spans="4:48">
      <c r="D208" s="108" t="s">
        <v>12</v>
      </c>
      <c r="E208" s="742">
        <v>190</v>
      </c>
      <c r="F208" s="1016" t="str">
        <f t="shared" ca="1" si="19"/>
        <v/>
      </c>
      <c r="G208" s="1027" t="str">
        <f t="shared" ca="1" si="20"/>
        <v/>
      </c>
      <c r="H208" s="1043" t="str">
        <f ca="1"/>
        <v/>
      </c>
      <c r="I208" s="1006" t="str">
        <f ca="1"/>
        <v/>
      </c>
      <c r="J208" s="1006" t="str">
        <f ca="1"/>
        <v/>
      </c>
      <c r="K208" s="1016" t="str">
        <f ca="1"/>
        <v/>
      </c>
      <c r="L208" s="1019" t="str">
        <f ca="1"/>
        <v/>
      </c>
      <c r="M208" s="1006" t="str">
        <f ca="1"/>
        <v/>
      </c>
      <c r="N208" s="1060" t="str">
        <f t="shared" ca="1" si="17"/>
        <v/>
      </c>
      <c r="O208" s="996"/>
      <c r="P208" s="742">
        <v>190</v>
      </c>
      <c r="Q208" s="1016" t="str">
        <f t="shared" ca="1" si="21"/>
        <v/>
      </c>
      <c r="R208" s="1027" t="str">
        <f t="shared" ca="1" si="22"/>
        <v/>
      </c>
      <c r="S208" s="1006" t="str">
        <f ca="1"/>
        <v/>
      </c>
      <c r="T208" s="1006" t="str">
        <f ca="1"/>
        <v/>
      </c>
      <c r="U208" s="1006" t="str">
        <f ca="1"/>
        <v/>
      </c>
      <c r="V208" s="1016" t="str">
        <f ca="1"/>
        <v/>
      </c>
      <c r="W208" s="1019" t="str">
        <f ca="1"/>
        <v/>
      </c>
      <c r="X208" s="1006" t="str">
        <f ca="1"/>
        <v/>
      </c>
      <c r="Y208" s="864" t="str">
        <f t="shared" ca="1" si="18"/>
        <v/>
      </c>
      <c r="AA208" s="828">
        <v>190</v>
      </c>
      <c r="AB208" s="750"/>
      <c r="AC208" s="842"/>
      <c r="AD208" s="830"/>
      <c r="AE208" s="839"/>
      <c r="AF208" s="839"/>
      <c r="AG208" s="750"/>
      <c r="AH208" s="840"/>
      <c r="AI208" s="839"/>
      <c r="AJ208" s="841"/>
      <c r="AK208" s="108" t="s">
        <v>12</v>
      </c>
      <c r="AL208" s="847">
        <v>190</v>
      </c>
      <c r="AM208" s="857"/>
      <c r="AN208" s="842"/>
      <c r="AO208" s="839"/>
      <c r="AP208" s="839"/>
      <c r="AQ208" s="839"/>
      <c r="AR208" s="750"/>
      <c r="AS208" s="840"/>
      <c r="AT208" s="839"/>
      <c r="AU208" s="856"/>
      <c r="AV208" s="108" t="s">
        <v>12</v>
      </c>
    </row>
    <row r="209" spans="4:48">
      <c r="D209" s="108" t="s">
        <v>12</v>
      </c>
      <c r="E209" s="742">
        <v>191</v>
      </c>
      <c r="F209" s="1016" t="str">
        <f t="shared" ca="1" si="19"/>
        <v/>
      </c>
      <c r="G209" s="1027" t="str">
        <f t="shared" ca="1" si="20"/>
        <v/>
      </c>
      <c r="H209" s="1043" t="str">
        <f ca="1"/>
        <v/>
      </c>
      <c r="I209" s="1006" t="str">
        <f ca="1"/>
        <v/>
      </c>
      <c r="J209" s="1006" t="str">
        <f ca="1"/>
        <v/>
      </c>
      <c r="K209" s="1016" t="str">
        <f ca="1"/>
        <v/>
      </c>
      <c r="L209" s="1019" t="str">
        <f ca="1"/>
        <v/>
      </c>
      <c r="M209" s="1006" t="str">
        <f ca="1"/>
        <v/>
      </c>
      <c r="N209" s="1060" t="str">
        <f t="shared" ca="1" si="17"/>
        <v/>
      </c>
      <c r="O209" s="996"/>
      <c r="P209" s="742">
        <v>191</v>
      </c>
      <c r="Q209" s="1016" t="str">
        <f t="shared" ca="1" si="21"/>
        <v/>
      </c>
      <c r="R209" s="1027" t="str">
        <f t="shared" ca="1" si="22"/>
        <v/>
      </c>
      <c r="S209" s="1006" t="str">
        <f ca="1"/>
        <v/>
      </c>
      <c r="T209" s="1006" t="str">
        <f ca="1"/>
        <v/>
      </c>
      <c r="U209" s="1006" t="str">
        <f ca="1"/>
        <v/>
      </c>
      <c r="V209" s="1016" t="str">
        <f ca="1"/>
        <v/>
      </c>
      <c r="W209" s="1019" t="str">
        <f ca="1"/>
        <v/>
      </c>
      <c r="X209" s="1006" t="str">
        <f ca="1"/>
        <v/>
      </c>
      <c r="Y209" s="864" t="str">
        <f t="shared" ca="1" si="18"/>
        <v/>
      </c>
      <c r="AA209" s="828">
        <v>191</v>
      </c>
      <c r="AB209" s="750"/>
      <c r="AC209" s="842"/>
      <c r="AD209" s="830"/>
      <c r="AE209" s="839"/>
      <c r="AF209" s="839"/>
      <c r="AG209" s="750"/>
      <c r="AH209" s="840"/>
      <c r="AI209" s="839"/>
      <c r="AJ209" s="841"/>
      <c r="AK209" s="108" t="s">
        <v>12</v>
      </c>
      <c r="AL209" s="847">
        <v>191</v>
      </c>
      <c r="AM209" s="857"/>
      <c r="AN209" s="842"/>
      <c r="AO209" s="839"/>
      <c r="AP209" s="839"/>
      <c r="AQ209" s="839"/>
      <c r="AR209" s="750"/>
      <c r="AS209" s="840"/>
      <c r="AT209" s="839"/>
      <c r="AU209" s="856"/>
      <c r="AV209" s="108" t="s">
        <v>12</v>
      </c>
    </row>
    <row r="210" spans="4:48">
      <c r="D210" s="108" t="s">
        <v>12</v>
      </c>
      <c r="E210" s="742">
        <v>192</v>
      </c>
      <c r="F210" s="1016" t="str">
        <f t="shared" ca="1" si="19"/>
        <v/>
      </c>
      <c r="G210" s="1027" t="str">
        <f t="shared" ca="1" si="20"/>
        <v/>
      </c>
      <c r="H210" s="1043" t="str">
        <f ca="1"/>
        <v/>
      </c>
      <c r="I210" s="1006" t="str">
        <f ca="1"/>
        <v/>
      </c>
      <c r="J210" s="1006" t="str">
        <f ca="1"/>
        <v/>
      </c>
      <c r="K210" s="1016" t="str">
        <f ca="1"/>
        <v/>
      </c>
      <c r="L210" s="1019" t="str">
        <f ca="1"/>
        <v/>
      </c>
      <c r="M210" s="1006" t="str">
        <f ca="1"/>
        <v/>
      </c>
      <c r="N210" s="1060" t="str">
        <f t="shared" ca="1" si="17"/>
        <v/>
      </c>
      <c r="O210" s="996"/>
      <c r="P210" s="742">
        <v>192</v>
      </c>
      <c r="Q210" s="1016" t="str">
        <f t="shared" ca="1" si="21"/>
        <v/>
      </c>
      <c r="R210" s="1027" t="str">
        <f t="shared" ca="1" si="22"/>
        <v/>
      </c>
      <c r="S210" s="1006" t="str">
        <f ca="1"/>
        <v/>
      </c>
      <c r="T210" s="1006" t="str">
        <f ca="1"/>
        <v/>
      </c>
      <c r="U210" s="1006" t="str">
        <f ca="1"/>
        <v/>
      </c>
      <c r="V210" s="1016" t="str">
        <f ca="1"/>
        <v/>
      </c>
      <c r="W210" s="1019" t="str">
        <f ca="1"/>
        <v/>
      </c>
      <c r="X210" s="1006" t="str">
        <f ca="1"/>
        <v/>
      </c>
      <c r="Y210" s="864" t="str">
        <f t="shared" ca="1" si="18"/>
        <v/>
      </c>
      <c r="AA210" s="828">
        <v>192</v>
      </c>
      <c r="AB210" s="750"/>
      <c r="AC210" s="842"/>
      <c r="AD210" s="830"/>
      <c r="AE210" s="839"/>
      <c r="AF210" s="839"/>
      <c r="AG210" s="750"/>
      <c r="AH210" s="840"/>
      <c r="AI210" s="839"/>
      <c r="AJ210" s="841"/>
      <c r="AK210" s="108" t="s">
        <v>12</v>
      </c>
      <c r="AL210" s="847">
        <v>192</v>
      </c>
      <c r="AM210" s="857"/>
      <c r="AN210" s="842"/>
      <c r="AO210" s="839"/>
      <c r="AP210" s="839"/>
      <c r="AQ210" s="839"/>
      <c r="AR210" s="750"/>
      <c r="AS210" s="840"/>
      <c r="AT210" s="839"/>
      <c r="AU210" s="856"/>
      <c r="AV210" s="108" t="s">
        <v>12</v>
      </c>
    </row>
    <row r="211" spans="4:48">
      <c r="D211" s="108" t="s">
        <v>12</v>
      </c>
      <c r="E211" s="742">
        <v>193</v>
      </c>
      <c r="F211" s="1016" t="str">
        <f t="shared" ca="1" si="19"/>
        <v/>
      </c>
      <c r="G211" s="1027" t="str">
        <f t="shared" ca="1" si="20"/>
        <v/>
      </c>
      <c r="H211" s="1043" t="str">
        <f ca="1"/>
        <v/>
      </c>
      <c r="I211" s="1006" t="str">
        <f ca="1"/>
        <v/>
      </c>
      <c r="J211" s="1006" t="str">
        <f ca="1"/>
        <v/>
      </c>
      <c r="K211" s="1016" t="str">
        <f ca="1"/>
        <v/>
      </c>
      <c r="L211" s="1019" t="str">
        <f ca="1"/>
        <v/>
      </c>
      <c r="M211" s="1006" t="str">
        <f ca="1"/>
        <v/>
      </c>
      <c r="N211" s="1060" t="str">
        <f t="shared" ref="N211:N274" ca="1" si="23">IF($I211="","",VNS.FixedRate)</f>
        <v/>
      </c>
      <c r="O211" s="996"/>
      <c r="P211" s="742">
        <v>193</v>
      </c>
      <c r="Q211" s="1016" t="str">
        <f t="shared" ca="1" si="21"/>
        <v/>
      </c>
      <c r="R211" s="1027" t="str">
        <f t="shared" ca="1" si="22"/>
        <v/>
      </c>
      <c r="S211" s="1006" t="str">
        <f ca="1"/>
        <v/>
      </c>
      <c r="T211" s="1006" t="str">
        <f ca="1"/>
        <v/>
      </c>
      <c r="U211" s="1006" t="str">
        <f ca="1"/>
        <v/>
      </c>
      <c r="V211" s="1016" t="str">
        <f ca="1"/>
        <v/>
      </c>
      <c r="W211" s="1019" t="str">
        <f ca="1"/>
        <v/>
      </c>
      <c r="X211" s="1006" t="str">
        <f ca="1"/>
        <v/>
      </c>
      <c r="Y211" s="864" t="str">
        <f t="shared" ref="Y211:Y274" ca="1" si="24">IF($T211="","",VNS.FloatSpread)</f>
        <v/>
      </c>
      <c r="AA211" s="828">
        <v>193</v>
      </c>
      <c r="AB211" s="750"/>
      <c r="AC211" s="842"/>
      <c r="AD211" s="830"/>
      <c r="AE211" s="839"/>
      <c r="AF211" s="839"/>
      <c r="AG211" s="750"/>
      <c r="AH211" s="840"/>
      <c r="AI211" s="839"/>
      <c r="AJ211" s="841"/>
      <c r="AK211" s="108" t="s">
        <v>12</v>
      </c>
      <c r="AL211" s="847">
        <v>193</v>
      </c>
      <c r="AM211" s="857"/>
      <c r="AN211" s="842"/>
      <c r="AO211" s="839"/>
      <c r="AP211" s="839"/>
      <c r="AQ211" s="839"/>
      <c r="AR211" s="750"/>
      <c r="AS211" s="840"/>
      <c r="AT211" s="839"/>
      <c r="AU211" s="856"/>
      <c r="AV211" s="108" t="s">
        <v>12</v>
      </c>
    </row>
    <row r="212" spans="4:48">
      <c r="D212" s="108" t="s">
        <v>12</v>
      </c>
      <c r="E212" s="742">
        <v>194</v>
      </c>
      <c r="F212" s="1016" t="str">
        <f t="shared" ref="F212:F275" ca="1" si="25">IF($I212="","",IF(OR(VNS.FixedAmortization=0,VNS.FixedAmortization.Frequency=0),F211,IF(MOD(E212-1,VNS.FixedAmortization.Frequency)=0,F211-VNS.FixedAmortization,F211)))</f>
        <v/>
      </c>
      <c r="G212" s="1027" t="str">
        <f t="shared" ref="G212:G275" ca="1" si="26">IF(I212="","",1)</f>
        <v/>
      </c>
      <c r="H212" s="1043" t="str">
        <f ca="1"/>
        <v/>
      </c>
      <c r="I212" s="1006" t="str">
        <f ca="1"/>
        <v/>
      </c>
      <c r="J212" s="1006" t="str">
        <f ca="1"/>
        <v/>
      </c>
      <c r="K212" s="1016" t="str">
        <f ca="1"/>
        <v/>
      </c>
      <c r="L212" s="1019" t="str">
        <f ca="1"/>
        <v/>
      </c>
      <c r="M212" s="1006" t="str">
        <f ca="1"/>
        <v/>
      </c>
      <c r="N212" s="1060" t="str">
        <f t="shared" ca="1" si="23"/>
        <v/>
      </c>
      <c r="O212" s="996"/>
      <c r="P212" s="742">
        <v>194</v>
      </c>
      <c r="Q212" s="1016" t="str">
        <f t="shared" ref="Q212:Q275" ca="1" si="27">IF($T212="","",IF(OR(VNS.FloatAmortization=0,VNS.FloatAmortization.Frequency=0),Q211,IF(MOD(P212-1,VNS.FloatAmortization.Frequency)=0,Q211-VNS.FloatAmortization,Q211)))</f>
        <v/>
      </c>
      <c r="R212" s="1027" t="str">
        <f t="shared" ca="1" si="22"/>
        <v/>
      </c>
      <c r="S212" s="1006" t="str">
        <f ca="1"/>
        <v/>
      </c>
      <c r="T212" s="1006" t="str">
        <f ca="1"/>
        <v/>
      </c>
      <c r="U212" s="1006" t="str">
        <f ca="1"/>
        <v/>
      </c>
      <c r="V212" s="1016" t="str">
        <f ca="1"/>
        <v/>
      </c>
      <c r="W212" s="1019" t="str">
        <f ca="1"/>
        <v/>
      </c>
      <c r="X212" s="1006" t="str">
        <f ca="1"/>
        <v/>
      </c>
      <c r="Y212" s="864" t="str">
        <f t="shared" ca="1" si="24"/>
        <v/>
      </c>
      <c r="AA212" s="828">
        <v>194</v>
      </c>
      <c r="AB212" s="750"/>
      <c r="AC212" s="842"/>
      <c r="AD212" s="830"/>
      <c r="AE212" s="839"/>
      <c r="AF212" s="839"/>
      <c r="AG212" s="750"/>
      <c r="AH212" s="840"/>
      <c r="AI212" s="839"/>
      <c r="AJ212" s="841"/>
      <c r="AK212" s="108" t="s">
        <v>12</v>
      </c>
      <c r="AL212" s="847">
        <v>194</v>
      </c>
      <c r="AM212" s="857"/>
      <c r="AN212" s="842"/>
      <c r="AO212" s="839"/>
      <c r="AP212" s="839"/>
      <c r="AQ212" s="839"/>
      <c r="AR212" s="750"/>
      <c r="AS212" s="840"/>
      <c r="AT212" s="839"/>
      <c r="AU212" s="856"/>
      <c r="AV212" s="108" t="s">
        <v>12</v>
      </c>
    </row>
    <row r="213" spans="4:48">
      <c r="D213" s="108" t="s">
        <v>12</v>
      </c>
      <c r="E213" s="742">
        <v>195</v>
      </c>
      <c r="F213" s="1016" t="str">
        <f t="shared" ca="1" si="25"/>
        <v/>
      </c>
      <c r="G213" s="1027" t="str">
        <f t="shared" ca="1" si="26"/>
        <v/>
      </c>
      <c r="H213" s="1043" t="str">
        <f ca="1"/>
        <v/>
      </c>
      <c r="I213" s="1006" t="str">
        <f ca="1"/>
        <v/>
      </c>
      <c r="J213" s="1006" t="str">
        <f ca="1"/>
        <v/>
      </c>
      <c r="K213" s="1016" t="str">
        <f ca="1"/>
        <v/>
      </c>
      <c r="L213" s="1019" t="str">
        <f ca="1"/>
        <v/>
      </c>
      <c r="M213" s="1006" t="str">
        <f ca="1"/>
        <v/>
      </c>
      <c r="N213" s="1060" t="str">
        <f t="shared" ca="1" si="23"/>
        <v/>
      </c>
      <c r="O213" s="996"/>
      <c r="P213" s="742">
        <v>195</v>
      </c>
      <c r="Q213" s="1016" t="str">
        <f t="shared" ca="1" si="27"/>
        <v/>
      </c>
      <c r="R213" s="1027" t="str">
        <f t="shared" ca="1" si="22"/>
        <v/>
      </c>
      <c r="S213" s="1006" t="str">
        <f ca="1"/>
        <v/>
      </c>
      <c r="T213" s="1006" t="str">
        <f ca="1"/>
        <v/>
      </c>
      <c r="U213" s="1006" t="str">
        <f ca="1"/>
        <v/>
      </c>
      <c r="V213" s="1016" t="str">
        <f ca="1"/>
        <v/>
      </c>
      <c r="W213" s="1019" t="str">
        <f ca="1"/>
        <v/>
      </c>
      <c r="X213" s="1006" t="str">
        <f ca="1"/>
        <v/>
      </c>
      <c r="Y213" s="864" t="str">
        <f t="shared" ca="1" si="24"/>
        <v/>
      </c>
      <c r="AA213" s="828">
        <v>195</v>
      </c>
      <c r="AB213" s="750"/>
      <c r="AC213" s="842"/>
      <c r="AD213" s="830"/>
      <c r="AE213" s="839"/>
      <c r="AF213" s="839"/>
      <c r="AG213" s="750"/>
      <c r="AH213" s="840"/>
      <c r="AI213" s="839"/>
      <c r="AJ213" s="841"/>
      <c r="AK213" s="108" t="s">
        <v>12</v>
      </c>
      <c r="AL213" s="847">
        <v>195</v>
      </c>
      <c r="AM213" s="857"/>
      <c r="AN213" s="842"/>
      <c r="AO213" s="839"/>
      <c r="AP213" s="839"/>
      <c r="AQ213" s="839"/>
      <c r="AR213" s="750"/>
      <c r="AS213" s="840"/>
      <c r="AT213" s="839"/>
      <c r="AU213" s="856"/>
      <c r="AV213" s="108" t="s">
        <v>12</v>
      </c>
    </row>
    <row r="214" spans="4:48">
      <c r="D214" s="108" t="s">
        <v>12</v>
      </c>
      <c r="E214" s="742">
        <v>196</v>
      </c>
      <c r="F214" s="1016" t="str">
        <f t="shared" ca="1" si="25"/>
        <v/>
      </c>
      <c r="G214" s="1027" t="str">
        <f t="shared" ca="1" si="26"/>
        <v/>
      </c>
      <c r="H214" s="1043" t="str">
        <f ca="1"/>
        <v/>
      </c>
      <c r="I214" s="1006" t="str">
        <f ca="1"/>
        <v/>
      </c>
      <c r="J214" s="1006" t="str">
        <f ca="1"/>
        <v/>
      </c>
      <c r="K214" s="1016" t="str">
        <f ca="1"/>
        <v/>
      </c>
      <c r="L214" s="1019" t="str">
        <f ca="1"/>
        <v/>
      </c>
      <c r="M214" s="1006" t="str">
        <f ca="1"/>
        <v/>
      </c>
      <c r="N214" s="1060" t="str">
        <f t="shared" ca="1" si="23"/>
        <v/>
      </c>
      <c r="O214" s="996"/>
      <c r="P214" s="742">
        <v>196</v>
      </c>
      <c r="Q214" s="1016" t="str">
        <f t="shared" ca="1" si="27"/>
        <v/>
      </c>
      <c r="R214" s="1027" t="str">
        <f t="shared" ca="1" si="22"/>
        <v/>
      </c>
      <c r="S214" s="1006" t="str">
        <f ca="1"/>
        <v/>
      </c>
      <c r="T214" s="1006" t="str">
        <f ca="1"/>
        <v/>
      </c>
      <c r="U214" s="1006" t="str">
        <f ca="1"/>
        <v/>
      </c>
      <c r="V214" s="1016" t="str">
        <f ca="1"/>
        <v/>
      </c>
      <c r="W214" s="1019" t="str">
        <f ca="1"/>
        <v/>
      </c>
      <c r="X214" s="1006" t="str">
        <f ca="1"/>
        <v/>
      </c>
      <c r="Y214" s="864" t="str">
        <f t="shared" ca="1" si="24"/>
        <v/>
      </c>
      <c r="AA214" s="828">
        <v>196</v>
      </c>
      <c r="AB214" s="750"/>
      <c r="AC214" s="842"/>
      <c r="AD214" s="830"/>
      <c r="AE214" s="839"/>
      <c r="AF214" s="839"/>
      <c r="AG214" s="750"/>
      <c r="AH214" s="840"/>
      <c r="AI214" s="839"/>
      <c r="AJ214" s="841"/>
      <c r="AK214" s="108" t="s">
        <v>12</v>
      </c>
      <c r="AL214" s="847">
        <v>196</v>
      </c>
      <c r="AM214" s="857"/>
      <c r="AN214" s="842"/>
      <c r="AO214" s="839"/>
      <c r="AP214" s="839"/>
      <c r="AQ214" s="839"/>
      <c r="AR214" s="750"/>
      <c r="AS214" s="840"/>
      <c r="AT214" s="839"/>
      <c r="AU214" s="856"/>
      <c r="AV214" s="108" t="s">
        <v>12</v>
      </c>
    </row>
    <row r="215" spans="4:48">
      <c r="D215" s="108" t="s">
        <v>12</v>
      </c>
      <c r="E215" s="742">
        <v>197</v>
      </c>
      <c r="F215" s="1016" t="str">
        <f t="shared" ca="1" si="25"/>
        <v/>
      </c>
      <c r="G215" s="1027" t="str">
        <f t="shared" ca="1" si="26"/>
        <v/>
      </c>
      <c r="H215" s="1043" t="str">
        <f ca="1"/>
        <v/>
      </c>
      <c r="I215" s="1006" t="str">
        <f ca="1"/>
        <v/>
      </c>
      <c r="J215" s="1006" t="str">
        <f ca="1"/>
        <v/>
      </c>
      <c r="K215" s="1016" t="str">
        <f ca="1"/>
        <v/>
      </c>
      <c r="L215" s="1019" t="str">
        <f ca="1"/>
        <v/>
      </c>
      <c r="M215" s="1006" t="str">
        <f ca="1"/>
        <v/>
      </c>
      <c r="N215" s="1060" t="str">
        <f t="shared" ca="1" si="23"/>
        <v/>
      </c>
      <c r="O215" s="996"/>
      <c r="P215" s="742">
        <v>197</v>
      </c>
      <c r="Q215" s="1016" t="str">
        <f t="shared" ca="1" si="27"/>
        <v/>
      </c>
      <c r="R215" s="1027" t="str">
        <f t="shared" ca="1" si="22"/>
        <v/>
      </c>
      <c r="S215" s="1006" t="str">
        <f ca="1"/>
        <v/>
      </c>
      <c r="T215" s="1006" t="str">
        <f ca="1"/>
        <v/>
      </c>
      <c r="U215" s="1006" t="str">
        <f ca="1"/>
        <v/>
      </c>
      <c r="V215" s="1016" t="str">
        <f ca="1"/>
        <v/>
      </c>
      <c r="W215" s="1019" t="str">
        <f ca="1"/>
        <v/>
      </c>
      <c r="X215" s="1006" t="str">
        <f ca="1"/>
        <v/>
      </c>
      <c r="Y215" s="864" t="str">
        <f t="shared" ca="1" si="24"/>
        <v/>
      </c>
      <c r="AA215" s="828">
        <v>197</v>
      </c>
      <c r="AB215" s="750"/>
      <c r="AC215" s="842"/>
      <c r="AD215" s="830"/>
      <c r="AE215" s="839"/>
      <c r="AF215" s="839"/>
      <c r="AG215" s="750"/>
      <c r="AH215" s="840"/>
      <c r="AI215" s="839"/>
      <c r="AJ215" s="841"/>
      <c r="AK215" s="108" t="s">
        <v>12</v>
      </c>
      <c r="AL215" s="847">
        <v>197</v>
      </c>
      <c r="AM215" s="857"/>
      <c r="AN215" s="842"/>
      <c r="AO215" s="839"/>
      <c r="AP215" s="839"/>
      <c r="AQ215" s="839"/>
      <c r="AR215" s="750"/>
      <c r="AS215" s="840"/>
      <c r="AT215" s="839"/>
      <c r="AU215" s="856"/>
      <c r="AV215" s="108" t="s">
        <v>12</v>
      </c>
    </row>
    <row r="216" spans="4:48">
      <c r="D216" s="108" t="s">
        <v>12</v>
      </c>
      <c r="E216" s="742">
        <v>198</v>
      </c>
      <c r="F216" s="1016" t="str">
        <f t="shared" ca="1" si="25"/>
        <v/>
      </c>
      <c r="G216" s="1027" t="str">
        <f t="shared" ca="1" si="26"/>
        <v/>
      </c>
      <c r="H216" s="1043" t="str">
        <f ca="1"/>
        <v/>
      </c>
      <c r="I216" s="1006" t="str">
        <f ca="1"/>
        <v/>
      </c>
      <c r="J216" s="1006" t="str">
        <f ca="1"/>
        <v/>
      </c>
      <c r="K216" s="1016" t="str">
        <f ca="1"/>
        <v/>
      </c>
      <c r="L216" s="1019" t="str">
        <f ca="1"/>
        <v/>
      </c>
      <c r="M216" s="1006" t="str">
        <f ca="1"/>
        <v/>
      </c>
      <c r="N216" s="1060" t="str">
        <f t="shared" ca="1" si="23"/>
        <v/>
      </c>
      <c r="O216" s="996"/>
      <c r="P216" s="742">
        <v>198</v>
      </c>
      <c r="Q216" s="1016" t="str">
        <f t="shared" ca="1" si="27"/>
        <v/>
      </c>
      <c r="R216" s="1027" t="str">
        <f t="shared" ref="R216:R279" ca="1" si="28">IF(T216="","",1)</f>
        <v/>
      </c>
      <c r="S216" s="1006" t="str">
        <f ca="1"/>
        <v/>
      </c>
      <c r="T216" s="1006" t="str">
        <f ca="1"/>
        <v/>
      </c>
      <c r="U216" s="1006" t="str">
        <f ca="1"/>
        <v/>
      </c>
      <c r="V216" s="1016" t="str">
        <f ca="1"/>
        <v/>
      </c>
      <c r="W216" s="1019" t="str">
        <f ca="1"/>
        <v/>
      </c>
      <c r="X216" s="1006" t="str">
        <f ca="1"/>
        <v/>
      </c>
      <c r="Y216" s="864" t="str">
        <f t="shared" ca="1" si="24"/>
        <v/>
      </c>
      <c r="AA216" s="828">
        <v>198</v>
      </c>
      <c r="AB216" s="750"/>
      <c r="AC216" s="842"/>
      <c r="AD216" s="830"/>
      <c r="AE216" s="839"/>
      <c r="AF216" s="839"/>
      <c r="AG216" s="750"/>
      <c r="AH216" s="840"/>
      <c r="AI216" s="839"/>
      <c r="AJ216" s="841"/>
      <c r="AK216" s="108" t="s">
        <v>12</v>
      </c>
      <c r="AL216" s="847">
        <v>198</v>
      </c>
      <c r="AM216" s="857"/>
      <c r="AN216" s="842"/>
      <c r="AO216" s="839"/>
      <c r="AP216" s="839"/>
      <c r="AQ216" s="839"/>
      <c r="AR216" s="750"/>
      <c r="AS216" s="840"/>
      <c r="AT216" s="839"/>
      <c r="AU216" s="856"/>
      <c r="AV216" s="108" t="s">
        <v>12</v>
      </c>
    </row>
    <row r="217" spans="4:48">
      <c r="D217" s="108" t="s">
        <v>12</v>
      </c>
      <c r="E217" s="742">
        <v>199</v>
      </c>
      <c r="F217" s="1016" t="str">
        <f t="shared" ca="1" si="25"/>
        <v/>
      </c>
      <c r="G217" s="1027" t="str">
        <f t="shared" ca="1" si="26"/>
        <v/>
      </c>
      <c r="H217" s="1043" t="str">
        <f ca="1"/>
        <v/>
      </c>
      <c r="I217" s="1006" t="str">
        <f ca="1"/>
        <v/>
      </c>
      <c r="J217" s="1006" t="str">
        <f ca="1"/>
        <v/>
      </c>
      <c r="K217" s="1016" t="str">
        <f ca="1"/>
        <v/>
      </c>
      <c r="L217" s="1019" t="str">
        <f ca="1"/>
        <v/>
      </c>
      <c r="M217" s="1006" t="str">
        <f ca="1"/>
        <v/>
      </c>
      <c r="N217" s="1060" t="str">
        <f t="shared" ca="1" si="23"/>
        <v/>
      </c>
      <c r="O217" s="996"/>
      <c r="P217" s="742">
        <v>199</v>
      </c>
      <c r="Q217" s="1016" t="str">
        <f t="shared" ca="1" si="27"/>
        <v/>
      </c>
      <c r="R217" s="1027" t="str">
        <f t="shared" ca="1" si="28"/>
        <v/>
      </c>
      <c r="S217" s="1006" t="str">
        <f ca="1"/>
        <v/>
      </c>
      <c r="T217" s="1006" t="str">
        <f ca="1"/>
        <v/>
      </c>
      <c r="U217" s="1006" t="str">
        <f ca="1"/>
        <v/>
      </c>
      <c r="V217" s="1016" t="str">
        <f ca="1"/>
        <v/>
      </c>
      <c r="W217" s="1019" t="str">
        <f ca="1"/>
        <v/>
      </c>
      <c r="X217" s="1006" t="str">
        <f ca="1"/>
        <v/>
      </c>
      <c r="Y217" s="864" t="str">
        <f t="shared" ca="1" si="24"/>
        <v/>
      </c>
      <c r="AA217" s="828">
        <v>199</v>
      </c>
      <c r="AB217" s="750"/>
      <c r="AC217" s="842"/>
      <c r="AD217" s="830"/>
      <c r="AE217" s="839"/>
      <c r="AF217" s="839"/>
      <c r="AG217" s="750"/>
      <c r="AH217" s="840"/>
      <c r="AI217" s="839"/>
      <c r="AJ217" s="841"/>
      <c r="AK217" s="108" t="s">
        <v>12</v>
      </c>
      <c r="AL217" s="847">
        <v>199</v>
      </c>
      <c r="AM217" s="857"/>
      <c r="AN217" s="842"/>
      <c r="AO217" s="839"/>
      <c r="AP217" s="839"/>
      <c r="AQ217" s="839"/>
      <c r="AR217" s="750"/>
      <c r="AS217" s="840"/>
      <c r="AT217" s="839"/>
      <c r="AU217" s="856"/>
      <c r="AV217" s="108" t="s">
        <v>12</v>
      </c>
    </row>
    <row r="218" spans="4:48">
      <c r="D218" s="108" t="s">
        <v>12</v>
      </c>
      <c r="E218" s="742">
        <v>200</v>
      </c>
      <c r="F218" s="1016" t="str">
        <f t="shared" ca="1" si="25"/>
        <v/>
      </c>
      <c r="G218" s="1027" t="str">
        <f t="shared" ca="1" si="26"/>
        <v/>
      </c>
      <c r="H218" s="1043" t="str">
        <f ca="1"/>
        <v/>
      </c>
      <c r="I218" s="1006" t="str">
        <f ca="1"/>
        <v/>
      </c>
      <c r="J218" s="1006" t="str">
        <f ca="1"/>
        <v/>
      </c>
      <c r="K218" s="1016" t="str">
        <f ca="1"/>
        <v/>
      </c>
      <c r="L218" s="1019" t="str">
        <f ca="1"/>
        <v/>
      </c>
      <c r="M218" s="1006" t="str">
        <f ca="1"/>
        <v/>
      </c>
      <c r="N218" s="1060" t="str">
        <f t="shared" ca="1" si="23"/>
        <v/>
      </c>
      <c r="O218" s="996"/>
      <c r="P218" s="742">
        <v>200</v>
      </c>
      <c r="Q218" s="1016" t="str">
        <f t="shared" ca="1" si="27"/>
        <v/>
      </c>
      <c r="R218" s="1027" t="str">
        <f t="shared" ca="1" si="28"/>
        <v/>
      </c>
      <c r="S218" s="1006" t="str">
        <f ca="1"/>
        <v/>
      </c>
      <c r="T218" s="1006" t="str">
        <f ca="1"/>
        <v/>
      </c>
      <c r="U218" s="1006" t="str">
        <f ca="1"/>
        <v/>
      </c>
      <c r="V218" s="1016" t="str">
        <f ca="1"/>
        <v/>
      </c>
      <c r="W218" s="1019" t="str">
        <f ca="1"/>
        <v/>
      </c>
      <c r="X218" s="1006" t="str">
        <f ca="1"/>
        <v/>
      </c>
      <c r="Y218" s="864" t="str">
        <f t="shared" ca="1" si="24"/>
        <v/>
      </c>
      <c r="AA218" s="828">
        <v>200</v>
      </c>
      <c r="AB218" s="750"/>
      <c r="AC218" s="842"/>
      <c r="AD218" s="830"/>
      <c r="AE218" s="839"/>
      <c r="AF218" s="839"/>
      <c r="AG218" s="750"/>
      <c r="AH218" s="840"/>
      <c r="AI218" s="839"/>
      <c r="AJ218" s="841"/>
      <c r="AK218" s="108" t="s">
        <v>12</v>
      </c>
      <c r="AL218" s="847">
        <v>200</v>
      </c>
      <c r="AM218" s="857"/>
      <c r="AN218" s="842"/>
      <c r="AO218" s="839"/>
      <c r="AP218" s="839"/>
      <c r="AQ218" s="839"/>
      <c r="AR218" s="750"/>
      <c r="AS218" s="840"/>
      <c r="AT218" s="839"/>
      <c r="AU218" s="856"/>
      <c r="AV218" s="108" t="s">
        <v>12</v>
      </c>
    </row>
    <row r="219" spans="4:48">
      <c r="D219" s="108" t="s">
        <v>12</v>
      </c>
      <c r="E219" s="742">
        <v>201</v>
      </c>
      <c r="F219" s="1016" t="str">
        <f t="shared" ca="1" si="25"/>
        <v/>
      </c>
      <c r="G219" s="1027" t="str">
        <f t="shared" ca="1" si="26"/>
        <v/>
      </c>
      <c r="H219" s="1043" t="str">
        <f ca="1"/>
        <v/>
      </c>
      <c r="I219" s="1006" t="str">
        <f ca="1"/>
        <v/>
      </c>
      <c r="J219" s="1006" t="str">
        <f ca="1"/>
        <v/>
      </c>
      <c r="K219" s="1016" t="str">
        <f ca="1"/>
        <v/>
      </c>
      <c r="L219" s="1019" t="str">
        <f ca="1"/>
        <v/>
      </c>
      <c r="M219" s="1006" t="str">
        <f ca="1"/>
        <v/>
      </c>
      <c r="N219" s="1060" t="str">
        <f t="shared" ca="1" si="23"/>
        <v/>
      </c>
      <c r="O219" s="996"/>
      <c r="P219" s="742">
        <v>201</v>
      </c>
      <c r="Q219" s="1016" t="str">
        <f t="shared" ca="1" si="27"/>
        <v/>
      </c>
      <c r="R219" s="1027" t="str">
        <f t="shared" ca="1" si="28"/>
        <v/>
      </c>
      <c r="S219" s="1006" t="str">
        <f ca="1"/>
        <v/>
      </c>
      <c r="T219" s="1006" t="str">
        <f ca="1"/>
        <v/>
      </c>
      <c r="U219" s="1006" t="str">
        <f ca="1"/>
        <v/>
      </c>
      <c r="V219" s="1016" t="str">
        <f ca="1"/>
        <v/>
      </c>
      <c r="W219" s="1019" t="str">
        <f ca="1"/>
        <v/>
      </c>
      <c r="X219" s="1006" t="str">
        <f ca="1"/>
        <v/>
      </c>
      <c r="Y219" s="864" t="str">
        <f t="shared" ca="1" si="24"/>
        <v/>
      </c>
      <c r="AA219" s="828">
        <v>201</v>
      </c>
      <c r="AB219" s="750"/>
      <c r="AC219" s="842"/>
      <c r="AD219" s="830"/>
      <c r="AE219" s="839"/>
      <c r="AF219" s="839"/>
      <c r="AG219" s="750"/>
      <c r="AH219" s="840"/>
      <c r="AI219" s="839"/>
      <c r="AJ219" s="841"/>
      <c r="AK219" s="108" t="s">
        <v>12</v>
      </c>
      <c r="AL219" s="847">
        <v>201</v>
      </c>
      <c r="AM219" s="857"/>
      <c r="AN219" s="842"/>
      <c r="AO219" s="839"/>
      <c r="AP219" s="839"/>
      <c r="AQ219" s="839"/>
      <c r="AR219" s="750"/>
      <c r="AS219" s="840"/>
      <c r="AT219" s="839"/>
      <c r="AU219" s="856"/>
      <c r="AV219" s="108" t="s">
        <v>12</v>
      </c>
    </row>
    <row r="220" spans="4:48">
      <c r="D220" s="108" t="s">
        <v>12</v>
      </c>
      <c r="E220" s="742">
        <v>202</v>
      </c>
      <c r="F220" s="1016" t="str">
        <f t="shared" ca="1" si="25"/>
        <v/>
      </c>
      <c r="G220" s="1027" t="str">
        <f t="shared" ca="1" si="26"/>
        <v/>
      </c>
      <c r="H220" s="1043" t="str">
        <f ca="1"/>
        <v/>
      </c>
      <c r="I220" s="1006" t="str">
        <f ca="1"/>
        <v/>
      </c>
      <c r="J220" s="1006" t="str">
        <f ca="1"/>
        <v/>
      </c>
      <c r="K220" s="1016" t="str">
        <f ca="1"/>
        <v/>
      </c>
      <c r="L220" s="1019" t="str">
        <f ca="1"/>
        <v/>
      </c>
      <c r="M220" s="1006" t="str">
        <f ca="1"/>
        <v/>
      </c>
      <c r="N220" s="1060" t="str">
        <f t="shared" ca="1" si="23"/>
        <v/>
      </c>
      <c r="O220" s="996"/>
      <c r="P220" s="742">
        <v>202</v>
      </c>
      <c r="Q220" s="1016" t="str">
        <f t="shared" ca="1" si="27"/>
        <v/>
      </c>
      <c r="R220" s="1027" t="str">
        <f t="shared" ca="1" si="28"/>
        <v/>
      </c>
      <c r="S220" s="1006" t="str">
        <f ca="1"/>
        <v/>
      </c>
      <c r="T220" s="1006" t="str">
        <f ca="1"/>
        <v/>
      </c>
      <c r="U220" s="1006" t="str">
        <f ca="1"/>
        <v/>
      </c>
      <c r="V220" s="1016" t="str">
        <f ca="1"/>
        <v/>
      </c>
      <c r="W220" s="1019" t="str">
        <f ca="1"/>
        <v/>
      </c>
      <c r="X220" s="1006" t="str">
        <f ca="1"/>
        <v/>
      </c>
      <c r="Y220" s="864" t="str">
        <f t="shared" ca="1" si="24"/>
        <v/>
      </c>
      <c r="AA220" s="828">
        <v>202</v>
      </c>
      <c r="AB220" s="750"/>
      <c r="AC220" s="842"/>
      <c r="AD220" s="830"/>
      <c r="AE220" s="839"/>
      <c r="AF220" s="839"/>
      <c r="AG220" s="750"/>
      <c r="AH220" s="840"/>
      <c r="AI220" s="839"/>
      <c r="AJ220" s="841"/>
      <c r="AK220" s="108" t="s">
        <v>12</v>
      </c>
      <c r="AL220" s="847">
        <v>202</v>
      </c>
      <c r="AM220" s="857"/>
      <c r="AN220" s="842"/>
      <c r="AO220" s="839"/>
      <c r="AP220" s="839"/>
      <c r="AQ220" s="839"/>
      <c r="AR220" s="750"/>
      <c r="AS220" s="840"/>
      <c r="AT220" s="839"/>
      <c r="AU220" s="856"/>
      <c r="AV220" s="108" t="s">
        <v>12</v>
      </c>
    </row>
    <row r="221" spans="4:48">
      <c r="D221" s="108" t="s">
        <v>12</v>
      </c>
      <c r="E221" s="742">
        <v>203</v>
      </c>
      <c r="F221" s="1016" t="str">
        <f t="shared" ca="1" si="25"/>
        <v/>
      </c>
      <c r="G221" s="1027" t="str">
        <f t="shared" ca="1" si="26"/>
        <v/>
      </c>
      <c r="H221" s="1043" t="str">
        <f ca="1"/>
        <v/>
      </c>
      <c r="I221" s="1006" t="str">
        <f ca="1"/>
        <v/>
      </c>
      <c r="J221" s="1006" t="str">
        <f ca="1"/>
        <v/>
      </c>
      <c r="K221" s="1016" t="str">
        <f ca="1"/>
        <v/>
      </c>
      <c r="L221" s="1019" t="str">
        <f ca="1"/>
        <v/>
      </c>
      <c r="M221" s="1006" t="str">
        <f ca="1"/>
        <v/>
      </c>
      <c r="N221" s="1060" t="str">
        <f t="shared" ca="1" si="23"/>
        <v/>
      </c>
      <c r="O221" s="996"/>
      <c r="P221" s="742">
        <v>203</v>
      </c>
      <c r="Q221" s="1016" t="str">
        <f t="shared" ca="1" si="27"/>
        <v/>
      </c>
      <c r="R221" s="1027" t="str">
        <f t="shared" ca="1" si="28"/>
        <v/>
      </c>
      <c r="S221" s="1006" t="str">
        <f ca="1"/>
        <v/>
      </c>
      <c r="T221" s="1006" t="str">
        <f ca="1"/>
        <v/>
      </c>
      <c r="U221" s="1006" t="str">
        <f ca="1"/>
        <v/>
      </c>
      <c r="V221" s="1016" t="str">
        <f ca="1"/>
        <v/>
      </c>
      <c r="W221" s="1019" t="str">
        <f ca="1"/>
        <v/>
      </c>
      <c r="X221" s="1006" t="str">
        <f ca="1"/>
        <v/>
      </c>
      <c r="Y221" s="864" t="str">
        <f t="shared" ca="1" si="24"/>
        <v/>
      </c>
      <c r="AA221" s="828">
        <v>203</v>
      </c>
      <c r="AB221" s="750"/>
      <c r="AC221" s="842"/>
      <c r="AD221" s="830"/>
      <c r="AE221" s="839"/>
      <c r="AF221" s="839"/>
      <c r="AG221" s="750"/>
      <c r="AH221" s="840"/>
      <c r="AI221" s="839"/>
      <c r="AJ221" s="841"/>
      <c r="AK221" s="108" t="s">
        <v>12</v>
      </c>
      <c r="AL221" s="847">
        <v>203</v>
      </c>
      <c r="AM221" s="857"/>
      <c r="AN221" s="842"/>
      <c r="AO221" s="839"/>
      <c r="AP221" s="839"/>
      <c r="AQ221" s="839"/>
      <c r="AR221" s="750"/>
      <c r="AS221" s="840"/>
      <c r="AT221" s="839"/>
      <c r="AU221" s="856"/>
      <c r="AV221" s="108" t="s">
        <v>12</v>
      </c>
    </row>
    <row r="222" spans="4:48">
      <c r="D222" s="108" t="s">
        <v>12</v>
      </c>
      <c r="E222" s="742">
        <v>204</v>
      </c>
      <c r="F222" s="1016" t="str">
        <f t="shared" ca="1" si="25"/>
        <v/>
      </c>
      <c r="G222" s="1027" t="str">
        <f t="shared" ca="1" si="26"/>
        <v/>
      </c>
      <c r="H222" s="1043" t="str">
        <f ca="1"/>
        <v/>
      </c>
      <c r="I222" s="1006" t="str">
        <f ca="1"/>
        <v/>
      </c>
      <c r="J222" s="1006" t="str">
        <f ca="1"/>
        <v/>
      </c>
      <c r="K222" s="1016" t="str">
        <f ca="1"/>
        <v/>
      </c>
      <c r="L222" s="1019" t="str">
        <f ca="1"/>
        <v/>
      </c>
      <c r="M222" s="1006" t="str">
        <f ca="1"/>
        <v/>
      </c>
      <c r="N222" s="1060" t="str">
        <f t="shared" ca="1" si="23"/>
        <v/>
      </c>
      <c r="O222" s="996"/>
      <c r="P222" s="742">
        <v>204</v>
      </c>
      <c r="Q222" s="1016" t="str">
        <f t="shared" ca="1" si="27"/>
        <v/>
      </c>
      <c r="R222" s="1027" t="str">
        <f t="shared" ca="1" si="28"/>
        <v/>
      </c>
      <c r="S222" s="1006" t="str">
        <f ca="1"/>
        <v/>
      </c>
      <c r="T222" s="1006" t="str">
        <f ca="1"/>
        <v/>
      </c>
      <c r="U222" s="1006" t="str">
        <f ca="1"/>
        <v/>
      </c>
      <c r="V222" s="1016" t="str">
        <f ca="1"/>
        <v/>
      </c>
      <c r="W222" s="1019" t="str">
        <f ca="1"/>
        <v/>
      </c>
      <c r="X222" s="1006" t="str">
        <f ca="1"/>
        <v/>
      </c>
      <c r="Y222" s="864" t="str">
        <f t="shared" ca="1" si="24"/>
        <v/>
      </c>
      <c r="AA222" s="828">
        <v>204</v>
      </c>
      <c r="AB222" s="750"/>
      <c r="AC222" s="842"/>
      <c r="AD222" s="830"/>
      <c r="AE222" s="839"/>
      <c r="AF222" s="839"/>
      <c r="AG222" s="750"/>
      <c r="AH222" s="840"/>
      <c r="AI222" s="839"/>
      <c r="AJ222" s="841"/>
      <c r="AK222" s="108" t="s">
        <v>12</v>
      </c>
      <c r="AL222" s="847">
        <v>204</v>
      </c>
      <c r="AM222" s="857"/>
      <c r="AN222" s="842"/>
      <c r="AO222" s="839"/>
      <c r="AP222" s="839"/>
      <c r="AQ222" s="839"/>
      <c r="AR222" s="750"/>
      <c r="AS222" s="840"/>
      <c r="AT222" s="839"/>
      <c r="AU222" s="856"/>
      <c r="AV222" s="108" t="s">
        <v>12</v>
      </c>
    </row>
    <row r="223" spans="4:48">
      <c r="D223" s="108" t="s">
        <v>12</v>
      </c>
      <c r="E223" s="742">
        <v>205</v>
      </c>
      <c r="F223" s="1016" t="str">
        <f t="shared" ca="1" si="25"/>
        <v/>
      </c>
      <c r="G223" s="1027" t="str">
        <f t="shared" ca="1" si="26"/>
        <v/>
      </c>
      <c r="H223" s="1043" t="str">
        <f ca="1"/>
        <v/>
      </c>
      <c r="I223" s="1006" t="str">
        <f ca="1"/>
        <v/>
      </c>
      <c r="J223" s="1006" t="str">
        <f ca="1"/>
        <v/>
      </c>
      <c r="K223" s="1016" t="str">
        <f ca="1"/>
        <v/>
      </c>
      <c r="L223" s="1019" t="str">
        <f ca="1"/>
        <v/>
      </c>
      <c r="M223" s="1006" t="str">
        <f ca="1"/>
        <v/>
      </c>
      <c r="N223" s="1060" t="str">
        <f t="shared" ca="1" si="23"/>
        <v/>
      </c>
      <c r="O223" s="996"/>
      <c r="P223" s="742">
        <v>205</v>
      </c>
      <c r="Q223" s="1016" t="str">
        <f t="shared" ca="1" si="27"/>
        <v/>
      </c>
      <c r="R223" s="1027" t="str">
        <f t="shared" ca="1" si="28"/>
        <v/>
      </c>
      <c r="S223" s="1006" t="str">
        <f ca="1"/>
        <v/>
      </c>
      <c r="T223" s="1006" t="str">
        <f ca="1"/>
        <v/>
      </c>
      <c r="U223" s="1006" t="str">
        <f ca="1"/>
        <v/>
      </c>
      <c r="V223" s="1016" t="str">
        <f ca="1"/>
        <v/>
      </c>
      <c r="W223" s="1019" t="str">
        <f ca="1"/>
        <v/>
      </c>
      <c r="X223" s="1006" t="str">
        <f ca="1"/>
        <v/>
      </c>
      <c r="Y223" s="864" t="str">
        <f t="shared" ca="1" si="24"/>
        <v/>
      </c>
      <c r="AA223" s="828">
        <v>205</v>
      </c>
      <c r="AB223" s="750"/>
      <c r="AC223" s="842"/>
      <c r="AD223" s="830"/>
      <c r="AE223" s="839"/>
      <c r="AF223" s="839"/>
      <c r="AG223" s="750"/>
      <c r="AH223" s="840"/>
      <c r="AI223" s="839"/>
      <c r="AJ223" s="841"/>
      <c r="AK223" s="108" t="s">
        <v>12</v>
      </c>
      <c r="AL223" s="847">
        <v>205</v>
      </c>
      <c r="AM223" s="857"/>
      <c r="AN223" s="842"/>
      <c r="AO223" s="839"/>
      <c r="AP223" s="839"/>
      <c r="AQ223" s="839"/>
      <c r="AR223" s="750"/>
      <c r="AS223" s="840"/>
      <c r="AT223" s="839"/>
      <c r="AU223" s="856"/>
      <c r="AV223" s="108" t="s">
        <v>12</v>
      </c>
    </row>
    <row r="224" spans="4:48">
      <c r="D224" s="108" t="s">
        <v>12</v>
      </c>
      <c r="E224" s="742">
        <v>206</v>
      </c>
      <c r="F224" s="1016" t="str">
        <f t="shared" ca="1" si="25"/>
        <v/>
      </c>
      <c r="G224" s="1027" t="str">
        <f t="shared" ca="1" si="26"/>
        <v/>
      </c>
      <c r="H224" s="1043" t="str">
        <f ca="1"/>
        <v/>
      </c>
      <c r="I224" s="1006" t="str">
        <f ca="1"/>
        <v/>
      </c>
      <c r="J224" s="1006" t="str">
        <f ca="1"/>
        <v/>
      </c>
      <c r="K224" s="1016" t="str">
        <f ca="1"/>
        <v/>
      </c>
      <c r="L224" s="1019" t="str">
        <f ca="1"/>
        <v/>
      </c>
      <c r="M224" s="1006" t="str">
        <f ca="1"/>
        <v/>
      </c>
      <c r="N224" s="1060" t="str">
        <f t="shared" ca="1" si="23"/>
        <v/>
      </c>
      <c r="O224" s="996"/>
      <c r="P224" s="742">
        <v>206</v>
      </c>
      <c r="Q224" s="1016" t="str">
        <f t="shared" ca="1" si="27"/>
        <v/>
      </c>
      <c r="R224" s="1027" t="str">
        <f t="shared" ca="1" si="28"/>
        <v/>
      </c>
      <c r="S224" s="1006" t="str">
        <f ca="1"/>
        <v/>
      </c>
      <c r="T224" s="1006" t="str">
        <f ca="1"/>
        <v/>
      </c>
      <c r="U224" s="1006" t="str">
        <f ca="1"/>
        <v/>
      </c>
      <c r="V224" s="1016" t="str">
        <f ca="1"/>
        <v/>
      </c>
      <c r="W224" s="1019" t="str">
        <f ca="1"/>
        <v/>
      </c>
      <c r="X224" s="1006" t="str">
        <f ca="1"/>
        <v/>
      </c>
      <c r="Y224" s="864" t="str">
        <f t="shared" ca="1" si="24"/>
        <v/>
      </c>
      <c r="AA224" s="828">
        <v>206</v>
      </c>
      <c r="AB224" s="750"/>
      <c r="AC224" s="842"/>
      <c r="AD224" s="830"/>
      <c r="AE224" s="839"/>
      <c r="AF224" s="839"/>
      <c r="AG224" s="750"/>
      <c r="AH224" s="840"/>
      <c r="AI224" s="839"/>
      <c r="AJ224" s="841"/>
      <c r="AK224" s="108" t="s">
        <v>12</v>
      </c>
      <c r="AL224" s="847">
        <v>206</v>
      </c>
      <c r="AM224" s="857"/>
      <c r="AN224" s="842"/>
      <c r="AO224" s="839"/>
      <c r="AP224" s="839"/>
      <c r="AQ224" s="839"/>
      <c r="AR224" s="750"/>
      <c r="AS224" s="840"/>
      <c r="AT224" s="839"/>
      <c r="AU224" s="856"/>
      <c r="AV224" s="108" t="s">
        <v>12</v>
      </c>
    </row>
    <row r="225" spans="4:48">
      <c r="D225" s="108" t="s">
        <v>12</v>
      </c>
      <c r="E225" s="742">
        <v>207</v>
      </c>
      <c r="F225" s="1016" t="str">
        <f t="shared" ca="1" si="25"/>
        <v/>
      </c>
      <c r="G225" s="1027" t="str">
        <f t="shared" ca="1" si="26"/>
        <v/>
      </c>
      <c r="H225" s="1043" t="str">
        <f ca="1"/>
        <v/>
      </c>
      <c r="I225" s="1006" t="str">
        <f ca="1"/>
        <v/>
      </c>
      <c r="J225" s="1006" t="str">
        <f ca="1"/>
        <v/>
      </c>
      <c r="K225" s="1016" t="str">
        <f ca="1"/>
        <v/>
      </c>
      <c r="L225" s="1019" t="str">
        <f ca="1"/>
        <v/>
      </c>
      <c r="M225" s="1006" t="str">
        <f ca="1"/>
        <v/>
      </c>
      <c r="N225" s="1060" t="str">
        <f t="shared" ca="1" si="23"/>
        <v/>
      </c>
      <c r="O225" s="996"/>
      <c r="P225" s="742">
        <v>207</v>
      </c>
      <c r="Q225" s="1016" t="str">
        <f t="shared" ca="1" si="27"/>
        <v/>
      </c>
      <c r="R225" s="1027" t="str">
        <f t="shared" ca="1" si="28"/>
        <v/>
      </c>
      <c r="S225" s="1006" t="str">
        <f ca="1"/>
        <v/>
      </c>
      <c r="T225" s="1006" t="str">
        <f ca="1"/>
        <v/>
      </c>
      <c r="U225" s="1006" t="str">
        <f ca="1"/>
        <v/>
      </c>
      <c r="V225" s="1016" t="str">
        <f ca="1"/>
        <v/>
      </c>
      <c r="W225" s="1019" t="str">
        <f ca="1"/>
        <v/>
      </c>
      <c r="X225" s="1006" t="str">
        <f ca="1"/>
        <v/>
      </c>
      <c r="Y225" s="864" t="str">
        <f t="shared" ca="1" si="24"/>
        <v/>
      </c>
      <c r="AA225" s="828">
        <v>207</v>
      </c>
      <c r="AB225" s="750"/>
      <c r="AC225" s="842"/>
      <c r="AD225" s="830"/>
      <c r="AE225" s="839"/>
      <c r="AF225" s="839"/>
      <c r="AG225" s="750"/>
      <c r="AH225" s="840"/>
      <c r="AI225" s="839"/>
      <c r="AJ225" s="841"/>
      <c r="AK225" s="108" t="s">
        <v>12</v>
      </c>
      <c r="AL225" s="847">
        <v>207</v>
      </c>
      <c r="AM225" s="857"/>
      <c r="AN225" s="842"/>
      <c r="AO225" s="839"/>
      <c r="AP225" s="839"/>
      <c r="AQ225" s="839"/>
      <c r="AR225" s="750"/>
      <c r="AS225" s="840"/>
      <c r="AT225" s="839"/>
      <c r="AU225" s="856"/>
      <c r="AV225" s="108" t="s">
        <v>12</v>
      </c>
    </row>
    <row r="226" spans="4:48">
      <c r="D226" s="108" t="s">
        <v>12</v>
      </c>
      <c r="E226" s="742">
        <v>208</v>
      </c>
      <c r="F226" s="1016" t="str">
        <f t="shared" ca="1" si="25"/>
        <v/>
      </c>
      <c r="G226" s="1027" t="str">
        <f t="shared" ca="1" si="26"/>
        <v/>
      </c>
      <c r="H226" s="1043" t="str">
        <f ca="1"/>
        <v/>
      </c>
      <c r="I226" s="1006" t="str">
        <f ca="1"/>
        <v/>
      </c>
      <c r="J226" s="1006" t="str">
        <f ca="1"/>
        <v/>
      </c>
      <c r="K226" s="1016" t="str">
        <f ca="1"/>
        <v/>
      </c>
      <c r="L226" s="1019" t="str">
        <f ca="1"/>
        <v/>
      </c>
      <c r="M226" s="1006" t="str">
        <f ca="1"/>
        <v/>
      </c>
      <c r="N226" s="1060" t="str">
        <f t="shared" ca="1" si="23"/>
        <v/>
      </c>
      <c r="O226" s="996"/>
      <c r="P226" s="742">
        <v>208</v>
      </c>
      <c r="Q226" s="1016" t="str">
        <f t="shared" ca="1" si="27"/>
        <v/>
      </c>
      <c r="R226" s="1027" t="str">
        <f t="shared" ca="1" si="28"/>
        <v/>
      </c>
      <c r="S226" s="1006" t="str">
        <f ca="1"/>
        <v/>
      </c>
      <c r="T226" s="1006" t="str">
        <f ca="1"/>
        <v/>
      </c>
      <c r="U226" s="1006" t="str">
        <f ca="1"/>
        <v/>
      </c>
      <c r="V226" s="1016" t="str">
        <f ca="1"/>
        <v/>
      </c>
      <c r="W226" s="1019" t="str">
        <f ca="1"/>
        <v/>
      </c>
      <c r="X226" s="1006" t="str">
        <f ca="1"/>
        <v/>
      </c>
      <c r="Y226" s="864" t="str">
        <f t="shared" ca="1" si="24"/>
        <v/>
      </c>
      <c r="AA226" s="828">
        <v>208</v>
      </c>
      <c r="AB226" s="750"/>
      <c r="AC226" s="842"/>
      <c r="AD226" s="830"/>
      <c r="AE226" s="839"/>
      <c r="AF226" s="839"/>
      <c r="AG226" s="750"/>
      <c r="AH226" s="840"/>
      <c r="AI226" s="839"/>
      <c r="AJ226" s="841"/>
      <c r="AK226" s="108" t="s">
        <v>12</v>
      </c>
      <c r="AL226" s="847">
        <v>208</v>
      </c>
      <c r="AM226" s="857"/>
      <c r="AN226" s="842"/>
      <c r="AO226" s="839"/>
      <c r="AP226" s="839"/>
      <c r="AQ226" s="839"/>
      <c r="AR226" s="750"/>
      <c r="AS226" s="840"/>
      <c r="AT226" s="839"/>
      <c r="AU226" s="856"/>
      <c r="AV226" s="108" t="s">
        <v>12</v>
      </c>
    </row>
    <row r="227" spans="4:48">
      <c r="D227" s="108" t="s">
        <v>12</v>
      </c>
      <c r="E227" s="742">
        <v>209</v>
      </c>
      <c r="F227" s="1016" t="str">
        <f t="shared" ca="1" si="25"/>
        <v/>
      </c>
      <c r="G227" s="1027" t="str">
        <f t="shared" ca="1" si="26"/>
        <v/>
      </c>
      <c r="H227" s="1043" t="str">
        <f ca="1"/>
        <v/>
      </c>
      <c r="I227" s="1006" t="str">
        <f ca="1"/>
        <v/>
      </c>
      <c r="J227" s="1006" t="str">
        <f ca="1"/>
        <v/>
      </c>
      <c r="K227" s="1016" t="str">
        <f ca="1"/>
        <v/>
      </c>
      <c r="L227" s="1019" t="str">
        <f ca="1"/>
        <v/>
      </c>
      <c r="M227" s="1006" t="str">
        <f ca="1"/>
        <v/>
      </c>
      <c r="N227" s="1060" t="str">
        <f t="shared" ca="1" si="23"/>
        <v/>
      </c>
      <c r="O227" s="996"/>
      <c r="P227" s="742">
        <v>209</v>
      </c>
      <c r="Q227" s="1016" t="str">
        <f t="shared" ca="1" si="27"/>
        <v/>
      </c>
      <c r="R227" s="1027" t="str">
        <f t="shared" ca="1" si="28"/>
        <v/>
      </c>
      <c r="S227" s="1006" t="str">
        <f ca="1"/>
        <v/>
      </c>
      <c r="T227" s="1006" t="str">
        <f ca="1"/>
        <v/>
      </c>
      <c r="U227" s="1006" t="str">
        <f ca="1"/>
        <v/>
      </c>
      <c r="V227" s="1016" t="str">
        <f ca="1"/>
        <v/>
      </c>
      <c r="W227" s="1019" t="str">
        <f ca="1"/>
        <v/>
      </c>
      <c r="X227" s="1006" t="str">
        <f ca="1"/>
        <v/>
      </c>
      <c r="Y227" s="864" t="str">
        <f t="shared" ca="1" si="24"/>
        <v/>
      </c>
      <c r="AA227" s="828">
        <v>209</v>
      </c>
      <c r="AB227" s="750"/>
      <c r="AC227" s="842"/>
      <c r="AD227" s="830"/>
      <c r="AE227" s="839"/>
      <c r="AF227" s="839"/>
      <c r="AG227" s="750"/>
      <c r="AH227" s="840"/>
      <c r="AI227" s="839"/>
      <c r="AJ227" s="841"/>
      <c r="AK227" s="108" t="s">
        <v>12</v>
      </c>
      <c r="AL227" s="847">
        <v>209</v>
      </c>
      <c r="AM227" s="857"/>
      <c r="AN227" s="842"/>
      <c r="AO227" s="839"/>
      <c r="AP227" s="839"/>
      <c r="AQ227" s="839"/>
      <c r="AR227" s="750"/>
      <c r="AS227" s="840"/>
      <c r="AT227" s="839"/>
      <c r="AU227" s="856"/>
      <c r="AV227" s="108" t="s">
        <v>12</v>
      </c>
    </row>
    <row r="228" spans="4:48">
      <c r="D228" s="108" t="s">
        <v>12</v>
      </c>
      <c r="E228" s="742">
        <v>210</v>
      </c>
      <c r="F228" s="1016" t="str">
        <f t="shared" ca="1" si="25"/>
        <v/>
      </c>
      <c r="G228" s="1027" t="str">
        <f t="shared" ca="1" si="26"/>
        <v/>
      </c>
      <c r="H228" s="1043" t="str">
        <f ca="1"/>
        <v/>
      </c>
      <c r="I228" s="1006" t="str">
        <f ca="1"/>
        <v/>
      </c>
      <c r="J228" s="1006" t="str">
        <f ca="1"/>
        <v/>
      </c>
      <c r="K228" s="1016" t="str">
        <f ca="1"/>
        <v/>
      </c>
      <c r="L228" s="1019" t="str">
        <f ca="1"/>
        <v/>
      </c>
      <c r="M228" s="1006" t="str">
        <f ca="1"/>
        <v/>
      </c>
      <c r="N228" s="1060" t="str">
        <f t="shared" ca="1" si="23"/>
        <v/>
      </c>
      <c r="O228" s="996"/>
      <c r="P228" s="742">
        <v>210</v>
      </c>
      <c r="Q228" s="1016" t="str">
        <f t="shared" ca="1" si="27"/>
        <v/>
      </c>
      <c r="R228" s="1027" t="str">
        <f t="shared" ca="1" si="28"/>
        <v/>
      </c>
      <c r="S228" s="1006" t="str">
        <f ca="1"/>
        <v/>
      </c>
      <c r="T228" s="1006" t="str">
        <f ca="1"/>
        <v/>
      </c>
      <c r="U228" s="1006" t="str">
        <f ca="1"/>
        <v/>
      </c>
      <c r="V228" s="1016" t="str">
        <f ca="1"/>
        <v/>
      </c>
      <c r="W228" s="1019" t="str">
        <f ca="1"/>
        <v/>
      </c>
      <c r="X228" s="1006" t="str">
        <f ca="1"/>
        <v/>
      </c>
      <c r="Y228" s="864" t="str">
        <f t="shared" ca="1" si="24"/>
        <v/>
      </c>
      <c r="AA228" s="828">
        <v>210</v>
      </c>
      <c r="AB228" s="750"/>
      <c r="AC228" s="842"/>
      <c r="AD228" s="830"/>
      <c r="AE228" s="839"/>
      <c r="AF228" s="839"/>
      <c r="AG228" s="750"/>
      <c r="AH228" s="840"/>
      <c r="AI228" s="839"/>
      <c r="AJ228" s="841"/>
      <c r="AK228" s="108" t="s">
        <v>12</v>
      </c>
      <c r="AL228" s="847">
        <v>210</v>
      </c>
      <c r="AM228" s="857"/>
      <c r="AN228" s="842"/>
      <c r="AO228" s="839"/>
      <c r="AP228" s="839"/>
      <c r="AQ228" s="839"/>
      <c r="AR228" s="750"/>
      <c r="AS228" s="840"/>
      <c r="AT228" s="839"/>
      <c r="AU228" s="856"/>
      <c r="AV228" s="108" t="s">
        <v>12</v>
      </c>
    </row>
    <row r="229" spans="4:48">
      <c r="D229" s="108" t="s">
        <v>12</v>
      </c>
      <c r="E229" s="742">
        <v>211</v>
      </c>
      <c r="F229" s="1016" t="str">
        <f t="shared" ca="1" si="25"/>
        <v/>
      </c>
      <c r="G229" s="1027" t="str">
        <f t="shared" ca="1" si="26"/>
        <v/>
      </c>
      <c r="H229" s="1043" t="str">
        <f ca="1"/>
        <v/>
      </c>
      <c r="I229" s="1006" t="str">
        <f ca="1"/>
        <v/>
      </c>
      <c r="J229" s="1006" t="str">
        <f ca="1"/>
        <v/>
      </c>
      <c r="K229" s="1016" t="str">
        <f ca="1"/>
        <v/>
      </c>
      <c r="L229" s="1019" t="str">
        <f ca="1"/>
        <v/>
      </c>
      <c r="M229" s="1006" t="str">
        <f ca="1"/>
        <v/>
      </c>
      <c r="N229" s="1060" t="str">
        <f t="shared" ca="1" si="23"/>
        <v/>
      </c>
      <c r="O229" s="996"/>
      <c r="P229" s="742">
        <v>211</v>
      </c>
      <c r="Q229" s="1016" t="str">
        <f t="shared" ca="1" si="27"/>
        <v/>
      </c>
      <c r="R229" s="1027" t="str">
        <f t="shared" ca="1" si="28"/>
        <v/>
      </c>
      <c r="S229" s="1006" t="str">
        <f ca="1"/>
        <v/>
      </c>
      <c r="T229" s="1006" t="str">
        <f ca="1"/>
        <v/>
      </c>
      <c r="U229" s="1006" t="str">
        <f ca="1"/>
        <v/>
      </c>
      <c r="V229" s="1016" t="str">
        <f ca="1"/>
        <v/>
      </c>
      <c r="W229" s="1019" t="str">
        <f ca="1"/>
        <v/>
      </c>
      <c r="X229" s="1006" t="str">
        <f ca="1"/>
        <v/>
      </c>
      <c r="Y229" s="864" t="str">
        <f t="shared" ca="1" si="24"/>
        <v/>
      </c>
      <c r="AA229" s="828">
        <v>211</v>
      </c>
      <c r="AB229" s="750"/>
      <c r="AC229" s="842"/>
      <c r="AD229" s="830"/>
      <c r="AE229" s="839"/>
      <c r="AF229" s="839"/>
      <c r="AG229" s="750"/>
      <c r="AH229" s="840"/>
      <c r="AI229" s="839"/>
      <c r="AJ229" s="841"/>
      <c r="AK229" s="108" t="s">
        <v>12</v>
      </c>
      <c r="AL229" s="847">
        <v>211</v>
      </c>
      <c r="AM229" s="857"/>
      <c r="AN229" s="842"/>
      <c r="AO229" s="839"/>
      <c r="AP229" s="839"/>
      <c r="AQ229" s="839"/>
      <c r="AR229" s="750"/>
      <c r="AS229" s="840"/>
      <c r="AT229" s="839"/>
      <c r="AU229" s="856"/>
      <c r="AV229" s="108" t="s">
        <v>12</v>
      </c>
    </row>
    <row r="230" spans="4:48">
      <c r="D230" s="108" t="s">
        <v>12</v>
      </c>
      <c r="E230" s="742">
        <v>212</v>
      </c>
      <c r="F230" s="1016" t="str">
        <f t="shared" ca="1" si="25"/>
        <v/>
      </c>
      <c r="G230" s="1027" t="str">
        <f t="shared" ca="1" si="26"/>
        <v/>
      </c>
      <c r="H230" s="1043" t="str">
        <f ca="1"/>
        <v/>
      </c>
      <c r="I230" s="1006" t="str">
        <f ca="1"/>
        <v/>
      </c>
      <c r="J230" s="1006" t="str">
        <f ca="1"/>
        <v/>
      </c>
      <c r="K230" s="1016" t="str">
        <f ca="1"/>
        <v/>
      </c>
      <c r="L230" s="1019" t="str">
        <f ca="1"/>
        <v/>
      </c>
      <c r="M230" s="1006" t="str">
        <f ca="1"/>
        <v/>
      </c>
      <c r="N230" s="1060" t="str">
        <f t="shared" ca="1" si="23"/>
        <v/>
      </c>
      <c r="O230" s="996"/>
      <c r="P230" s="742">
        <v>212</v>
      </c>
      <c r="Q230" s="1016" t="str">
        <f t="shared" ca="1" si="27"/>
        <v/>
      </c>
      <c r="R230" s="1027" t="str">
        <f t="shared" ca="1" si="28"/>
        <v/>
      </c>
      <c r="S230" s="1006" t="str">
        <f ca="1"/>
        <v/>
      </c>
      <c r="T230" s="1006" t="str">
        <f ca="1"/>
        <v/>
      </c>
      <c r="U230" s="1006" t="str">
        <f ca="1"/>
        <v/>
      </c>
      <c r="V230" s="1016" t="str">
        <f ca="1"/>
        <v/>
      </c>
      <c r="W230" s="1019" t="str">
        <f ca="1"/>
        <v/>
      </c>
      <c r="X230" s="1006" t="str">
        <f ca="1"/>
        <v/>
      </c>
      <c r="Y230" s="864" t="str">
        <f t="shared" ca="1" si="24"/>
        <v/>
      </c>
      <c r="AA230" s="828">
        <v>212</v>
      </c>
      <c r="AB230" s="750"/>
      <c r="AC230" s="842"/>
      <c r="AD230" s="830"/>
      <c r="AE230" s="839"/>
      <c r="AF230" s="839"/>
      <c r="AG230" s="750"/>
      <c r="AH230" s="840"/>
      <c r="AI230" s="839"/>
      <c r="AJ230" s="841"/>
      <c r="AK230" s="108" t="s">
        <v>12</v>
      </c>
      <c r="AL230" s="847">
        <v>212</v>
      </c>
      <c r="AM230" s="857"/>
      <c r="AN230" s="842"/>
      <c r="AO230" s="839"/>
      <c r="AP230" s="839"/>
      <c r="AQ230" s="839"/>
      <c r="AR230" s="750"/>
      <c r="AS230" s="840"/>
      <c r="AT230" s="839"/>
      <c r="AU230" s="856"/>
      <c r="AV230" s="108" t="s">
        <v>12</v>
      </c>
    </row>
    <row r="231" spans="4:48">
      <c r="D231" s="108" t="s">
        <v>12</v>
      </c>
      <c r="E231" s="742">
        <v>213</v>
      </c>
      <c r="F231" s="1016" t="str">
        <f t="shared" ca="1" si="25"/>
        <v/>
      </c>
      <c r="G231" s="1027" t="str">
        <f t="shared" ca="1" si="26"/>
        <v/>
      </c>
      <c r="H231" s="1043" t="str">
        <f ca="1"/>
        <v/>
      </c>
      <c r="I231" s="1006" t="str">
        <f ca="1"/>
        <v/>
      </c>
      <c r="J231" s="1006" t="str">
        <f ca="1"/>
        <v/>
      </c>
      <c r="K231" s="1016" t="str">
        <f ca="1"/>
        <v/>
      </c>
      <c r="L231" s="1019" t="str">
        <f ca="1"/>
        <v/>
      </c>
      <c r="M231" s="1006" t="str">
        <f ca="1"/>
        <v/>
      </c>
      <c r="N231" s="1060" t="str">
        <f t="shared" ca="1" si="23"/>
        <v/>
      </c>
      <c r="O231" s="996"/>
      <c r="P231" s="742">
        <v>213</v>
      </c>
      <c r="Q231" s="1016" t="str">
        <f t="shared" ca="1" si="27"/>
        <v/>
      </c>
      <c r="R231" s="1027" t="str">
        <f t="shared" ca="1" si="28"/>
        <v/>
      </c>
      <c r="S231" s="1006" t="str">
        <f ca="1"/>
        <v/>
      </c>
      <c r="T231" s="1006" t="str">
        <f ca="1"/>
        <v/>
      </c>
      <c r="U231" s="1006" t="str">
        <f ca="1"/>
        <v/>
      </c>
      <c r="V231" s="1016" t="str">
        <f ca="1"/>
        <v/>
      </c>
      <c r="W231" s="1019" t="str">
        <f ca="1"/>
        <v/>
      </c>
      <c r="X231" s="1006" t="str">
        <f ca="1"/>
        <v/>
      </c>
      <c r="Y231" s="864" t="str">
        <f t="shared" ca="1" si="24"/>
        <v/>
      </c>
      <c r="AA231" s="828">
        <v>213</v>
      </c>
      <c r="AB231" s="750"/>
      <c r="AC231" s="842"/>
      <c r="AD231" s="830"/>
      <c r="AE231" s="839"/>
      <c r="AF231" s="839"/>
      <c r="AG231" s="750"/>
      <c r="AH231" s="840"/>
      <c r="AI231" s="839"/>
      <c r="AJ231" s="841"/>
      <c r="AK231" s="108" t="s">
        <v>12</v>
      </c>
      <c r="AL231" s="847">
        <v>213</v>
      </c>
      <c r="AM231" s="857"/>
      <c r="AN231" s="842"/>
      <c r="AO231" s="839"/>
      <c r="AP231" s="839"/>
      <c r="AQ231" s="839"/>
      <c r="AR231" s="750"/>
      <c r="AS231" s="840"/>
      <c r="AT231" s="839"/>
      <c r="AU231" s="856"/>
      <c r="AV231" s="108" t="s">
        <v>12</v>
      </c>
    </row>
    <row r="232" spans="4:48">
      <c r="D232" s="108" t="s">
        <v>12</v>
      </c>
      <c r="E232" s="742">
        <v>214</v>
      </c>
      <c r="F232" s="1016" t="str">
        <f t="shared" ca="1" si="25"/>
        <v/>
      </c>
      <c r="G232" s="1027" t="str">
        <f t="shared" ca="1" si="26"/>
        <v/>
      </c>
      <c r="H232" s="1043" t="str">
        <f ca="1"/>
        <v/>
      </c>
      <c r="I232" s="1006" t="str">
        <f ca="1"/>
        <v/>
      </c>
      <c r="J232" s="1006" t="str">
        <f ca="1"/>
        <v/>
      </c>
      <c r="K232" s="1016" t="str">
        <f ca="1"/>
        <v/>
      </c>
      <c r="L232" s="1019" t="str">
        <f ca="1"/>
        <v/>
      </c>
      <c r="M232" s="1006" t="str">
        <f ca="1"/>
        <v/>
      </c>
      <c r="N232" s="1060" t="str">
        <f t="shared" ca="1" si="23"/>
        <v/>
      </c>
      <c r="O232" s="996"/>
      <c r="P232" s="742">
        <v>214</v>
      </c>
      <c r="Q232" s="1016" t="str">
        <f t="shared" ca="1" si="27"/>
        <v/>
      </c>
      <c r="R232" s="1027" t="str">
        <f t="shared" ca="1" si="28"/>
        <v/>
      </c>
      <c r="S232" s="1006" t="str">
        <f ca="1"/>
        <v/>
      </c>
      <c r="T232" s="1006" t="str">
        <f ca="1"/>
        <v/>
      </c>
      <c r="U232" s="1006" t="str">
        <f ca="1"/>
        <v/>
      </c>
      <c r="V232" s="1016" t="str">
        <f ca="1"/>
        <v/>
      </c>
      <c r="W232" s="1019" t="str">
        <f ca="1"/>
        <v/>
      </c>
      <c r="X232" s="1006" t="str">
        <f ca="1"/>
        <v/>
      </c>
      <c r="Y232" s="864" t="str">
        <f t="shared" ca="1" si="24"/>
        <v/>
      </c>
      <c r="AA232" s="828">
        <v>214</v>
      </c>
      <c r="AB232" s="750"/>
      <c r="AC232" s="842"/>
      <c r="AD232" s="830"/>
      <c r="AE232" s="839"/>
      <c r="AF232" s="839"/>
      <c r="AG232" s="750"/>
      <c r="AH232" s="840"/>
      <c r="AI232" s="839"/>
      <c r="AJ232" s="841"/>
      <c r="AK232" s="108" t="s">
        <v>12</v>
      </c>
      <c r="AL232" s="847">
        <v>214</v>
      </c>
      <c r="AM232" s="857"/>
      <c r="AN232" s="842"/>
      <c r="AO232" s="839"/>
      <c r="AP232" s="839"/>
      <c r="AQ232" s="839"/>
      <c r="AR232" s="750"/>
      <c r="AS232" s="840"/>
      <c r="AT232" s="839"/>
      <c r="AU232" s="856"/>
      <c r="AV232" s="108" t="s">
        <v>12</v>
      </c>
    </row>
    <row r="233" spans="4:48">
      <c r="D233" s="108" t="s">
        <v>12</v>
      </c>
      <c r="E233" s="742">
        <v>215</v>
      </c>
      <c r="F233" s="1016" t="str">
        <f t="shared" ca="1" si="25"/>
        <v/>
      </c>
      <c r="G233" s="1027" t="str">
        <f t="shared" ca="1" si="26"/>
        <v/>
      </c>
      <c r="H233" s="1043" t="str">
        <f ca="1"/>
        <v/>
      </c>
      <c r="I233" s="1006" t="str">
        <f ca="1"/>
        <v/>
      </c>
      <c r="J233" s="1006" t="str">
        <f ca="1"/>
        <v/>
      </c>
      <c r="K233" s="1016" t="str">
        <f ca="1"/>
        <v/>
      </c>
      <c r="L233" s="1019" t="str">
        <f ca="1"/>
        <v/>
      </c>
      <c r="M233" s="1006" t="str">
        <f ca="1"/>
        <v/>
      </c>
      <c r="N233" s="1060" t="str">
        <f t="shared" ca="1" si="23"/>
        <v/>
      </c>
      <c r="O233" s="996"/>
      <c r="P233" s="742">
        <v>215</v>
      </c>
      <c r="Q233" s="1016" t="str">
        <f t="shared" ca="1" si="27"/>
        <v/>
      </c>
      <c r="R233" s="1027" t="str">
        <f t="shared" ca="1" si="28"/>
        <v/>
      </c>
      <c r="S233" s="1006" t="str">
        <f ca="1"/>
        <v/>
      </c>
      <c r="T233" s="1006" t="str">
        <f ca="1"/>
        <v/>
      </c>
      <c r="U233" s="1006" t="str">
        <f ca="1"/>
        <v/>
      </c>
      <c r="V233" s="1016" t="str">
        <f ca="1"/>
        <v/>
      </c>
      <c r="W233" s="1019" t="str">
        <f ca="1"/>
        <v/>
      </c>
      <c r="X233" s="1006" t="str">
        <f ca="1"/>
        <v/>
      </c>
      <c r="Y233" s="864" t="str">
        <f t="shared" ca="1" si="24"/>
        <v/>
      </c>
      <c r="AA233" s="828">
        <v>215</v>
      </c>
      <c r="AB233" s="750"/>
      <c r="AC233" s="842"/>
      <c r="AD233" s="830"/>
      <c r="AE233" s="839"/>
      <c r="AF233" s="839"/>
      <c r="AG233" s="750"/>
      <c r="AH233" s="840"/>
      <c r="AI233" s="839"/>
      <c r="AJ233" s="841"/>
      <c r="AK233" s="108" t="s">
        <v>12</v>
      </c>
      <c r="AL233" s="847">
        <v>215</v>
      </c>
      <c r="AM233" s="857"/>
      <c r="AN233" s="842"/>
      <c r="AO233" s="839"/>
      <c r="AP233" s="839"/>
      <c r="AQ233" s="839"/>
      <c r="AR233" s="750"/>
      <c r="AS233" s="840"/>
      <c r="AT233" s="839"/>
      <c r="AU233" s="856"/>
      <c r="AV233" s="108" t="s">
        <v>12</v>
      </c>
    </row>
    <row r="234" spans="4:48">
      <c r="D234" s="108" t="s">
        <v>12</v>
      </c>
      <c r="E234" s="742">
        <v>216</v>
      </c>
      <c r="F234" s="1016" t="str">
        <f t="shared" ca="1" si="25"/>
        <v/>
      </c>
      <c r="G234" s="1027" t="str">
        <f t="shared" ca="1" si="26"/>
        <v/>
      </c>
      <c r="H234" s="1043" t="str">
        <f ca="1"/>
        <v/>
      </c>
      <c r="I234" s="1006" t="str">
        <f ca="1"/>
        <v/>
      </c>
      <c r="J234" s="1006" t="str">
        <f ca="1"/>
        <v/>
      </c>
      <c r="K234" s="1016" t="str">
        <f ca="1"/>
        <v/>
      </c>
      <c r="L234" s="1019" t="str">
        <f ca="1"/>
        <v/>
      </c>
      <c r="M234" s="1006" t="str">
        <f ca="1"/>
        <v/>
      </c>
      <c r="N234" s="1060" t="str">
        <f t="shared" ca="1" si="23"/>
        <v/>
      </c>
      <c r="O234" s="996"/>
      <c r="P234" s="742">
        <v>216</v>
      </c>
      <c r="Q234" s="1016" t="str">
        <f t="shared" ca="1" si="27"/>
        <v/>
      </c>
      <c r="R234" s="1027" t="str">
        <f t="shared" ca="1" si="28"/>
        <v/>
      </c>
      <c r="S234" s="1006" t="str">
        <f ca="1"/>
        <v/>
      </c>
      <c r="T234" s="1006" t="str">
        <f ca="1"/>
        <v/>
      </c>
      <c r="U234" s="1006" t="str">
        <f ca="1"/>
        <v/>
      </c>
      <c r="V234" s="1016" t="str">
        <f ca="1"/>
        <v/>
      </c>
      <c r="W234" s="1019" t="str">
        <f ca="1"/>
        <v/>
      </c>
      <c r="X234" s="1006" t="str">
        <f ca="1"/>
        <v/>
      </c>
      <c r="Y234" s="864" t="str">
        <f t="shared" ca="1" si="24"/>
        <v/>
      </c>
      <c r="AA234" s="828">
        <v>216</v>
      </c>
      <c r="AB234" s="750"/>
      <c r="AC234" s="842"/>
      <c r="AD234" s="830"/>
      <c r="AE234" s="839"/>
      <c r="AF234" s="839"/>
      <c r="AG234" s="750"/>
      <c r="AH234" s="840"/>
      <c r="AI234" s="839"/>
      <c r="AJ234" s="841"/>
      <c r="AK234" s="108" t="s">
        <v>12</v>
      </c>
      <c r="AL234" s="847">
        <v>216</v>
      </c>
      <c r="AM234" s="857"/>
      <c r="AN234" s="842"/>
      <c r="AO234" s="839"/>
      <c r="AP234" s="839"/>
      <c r="AQ234" s="839"/>
      <c r="AR234" s="750"/>
      <c r="AS234" s="840"/>
      <c r="AT234" s="839"/>
      <c r="AU234" s="856"/>
      <c r="AV234" s="108" t="s">
        <v>12</v>
      </c>
    </row>
    <row r="235" spans="4:48">
      <c r="D235" s="108" t="s">
        <v>12</v>
      </c>
      <c r="E235" s="742">
        <v>217</v>
      </c>
      <c r="F235" s="1016" t="str">
        <f t="shared" ca="1" si="25"/>
        <v/>
      </c>
      <c r="G235" s="1027" t="str">
        <f t="shared" ca="1" si="26"/>
        <v/>
      </c>
      <c r="H235" s="1043" t="str">
        <f ca="1"/>
        <v/>
      </c>
      <c r="I235" s="1006" t="str">
        <f ca="1"/>
        <v/>
      </c>
      <c r="J235" s="1006" t="str">
        <f ca="1"/>
        <v/>
      </c>
      <c r="K235" s="1016" t="str">
        <f ca="1"/>
        <v/>
      </c>
      <c r="L235" s="1019" t="str">
        <f ca="1"/>
        <v/>
      </c>
      <c r="M235" s="1006" t="str">
        <f ca="1"/>
        <v/>
      </c>
      <c r="N235" s="1060" t="str">
        <f t="shared" ca="1" si="23"/>
        <v/>
      </c>
      <c r="O235" s="996"/>
      <c r="P235" s="742">
        <v>217</v>
      </c>
      <c r="Q235" s="1016" t="str">
        <f t="shared" ca="1" si="27"/>
        <v/>
      </c>
      <c r="R235" s="1027" t="str">
        <f t="shared" ca="1" si="28"/>
        <v/>
      </c>
      <c r="S235" s="1006" t="str">
        <f ca="1"/>
        <v/>
      </c>
      <c r="T235" s="1006" t="str">
        <f ca="1"/>
        <v/>
      </c>
      <c r="U235" s="1006" t="str">
        <f ca="1"/>
        <v/>
      </c>
      <c r="V235" s="1016" t="str">
        <f ca="1"/>
        <v/>
      </c>
      <c r="W235" s="1019" t="str">
        <f ca="1"/>
        <v/>
      </c>
      <c r="X235" s="1006" t="str">
        <f ca="1"/>
        <v/>
      </c>
      <c r="Y235" s="864" t="str">
        <f t="shared" ca="1" si="24"/>
        <v/>
      </c>
      <c r="AA235" s="828">
        <v>217</v>
      </c>
      <c r="AB235" s="750"/>
      <c r="AC235" s="842"/>
      <c r="AD235" s="830"/>
      <c r="AE235" s="839"/>
      <c r="AF235" s="839"/>
      <c r="AG235" s="750"/>
      <c r="AH235" s="840"/>
      <c r="AI235" s="839"/>
      <c r="AJ235" s="841"/>
      <c r="AK235" s="108" t="s">
        <v>12</v>
      </c>
      <c r="AL235" s="847">
        <v>217</v>
      </c>
      <c r="AM235" s="857"/>
      <c r="AN235" s="842"/>
      <c r="AO235" s="839"/>
      <c r="AP235" s="839"/>
      <c r="AQ235" s="839"/>
      <c r="AR235" s="750"/>
      <c r="AS235" s="840"/>
      <c r="AT235" s="839"/>
      <c r="AU235" s="856"/>
      <c r="AV235" s="108" t="s">
        <v>12</v>
      </c>
    </row>
    <row r="236" spans="4:48">
      <c r="D236" s="108" t="s">
        <v>12</v>
      </c>
      <c r="E236" s="742">
        <v>218</v>
      </c>
      <c r="F236" s="1016" t="str">
        <f t="shared" ca="1" si="25"/>
        <v/>
      </c>
      <c r="G236" s="1027" t="str">
        <f t="shared" ca="1" si="26"/>
        <v/>
      </c>
      <c r="H236" s="1043" t="str">
        <f ca="1"/>
        <v/>
      </c>
      <c r="I236" s="1006" t="str">
        <f ca="1"/>
        <v/>
      </c>
      <c r="J236" s="1006" t="str">
        <f ca="1"/>
        <v/>
      </c>
      <c r="K236" s="1016" t="str">
        <f ca="1"/>
        <v/>
      </c>
      <c r="L236" s="1019" t="str">
        <f ca="1"/>
        <v/>
      </c>
      <c r="M236" s="1006" t="str">
        <f ca="1"/>
        <v/>
      </c>
      <c r="N236" s="1060" t="str">
        <f t="shared" ca="1" si="23"/>
        <v/>
      </c>
      <c r="O236" s="996"/>
      <c r="P236" s="742">
        <v>218</v>
      </c>
      <c r="Q236" s="1016" t="str">
        <f t="shared" ca="1" si="27"/>
        <v/>
      </c>
      <c r="R236" s="1027" t="str">
        <f t="shared" ca="1" si="28"/>
        <v/>
      </c>
      <c r="S236" s="1006" t="str">
        <f ca="1"/>
        <v/>
      </c>
      <c r="T236" s="1006" t="str">
        <f ca="1"/>
        <v/>
      </c>
      <c r="U236" s="1006" t="str">
        <f ca="1"/>
        <v/>
      </c>
      <c r="V236" s="1016" t="str">
        <f ca="1"/>
        <v/>
      </c>
      <c r="W236" s="1019" t="str">
        <f ca="1"/>
        <v/>
      </c>
      <c r="X236" s="1006" t="str">
        <f ca="1"/>
        <v/>
      </c>
      <c r="Y236" s="864" t="str">
        <f t="shared" ca="1" si="24"/>
        <v/>
      </c>
      <c r="AA236" s="828">
        <v>218</v>
      </c>
      <c r="AB236" s="750"/>
      <c r="AC236" s="842"/>
      <c r="AD236" s="830"/>
      <c r="AE236" s="839"/>
      <c r="AF236" s="839"/>
      <c r="AG236" s="750"/>
      <c r="AH236" s="840"/>
      <c r="AI236" s="839"/>
      <c r="AJ236" s="841"/>
      <c r="AK236" s="108" t="s">
        <v>12</v>
      </c>
      <c r="AL236" s="847">
        <v>218</v>
      </c>
      <c r="AM236" s="857"/>
      <c r="AN236" s="842"/>
      <c r="AO236" s="839"/>
      <c r="AP236" s="839"/>
      <c r="AQ236" s="839"/>
      <c r="AR236" s="750"/>
      <c r="AS236" s="840"/>
      <c r="AT236" s="839"/>
      <c r="AU236" s="856"/>
      <c r="AV236" s="108" t="s">
        <v>12</v>
      </c>
    </row>
    <row r="237" spans="4:48">
      <c r="D237" s="108" t="s">
        <v>12</v>
      </c>
      <c r="E237" s="742">
        <v>219</v>
      </c>
      <c r="F237" s="1016" t="str">
        <f t="shared" ca="1" si="25"/>
        <v/>
      </c>
      <c r="G237" s="1027" t="str">
        <f t="shared" ca="1" si="26"/>
        <v/>
      </c>
      <c r="H237" s="1043" t="str">
        <f ca="1"/>
        <v/>
      </c>
      <c r="I237" s="1006" t="str">
        <f ca="1"/>
        <v/>
      </c>
      <c r="J237" s="1006" t="str">
        <f ca="1"/>
        <v/>
      </c>
      <c r="K237" s="1016" t="str">
        <f ca="1"/>
        <v/>
      </c>
      <c r="L237" s="1019" t="str">
        <f ca="1"/>
        <v/>
      </c>
      <c r="M237" s="1006" t="str">
        <f ca="1"/>
        <v/>
      </c>
      <c r="N237" s="1060" t="str">
        <f t="shared" ca="1" si="23"/>
        <v/>
      </c>
      <c r="O237" s="996"/>
      <c r="P237" s="742">
        <v>219</v>
      </c>
      <c r="Q237" s="1016" t="str">
        <f t="shared" ca="1" si="27"/>
        <v/>
      </c>
      <c r="R237" s="1027" t="str">
        <f t="shared" ca="1" si="28"/>
        <v/>
      </c>
      <c r="S237" s="1006" t="str">
        <f ca="1"/>
        <v/>
      </c>
      <c r="T237" s="1006" t="str">
        <f ca="1"/>
        <v/>
      </c>
      <c r="U237" s="1006" t="str">
        <f ca="1"/>
        <v/>
      </c>
      <c r="V237" s="1016" t="str">
        <f ca="1"/>
        <v/>
      </c>
      <c r="W237" s="1019" t="str">
        <f ca="1"/>
        <v/>
      </c>
      <c r="X237" s="1006" t="str">
        <f ca="1"/>
        <v/>
      </c>
      <c r="Y237" s="864" t="str">
        <f t="shared" ca="1" si="24"/>
        <v/>
      </c>
      <c r="AA237" s="828">
        <v>219</v>
      </c>
      <c r="AB237" s="750"/>
      <c r="AC237" s="842"/>
      <c r="AD237" s="830"/>
      <c r="AE237" s="839"/>
      <c r="AF237" s="839"/>
      <c r="AG237" s="750"/>
      <c r="AH237" s="840"/>
      <c r="AI237" s="839"/>
      <c r="AJ237" s="841"/>
      <c r="AK237" s="108" t="s">
        <v>12</v>
      </c>
      <c r="AL237" s="847">
        <v>219</v>
      </c>
      <c r="AM237" s="857"/>
      <c r="AN237" s="842"/>
      <c r="AO237" s="839"/>
      <c r="AP237" s="839"/>
      <c r="AQ237" s="839"/>
      <c r="AR237" s="750"/>
      <c r="AS237" s="840"/>
      <c r="AT237" s="839"/>
      <c r="AU237" s="856"/>
      <c r="AV237" s="108" t="s">
        <v>12</v>
      </c>
    </row>
    <row r="238" spans="4:48">
      <c r="D238" s="108" t="s">
        <v>12</v>
      </c>
      <c r="E238" s="742">
        <v>220</v>
      </c>
      <c r="F238" s="1016" t="str">
        <f t="shared" ca="1" si="25"/>
        <v/>
      </c>
      <c r="G238" s="1027" t="str">
        <f t="shared" ca="1" si="26"/>
        <v/>
      </c>
      <c r="H238" s="1043" t="str">
        <f ca="1"/>
        <v/>
      </c>
      <c r="I238" s="1006" t="str">
        <f ca="1"/>
        <v/>
      </c>
      <c r="J238" s="1006" t="str">
        <f ca="1"/>
        <v/>
      </c>
      <c r="K238" s="1016" t="str">
        <f ca="1"/>
        <v/>
      </c>
      <c r="L238" s="1019" t="str">
        <f ca="1"/>
        <v/>
      </c>
      <c r="M238" s="1006" t="str">
        <f ca="1"/>
        <v/>
      </c>
      <c r="N238" s="1060" t="str">
        <f t="shared" ca="1" si="23"/>
        <v/>
      </c>
      <c r="O238" s="996"/>
      <c r="P238" s="742">
        <v>220</v>
      </c>
      <c r="Q238" s="1016" t="str">
        <f t="shared" ca="1" si="27"/>
        <v/>
      </c>
      <c r="R238" s="1027" t="str">
        <f t="shared" ca="1" si="28"/>
        <v/>
      </c>
      <c r="S238" s="1006" t="str">
        <f ca="1"/>
        <v/>
      </c>
      <c r="T238" s="1006" t="str">
        <f ca="1"/>
        <v/>
      </c>
      <c r="U238" s="1006" t="str">
        <f ca="1"/>
        <v/>
      </c>
      <c r="V238" s="1016" t="str">
        <f ca="1"/>
        <v/>
      </c>
      <c r="W238" s="1019" t="str">
        <f ca="1"/>
        <v/>
      </c>
      <c r="X238" s="1006" t="str">
        <f ca="1"/>
        <v/>
      </c>
      <c r="Y238" s="864" t="str">
        <f t="shared" ca="1" si="24"/>
        <v/>
      </c>
      <c r="AA238" s="828">
        <v>220</v>
      </c>
      <c r="AB238" s="750"/>
      <c r="AC238" s="842"/>
      <c r="AD238" s="830"/>
      <c r="AE238" s="839"/>
      <c r="AF238" s="839"/>
      <c r="AG238" s="750"/>
      <c r="AH238" s="840"/>
      <c r="AI238" s="839"/>
      <c r="AJ238" s="841"/>
      <c r="AK238" s="108" t="s">
        <v>12</v>
      </c>
      <c r="AL238" s="847">
        <v>220</v>
      </c>
      <c r="AM238" s="857"/>
      <c r="AN238" s="842"/>
      <c r="AO238" s="839"/>
      <c r="AP238" s="839"/>
      <c r="AQ238" s="839"/>
      <c r="AR238" s="750"/>
      <c r="AS238" s="840"/>
      <c r="AT238" s="839"/>
      <c r="AU238" s="856"/>
      <c r="AV238" s="108" t="s">
        <v>12</v>
      </c>
    </row>
    <row r="239" spans="4:48">
      <c r="D239" s="108" t="s">
        <v>12</v>
      </c>
      <c r="E239" s="742">
        <v>221</v>
      </c>
      <c r="F239" s="1016" t="str">
        <f t="shared" ca="1" si="25"/>
        <v/>
      </c>
      <c r="G239" s="1027" t="str">
        <f t="shared" ca="1" si="26"/>
        <v/>
      </c>
      <c r="H239" s="1043" t="str">
        <f ca="1"/>
        <v/>
      </c>
      <c r="I239" s="1006" t="str">
        <f ca="1"/>
        <v/>
      </c>
      <c r="J239" s="1006" t="str">
        <f ca="1"/>
        <v/>
      </c>
      <c r="K239" s="1016" t="str">
        <f ca="1"/>
        <v/>
      </c>
      <c r="L239" s="1019" t="str">
        <f ca="1"/>
        <v/>
      </c>
      <c r="M239" s="1006" t="str">
        <f ca="1"/>
        <v/>
      </c>
      <c r="N239" s="1060" t="str">
        <f t="shared" ca="1" si="23"/>
        <v/>
      </c>
      <c r="O239" s="996"/>
      <c r="P239" s="742">
        <v>221</v>
      </c>
      <c r="Q239" s="1016" t="str">
        <f t="shared" ca="1" si="27"/>
        <v/>
      </c>
      <c r="R239" s="1027" t="str">
        <f t="shared" ca="1" si="28"/>
        <v/>
      </c>
      <c r="S239" s="1006" t="str">
        <f ca="1"/>
        <v/>
      </c>
      <c r="T239" s="1006" t="str">
        <f ca="1"/>
        <v/>
      </c>
      <c r="U239" s="1006" t="str">
        <f ca="1"/>
        <v/>
      </c>
      <c r="V239" s="1016" t="str">
        <f ca="1"/>
        <v/>
      </c>
      <c r="W239" s="1019" t="str">
        <f ca="1"/>
        <v/>
      </c>
      <c r="X239" s="1006" t="str">
        <f ca="1"/>
        <v/>
      </c>
      <c r="Y239" s="864" t="str">
        <f t="shared" ca="1" si="24"/>
        <v/>
      </c>
      <c r="AA239" s="828">
        <v>221</v>
      </c>
      <c r="AB239" s="750"/>
      <c r="AC239" s="842"/>
      <c r="AD239" s="830"/>
      <c r="AE239" s="839"/>
      <c r="AF239" s="839"/>
      <c r="AG239" s="750"/>
      <c r="AH239" s="840"/>
      <c r="AI239" s="839"/>
      <c r="AJ239" s="841"/>
      <c r="AK239" s="108" t="s">
        <v>12</v>
      </c>
      <c r="AL239" s="847">
        <v>221</v>
      </c>
      <c r="AM239" s="857"/>
      <c r="AN239" s="842"/>
      <c r="AO239" s="839"/>
      <c r="AP239" s="839"/>
      <c r="AQ239" s="839"/>
      <c r="AR239" s="750"/>
      <c r="AS239" s="840"/>
      <c r="AT239" s="839"/>
      <c r="AU239" s="856"/>
      <c r="AV239" s="108" t="s">
        <v>12</v>
      </c>
    </row>
    <row r="240" spans="4:48">
      <c r="D240" s="108" t="s">
        <v>12</v>
      </c>
      <c r="E240" s="742">
        <v>222</v>
      </c>
      <c r="F240" s="1016" t="str">
        <f t="shared" ca="1" si="25"/>
        <v/>
      </c>
      <c r="G240" s="1027" t="str">
        <f t="shared" ca="1" si="26"/>
        <v/>
      </c>
      <c r="H240" s="1043" t="str">
        <f ca="1"/>
        <v/>
      </c>
      <c r="I240" s="1006" t="str">
        <f ca="1"/>
        <v/>
      </c>
      <c r="J240" s="1006" t="str">
        <f ca="1"/>
        <v/>
      </c>
      <c r="K240" s="1016" t="str">
        <f ca="1"/>
        <v/>
      </c>
      <c r="L240" s="1019" t="str">
        <f ca="1"/>
        <v/>
      </c>
      <c r="M240" s="1006" t="str">
        <f ca="1"/>
        <v/>
      </c>
      <c r="N240" s="1060" t="str">
        <f t="shared" ca="1" si="23"/>
        <v/>
      </c>
      <c r="O240" s="996"/>
      <c r="P240" s="742">
        <v>222</v>
      </c>
      <c r="Q240" s="1016" t="str">
        <f t="shared" ca="1" si="27"/>
        <v/>
      </c>
      <c r="R240" s="1027" t="str">
        <f t="shared" ca="1" si="28"/>
        <v/>
      </c>
      <c r="S240" s="1006" t="str">
        <f ca="1"/>
        <v/>
      </c>
      <c r="T240" s="1006" t="str">
        <f ca="1"/>
        <v/>
      </c>
      <c r="U240" s="1006" t="str">
        <f ca="1"/>
        <v/>
      </c>
      <c r="V240" s="1016" t="str">
        <f ca="1"/>
        <v/>
      </c>
      <c r="W240" s="1019" t="str">
        <f ca="1"/>
        <v/>
      </c>
      <c r="X240" s="1006" t="str">
        <f ca="1"/>
        <v/>
      </c>
      <c r="Y240" s="864" t="str">
        <f t="shared" ca="1" si="24"/>
        <v/>
      </c>
      <c r="AA240" s="828">
        <v>222</v>
      </c>
      <c r="AB240" s="750"/>
      <c r="AC240" s="842"/>
      <c r="AD240" s="830"/>
      <c r="AE240" s="839"/>
      <c r="AF240" s="839"/>
      <c r="AG240" s="750"/>
      <c r="AH240" s="840"/>
      <c r="AI240" s="839"/>
      <c r="AJ240" s="841"/>
      <c r="AK240" s="108" t="s">
        <v>12</v>
      </c>
      <c r="AL240" s="847">
        <v>222</v>
      </c>
      <c r="AM240" s="857"/>
      <c r="AN240" s="842"/>
      <c r="AO240" s="839"/>
      <c r="AP240" s="839"/>
      <c r="AQ240" s="839"/>
      <c r="AR240" s="750"/>
      <c r="AS240" s="840"/>
      <c r="AT240" s="839"/>
      <c r="AU240" s="856"/>
      <c r="AV240" s="108" t="s">
        <v>12</v>
      </c>
    </row>
    <row r="241" spans="4:48">
      <c r="D241" s="108" t="s">
        <v>12</v>
      </c>
      <c r="E241" s="742">
        <v>223</v>
      </c>
      <c r="F241" s="1016" t="str">
        <f t="shared" ca="1" si="25"/>
        <v/>
      </c>
      <c r="G241" s="1027" t="str">
        <f t="shared" ca="1" si="26"/>
        <v/>
      </c>
      <c r="H241" s="1043" t="str">
        <f ca="1"/>
        <v/>
      </c>
      <c r="I241" s="1006" t="str">
        <f ca="1"/>
        <v/>
      </c>
      <c r="J241" s="1006" t="str">
        <f ca="1"/>
        <v/>
      </c>
      <c r="K241" s="1016" t="str">
        <f ca="1"/>
        <v/>
      </c>
      <c r="L241" s="1019" t="str">
        <f ca="1"/>
        <v/>
      </c>
      <c r="M241" s="1006" t="str">
        <f ca="1"/>
        <v/>
      </c>
      <c r="N241" s="1060" t="str">
        <f t="shared" ca="1" si="23"/>
        <v/>
      </c>
      <c r="O241" s="996"/>
      <c r="P241" s="742">
        <v>223</v>
      </c>
      <c r="Q241" s="1016" t="str">
        <f t="shared" ca="1" si="27"/>
        <v/>
      </c>
      <c r="R241" s="1027" t="str">
        <f t="shared" ca="1" si="28"/>
        <v/>
      </c>
      <c r="S241" s="1006" t="str">
        <f ca="1"/>
        <v/>
      </c>
      <c r="T241" s="1006" t="str">
        <f ca="1"/>
        <v/>
      </c>
      <c r="U241" s="1006" t="str">
        <f ca="1"/>
        <v/>
      </c>
      <c r="V241" s="1016" t="str">
        <f ca="1"/>
        <v/>
      </c>
      <c r="W241" s="1019" t="str">
        <f ca="1"/>
        <v/>
      </c>
      <c r="X241" s="1006" t="str">
        <f ca="1"/>
        <v/>
      </c>
      <c r="Y241" s="864" t="str">
        <f t="shared" ca="1" si="24"/>
        <v/>
      </c>
      <c r="AA241" s="828">
        <v>223</v>
      </c>
      <c r="AB241" s="750"/>
      <c r="AC241" s="842"/>
      <c r="AD241" s="830"/>
      <c r="AE241" s="839"/>
      <c r="AF241" s="839"/>
      <c r="AG241" s="750"/>
      <c r="AH241" s="840"/>
      <c r="AI241" s="839"/>
      <c r="AJ241" s="841"/>
      <c r="AK241" s="108" t="s">
        <v>12</v>
      </c>
      <c r="AL241" s="847">
        <v>223</v>
      </c>
      <c r="AM241" s="857"/>
      <c r="AN241" s="842"/>
      <c r="AO241" s="839"/>
      <c r="AP241" s="839"/>
      <c r="AQ241" s="839"/>
      <c r="AR241" s="750"/>
      <c r="AS241" s="840"/>
      <c r="AT241" s="839"/>
      <c r="AU241" s="856"/>
      <c r="AV241" s="108" t="s">
        <v>12</v>
      </c>
    </row>
    <row r="242" spans="4:48">
      <c r="D242" s="108" t="s">
        <v>12</v>
      </c>
      <c r="E242" s="742">
        <v>224</v>
      </c>
      <c r="F242" s="1016" t="str">
        <f t="shared" ca="1" si="25"/>
        <v/>
      </c>
      <c r="G242" s="1027" t="str">
        <f t="shared" ca="1" si="26"/>
        <v/>
      </c>
      <c r="H242" s="1043" t="str">
        <f ca="1"/>
        <v/>
      </c>
      <c r="I242" s="1006" t="str">
        <f ca="1"/>
        <v/>
      </c>
      <c r="J242" s="1006" t="str">
        <f ca="1"/>
        <v/>
      </c>
      <c r="K242" s="1016" t="str">
        <f ca="1"/>
        <v/>
      </c>
      <c r="L242" s="1019" t="str">
        <f ca="1"/>
        <v/>
      </c>
      <c r="M242" s="1006" t="str">
        <f ca="1"/>
        <v/>
      </c>
      <c r="N242" s="1060" t="str">
        <f t="shared" ca="1" si="23"/>
        <v/>
      </c>
      <c r="O242" s="996"/>
      <c r="P242" s="742">
        <v>224</v>
      </c>
      <c r="Q242" s="1016" t="str">
        <f t="shared" ca="1" si="27"/>
        <v/>
      </c>
      <c r="R242" s="1027" t="str">
        <f t="shared" ca="1" si="28"/>
        <v/>
      </c>
      <c r="S242" s="1006" t="str">
        <f ca="1"/>
        <v/>
      </c>
      <c r="T242" s="1006" t="str">
        <f ca="1"/>
        <v/>
      </c>
      <c r="U242" s="1006" t="str">
        <f ca="1"/>
        <v/>
      </c>
      <c r="V242" s="1016" t="str">
        <f ca="1"/>
        <v/>
      </c>
      <c r="W242" s="1019" t="str">
        <f ca="1"/>
        <v/>
      </c>
      <c r="X242" s="1006" t="str">
        <f ca="1"/>
        <v/>
      </c>
      <c r="Y242" s="864" t="str">
        <f t="shared" ca="1" si="24"/>
        <v/>
      </c>
      <c r="AA242" s="828">
        <v>224</v>
      </c>
      <c r="AB242" s="750"/>
      <c r="AC242" s="842"/>
      <c r="AD242" s="830"/>
      <c r="AE242" s="839"/>
      <c r="AF242" s="839"/>
      <c r="AG242" s="750"/>
      <c r="AH242" s="840"/>
      <c r="AI242" s="839"/>
      <c r="AJ242" s="841"/>
      <c r="AK242" s="108" t="s">
        <v>12</v>
      </c>
      <c r="AL242" s="847">
        <v>224</v>
      </c>
      <c r="AM242" s="857"/>
      <c r="AN242" s="842"/>
      <c r="AO242" s="839"/>
      <c r="AP242" s="839"/>
      <c r="AQ242" s="839"/>
      <c r="AR242" s="750"/>
      <c r="AS242" s="840"/>
      <c r="AT242" s="839"/>
      <c r="AU242" s="856"/>
      <c r="AV242" s="108" t="s">
        <v>12</v>
      </c>
    </row>
    <row r="243" spans="4:48">
      <c r="D243" s="108" t="s">
        <v>12</v>
      </c>
      <c r="E243" s="742">
        <v>225</v>
      </c>
      <c r="F243" s="1016" t="str">
        <f t="shared" ca="1" si="25"/>
        <v/>
      </c>
      <c r="G243" s="1027" t="str">
        <f t="shared" ca="1" si="26"/>
        <v/>
      </c>
      <c r="H243" s="1043" t="str">
        <f ca="1"/>
        <v/>
      </c>
      <c r="I243" s="1006" t="str">
        <f ca="1"/>
        <v/>
      </c>
      <c r="J243" s="1006" t="str">
        <f ca="1"/>
        <v/>
      </c>
      <c r="K243" s="1016" t="str">
        <f ca="1"/>
        <v/>
      </c>
      <c r="L243" s="1019" t="str">
        <f ca="1"/>
        <v/>
      </c>
      <c r="M243" s="1006" t="str">
        <f ca="1"/>
        <v/>
      </c>
      <c r="N243" s="1060" t="str">
        <f t="shared" ca="1" si="23"/>
        <v/>
      </c>
      <c r="O243" s="996"/>
      <c r="P243" s="742">
        <v>225</v>
      </c>
      <c r="Q243" s="1016" t="str">
        <f t="shared" ca="1" si="27"/>
        <v/>
      </c>
      <c r="R243" s="1027" t="str">
        <f t="shared" ca="1" si="28"/>
        <v/>
      </c>
      <c r="S243" s="1006" t="str">
        <f ca="1"/>
        <v/>
      </c>
      <c r="T243" s="1006" t="str">
        <f ca="1"/>
        <v/>
      </c>
      <c r="U243" s="1006" t="str">
        <f ca="1"/>
        <v/>
      </c>
      <c r="V243" s="1016" t="str">
        <f ca="1"/>
        <v/>
      </c>
      <c r="W243" s="1019" t="str">
        <f ca="1"/>
        <v/>
      </c>
      <c r="X243" s="1006" t="str">
        <f ca="1"/>
        <v/>
      </c>
      <c r="Y243" s="864" t="str">
        <f t="shared" ca="1" si="24"/>
        <v/>
      </c>
      <c r="AA243" s="828">
        <v>225</v>
      </c>
      <c r="AB243" s="750"/>
      <c r="AC243" s="842"/>
      <c r="AD243" s="830"/>
      <c r="AE243" s="839"/>
      <c r="AF243" s="839"/>
      <c r="AG243" s="750"/>
      <c r="AH243" s="840"/>
      <c r="AI243" s="839"/>
      <c r="AJ243" s="841"/>
      <c r="AK243" s="108" t="s">
        <v>12</v>
      </c>
      <c r="AL243" s="847">
        <v>225</v>
      </c>
      <c r="AM243" s="857"/>
      <c r="AN243" s="842"/>
      <c r="AO243" s="839"/>
      <c r="AP243" s="839"/>
      <c r="AQ243" s="839"/>
      <c r="AR243" s="750"/>
      <c r="AS243" s="840"/>
      <c r="AT243" s="839"/>
      <c r="AU243" s="856"/>
      <c r="AV243" s="108" t="s">
        <v>12</v>
      </c>
    </row>
    <row r="244" spans="4:48">
      <c r="D244" s="108" t="s">
        <v>12</v>
      </c>
      <c r="E244" s="742">
        <v>226</v>
      </c>
      <c r="F244" s="1016" t="str">
        <f t="shared" ca="1" si="25"/>
        <v/>
      </c>
      <c r="G244" s="1027" t="str">
        <f t="shared" ca="1" si="26"/>
        <v/>
      </c>
      <c r="H244" s="1043" t="str">
        <f ca="1"/>
        <v/>
      </c>
      <c r="I244" s="1006" t="str">
        <f ca="1"/>
        <v/>
      </c>
      <c r="J244" s="1006" t="str">
        <f ca="1"/>
        <v/>
      </c>
      <c r="K244" s="1016" t="str">
        <f ca="1"/>
        <v/>
      </c>
      <c r="L244" s="1019" t="str">
        <f ca="1"/>
        <v/>
      </c>
      <c r="M244" s="1006" t="str">
        <f ca="1"/>
        <v/>
      </c>
      <c r="N244" s="1060" t="str">
        <f t="shared" ca="1" si="23"/>
        <v/>
      </c>
      <c r="O244" s="996"/>
      <c r="P244" s="742">
        <v>226</v>
      </c>
      <c r="Q244" s="1016" t="str">
        <f t="shared" ca="1" si="27"/>
        <v/>
      </c>
      <c r="R244" s="1027" t="str">
        <f t="shared" ca="1" si="28"/>
        <v/>
      </c>
      <c r="S244" s="1006" t="str">
        <f ca="1"/>
        <v/>
      </c>
      <c r="T244" s="1006" t="str">
        <f ca="1"/>
        <v/>
      </c>
      <c r="U244" s="1006" t="str">
        <f ca="1"/>
        <v/>
      </c>
      <c r="V244" s="1016" t="str">
        <f ca="1"/>
        <v/>
      </c>
      <c r="W244" s="1019" t="str">
        <f ca="1"/>
        <v/>
      </c>
      <c r="X244" s="1006" t="str">
        <f ca="1"/>
        <v/>
      </c>
      <c r="Y244" s="864" t="str">
        <f t="shared" ca="1" si="24"/>
        <v/>
      </c>
      <c r="AA244" s="828">
        <v>226</v>
      </c>
      <c r="AB244" s="750"/>
      <c r="AC244" s="842"/>
      <c r="AD244" s="830"/>
      <c r="AE244" s="839"/>
      <c r="AF244" s="839"/>
      <c r="AG244" s="750"/>
      <c r="AH244" s="840"/>
      <c r="AI244" s="839"/>
      <c r="AJ244" s="841"/>
      <c r="AK244" s="108" t="s">
        <v>12</v>
      </c>
      <c r="AL244" s="847">
        <v>226</v>
      </c>
      <c r="AM244" s="857"/>
      <c r="AN244" s="842"/>
      <c r="AO244" s="839"/>
      <c r="AP244" s="839"/>
      <c r="AQ244" s="839"/>
      <c r="AR244" s="750"/>
      <c r="AS244" s="840"/>
      <c r="AT244" s="839"/>
      <c r="AU244" s="856"/>
      <c r="AV244" s="108" t="s">
        <v>12</v>
      </c>
    </row>
    <row r="245" spans="4:48">
      <c r="D245" s="108" t="s">
        <v>12</v>
      </c>
      <c r="E245" s="742">
        <v>227</v>
      </c>
      <c r="F245" s="1016" t="str">
        <f t="shared" ca="1" si="25"/>
        <v/>
      </c>
      <c r="G245" s="1027" t="str">
        <f t="shared" ca="1" si="26"/>
        <v/>
      </c>
      <c r="H245" s="1043" t="str">
        <f ca="1"/>
        <v/>
      </c>
      <c r="I245" s="1006" t="str">
        <f ca="1"/>
        <v/>
      </c>
      <c r="J245" s="1006" t="str">
        <f ca="1"/>
        <v/>
      </c>
      <c r="K245" s="1016" t="str">
        <f ca="1"/>
        <v/>
      </c>
      <c r="L245" s="1019" t="str">
        <f ca="1"/>
        <v/>
      </c>
      <c r="M245" s="1006" t="str">
        <f ca="1"/>
        <v/>
      </c>
      <c r="N245" s="1060" t="str">
        <f t="shared" ca="1" si="23"/>
        <v/>
      </c>
      <c r="O245" s="996"/>
      <c r="P245" s="742">
        <v>227</v>
      </c>
      <c r="Q245" s="1016" t="str">
        <f t="shared" ca="1" si="27"/>
        <v/>
      </c>
      <c r="R245" s="1027" t="str">
        <f t="shared" ca="1" si="28"/>
        <v/>
      </c>
      <c r="S245" s="1006" t="str">
        <f ca="1"/>
        <v/>
      </c>
      <c r="T245" s="1006" t="str">
        <f ca="1"/>
        <v/>
      </c>
      <c r="U245" s="1006" t="str">
        <f ca="1"/>
        <v/>
      </c>
      <c r="V245" s="1016" t="str">
        <f ca="1"/>
        <v/>
      </c>
      <c r="W245" s="1019" t="str">
        <f ca="1"/>
        <v/>
      </c>
      <c r="X245" s="1006" t="str">
        <f ca="1"/>
        <v/>
      </c>
      <c r="Y245" s="864" t="str">
        <f t="shared" ca="1" si="24"/>
        <v/>
      </c>
      <c r="AA245" s="828">
        <v>227</v>
      </c>
      <c r="AB245" s="750"/>
      <c r="AC245" s="842"/>
      <c r="AD245" s="830"/>
      <c r="AE245" s="839"/>
      <c r="AF245" s="839"/>
      <c r="AG245" s="750"/>
      <c r="AH245" s="840"/>
      <c r="AI245" s="839"/>
      <c r="AJ245" s="841"/>
      <c r="AK245" s="108" t="s">
        <v>12</v>
      </c>
      <c r="AL245" s="847">
        <v>227</v>
      </c>
      <c r="AM245" s="857"/>
      <c r="AN245" s="842"/>
      <c r="AO245" s="839"/>
      <c r="AP245" s="839"/>
      <c r="AQ245" s="839"/>
      <c r="AR245" s="750"/>
      <c r="AS245" s="840"/>
      <c r="AT245" s="839"/>
      <c r="AU245" s="856"/>
      <c r="AV245" s="108" t="s">
        <v>12</v>
      </c>
    </row>
    <row r="246" spans="4:48">
      <c r="D246" s="108" t="s">
        <v>12</v>
      </c>
      <c r="E246" s="742">
        <v>228</v>
      </c>
      <c r="F246" s="1016" t="str">
        <f t="shared" ca="1" si="25"/>
        <v/>
      </c>
      <c r="G246" s="1027" t="str">
        <f t="shared" ca="1" si="26"/>
        <v/>
      </c>
      <c r="H246" s="1043" t="str">
        <f ca="1"/>
        <v/>
      </c>
      <c r="I246" s="1006" t="str">
        <f ca="1"/>
        <v/>
      </c>
      <c r="J246" s="1006" t="str">
        <f ca="1"/>
        <v/>
      </c>
      <c r="K246" s="1016" t="str">
        <f ca="1"/>
        <v/>
      </c>
      <c r="L246" s="1019" t="str">
        <f ca="1"/>
        <v/>
      </c>
      <c r="M246" s="1006" t="str">
        <f ca="1"/>
        <v/>
      </c>
      <c r="N246" s="1060" t="str">
        <f t="shared" ca="1" si="23"/>
        <v/>
      </c>
      <c r="O246" s="996"/>
      <c r="P246" s="742">
        <v>228</v>
      </c>
      <c r="Q246" s="1016" t="str">
        <f t="shared" ca="1" si="27"/>
        <v/>
      </c>
      <c r="R246" s="1027" t="str">
        <f t="shared" ca="1" si="28"/>
        <v/>
      </c>
      <c r="S246" s="1006" t="str">
        <f ca="1"/>
        <v/>
      </c>
      <c r="T246" s="1006" t="str">
        <f ca="1"/>
        <v/>
      </c>
      <c r="U246" s="1006" t="str">
        <f ca="1"/>
        <v/>
      </c>
      <c r="V246" s="1016" t="str">
        <f ca="1"/>
        <v/>
      </c>
      <c r="W246" s="1019" t="str">
        <f ca="1"/>
        <v/>
      </c>
      <c r="X246" s="1006" t="str">
        <f ca="1"/>
        <v/>
      </c>
      <c r="Y246" s="864" t="str">
        <f t="shared" ca="1" si="24"/>
        <v/>
      </c>
      <c r="AA246" s="828">
        <v>228</v>
      </c>
      <c r="AB246" s="750"/>
      <c r="AC246" s="842"/>
      <c r="AD246" s="830"/>
      <c r="AE246" s="839"/>
      <c r="AF246" s="839"/>
      <c r="AG246" s="750"/>
      <c r="AH246" s="840"/>
      <c r="AI246" s="839"/>
      <c r="AJ246" s="841"/>
      <c r="AK246" s="108" t="s">
        <v>12</v>
      </c>
      <c r="AL246" s="847">
        <v>228</v>
      </c>
      <c r="AM246" s="857"/>
      <c r="AN246" s="842"/>
      <c r="AO246" s="839"/>
      <c r="AP246" s="839"/>
      <c r="AQ246" s="839"/>
      <c r="AR246" s="750"/>
      <c r="AS246" s="840"/>
      <c r="AT246" s="839"/>
      <c r="AU246" s="856"/>
      <c r="AV246" s="108" t="s">
        <v>12</v>
      </c>
    </row>
    <row r="247" spans="4:48">
      <c r="D247" s="108" t="s">
        <v>12</v>
      </c>
      <c r="E247" s="742">
        <v>229</v>
      </c>
      <c r="F247" s="1016" t="str">
        <f t="shared" ca="1" si="25"/>
        <v/>
      </c>
      <c r="G247" s="1027" t="str">
        <f t="shared" ca="1" si="26"/>
        <v/>
      </c>
      <c r="H247" s="1043" t="str">
        <f ca="1"/>
        <v/>
      </c>
      <c r="I247" s="1006" t="str">
        <f ca="1"/>
        <v/>
      </c>
      <c r="J247" s="1006" t="str">
        <f ca="1"/>
        <v/>
      </c>
      <c r="K247" s="1016" t="str">
        <f ca="1"/>
        <v/>
      </c>
      <c r="L247" s="1019" t="str">
        <f ca="1"/>
        <v/>
      </c>
      <c r="M247" s="1006" t="str">
        <f ca="1"/>
        <v/>
      </c>
      <c r="N247" s="1060" t="str">
        <f t="shared" ca="1" si="23"/>
        <v/>
      </c>
      <c r="O247" s="996"/>
      <c r="P247" s="742">
        <v>229</v>
      </c>
      <c r="Q247" s="1016" t="str">
        <f t="shared" ca="1" si="27"/>
        <v/>
      </c>
      <c r="R247" s="1027" t="str">
        <f t="shared" ca="1" si="28"/>
        <v/>
      </c>
      <c r="S247" s="1006" t="str">
        <f ca="1"/>
        <v/>
      </c>
      <c r="T247" s="1006" t="str">
        <f ca="1"/>
        <v/>
      </c>
      <c r="U247" s="1006" t="str">
        <f ca="1"/>
        <v/>
      </c>
      <c r="V247" s="1016" t="str">
        <f ca="1"/>
        <v/>
      </c>
      <c r="W247" s="1019" t="str">
        <f ca="1"/>
        <v/>
      </c>
      <c r="X247" s="1006" t="str">
        <f ca="1"/>
        <v/>
      </c>
      <c r="Y247" s="864" t="str">
        <f t="shared" ca="1" si="24"/>
        <v/>
      </c>
      <c r="AA247" s="828">
        <v>229</v>
      </c>
      <c r="AB247" s="750"/>
      <c r="AC247" s="842"/>
      <c r="AD247" s="830"/>
      <c r="AE247" s="839"/>
      <c r="AF247" s="839"/>
      <c r="AG247" s="750"/>
      <c r="AH247" s="840"/>
      <c r="AI247" s="839"/>
      <c r="AJ247" s="841"/>
      <c r="AK247" s="108" t="s">
        <v>12</v>
      </c>
      <c r="AL247" s="847">
        <v>229</v>
      </c>
      <c r="AM247" s="857"/>
      <c r="AN247" s="842"/>
      <c r="AO247" s="839"/>
      <c r="AP247" s="839"/>
      <c r="AQ247" s="839"/>
      <c r="AR247" s="750"/>
      <c r="AS247" s="840"/>
      <c r="AT247" s="839"/>
      <c r="AU247" s="856"/>
      <c r="AV247" s="108" t="s">
        <v>12</v>
      </c>
    </row>
    <row r="248" spans="4:48">
      <c r="D248" s="108" t="s">
        <v>12</v>
      </c>
      <c r="E248" s="742">
        <v>230</v>
      </c>
      <c r="F248" s="1016" t="str">
        <f t="shared" ca="1" si="25"/>
        <v/>
      </c>
      <c r="G248" s="1027" t="str">
        <f t="shared" ca="1" si="26"/>
        <v/>
      </c>
      <c r="H248" s="1043" t="str">
        <f ca="1"/>
        <v/>
      </c>
      <c r="I248" s="1006" t="str">
        <f ca="1"/>
        <v/>
      </c>
      <c r="J248" s="1006" t="str">
        <f ca="1"/>
        <v/>
      </c>
      <c r="K248" s="1016" t="str">
        <f ca="1"/>
        <v/>
      </c>
      <c r="L248" s="1019" t="str">
        <f ca="1"/>
        <v/>
      </c>
      <c r="M248" s="1006" t="str">
        <f ca="1"/>
        <v/>
      </c>
      <c r="N248" s="1060" t="str">
        <f t="shared" ca="1" si="23"/>
        <v/>
      </c>
      <c r="O248" s="996"/>
      <c r="P248" s="742">
        <v>230</v>
      </c>
      <c r="Q248" s="1016" t="str">
        <f t="shared" ca="1" si="27"/>
        <v/>
      </c>
      <c r="R248" s="1027" t="str">
        <f t="shared" ca="1" si="28"/>
        <v/>
      </c>
      <c r="S248" s="1006" t="str">
        <f ca="1"/>
        <v/>
      </c>
      <c r="T248" s="1006" t="str">
        <f ca="1"/>
        <v/>
      </c>
      <c r="U248" s="1006" t="str">
        <f ca="1"/>
        <v/>
      </c>
      <c r="V248" s="1016" t="str">
        <f ca="1"/>
        <v/>
      </c>
      <c r="W248" s="1019" t="str">
        <f ca="1"/>
        <v/>
      </c>
      <c r="X248" s="1006" t="str">
        <f ca="1"/>
        <v/>
      </c>
      <c r="Y248" s="864" t="str">
        <f t="shared" ca="1" si="24"/>
        <v/>
      </c>
      <c r="AA248" s="828">
        <v>230</v>
      </c>
      <c r="AB248" s="750"/>
      <c r="AC248" s="842"/>
      <c r="AD248" s="830"/>
      <c r="AE248" s="839"/>
      <c r="AF248" s="839"/>
      <c r="AG248" s="750"/>
      <c r="AH248" s="840"/>
      <c r="AI248" s="839"/>
      <c r="AJ248" s="841"/>
      <c r="AK248" s="108" t="s">
        <v>12</v>
      </c>
      <c r="AL248" s="847">
        <v>230</v>
      </c>
      <c r="AM248" s="857"/>
      <c r="AN248" s="842"/>
      <c r="AO248" s="839"/>
      <c r="AP248" s="839"/>
      <c r="AQ248" s="839"/>
      <c r="AR248" s="750"/>
      <c r="AS248" s="840"/>
      <c r="AT248" s="839"/>
      <c r="AU248" s="856"/>
      <c r="AV248" s="108" t="s">
        <v>12</v>
      </c>
    </row>
    <row r="249" spans="4:48">
      <c r="D249" s="108" t="s">
        <v>12</v>
      </c>
      <c r="E249" s="742">
        <v>231</v>
      </c>
      <c r="F249" s="1016" t="str">
        <f t="shared" ca="1" si="25"/>
        <v/>
      </c>
      <c r="G249" s="1027" t="str">
        <f t="shared" ca="1" si="26"/>
        <v/>
      </c>
      <c r="H249" s="1043" t="str">
        <f ca="1"/>
        <v/>
      </c>
      <c r="I249" s="1006" t="str">
        <f ca="1"/>
        <v/>
      </c>
      <c r="J249" s="1006" t="str">
        <f ca="1"/>
        <v/>
      </c>
      <c r="K249" s="1016" t="str">
        <f ca="1"/>
        <v/>
      </c>
      <c r="L249" s="1019" t="str">
        <f ca="1"/>
        <v/>
      </c>
      <c r="M249" s="1006" t="str">
        <f ca="1"/>
        <v/>
      </c>
      <c r="N249" s="1060" t="str">
        <f t="shared" ca="1" si="23"/>
        <v/>
      </c>
      <c r="O249" s="996"/>
      <c r="P249" s="742">
        <v>231</v>
      </c>
      <c r="Q249" s="1016" t="str">
        <f t="shared" ca="1" si="27"/>
        <v/>
      </c>
      <c r="R249" s="1027" t="str">
        <f t="shared" ca="1" si="28"/>
        <v/>
      </c>
      <c r="S249" s="1006" t="str">
        <f ca="1"/>
        <v/>
      </c>
      <c r="T249" s="1006" t="str">
        <f ca="1"/>
        <v/>
      </c>
      <c r="U249" s="1006" t="str">
        <f ca="1"/>
        <v/>
      </c>
      <c r="V249" s="1016" t="str">
        <f ca="1"/>
        <v/>
      </c>
      <c r="W249" s="1019" t="str">
        <f ca="1"/>
        <v/>
      </c>
      <c r="X249" s="1006" t="str">
        <f ca="1"/>
        <v/>
      </c>
      <c r="Y249" s="864" t="str">
        <f t="shared" ca="1" si="24"/>
        <v/>
      </c>
      <c r="AA249" s="828">
        <v>231</v>
      </c>
      <c r="AB249" s="750"/>
      <c r="AC249" s="842"/>
      <c r="AD249" s="830"/>
      <c r="AE249" s="839"/>
      <c r="AF249" s="839"/>
      <c r="AG249" s="750"/>
      <c r="AH249" s="840"/>
      <c r="AI249" s="839"/>
      <c r="AJ249" s="841"/>
      <c r="AK249" s="108" t="s">
        <v>12</v>
      </c>
      <c r="AL249" s="847">
        <v>231</v>
      </c>
      <c r="AM249" s="857"/>
      <c r="AN249" s="842"/>
      <c r="AO249" s="839"/>
      <c r="AP249" s="839"/>
      <c r="AQ249" s="839"/>
      <c r="AR249" s="750"/>
      <c r="AS249" s="840"/>
      <c r="AT249" s="839"/>
      <c r="AU249" s="856"/>
      <c r="AV249" s="108" t="s">
        <v>12</v>
      </c>
    </row>
    <row r="250" spans="4:48">
      <c r="D250" s="108" t="s">
        <v>12</v>
      </c>
      <c r="E250" s="742">
        <v>232</v>
      </c>
      <c r="F250" s="1016" t="str">
        <f t="shared" ca="1" si="25"/>
        <v/>
      </c>
      <c r="G250" s="1027" t="str">
        <f t="shared" ca="1" si="26"/>
        <v/>
      </c>
      <c r="H250" s="1043" t="str">
        <f ca="1"/>
        <v/>
      </c>
      <c r="I250" s="1006" t="str">
        <f ca="1"/>
        <v/>
      </c>
      <c r="J250" s="1006" t="str">
        <f ca="1"/>
        <v/>
      </c>
      <c r="K250" s="1016" t="str">
        <f ca="1"/>
        <v/>
      </c>
      <c r="L250" s="1019" t="str">
        <f ca="1"/>
        <v/>
      </c>
      <c r="M250" s="1006" t="str">
        <f ca="1"/>
        <v/>
      </c>
      <c r="N250" s="1060" t="str">
        <f t="shared" ca="1" si="23"/>
        <v/>
      </c>
      <c r="O250" s="996"/>
      <c r="P250" s="742">
        <v>232</v>
      </c>
      <c r="Q250" s="1016" t="str">
        <f t="shared" ca="1" si="27"/>
        <v/>
      </c>
      <c r="R250" s="1027" t="str">
        <f t="shared" ca="1" si="28"/>
        <v/>
      </c>
      <c r="S250" s="1006" t="str">
        <f ca="1"/>
        <v/>
      </c>
      <c r="T250" s="1006" t="str">
        <f ca="1"/>
        <v/>
      </c>
      <c r="U250" s="1006" t="str">
        <f ca="1"/>
        <v/>
      </c>
      <c r="V250" s="1016" t="str">
        <f ca="1"/>
        <v/>
      </c>
      <c r="W250" s="1019" t="str">
        <f ca="1"/>
        <v/>
      </c>
      <c r="X250" s="1006" t="str">
        <f ca="1"/>
        <v/>
      </c>
      <c r="Y250" s="864" t="str">
        <f t="shared" ca="1" si="24"/>
        <v/>
      </c>
      <c r="AA250" s="828">
        <v>232</v>
      </c>
      <c r="AB250" s="750"/>
      <c r="AC250" s="842"/>
      <c r="AD250" s="830"/>
      <c r="AE250" s="839"/>
      <c r="AF250" s="839"/>
      <c r="AG250" s="750"/>
      <c r="AH250" s="840"/>
      <c r="AI250" s="839"/>
      <c r="AJ250" s="841"/>
      <c r="AK250" s="108" t="s">
        <v>12</v>
      </c>
      <c r="AL250" s="847">
        <v>232</v>
      </c>
      <c r="AM250" s="857"/>
      <c r="AN250" s="842"/>
      <c r="AO250" s="839"/>
      <c r="AP250" s="839"/>
      <c r="AQ250" s="839"/>
      <c r="AR250" s="750"/>
      <c r="AS250" s="840"/>
      <c r="AT250" s="839"/>
      <c r="AU250" s="856"/>
      <c r="AV250" s="108" t="s">
        <v>12</v>
      </c>
    </row>
    <row r="251" spans="4:48">
      <c r="D251" s="108" t="s">
        <v>12</v>
      </c>
      <c r="E251" s="742">
        <v>233</v>
      </c>
      <c r="F251" s="1016" t="str">
        <f t="shared" ca="1" si="25"/>
        <v/>
      </c>
      <c r="G251" s="1027" t="str">
        <f t="shared" ca="1" si="26"/>
        <v/>
      </c>
      <c r="H251" s="1043" t="str">
        <f ca="1"/>
        <v/>
      </c>
      <c r="I251" s="1006" t="str">
        <f ca="1"/>
        <v/>
      </c>
      <c r="J251" s="1006" t="str">
        <f ca="1"/>
        <v/>
      </c>
      <c r="K251" s="1016" t="str">
        <f ca="1"/>
        <v/>
      </c>
      <c r="L251" s="1019" t="str">
        <f ca="1"/>
        <v/>
      </c>
      <c r="M251" s="1006" t="str">
        <f ca="1"/>
        <v/>
      </c>
      <c r="N251" s="1060" t="str">
        <f t="shared" ca="1" si="23"/>
        <v/>
      </c>
      <c r="O251" s="996"/>
      <c r="P251" s="742">
        <v>233</v>
      </c>
      <c r="Q251" s="1016" t="str">
        <f t="shared" ca="1" si="27"/>
        <v/>
      </c>
      <c r="R251" s="1027" t="str">
        <f t="shared" ca="1" si="28"/>
        <v/>
      </c>
      <c r="S251" s="1006" t="str">
        <f ca="1"/>
        <v/>
      </c>
      <c r="T251" s="1006" t="str">
        <f ca="1"/>
        <v/>
      </c>
      <c r="U251" s="1006" t="str">
        <f ca="1"/>
        <v/>
      </c>
      <c r="V251" s="1016" t="str">
        <f ca="1"/>
        <v/>
      </c>
      <c r="W251" s="1019" t="str">
        <f ca="1"/>
        <v/>
      </c>
      <c r="X251" s="1006" t="str">
        <f ca="1"/>
        <v/>
      </c>
      <c r="Y251" s="864" t="str">
        <f t="shared" ca="1" si="24"/>
        <v/>
      </c>
      <c r="AA251" s="828">
        <v>233</v>
      </c>
      <c r="AB251" s="750"/>
      <c r="AC251" s="842"/>
      <c r="AD251" s="830"/>
      <c r="AE251" s="839"/>
      <c r="AF251" s="839"/>
      <c r="AG251" s="750"/>
      <c r="AH251" s="840"/>
      <c r="AI251" s="839"/>
      <c r="AJ251" s="841"/>
      <c r="AK251" s="108" t="s">
        <v>12</v>
      </c>
      <c r="AL251" s="847">
        <v>233</v>
      </c>
      <c r="AM251" s="857"/>
      <c r="AN251" s="842"/>
      <c r="AO251" s="839"/>
      <c r="AP251" s="839"/>
      <c r="AQ251" s="839"/>
      <c r="AR251" s="750"/>
      <c r="AS251" s="840"/>
      <c r="AT251" s="839"/>
      <c r="AU251" s="856"/>
      <c r="AV251" s="108" t="s">
        <v>12</v>
      </c>
    </row>
    <row r="252" spans="4:48">
      <c r="D252" s="108" t="s">
        <v>12</v>
      </c>
      <c r="E252" s="742">
        <v>234</v>
      </c>
      <c r="F252" s="1016" t="str">
        <f t="shared" ca="1" si="25"/>
        <v/>
      </c>
      <c r="G252" s="1027" t="str">
        <f t="shared" ca="1" si="26"/>
        <v/>
      </c>
      <c r="H252" s="1043" t="str">
        <f ca="1"/>
        <v/>
      </c>
      <c r="I252" s="1006" t="str">
        <f ca="1"/>
        <v/>
      </c>
      <c r="J252" s="1006" t="str">
        <f ca="1"/>
        <v/>
      </c>
      <c r="K252" s="1016" t="str">
        <f ca="1"/>
        <v/>
      </c>
      <c r="L252" s="1019" t="str">
        <f ca="1"/>
        <v/>
      </c>
      <c r="M252" s="1006" t="str">
        <f ca="1"/>
        <v/>
      </c>
      <c r="N252" s="1060" t="str">
        <f t="shared" ca="1" si="23"/>
        <v/>
      </c>
      <c r="O252" s="996"/>
      <c r="P252" s="742">
        <v>234</v>
      </c>
      <c r="Q252" s="1016" t="str">
        <f t="shared" ca="1" si="27"/>
        <v/>
      </c>
      <c r="R252" s="1027" t="str">
        <f t="shared" ca="1" si="28"/>
        <v/>
      </c>
      <c r="S252" s="1006" t="str">
        <f ca="1"/>
        <v/>
      </c>
      <c r="T252" s="1006" t="str">
        <f ca="1"/>
        <v/>
      </c>
      <c r="U252" s="1006" t="str">
        <f ca="1"/>
        <v/>
      </c>
      <c r="V252" s="1016" t="str">
        <f ca="1"/>
        <v/>
      </c>
      <c r="W252" s="1019" t="str">
        <f ca="1"/>
        <v/>
      </c>
      <c r="X252" s="1006" t="str">
        <f ca="1"/>
        <v/>
      </c>
      <c r="Y252" s="864" t="str">
        <f t="shared" ca="1" si="24"/>
        <v/>
      </c>
      <c r="AA252" s="828">
        <v>234</v>
      </c>
      <c r="AB252" s="750"/>
      <c r="AC252" s="842"/>
      <c r="AD252" s="830"/>
      <c r="AE252" s="839"/>
      <c r="AF252" s="839"/>
      <c r="AG252" s="750"/>
      <c r="AH252" s="840"/>
      <c r="AI252" s="839"/>
      <c r="AJ252" s="841"/>
      <c r="AK252" s="108" t="s">
        <v>12</v>
      </c>
      <c r="AL252" s="847">
        <v>234</v>
      </c>
      <c r="AM252" s="857"/>
      <c r="AN252" s="842"/>
      <c r="AO252" s="839"/>
      <c r="AP252" s="839"/>
      <c r="AQ252" s="839"/>
      <c r="AR252" s="750"/>
      <c r="AS252" s="840"/>
      <c r="AT252" s="839"/>
      <c r="AU252" s="856"/>
      <c r="AV252" s="108" t="s">
        <v>12</v>
      </c>
    </row>
    <row r="253" spans="4:48">
      <c r="D253" s="108" t="s">
        <v>12</v>
      </c>
      <c r="E253" s="742">
        <v>235</v>
      </c>
      <c r="F253" s="1016" t="str">
        <f t="shared" ca="1" si="25"/>
        <v/>
      </c>
      <c r="G253" s="1027" t="str">
        <f t="shared" ca="1" si="26"/>
        <v/>
      </c>
      <c r="H253" s="1043" t="str">
        <f ca="1"/>
        <v/>
      </c>
      <c r="I253" s="1006" t="str">
        <f ca="1"/>
        <v/>
      </c>
      <c r="J253" s="1006" t="str">
        <f ca="1"/>
        <v/>
      </c>
      <c r="K253" s="1016" t="str">
        <f ca="1"/>
        <v/>
      </c>
      <c r="L253" s="1019" t="str">
        <f ca="1"/>
        <v/>
      </c>
      <c r="M253" s="1006" t="str">
        <f ca="1"/>
        <v/>
      </c>
      <c r="N253" s="1060" t="str">
        <f t="shared" ca="1" si="23"/>
        <v/>
      </c>
      <c r="O253" s="996"/>
      <c r="P253" s="742">
        <v>235</v>
      </c>
      <c r="Q253" s="1016" t="str">
        <f t="shared" ca="1" si="27"/>
        <v/>
      </c>
      <c r="R253" s="1027" t="str">
        <f t="shared" ca="1" si="28"/>
        <v/>
      </c>
      <c r="S253" s="1006" t="str">
        <f ca="1"/>
        <v/>
      </c>
      <c r="T253" s="1006" t="str">
        <f ca="1"/>
        <v/>
      </c>
      <c r="U253" s="1006" t="str">
        <f ca="1"/>
        <v/>
      </c>
      <c r="V253" s="1016" t="str">
        <f ca="1"/>
        <v/>
      </c>
      <c r="W253" s="1019" t="str">
        <f ca="1"/>
        <v/>
      </c>
      <c r="X253" s="1006" t="str">
        <f ca="1"/>
        <v/>
      </c>
      <c r="Y253" s="864" t="str">
        <f t="shared" ca="1" si="24"/>
        <v/>
      </c>
      <c r="AA253" s="828">
        <v>235</v>
      </c>
      <c r="AB253" s="750"/>
      <c r="AC253" s="842"/>
      <c r="AD253" s="830"/>
      <c r="AE253" s="839"/>
      <c r="AF253" s="839"/>
      <c r="AG253" s="750"/>
      <c r="AH253" s="840"/>
      <c r="AI253" s="839"/>
      <c r="AJ253" s="841"/>
      <c r="AK253" s="108" t="s">
        <v>12</v>
      </c>
      <c r="AL253" s="847">
        <v>235</v>
      </c>
      <c r="AM253" s="857"/>
      <c r="AN253" s="842"/>
      <c r="AO253" s="839"/>
      <c r="AP253" s="839"/>
      <c r="AQ253" s="839"/>
      <c r="AR253" s="750"/>
      <c r="AS253" s="840"/>
      <c r="AT253" s="839"/>
      <c r="AU253" s="856"/>
      <c r="AV253" s="108" t="s">
        <v>12</v>
      </c>
    </row>
    <row r="254" spans="4:48">
      <c r="D254" s="108" t="s">
        <v>12</v>
      </c>
      <c r="E254" s="742">
        <v>236</v>
      </c>
      <c r="F254" s="1016" t="str">
        <f t="shared" ca="1" si="25"/>
        <v/>
      </c>
      <c r="G254" s="1027" t="str">
        <f t="shared" ca="1" si="26"/>
        <v/>
      </c>
      <c r="H254" s="1043" t="str">
        <f ca="1"/>
        <v/>
      </c>
      <c r="I254" s="1006" t="str">
        <f ca="1"/>
        <v/>
      </c>
      <c r="J254" s="1006" t="str">
        <f ca="1"/>
        <v/>
      </c>
      <c r="K254" s="1016" t="str">
        <f ca="1"/>
        <v/>
      </c>
      <c r="L254" s="1019" t="str">
        <f ca="1"/>
        <v/>
      </c>
      <c r="M254" s="1006" t="str">
        <f ca="1"/>
        <v/>
      </c>
      <c r="N254" s="1060" t="str">
        <f t="shared" ca="1" si="23"/>
        <v/>
      </c>
      <c r="O254" s="996"/>
      <c r="P254" s="742">
        <v>236</v>
      </c>
      <c r="Q254" s="1016" t="str">
        <f t="shared" ca="1" si="27"/>
        <v/>
      </c>
      <c r="R254" s="1027" t="str">
        <f t="shared" ca="1" si="28"/>
        <v/>
      </c>
      <c r="S254" s="1006" t="str">
        <f ca="1"/>
        <v/>
      </c>
      <c r="T254" s="1006" t="str">
        <f ca="1"/>
        <v/>
      </c>
      <c r="U254" s="1006" t="str">
        <f ca="1"/>
        <v/>
      </c>
      <c r="V254" s="1016" t="str">
        <f ca="1"/>
        <v/>
      </c>
      <c r="W254" s="1019" t="str">
        <f ca="1"/>
        <v/>
      </c>
      <c r="X254" s="1006" t="str">
        <f ca="1"/>
        <v/>
      </c>
      <c r="Y254" s="864" t="str">
        <f t="shared" ca="1" si="24"/>
        <v/>
      </c>
      <c r="AA254" s="828">
        <v>236</v>
      </c>
      <c r="AB254" s="750"/>
      <c r="AC254" s="842"/>
      <c r="AD254" s="830"/>
      <c r="AE254" s="839"/>
      <c r="AF254" s="839"/>
      <c r="AG254" s="750"/>
      <c r="AH254" s="840"/>
      <c r="AI254" s="839"/>
      <c r="AJ254" s="841"/>
      <c r="AK254" s="108" t="s">
        <v>12</v>
      </c>
      <c r="AL254" s="847">
        <v>236</v>
      </c>
      <c r="AM254" s="857"/>
      <c r="AN254" s="842"/>
      <c r="AO254" s="839"/>
      <c r="AP254" s="839"/>
      <c r="AQ254" s="839"/>
      <c r="AR254" s="750"/>
      <c r="AS254" s="840"/>
      <c r="AT254" s="839"/>
      <c r="AU254" s="856"/>
      <c r="AV254" s="108" t="s">
        <v>12</v>
      </c>
    </row>
    <row r="255" spans="4:48">
      <c r="D255" s="108" t="s">
        <v>12</v>
      </c>
      <c r="E255" s="742">
        <v>237</v>
      </c>
      <c r="F255" s="1016" t="str">
        <f t="shared" ca="1" si="25"/>
        <v/>
      </c>
      <c r="G255" s="1027" t="str">
        <f t="shared" ca="1" si="26"/>
        <v/>
      </c>
      <c r="H255" s="1043" t="str">
        <f ca="1"/>
        <v/>
      </c>
      <c r="I255" s="1006" t="str">
        <f ca="1"/>
        <v/>
      </c>
      <c r="J255" s="1006" t="str">
        <f ca="1"/>
        <v/>
      </c>
      <c r="K255" s="1016" t="str">
        <f ca="1"/>
        <v/>
      </c>
      <c r="L255" s="1019" t="str">
        <f ca="1"/>
        <v/>
      </c>
      <c r="M255" s="1006" t="str">
        <f ca="1"/>
        <v/>
      </c>
      <c r="N255" s="1060" t="str">
        <f t="shared" ca="1" si="23"/>
        <v/>
      </c>
      <c r="O255" s="996"/>
      <c r="P255" s="742">
        <v>237</v>
      </c>
      <c r="Q255" s="1016" t="str">
        <f t="shared" ca="1" si="27"/>
        <v/>
      </c>
      <c r="R255" s="1027" t="str">
        <f t="shared" ca="1" si="28"/>
        <v/>
      </c>
      <c r="S255" s="1006" t="str">
        <f ca="1"/>
        <v/>
      </c>
      <c r="T255" s="1006" t="str">
        <f ca="1"/>
        <v/>
      </c>
      <c r="U255" s="1006" t="str">
        <f ca="1"/>
        <v/>
      </c>
      <c r="V255" s="1016" t="str">
        <f ca="1"/>
        <v/>
      </c>
      <c r="W255" s="1019" t="str">
        <f ca="1"/>
        <v/>
      </c>
      <c r="X255" s="1006" t="str">
        <f ca="1"/>
        <v/>
      </c>
      <c r="Y255" s="864" t="str">
        <f t="shared" ca="1" si="24"/>
        <v/>
      </c>
      <c r="AA255" s="828">
        <v>237</v>
      </c>
      <c r="AB255" s="750"/>
      <c r="AC255" s="842"/>
      <c r="AD255" s="830"/>
      <c r="AE255" s="839"/>
      <c r="AF255" s="839"/>
      <c r="AG255" s="750"/>
      <c r="AH255" s="840"/>
      <c r="AI255" s="839"/>
      <c r="AJ255" s="841"/>
      <c r="AK255" s="108" t="s">
        <v>12</v>
      </c>
      <c r="AL255" s="847">
        <v>237</v>
      </c>
      <c r="AM255" s="857"/>
      <c r="AN255" s="842"/>
      <c r="AO255" s="839"/>
      <c r="AP255" s="839"/>
      <c r="AQ255" s="839"/>
      <c r="AR255" s="750"/>
      <c r="AS255" s="840"/>
      <c r="AT255" s="839"/>
      <c r="AU255" s="856"/>
      <c r="AV255" s="108" t="s">
        <v>12</v>
      </c>
    </row>
    <row r="256" spans="4:48">
      <c r="D256" s="108" t="s">
        <v>12</v>
      </c>
      <c r="E256" s="742">
        <v>238</v>
      </c>
      <c r="F256" s="1016" t="str">
        <f t="shared" ca="1" si="25"/>
        <v/>
      </c>
      <c r="G256" s="1027" t="str">
        <f t="shared" ca="1" si="26"/>
        <v/>
      </c>
      <c r="H256" s="1043" t="str">
        <f ca="1"/>
        <v/>
      </c>
      <c r="I256" s="1006" t="str">
        <f ca="1"/>
        <v/>
      </c>
      <c r="J256" s="1006" t="str">
        <f ca="1"/>
        <v/>
      </c>
      <c r="K256" s="1016" t="str">
        <f ca="1"/>
        <v/>
      </c>
      <c r="L256" s="1019" t="str">
        <f ca="1"/>
        <v/>
      </c>
      <c r="M256" s="1006" t="str">
        <f ca="1"/>
        <v/>
      </c>
      <c r="N256" s="1060" t="str">
        <f t="shared" ca="1" si="23"/>
        <v/>
      </c>
      <c r="O256" s="996"/>
      <c r="P256" s="742">
        <v>238</v>
      </c>
      <c r="Q256" s="1016" t="str">
        <f t="shared" ca="1" si="27"/>
        <v/>
      </c>
      <c r="R256" s="1027" t="str">
        <f t="shared" ca="1" si="28"/>
        <v/>
      </c>
      <c r="S256" s="1006" t="str">
        <f ca="1"/>
        <v/>
      </c>
      <c r="T256" s="1006" t="str">
        <f ca="1"/>
        <v/>
      </c>
      <c r="U256" s="1006" t="str">
        <f ca="1"/>
        <v/>
      </c>
      <c r="V256" s="1016" t="str">
        <f ca="1"/>
        <v/>
      </c>
      <c r="W256" s="1019" t="str">
        <f ca="1"/>
        <v/>
      </c>
      <c r="X256" s="1006" t="str">
        <f ca="1"/>
        <v/>
      </c>
      <c r="Y256" s="864" t="str">
        <f t="shared" ca="1" si="24"/>
        <v/>
      </c>
      <c r="AA256" s="828">
        <v>238</v>
      </c>
      <c r="AB256" s="750"/>
      <c r="AC256" s="842"/>
      <c r="AD256" s="830"/>
      <c r="AE256" s="839"/>
      <c r="AF256" s="839"/>
      <c r="AG256" s="750"/>
      <c r="AH256" s="840"/>
      <c r="AI256" s="839"/>
      <c r="AJ256" s="841"/>
      <c r="AK256" s="108" t="s">
        <v>12</v>
      </c>
      <c r="AL256" s="847">
        <v>238</v>
      </c>
      <c r="AM256" s="857"/>
      <c r="AN256" s="842"/>
      <c r="AO256" s="839"/>
      <c r="AP256" s="839"/>
      <c r="AQ256" s="839"/>
      <c r="AR256" s="750"/>
      <c r="AS256" s="840"/>
      <c r="AT256" s="839"/>
      <c r="AU256" s="856"/>
      <c r="AV256" s="108" t="s">
        <v>12</v>
      </c>
    </row>
    <row r="257" spans="4:48">
      <c r="D257" s="108" t="s">
        <v>12</v>
      </c>
      <c r="E257" s="742">
        <v>239</v>
      </c>
      <c r="F257" s="1016" t="str">
        <f t="shared" ca="1" si="25"/>
        <v/>
      </c>
      <c r="G257" s="1027" t="str">
        <f t="shared" ca="1" si="26"/>
        <v/>
      </c>
      <c r="H257" s="1043" t="str">
        <f ca="1"/>
        <v/>
      </c>
      <c r="I257" s="1006" t="str">
        <f ca="1"/>
        <v/>
      </c>
      <c r="J257" s="1006" t="str">
        <f ca="1"/>
        <v/>
      </c>
      <c r="K257" s="1016" t="str">
        <f ca="1"/>
        <v/>
      </c>
      <c r="L257" s="1019" t="str">
        <f ca="1"/>
        <v/>
      </c>
      <c r="M257" s="1006" t="str">
        <f ca="1"/>
        <v/>
      </c>
      <c r="N257" s="1060" t="str">
        <f t="shared" ca="1" si="23"/>
        <v/>
      </c>
      <c r="O257" s="996"/>
      <c r="P257" s="742">
        <v>239</v>
      </c>
      <c r="Q257" s="1016" t="str">
        <f t="shared" ca="1" si="27"/>
        <v/>
      </c>
      <c r="R257" s="1027" t="str">
        <f t="shared" ca="1" si="28"/>
        <v/>
      </c>
      <c r="S257" s="1006" t="str">
        <f ca="1"/>
        <v/>
      </c>
      <c r="T257" s="1006" t="str">
        <f ca="1"/>
        <v/>
      </c>
      <c r="U257" s="1006" t="str">
        <f ca="1"/>
        <v/>
      </c>
      <c r="V257" s="1016" t="str">
        <f ca="1"/>
        <v/>
      </c>
      <c r="W257" s="1019" t="str">
        <f ca="1"/>
        <v/>
      </c>
      <c r="X257" s="1006" t="str">
        <f ca="1"/>
        <v/>
      </c>
      <c r="Y257" s="864" t="str">
        <f t="shared" ca="1" si="24"/>
        <v/>
      </c>
      <c r="AA257" s="828">
        <v>239</v>
      </c>
      <c r="AB257" s="750"/>
      <c r="AC257" s="842"/>
      <c r="AD257" s="830"/>
      <c r="AE257" s="839"/>
      <c r="AF257" s="839"/>
      <c r="AG257" s="750"/>
      <c r="AH257" s="840"/>
      <c r="AI257" s="839"/>
      <c r="AJ257" s="841"/>
      <c r="AK257" s="108" t="s">
        <v>12</v>
      </c>
      <c r="AL257" s="847">
        <v>239</v>
      </c>
      <c r="AM257" s="857"/>
      <c r="AN257" s="842"/>
      <c r="AO257" s="839"/>
      <c r="AP257" s="839"/>
      <c r="AQ257" s="839"/>
      <c r="AR257" s="750"/>
      <c r="AS257" s="840"/>
      <c r="AT257" s="839"/>
      <c r="AU257" s="856"/>
      <c r="AV257" s="108" t="s">
        <v>12</v>
      </c>
    </row>
    <row r="258" spans="4:48">
      <c r="D258" s="108" t="s">
        <v>12</v>
      </c>
      <c r="E258" s="742">
        <v>240</v>
      </c>
      <c r="F258" s="1016" t="str">
        <f t="shared" ca="1" si="25"/>
        <v/>
      </c>
      <c r="G258" s="1027" t="str">
        <f t="shared" ca="1" si="26"/>
        <v/>
      </c>
      <c r="H258" s="1043" t="str">
        <f ca="1"/>
        <v/>
      </c>
      <c r="I258" s="1006" t="str">
        <f ca="1"/>
        <v/>
      </c>
      <c r="J258" s="1006" t="str">
        <f ca="1"/>
        <v/>
      </c>
      <c r="K258" s="1016" t="str">
        <f ca="1"/>
        <v/>
      </c>
      <c r="L258" s="1019" t="str">
        <f ca="1"/>
        <v/>
      </c>
      <c r="M258" s="1006" t="str">
        <f ca="1"/>
        <v/>
      </c>
      <c r="N258" s="1060" t="str">
        <f t="shared" ca="1" si="23"/>
        <v/>
      </c>
      <c r="O258" s="996"/>
      <c r="P258" s="742">
        <v>240</v>
      </c>
      <c r="Q258" s="1016" t="str">
        <f t="shared" ca="1" si="27"/>
        <v/>
      </c>
      <c r="R258" s="1027" t="str">
        <f t="shared" ca="1" si="28"/>
        <v/>
      </c>
      <c r="S258" s="1006" t="str">
        <f ca="1"/>
        <v/>
      </c>
      <c r="T258" s="1006" t="str">
        <f ca="1"/>
        <v/>
      </c>
      <c r="U258" s="1006" t="str">
        <f ca="1"/>
        <v/>
      </c>
      <c r="V258" s="1016" t="str">
        <f ca="1"/>
        <v/>
      </c>
      <c r="W258" s="1019" t="str">
        <f ca="1"/>
        <v/>
      </c>
      <c r="X258" s="1006" t="str">
        <f ca="1"/>
        <v/>
      </c>
      <c r="Y258" s="864" t="str">
        <f t="shared" ca="1" si="24"/>
        <v/>
      </c>
      <c r="AA258" s="828">
        <v>240</v>
      </c>
      <c r="AB258" s="750"/>
      <c r="AC258" s="842"/>
      <c r="AD258" s="830"/>
      <c r="AE258" s="839"/>
      <c r="AF258" s="839"/>
      <c r="AG258" s="750"/>
      <c r="AH258" s="840"/>
      <c r="AI258" s="839"/>
      <c r="AJ258" s="841"/>
      <c r="AK258" s="108" t="s">
        <v>12</v>
      </c>
      <c r="AL258" s="847">
        <v>240</v>
      </c>
      <c r="AM258" s="857"/>
      <c r="AN258" s="842"/>
      <c r="AO258" s="839"/>
      <c r="AP258" s="839"/>
      <c r="AQ258" s="839"/>
      <c r="AR258" s="750"/>
      <c r="AS258" s="840"/>
      <c r="AT258" s="839"/>
      <c r="AU258" s="856"/>
      <c r="AV258" s="108" t="s">
        <v>12</v>
      </c>
    </row>
    <row r="259" spans="4:48">
      <c r="D259" s="108" t="s">
        <v>12</v>
      </c>
      <c r="E259" s="742">
        <v>241</v>
      </c>
      <c r="F259" s="1016" t="str">
        <f t="shared" ca="1" si="25"/>
        <v/>
      </c>
      <c r="G259" s="1027" t="str">
        <f t="shared" ca="1" si="26"/>
        <v/>
      </c>
      <c r="H259" s="1043" t="str">
        <f ca="1"/>
        <v/>
      </c>
      <c r="I259" s="1006" t="str">
        <f ca="1"/>
        <v/>
      </c>
      <c r="J259" s="1006" t="str">
        <f ca="1"/>
        <v/>
      </c>
      <c r="K259" s="1016" t="str">
        <f ca="1"/>
        <v/>
      </c>
      <c r="L259" s="1019" t="str">
        <f ca="1"/>
        <v/>
      </c>
      <c r="M259" s="1006" t="str">
        <f ca="1"/>
        <v/>
      </c>
      <c r="N259" s="1060" t="str">
        <f t="shared" ca="1" si="23"/>
        <v/>
      </c>
      <c r="O259" s="996"/>
      <c r="P259" s="742">
        <v>241</v>
      </c>
      <c r="Q259" s="1016" t="str">
        <f t="shared" ca="1" si="27"/>
        <v/>
      </c>
      <c r="R259" s="1027" t="str">
        <f t="shared" ca="1" si="28"/>
        <v/>
      </c>
      <c r="S259" s="1006" t="str">
        <f ca="1"/>
        <v/>
      </c>
      <c r="T259" s="1006" t="str">
        <f ca="1"/>
        <v/>
      </c>
      <c r="U259" s="1006" t="str">
        <f ca="1"/>
        <v/>
      </c>
      <c r="V259" s="1016" t="str">
        <f ca="1"/>
        <v/>
      </c>
      <c r="W259" s="1019" t="str">
        <f ca="1"/>
        <v/>
      </c>
      <c r="X259" s="1006" t="str">
        <f ca="1"/>
        <v/>
      </c>
      <c r="Y259" s="864" t="str">
        <f t="shared" ca="1" si="24"/>
        <v/>
      </c>
      <c r="AA259" s="828">
        <v>241</v>
      </c>
      <c r="AB259" s="750"/>
      <c r="AC259" s="842"/>
      <c r="AD259" s="830"/>
      <c r="AE259" s="839"/>
      <c r="AF259" s="839"/>
      <c r="AG259" s="750"/>
      <c r="AH259" s="840"/>
      <c r="AI259" s="839"/>
      <c r="AJ259" s="841"/>
      <c r="AK259" s="108" t="s">
        <v>12</v>
      </c>
      <c r="AL259" s="847">
        <v>241</v>
      </c>
      <c r="AM259" s="857"/>
      <c r="AN259" s="842"/>
      <c r="AO259" s="839"/>
      <c r="AP259" s="839"/>
      <c r="AQ259" s="839"/>
      <c r="AR259" s="750"/>
      <c r="AS259" s="840"/>
      <c r="AT259" s="839"/>
      <c r="AU259" s="856"/>
      <c r="AV259" s="108" t="s">
        <v>12</v>
      </c>
    </row>
    <row r="260" spans="4:48">
      <c r="D260" s="108" t="s">
        <v>12</v>
      </c>
      <c r="E260" s="742">
        <v>242</v>
      </c>
      <c r="F260" s="1016" t="str">
        <f t="shared" ca="1" si="25"/>
        <v/>
      </c>
      <c r="G260" s="1027" t="str">
        <f t="shared" ca="1" si="26"/>
        <v/>
      </c>
      <c r="H260" s="1043" t="str">
        <f ca="1"/>
        <v/>
      </c>
      <c r="I260" s="1006" t="str">
        <f ca="1"/>
        <v/>
      </c>
      <c r="J260" s="1006" t="str">
        <f ca="1"/>
        <v/>
      </c>
      <c r="K260" s="1016" t="str">
        <f ca="1"/>
        <v/>
      </c>
      <c r="L260" s="1019" t="str">
        <f ca="1"/>
        <v/>
      </c>
      <c r="M260" s="1006" t="str">
        <f ca="1"/>
        <v/>
      </c>
      <c r="N260" s="1060" t="str">
        <f t="shared" ca="1" si="23"/>
        <v/>
      </c>
      <c r="O260" s="996"/>
      <c r="P260" s="742">
        <v>242</v>
      </c>
      <c r="Q260" s="1016" t="str">
        <f t="shared" ca="1" si="27"/>
        <v/>
      </c>
      <c r="R260" s="1027" t="str">
        <f t="shared" ca="1" si="28"/>
        <v/>
      </c>
      <c r="S260" s="1006" t="str">
        <f ca="1"/>
        <v/>
      </c>
      <c r="T260" s="1006" t="str">
        <f ca="1"/>
        <v/>
      </c>
      <c r="U260" s="1006" t="str">
        <f ca="1"/>
        <v/>
      </c>
      <c r="V260" s="1016" t="str">
        <f ca="1"/>
        <v/>
      </c>
      <c r="W260" s="1019" t="str">
        <f ca="1"/>
        <v/>
      </c>
      <c r="X260" s="1006" t="str">
        <f ca="1"/>
        <v/>
      </c>
      <c r="Y260" s="864" t="str">
        <f t="shared" ca="1" si="24"/>
        <v/>
      </c>
      <c r="AA260" s="828">
        <v>242</v>
      </c>
      <c r="AB260" s="750"/>
      <c r="AC260" s="842"/>
      <c r="AD260" s="830"/>
      <c r="AE260" s="839"/>
      <c r="AF260" s="839"/>
      <c r="AG260" s="750"/>
      <c r="AH260" s="840"/>
      <c r="AI260" s="839"/>
      <c r="AJ260" s="841"/>
      <c r="AK260" s="108" t="s">
        <v>12</v>
      </c>
      <c r="AL260" s="847">
        <v>242</v>
      </c>
      <c r="AM260" s="857"/>
      <c r="AN260" s="842"/>
      <c r="AO260" s="839"/>
      <c r="AP260" s="839"/>
      <c r="AQ260" s="839"/>
      <c r="AR260" s="750"/>
      <c r="AS260" s="840"/>
      <c r="AT260" s="839"/>
      <c r="AU260" s="856"/>
      <c r="AV260" s="108" t="s">
        <v>12</v>
      </c>
    </row>
    <row r="261" spans="4:48">
      <c r="D261" s="108" t="s">
        <v>12</v>
      </c>
      <c r="E261" s="742">
        <v>243</v>
      </c>
      <c r="F261" s="1016" t="str">
        <f t="shared" ca="1" si="25"/>
        <v/>
      </c>
      <c r="G261" s="1027" t="str">
        <f t="shared" ca="1" si="26"/>
        <v/>
      </c>
      <c r="H261" s="1043" t="str">
        <f ca="1"/>
        <v/>
      </c>
      <c r="I261" s="1006" t="str">
        <f ca="1"/>
        <v/>
      </c>
      <c r="J261" s="1006" t="str">
        <f ca="1"/>
        <v/>
      </c>
      <c r="K261" s="1016" t="str">
        <f ca="1"/>
        <v/>
      </c>
      <c r="L261" s="1019" t="str">
        <f ca="1"/>
        <v/>
      </c>
      <c r="M261" s="1006" t="str">
        <f ca="1"/>
        <v/>
      </c>
      <c r="N261" s="1060" t="str">
        <f t="shared" ca="1" si="23"/>
        <v/>
      </c>
      <c r="O261" s="996"/>
      <c r="P261" s="742">
        <v>243</v>
      </c>
      <c r="Q261" s="1016" t="str">
        <f t="shared" ca="1" si="27"/>
        <v/>
      </c>
      <c r="R261" s="1027" t="str">
        <f t="shared" ca="1" si="28"/>
        <v/>
      </c>
      <c r="S261" s="1006" t="str">
        <f ca="1"/>
        <v/>
      </c>
      <c r="T261" s="1006" t="str">
        <f ca="1"/>
        <v/>
      </c>
      <c r="U261" s="1006" t="str">
        <f ca="1"/>
        <v/>
      </c>
      <c r="V261" s="1016" t="str">
        <f ca="1"/>
        <v/>
      </c>
      <c r="W261" s="1019" t="str">
        <f ca="1"/>
        <v/>
      </c>
      <c r="X261" s="1006" t="str">
        <f ca="1"/>
        <v/>
      </c>
      <c r="Y261" s="864" t="str">
        <f t="shared" ca="1" si="24"/>
        <v/>
      </c>
      <c r="AA261" s="828">
        <v>243</v>
      </c>
      <c r="AB261" s="750"/>
      <c r="AC261" s="842"/>
      <c r="AD261" s="830"/>
      <c r="AE261" s="839"/>
      <c r="AF261" s="839"/>
      <c r="AG261" s="750"/>
      <c r="AH261" s="840"/>
      <c r="AI261" s="839"/>
      <c r="AJ261" s="841"/>
      <c r="AK261" s="108" t="s">
        <v>12</v>
      </c>
      <c r="AL261" s="847">
        <v>243</v>
      </c>
      <c r="AM261" s="857"/>
      <c r="AN261" s="842"/>
      <c r="AO261" s="839"/>
      <c r="AP261" s="839"/>
      <c r="AQ261" s="839"/>
      <c r="AR261" s="750"/>
      <c r="AS261" s="840"/>
      <c r="AT261" s="839"/>
      <c r="AU261" s="856"/>
      <c r="AV261" s="108" t="s">
        <v>12</v>
      </c>
    </row>
    <row r="262" spans="4:48">
      <c r="D262" s="108" t="s">
        <v>12</v>
      </c>
      <c r="E262" s="742">
        <v>244</v>
      </c>
      <c r="F262" s="1016" t="str">
        <f t="shared" ca="1" si="25"/>
        <v/>
      </c>
      <c r="G262" s="1027" t="str">
        <f t="shared" ca="1" si="26"/>
        <v/>
      </c>
      <c r="H262" s="1043" t="str">
        <f ca="1"/>
        <v/>
      </c>
      <c r="I262" s="1006" t="str">
        <f ca="1"/>
        <v/>
      </c>
      <c r="J262" s="1006" t="str">
        <f ca="1"/>
        <v/>
      </c>
      <c r="K262" s="1016" t="str">
        <f ca="1"/>
        <v/>
      </c>
      <c r="L262" s="1019" t="str">
        <f ca="1"/>
        <v/>
      </c>
      <c r="M262" s="1006" t="str">
        <f ca="1"/>
        <v/>
      </c>
      <c r="N262" s="1060" t="str">
        <f t="shared" ca="1" si="23"/>
        <v/>
      </c>
      <c r="O262" s="996"/>
      <c r="P262" s="742">
        <v>244</v>
      </c>
      <c r="Q262" s="1016" t="str">
        <f t="shared" ca="1" si="27"/>
        <v/>
      </c>
      <c r="R262" s="1027" t="str">
        <f t="shared" ca="1" si="28"/>
        <v/>
      </c>
      <c r="S262" s="1006" t="str">
        <f ca="1"/>
        <v/>
      </c>
      <c r="T262" s="1006" t="str">
        <f ca="1"/>
        <v/>
      </c>
      <c r="U262" s="1006" t="str">
        <f ca="1"/>
        <v/>
      </c>
      <c r="V262" s="1016" t="str">
        <f ca="1"/>
        <v/>
      </c>
      <c r="W262" s="1019" t="str">
        <f ca="1"/>
        <v/>
      </c>
      <c r="X262" s="1006" t="str">
        <f ca="1"/>
        <v/>
      </c>
      <c r="Y262" s="864" t="str">
        <f t="shared" ca="1" si="24"/>
        <v/>
      </c>
      <c r="AA262" s="828">
        <v>244</v>
      </c>
      <c r="AB262" s="750"/>
      <c r="AC262" s="842"/>
      <c r="AD262" s="830"/>
      <c r="AE262" s="839"/>
      <c r="AF262" s="839"/>
      <c r="AG262" s="750"/>
      <c r="AH262" s="840"/>
      <c r="AI262" s="839"/>
      <c r="AJ262" s="841"/>
      <c r="AK262" s="108" t="s">
        <v>12</v>
      </c>
      <c r="AL262" s="847">
        <v>244</v>
      </c>
      <c r="AM262" s="857"/>
      <c r="AN262" s="842"/>
      <c r="AO262" s="839"/>
      <c r="AP262" s="839"/>
      <c r="AQ262" s="839"/>
      <c r="AR262" s="750"/>
      <c r="AS262" s="840"/>
      <c r="AT262" s="839"/>
      <c r="AU262" s="856"/>
      <c r="AV262" s="108" t="s">
        <v>12</v>
      </c>
    </row>
    <row r="263" spans="4:48">
      <c r="D263" s="108" t="s">
        <v>12</v>
      </c>
      <c r="E263" s="742">
        <v>245</v>
      </c>
      <c r="F263" s="1016" t="str">
        <f t="shared" ca="1" si="25"/>
        <v/>
      </c>
      <c r="G263" s="1027" t="str">
        <f t="shared" ca="1" si="26"/>
        <v/>
      </c>
      <c r="H263" s="1043" t="str">
        <f ca="1"/>
        <v/>
      </c>
      <c r="I263" s="1006" t="str">
        <f ca="1"/>
        <v/>
      </c>
      <c r="J263" s="1006" t="str">
        <f ca="1"/>
        <v/>
      </c>
      <c r="K263" s="1016" t="str">
        <f ca="1"/>
        <v/>
      </c>
      <c r="L263" s="1019" t="str">
        <f ca="1"/>
        <v/>
      </c>
      <c r="M263" s="1006" t="str">
        <f ca="1"/>
        <v/>
      </c>
      <c r="N263" s="1060" t="str">
        <f t="shared" ca="1" si="23"/>
        <v/>
      </c>
      <c r="O263" s="996"/>
      <c r="P263" s="742">
        <v>245</v>
      </c>
      <c r="Q263" s="1016" t="str">
        <f t="shared" ca="1" si="27"/>
        <v/>
      </c>
      <c r="R263" s="1027" t="str">
        <f t="shared" ca="1" si="28"/>
        <v/>
      </c>
      <c r="S263" s="1006" t="str">
        <f ca="1"/>
        <v/>
      </c>
      <c r="T263" s="1006" t="str">
        <f ca="1"/>
        <v/>
      </c>
      <c r="U263" s="1006" t="str">
        <f ca="1"/>
        <v/>
      </c>
      <c r="V263" s="1016" t="str">
        <f ca="1"/>
        <v/>
      </c>
      <c r="W263" s="1019" t="str">
        <f ca="1"/>
        <v/>
      </c>
      <c r="X263" s="1006" t="str">
        <f ca="1"/>
        <v/>
      </c>
      <c r="Y263" s="864" t="str">
        <f t="shared" ca="1" si="24"/>
        <v/>
      </c>
      <c r="AA263" s="828">
        <v>245</v>
      </c>
      <c r="AB263" s="750"/>
      <c r="AC263" s="842"/>
      <c r="AD263" s="830"/>
      <c r="AE263" s="839"/>
      <c r="AF263" s="839"/>
      <c r="AG263" s="750"/>
      <c r="AH263" s="840"/>
      <c r="AI263" s="839"/>
      <c r="AJ263" s="841"/>
      <c r="AK263" s="108" t="s">
        <v>12</v>
      </c>
      <c r="AL263" s="847">
        <v>245</v>
      </c>
      <c r="AM263" s="857"/>
      <c r="AN263" s="842"/>
      <c r="AO263" s="839"/>
      <c r="AP263" s="839"/>
      <c r="AQ263" s="839"/>
      <c r="AR263" s="750"/>
      <c r="AS263" s="840"/>
      <c r="AT263" s="839"/>
      <c r="AU263" s="856"/>
      <c r="AV263" s="108" t="s">
        <v>12</v>
      </c>
    </row>
    <row r="264" spans="4:48">
      <c r="D264" s="108" t="s">
        <v>12</v>
      </c>
      <c r="E264" s="742">
        <v>246</v>
      </c>
      <c r="F264" s="1016" t="str">
        <f t="shared" ca="1" si="25"/>
        <v/>
      </c>
      <c r="G264" s="1027" t="str">
        <f t="shared" ca="1" si="26"/>
        <v/>
      </c>
      <c r="H264" s="1043" t="str">
        <f ca="1"/>
        <v/>
      </c>
      <c r="I264" s="1006" t="str">
        <f ca="1"/>
        <v/>
      </c>
      <c r="J264" s="1006" t="str">
        <f ca="1"/>
        <v/>
      </c>
      <c r="K264" s="1016" t="str">
        <f ca="1"/>
        <v/>
      </c>
      <c r="L264" s="1019" t="str">
        <f ca="1"/>
        <v/>
      </c>
      <c r="M264" s="1006" t="str">
        <f ca="1"/>
        <v/>
      </c>
      <c r="N264" s="1060" t="str">
        <f t="shared" ca="1" si="23"/>
        <v/>
      </c>
      <c r="O264" s="996"/>
      <c r="P264" s="742">
        <v>246</v>
      </c>
      <c r="Q264" s="1016" t="str">
        <f t="shared" ca="1" si="27"/>
        <v/>
      </c>
      <c r="R264" s="1027" t="str">
        <f t="shared" ca="1" si="28"/>
        <v/>
      </c>
      <c r="S264" s="1006" t="str">
        <f ca="1"/>
        <v/>
      </c>
      <c r="T264" s="1006" t="str">
        <f ca="1"/>
        <v/>
      </c>
      <c r="U264" s="1006" t="str">
        <f ca="1"/>
        <v/>
      </c>
      <c r="V264" s="1016" t="str">
        <f ca="1"/>
        <v/>
      </c>
      <c r="W264" s="1019" t="str">
        <f ca="1"/>
        <v/>
      </c>
      <c r="X264" s="1006" t="str">
        <f ca="1"/>
        <v/>
      </c>
      <c r="Y264" s="864" t="str">
        <f t="shared" ca="1" si="24"/>
        <v/>
      </c>
      <c r="AA264" s="828">
        <v>246</v>
      </c>
      <c r="AB264" s="750"/>
      <c r="AC264" s="842"/>
      <c r="AD264" s="830"/>
      <c r="AE264" s="839"/>
      <c r="AF264" s="839"/>
      <c r="AG264" s="750"/>
      <c r="AH264" s="840"/>
      <c r="AI264" s="839"/>
      <c r="AJ264" s="841"/>
      <c r="AK264" s="108" t="s">
        <v>12</v>
      </c>
      <c r="AL264" s="847">
        <v>246</v>
      </c>
      <c r="AM264" s="857"/>
      <c r="AN264" s="842"/>
      <c r="AO264" s="839"/>
      <c r="AP264" s="839"/>
      <c r="AQ264" s="839"/>
      <c r="AR264" s="750"/>
      <c r="AS264" s="840"/>
      <c r="AT264" s="839"/>
      <c r="AU264" s="856"/>
      <c r="AV264" s="108" t="s">
        <v>12</v>
      </c>
    </row>
    <row r="265" spans="4:48">
      <c r="D265" s="108" t="s">
        <v>12</v>
      </c>
      <c r="E265" s="742">
        <v>247</v>
      </c>
      <c r="F265" s="1016" t="str">
        <f t="shared" ca="1" si="25"/>
        <v/>
      </c>
      <c r="G265" s="1027" t="str">
        <f t="shared" ca="1" si="26"/>
        <v/>
      </c>
      <c r="H265" s="1043" t="str">
        <f ca="1"/>
        <v/>
      </c>
      <c r="I265" s="1006" t="str">
        <f ca="1"/>
        <v/>
      </c>
      <c r="J265" s="1006" t="str">
        <f ca="1"/>
        <v/>
      </c>
      <c r="K265" s="1016" t="str">
        <f ca="1"/>
        <v/>
      </c>
      <c r="L265" s="1019" t="str">
        <f ca="1"/>
        <v/>
      </c>
      <c r="M265" s="1006" t="str">
        <f ca="1"/>
        <v/>
      </c>
      <c r="N265" s="1060" t="str">
        <f t="shared" ca="1" si="23"/>
        <v/>
      </c>
      <c r="O265" s="996"/>
      <c r="P265" s="742">
        <v>247</v>
      </c>
      <c r="Q265" s="1016" t="str">
        <f t="shared" ca="1" si="27"/>
        <v/>
      </c>
      <c r="R265" s="1027" t="str">
        <f t="shared" ca="1" si="28"/>
        <v/>
      </c>
      <c r="S265" s="1006" t="str">
        <f ca="1"/>
        <v/>
      </c>
      <c r="T265" s="1006" t="str">
        <f ca="1"/>
        <v/>
      </c>
      <c r="U265" s="1006" t="str">
        <f ca="1"/>
        <v/>
      </c>
      <c r="V265" s="1016" t="str">
        <f ca="1"/>
        <v/>
      </c>
      <c r="W265" s="1019" t="str">
        <f ca="1"/>
        <v/>
      </c>
      <c r="X265" s="1006" t="str">
        <f ca="1"/>
        <v/>
      </c>
      <c r="Y265" s="864" t="str">
        <f t="shared" ca="1" si="24"/>
        <v/>
      </c>
      <c r="AA265" s="828">
        <v>247</v>
      </c>
      <c r="AB265" s="750"/>
      <c r="AC265" s="842"/>
      <c r="AD265" s="830"/>
      <c r="AE265" s="839"/>
      <c r="AF265" s="839"/>
      <c r="AG265" s="750"/>
      <c r="AH265" s="840"/>
      <c r="AI265" s="839"/>
      <c r="AJ265" s="841"/>
      <c r="AK265" s="108" t="s">
        <v>12</v>
      </c>
      <c r="AL265" s="847">
        <v>247</v>
      </c>
      <c r="AM265" s="857"/>
      <c r="AN265" s="842"/>
      <c r="AO265" s="839"/>
      <c r="AP265" s="839"/>
      <c r="AQ265" s="839"/>
      <c r="AR265" s="750"/>
      <c r="AS265" s="840"/>
      <c r="AT265" s="839"/>
      <c r="AU265" s="856"/>
      <c r="AV265" s="108" t="s">
        <v>12</v>
      </c>
    </row>
    <row r="266" spans="4:48">
      <c r="D266" s="108" t="s">
        <v>12</v>
      </c>
      <c r="E266" s="742">
        <v>248</v>
      </c>
      <c r="F266" s="1016" t="str">
        <f t="shared" ca="1" si="25"/>
        <v/>
      </c>
      <c r="G266" s="1027" t="str">
        <f t="shared" ca="1" si="26"/>
        <v/>
      </c>
      <c r="H266" s="1043" t="str">
        <f ca="1"/>
        <v/>
      </c>
      <c r="I266" s="1006" t="str">
        <f ca="1"/>
        <v/>
      </c>
      <c r="J266" s="1006" t="str">
        <f ca="1"/>
        <v/>
      </c>
      <c r="K266" s="1016" t="str">
        <f ca="1"/>
        <v/>
      </c>
      <c r="L266" s="1019" t="str">
        <f ca="1"/>
        <v/>
      </c>
      <c r="M266" s="1006" t="str">
        <f ca="1"/>
        <v/>
      </c>
      <c r="N266" s="1060" t="str">
        <f t="shared" ca="1" si="23"/>
        <v/>
      </c>
      <c r="O266" s="996"/>
      <c r="P266" s="742">
        <v>248</v>
      </c>
      <c r="Q266" s="1016" t="str">
        <f t="shared" ca="1" si="27"/>
        <v/>
      </c>
      <c r="R266" s="1027" t="str">
        <f t="shared" ca="1" si="28"/>
        <v/>
      </c>
      <c r="S266" s="1006" t="str">
        <f ca="1"/>
        <v/>
      </c>
      <c r="T266" s="1006" t="str">
        <f ca="1"/>
        <v/>
      </c>
      <c r="U266" s="1006" t="str">
        <f ca="1"/>
        <v/>
      </c>
      <c r="V266" s="1016" t="str">
        <f ca="1"/>
        <v/>
      </c>
      <c r="W266" s="1019" t="str">
        <f ca="1"/>
        <v/>
      </c>
      <c r="X266" s="1006" t="str">
        <f ca="1"/>
        <v/>
      </c>
      <c r="Y266" s="864" t="str">
        <f t="shared" ca="1" si="24"/>
        <v/>
      </c>
      <c r="AA266" s="828">
        <v>248</v>
      </c>
      <c r="AB266" s="750"/>
      <c r="AC266" s="842"/>
      <c r="AD266" s="830"/>
      <c r="AE266" s="839"/>
      <c r="AF266" s="839"/>
      <c r="AG266" s="750"/>
      <c r="AH266" s="840"/>
      <c r="AI266" s="839"/>
      <c r="AJ266" s="841"/>
      <c r="AK266" s="108" t="s">
        <v>12</v>
      </c>
      <c r="AL266" s="847">
        <v>248</v>
      </c>
      <c r="AM266" s="857"/>
      <c r="AN266" s="842"/>
      <c r="AO266" s="839"/>
      <c r="AP266" s="839"/>
      <c r="AQ266" s="839"/>
      <c r="AR266" s="750"/>
      <c r="AS266" s="840"/>
      <c r="AT266" s="839"/>
      <c r="AU266" s="856"/>
      <c r="AV266" s="108" t="s">
        <v>12</v>
      </c>
    </row>
    <row r="267" spans="4:48">
      <c r="D267" s="108" t="s">
        <v>12</v>
      </c>
      <c r="E267" s="742">
        <v>249</v>
      </c>
      <c r="F267" s="1016" t="str">
        <f t="shared" ca="1" si="25"/>
        <v/>
      </c>
      <c r="G267" s="1027" t="str">
        <f t="shared" ca="1" si="26"/>
        <v/>
      </c>
      <c r="H267" s="1043" t="str">
        <f ca="1"/>
        <v/>
      </c>
      <c r="I267" s="1006" t="str">
        <f ca="1"/>
        <v/>
      </c>
      <c r="J267" s="1006" t="str">
        <f ca="1"/>
        <v/>
      </c>
      <c r="K267" s="1016" t="str">
        <f ca="1"/>
        <v/>
      </c>
      <c r="L267" s="1019" t="str">
        <f ca="1"/>
        <v/>
      </c>
      <c r="M267" s="1006" t="str">
        <f ca="1"/>
        <v/>
      </c>
      <c r="N267" s="1060" t="str">
        <f t="shared" ca="1" si="23"/>
        <v/>
      </c>
      <c r="O267" s="996"/>
      <c r="P267" s="742">
        <v>249</v>
      </c>
      <c r="Q267" s="1016" t="str">
        <f t="shared" ca="1" si="27"/>
        <v/>
      </c>
      <c r="R267" s="1027" t="str">
        <f t="shared" ca="1" si="28"/>
        <v/>
      </c>
      <c r="S267" s="1006" t="str">
        <f ca="1"/>
        <v/>
      </c>
      <c r="T267" s="1006" t="str">
        <f ca="1"/>
        <v/>
      </c>
      <c r="U267" s="1006" t="str">
        <f ca="1"/>
        <v/>
      </c>
      <c r="V267" s="1016" t="str">
        <f ca="1"/>
        <v/>
      </c>
      <c r="W267" s="1019" t="str">
        <f ca="1"/>
        <v/>
      </c>
      <c r="X267" s="1006" t="str">
        <f ca="1"/>
        <v/>
      </c>
      <c r="Y267" s="864" t="str">
        <f t="shared" ca="1" si="24"/>
        <v/>
      </c>
      <c r="AA267" s="828">
        <v>249</v>
      </c>
      <c r="AB267" s="750"/>
      <c r="AC267" s="842"/>
      <c r="AD267" s="830"/>
      <c r="AE267" s="839"/>
      <c r="AF267" s="839"/>
      <c r="AG267" s="750"/>
      <c r="AH267" s="840"/>
      <c r="AI267" s="839"/>
      <c r="AJ267" s="841"/>
      <c r="AK267" s="108" t="s">
        <v>12</v>
      </c>
      <c r="AL267" s="847">
        <v>249</v>
      </c>
      <c r="AM267" s="857"/>
      <c r="AN267" s="842"/>
      <c r="AO267" s="839"/>
      <c r="AP267" s="839"/>
      <c r="AQ267" s="839"/>
      <c r="AR267" s="750"/>
      <c r="AS267" s="840"/>
      <c r="AT267" s="839"/>
      <c r="AU267" s="856"/>
      <c r="AV267" s="108" t="s">
        <v>12</v>
      </c>
    </row>
    <row r="268" spans="4:48">
      <c r="D268" s="108" t="s">
        <v>12</v>
      </c>
      <c r="E268" s="742">
        <v>250</v>
      </c>
      <c r="F268" s="1016" t="str">
        <f t="shared" ca="1" si="25"/>
        <v/>
      </c>
      <c r="G268" s="1027" t="str">
        <f t="shared" ca="1" si="26"/>
        <v/>
      </c>
      <c r="H268" s="1043" t="str">
        <f ca="1"/>
        <v/>
      </c>
      <c r="I268" s="1006" t="str">
        <f ca="1"/>
        <v/>
      </c>
      <c r="J268" s="1006" t="str">
        <f ca="1"/>
        <v/>
      </c>
      <c r="K268" s="1016" t="str">
        <f ca="1"/>
        <v/>
      </c>
      <c r="L268" s="1019" t="str">
        <f ca="1"/>
        <v/>
      </c>
      <c r="M268" s="1006" t="str">
        <f ca="1"/>
        <v/>
      </c>
      <c r="N268" s="1060" t="str">
        <f t="shared" ca="1" si="23"/>
        <v/>
      </c>
      <c r="O268" s="996"/>
      <c r="P268" s="742">
        <v>250</v>
      </c>
      <c r="Q268" s="1016" t="str">
        <f t="shared" ca="1" si="27"/>
        <v/>
      </c>
      <c r="R268" s="1027" t="str">
        <f t="shared" ca="1" si="28"/>
        <v/>
      </c>
      <c r="S268" s="1006" t="str">
        <f ca="1"/>
        <v/>
      </c>
      <c r="T268" s="1006" t="str">
        <f ca="1"/>
        <v/>
      </c>
      <c r="U268" s="1006" t="str">
        <f ca="1"/>
        <v/>
      </c>
      <c r="V268" s="1016" t="str">
        <f ca="1"/>
        <v/>
      </c>
      <c r="W268" s="1019" t="str">
        <f ca="1"/>
        <v/>
      </c>
      <c r="X268" s="1006" t="str">
        <f ca="1"/>
        <v/>
      </c>
      <c r="Y268" s="864" t="str">
        <f t="shared" ca="1" si="24"/>
        <v/>
      </c>
      <c r="AA268" s="828">
        <v>250</v>
      </c>
      <c r="AB268" s="750"/>
      <c r="AC268" s="842"/>
      <c r="AD268" s="830"/>
      <c r="AE268" s="839"/>
      <c r="AF268" s="839"/>
      <c r="AG268" s="750"/>
      <c r="AH268" s="840"/>
      <c r="AI268" s="839"/>
      <c r="AJ268" s="841"/>
      <c r="AK268" s="108" t="s">
        <v>12</v>
      </c>
      <c r="AL268" s="847">
        <v>250</v>
      </c>
      <c r="AM268" s="857"/>
      <c r="AN268" s="842"/>
      <c r="AO268" s="839"/>
      <c r="AP268" s="839"/>
      <c r="AQ268" s="839"/>
      <c r="AR268" s="750"/>
      <c r="AS268" s="840"/>
      <c r="AT268" s="839"/>
      <c r="AU268" s="856"/>
      <c r="AV268" s="108" t="s">
        <v>12</v>
      </c>
    </row>
    <row r="269" spans="4:48">
      <c r="D269" s="108" t="s">
        <v>12</v>
      </c>
      <c r="E269" s="742">
        <v>251</v>
      </c>
      <c r="F269" s="1016" t="str">
        <f t="shared" ca="1" si="25"/>
        <v/>
      </c>
      <c r="G269" s="1027" t="str">
        <f t="shared" ca="1" si="26"/>
        <v/>
      </c>
      <c r="H269" s="1043" t="str">
        <f ca="1"/>
        <v/>
      </c>
      <c r="I269" s="1006" t="str">
        <f ca="1"/>
        <v/>
      </c>
      <c r="J269" s="1006" t="str">
        <f ca="1"/>
        <v/>
      </c>
      <c r="K269" s="1016" t="str">
        <f ca="1"/>
        <v/>
      </c>
      <c r="L269" s="1019" t="str">
        <f ca="1"/>
        <v/>
      </c>
      <c r="M269" s="1006" t="str">
        <f ca="1"/>
        <v/>
      </c>
      <c r="N269" s="1060" t="str">
        <f t="shared" ca="1" si="23"/>
        <v/>
      </c>
      <c r="O269" s="996"/>
      <c r="P269" s="742">
        <v>251</v>
      </c>
      <c r="Q269" s="1016" t="str">
        <f t="shared" ca="1" si="27"/>
        <v/>
      </c>
      <c r="R269" s="1027" t="str">
        <f t="shared" ca="1" si="28"/>
        <v/>
      </c>
      <c r="S269" s="1006" t="str">
        <f ca="1"/>
        <v/>
      </c>
      <c r="T269" s="1006" t="str">
        <f ca="1"/>
        <v/>
      </c>
      <c r="U269" s="1006" t="str">
        <f ca="1"/>
        <v/>
      </c>
      <c r="V269" s="1016" t="str">
        <f ca="1"/>
        <v/>
      </c>
      <c r="W269" s="1019" t="str">
        <f ca="1"/>
        <v/>
      </c>
      <c r="X269" s="1006" t="str">
        <f ca="1"/>
        <v/>
      </c>
      <c r="Y269" s="864" t="str">
        <f t="shared" ca="1" si="24"/>
        <v/>
      </c>
      <c r="AA269" s="828">
        <v>251</v>
      </c>
      <c r="AB269" s="750"/>
      <c r="AC269" s="842"/>
      <c r="AD269" s="830"/>
      <c r="AE269" s="839"/>
      <c r="AF269" s="839"/>
      <c r="AG269" s="750"/>
      <c r="AH269" s="840"/>
      <c r="AI269" s="839"/>
      <c r="AJ269" s="841"/>
      <c r="AK269" s="108" t="s">
        <v>12</v>
      </c>
      <c r="AL269" s="847">
        <v>251</v>
      </c>
      <c r="AM269" s="857"/>
      <c r="AN269" s="842"/>
      <c r="AO269" s="839"/>
      <c r="AP269" s="839"/>
      <c r="AQ269" s="839"/>
      <c r="AR269" s="750"/>
      <c r="AS269" s="840"/>
      <c r="AT269" s="839"/>
      <c r="AU269" s="856"/>
      <c r="AV269" s="108" t="s">
        <v>12</v>
      </c>
    </row>
    <row r="270" spans="4:48">
      <c r="D270" s="108" t="s">
        <v>12</v>
      </c>
      <c r="E270" s="742">
        <v>252</v>
      </c>
      <c r="F270" s="1016" t="str">
        <f t="shared" ca="1" si="25"/>
        <v/>
      </c>
      <c r="G270" s="1027" t="str">
        <f t="shared" ca="1" si="26"/>
        <v/>
      </c>
      <c r="H270" s="1043" t="str">
        <f ca="1"/>
        <v/>
      </c>
      <c r="I270" s="1006" t="str">
        <f ca="1"/>
        <v/>
      </c>
      <c r="J270" s="1006" t="str">
        <f ca="1"/>
        <v/>
      </c>
      <c r="K270" s="1016" t="str">
        <f ca="1"/>
        <v/>
      </c>
      <c r="L270" s="1019" t="str">
        <f ca="1"/>
        <v/>
      </c>
      <c r="M270" s="1006" t="str">
        <f ca="1"/>
        <v/>
      </c>
      <c r="N270" s="1060" t="str">
        <f t="shared" ca="1" si="23"/>
        <v/>
      </c>
      <c r="O270" s="996"/>
      <c r="P270" s="742">
        <v>252</v>
      </c>
      <c r="Q270" s="1016" t="str">
        <f t="shared" ca="1" si="27"/>
        <v/>
      </c>
      <c r="R270" s="1027" t="str">
        <f t="shared" ca="1" si="28"/>
        <v/>
      </c>
      <c r="S270" s="1006" t="str">
        <f ca="1"/>
        <v/>
      </c>
      <c r="T270" s="1006" t="str">
        <f ca="1"/>
        <v/>
      </c>
      <c r="U270" s="1006" t="str">
        <f ca="1"/>
        <v/>
      </c>
      <c r="V270" s="1016" t="str">
        <f ca="1"/>
        <v/>
      </c>
      <c r="W270" s="1019" t="str">
        <f ca="1"/>
        <v/>
      </c>
      <c r="X270" s="1006" t="str">
        <f ca="1"/>
        <v/>
      </c>
      <c r="Y270" s="864" t="str">
        <f t="shared" ca="1" si="24"/>
        <v/>
      </c>
      <c r="AA270" s="828">
        <v>252</v>
      </c>
      <c r="AB270" s="750"/>
      <c r="AC270" s="842"/>
      <c r="AD270" s="830"/>
      <c r="AE270" s="839"/>
      <c r="AF270" s="839"/>
      <c r="AG270" s="750"/>
      <c r="AH270" s="840"/>
      <c r="AI270" s="839"/>
      <c r="AJ270" s="841"/>
      <c r="AK270" s="108" t="s">
        <v>12</v>
      </c>
      <c r="AL270" s="847">
        <v>252</v>
      </c>
      <c r="AM270" s="857"/>
      <c r="AN270" s="842"/>
      <c r="AO270" s="839"/>
      <c r="AP270" s="839"/>
      <c r="AQ270" s="839"/>
      <c r="AR270" s="750"/>
      <c r="AS270" s="840"/>
      <c r="AT270" s="839"/>
      <c r="AU270" s="856"/>
      <c r="AV270" s="108" t="s">
        <v>12</v>
      </c>
    </row>
    <row r="271" spans="4:48">
      <c r="D271" s="108" t="s">
        <v>12</v>
      </c>
      <c r="E271" s="742">
        <v>253</v>
      </c>
      <c r="F271" s="1016" t="str">
        <f t="shared" ca="1" si="25"/>
        <v/>
      </c>
      <c r="G271" s="1027" t="str">
        <f t="shared" ca="1" si="26"/>
        <v/>
      </c>
      <c r="H271" s="1043" t="str">
        <f ca="1"/>
        <v/>
      </c>
      <c r="I271" s="1006" t="str">
        <f ca="1"/>
        <v/>
      </c>
      <c r="J271" s="1006" t="str">
        <f ca="1"/>
        <v/>
      </c>
      <c r="K271" s="1016" t="str">
        <f ca="1"/>
        <v/>
      </c>
      <c r="L271" s="1019" t="str">
        <f ca="1"/>
        <v/>
      </c>
      <c r="M271" s="1006" t="str">
        <f ca="1"/>
        <v/>
      </c>
      <c r="N271" s="1060" t="str">
        <f t="shared" ca="1" si="23"/>
        <v/>
      </c>
      <c r="O271" s="996"/>
      <c r="P271" s="742">
        <v>253</v>
      </c>
      <c r="Q271" s="1016" t="str">
        <f t="shared" ca="1" si="27"/>
        <v/>
      </c>
      <c r="R271" s="1027" t="str">
        <f t="shared" ca="1" si="28"/>
        <v/>
      </c>
      <c r="S271" s="1006" t="str">
        <f ca="1"/>
        <v/>
      </c>
      <c r="T271" s="1006" t="str">
        <f ca="1"/>
        <v/>
      </c>
      <c r="U271" s="1006" t="str">
        <f ca="1"/>
        <v/>
      </c>
      <c r="V271" s="1016" t="str">
        <f ca="1"/>
        <v/>
      </c>
      <c r="W271" s="1019" t="str">
        <f ca="1"/>
        <v/>
      </c>
      <c r="X271" s="1006" t="str">
        <f ca="1"/>
        <v/>
      </c>
      <c r="Y271" s="864" t="str">
        <f t="shared" ca="1" si="24"/>
        <v/>
      </c>
      <c r="AA271" s="828">
        <v>253</v>
      </c>
      <c r="AB271" s="750"/>
      <c r="AC271" s="842"/>
      <c r="AD271" s="830"/>
      <c r="AE271" s="839"/>
      <c r="AF271" s="839"/>
      <c r="AG271" s="750"/>
      <c r="AH271" s="840"/>
      <c r="AI271" s="839"/>
      <c r="AJ271" s="841"/>
      <c r="AK271" s="108" t="s">
        <v>12</v>
      </c>
      <c r="AL271" s="847">
        <v>253</v>
      </c>
      <c r="AM271" s="857"/>
      <c r="AN271" s="842"/>
      <c r="AO271" s="839"/>
      <c r="AP271" s="839"/>
      <c r="AQ271" s="839"/>
      <c r="AR271" s="750"/>
      <c r="AS271" s="840"/>
      <c r="AT271" s="839"/>
      <c r="AU271" s="856"/>
      <c r="AV271" s="108" t="s">
        <v>12</v>
      </c>
    </row>
    <row r="272" spans="4:48">
      <c r="D272" s="108" t="s">
        <v>12</v>
      </c>
      <c r="E272" s="742">
        <v>254</v>
      </c>
      <c r="F272" s="1016" t="str">
        <f t="shared" ca="1" si="25"/>
        <v/>
      </c>
      <c r="G272" s="1027" t="str">
        <f t="shared" ca="1" si="26"/>
        <v/>
      </c>
      <c r="H272" s="1043" t="str">
        <f ca="1"/>
        <v/>
      </c>
      <c r="I272" s="1006" t="str">
        <f ca="1"/>
        <v/>
      </c>
      <c r="J272" s="1006" t="str">
        <f ca="1"/>
        <v/>
      </c>
      <c r="K272" s="1016" t="str">
        <f ca="1"/>
        <v/>
      </c>
      <c r="L272" s="1019" t="str">
        <f ca="1"/>
        <v/>
      </c>
      <c r="M272" s="1006" t="str">
        <f ca="1"/>
        <v/>
      </c>
      <c r="N272" s="1060" t="str">
        <f t="shared" ca="1" si="23"/>
        <v/>
      </c>
      <c r="O272" s="996"/>
      <c r="P272" s="742">
        <v>254</v>
      </c>
      <c r="Q272" s="1016" t="str">
        <f t="shared" ca="1" si="27"/>
        <v/>
      </c>
      <c r="R272" s="1027" t="str">
        <f t="shared" ca="1" si="28"/>
        <v/>
      </c>
      <c r="S272" s="1006" t="str">
        <f ca="1"/>
        <v/>
      </c>
      <c r="T272" s="1006" t="str">
        <f ca="1"/>
        <v/>
      </c>
      <c r="U272" s="1006" t="str">
        <f ca="1"/>
        <v/>
      </c>
      <c r="V272" s="1016" t="str">
        <f ca="1"/>
        <v/>
      </c>
      <c r="W272" s="1019" t="str">
        <f ca="1"/>
        <v/>
      </c>
      <c r="X272" s="1006" t="str">
        <f ca="1"/>
        <v/>
      </c>
      <c r="Y272" s="864" t="str">
        <f t="shared" ca="1" si="24"/>
        <v/>
      </c>
      <c r="AA272" s="828">
        <v>254</v>
      </c>
      <c r="AB272" s="750"/>
      <c r="AC272" s="842"/>
      <c r="AD272" s="830"/>
      <c r="AE272" s="839"/>
      <c r="AF272" s="839"/>
      <c r="AG272" s="750"/>
      <c r="AH272" s="840"/>
      <c r="AI272" s="839"/>
      <c r="AJ272" s="841"/>
      <c r="AK272" s="108" t="s">
        <v>12</v>
      </c>
      <c r="AL272" s="847">
        <v>254</v>
      </c>
      <c r="AM272" s="857"/>
      <c r="AN272" s="842"/>
      <c r="AO272" s="839"/>
      <c r="AP272" s="839"/>
      <c r="AQ272" s="839"/>
      <c r="AR272" s="750"/>
      <c r="AS272" s="840"/>
      <c r="AT272" s="839"/>
      <c r="AU272" s="856"/>
      <c r="AV272" s="108" t="s">
        <v>12</v>
      </c>
    </row>
    <row r="273" spans="4:48">
      <c r="D273" s="108" t="s">
        <v>12</v>
      </c>
      <c r="E273" s="742">
        <v>255</v>
      </c>
      <c r="F273" s="1016" t="str">
        <f t="shared" ca="1" si="25"/>
        <v/>
      </c>
      <c r="G273" s="1027" t="str">
        <f t="shared" ca="1" si="26"/>
        <v/>
      </c>
      <c r="H273" s="1043" t="str">
        <f ca="1"/>
        <v/>
      </c>
      <c r="I273" s="1006" t="str">
        <f ca="1"/>
        <v/>
      </c>
      <c r="J273" s="1006" t="str">
        <f ca="1"/>
        <v/>
      </c>
      <c r="K273" s="1016" t="str">
        <f ca="1"/>
        <v/>
      </c>
      <c r="L273" s="1019" t="str">
        <f ca="1"/>
        <v/>
      </c>
      <c r="M273" s="1006" t="str">
        <f ca="1"/>
        <v/>
      </c>
      <c r="N273" s="1060" t="str">
        <f t="shared" ca="1" si="23"/>
        <v/>
      </c>
      <c r="O273" s="996"/>
      <c r="P273" s="742">
        <v>255</v>
      </c>
      <c r="Q273" s="1016" t="str">
        <f t="shared" ca="1" si="27"/>
        <v/>
      </c>
      <c r="R273" s="1027" t="str">
        <f t="shared" ca="1" si="28"/>
        <v/>
      </c>
      <c r="S273" s="1006" t="str">
        <f ca="1"/>
        <v/>
      </c>
      <c r="T273" s="1006" t="str">
        <f ca="1"/>
        <v/>
      </c>
      <c r="U273" s="1006" t="str">
        <f ca="1"/>
        <v/>
      </c>
      <c r="V273" s="1016" t="str">
        <f ca="1"/>
        <v/>
      </c>
      <c r="W273" s="1019" t="str">
        <f ca="1"/>
        <v/>
      </c>
      <c r="X273" s="1006" t="str">
        <f ca="1"/>
        <v/>
      </c>
      <c r="Y273" s="864" t="str">
        <f t="shared" ca="1" si="24"/>
        <v/>
      </c>
      <c r="AA273" s="828">
        <v>255</v>
      </c>
      <c r="AB273" s="750"/>
      <c r="AC273" s="842"/>
      <c r="AD273" s="830"/>
      <c r="AE273" s="839"/>
      <c r="AF273" s="839"/>
      <c r="AG273" s="750"/>
      <c r="AH273" s="840"/>
      <c r="AI273" s="839"/>
      <c r="AJ273" s="841"/>
      <c r="AK273" s="108" t="s">
        <v>12</v>
      </c>
      <c r="AL273" s="847">
        <v>255</v>
      </c>
      <c r="AM273" s="857"/>
      <c r="AN273" s="842"/>
      <c r="AO273" s="839"/>
      <c r="AP273" s="839"/>
      <c r="AQ273" s="839"/>
      <c r="AR273" s="750"/>
      <c r="AS273" s="840"/>
      <c r="AT273" s="839"/>
      <c r="AU273" s="856"/>
      <c r="AV273" s="108" t="s">
        <v>12</v>
      </c>
    </row>
    <row r="274" spans="4:48">
      <c r="D274" s="108" t="s">
        <v>12</v>
      </c>
      <c r="E274" s="742">
        <v>256</v>
      </c>
      <c r="F274" s="1016" t="str">
        <f t="shared" ca="1" si="25"/>
        <v/>
      </c>
      <c r="G274" s="1027" t="str">
        <f t="shared" ca="1" si="26"/>
        <v/>
      </c>
      <c r="H274" s="1043" t="str">
        <f ca="1"/>
        <v/>
      </c>
      <c r="I274" s="1006" t="str">
        <f ca="1"/>
        <v/>
      </c>
      <c r="J274" s="1006" t="str">
        <f ca="1"/>
        <v/>
      </c>
      <c r="K274" s="1016" t="str">
        <f ca="1"/>
        <v/>
      </c>
      <c r="L274" s="1019" t="str">
        <f ca="1"/>
        <v/>
      </c>
      <c r="M274" s="1006" t="str">
        <f ca="1"/>
        <v/>
      </c>
      <c r="N274" s="1060" t="str">
        <f t="shared" ca="1" si="23"/>
        <v/>
      </c>
      <c r="O274" s="996"/>
      <c r="P274" s="742">
        <v>256</v>
      </c>
      <c r="Q274" s="1016" t="str">
        <f t="shared" ca="1" si="27"/>
        <v/>
      </c>
      <c r="R274" s="1027" t="str">
        <f t="shared" ca="1" si="28"/>
        <v/>
      </c>
      <c r="S274" s="1006" t="str">
        <f ca="1"/>
        <v/>
      </c>
      <c r="T274" s="1006" t="str">
        <f ca="1"/>
        <v/>
      </c>
      <c r="U274" s="1006" t="str">
        <f ca="1"/>
        <v/>
      </c>
      <c r="V274" s="1016" t="str">
        <f ca="1"/>
        <v/>
      </c>
      <c r="W274" s="1019" t="str">
        <f ca="1"/>
        <v/>
      </c>
      <c r="X274" s="1006" t="str">
        <f ca="1"/>
        <v/>
      </c>
      <c r="Y274" s="864" t="str">
        <f t="shared" ca="1" si="24"/>
        <v/>
      </c>
      <c r="AA274" s="828">
        <v>256</v>
      </c>
      <c r="AB274" s="750"/>
      <c r="AC274" s="842"/>
      <c r="AD274" s="830"/>
      <c r="AE274" s="839"/>
      <c r="AF274" s="839"/>
      <c r="AG274" s="750"/>
      <c r="AH274" s="840"/>
      <c r="AI274" s="839"/>
      <c r="AJ274" s="841"/>
      <c r="AK274" s="108" t="s">
        <v>12</v>
      </c>
      <c r="AL274" s="847">
        <v>256</v>
      </c>
      <c r="AM274" s="857"/>
      <c r="AN274" s="842"/>
      <c r="AO274" s="839"/>
      <c r="AP274" s="839"/>
      <c r="AQ274" s="839"/>
      <c r="AR274" s="750"/>
      <c r="AS274" s="840"/>
      <c r="AT274" s="839"/>
      <c r="AU274" s="856"/>
      <c r="AV274" s="108" t="s">
        <v>12</v>
      </c>
    </row>
    <row r="275" spans="4:48">
      <c r="D275" s="108" t="s">
        <v>12</v>
      </c>
      <c r="E275" s="742">
        <v>257</v>
      </c>
      <c r="F275" s="1016" t="str">
        <f t="shared" ca="1" si="25"/>
        <v/>
      </c>
      <c r="G275" s="1027" t="str">
        <f t="shared" ca="1" si="26"/>
        <v/>
      </c>
      <c r="H275" s="1043" t="str">
        <f ca="1"/>
        <v/>
      </c>
      <c r="I275" s="1006" t="str">
        <f ca="1"/>
        <v/>
      </c>
      <c r="J275" s="1006" t="str">
        <f ca="1"/>
        <v/>
      </c>
      <c r="K275" s="1016" t="str">
        <f ca="1"/>
        <v/>
      </c>
      <c r="L275" s="1019" t="str">
        <f ca="1"/>
        <v/>
      </c>
      <c r="M275" s="1006" t="str">
        <f ca="1"/>
        <v/>
      </c>
      <c r="N275" s="1060" t="str">
        <f t="shared" ref="N275:N338" ca="1" si="29">IF($I275="","",VNS.FixedRate)</f>
        <v/>
      </c>
      <c r="O275" s="996"/>
      <c r="P275" s="742">
        <v>257</v>
      </c>
      <c r="Q275" s="1016" t="str">
        <f t="shared" ca="1" si="27"/>
        <v/>
      </c>
      <c r="R275" s="1027" t="str">
        <f t="shared" ca="1" si="28"/>
        <v/>
      </c>
      <c r="S275" s="1006" t="str">
        <f ca="1"/>
        <v/>
      </c>
      <c r="T275" s="1006" t="str">
        <f ca="1"/>
        <v/>
      </c>
      <c r="U275" s="1006" t="str">
        <f ca="1"/>
        <v/>
      </c>
      <c r="V275" s="1016" t="str">
        <f ca="1"/>
        <v/>
      </c>
      <c r="W275" s="1019" t="str">
        <f ca="1"/>
        <v/>
      </c>
      <c r="X275" s="1006" t="str">
        <f ca="1"/>
        <v/>
      </c>
      <c r="Y275" s="864" t="str">
        <f t="shared" ref="Y275:Y338" ca="1" si="30">IF($T275="","",VNS.FloatSpread)</f>
        <v/>
      </c>
      <c r="AA275" s="828">
        <v>257</v>
      </c>
      <c r="AB275" s="750"/>
      <c r="AC275" s="842"/>
      <c r="AD275" s="830"/>
      <c r="AE275" s="839"/>
      <c r="AF275" s="839"/>
      <c r="AG275" s="750"/>
      <c r="AH275" s="840"/>
      <c r="AI275" s="839"/>
      <c r="AJ275" s="841"/>
      <c r="AK275" s="108" t="s">
        <v>12</v>
      </c>
      <c r="AL275" s="847">
        <v>257</v>
      </c>
      <c r="AM275" s="857"/>
      <c r="AN275" s="842"/>
      <c r="AO275" s="839"/>
      <c r="AP275" s="839"/>
      <c r="AQ275" s="839"/>
      <c r="AR275" s="750"/>
      <c r="AS275" s="840"/>
      <c r="AT275" s="839"/>
      <c r="AU275" s="856"/>
      <c r="AV275" s="108" t="s">
        <v>12</v>
      </c>
    </row>
    <row r="276" spans="4:48">
      <c r="D276" s="108" t="s">
        <v>12</v>
      </c>
      <c r="E276" s="742">
        <v>258</v>
      </c>
      <c r="F276" s="1016" t="str">
        <f t="shared" ref="F276:F339" ca="1" si="31">IF($I276="","",IF(OR(VNS.FixedAmortization=0,VNS.FixedAmortization.Frequency=0),F275,IF(MOD(E276-1,VNS.FixedAmortization.Frequency)=0,F275-VNS.FixedAmortization,F275)))</f>
        <v/>
      </c>
      <c r="G276" s="1027" t="str">
        <f t="shared" ref="G276:G339" ca="1" si="32">IF(I276="","",1)</f>
        <v/>
      </c>
      <c r="H276" s="1043" t="str">
        <f ca="1"/>
        <v/>
      </c>
      <c r="I276" s="1006" t="str">
        <f ca="1"/>
        <v/>
      </c>
      <c r="J276" s="1006" t="str">
        <f ca="1"/>
        <v/>
      </c>
      <c r="K276" s="1016" t="str">
        <f ca="1"/>
        <v/>
      </c>
      <c r="L276" s="1019" t="str">
        <f ca="1"/>
        <v/>
      </c>
      <c r="M276" s="1006" t="str">
        <f ca="1"/>
        <v/>
      </c>
      <c r="N276" s="1060" t="str">
        <f t="shared" ca="1" si="29"/>
        <v/>
      </c>
      <c r="O276" s="996"/>
      <c r="P276" s="742">
        <v>258</v>
      </c>
      <c r="Q276" s="1016" t="str">
        <f t="shared" ref="Q276:Q339" ca="1" si="33">IF($T276="","",IF(OR(VNS.FloatAmortization=0,VNS.FloatAmortization.Frequency=0),Q275,IF(MOD(P276-1,VNS.FloatAmortization.Frequency)=0,Q275-VNS.FloatAmortization,Q275)))</f>
        <v/>
      </c>
      <c r="R276" s="1027" t="str">
        <f t="shared" ca="1" si="28"/>
        <v/>
      </c>
      <c r="S276" s="1006" t="str">
        <f ca="1"/>
        <v/>
      </c>
      <c r="T276" s="1006" t="str">
        <f ca="1"/>
        <v/>
      </c>
      <c r="U276" s="1006" t="str">
        <f ca="1"/>
        <v/>
      </c>
      <c r="V276" s="1016" t="str">
        <f ca="1"/>
        <v/>
      </c>
      <c r="W276" s="1019" t="str">
        <f ca="1"/>
        <v/>
      </c>
      <c r="X276" s="1006" t="str">
        <f ca="1"/>
        <v/>
      </c>
      <c r="Y276" s="864" t="str">
        <f t="shared" ca="1" si="30"/>
        <v/>
      </c>
      <c r="AA276" s="828">
        <v>258</v>
      </c>
      <c r="AB276" s="750"/>
      <c r="AC276" s="842"/>
      <c r="AD276" s="830"/>
      <c r="AE276" s="839"/>
      <c r="AF276" s="839"/>
      <c r="AG276" s="750"/>
      <c r="AH276" s="840"/>
      <c r="AI276" s="839"/>
      <c r="AJ276" s="841"/>
      <c r="AK276" s="108" t="s">
        <v>12</v>
      </c>
      <c r="AL276" s="847">
        <v>258</v>
      </c>
      <c r="AM276" s="857"/>
      <c r="AN276" s="842"/>
      <c r="AO276" s="839"/>
      <c r="AP276" s="839"/>
      <c r="AQ276" s="839"/>
      <c r="AR276" s="750"/>
      <c r="AS276" s="840"/>
      <c r="AT276" s="839"/>
      <c r="AU276" s="856"/>
      <c r="AV276" s="108" t="s">
        <v>12</v>
      </c>
    </row>
    <row r="277" spans="4:48">
      <c r="D277" s="108" t="s">
        <v>12</v>
      </c>
      <c r="E277" s="742">
        <v>259</v>
      </c>
      <c r="F277" s="1016" t="str">
        <f t="shared" ca="1" si="31"/>
        <v/>
      </c>
      <c r="G277" s="1027" t="str">
        <f t="shared" ca="1" si="32"/>
        <v/>
      </c>
      <c r="H277" s="1043" t="str">
        <f ca="1"/>
        <v/>
      </c>
      <c r="I277" s="1006" t="str">
        <f ca="1"/>
        <v/>
      </c>
      <c r="J277" s="1006" t="str">
        <f ca="1"/>
        <v/>
      </c>
      <c r="K277" s="1016" t="str">
        <f ca="1"/>
        <v/>
      </c>
      <c r="L277" s="1019" t="str">
        <f ca="1"/>
        <v/>
      </c>
      <c r="M277" s="1006" t="str">
        <f ca="1"/>
        <v/>
      </c>
      <c r="N277" s="1060" t="str">
        <f t="shared" ca="1" si="29"/>
        <v/>
      </c>
      <c r="O277" s="996"/>
      <c r="P277" s="742">
        <v>259</v>
      </c>
      <c r="Q277" s="1016" t="str">
        <f t="shared" ca="1" si="33"/>
        <v/>
      </c>
      <c r="R277" s="1027" t="str">
        <f t="shared" ca="1" si="28"/>
        <v/>
      </c>
      <c r="S277" s="1006" t="str">
        <f ca="1"/>
        <v/>
      </c>
      <c r="T277" s="1006" t="str">
        <f ca="1"/>
        <v/>
      </c>
      <c r="U277" s="1006" t="str">
        <f ca="1"/>
        <v/>
      </c>
      <c r="V277" s="1016" t="str">
        <f ca="1"/>
        <v/>
      </c>
      <c r="W277" s="1019" t="str">
        <f ca="1"/>
        <v/>
      </c>
      <c r="X277" s="1006" t="str">
        <f ca="1"/>
        <v/>
      </c>
      <c r="Y277" s="864" t="str">
        <f t="shared" ca="1" si="30"/>
        <v/>
      </c>
      <c r="AA277" s="828">
        <v>259</v>
      </c>
      <c r="AB277" s="750"/>
      <c r="AC277" s="842"/>
      <c r="AD277" s="830"/>
      <c r="AE277" s="839"/>
      <c r="AF277" s="839"/>
      <c r="AG277" s="750"/>
      <c r="AH277" s="840"/>
      <c r="AI277" s="839"/>
      <c r="AJ277" s="841"/>
      <c r="AK277" s="108" t="s">
        <v>12</v>
      </c>
      <c r="AL277" s="847">
        <v>259</v>
      </c>
      <c r="AM277" s="857"/>
      <c r="AN277" s="842"/>
      <c r="AO277" s="839"/>
      <c r="AP277" s="839"/>
      <c r="AQ277" s="839"/>
      <c r="AR277" s="750"/>
      <c r="AS277" s="840"/>
      <c r="AT277" s="839"/>
      <c r="AU277" s="856"/>
      <c r="AV277" s="108" t="s">
        <v>12</v>
      </c>
    </row>
    <row r="278" spans="4:48">
      <c r="D278" s="108" t="s">
        <v>12</v>
      </c>
      <c r="E278" s="742">
        <v>260</v>
      </c>
      <c r="F278" s="1016" t="str">
        <f t="shared" ca="1" si="31"/>
        <v/>
      </c>
      <c r="G278" s="1027" t="str">
        <f t="shared" ca="1" si="32"/>
        <v/>
      </c>
      <c r="H278" s="1043" t="str">
        <f ca="1"/>
        <v/>
      </c>
      <c r="I278" s="1006" t="str">
        <f ca="1"/>
        <v/>
      </c>
      <c r="J278" s="1006" t="str">
        <f ca="1"/>
        <v/>
      </c>
      <c r="K278" s="1016" t="str">
        <f ca="1"/>
        <v/>
      </c>
      <c r="L278" s="1019" t="str">
        <f ca="1"/>
        <v/>
      </c>
      <c r="M278" s="1006" t="str">
        <f ca="1"/>
        <v/>
      </c>
      <c r="N278" s="1060" t="str">
        <f t="shared" ca="1" si="29"/>
        <v/>
      </c>
      <c r="O278" s="996"/>
      <c r="P278" s="742">
        <v>260</v>
      </c>
      <c r="Q278" s="1016" t="str">
        <f t="shared" ca="1" si="33"/>
        <v/>
      </c>
      <c r="R278" s="1027" t="str">
        <f t="shared" ca="1" si="28"/>
        <v/>
      </c>
      <c r="S278" s="1006" t="str">
        <f ca="1"/>
        <v/>
      </c>
      <c r="T278" s="1006" t="str">
        <f ca="1"/>
        <v/>
      </c>
      <c r="U278" s="1006" t="str">
        <f ca="1"/>
        <v/>
      </c>
      <c r="V278" s="1016" t="str">
        <f ca="1"/>
        <v/>
      </c>
      <c r="W278" s="1019" t="str">
        <f ca="1"/>
        <v/>
      </c>
      <c r="X278" s="1006" t="str">
        <f ca="1"/>
        <v/>
      </c>
      <c r="Y278" s="864" t="str">
        <f t="shared" ca="1" si="30"/>
        <v/>
      </c>
      <c r="AA278" s="828">
        <v>260</v>
      </c>
      <c r="AB278" s="750"/>
      <c r="AC278" s="842"/>
      <c r="AD278" s="830"/>
      <c r="AE278" s="839"/>
      <c r="AF278" s="839"/>
      <c r="AG278" s="750"/>
      <c r="AH278" s="840"/>
      <c r="AI278" s="839"/>
      <c r="AJ278" s="841"/>
      <c r="AK278" s="108" t="s">
        <v>12</v>
      </c>
      <c r="AL278" s="847">
        <v>260</v>
      </c>
      <c r="AM278" s="857"/>
      <c r="AN278" s="842"/>
      <c r="AO278" s="839"/>
      <c r="AP278" s="839"/>
      <c r="AQ278" s="839"/>
      <c r="AR278" s="750"/>
      <c r="AS278" s="840"/>
      <c r="AT278" s="839"/>
      <c r="AU278" s="856"/>
      <c r="AV278" s="108" t="s">
        <v>12</v>
      </c>
    </row>
    <row r="279" spans="4:48">
      <c r="D279" s="108" t="s">
        <v>12</v>
      </c>
      <c r="E279" s="742">
        <v>261</v>
      </c>
      <c r="F279" s="1016" t="str">
        <f t="shared" ca="1" si="31"/>
        <v/>
      </c>
      <c r="G279" s="1027" t="str">
        <f t="shared" ca="1" si="32"/>
        <v/>
      </c>
      <c r="H279" s="1043" t="str">
        <f ca="1"/>
        <v/>
      </c>
      <c r="I279" s="1006" t="str">
        <f ca="1"/>
        <v/>
      </c>
      <c r="J279" s="1006" t="str">
        <f ca="1"/>
        <v/>
      </c>
      <c r="K279" s="1016" t="str">
        <f ca="1"/>
        <v/>
      </c>
      <c r="L279" s="1019" t="str">
        <f ca="1"/>
        <v/>
      </c>
      <c r="M279" s="1006" t="str">
        <f ca="1"/>
        <v/>
      </c>
      <c r="N279" s="1060" t="str">
        <f t="shared" ca="1" si="29"/>
        <v/>
      </c>
      <c r="O279" s="996"/>
      <c r="P279" s="742">
        <v>261</v>
      </c>
      <c r="Q279" s="1016" t="str">
        <f t="shared" ca="1" si="33"/>
        <v/>
      </c>
      <c r="R279" s="1027" t="str">
        <f t="shared" ca="1" si="28"/>
        <v/>
      </c>
      <c r="S279" s="1006" t="str">
        <f ca="1"/>
        <v/>
      </c>
      <c r="T279" s="1006" t="str">
        <f ca="1"/>
        <v/>
      </c>
      <c r="U279" s="1006" t="str">
        <f ca="1"/>
        <v/>
      </c>
      <c r="V279" s="1016" t="str">
        <f ca="1"/>
        <v/>
      </c>
      <c r="W279" s="1019" t="str">
        <f ca="1"/>
        <v/>
      </c>
      <c r="X279" s="1006" t="str">
        <f ca="1"/>
        <v/>
      </c>
      <c r="Y279" s="864" t="str">
        <f t="shared" ca="1" si="30"/>
        <v/>
      </c>
      <c r="AA279" s="828">
        <v>261</v>
      </c>
      <c r="AB279" s="750"/>
      <c r="AC279" s="842"/>
      <c r="AD279" s="830"/>
      <c r="AE279" s="839"/>
      <c r="AF279" s="839"/>
      <c r="AG279" s="750"/>
      <c r="AH279" s="840"/>
      <c r="AI279" s="839"/>
      <c r="AJ279" s="841"/>
      <c r="AK279" s="108" t="s">
        <v>12</v>
      </c>
      <c r="AL279" s="847">
        <v>261</v>
      </c>
      <c r="AM279" s="857"/>
      <c r="AN279" s="842"/>
      <c r="AO279" s="839"/>
      <c r="AP279" s="839"/>
      <c r="AQ279" s="839"/>
      <c r="AR279" s="750"/>
      <c r="AS279" s="840"/>
      <c r="AT279" s="839"/>
      <c r="AU279" s="856"/>
      <c r="AV279" s="108" t="s">
        <v>12</v>
      </c>
    </row>
    <row r="280" spans="4:48">
      <c r="D280" s="108" t="s">
        <v>12</v>
      </c>
      <c r="E280" s="742">
        <v>262</v>
      </c>
      <c r="F280" s="1016" t="str">
        <f t="shared" ca="1" si="31"/>
        <v/>
      </c>
      <c r="G280" s="1027" t="str">
        <f t="shared" ca="1" si="32"/>
        <v/>
      </c>
      <c r="H280" s="1043" t="str">
        <f ca="1"/>
        <v/>
      </c>
      <c r="I280" s="1006" t="str">
        <f ca="1"/>
        <v/>
      </c>
      <c r="J280" s="1006" t="str">
        <f ca="1"/>
        <v/>
      </c>
      <c r="K280" s="1016" t="str">
        <f ca="1"/>
        <v/>
      </c>
      <c r="L280" s="1019" t="str">
        <f ca="1"/>
        <v/>
      </c>
      <c r="M280" s="1006" t="str">
        <f ca="1"/>
        <v/>
      </c>
      <c r="N280" s="1060" t="str">
        <f t="shared" ca="1" si="29"/>
        <v/>
      </c>
      <c r="O280" s="996"/>
      <c r="P280" s="742">
        <v>262</v>
      </c>
      <c r="Q280" s="1016" t="str">
        <f t="shared" ca="1" si="33"/>
        <v/>
      </c>
      <c r="R280" s="1027" t="str">
        <f t="shared" ref="R280:R343" ca="1" si="34">IF(T280="","",1)</f>
        <v/>
      </c>
      <c r="S280" s="1006" t="str">
        <f ca="1"/>
        <v/>
      </c>
      <c r="T280" s="1006" t="str">
        <f ca="1"/>
        <v/>
      </c>
      <c r="U280" s="1006" t="str">
        <f ca="1"/>
        <v/>
      </c>
      <c r="V280" s="1016" t="str">
        <f ca="1"/>
        <v/>
      </c>
      <c r="W280" s="1019" t="str">
        <f ca="1"/>
        <v/>
      </c>
      <c r="X280" s="1006" t="str">
        <f ca="1"/>
        <v/>
      </c>
      <c r="Y280" s="864" t="str">
        <f t="shared" ca="1" si="30"/>
        <v/>
      </c>
      <c r="AA280" s="828">
        <v>262</v>
      </c>
      <c r="AB280" s="750"/>
      <c r="AC280" s="842"/>
      <c r="AD280" s="830"/>
      <c r="AE280" s="839"/>
      <c r="AF280" s="839"/>
      <c r="AG280" s="750"/>
      <c r="AH280" s="840"/>
      <c r="AI280" s="839"/>
      <c r="AJ280" s="841"/>
      <c r="AK280" s="108" t="s">
        <v>12</v>
      </c>
      <c r="AL280" s="847">
        <v>262</v>
      </c>
      <c r="AM280" s="857"/>
      <c r="AN280" s="842"/>
      <c r="AO280" s="839"/>
      <c r="AP280" s="839"/>
      <c r="AQ280" s="839"/>
      <c r="AR280" s="750"/>
      <c r="AS280" s="840"/>
      <c r="AT280" s="839"/>
      <c r="AU280" s="856"/>
      <c r="AV280" s="108" t="s">
        <v>12</v>
      </c>
    </row>
    <row r="281" spans="4:48">
      <c r="D281" s="108" t="s">
        <v>12</v>
      </c>
      <c r="E281" s="742">
        <v>263</v>
      </c>
      <c r="F281" s="1016" t="str">
        <f t="shared" ca="1" si="31"/>
        <v/>
      </c>
      <c r="G281" s="1027" t="str">
        <f t="shared" ca="1" si="32"/>
        <v/>
      </c>
      <c r="H281" s="1043" t="str">
        <f ca="1"/>
        <v/>
      </c>
      <c r="I281" s="1006" t="str">
        <f ca="1"/>
        <v/>
      </c>
      <c r="J281" s="1006" t="str">
        <f ca="1"/>
        <v/>
      </c>
      <c r="K281" s="1016" t="str">
        <f ca="1"/>
        <v/>
      </c>
      <c r="L281" s="1019" t="str">
        <f ca="1"/>
        <v/>
      </c>
      <c r="M281" s="1006" t="str">
        <f ca="1"/>
        <v/>
      </c>
      <c r="N281" s="1060" t="str">
        <f t="shared" ca="1" si="29"/>
        <v/>
      </c>
      <c r="O281" s="996"/>
      <c r="P281" s="742">
        <v>263</v>
      </c>
      <c r="Q281" s="1016" t="str">
        <f t="shared" ca="1" si="33"/>
        <v/>
      </c>
      <c r="R281" s="1027" t="str">
        <f t="shared" ca="1" si="34"/>
        <v/>
      </c>
      <c r="S281" s="1006" t="str">
        <f ca="1"/>
        <v/>
      </c>
      <c r="T281" s="1006" t="str">
        <f ca="1"/>
        <v/>
      </c>
      <c r="U281" s="1006" t="str">
        <f ca="1"/>
        <v/>
      </c>
      <c r="V281" s="1016" t="str">
        <f ca="1"/>
        <v/>
      </c>
      <c r="W281" s="1019" t="str">
        <f ca="1"/>
        <v/>
      </c>
      <c r="X281" s="1006" t="str">
        <f ca="1"/>
        <v/>
      </c>
      <c r="Y281" s="864" t="str">
        <f t="shared" ca="1" si="30"/>
        <v/>
      </c>
      <c r="AA281" s="828">
        <v>263</v>
      </c>
      <c r="AB281" s="750"/>
      <c r="AC281" s="842"/>
      <c r="AD281" s="830"/>
      <c r="AE281" s="839"/>
      <c r="AF281" s="839"/>
      <c r="AG281" s="750"/>
      <c r="AH281" s="840"/>
      <c r="AI281" s="839"/>
      <c r="AJ281" s="841"/>
      <c r="AK281" s="108" t="s">
        <v>12</v>
      </c>
      <c r="AL281" s="847">
        <v>263</v>
      </c>
      <c r="AM281" s="857"/>
      <c r="AN281" s="842"/>
      <c r="AO281" s="839"/>
      <c r="AP281" s="839"/>
      <c r="AQ281" s="839"/>
      <c r="AR281" s="750"/>
      <c r="AS281" s="840"/>
      <c r="AT281" s="839"/>
      <c r="AU281" s="856"/>
      <c r="AV281" s="108" t="s">
        <v>12</v>
      </c>
    </row>
    <row r="282" spans="4:48">
      <c r="D282" s="108" t="s">
        <v>12</v>
      </c>
      <c r="E282" s="742">
        <v>264</v>
      </c>
      <c r="F282" s="1016" t="str">
        <f t="shared" ca="1" si="31"/>
        <v/>
      </c>
      <c r="G282" s="1027" t="str">
        <f t="shared" ca="1" si="32"/>
        <v/>
      </c>
      <c r="H282" s="1043" t="str">
        <f ca="1"/>
        <v/>
      </c>
      <c r="I282" s="1006" t="str">
        <f ca="1"/>
        <v/>
      </c>
      <c r="J282" s="1006" t="str">
        <f ca="1"/>
        <v/>
      </c>
      <c r="K282" s="1016" t="str">
        <f ca="1"/>
        <v/>
      </c>
      <c r="L282" s="1019" t="str">
        <f ca="1"/>
        <v/>
      </c>
      <c r="M282" s="1006" t="str">
        <f ca="1"/>
        <v/>
      </c>
      <c r="N282" s="1060" t="str">
        <f t="shared" ca="1" si="29"/>
        <v/>
      </c>
      <c r="O282" s="996"/>
      <c r="P282" s="742">
        <v>264</v>
      </c>
      <c r="Q282" s="1016" t="str">
        <f t="shared" ca="1" si="33"/>
        <v/>
      </c>
      <c r="R282" s="1027" t="str">
        <f t="shared" ca="1" si="34"/>
        <v/>
      </c>
      <c r="S282" s="1006" t="str">
        <f ca="1"/>
        <v/>
      </c>
      <c r="T282" s="1006" t="str">
        <f ca="1"/>
        <v/>
      </c>
      <c r="U282" s="1006" t="str">
        <f ca="1"/>
        <v/>
      </c>
      <c r="V282" s="1016" t="str">
        <f ca="1"/>
        <v/>
      </c>
      <c r="W282" s="1019" t="str">
        <f ca="1"/>
        <v/>
      </c>
      <c r="X282" s="1006" t="str">
        <f ca="1"/>
        <v/>
      </c>
      <c r="Y282" s="864" t="str">
        <f t="shared" ca="1" si="30"/>
        <v/>
      </c>
      <c r="AA282" s="828">
        <v>264</v>
      </c>
      <c r="AB282" s="750"/>
      <c r="AC282" s="842"/>
      <c r="AD282" s="830"/>
      <c r="AE282" s="839"/>
      <c r="AF282" s="839"/>
      <c r="AG282" s="750"/>
      <c r="AH282" s="840"/>
      <c r="AI282" s="839"/>
      <c r="AJ282" s="841"/>
      <c r="AK282" s="108" t="s">
        <v>12</v>
      </c>
      <c r="AL282" s="847">
        <v>264</v>
      </c>
      <c r="AM282" s="857"/>
      <c r="AN282" s="842"/>
      <c r="AO282" s="839"/>
      <c r="AP282" s="839"/>
      <c r="AQ282" s="839"/>
      <c r="AR282" s="750"/>
      <c r="AS282" s="840"/>
      <c r="AT282" s="839"/>
      <c r="AU282" s="856"/>
      <c r="AV282" s="108" t="s">
        <v>12</v>
      </c>
    </row>
    <row r="283" spans="4:48">
      <c r="D283" s="108" t="s">
        <v>12</v>
      </c>
      <c r="E283" s="742">
        <v>265</v>
      </c>
      <c r="F283" s="1016" t="str">
        <f t="shared" ca="1" si="31"/>
        <v/>
      </c>
      <c r="G283" s="1027" t="str">
        <f t="shared" ca="1" si="32"/>
        <v/>
      </c>
      <c r="H283" s="1043" t="str">
        <f ca="1"/>
        <v/>
      </c>
      <c r="I283" s="1006" t="str">
        <f ca="1"/>
        <v/>
      </c>
      <c r="J283" s="1006" t="str">
        <f ca="1"/>
        <v/>
      </c>
      <c r="K283" s="1016" t="str">
        <f ca="1"/>
        <v/>
      </c>
      <c r="L283" s="1019" t="str">
        <f ca="1"/>
        <v/>
      </c>
      <c r="M283" s="1006" t="str">
        <f ca="1"/>
        <v/>
      </c>
      <c r="N283" s="1060" t="str">
        <f t="shared" ca="1" si="29"/>
        <v/>
      </c>
      <c r="O283" s="996"/>
      <c r="P283" s="742">
        <v>265</v>
      </c>
      <c r="Q283" s="1016" t="str">
        <f t="shared" ca="1" si="33"/>
        <v/>
      </c>
      <c r="R283" s="1027" t="str">
        <f t="shared" ca="1" si="34"/>
        <v/>
      </c>
      <c r="S283" s="1006" t="str">
        <f ca="1"/>
        <v/>
      </c>
      <c r="T283" s="1006" t="str">
        <f ca="1"/>
        <v/>
      </c>
      <c r="U283" s="1006" t="str">
        <f ca="1"/>
        <v/>
      </c>
      <c r="V283" s="1016" t="str">
        <f ca="1"/>
        <v/>
      </c>
      <c r="W283" s="1019" t="str">
        <f ca="1"/>
        <v/>
      </c>
      <c r="X283" s="1006" t="str">
        <f ca="1"/>
        <v/>
      </c>
      <c r="Y283" s="864" t="str">
        <f t="shared" ca="1" si="30"/>
        <v/>
      </c>
      <c r="AA283" s="828">
        <v>265</v>
      </c>
      <c r="AB283" s="750"/>
      <c r="AC283" s="842"/>
      <c r="AD283" s="830"/>
      <c r="AE283" s="839"/>
      <c r="AF283" s="839"/>
      <c r="AG283" s="750"/>
      <c r="AH283" s="840"/>
      <c r="AI283" s="839"/>
      <c r="AJ283" s="841"/>
      <c r="AK283" s="108" t="s">
        <v>12</v>
      </c>
      <c r="AL283" s="847">
        <v>265</v>
      </c>
      <c r="AM283" s="857"/>
      <c r="AN283" s="842"/>
      <c r="AO283" s="839"/>
      <c r="AP283" s="839"/>
      <c r="AQ283" s="839"/>
      <c r="AR283" s="750"/>
      <c r="AS283" s="840"/>
      <c r="AT283" s="839"/>
      <c r="AU283" s="856"/>
      <c r="AV283" s="108" t="s">
        <v>12</v>
      </c>
    </row>
    <row r="284" spans="4:48">
      <c r="D284" s="108" t="s">
        <v>12</v>
      </c>
      <c r="E284" s="742">
        <v>266</v>
      </c>
      <c r="F284" s="1016" t="str">
        <f t="shared" ca="1" si="31"/>
        <v/>
      </c>
      <c r="G284" s="1027" t="str">
        <f t="shared" ca="1" si="32"/>
        <v/>
      </c>
      <c r="H284" s="1043" t="str">
        <f ca="1"/>
        <v/>
      </c>
      <c r="I284" s="1006" t="str">
        <f ca="1"/>
        <v/>
      </c>
      <c r="J284" s="1006" t="str">
        <f ca="1"/>
        <v/>
      </c>
      <c r="K284" s="1016" t="str">
        <f ca="1"/>
        <v/>
      </c>
      <c r="L284" s="1019" t="str">
        <f ca="1"/>
        <v/>
      </c>
      <c r="M284" s="1006" t="str">
        <f ca="1"/>
        <v/>
      </c>
      <c r="N284" s="1060" t="str">
        <f t="shared" ca="1" si="29"/>
        <v/>
      </c>
      <c r="O284" s="996"/>
      <c r="P284" s="742">
        <v>266</v>
      </c>
      <c r="Q284" s="1016" t="str">
        <f t="shared" ca="1" si="33"/>
        <v/>
      </c>
      <c r="R284" s="1027" t="str">
        <f t="shared" ca="1" si="34"/>
        <v/>
      </c>
      <c r="S284" s="1006" t="str">
        <f ca="1"/>
        <v/>
      </c>
      <c r="T284" s="1006" t="str">
        <f ca="1"/>
        <v/>
      </c>
      <c r="U284" s="1006" t="str">
        <f ca="1"/>
        <v/>
      </c>
      <c r="V284" s="1016" t="str">
        <f ca="1"/>
        <v/>
      </c>
      <c r="W284" s="1019" t="str">
        <f ca="1"/>
        <v/>
      </c>
      <c r="X284" s="1006" t="str">
        <f ca="1"/>
        <v/>
      </c>
      <c r="Y284" s="864" t="str">
        <f t="shared" ca="1" si="30"/>
        <v/>
      </c>
      <c r="AA284" s="828">
        <v>266</v>
      </c>
      <c r="AB284" s="750"/>
      <c r="AC284" s="842"/>
      <c r="AD284" s="830"/>
      <c r="AE284" s="839"/>
      <c r="AF284" s="839"/>
      <c r="AG284" s="750"/>
      <c r="AH284" s="840"/>
      <c r="AI284" s="839"/>
      <c r="AJ284" s="841"/>
      <c r="AK284" s="108" t="s">
        <v>12</v>
      </c>
      <c r="AL284" s="847">
        <v>266</v>
      </c>
      <c r="AM284" s="857"/>
      <c r="AN284" s="842"/>
      <c r="AO284" s="839"/>
      <c r="AP284" s="839"/>
      <c r="AQ284" s="839"/>
      <c r="AR284" s="750"/>
      <c r="AS284" s="840"/>
      <c r="AT284" s="839"/>
      <c r="AU284" s="856"/>
      <c r="AV284" s="108" t="s">
        <v>12</v>
      </c>
    </row>
    <row r="285" spans="4:48">
      <c r="D285" s="108" t="s">
        <v>12</v>
      </c>
      <c r="E285" s="742">
        <v>267</v>
      </c>
      <c r="F285" s="1016" t="str">
        <f t="shared" ca="1" si="31"/>
        <v/>
      </c>
      <c r="G285" s="1027" t="str">
        <f t="shared" ca="1" si="32"/>
        <v/>
      </c>
      <c r="H285" s="1043" t="str">
        <f ca="1"/>
        <v/>
      </c>
      <c r="I285" s="1006" t="str">
        <f ca="1"/>
        <v/>
      </c>
      <c r="J285" s="1006" t="str">
        <f ca="1"/>
        <v/>
      </c>
      <c r="K285" s="1016" t="str">
        <f ca="1"/>
        <v/>
      </c>
      <c r="L285" s="1019" t="str">
        <f ca="1"/>
        <v/>
      </c>
      <c r="M285" s="1006" t="str">
        <f ca="1"/>
        <v/>
      </c>
      <c r="N285" s="1060" t="str">
        <f t="shared" ca="1" si="29"/>
        <v/>
      </c>
      <c r="O285" s="996"/>
      <c r="P285" s="742">
        <v>267</v>
      </c>
      <c r="Q285" s="1016" t="str">
        <f t="shared" ca="1" si="33"/>
        <v/>
      </c>
      <c r="R285" s="1027" t="str">
        <f t="shared" ca="1" si="34"/>
        <v/>
      </c>
      <c r="S285" s="1006" t="str">
        <f ca="1"/>
        <v/>
      </c>
      <c r="T285" s="1006" t="str">
        <f ca="1"/>
        <v/>
      </c>
      <c r="U285" s="1006" t="str">
        <f ca="1"/>
        <v/>
      </c>
      <c r="V285" s="1016" t="str">
        <f ca="1"/>
        <v/>
      </c>
      <c r="W285" s="1019" t="str">
        <f ca="1"/>
        <v/>
      </c>
      <c r="X285" s="1006" t="str">
        <f ca="1"/>
        <v/>
      </c>
      <c r="Y285" s="864" t="str">
        <f t="shared" ca="1" si="30"/>
        <v/>
      </c>
      <c r="AA285" s="828">
        <v>267</v>
      </c>
      <c r="AB285" s="750"/>
      <c r="AC285" s="842"/>
      <c r="AD285" s="830"/>
      <c r="AE285" s="839"/>
      <c r="AF285" s="839"/>
      <c r="AG285" s="750"/>
      <c r="AH285" s="840"/>
      <c r="AI285" s="839"/>
      <c r="AJ285" s="841"/>
      <c r="AK285" s="108" t="s">
        <v>12</v>
      </c>
      <c r="AL285" s="847">
        <v>267</v>
      </c>
      <c r="AM285" s="857"/>
      <c r="AN285" s="842"/>
      <c r="AO285" s="839"/>
      <c r="AP285" s="839"/>
      <c r="AQ285" s="839"/>
      <c r="AR285" s="750"/>
      <c r="AS285" s="840"/>
      <c r="AT285" s="839"/>
      <c r="AU285" s="856"/>
      <c r="AV285" s="108" t="s">
        <v>12</v>
      </c>
    </row>
    <row r="286" spans="4:48">
      <c r="D286" s="108" t="s">
        <v>12</v>
      </c>
      <c r="E286" s="742">
        <v>268</v>
      </c>
      <c r="F286" s="1016" t="str">
        <f t="shared" ca="1" si="31"/>
        <v/>
      </c>
      <c r="G286" s="1027" t="str">
        <f t="shared" ca="1" si="32"/>
        <v/>
      </c>
      <c r="H286" s="1043" t="str">
        <f ca="1"/>
        <v/>
      </c>
      <c r="I286" s="1006" t="str">
        <f ca="1"/>
        <v/>
      </c>
      <c r="J286" s="1006" t="str">
        <f ca="1"/>
        <v/>
      </c>
      <c r="K286" s="1016" t="str">
        <f ca="1"/>
        <v/>
      </c>
      <c r="L286" s="1019" t="str">
        <f ca="1"/>
        <v/>
      </c>
      <c r="M286" s="1006" t="str">
        <f ca="1"/>
        <v/>
      </c>
      <c r="N286" s="1060" t="str">
        <f t="shared" ca="1" si="29"/>
        <v/>
      </c>
      <c r="O286" s="996"/>
      <c r="P286" s="742">
        <v>268</v>
      </c>
      <c r="Q286" s="1016" t="str">
        <f t="shared" ca="1" si="33"/>
        <v/>
      </c>
      <c r="R286" s="1027" t="str">
        <f t="shared" ca="1" si="34"/>
        <v/>
      </c>
      <c r="S286" s="1006" t="str">
        <f ca="1"/>
        <v/>
      </c>
      <c r="T286" s="1006" t="str">
        <f ca="1"/>
        <v/>
      </c>
      <c r="U286" s="1006" t="str">
        <f ca="1"/>
        <v/>
      </c>
      <c r="V286" s="1016" t="str">
        <f ca="1"/>
        <v/>
      </c>
      <c r="W286" s="1019" t="str">
        <f ca="1"/>
        <v/>
      </c>
      <c r="X286" s="1006" t="str">
        <f ca="1"/>
        <v/>
      </c>
      <c r="Y286" s="864" t="str">
        <f t="shared" ca="1" si="30"/>
        <v/>
      </c>
      <c r="AA286" s="828">
        <v>268</v>
      </c>
      <c r="AB286" s="750"/>
      <c r="AC286" s="842"/>
      <c r="AD286" s="830"/>
      <c r="AE286" s="839"/>
      <c r="AF286" s="839"/>
      <c r="AG286" s="750"/>
      <c r="AH286" s="840"/>
      <c r="AI286" s="839"/>
      <c r="AJ286" s="841"/>
      <c r="AK286" s="108" t="s">
        <v>12</v>
      </c>
      <c r="AL286" s="847">
        <v>268</v>
      </c>
      <c r="AM286" s="857"/>
      <c r="AN286" s="842"/>
      <c r="AO286" s="839"/>
      <c r="AP286" s="839"/>
      <c r="AQ286" s="839"/>
      <c r="AR286" s="750"/>
      <c r="AS286" s="840"/>
      <c r="AT286" s="839"/>
      <c r="AU286" s="856"/>
      <c r="AV286" s="108" t="s">
        <v>12</v>
      </c>
    </row>
    <row r="287" spans="4:48">
      <c r="D287" s="108" t="s">
        <v>12</v>
      </c>
      <c r="E287" s="742">
        <v>269</v>
      </c>
      <c r="F287" s="1016" t="str">
        <f t="shared" ca="1" si="31"/>
        <v/>
      </c>
      <c r="G287" s="1027" t="str">
        <f t="shared" ca="1" si="32"/>
        <v/>
      </c>
      <c r="H287" s="1043" t="str">
        <f ca="1"/>
        <v/>
      </c>
      <c r="I287" s="1006" t="str">
        <f ca="1"/>
        <v/>
      </c>
      <c r="J287" s="1006" t="str">
        <f ca="1"/>
        <v/>
      </c>
      <c r="K287" s="1016" t="str">
        <f ca="1"/>
        <v/>
      </c>
      <c r="L287" s="1019" t="str">
        <f ca="1"/>
        <v/>
      </c>
      <c r="M287" s="1006" t="str">
        <f ca="1"/>
        <v/>
      </c>
      <c r="N287" s="1060" t="str">
        <f t="shared" ca="1" si="29"/>
        <v/>
      </c>
      <c r="O287" s="996"/>
      <c r="P287" s="742">
        <v>269</v>
      </c>
      <c r="Q287" s="1016" t="str">
        <f t="shared" ca="1" si="33"/>
        <v/>
      </c>
      <c r="R287" s="1027" t="str">
        <f t="shared" ca="1" si="34"/>
        <v/>
      </c>
      <c r="S287" s="1006" t="str">
        <f ca="1"/>
        <v/>
      </c>
      <c r="T287" s="1006" t="str">
        <f ca="1"/>
        <v/>
      </c>
      <c r="U287" s="1006" t="str">
        <f ca="1"/>
        <v/>
      </c>
      <c r="V287" s="1016" t="str">
        <f ca="1"/>
        <v/>
      </c>
      <c r="W287" s="1019" t="str">
        <f ca="1"/>
        <v/>
      </c>
      <c r="X287" s="1006" t="str">
        <f ca="1"/>
        <v/>
      </c>
      <c r="Y287" s="864" t="str">
        <f t="shared" ca="1" si="30"/>
        <v/>
      </c>
      <c r="AA287" s="828">
        <v>269</v>
      </c>
      <c r="AB287" s="750"/>
      <c r="AC287" s="842"/>
      <c r="AD287" s="830"/>
      <c r="AE287" s="839"/>
      <c r="AF287" s="839"/>
      <c r="AG287" s="750"/>
      <c r="AH287" s="840"/>
      <c r="AI287" s="839"/>
      <c r="AJ287" s="841"/>
      <c r="AK287" s="108" t="s">
        <v>12</v>
      </c>
      <c r="AL287" s="847">
        <v>269</v>
      </c>
      <c r="AM287" s="857"/>
      <c r="AN287" s="842"/>
      <c r="AO287" s="839"/>
      <c r="AP287" s="839"/>
      <c r="AQ287" s="839"/>
      <c r="AR287" s="750"/>
      <c r="AS287" s="840"/>
      <c r="AT287" s="839"/>
      <c r="AU287" s="856"/>
      <c r="AV287" s="108" t="s">
        <v>12</v>
      </c>
    </row>
    <row r="288" spans="4:48">
      <c r="D288" s="108" t="s">
        <v>12</v>
      </c>
      <c r="E288" s="742">
        <v>270</v>
      </c>
      <c r="F288" s="1016" t="str">
        <f t="shared" ca="1" si="31"/>
        <v/>
      </c>
      <c r="G288" s="1027" t="str">
        <f t="shared" ca="1" si="32"/>
        <v/>
      </c>
      <c r="H288" s="1043" t="str">
        <f ca="1"/>
        <v/>
      </c>
      <c r="I288" s="1006" t="str">
        <f ca="1"/>
        <v/>
      </c>
      <c r="J288" s="1006" t="str">
        <f ca="1"/>
        <v/>
      </c>
      <c r="K288" s="1016" t="str">
        <f ca="1"/>
        <v/>
      </c>
      <c r="L288" s="1019" t="str">
        <f ca="1"/>
        <v/>
      </c>
      <c r="M288" s="1006" t="str">
        <f ca="1"/>
        <v/>
      </c>
      <c r="N288" s="1060" t="str">
        <f t="shared" ca="1" si="29"/>
        <v/>
      </c>
      <c r="O288" s="996"/>
      <c r="P288" s="742">
        <v>270</v>
      </c>
      <c r="Q288" s="1016" t="str">
        <f t="shared" ca="1" si="33"/>
        <v/>
      </c>
      <c r="R288" s="1027" t="str">
        <f t="shared" ca="1" si="34"/>
        <v/>
      </c>
      <c r="S288" s="1006" t="str">
        <f ca="1"/>
        <v/>
      </c>
      <c r="T288" s="1006" t="str">
        <f ca="1"/>
        <v/>
      </c>
      <c r="U288" s="1006" t="str">
        <f ca="1"/>
        <v/>
      </c>
      <c r="V288" s="1016" t="str">
        <f ca="1"/>
        <v/>
      </c>
      <c r="W288" s="1019" t="str">
        <f ca="1"/>
        <v/>
      </c>
      <c r="X288" s="1006" t="str">
        <f ca="1"/>
        <v/>
      </c>
      <c r="Y288" s="864" t="str">
        <f t="shared" ca="1" si="30"/>
        <v/>
      </c>
      <c r="AA288" s="828">
        <v>270</v>
      </c>
      <c r="AB288" s="750"/>
      <c r="AC288" s="842"/>
      <c r="AD288" s="830"/>
      <c r="AE288" s="839"/>
      <c r="AF288" s="839"/>
      <c r="AG288" s="750"/>
      <c r="AH288" s="840"/>
      <c r="AI288" s="839"/>
      <c r="AJ288" s="841"/>
      <c r="AK288" s="108" t="s">
        <v>12</v>
      </c>
      <c r="AL288" s="847">
        <v>270</v>
      </c>
      <c r="AM288" s="857"/>
      <c r="AN288" s="842"/>
      <c r="AO288" s="839"/>
      <c r="AP288" s="839"/>
      <c r="AQ288" s="839"/>
      <c r="AR288" s="750"/>
      <c r="AS288" s="840"/>
      <c r="AT288" s="839"/>
      <c r="AU288" s="856"/>
      <c r="AV288" s="108" t="s">
        <v>12</v>
      </c>
    </row>
    <row r="289" spans="4:48">
      <c r="D289" s="108" t="s">
        <v>12</v>
      </c>
      <c r="E289" s="742">
        <v>271</v>
      </c>
      <c r="F289" s="1016" t="str">
        <f t="shared" ca="1" si="31"/>
        <v/>
      </c>
      <c r="G289" s="1027" t="str">
        <f t="shared" ca="1" si="32"/>
        <v/>
      </c>
      <c r="H289" s="1043" t="str">
        <f ca="1"/>
        <v/>
      </c>
      <c r="I289" s="1006" t="str">
        <f ca="1"/>
        <v/>
      </c>
      <c r="J289" s="1006" t="str">
        <f ca="1"/>
        <v/>
      </c>
      <c r="K289" s="1016" t="str">
        <f ca="1"/>
        <v/>
      </c>
      <c r="L289" s="1019" t="str">
        <f ca="1"/>
        <v/>
      </c>
      <c r="M289" s="1006" t="str">
        <f ca="1"/>
        <v/>
      </c>
      <c r="N289" s="1060" t="str">
        <f t="shared" ca="1" si="29"/>
        <v/>
      </c>
      <c r="O289" s="996"/>
      <c r="P289" s="742">
        <v>271</v>
      </c>
      <c r="Q289" s="1016" t="str">
        <f t="shared" ca="1" si="33"/>
        <v/>
      </c>
      <c r="R289" s="1027" t="str">
        <f t="shared" ca="1" si="34"/>
        <v/>
      </c>
      <c r="S289" s="1006" t="str">
        <f ca="1"/>
        <v/>
      </c>
      <c r="T289" s="1006" t="str">
        <f ca="1"/>
        <v/>
      </c>
      <c r="U289" s="1006" t="str">
        <f ca="1"/>
        <v/>
      </c>
      <c r="V289" s="1016" t="str">
        <f ca="1"/>
        <v/>
      </c>
      <c r="W289" s="1019" t="str">
        <f ca="1"/>
        <v/>
      </c>
      <c r="X289" s="1006" t="str">
        <f ca="1"/>
        <v/>
      </c>
      <c r="Y289" s="864" t="str">
        <f t="shared" ca="1" si="30"/>
        <v/>
      </c>
      <c r="AA289" s="828">
        <v>271</v>
      </c>
      <c r="AB289" s="750"/>
      <c r="AC289" s="842"/>
      <c r="AD289" s="830"/>
      <c r="AE289" s="839"/>
      <c r="AF289" s="839"/>
      <c r="AG289" s="750"/>
      <c r="AH289" s="840"/>
      <c r="AI289" s="839"/>
      <c r="AJ289" s="841"/>
      <c r="AK289" s="108" t="s">
        <v>12</v>
      </c>
      <c r="AL289" s="847">
        <v>271</v>
      </c>
      <c r="AM289" s="857"/>
      <c r="AN289" s="842"/>
      <c r="AO289" s="839"/>
      <c r="AP289" s="839"/>
      <c r="AQ289" s="839"/>
      <c r="AR289" s="750"/>
      <c r="AS289" s="840"/>
      <c r="AT289" s="839"/>
      <c r="AU289" s="856"/>
      <c r="AV289" s="108" t="s">
        <v>12</v>
      </c>
    </row>
    <row r="290" spans="4:48">
      <c r="D290" s="108" t="s">
        <v>12</v>
      </c>
      <c r="E290" s="742">
        <v>272</v>
      </c>
      <c r="F290" s="1016" t="str">
        <f t="shared" ca="1" si="31"/>
        <v/>
      </c>
      <c r="G290" s="1027" t="str">
        <f t="shared" ca="1" si="32"/>
        <v/>
      </c>
      <c r="H290" s="1043" t="str">
        <f ca="1"/>
        <v/>
      </c>
      <c r="I290" s="1006" t="str">
        <f ca="1"/>
        <v/>
      </c>
      <c r="J290" s="1006" t="str">
        <f ca="1"/>
        <v/>
      </c>
      <c r="K290" s="1016" t="str">
        <f ca="1"/>
        <v/>
      </c>
      <c r="L290" s="1019" t="str">
        <f ca="1"/>
        <v/>
      </c>
      <c r="M290" s="1006" t="str">
        <f ca="1"/>
        <v/>
      </c>
      <c r="N290" s="1060" t="str">
        <f t="shared" ca="1" si="29"/>
        <v/>
      </c>
      <c r="O290" s="996"/>
      <c r="P290" s="742">
        <v>272</v>
      </c>
      <c r="Q290" s="1016" t="str">
        <f t="shared" ca="1" si="33"/>
        <v/>
      </c>
      <c r="R290" s="1027" t="str">
        <f t="shared" ca="1" si="34"/>
        <v/>
      </c>
      <c r="S290" s="1006" t="str">
        <f ca="1"/>
        <v/>
      </c>
      <c r="T290" s="1006" t="str">
        <f ca="1"/>
        <v/>
      </c>
      <c r="U290" s="1006" t="str">
        <f ca="1"/>
        <v/>
      </c>
      <c r="V290" s="1016" t="str">
        <f ca="1"/>
        <v/>
      </c>
      <c r="W290" s="1019" t="str">
        <f ca="1"/>
        <v/>
      </c>
      <c r="X290" s="1006" t="str">
        <f ca="1"/>
        <v/>
      </c>
      <c r="Y290" s="864" t="str">
        <f t="shared" ca="1" si="30"/>
        <v/>
      </c>
      <c r="AA290" s="828">
        <v>272</v>
      </c>
      <c r="AB290" s="750"/>
      <c r="AC290" s="842"/>
      <c r="AD290" s="830"/>
      <c r="AE290" s="839"/>
      <c r="AF290" s="839"/>
      <c r="AG290" s="750"/>
      <c r="AH290" s="840"/>
      <c r="AI290" s="839"/>
      <c r="AJ290" s="841"/>
      <c r="AK290" s="108" t="s">
        <v>12</v>
      </c>
      <c r="AL290" s="847">
        <v>272</v>
      </c>
      <c r="AM290" s="857"/>
      <c r="AN290" s="842"/>
      <c r="AO290" s="839"/>
      <c r="AP290" s="839"/>
      <c r="AQ290" s="839"/>
      <c r="AR290" s="750"/>
      <c r="AS290" s="840"/>
      <c r="AT290" s="839"/>
      <c r="AU290" s="856"/>
      <c r="AV290" s="108" t="s">
        <v>12</v>
      </c>
    </row>
    <row r="291" spans="4:48">
      <c r="D291" s="108" t="s">
        <v>12</v>
      </c>
      <c r="E291" s="742">
        <v>273</v>
      </c>
      <c r="F291" s="1016" t="str">
        <f t="shared" ca="1" si="31"/>
        <v/>
      </c>
      <c r="G291" s="1027" t="str">
        <f t="shared" ca="1" si="32"/>
        <v/>
      </c>
      <c r="H291" s="1043" t="str">
        <f ca="1"/>
        <v/>
      </c>
      <c r="I291" s="1006" t="str">
        <f ca="1"/>
        <v/>
      </c>
      <c r="J291" s="1006" t="str">
        <f ca="1"/>
        <v/>
      </c>
      <c r="K291" s="1016" t="str">
        <f ca="1"/>
        <v/>
      </c>
      <c r="L291" s="1019" t="str">
        <f ca="1"/>
        <v/>
      </c>
      <c r="M291" s="1006" t="str">
        <f ca="1"/>
        <v/>
      </c>
      <c r="N291" s="1060" t="str">
        <f t="shared" ca="1" si="29"/>
        <v/>
      </c>
      <c r="O291" s="996"/>
      <c r="P291" s="742">
        <v>273</v>
      </c>
      <c r="Q291" s="1016" t="str">
        <f t="shared" ca="1" si="33"/>
        <v/>
      </c>
      <c r="R291" s="1027" t="str">
        <f t="shared" ca="1" si="34"/>
        <v/>
      </c>
      <c r="S291" s="1006" t="str">
        <f ca="1"/>
        <v/>
      </c>
      <c r="T291" s="1006" t="str">
        <f ca="1"/>
        <v/>
      </c>
      <c r="U291" s="1006" t="str">
        <f ca="1"/>
        <v/>
      </c>
      <c r="V291" s="1016" t="str">
        <f ca="1"/>
        <v/>
      </c>
      <c r="W291" s="1019" t="str">
        <f ca="1"/>
        <v/>
      </c>
      <c r="X291" s="1006" t="str">
        <f ca="1"/>
        <v/>
      </c>
      <c r="Y291" s="864" t="str">
        <f t="shared" ca="1" si="30"/>
        <v/>
      </c>
      <c r="AA291" s="828">
        <v>273</v>
      </c>
      <c r="AB291" s="750"/>
      <c r="AC291" s="842"/>
      <c r="AD291" s="830"/>
      <c r="AE291" s="839"/>
      <c r="AF291" s="839"/>
      <c r="AG291" s="750"/>
      <c r="AH291" s="840"/>
      <c r="AI291" s="839"/>
      <c r="AJ291" s="841"/>
      <c r="AK291" s="108" t="s">
        <v>12</v>
      </c>
      <c r="AL291" s="847">
        <v>273</v>
      </c>
      <c r="AM291" s="857"/>
      <c r="AN291" s="842"/>
      <c r="AO291" s="839"/>
      <c r="AP291" s="839"/>
      <c r="AQ291" s="839"/>
      <c r="AR291" s="750"/>
      <c r="AS291" s="840"/>
      <c r="AT291" s="839"/>
      <c r="AU291" s="856"/>
      <c r="AV291" s="108" t="s">
        <v>12</v>
      </c>
    </row>
    <row r="292" spans="4:48">
      <c r="D292" s="108" t="s">
        <v>12</v>
      </c>
      <c r="E292" s="742">
        <v>274</v>
      </c>
      <c r="F292" s="1016" t="str">
        <f t="shared" ca="1" si="31"/>
        <v/>
      </c>
      <c r="G292" s="1027" t="str">
        <f t="shared" ca="1" si="32"/>
        <v/>
      </c>
      <c r="H292" s="1043" t="str">
        <f ca="1"/>
        <v/>
      </c>
      <c r="I292" s="1006" t="str">
        <f ca="1"/>
        <v/>
      </c>
      <c r="J292" s="1006" t="str">
        <f ca="1"/>
        <v/>
      </c>
      <c r="K292" s="1016" t="str">
        <f ca="1"/>
        <v/>
      </c>
      <c r="L292" s="1019" t="str">
        <f ca="1"/>
        <v/>
      </c>
      <c r="M292" s="1006" t="str">
        <f ca="1"/>
        <v/>
      </c>
      <c r="N292" s="1060" t="str">
        <f t="shared" ca="1" si="29"/>
        <v/>
      </c>
      <c r="O292" s="996"/>
      <c r="P292" s="742">
        <v>274</v>
      </c>
      <c r="Q292" s="1016" t="str">
        <f t="shared" ca="1" si="33"/>
        <v/>
      </c>
      <c r="R292" s="1027" t="str">
        <f t="shared" ca="1" si="34"/>
        <v/>
      </c>
      <c r="S292" s="1006" t="str">
        <f ca="1"/>
        <v/>
      </c>
      <c r="T292" s="1006" t="str">
        <f ca="1"/>
        <v/>
      </c>
      <c r="U292" s="1006" t="str">
        <f ca="1"/>
        <v/>
      </c>
      <c r="V292" s="1016" t="str">
        <f ca="1"/>
        <v/>
      </c>
      <c r="W292" s="1019" t="str">
        <f ca="1"/>
        <v/>
      </c>
      <c r="X292" s="1006" t="str">
        <f ca="1"/>
        <v/>
      </c>
      <c r="Y292" s="864" t="str">
        <f t="shared" ca="1" si="30"/>
        <v/>
      </c>
      <c r="AA292" s="828">
        <v>274</v>
      </c>
      <c r="AB292" s="750"/>
      <c r="AC292" s="842"/>
      <c r="AD292" s="830"/>
      <c r="AE292" s="839"/>
      <c r="AF292" s="839"/>
      <c r="AG292" s="750"/>
      <c r="AH292" s="840"/>
      <c r="AI292" s="839"/>
      <c r="AJ292" s="841"/>
      <c r="AK292" s="108" t="s">
        <v>12</v>
      </c>
      <c r="AL292" s="847">
        <v>274</v>
      </c>
      <c r="AM292" s="857"/>
      <c r="AN292" s="842"/>
      <c r="AO292" s="839"/>
      <c r="AP292" s="839"/>
      <c r="AQ292" s="839"/>
      <c r="AR292" s="750"/>
      <c r="AS292" s="840"/>
      <c r="AT292" s="839"/>
      <c r="AU292" s="856"/>
      <c r="AV292" s="108" t="s">
        <v>12</v>
      </c>
    </row>
    <row r="293" spans="4:48">
      <c r="D293" s="108" t="s">
        <v>12</v>
      </c>
      <c r="E293" s="742">
        <v>275</v>
      </c>
      <c r="F293" s="1016" t="str">
        <f t="shared" ca="1" si="31"/>
        <v/>
      </c>
      <c r="G293" s="1027" t="str">
        <f t="shared" ca="1" si="32"/>
        <v/>
      </c>
      <c r="H293" s="1043" t="str">
        <f ca="1"/>
        <v/>
      </c>
      <c r="I293" s="1006" t="str">
        <f ca="1"/>
        <v/>
      </c>
      <c r="J293" s="1006" t="str">
        <f ca="1"/>
        <v/>
      </c>
      <c r="K293" s="1016" t="str">
        <f ca="1"/>
        <v/>
      </c>
      <c r="L293" s="1019" t="str">
        <f ca="1"/>
        <v/>
      </c>
      <c r="M293" s="1006" t="str">
        <f ca="1"/>
        <v/>
      </c>
      <c r="N293" s="1060" t="str">
        <f t="shared" ca="1" si="29"/>
        <v/>
      </c>
      <c r="O293" s="996"/>
      <c r="P293" s="742">
        <v>275</v>
      </c>
      <c r="Q293" s="1016" t="str">
        <f t="shared" ca="1" si="33"/>
        <v/>
      </c>
      <c r="R293" s="1027" t="str">
        <f t="shared" ca="1" si="34"/>
        <v/>
      </c>
      <c r="S293" s="1006" t="str">
        <f ca="1"/>
        <v/>
      </c>
      <c r="T293" s="1006" t="str">
        <f ca="1"/>
        <v/>
      </c>
      <c r="U293" s="1006" t="str">
        <f ca="1"/>
        <v/>
      </c>
      <c r="V293" s="1016" t="str">
        <f ca="1"/>
        <v/>
      </c>
      <c r="W293" s="1019" t="str">
        <f ca="1"/>
        <v/>
      </c>
      <c r="X293" s="1006" t="str">
        <f ca="1"/>
        <v/>
      </c>
      <c r="Y293" s="864" t="str">
        <f t="shared" ca="1" si="30"/>
        <v/>
      </c>
      <c r="AA293" s="828">
        <v>275</v>
      </c>
      <c r="AB293" s="750"/>
      <c r="AC293" s="842"/>
      <c r="AD293" s="830"/>
      <c r="AE293" s="839"/>
      <c r="AF293" s="839"/>
      <c r="AG293" s="750"/>
      <c r="AH293" s="840"/>
      <c r="AI293" s="839"/>
      <c r="AJ293" s="841"/>
      <c r="AK293" s="108" t="s">
        <v>12</v>
      </c>
      <c r="AL293" s="847">
        <v>275</v>
      </c>
      <c r="AM293" s="857"/>
      <c r="AN293" s="842"/>
      <c r="AO293" s="839"/>
      <c r="AP293" s="839"/>
      <c r="AQ293" s="839"/>
      <c r="AR293" s="750"/>
      <c r="AS293" s="840"/>
      <c r="AT293" s="839"/>
      <c r="AU293" s="856"/>
      <c r="AV293" s="108" t="s">
        <v>12</v>
      </c>
    </row>
    <row r="294" spans="4:48">
      <c r="D294" s="108" t="s">
        <v>12</v>
      </c>
      <c r="E294" s="742">
        <v>276</v>
      </c>
      <c r="F294" s="1016" t="str">
        <f t="shared" ca="1" si="31"/>
        <v/>
      </c>
      <c r="G294" s="1027" t="str">
        <f t="shared" ca="1" si="32"/>
        <v/>
      </c>
      <c r="H294" s="1043" t="str">
        <f ca="1"/>
        <v/>
      </c>
      <c r="I294" s="1006" t="str">
        <f ca="1"/>
        <v/>
      </c>
      <c r="J294" s="1006" t="str">
        <f ca="1"/>
        <v/>
      </c>
      <c r="K294" s="1016" t="str">
        <f ca="1"/>
        <v/>
      </c>
      <c r="L294" s="1019" t="str">
        <f ca="1"/>
        <v/>
      </c>
      <c r="M294" s="1006" t="str">
        <f ca="1"/>
        <v/>
      </c>
      <c r="N294" s="1060" t="str">
        <f t="shared" ca="1" si="29"/>
        <v/>
      </c>
      <c r="O294" s="996"/>
      <c r="P294" s="742">
        <v>276</v>
      </c>
      <c r="Q294" s="1016" t="str">
        <f t="shared" ca="1" si="33"/>
        <v/>
      </c>
      <c r="R294" s="1027" t="str">
        <f t="shared" ca="1" si="34"/>
        <v/>
      </c>
      <c r="S294" s="1006" t="str">
        <f ca="1"/>
        <v/>
      </c>
      <c r="T294" s="1006" t="str">
        <f ca="1"/>
        <v/>
      </c>
      <c r="U294" s="1006" t="str">
        <f ca="1"/>
        <v/>
      </c>
      <c r="V294" s="1016" t="str">
        <f ca="1"/>
        <v/>
      </c>
      <c r="W294" s="1019" t="str">
        <f ca="1"/>
        <v/>
      </c>
      <c r="X294" s="1006" t="str">
        <f ca="1"/>
        <v/>
      </c>
      <c r="Y294" s="864" t="str">
        <f t="shared" ca="1" si="30"/>
        <v/>
      </c>
      <c r="AA294" s="828">
        <v>276</v>
      </c>
      <c r="AB294" s="750"/>
      <c r="AC294" s="842"/>
      <c r="AD294" s="830"/>
      <c r="AE294" s="839"/>
      <c r="AF294" s="839"/>
      <c r="AG294" s="750"/>
      <c r="AH294" s="840"/>
      <c r="AI294" s="839"/>
      <c r="AJ294" s="841"/>
      <c r="AK294" s="108" t="s">
        <v>12</v>
      </c>
      <c r="AL294" s="847">
        <v>276</v>
      </c>
      <c r="AM294" s="857"/>
      <c r="AN294" s="842"/>
      <c r="AO294" s="839"/>
      <c r="AP294" s="839"/>
      <c r="AQ294" s="839"/>
      <c r="AR294" s="750"/>
      <c r="AS294" s="840"/>
      <c r="AT294" s="839"/>
      <c r="AU294" s="856"/>
      <c r="AV294" s="108" t="s">
        <v>12</v>
      </c>
    </row>
    <row r="295" spans="4:48">
      <c r="D295" s="108" t="s">
        <v>12</v>
      </c>
      <c r="E295" s="742">
        <v>277</v>
      </c>
      <c r="F295" s="1016" t="str">
        <f t="shared" ca="1" si="31"/>
        <v/>
      </c>
      <c r="G295" s="1027" t="str">
        <f t="shared" ca="1" si="32"/>
        <v/>
      </c>
      <c r="H295" s="1043" t="str">
        <f ca="1"/>
        <v/>
      </c>
      <c r="I295" s="1006" t="str">
        <f ca="1"/>
        <v/>
      </c>
      <c r="J295" s="1006" t="str">
        <f ca="1"/>
        <v/>
      </c>
      <c r="K295" s="1016" t="str">
        <f ca="1"/>
        <v/>
      </c>
      <c r="L295" s="1019" t="str">
        <f ca="1"/>
        <v/>
      </c>
      <c r="M295" s="1006" t="str">
        <f ca="1"/>
        <v/>
      </c>
      <c r="N295" s="1060" t="str">
        <f t="shared" ca="1" si="29"/>
        <v/>
      </c>
      <c r="O295" s="996"/>
      <c r="P295" s="742">
        <v>277</v>
      </c>
      <c r="Q295" s="1016" t="str">
        <f t="shared" ca="1" si="33"/>
        <v/>
      </c>
      <c r="R295" s="1027" t="str">
        <f t="shared" ca="1" si="34"/>
        <v/>
      </c>
      <c r="S295" s="1006" t="str">
        <f ca="1"/>
        <v/>
      </c>
      <c r="T295" s="1006" t="str">
        <f ca="1"/>
        <v/>
      </c>
      <c r="U295" s="1006" t="str">
        <f ca="1"/>
        <v/>
      </c>
      <c r="V295" s="1016" t="str">
        <f ca="1"/>
        <v/>
      </c>
      <c r="W295" s="1019" t="str">
        <f ca="1"/>
        <v/>
      </c>
      <c r="X295" s="1006" t="str">
        <f ca="1"/>
        <v/>
      </c>
      <c r="Y295" s="864" t="str">
        <f t="shared" ca="1" si="30"/>
        <v/>
      </c>
      <c r="AA295" s="828">
        <v>277</v>
      </c>
      <c r="AB295" s="750"/>
      <c r="AC295" s="842"/>
      <c r="AD295" s="830"/>
      <c r="AE295" s="839"/>
      <c r="AF295" s="839"/>
      <c r="AG295" s="750"/>
      <c r="AH295" s="840"/>
      <c r="AI295" s="839"/>
      <c r="AJ295" s="841"/>
      <c r="AK295" s="108" t="s">
        <v>12</v>
      </c>
      <c r="AL295" s="847">
        <v>277</v>
      </c>
      <c r="AM295" s="857"/>
      <c r="AN295" s="842"/>
      <c r="AO295" s="839"/>
      <c r="AP295" s="839"/>
      <c r="AQ295" s="839"/>
      <c r="AR295" s="750"/>
      <c r="AS295" s="840"/>
      <c r="AT295" s="839"/>
      <c r="AU295" s="856"/>
      <c r="AV295" s="108" t="s">
        <v>12</v>
      </c>
    </row>
    <row r="296" spans="4:48">
      <c r="D296" s="108" t="s">
        <v>12</v>
      </c>
      <c r="E296" s="742">
        <v>278</v>
      </c>
      <c r="F296" s="1016" t="str">
        <f t="shared" ca="1" si="31"/>
        <v/>
      </c>
      <c r="G296" s="1027" t="str">
        <f t="shared" ca="1" si="32"/>
        <v/>
      </c>
      <c r="H296" s="1043" t="str">
        <f ca="1"/>
        <v/>
      </c>
      <c r="I296" s="1006" t="str">
        <f ca="1"/>
        <v/>
      </c>
      <c r="J296" s="1006" t="str">
        <f ca="1"/>
        <v/>
      </c>
      <c r="K296" s="1016" t="str">
        <f ca="1"/>
        <v/>
      </c>
      <c r="L296" s="1019" t="str">
        <f ca="1"/>
        <v/>
      </c>
      <c r="M296" s="1006" t="str">
        <f ca="1"/>
        <v/>
      </c>
      <c r="N296" s="1060" t="str">
        <f t="shared" ca="1" si="29"/>
        <v/>
      </c>
      <c r="O296" s="996"/>
      <c r="P296" s="742">
        <v>278</v>
      </c>
      <c r="Q296" s="1016" t="str">
        <f t="shared" ca="1" si="33"/>
        <v/>
      </c>
      <c r="R296" s="1027" t="str">
        <f t="shared" ca="1" si="34"/>
        <v/>
      </c>
      <c r="S296" s="1006" t="str">
        <f ca="1"/>
        <v/>
      </c>
      <c r="T296" s="1006" t="str">
        <f ca="1"/>
        <v/>
      </c>
      <c r="U296" s="1006" t="str">
        <f ca="1"/>
        <v/>
      </c>
      <c r="V296" s="1016" t="str">
        <f ca="1"/>
        <v/>
      </c>
      <c r="W296" s="1019" t="str">
        <f ca="1"/>
        <v/>
      </c>
      <c r="X296" s="1006" t="str">
        <f ca="1"/>
        <v/>
      </c>
      <c r="Y296" s="864" t="str">
        <f t="shared" ca="1" si="30"/>
        <v/>
      </c>
      <c r="AA296" s="828">
        <v>278</v>
      </c>
      <c r="AB296" s="750"/>
      <c r="AC296" s="842"/>
      <c r="AD296" s="830"/>
      <c r="AE296" s="839"/>
      <c r="AF296" s="839"/>
      <c r="AG296" s="750"/>
      <c r="AH296" s="840"/>
      <c r="AI296" s="839"/>
      <c r="AJ296" s="841"/>
      <c r="AK296" s="108" t="s">
        <v>12</v>
      </c>
      <c r="AL296" s="847">
        <v>278</v>
      </c>
      <c r="AM296" s="857"/>
      <c r="AN296" s="842"/>
      <c r="AO296" s="839"/>
      <c r="AP296" s="839"/>
      <c r="AQ296" s="839"/>
      <c r="AR296" s="750"/>
      <c r="AS296" s="840"/>
      <c r="AT296" s="839"/>
      <c r="AU296" s="856"/>
      <c r="AV296" s="108" t="s">
        <v>12</v>
      </c>
    </row>
    <row r="297" spans="4:48">
      <c r="D297" s="108" t="s">
        <v>12</v>
      </c>
      <c r="E297" s="742">
        <v>279</v>
      </c>
      <c r="F297" s="1016" t="str">
        <f t="shared" ca="1" si="31"/>
        <v/>
      </c>
      <c r="G297" s="1027" t="str">
        <f t="shared" ca="1" si="32"/>
        <v/>
      </c>
      <c r="H297" s="1043" t="str">
        <f ca="1"/>
        <v/>
      </c>
      <c r="I297" s="1006" t="str">
        <f ca="1"/>
        <v/>
      </c>
      <c r="J297" s="1006" t="str">
        <f ca="1"/>
        <v/>
      </c>
      <c r="K297" s="1016" t="str">
        <f ca="1"/>
        <v/>
      </c>
      <c r="L297" s="1019" t="str">
        <f ca="1"/>
        <v/>
      </c>
      <c r="M297" s="1006" t="str">
        <f ca="1"/>
        <v/>
      </c>
      <c r="N297" s="1060" t="str">
        <f t="shared" ca="1" si="29"/>
        <v/>
      </c>
      <c r="O297" s="996"/>
      <c r="P297" s="742">
        <v>279</v>
      </c>
      <c r="Q297" s="1016" t="str">
        <f t="shared" ca="1" si="33"/>
        <v/>
      </c>
      <c r="R297" s="1027" t="str">
        <f t="shared" ca="1" si="34"/>
        <v/>
      </c>
      <c r="S297" s="1006" t="str">
        <f ca="1"/>
        <v/>
      </c>
      <c r="T297" s="1006" t="str">
        <f ca="1"/>
        <v/>
      </c>
      <c r="U297" s="1006" t="str">
        <f ca="1"/>
        <v/>
      </c>
      <c r="V297" s="1016" t="str">
        <f ca="1"/>
        <v/>
      </c>
      <c r="W297" s="1019" t="str">
        <f ca="1"/>
        <v/>
      </c>
      <c r="X297" s="1006" t="str">
        <f ca="1"/>
        <v/>
      </c>
      <c r="Y297" s="864" t="str">
        <f t="shared" ca="1" si="30"/>
        <v/>
      </c>
      <c r="AA297" s="828">
        <v>279</v>
      </c>
      <c r="AB297" s="750"/>
      <c r="AC297" s="842"/>
      <c r="AD297" s="830"/>
      <c r="AE297" s="839"/>
      <c r="AF297" s="839"/>
      <c r="AG297" s="750"/>
      <c r="AH297" s="840"/>
      <c r="AI297" s="839"/>
      <c r="AJ297" s="841"/>
      <c r="AK297" s="108" t="s">
        <v>12</v>
      </c>
      <c r="AL297" s="847">
        <v>279</v>
      </c>
      <c r="AM297" s="857"/>
      <c r="AN297" s="842"/>
      <c r="AO297" s="839"/>
      <c r="AP297" s="839"/>
      <c r="AQ297" s="839"/>
      <c r="AR297" s="750"/>
      <c r="AS297" s="840"/>
      <c r="AT297" s="839"/>
      <c r="AU297" s="856"/>
      <c r="AV297" s="108" t="s">
        <v>12</v>
      </c>
    </row>
    <row r="298" spans="4:48">
      <c r="D298" s="108" t="s">
        <v>12</v>
      </c>
      <c r="E298" s="742">
        <v>280</v>
      </c>
      <c r="F298" s="1016" t="str">
        <f t="shared" ca="1" si="31"/>
        <v/>
      </c>
      <c r="G298" s="1027" t="str">
        <f t="shared" ca="1" si="32"/>
        <v/>
      </c>
      <c r="H298" s="1043" t="str">
        <f ca="1"/>
        <v/>
      </c>
      <c r="I298" s="1006" t="str">
        <f ca="1"/>
        <v/>
      </c>
      <c r="J298" s="1006" t="str">
        <f ca="1"/>
        <v/>
      </c>
      <c r="K298" s="1016" t="str">
        <f ca="1"/>
        <v/>
      </c>
      <c r="L298" s="1019" t="str">
        <f ca="1"/>
        <v/>
      </c>
      <c r="M298" s="1006" t="str">
        <f ca="1"/>
        <v/>
      </c>
      <c r="N298" s="1060" t="str">
        <f t="shared" ca="1" si="29"/>
        <v/>
      </c>
      <c r="O298" s="996"/>
      <c r="P298" s="742">
        <v>280</v>
      </c>
      <c r="Q298" s="1016" t="str">
        <f t="shared" ca="1" si="33"/>
        <v/>
      </c>
      <c r="R298" s="1027" t="str">
        <f t="shared" ca="1" si="34"/>
        <v/>
      </c>
      <c r="S298" s="1006" t="str">
        <f ca="1"/>
        <v/>
      </c>
      <c r="T298" s="1006" t="str">
        <f ca="1"/>
        <v/>
      </c>
      <c r="U298" s="1006" t="str">
        <f ca="1"/>
        <v/>
      </c>
      <c r="V298" s="1016" t="str">
        <f ca="1"/>
        <v/>
      </c>
      <c r="W298" s="1019" t="str">
        <f ca="1"/>
        <v/>
      </c>
      <c r="X298" s="1006" t="str">
        <f ca="1"/>
        <v/>
      </c>
      <c r="Y298" s="864" t="str">
        <f t="shared" ca="1" si="30"/>
        <v/>
      </c>
      <c r="AA298" s="828">
        <v>280</v>
      </c>
      <c r="AB298" s="750"/>
      <c r="AC298" s="842"/>
      <c r="AD298" s="830"/>
      <c r="AE298" s="839"/>
      <c r="AF298" s="839"/>
      <c r="AG298" s="750"/>
      <c r="AH298" s="840"/>
      <c r="AI298" s="839"/>
      <c r="AJ298" s="841"/>
      <c r="AK298" s="108" t="s">
        <v>12</v>
      </c>
      <c r="AL298" s="847">
        <v>280</v>
      </c>
      <c r="AM298" s="857"/>
      <c r="AN298" s="842"/>
      <c r="AO298" s="839"/>
      <c r="AP298" s="839"/>
      <c r="AQ298" s="839"/>
      <c r="AR298" s="750"/>
      <c r="AS298" s="840"/>
      <c r="AT298" s="839"/>
      <c r="AU298" s="856"/>
      <c r="AV298" s="108" t="s">
        <v>12</v>
      </c>
    </row>
    <row r="299" spans="4:48">
      <c r="D299" s="108" t="s">
        <v>12</v>
      </c>
      <c r="E299" s="742">
        <v>281</v>
      </c>
      <c r="F299" s="1016" t="str">
        <f t="shared" ca="1" si="31"/>
        <v/>
      </c>
      <c r="G299" s="1027" t="str">
        <f t="shared" ca="1" si="32"/>
        <v/>
      </c>
      <c r="H299" s="1043" t="str">
        <f ca="1"/>
        <v/>
      </c>
      <c r="I299" s="1006" t="str">
        <f ca="1"/>
        <v/>
      </c>
      <c r="J299" s="1006" t="str">
        <f ca="1"/>
        <v/>
      </c>
      <c r="K299" s="1016" t="str">
        <f ca="1"/>
        <v/>
      </c>
      <c r="L299" s="1019" t="str">
        <f ca="1"/>
        <v/>
      </c>
      <c r="M299" s="1006" t="str">
        <f ca="1"/>
        <v/>
      </c>
      <c r="N299" s="1060" t="str">
        <f t="shared" ca="1" si="29"/>
        <v/>
      </c>
      <c r="O299" s="996"/>
      <c r="P299" s="742">
        <v>281</v>
      </c>
      <c r="Q299" s="1016" t="str">
        <f t="shared" ca="1" si="33"/>
        <v/>
      </c>
      <c r="R299" s="1027" t="str">
        <f t="shared" ca="1" si="34"/>
        <v/>
      </c>
      <c r="S299" s="1006" t="str">
        <f ca="1"/>
        <v/>
      </c>
      <c r="T299" s="1006" t="str">
        <f ca="1"/>
        <v/>
      </c>
      <c r="U299" s="1006" t="str">
        <f ca="1"/>
        <v/>
      </c>
      <c r="V299" s="1016" t="str">
        <f ca="1"/>
        <v/>
      </c>
      <c r="W299" s="1019" t="str">
        <f ca="1"/>
        <v/>
      </c>
      <c r="X299" s="1006" t="str">
        <f ca="1"/>
        <v/>
      </c>
      <c r="Y299" s="864" t="str">
        <f t="shared" ca="1" si="30"/>
        <v/>
      </c>
      <c r="AA299" s="828">
        <v>281</v>
      </c>
      <c r="AB299" s="750"/>
      <c r="AC299" s="842"/>
      <c r="AD299" s="830"/>
      <c r="AE299" s="839"/>
      <c r="AF299" s="839"/>
      <c r="AG299" s="750"/>
      <c r="AH299" s="840"/>
      <c r="AI299" s="839"/>
      <c r="AJ299" s="841"/>
      <c r="AK299" s="108" t="s">
        <v>12</v>
      </c>
      <c r="AL299" s="847">
        <v>281</v>
      </c>
      <c r="AM299" s="857"/>
      <c r="AN299" s="842"/>
      <c r="AO299" s="839"/>
      <c r="AP299" s="839"/>
      <c r="AQ299" s="839"/>
      <c r="AR299" s="750"/>
      <c r="AS299" s="840"/>
      <c r="AT299" s="839"/>
      <c r="AU299" s="856"/>
      <c r="AV299" s="108" t="s">
        <v>12</v>
      </c>
    </row>
    <row r="300" spans="4:48">
      <c r="D300" s="108" t="s">
        <v>12</v>
      </c>
      <c r="E300" s="742">
        <v>282</v>
      </c>
      <c r="F300" s="1016" t="str">
        <f t="shared" ca="1" si="31"/>
        <v/>
      </c>
      <c r="G300" s="1027" t="str">
        <f t="shared" ca="1" si="32"/>
        <v/>
      </c>
      <c r="H300" s="1043" t="str">
        <f ca="1"/>
        <v/>
      </c>
      <c r="I300" s="1006" t="str">
        <f ca="1"/>
        <v/>
      </c>
      <c r="J300" s="1006" t="str">
        <f ca="1"/>
        <v/>
      </c>
      <c r="K300" s="1016" t="str">
        <f ca="1"/>
        <v/>
      </c>
      <c r="L300" s="1019" t="str">
        <f ca="1"/>
        <v/>
      </c>
      <c r="M300" s="1006" t="str">
        <f ca="1"/>
        <v/>
      </c>
      <c r="N300" s="1060" t="str">
        <f t="shared" ca="1" si="29"/>
        <v/>
      </c>
      <c r="O300" s="996"/>
      <c r="P300" s="742">
        <v>282</v>
      </c>
      <c r="Q300" s="1016" t="str">
        <f t="shared" ca="1" si="33"/>
        <v/>
      </c>
      <c r="R300" s="1027" t="str">
        <f t="shared" ca="1" si="34"/>
        <v/>
      </c>
      <c r="S300" s="1006" t="str">
        <f ca="1"/>
        <v/>
      </c>
      <c r="T300" s="1006" t="str">
        <f ca="1"/>
        <v/>
      </c>
      <c r="U300" s="1006" t="str">
        <f ca="1"/>
        <v/>
      </c>
      <c r="V300" s="1016" t="str">
        <f ca="1"/>
        <v/>
      </c>
      <c r="W300" s="1019" t="str">
        <f ca="1"/>
        <v/>
      </c>
      <c r="X300" s="1006" t="str">
        <f ca="1"/>
        <v/>
      </c>
      <c r="Y300" s="864" t="str">
        <f t="shared" ca="1" si="30"/>
        <v/>
      </c>
      <c r="AA300" s="828">
        <v>282</v>
      </c>
      <c r="AB300" s="750"/>
      <c r="AC300" s="842"/>
      <c r="AD300" s="830"/>
      <c r="AE300" s="839"/>
      <c r="AF300" s="839"/>
      <c r="AG300" s="750"/>
      <c r="AH300" s="840"/>
      <c r="AI300" s="839"/>
      <c r="AJ300" s="841"/>
      <c r="AK300" s="108" t="s">
        <v>12</v>
      </c>
      <c r="AL300" s="847">
        <v>282</v>
      </c>
      <c r="AM300" s="857"/>
      <c r="AN300" s="842"/>
      <c r="AO300" s="839"/>
      <c r="AP300" s="839"/>
      <c r="AQ300" s="839"/>
      <c r="AR300" s="750"/>
      <c r="AS300" s="840"/>
      <c r="AT300" s="839"/>
      <c r="AU300" s="856"/>
      <c r="AV300" s="108" t="s">
        <v>12</v>
      </c>
    </row>
    <row r="301" spans="4:48">
      <c r="D301" s="108" t="s">
        <v>12</v>
      </c>
      <c r="E301" s="742">
        <v>283</v>
      </c>
      <c r="F301" s="1016" t="str">
        <f t="shared" ca="1" si="31"/>
        <v/>
      </c>
      <c r="G301" s="1027" t="str">
        <f t="shared" ca="1" si="32"/>
        <v/>
      </c>
      <c r="H301" s="1043" t="str">
        <f ca="1"/>
        <v/>
      </c>
      <c r="I301" s="1006" t="str">
        <f ca="1"/>
        <v/>
      </c>
      <c r="J301" s="1006" t="str">
        <f ca="1"/>
        <v/>
      </c>
      <c r="K301" s="1016" t="str">
        <f ca="1"/>
        <v/>
      </c>
      <c r="L301" s="1019" t="str">
        <f ca="1"/>
        <v/>
      </c>
      <c r="M301" s="1006" t="str">
        <f ca="1"/>
        <v/>
      </c>
      <c r="N301" s="1060" t="str">
        <f t="shared" ca="1" si="29"/>
        <v/>
      </c>
      <c r="O301" s="996"/>
      <c r="P301" s="742">
        <v>283</v>
      </c>
      <c r="Q301" s="1016" t="str">
        <f t="shared" ca="1" si="33"/>
        <v/>
      </c>
      <c r="R301" s="1027" t="str">
        <f t="shared" ca="1" si="34"/>
        <v/>
      </c>
      <c r="S301" s="1006" t="str">
        <f ca="1"/>
        <v/>
      </c>
      <c r="T301" s="1006" t="str">
        <f ca="1"/>
        <v/>
      </c>
      <c r="U301" s="1006" t="str">
        <f ca="1"/>
        <v/>
      </c>
      <c r="V301" s="1016" t="str">
        <f ca="1"/>
        <v/>
      </c>
      <c r="W301" s="1019" t="str">
        <f ca="1"/>
        <v/>
      </c>
      <c r="X301" s="1006" t="str">
        <f ca="1"/>
        <v/>
      </c>
      <c r="Y301" s="864" t="str">
        <f t="shared" ca="1" si="30"/>
        <v/>
      </c>
      <c r="AA301" s="828">
        <v>283</v>
      </c>
      <c r="AB301" s="750"/>
      <c r="AC301" s="842"/>
      <c r="AD301" s="830"/>
      <c r="AE301" s="839"/>
      <c r="AF301" s="839"/>
      <c r="AG301" s="750"/>
      <c r="AH301" s="840"/>
      <c r="AI301" s="839"/>
      <c r="AJ301" s="841"/>
      <c r="AK301" s="108" t="s">
        <v>12</v>
      </c>
      <c r="AL301" s="847">
        <v>283</v>
      </c>
      <c r="AM301" s="857"/>
      <c r="AN301" s="842"/>
      <c r="AO301" s="839"/>
      <c r="AP301" s="839"/>
      <c r="AQ301" s="839"/>
      <c r="AR301" s="750"/>
      <c r="AS301" s="840"/>
      <c r="AT301" s="839"/>
      <c r="AU301" s="856"/>
      <c r="AV301" s="108" t="s">
        <v>12</v>
      </c>
    </row>
    <row r="302" spans="4:48">
      <c r="D302" s="108" t="s">
        <v>12</v>
      </c>
      <c r="E302" s="742">
        <v>284</v>
      </c>
      <c r="F302" s="1016" t="str">
        <f t="shared" ca="1" si="31"/>
        <v/>
      </c>
      <c r="G302" s="1027" t="str">
        <f t="shared" ca="1" si="32"/>
        <v/>
      </c>
      <c r="H302" s="1043" t="str">
        <f ca="1"/>
        <v/>
      </c>
      <c r="I302" s="1006" t="str">
        <f ca="1"/>
        <v/>
      </c>
      <c r="J302" s="1006" t="str">
        <f ca="1"/>
        <v/>
      </c>
      <c r="K302" s="1016" t="str">
        <f ca="1"/>
        <v/>
      </c>
      <c r="L302" s="1019" t="str">
        <f ca="1"/>
        <v/>
      </c>
      <c r="M302" s="1006" t="str">
        <f ca="1"/>
        <v/>
      </c>
      <c r="N302" s="1060" t="str">
        <f t="shared" ca="1" si="29"/>
        <v/>
      </c>
      <c r="O302" s="996"/>
      <c r="P302" s="742">
        <v>284</v>
      </c>
      <c r="Q302" s="1016" t="str">
        <f t="shared" ca="1" si="33"/>
        <v/>
      </c>
      <c r="R302" s="1027" t="str">
        <f t="shared" ca="1" si="34"/>
        <v/>
      </c>
      <c r="S302" s="1006" t="str">
        <f ca="1"/>
        <v/>
      </c>
      <c r="T302" s="1006" t="str">
        <f ca="1"/>
        <v/>
      </c>
      <c r="U302" s="1006" t="str">
        <f ca="1"/>
        <v/>
      </c>
      <c r="V302" s="1016" t="str">
        <f ca="1"/>
        <v/>
      </c>
      <c r="W302" s="1019" t="str">
        <f ca="1"/>
        <v/>
      </c>
      <c r="X302" s="1006" t="str">
        <f ca="1"/>
        <v/>
      </c>
      <c r="Y302" s="864" t="str">
        <f t="shared" ca="1" si="30"/>
        <v/>
      </c>
      <c r="AA302" s="828">
        <v>284</v>
      </c>
      <c r="AB302" s="750"/>
      <c r="AC302" s="842"/>
      <c r="AD302" s="830"/>
      <c r="AE302" s="839"/>
      <c r="AF302" s="839"/>
      <c r="AG302" s="750"/>
      <c r="AH302" s="840"/>
      <c r="AI302" s="839"/>
      <c r="AJ302" s="841"/>
      <c r="AK302" s="108" t="s">
        <v>12</v>
      </c>
      <c r="AL302" s="847">
        <v>284</v>
      </c>
      <c r="AM302" s="857"/>
      <c r="AN302" s="842"/>
      <c r="AO302" s="839"/>
      <c r="AP302" s="839"/>
      <c r="AQ302" s="839"/>
      <c r="AR302" s="750"/>
      <c r="AS302" s="840"/>
      <c r="AT302" s="839"/>
      <c r="AU302" s="856"/>
      <c r="AV302" s="108" t="s">
        <v>12</v>
      </c>
    </row>
    <row r="303" spans="4:48">
      <c r="D303" s="108" t="s">
        <v>12</v>
      </c>
      <c r="E303" s="742">
        <v>285</v>
      </c>
      <c r="F303" s="1016" t="str">
        <f t="shared" ca="1" si="31"/>
        <v/>
      </c>
      <c r="G303" s="1027" t="str">
        <f t="shared" ca="1" si="32"/>
        <v/>
      </c>
      <c r="H303" s="1043" t="str">
        <f ca="1"/>
        <v/>
      </c>
      <c r="I303" s="1006" t="str">
        <f ca="1"/>
        <v/>
      </c>
      <c r="J303" s="1006" t="str">
        <f ca="1"/>
        <v/>
      </c>
      <c r="K303" s="1016" t="str">
        <f ca="1"/>
        <v/>
      </c>
      <c r="L303" s="1019" t="str">
        <f ca="1"/>
        <v/>
      </c>
      <c r="M303" s="1006" t="str">
        <f ca="1"/>
        <v/>
      </c>
      <c r="N303" s="1060" t="str">
        <f t="shared" ca="1" si="29"/>
        <v/>
      </c>
      <c r="O303" s="996"/>
      <c r="P303" s="742">
        <v>285</v>
      </c>
      <c r="Q303" s="1016" t="str">
        <f t="shared" ca="1" si="33"/>
        <v/>
      </c>
      <c r="R303" s="1027" t="str">
        <f t="shared" ca="1" si="34"/>
        <v/>
      </c>
      <c r="S303" s="1006" t="str">
        <f ca="1"/>
        <v/>
      </c>
      <c r="T303" s="1006" t="str">
        <f ca="1"/>
        <v/>
      </c>
      <c r="U303" s="1006" t="str">
        <f ca="1"/>
        <v/>
      </c>
      <c r="V303" s="1016" t="str">
        <f ca="1"/>
        <v/>
      </c>
      <c r="W303" s="1019" t="str">
        <f ca="1"/>
        <v/>
      </c>
      <c r="X303" s="1006" t="str">
        <f ca="1"/>
        <v/>
      </c>
      <c r="Y303" s="864" t="str">
        <f t="shared" ca="1" si="30"/>
        <v/>
      </c>
      <c r="AA303" s="828">
        <v>285</v>
      </c>
      <c r="AB303" s="750"/>
      <c r="AC303" s="842"/>
      <c r="AD303" s="830"/>
      <c r="AE303" s="839"/>
      <c r="AF303" s="839"/>
      <c r="AG303" s="750"/>
      <c r="AH303" s="840"/>
      <c r="AI303" s="839"/>
      <c r="AJ303" s="841"/>
      <c r="AK303" s="108" t="s">
        <v>12</v>
      </c>
      <c r="AL303" s="847">
        <v>285</v>
      </c>
      <c r="AM303" s="857"/>
      <c r="AN303" s="842"/>
      <c r="AO303" s="839"/>
      <c r="AP303" s="839"/>
      <c r="AQ303" s="839"/>
      <c r="AR303" s="750"/>
      <c r="AS303" s="840"/>
      <c r="AT303" s="839"/>
      <c r="AU303" s="856"/>
      <c r="AV303" s="108" t="s">
        <v>12</v>
      </c>
    </row>
    <row r="304" spans="4:48">
      <c r="D304" s="108" t="s">
        <v>12</v>
      </c>
      <c r="E304" s="742">
        <v>286</v>
      </c>
      <c r="F304" s="1016" t="str">
        <f t="shared" ca="1" si="31"/>
        <v/>
      </c>
      <c r="G304" s="1027" t="str">
        <f t="shared" ca="1" si="32"/>
        <v/>
      </c>
      <c r="H304" s="1043" t="str">
        <f ca="1"/>
        <v/>
      </c>
      <c r="I304" s="1006" t="str">
        <f ca="1"/>
        <v/>
      </c>
      <c r="J304" s="1006" t="str">
        <f ca="1"/>
        <v/>
      </c>
      <c r="K304" s="1016" t="str">
        <f ca="1"/>
        <v/>
      </c>
      <c r="L304" s="1019" t="str">
        <f ca="1"/>
        <v/>
      </c>
      <c r="M304" s="1006" t="str">
        <f ca="1"/>
        <v/>
      </c>
      <c r="N304" s="1060" t="str">
        <f t="shared" ca="1" si="29"/>
        <v/>
      </c>
      <c r="O304" s="996"/>
      <c r="P304" s="742">
        <v>286</v>
      </c>
      <c r="Q304" s="1016" t="str">
        <f t="shared" ca="1" si="33"/>
        <v/>
      </c>
      <c r="R304" s="1027" t="str">
        <f t="shared" ca="1" si="34"/>
        <v/>
      </c>
      <c r="S304" s="1006" t="str">
        <f ca="1"/>
        <v/>
      </c>
      <c r="T304" s="1006" t="str">
        <f ca="1"/>
        <v/>
      </c>
      <c r="U304" s="1006" t="str">
        <f ca="1"/>
        <v/>
      </c>
      <c r="V304" s="1016" t="str">
        <f ca="1"/>
        <v/>
      </c>
      <c r="W304" s="1019" t="str">
        <f ca="1"/>
        <v/>
      </c>
      <c r="X304" s="1006" t="str">
        <f ca="1"/>
        <v/>
      </c>
      <c r="Y304" s="864" t="str">
        <f t="shared" ca="1" si="30"/>
        <v/>
      </c>
      <c r="AA304" s="828">
        <v>286</v>
      </c>
      <c r="AB304" s="750"/>
      <c r="AC304" s="842"/>
      <c r="AD304" s="830"/>
      <c r="AE304" s="839"/>
      <c r="AF304" s="839"/>
      <c r="AG304" s="750"/>
      <c r="AH304" s="840"/>
      <c r="AI304" s="839"/>
      <c r="AJ304" s="841"/>
      <c r="AK304" s="108" t="s">
        <v>12</v>
      </c>
      <c r="AL304" s="847">
        <v>286</v>
      </c>
      <c r="AM304" s="857"/>
      <c r="AN304" s="842"/>
      <c r="AO304" s="839"/>
      <c r="AP304" s="839"/>
      <c r="AQ304" s="839"/>
      <c r="AR304" s="750"/>
      <c r="AS304" s="840"/>
      <c r="AT304" s="839"/>
      <c r="AU304" s="856"/>
      <c r="AV304" s="108" t="s">
        <v>12</v>
      </c>
    </row>
    <row r="305" spans="4:48">
      <c r="D305" s="108" t="s">
        <v>12</v>
      </c>
      <c r="E305" s="742">
        <v>287</v>
      </c>
      <c r="F305" s="1016" t="str">
        <f t="shared" ca="1" si="31"/>
        <v/>
      </c>
      <c r="G305" s="1027" t="str">
        <f t="shared" ca="1" si="32"/>
        <v/>
      </c>
      <c r="H305" s="1043" t="str">
        <f ca="1"/>
        <v/>
      </c>
      <c r="I305" s="1006" t="str">
        <f ca="1"/>
        <v/>
      </c>
      <c r="J305" s="1006" t="str">
        <f ca="1"/>
        <v/>
      </c>
      <c r="K305" s="1016" t="str">
        <f ca="1"/>
        <v/>
      </c>
      <c r="L305" s="1019" t="str">
        <f ca="1"/>
        <v/>
      </c>
      <c r="M305" s="1006" t="str">
        <f ca="1"/>
        <v/>
      </c>
      <c r="N305" s="1060" t="str">
        <f t="shared" ca="1" si="29"/>
        <v/>
      </c>
      <c r="O305" s="996"/>
      <c r="P305" s="742">
        <v>287</v>
      </c>
      <c r="Q305" s="1016" t="str">
        <f t="shared" ca="1" si="33"/>
        <v/>
      </c>
      <c r="R305" s="1027" t="str">
        <f t="shared" ca="1" si="34"/>
        <v/>
      </c>
      <c r="S305" s="1006" t="str">
        <f ca="1"/>
        <v/>
      </c>
      <c r="T305" s="1006" t="str">
        <f ca="1"/>
        <v/>
      </c>
      <c r="U305" s="1006" t="str">
        <f ca="1"/>
        <v/>
      </c>
      <c r="V305" s="1016" t="str">
        <f ca="1"/>
        <v/>
      </c>
      <c r="W305" s="1019" t="str">
        <f ca="1"/>
        <v/>
      </c>
      <c r="X305" s="1006" t="str">
        <f ca="1"/>
        <v/>
      </c>
      <c r="Y305" s="864" t="str">
        <f t="shared" ca="1" si="30"/>
        <v/>
      </c>
      <c r="AA305" s="828">
        <v>287</v>
      </c>
      <c r="AB305" s="750"/>
      <c r="AC305" s="842"/>
      <c r="AD305" s="830"/>
      <c r="AE305" s="839"/>
      <c r="AF305" s="839"/>
      <c r="AG305" s="750"/>
      <c r="AH305" s="840"/>
      <c r="AI305" s="839"/>
      <c r="AJ305" s="841"/>
      <c r="AK305" s="108" t="s">
        <v>12</v>
      </c>
      <c r="AL305" s="847">
        <v>287</v>
      </c>
      <c r="AM305" s="857"/>
      <c r="AN305" s="842"/>
      <c r="AO305" s="839"/>
      <c r="AP305" s="839"/>
      <c r="AQ305" s="839"/>
      <c r="AR305" s="750"/>
      <c r="AS305" s="840"/>
      <c r="AT305" s="839"/>
      <c r="AU305" s="856"/>
      <c r="AV305" s="108" t="s">
        <v>12</v>
      </c>
    </row>
    <row r="306" spans="4:48">
      <c r="D306" s="108" t="s">
        <v>12</v>
      </c>
      <c r="E306" s="742">
        <v>288</v>
      </c>
      <c r="F306" s="1016" t="str">
        <f t="shared" ca="1" si="31"/>
        <v/>
      </c>
      <c r="G306" s="1027" t="str">
        <f t="shared" ca="1" si="32"/>
        <v/>
      </c>
      <c r="H306" s="1043" t="str">
        <f ca="1"/>
        <v/>
      </c>
      <c r="I306" s="1006" t="str">
        <f ca="1"/>
        <v/>
      </c>
      <c r="J306" s="1006" t="str">
        <f ca="1"/>
        <v/>
      </c>
      <c r="K306" s="1016" t="str">
        <f ca="1"/>
        <v/>
      </c>
      <c r="L306" s="1019" t="str">
        <f ca="1"/>
        <v/>
      </c>
      <c r="M306" s="1006" t="str">
        <f ca="1"/>
        <v/>
      </c>
      <c r="N306" s="1060" t="str">
        <f t="shared" ca="1" si="29"/>
        <v/>
      </c>
      <c r="O306" s="996"/>
      <c r="P306" s="742">
        <v>288</v>
      </c>
      <c r="Q306" s="1016" t="str">
        <f t="shared" ca="1" si="33"/>
        <v/>
      </c>
      <c r="R306" s="1027" t="str">
        <f t="shared" ca="1" si="34"/>
        <v/>
      </c>
      <c r="S306" s="1006" t="str">
        <f ca="1"/>
        <v/>
      </c>
      <c r="T306" s="1006" t="str">
        <f ca="1"/>
        <v/>
      </c>
      <c r="U306" s="1006" t="str">
        <f ca="1"/>
        <v/>
      </c>
      <c r="V306" s="1016" t="str">
        <f ca="1"/>
        <v/>
      </c>
      <c r="W306" s="1019" t="str">
        <f ca="1"/>
        <v/>
      </c>
      <c r="X306" s="1006" t="str">
        <f ca="1"/>
        <v/>
      </c>
      <c r="Y306" s="864" t="str">
        <f t="shared" ca="1" si="30"/>
        <v/>
      </c>
      <c r="AA306" s="828">
        <v>288</v>
      </c>
      <c r="AB306" s="750"/>
      <c r="AC306" s="842"/>
      <c r="AD306" s="830"/>
      <c r="AE306" s="839"/>
      <c r="AF306" s="839"/>
      <c r="AG306" s="750"/>
      <c r="AH306" s="840"/>
      <c r="AI306" s="839"/>
      <c r="AJ306" s="841"/>
      <c r="AK306" s="108" t="s">
        <v>12</v>
      </c>
      <c r="AL306" s="847">
        <v>288</v>
      </c>
      <c r="AM306" s="857"/>
      <c r="AN306" s="842"/>
      <c r="AO306" s="839"/>
      <c r="AP306" s="839"/>
      <c r="AQ306" s="839"/>
      <c r="AR306" s="750"/>
      <c r="AS306" s="840"/>
      <c r="AT306" s="839"/>
      <c r="AU306" s="856"/>
      <c r="AV306" s="108" t="s">
        <v>12</v>
      </c>
    </row>
    <row r="307" spans="4:48">
      <c r="D307" s="108" t="s">
        <v>12</v>
      </c>
      <c r="E307" s="742">
        <v>289</v>
      </c>
      <c r="F307" s="1016" t="str">
        <f t="shared" ca="1" si="31"/>
        <v/>
      </c>
      <c r="G307" s="1027" t="str">
        <f t="shared" ca="1" si="32"/>
        <v/>
      </c>
      <c r="H307" s="1043" t="str">
        <f ca="1"/>
        <v/>
      </c>
      <c r="I307" s="1006" t="str">
        <f ca="1"/>
        <v/>
      </c>
      <c r="J307" s="1006" t="str">
        <f ca="1"/>
        <v/>
      </c>
      <c r="K307" s="1016" t="str">
        <f ca="1"/>
        <v/>
      </c>
      <c r="L307" s="1019" t="str">
        <f ca="1"/>
        <v/>
      </c>
      <c r="M307" s="1006" t="str">
        <f ca="1"/>
        <v/>
      </c>
      <c r="N307" s="1060" t="str">
        <f t="shared" ca="1" si="29"/>
        <v/>
      </c>
      <c r="O307" s="996"/>
      <c r="P307" s="742">
        <v>289</v>
      </c>
      <c r="Q307" s="1016" t="str">
        <f t="shared" ca="1" si="33"/>
        <v/>
      </c>
      <c r="R307" s="1027" t="str">
        <f t="shared" ca="1" si="34"/>
        <v/>
      </c>
      <c r="S307" s="1006" t="str">
        <f ca="1"/>
        <v/>
      </c>
      <c r="T307" s="1006" t="str">
        <f ca="1"/>
        <v/>
      </c>
      <c r="U307" s="1006" t="str">
        <f ca="1"/>
        <v/>
      </c>
      <c r="V307" s="1016" t="str">
        <f ca="1"/>
        <v/>
      </c>
      <c r="W307" s="1019" t="str">
        <f ca="1"/>
        <v/>
      </c>
      <c r="X307" s="1006" t="str">
        <f ca="1"/>
        <v/>
      </c>
      <c r="Y307" s="864" t="str">
        <f t="shared" ca="1" si="30"/>
        <v/>
      </c>
      <c r="AA307" s="828">
        <v>289</v>
      </c>
      <c r="AB307" s="750"/>
      <c r="AC307" s="842"/>
      <c r="AD307" s="830"/>
      <c r="AE307" s="839"/>
      <c r="AF307" s="839"/>
      <c r="AG307" s="750"/>
      <c r="AH307" s="840"/>
      <c r="AI307" s="839"/>
      <c r="AJ307" s="841"/>
      <c r="AK307" s="108" t="s">
        <v>12</v>
      </c>
      <c r="AL307" s="847">
        <v>289</v>
      </c>
      <c r="AM307" s="857"/>
      <c r="AN307" s="842"/>
      <c r="AO307" s="839"/>
      <c r="AP307" s="839"/>
      <c r="AQ307" s="839"/>
      <c r="AR307" s="750"/>
      <c r="AS307" s="840"/>
      <c r="AT307" s="839"/>
      <c r="AU307" s="856"/>
      <c r="AV307" s="108" t="s">
        <v>12</v>
      </c>
    </row>
    <row r="308" spans="4:48">
      <c r="D308" s="108" t="s">
        <v>12</v>
      </c>
      <c r="E308" s="742">
        <v>290</v>
      </c>
      <c r="F308" s="1016" t="str">
        <f t="shared" ca="1" si="31"/>
        <v/>
      </c>
      <c r="G308" s="1027" t="str">
        <f t="shared" ca="1" si="32"/>
        <v/>
      </c>
      <c r="H308" s="1043" t="str">
        <f ca="1"/>
        <v/>
      </c>
      <c r="I308" s="1006" t="str">
        <f ca="1"/>
        <v/>
      </c>
      <c r="J308" s="1006" t="str">
        <f ca="1"/>
        <v/>
      </c>
      <c r="K308" s="1016" t="str">
        <f ca="1"/>
        <v/>
      </c>
      <c r="L308" s="1019" t="str">
        <f ca="1"/>
        <v/>
      </c>
      <c r="M308" s="1006" t="str">
        <f ca="1"/>
        <v/>
      </c>
      <c r="N308" s="1060" t="str">
        <f t="shared" ca="1" si="29"/>
        <v/>
      </c>
      <c r="O308" s="996"/>
      <c r="P308" s="742">
        <v>290</v>
      </c>
      <c r="Q308" s="1016" t="str">
        <f t="shared" ca="1" si="33"/>
        <v/>
      </c>
      <c r="R308" s="1027" t="str">
        <f t="shared" ca="1" si="34"/>
        <v/>
      </c>
      <c r="S308" s="1006" t="str">
        <f ca="1"/>
        <v/>
      </c>
      <c r="T308" s="1006" t="str">
        <f ca="1"/>
        <v/>
      </c>
      <c r="U308" s="1006" t="str">
        <f ca="1"/>
        <v/>
      </c>
      <c r="V308" s="1016" t="str">
        <f ca="1"/>
        <v/>
      </c>
      <c r="W308" s="1019" t="str">
        <f ca="1"/>
        <v/>
      </c>
      <c r="X308" s="1006" t="str">
        <f ca="1"/>
        <v/>
      </c>
      <c r="Y308" s="864" t="str">
        <f t="shared" ca="1" si="30"/>
        <v/>
      </c>
      <c r="AA308" s="828">
        <v>290</v>
      </c>
      <c r="AB308" s="750"/>
      <c r="AC308" s="842"/>
      <c r="AD308" s="830"/>
      <c r="AE308" s="839"/>
      <c r="AF308" s="839"/>
      <c r="AG308" s="750"/>
      <c r="AH308" s="840"/>
      <c r="AI308" s="839"/>
      <c r="AJ308" s="841"/>
      <c r="AK308" s="108" t="s">
        <v>12</v>
      </c>
      <c r="AL308" s="847">
        <v>290</v>
      </c>
      <c r="AM308" s="857"/>
      <c r="AN308" s="842"/>
      <c r="AO308" s="839"/>
      <c r="AP308" s="839"/>
      <c r="AQ308" s="839"/>
      <c r="AR308" s="750"/>
      <c r="AS308" s="840"/>
      <c r="AT308" s="839"/>
      <c r="AU308" s="856"/>
      <c r="AV308" s="108" t="s">
        <v>12</v>
      </c>
    </row>
    <row r="309" spans="4:48">
      <c r="D309" s="108" t="s">
        <v>12</v>
      </c>
      <c r="E309" s="742">
        <v>291</v>
      </c>
      <c r="F309" s="1016" t="str">
        <f t="shared" ca="1" si="31"/>
        <v/>
      </c>
      <c r="G309" s="1027" t="str">
        <f t="shared" ca="1" si="32"/>
        <v/>
      </c>
      <c r="H309" s="1043" t="str">
        <f ca="1"/>
        <v/>
      </c>
      <c r="I309" s="1006" t="str">
        <f ca="1"/>
        <v/>
      </c>
      <c r="J309" s="1006" t="str">
        <f ca="1"/>
        <v/>
      </c>
      <c r="K309" s="1016" t="str">
        <f ca="1"/>
        <v/>
      </c>
      <c r="L309" s="1019" t="str">
        <f ca="1"/>
        <v/>
      </c>
      <c r="M309" s="1006" t="str">
        <f ca="1"/>
        <v/>
      </c>
      <c r="N309" s="1060" t="str">
        <f t="shared" ca="1" si="29"/>
        <v/>
      </c>
      <c r="O309" s="996"/>
      <c r="P309" s="742">
        <v>291</v>
      </c>
      <c r="Q309" s="1016" t="str">
        <f t="shared" ca="1" si="33"/>
        <v/>
      </c>
      <c r="R309" s="1027" t="str">
        <f t="shared" ca="1" si="34"/>
        <v/>
      </c>
      <c r="S309" s="1006" t="str">
        <f ca="1"/>
        <v/>
      </c>
      <c r="T309" s="1006" t="str">
        <f ca="1"/>
        <v/>
      </c>
      <c r="U309" s="1006" t="str">
        <f ca="1"/>
        <v/>
      </c>
      <c r="V309" s="1016" t="str">
        <f ca="1"/>
        <v/>
      </c>
      <c r="W309" s="1019" t="str">
        <f ca="1"/>
        <v/>
      </c>
      <c r="X309" s="1006" t="str">
        <f ca="1"/>
        <v/>
      </c>
      <c r="Y309" s="864" t="str">
        <f t="shared" ca="1" si="30"/>
        <v/>
      </c>
      <c r="AA309" s="828">
        <v>291</v>
      </c>
      <c r="AB309" s="750"/>
      <c r="AC309" s="842"/>
      <c r="AD309" s="830"/>
      <c r="AE309" s="839"/>
      <c r="AF309" s="839"/>
      <c r="AG309" s="750"/>
      <c r="AH309" s="840"/>
      <c r="AI309" s="839"/>
      <c r="AJ309" s="841"/>
      <c r="AK309" s="108" t="s">
        <v>12</v>
      </c>
      <c r="AL309" s="847">
        <v>291</v>
      </c>
      <c r="AM309" s="857"/>
      <c r="AN309" s="842"/>
      <c r="AO309" s="839"/>
      <c r="AP309" s="839"/>
      <c r="AQ309" s="839"/>
      <c r="AR309" s="750"/>
      <c r="AS309" s="840"/>
      <c r="AT309" s="839"/>
      <c r="AU309" s="856"/>
      <c r="AV309" s="108" t="s">
        <v>12</v>
      </c>
    </row>
    <row r="310" spans="4:48">
      <c r="D310" s="108" t="s">
        <v>12</v>
      </c>
      <c r="E310" s="742">
        <v>292</v>
      </c>
      <c r="F310" s="1016" t="str">
        <f t="shared" ca="1" si="31"/>
        <v/>
      </c>
      <c r="G310" s="1027" t="str">
        <f t="shared" ca="1" si="32"/>
        <v/>
      </c>
      <c r="H310" s="1043" t="str">
        <f ca="1"/>
        <v/>
      </c>
      <c r="I310" s="1006" t="str">
        <f ca="1"/>
        <v/>
      </c>
      <c r="J310" s="1006" t="str">
        <f ca="1"/>
        <v/>
      </c>
      <c r="K310" s="1016" t="str">
        <f ca="1"/>
        <v/>
      </c>
      <c r="L310" s="1019" t="str">
        <f ca="1"/>
        <v/>
      </c>
      <c r="M310" s="1006" t="str">
        <f ca="1"/>
        <v/>
      </c>
      <c r="N310" s="1060" t="str">
        <f t="shared" ca="1" si="29"/>
        <v/>
      </c>
      <c r="O310" s="996"/>
      <c r="P310" s="742">
        <v>292</v>
      </c>
      <c r="Q310" s="1016" t="str">
        <f t="shared" ca="1" si="33"/>
        <v/>
      </c>
      <c r="R310" s="1027" t="str">
        <f t="shared" ca="1" si="34"/>
        <v/>
      </c>
      <c r="S310" s="1006" t="str">
        <f ca="1"/>
        <v/>
      </c>
      <c r="T310" s="1006" t="str">
        <f ca="1"/>
        <v/>
      </c>
      <c r="U310" s="1006" t="str">
        <f ca="1"/>
        <v/>
      </c>
      <c r="V310" s="1016" t="str">
        <f ca="1"/>
        <v/>
      </c>
      <c r="W310" s="1019" t="str">
        <f ca="1"/>
        <v/>
      </c>
      <c r="X310" s="1006" t="str">
        <f ca="1"/>
        <v/>
      </c>
      <c r="Y310" s="864" t="str">
        <f t="shared" ca="1" si="30"/>
        <v/>
      </c>
      <c r="AA310" s="828">
        <v>292</v>
      </c>
      <c r="AB310" s="750"/>
      <c r="AC310" s="842"/>
      <c r="AD310" s="830"/>
      <c r="AE310" s="839"/>
      <c r="AF310" s="839"/>
      <c r="AG310" s="750"/>
      <c r="AH310" s="840"/>
      <c r="AI310" s="839"/>
      <c r="AJ310" s="841"/>
      <c r="AK310" s="108" t="s">
        <v>12</v>
      </c>
      <c r="AL310" s="847">
        <v>292</v>
      </c>
      <c r="AM310" s="857"/>
      <c r="AN310" s="842"/>
      <c r="AO310" s="839"/>
      <c r="AP310" s="839"/>
      <c r="AQ310" s="839"/>
      <c r="AR310" s="750"/>
      <c r="AS310" s="840"/>
      <c r="AT310" s="839"/>
      <c r="AU310" s="856"/>
      <c r="AV310" s="108" t="s">
        <v>12</v>
      </c>
    </row>
    <row r="311" spans="4:48">
      <c r="D311" s="108" t="s">
        <v>12</v>
      </c>
      <c r="E311" s="742">
        <v>293</v>
      </c>
      <c r="F311" s="1016" t="str">
        <f t="shared" ca="1" si="31"/>
        <v/>
      </c>
      <c r="G311" s="1027" t="str">
        <f t="shared" ca="1" si="32"/>
        <v/>
      </c>
      <c r="H311" s="1043" t="str">
        <f ca="1"/>
        <v/>
      </c>
      <c r="I311" s="1006" t="str">
        <f ca="1"/>
        <v/>
      </c>
      <c r="J311" s="1006" t="str">
        <f ca="1"/>
        <v/>
      </c>
      <c r="K311" s="1016" t="str">
        <f ca="1"/>
        <v/>
      </c>
      <c r="L311" s="1019" t="str">
        <f ca="1"/>
        <v/>
      </c>
      <c r="M311" s="1006" t="str">
        <f ca="1"/>
        <v/>
      </c>
      <c r="N311" s="1060" t="str">
        <f t="shared" ca="1" si="29"/>
        <v/>
      </c>
      <c r="O311" s="996"/>
      <c r="P311" s="742">
        <v>293</v>
      </c>
      <c r="Q311" s="1016" t="str">
        <f t="shared" ca="1" si="33"/>
        <v/>
      </c>
      <c r="R311" s="1027" t="str">
        <f t="shared" ca="1" si="34"/>
        <v/>
      </c>
      <c r="S311" s="1006" t="str">
        <f ca="1"/>
        <v/>
      </c>
      <c r="T311" s="1006" t="str">
        <f ca="1"/>
        <v/>
      </c>
      <c r="U311" s="1006" t="str">
        <f ca="1"/>
        <v/>
      </c>
      <c r="V311" s="1016" t="str">
        <f ca="1"/>
        <v/>
      </c>
      <c r="W311" s="1019" t="str">
        <f ca="1"/>
        <v/>
      </c>
      <c r="X311" s="1006" t="str">
        <f ca="1"/>
        <v/>
      </c>
      <c r="Y311" s="864" t="str">
        <f t="shared" ca="1" si="30"/>
        <v/>
      </c>
      <c r="AA311" s="828">
        <v>293</v>
      </c>
      <c r="AB311" s="750"/>
      <c r="AC311" s="842"/>
      <c r="AD311" s="830"/>
      <c r="AE311" s="839"/>
      <c r="AF311" s="839"/>
      <c r="AG311" s="750"/>
      <c r="AH311" s="840"/>
      <c r="AI311" s="839"/>
      <c r="AJ311" s="841"/>
      <c r="AK311" s="108" t="s">
        <v>12</v>
      </c>
      <c r="AL311" s="847">
        <v>293</v>
      </c>
      <c r="AM311" s="857"/>
      <c r="AN311" s="842"/>
      <c r="AO311" s="839"/>
      <c r="AP311" s="839"/>
      <c r="AQ311" s="839"/>
      <c r="AR311" s="750"/>
      <c r="AS311" s="840"/>
      <c r="AT311" s="839"/>
      <c r="AU311" s="856"/>
      <c r="AV311" s="108" t="s">
        <v>12</v>
      </c>
    </row>
    <row r="312" spans="4:48">
      <c r="D312" s="108" t="s">
        <v>12</v>
      </c>
      <c r="E312" s="742">
        <v>294</v>
      </c>
      <c r="F312" s="1016" t="str">
        <f t="shared" ca="1" si="31"/>
        <v/>
      </c>
      <c r="G312" s="1027" t="str">
        <f t="shared" ca="1" si="32"/>
        <v/>
      </c>
      <c r="H312" s="1043" t="str">
        <f ca="1"/>
        <v/>
      </c>
      <c r="I312" s="1006" t="str">
        <f ca="1"/>
        <v/>
      </c>
      <c r="J312" s="1006" t="str">
        <f ca="1"/>
        <v/>
      </c>
      <c r="K312" s="1016" t="str">
        <f ca="1"/>
        <v/>
      </c>
      <c r="L312" s="1019" t="str">
        <f ca="1"/>
        <v/>
      </c>
      <c r="M312" s="1006" t="str">
        <f ca="1"/>
        <v/>
      </c>
      <c r="N312" s="1060" t="str">
        <f t="shared" ca="1" si="29"/>
        <v/>
      </c>
      <c r="O312" s="996"/>
      <c r="P312" s="742">
        <v>294</v>
      </c>
      <c r="Q312" s="1016" t="str">
        <f t="shared" ca="1" si="33"/>
        <v/>
      </c>
      <c r="R312" s="1027" t="str">
        <f t="shared" ca="1" si="34"/>
        <v/>
      </c>
      <c r="S312" s="1006" t="str">
        <f ca="1"/>
        <v/>
      </c>
      <c r="T312" s="1006" t="str">
        <f ca="1"/>
        <v/>
      </c>
      <c r="U312" s="1006" t="str">
        <f ca="1"/>
        <v/>
      </c>
      <c r="V312" s="1016" t="str">
        <f ca="1"/>
        <v/>
      </c>
      <c r="W312" s="1019" t="str">
        <f ca="1"/>
        <v/>
      </c>
      <c r="X312" s="1006" t="str">
        <f ca="1"/>
        <v/>
      </c>
      <c r="Y312" s="864" t="str">
        <f t="shared" ca="1" si="30"/>
        <v/>
      </c>
      <c r="AA312" s="828">
        <v>294</v>
      </c>
      <c r="AB312" s="750"/>
      <c r="AC312" s="842"/>
      <c r="AD312" s="830"/>
      <c r="AE312" s="839"/>
      <c r="AF312" s="839"/>
      <c r="AG312" s="750"/>
      <c r="AH312" s="840"/>
      <c r="AI312" s="839"/>
      <c r="AJ312" s="841"/>
      <c r="AK312" s="108" t="s">
        <v>12</v>
      </c>
      <c r="AL312" s="847">
        <v>294</v>
      </c>
      <c r="AM312" s="857"/>
      <c r="AN312" s="842"/>
      <c r="AO312" s="839"/>
      <c r="AP312" s="839"/>
      <c r="AQ312" s="839"/>
      <c r="AR312" s="750"/>
      <c r="AS312" s="840"/>
      <c r="AT312" s="839"/>
      <c r="AU312" s="856"/>
      <c r="AV312" s="108" t="s">
        <v>12</v>
      </c>
    </row>
    <row r="313" spans="4:48">
      <c r="D313" s="108" t="s">
        <v>12</v>
      </c>
      <c r="E313" s="742">
        <v>295</v>
      </c>
      <c r="F313" s="1016" t="str">
        <f t="shared" ca="1" si="31"/>
        <v/>
      </c>
      <c r="G313" s="1027" t="str">
        <f t="shared" ca="1" si="32"/>
        <v/>
      </c>
      <c r="H313" s="1043" t="str">
        <f ca="1"/>
        <v/>
      </c>
      <c r="I313" s="1006" t="str">
        <f ca="1"/>
        <v/>
      </c>
      <c r="J313" s="1006" t="str">
        <f ca="1"/>
        <v/>
      </c>
      <c r="K313" s="1016" t="str">
        <f ca="1"/>
        <v/>
      </c>
      <c r="L313" s="1019" t="str">
        <f ca="1"/>
        <v/>
      </c>
      <c r="M313" s="1006" t="str">
        <f ca="1"/>
        <v/>
      </c>
      <c r="N313" s="1060" t="str">
        <f t="shared" ca="1" si="29"/>
        <v/>
      </c>
      <c r="O313" s="996"/>
      <c r="P313" s="742">
        <v>295</v>
      </c>
      <c r="Q313" s="1016" t="str">
        <f t="shared" ca="1" si="33"/>
        <v/>
      </c>
      <c r="R313" s="1027" t="str">
        <f t="shared" ca="1" si="34"/>
        <v/>
      </c>
      <c r="S313" s="1006" t="str">
        <f ca="1"/>
        <v/>
      </c>
      <c r="T313" s="1006" t="str">
        <f ca="1"/>
        <v/>
      </c>
      <c r="U313" s="1006" t="str">
        <f ca="1"/>
        <v/>
      </c>
      <c r="V313" s="1016" t="str">
        <f ca="1"/>
        <v/>
      </c>
      <c r="W313" s="1019" t="str">
        <f ca="1"/>
        <v/>
      </c>
      <c r="X313" s="1006" t="str">
        <f ca="1"/>
        <v/>
      </c>
      <c r="Y313" s="864" t="str">
        <f t="shared" ca="1" si="30"/>
        <v/>
      </c>
      <c r="AA313" s="828">
        <v>295</v>
      </c>
      <c r="AB313" s="750"/>
      <c r="AC313" s="842"/>
      <c r="AD313" s="830"/>
      <c r="AE313" s="839"/>
      <c r="AF313" s="839"/>
      <c r="AG313" s="750"/>
      <c r="AH313" s="840"/>
      <c r="AI313" s="839"/>
      <c r="AJ313" s="841"/>
      <c r="AK313" s="108" t="s">
        <v>12</v>
      </c>
      <c r="AL313" s="847">
        <v>295</v>
      </c>
      <c r="AM313" s="857"/>
      <c r="AN313" s="842"/>
      <c r="AO313" s="839"/>
      <c r="AP313" s="839"/>
      <c r="AQ313" s="839"/>
      <c r="AR313" s="750"/>
      <c r="AS313" s="840"/>
      <c r="AT313" s="839"/>
      <c r="AU313" s="856"/>
      <c r="AV313" s="108" t="s">
        <v>12</v>
      </c>
    </row>
    <row r="314" spans="4:48">
      <c r="D314" s="108" t="s">
        <v>12</v>
      </c>
      <c r="E314" s="742">
        <v>296</v>
      </c>
      <c r="F314" s="1016" t="str">
        <f t="shared" ca="1" si="31"/>
        <v/>
      </c>
      <c r="G314" s="1027" t="str">
        <f t="shared" ca="1" si="32"/>
        <v/>
      </c>
      <c r="H314" s="1043" t="str">
        <f ca="1"/>
        <v/>
      </c>
      <c r="I314" s="1006" t="str">
        <f ca="1"/>
        <v/>
      </c>
      <c r="J314" s="1006" t="str">
        <f ca="1"/>
        <v/>
      </c>
      <c r="K314" s="1016" t="str">
        <f ca="1"/>
        <v/>
      </c>
      <c r="L314" s="1019" t="str">
        <f ca="1"/>
        <v/>
      </c>
      <c r="M314" s="1006" t="str">
        <f ca="1"/>
        <v/>
      </c>
      <c r="N314" s="1060" t="str">
        <f t="shared" ca="1" si="29"/>
        <v/>
      </c>
      <c r="O314" s="996"/>
      <c r="P314" s="742">
        <v>296</v>
      </c>
      <c r="Q314" s="1016" t="str">
        <f t="shared" ca="1" si="33"/>
        <v/>
      </c>
      <c r="R314" s="1027" t="str">
        <f t="shared" ca="1" si="34"/>
        <v/>
      </c>
      <c r="S314" s="1006" t="str">
        <f ca="1"/>
        <v/>
      </c>
      <c r="T314" s="1006" t="str">
        <f ca="1"/>
        <v/>
      </c>
      <c r="U314" s="1006" t="str">
        <f ca="1"/>
        <v/>
      </c>
      <c r="V314" s="1016" t="str">
        <f ca="1"/>
        <v/>
      </c>
      <c r="W314" s="1019" t="str">
        <f ca="1"/>
        <v/>
      </c>
      <c r="X314" s="1006" t="str">
        <f ca="1"/>
        <v/>
      </c>
      <c r="Y314" s="864" t="str">
        <f t="shared" ca="1" si="30"/>
        <v/>
      </c>
      <c r="AA314" s="828">
        <v>296</v>
      </c>
      <c r="AB314" s="750"/>
      <c r="AC314" s="842"/>
      <c r="AD314" s="830"/>
      <c r="AE314" s="839"/>
      <c r="AF314" s="839"/>
      <c r="AG314" s="750"/>
      <c r="AH314" s="840"/>
      <c r="AI314" s="839"/>
      <c r="AJ314" s="841"/>
      <c r="AK314" s="108" t="s">
        <v>12</v>
      </c>
      <c r="AL314" s="847">
        <v>296</v>
      </c>
      <c r="AM314" s="857"/>
      <c r="AN314" s="842"/>
      <c r="AO314" s="839"/>
      <c r="AP314" s="839"/>
      <c r="AQ314" s="839"/>
      <c r="AR314" s="750"/>
      <c r="AS314" s="840"/>
      <c r="AT314" s="839"/>
      <c r="AU314" s="856"/>
      <c r="AV314" s="108" t="s">
        <v>12</v>
      </c>
    </row>
    <row r="315" spans="4:48">
      <c r="D315" s="108" t="s">
        <v>12</v>
      </c>
      <c r="E315" s="742">
        <v>297</v>
      </c>
      <c r="F315" s="1016" t="str">
        <f t="shared" ca="1" si="31"/>
        <v/>
      </c>
      <c r="G315" s="1027" t="str">
        <f t="shared" ca="1" si="32"/>
        <v/>
      </c>
      <c r="H315" s="1043" t="str">
        <f ca="1"/>
        <v/>
      </c>
      <c r="I315" s="1006" t="str">
        <f ca="1"/>
        <v/>
      </c>
      <c r="J315" s="1006" t="str">
        <f ca="1"/>
        <v/>
      </c>
      <c r="K315" s="1016" t="str">
        <f ca="1"/>
        <v/>
      </c>
      <c r="L315" s="1019" t="str">
        <f ca="1"/>
        <v/>
      </c>
      <c r="M315" s="1006" t="str">
        <f ca="1"/>
        <v/>
      </c>
      <c r="N315" s="1060" t="str">
        <f t="shared" ca="1" si="29"/>
        <v/>
      </c>
      <c r="O315" s="996"/>
      <c r="P315" s="742">
        <v>297</v>
      </c>
      <c r="Q315" s="1016" t="str">
        <f t="shared" ca="1" si="33"/>
        <v/>
      </c>
      <c r="R315" s="1027" t="str">
        <f t="shared" ca="1" si="34"/>
        <v/>
      </c>
      <c r="S315" s="1006" t="str">
        <f ca="1"/>
        <v/>
      </c>
      <c r="T315" s="1006" t="str">
        <f ca="1"/>
        <v/>
      </c>
      <c r="U315" s="1006" t="str">
        <f ca="1"/>
        <v/>
      </c>
      <c r="V315" s="1016" t="str">
        <f ca="1"/>
        <v/>
      </c>
      <c r="W315" s="1019" t="str">
        <f ca="1"/>
        <v/>
      </c>
      <c r="X315" s="1006" t="str">
        <f ca="1"/>
        <v/>
      </c>
      <c r="Y315" s="864" t="str">
        <f t="shared" ca="1" si="30"/>
        <v/>
      </c>
      <c r="AA315" s="828">
        <v>297</v>
      </c>
      <c r="AB315" s="750"/>
      <c r="AC315" s="842"/>
      <c r="AD315" s="830"/>
      <c r="AE315" s="839"/>
      <c r="AF315" s="839"/>
      <c r="AG315" s="750"/>
      <c r="AH315" s="840"/>
      <c r="AI315" s="839"/>
      <c r="AJ315" s="841"/>
      <c r="AK315" s="108" t="s">
        <v>12</v>
      </c>
      <c r="AL315" s="847">
        <v>297</v>
      </c>
      <c r="AM315" s="857"/>
      <c r="AN315" s="842"/>
      <c r="AO315" s="839"/>
      <c r="AP315" s="839"/>
      <c r="AQ315" s="839"/>
      <c r="AR315" s="750"/>
      <c r="AS315" s="840"/>
      <c r="AT315" s="839"/>
      <c r="AU315" s="856"/>
      <c r="AV315" s="108" t="s">
        <v>12</v>
      </c>
    </row>
    <row r="316" spans="4:48">
      <c r="D316" s="108" t="s">
        <v>12</v>
      </c>
      <c r="E316" s="742">
        <v>298</v>
      </c>
      <c r="F316" s="1016" t="str">
        <f t="shared" ca="1" si="31"/>
        <v/>
      </c>
      <c r="G316" s="1027" t="str">
        <f t="shared" ca="1" si="32"/>
        <v/>
      </c>
      <c r="H316" s="1043" t="str">
        <f ca="1"/>
        <v/>
      </c>
      <c r="I316" s="1006" t="str">
        <f ca="1"/>
        <v/>
      </c>
      <c r="J316" s="1006" t="str">
        <f ca="1"/>
        <v/>
      </c>
      <c r="K316" s="1016" t="str">
        <f ca="1"/>
        <v/>
      </c>
      <c r="L316" s="1019" t="str">
        <f ca="1"/>
        <v/>
      </c>
      <c r="M316" s="1006" t="str">
        <f ca="1"/>
        <v/>
      </c>
      <c r="N316" s="1060" t="str">
        <f t="shared" ca="1" si="29"/>
        <v/>
      </c>
      <c r="O316" s="996"/>
      <c r="P316" s="742">
        <v>298</v>
      </c>
      <c r="Q316" s="1016" t="str">
        <f t="shared" ca="1" si="33"/>
        <v/>
      </c>
      <c r="R316" s="1027" t="str">
        <f t="shared" ca="1" si="34"/>
        <v/>
      </c>
      <c r="S316" s="1006" t="str">
        <f ca="1"/>
        <v/>
      </c>
      <c r="T316" s="1006" t="str">
        <f ca="1"/>
        <v/>
      </c>
      <c r="U316" s="1006" t="str">
        <f ca="1"/>
        <v/>
      </c>
      <c r="V316" s="1016" t="str">
        <f ca="1"/>
        <v/>
      </c>
      <c r="W316" s="1019" t="str">
        <f ca="1"/>
        <v/>
      </c>
      <c r="X316" s="1006" t="str">
        <f ca="1"/>
        <v/>
      </c>
      <c r="Y316" s="864" t="str">
        <f t="shared" ca="1" si="30"/>
        <v/>
      </c>
      <c r="AA316" s="828">
        <v>298</v>
      </c>
      <c r="AB316" s="750"/>
      <c r="AC316" s="842"/>
      <c r="AD316" s="830"/>
      <c r="AE316" s="839"/>
      <c r="AF316" s="839"/>
      <c r="AG316" s="750"/>
      <c r="AH316" s="840"/>
      <c r="AI316" s="839"/>
      <c r="AJ316" s="841"/>
      <c r="AK316" s="108" t="s">
        <v>12</v>
      </c>
      <c r="AL316" s="847">
        <v>298</v>
      </c>
      <c r="AM316" s="857"/>
      <c r="AN316" s="842"/>
      <c r="AO316" s="839"/>
      <c r="AP316" s="839"/>
      <c r="AQ316" s="839"/>
      <c r="AR316" s="750"/>
      <c r="AS316" s="840"/>
      <c r="AT316" s="839"/>
      <c r="AU316" s="856"/>
      <c r="AV316" s="108" t="s">
        <v>12</v>
      </c>
    </row>
    <row r="317" spans="4:48">
      <c r="D317" s="108" t="s">
        <v>12</v>
      </c>
      <c r="E317" s="742">
        <v>299</v>
      </c>
      <c r="F317" s="1016" t="str">
        <f t="shared" ca="1" si="31"/>
        <v/>
      </c>
      <c r="G317" s="1027" t="str">
        <f t="shared" ca="1" si="32"/>
        <v/>
      </c>
      <c r="H317" s="1043" t="str">
        <f ca="1"/>
        <v/>
      </c>
      <c r="I317" s="1006" t="str">
        <f ca="1"/>
        <v/>
      </c>
      <c r="J317" s="1006" t="str">
        <f ca="1"/>
        <v/>
      </c>
      <c r="K317" s="1016" t="str">
        <f ca="1"/>
        <v/>
      </c>
      <c r="L317" s="1019" t="str">
        <f ca="1"/>
        <v/>
      </c>
      <c r="M317" s="1006" t="str">
        <f ca="1"/>
        <v/>
      </c>
      <c r="N317" s="1060" t="str">
        <f t="shared" ca="1" si="29"/>
        <v/>
      </c>
      <c r="O317" s="996"/>
      <c r="P317" s="742">
        <v>299</v>
      </c>
      <c r="Q317" s="1016" t="str">
        <f t="shared" ca="1" si="33"/>
        <v/>
      </c>
      <c r="R317" s="1027" t="str">
        <f t="shared" ca="1" si="34"/>
        <v/>
      </c>
      <c r="S317" s="1006" t="str">
        <f ca="1"/>
        <v/>
      </c>
      <c r="T317" s="1006" t="str">
        <f ca="1"/>
        <v/>
      </c>
      <c r="U317" s="1006" t="str">
        <f ca="1"/>
        <v/>
      </c>
      <c r="V317" s="1016" t="str">
        <f ca="1"/>
        <v/>
      </c>
      <c r="W317" s="1019" t="str">
        <f ca="1"/>
        <v/>
      </c>
      <c r="X317" s="1006" t="str">
        <f ca="1"/>
        <v/>
      </c>
      <c r="Y317" s="864" t="str">
        <f t="shared" ca="1" si="30"/>
        <v/>
      </c>
      <c r="AA317" s="828">
        <v>299</v>
      </c>
      <c r="AB317" s="750"/>
      <c r="AC317" s="842"/>
      <c r="AD317" s="830"/>
      <c r="AE317" s="839"/>
      <c r="AF317" s="839"/>
      <c r="AG317" s="750"/>
      <c r="AH317" s="840"/>
      <c r="AI317" s="839"/>
      <c r="AJ317" s="841"/>
      <c r="AK317" s="108" t="s">
        <v>12</v>
      </c>
      <c r="AL317" s="847">
        <v>299</v>
      </c>
      <c r="AM317" s="857"/>
      <c r="AN317" s="842"/>
      <c r="AO317" s="839"/>
      <c r="AP317" s="839"/>
      <c r="AQ317" s="839"/>
      <c r="AR317" s="750"/>
      <c r="AS317" s="840"/>
      <c r="AT317" s="839"/>
      <c r="AU317" s="856"/>
      <c r="AV317" s="108" t="s">
        <v>12</v>
      </c>
    </row>
    <row r="318" spans="4:48">
      <c r="D318" s="108" t="s">
        <v>12</v>
      </c>
      <c r="E318" s="742">
        <v>300</v>
      </c>
      <c r="F318" s="1016" t="str">
        <f t="shared" ca="1" si="31"/>
        <v/>
      </c>
      <c r="G318" s="1027" t="str">
        <f t="shared" ca="1" si="32"/>
        <v/>
      </c>
      <c r="H318" s="1043" t="str">
        <f ca="1"/>
        <v/>
      </c>
      <c r="I318" s="1006" t="str">
        <f ca="1"/>
        <v/>
      </c>
      <c r="J318" s="1006" t="str">
        <f ca="1"/>
        <v/>
      </c>
      <c r="K318" s="1016" t="str">
        <f ca="1"/>
        <v/>
      </c>
      <c r="L318" s="1019" t="str">
        <f ca="1"/>
        <v/>
      </c>
      <c r="M318" s="1006" t="str">
        <f ca="1"/>
        <v/>
      </c>
      <c r="N318" s="1060" t="str">
        <f t="shared" ca="1" si="29"/>
        <v/>
      </c>
      <c r="O318" s="996"/>
      <c r="P318" s="742">
        <v>300</v>
      </c>
      <c r="Q318" s="1016" t="str">
        <f t="shared" ca="1" si="33"/>
        <v/>
      </c>
      <c r="R318" s="1027" t="str">
        <f t="shared" ca="1" si="34"/>
        <v/>
      </c>
      <c r="S318" s="1006" t="str">
        <f ca="1"/>
        <v/>
      </c>
      <c r="T318" s="1006" t="str">
        <f ca="1"/>
        <v/>
      </c>
      <c r="U318" s="1006" t="str">
        <f ca="1"/>
        <v/>
      </c>
      <c r="V318" s="1016" t="str">
        <f ca="1"/>
        <v/>
      </c>
      <c r="W318" s="1019" t="str">
        <f ca="1"/>
        <v/>
      </c>
      <c r="X318" s="1006" t="str">
        <f ca="1"/>
        <v/>
      </c>
      <c r="Y318" s="864" t="str">
        <f t="shared" ca="1" si="30"/>
        <v/>
      </c>
      <c r="AA318" s="828">
        <v>300</v>
      </c>
      <c r="AB318" s="750"/>
      <c r="AC318" s="842"/>
      <c r="AD318" s="830"/>
      <c r="AE318" s="839"/>
      <c r="AF318" s="839"/>
      <c r="AG318" s="750"/>
      <c r="AH318" s="840"/>
      <c r="AI318" s="839"/>
      <c r="AJ318" s="841"/>
      <c r="AK318" s="108" t="s">
        <v>12</v>
      </c>
      <c r="AL318" s="847">
        <v>300</v>
      </c>
      <c r="AM318" s="857"/>
      <c r="AN318" s="842"/>
      <c r="AO318" s="839"/>
      <c r="AP318" s="839"/>
      <c r="AQ318" s="839"/>
      <c r="AR318" s="750"/>
      <c r="AS318" s="840"/>
      <c r="AT318" s="839"/>
      <c r="AU318" s="856"/>
      <c r="AV318" s="108" t="s">
        <v>12</v>
      </c>
    </row>
    <row r="319" spans="4:48">
      <c r="D319" s="108" t="s">
        <v>12</v>
      </c>
      <c r="E319" s="742">
        <v>301</v>
      </c>
      <c r="F319" s="1016" t="str">
        <f t="shared" ca="1" si="31"/>
        <v/>
      </c>
      <c r="G319" s="1027" t="str">
        <f t="shared" ca="1" si="32"/>
        <v/>
      </c>
      <c r="H319" s="1043" t="str">
        <f ca="1"/>
        <v/>
      </c>
      <c r="I319" s="1006" t="str">
        <f ca="1"/>
        <v/>
      </c>
      <c r="J319" s="1006" t="str">
        <f ca="1"/>
        <v/>
      </c>
      <c r="K319" s="1016" t="str">
        <f ca="1"/>
        <v/>
      </c>
      <c r="L319" s="1019" t="str">
        <f ca="1"/>
        <v/>
      </c>
      <c r="M319" s="1006" t="str">
        <f ca="1"/>
        <v/>
      </c>
      <c r="N319" s="1060" t="str">
        <f t="shared" ca="1" si="29"/>
        <v/>
      </c>
      <c r="O319" s="996"/>
      <c r="P319" s="742">
        <v>301</v>
      </c>
      <c r="Q319" s="1016" t="str">
        <f t="shared" ca="1" si="33"/>
        <v/>
      </c>
      <c r="R319" s="1027" t="str">
        <f t="shared" ca="1" si="34"/>
        <v/>
      </c>
      <c r="S319" s="1006" t="str">
        <f ca="1"/>
        <v/>
      </c>
      <c r="T319" s="1006" t="str">
        <f ca="1"/>
        <v/>
      </c>
      <c r="U319" s="1006" t="str">
        <f ca="1"/>
        <v/>
      </c>
      <c r="V319" s="1016" t="str">
        <f ca="1"/>
        <v/>
      </c>
      <c r="W319" s="1019" t="str">
        <f ca="1"/>
        <v/>
      </c>
      <c r="X319" s="1006" t="str">
        <f ca="1"/>
        <v/>
      </c>
      <c r="Y319" s="864" t="str">
        <f t="shared" ca="1" si="30"/>
        <v/>
      </c>
      <c r="AA319" s="828">
        <v>301</v>
      </c>
      <c r="AB319" s="750"/>
      <c r="AC319" s="842"/>
      <c r="AD319" s="830"/>
      <c r="AE319" s="839"/>
      <c r="AF319" s="839"/>
      <c r="AG319" s="750"/>
      <c r="AH319" s="840"/>
      <c r="AI319" s="839"/>
      <c r="AJ319" s="841"/>
      <c r="AK319" s="108" t="s">
        <v>12</v>
      </c>
      <c r="AL319" s="847">
        <v>301</v>
      </c>
      <c r="AM319" s="857"/>
      <c r="AN319" s="842"/>
      <c r="AO319" s="839"/>
      <c r="AP319" s="839"/>
      <c r="AQ319" s="839"/>
      <c r="AR319" s="750"/>
      <c r="AS319" s="840"/>
      <c r="AT319" s="839"/>
      <c r="AU319" s="856"/>
      <c r="AV319" s="108" t="s">
        <v>12</v>
      </c>
    </row>
    <row r="320" spans="4:48">
      <c r="D320" s="108" t="s">
        <v>12</v>
      </c>
      <c r="E320" s="742">
        <v>302</v>
      </c>
      <c r="F320" s="1016" t="str">
        <f t="shared" ca="1" si="31"/>
        <v/>
      </c>
      <c r="G320" s="1027" t="str">
        <f t="shared" ca="1" si="32"/>
        <v/>
      </c>
      <c r="H320" s="1043" t="str">
        <f ca="1"/>
        <v/>
      </c>
      <c r="I320" s="1006" t="str">
        <f ca="1"/>
        <v/>
      </c>
      <c r="J320" s="1006" t="str">
        <f ca="1"/>
        <v/>
      </c>
      <c r="K320" s="1016" t="str">
        <f ca="1"/>
        <v/>
      </c>
      <c r="L320" s="1019" t="str">
        <f ca="1"/>
        <v/>
      </c>
      <c r="M320" s="1006" t="str">
        <f ca="1"/>
        <v/>
      </c>
      <c r="N320" s="1060" t="str">
        <f t="shared" ca="1" si="29"/>
        <v/>
      </c>
      <c r="O320" s="996"/>
      <c r="P320" s="742">
        <v>302</v>
      </c>
      <c r="Q320" s="1016" t="str">
        <f t="shared" ca="1" si="33"/>
        <v/>
      </c>
      <c r="R320" s="1027" t="str">
        <f t="shared" ca="1" si="34"/>
        <v/>
      </c>
      <c r="S320" s="1006" t="str">
        <f ca="1"/>
        <v/>
      </c>
      <c r="T320" s="1006" t="str">
        <f ca="1"/>
        <v/>
      </c>
      <c r="U320" s="1006" t="str">
        <f ca="1"/>
        <v/>
      </c>
      <c r="V320" s="1016" t="str">
        <f ca="1"/>
        <v/>
      </c>
      <c r="W320" s="1019" t="str">
        <f ca="1"/>
        <v/>
      </c>
      <c r="X320" s="1006" t="str">
        <f ca="1"/>
        <v/>
      </c>
      <c r="Y320" s="864" t="str">
        <f t="shared" ca="1" si="30"/>
        <v/>
      </c>
      <c r="AA320" s="828">
        <v>302</v>
      </c>
      <c r="AB320" s="750"/>
      <c r="AC320" s="842"/>
      <c r="AD320" s="830"/>
      <c r="AE320" s="839"/>
      <c r="AF320" s="839"/>
      <c r="AG320" s="750"/>
      <c r="AH320" s="840"/>
      <c r="AI320" s="839"/>
      <c r="AJ320" s="841"/>
      <c r="AK320" s="108" t="s">
        <v>12</v>
      </c>
      <c r="AL320" s="847">
        <v>302</v>
      </c>
      <c r="AM320" s="857"/>
      <c r="AN320" s="842"/>
      <c r="AO320" s="839"/>
      <c r="AP320" s="839"/>
      <c r="AQ320" s="839"/>
      <c r="AR320" s="750"/>
      <c r="AS320" s="840"/>
      <c r="AT320" s="839"/>
      <c r="AU320" s="856"/>
      <c r="AV320" s="108" t="s">
        <v>12</v>
      </c>
    </row>
    <row r="321" spans="4:48">
      <c r="D321" s="108" t="s">
        <v>12</v>
      </c>
      <c r="E321" s="742">
        <v>303</v>
      </c>
      <c r="F321" s="1016" t="str">
        <f t="shared" ca="1" si="31"/>
        <v/>
      </c>
      <c r="G321" s="1027" t="str">
        <f t="shared" ca="1" si="32"/>
        <v/>
      </c>
      <c r="H321" s="1043" t="str">
        <f ca="1"/>
        <v/>
      </c>
      <c r="I321" s="1006" t="str">
        <f ca="1"/>
        <v/>
      </c>
      <c r="J321" s="1006" t="str">
        <f ca="1"/>
        <v/>
      </c>
      <c r="K321" s="1016" t="str">
        <f ca="1"/>
        <v/>
      </c>
      <c r="L321" s="1019" t="str">
        <f ca="1"/>
        <v/>
      </c>
      <c r="M321" s="1006" t="str">
        <f ca="1"/>
        <v/>
      </c>
      <c r="N321" s="1060" t="str">
        <f t="shared" ca="1" si="29"/>
        <v/>
      </c>
      <c r="O321" s="996"/>
      <c r="P321" s="742">
        <v>303</v>
      </c>
      <c r="Q321" s="1016" t="str">
        <f t="shared" ca="1" si="33"/>
        <v/>
      </c>
      <c r="R321" s="1027" t="str">
        <f t="shared" ca="1" si="34"/>
        <v/>
      </c>
      <c r="S321" s="1006" t="str">
        <f ca="1"/>
        <v/>
      </c>
      <c r="T321" s="1006" t="str">
        <f ca="1"/>
        <v/>
      </c>
      <c r="U321" s="1006" t="str">
        <f ca="1"/>
        <v/>
      </c>
      <c r="V321" s="1016" t="str">
        <f ca="1"/>
        <v/>
      </c>
      <c r="W321" s="1019" t="str">
        <f ca="1"/>
        <v/>
      </c>
      <c r="X321" s="1006" t="str">
        <f ca="1"/>
        <v/>
      </c>
      <c r="Y321" s="864" t="str">
        <f t="shared" ca="1" si="30"/>
        <v/>
      </c>
      <c r="AA321" s="828">
        <v>303</v>
      </c>
      <c r="AB321" s="750"/>
      <c r="AC321" s="842"/>
      <c r="AD321" s="830"/>
      <c r="AE321" s="839"/>
      <c r="AF321" s="839"/>
      <c r="AG321" s="750"/>
      <c r="AH321" s="840"/>
      <c r="AI321" s="839"/>
      <c r="AJ321" s="841"/>
      <c r="AK321" s="108" t="s">
        <v>12</v>
      </c>
      <c r="AL321" s="847">
        <v>303</v>
      </c>
      <c r="AM321" s="857"/>
      <c r="AN321" s="842"/>
      <c r="AO321" s="839"/>
      <c r="AP321" s="839"/>
      <c r="AQ321" s="839"/>
      <c r="AR321" s="750"/>
      <c r="AS321" s="840"/>
      <c r="AT321" s="839"/>
      <c r="AU321" s="856"/>
      <c r="AV321" s="108" t="s">
        <v>12</v>
      </c>
    </row>
    <row r="322" spans="4:48">
      <c r="D322" s="108" t="s">
        <v>12</v>
      </c>
      <c r="E322" s="742">
        <v>304</v>
      </c>
      <c r="F322" s="1016" t="str">
        <f t="shared" ca="1" si="31"/>
        <v/>
      </c>
      <c r="G322" s="1027" t="str">
        <f t="shared" ca="1" si="32"/>
        <v/>
      </c>
      <c r="H322" s="1043" t="str">
        <f ca="1"/>
        <v/>
      </c>
      <c r="I322" s="1006" t="str">
        <f ca="1"/>
        <v/>
      </c>
      <c r="J322" s="1006" t="str">
        <f ca="1"/>
        <v/>
      </c>
      <c r="K322" s="1016" t="str">
        <f ca="1"/>
        <v/>
      </c>
      <c r="L322" s="1019" t="str">
        <f ca="1"/>
        <v/>
      </c>
      <c r="M322" s="1006" t="str">
        <f ca="1"/>
        <v/>
      </c>
      <c r="N322" s="1060" t="str">
        <f t="shared" ca="1" si="29"/>
        <v/>
      </c>
      <c r="O322" s="996"/>
      <c r="P322" s="742">
        <v>304</v>
      </c>
      <c r="Q322" s="1016" t="str">
        <f t="shared" ca="1" si="33"/>
        <v/>
      </c>
      <c r="R322" s="1027" t="str">
        <f t="shared" ca="1" si="34"/>
        <v/>
      </c>
      <c r="S322" s="1006" t="str">
        <f ca="1"/>
        <v/>
      </c>
      <c r="T322" s="1006" t="str">
        <f ca="1"/>
        <v/>
      </c>
      <c r="U322" s="1006" t="str">
        <f ca="1"/>
        <v/>
      </c>
      <c r="V322" s="1016" t="str">
        <f ca="1"/>
        <v/>
      </c>
      <c r="W322" s="1019" t="str">
        <f ca="1"/>
        <v/>
      </c>
      <c r="X322" s="1006" t="str">
        <f ca="1"/>
        <v/>
      </c>
      <c r="Y322" s="864" t="str">
        <f t="shared" ca="1" si="30"/>
        <v/>
      </c>
      <c r="AA322" s="828">
        <v>304</v>
      </c>
      <c r="AB322" s="750"/>
      <c r="AC322" s="842"/>
      <c r="AD322" s="830"/>
      <c r="AE322" s="839"/>
      <c r="AF322" s="839"/>
      <c r="AG322" s="750"/>
      <c r="AH322" s="840"/>
      <c r="AI322" s="839"/>
      <c r="AJ322" s="841"/>
      <c r="AK322" s="108" t="s">
        <v>12</v>
      </c>
      <c r="AL322" s="847">
        <v>304</v>
      </c>
      <c r="AM322" s="857"/>
      <c r="AN322" s="842"/>
      <c r="AO322" s="839"/>
      <c r="AP322" s="839"/>
      <c r="AQ322" s="839"/>
      <c r="AR322" s="750"/>
      <c r="AS322" s="840"/>
      <c r="AT322" s="839"/>
      <c r="AU322" s="856"/>
      <c r="AV322" s="108" t="s">
        <v>12</v>
      </c>
    </row>
    <row r="323" spans="4:48">
      <c r="D323" s="108" t="s">
        <v>12</v>
      </c>
      <c r="E323" s="742">
        <v>305</v>
      </c>
      <c r="F323" s="1016" t="str">
        <f t="shared" ca="1" si="31"/>
        <v/>
      </c>
      <c r="G323" s="1027" t="str">
        <f t="shared" ca="1" si="32"/>
        <v/>
      </c>
      <c r="H323" s="1043" t="str">
        <f ca="1"/>
        <v/>
      </c>
      <c r="I323" s="1006" t="str">
        <f ca="1"/>
        <v/>
      </c>
      <c r="J323" s="1006" t="str">
        <f ca="1"/>
        <v/>
      </c>
      <c r="K323" s="1016" t="str">
        <f ca="1"/>
        <v/>
      </c>
      <c r="L323" s="1019" t="str">
        <f ca="1"/>
        <v/>
      </c>
      <c r="M323" s="1006" t="str">
        <f ca="1"/>
        <v/>
      </c>
      <c r="N323" s="1060" t="str">
        <f t="shared" ca="1" si="29"/>
        <v/>
      </c>
      <c r="O323" s="996"/>
      <c r="P323" s="742">
        <v>305</v>
      </c>
      <c r="Q323" s="1016" t="str">
        <f t="shared" ca="1" si="33"/>
        <v/>
      </c>
      <c r="R323" s="1027" t="str">
        <f t="shared" ca="1" si="34"/>
        <v/>
      </c>
      <c r="S323" s="1006" t="str">
        <f ca="1"/>
        <v/>
      </c>
      <c r="T323" s="1006" t="str">
        <f ca="1"/>
        <v/>
      </c>
      <c r="U323" s="1006" t="str">
        <f ca="1"/>
        <v/>
      </c>
      <c r="V323" s="1016" t="str">
        <f ca="1"/>
        <v/>
      </c>
      <c r="W323" s="1019" t="str">
        <f ca="1"/>
        <v/>
      </c>
      <c r="X323" s="1006" t="str">
        <f ca="1"/>
        <v/>
      </c>
      <c r="Y323" s="864" t="str">
        <f t="shared" ca="1" si="30"/>
        <v/>
      </c>
      <c r="AA323" s="828">
        <v>305</v>
      </c>
      <c r="AB323" s="750"/>
      <c r="AC323" s="842"/>
      <c r="AD323" s="830"/>
      <c r="AE323" s="839"/>
      <c r="AF323" s="839"/>
      <c r="AG323" s="750"/>
      <c r="AH323" s="840"/>
      <c r="AI323" s="839"/>
      <c r="AJ323" s="841"/>
      <c r="AK323" s="108" t="s">
        <v>12</v>
      </c>
      <c r="AL323" s="847">
        <v>305</v>
      </c>
      <c r="AM323" s="857"/>
      <c r="AN323" s="842"/>
      <c r="AO323" s="839"/>
      <c r="AP323" s="839"/>
      <c r="AQ323" s="839"/>
      <c r="AR323" s="750"/>
      <c r="AS323" s="840"/>
      <c r="AT323" s="839"/>
      <c r="AU323" s="856"/>
      <c r="AV323" s="108" t="s">
        <v>12</v>
      </c>
    </row>
    <row r="324" spans="4:48">
      <c r="D324" s="108" t="s">
        <v>12</v>
      </c>
      <c r="E324" s="742">
        <v>306</v>
      </c>
      <c r="F324" s="1016" t="str">
        <f t="shared" ca="1" si="31"/>
        <v/>
      </c>
      <c r="G324" s="1027" t="str">
        <f t="shared" ca="1" si="32"/>
        <v/>
      </c>
      <c r="H324" s="1043" t="str">
        <f ca="1"/>
        <v/>
      </c>
      <c r="I324" s="1006" t="str">
        <f ca="1"/>
        <v/>
      </c>
      <c r="J324" s="1006" t="str">
        <f ca="1"/>
        <v/>
      </c>
      <c r="K324" s="1016" t="str">
        <f ca="1"/>
        <v/>
      </c>
      <c r="L324" s="1019" t="str">
        <f ca="1"/>
        <v/>
      </c>
      <c r="M324" s="1006" t="str">
        <f ca="1"/>
        <v/>
      </c>
      <c r="N324" s="1060" t="str">
        <f t="shared" ca="1" si="29"/>
        <v/>
      </c>
      <c r="O324" s="996"/>
      <c r="P324" s="742">
        <v>306</v>
      </c>
      <c r="Q324" s="1016" t="str">
        <f t="shared" ca="1" si="33"/>
        <v/>
      </c>
      <c r="R324" s="1027" t="str">
        <f t="shared" ca="1" si="34"/>
        <v/>
      </c>
      <c r="S324" s="1006" t="str">
        <f ca="1"/>
        <v/>
      </c>
      <c r="T324" s="1006" t="str">
        <f ca="1"/>
        <v/>
      </c>
      <c r="U324" s="1006" t="str">
        <f ca="1"/>
        <v/>
      </c>
      <c r="V324" s="1016" t="str">
        <f ca="1"/>
        <v/>
      </c>
      <c r="W324" s="1019" t="str">
        <f ca="1"/>
        <v/>
      </c>
      <c r="X324" s="1006" t="str">
        <f ca="1"/>
        <v/>
      </c>
      <c r="Y324" s="864" t="str">
        <f t="shared" ca="1" si="30"/>
        <v/>
      </c>
      <c r="AA324" s="828">
        <v>306</v>
      </c>
      <c r="AB324" s="750"/>
      <c r="AC324" s="842"/>
      <c r="AD324" s="830"/>
      <c r="AE324" s="839"/>
      <c r="AF324" s="839"/>
      <c r="AG324" s="750"/>
      <c r="AH324" s="840"/>
      <c r="AI324" s="839"/>
      <c r="AJ324" s="841"/>
      <c r="AK324" s="108" t="s">
        <v>12</v>
      </c>
      <c r="AL324" s="847">
        <v>306</v>
      </c>
      <c r="AM324" s="857"/>
      <c r="AN324" s="842"/>
      <c r="AO324" s="839"/>
      <c r="AP324" s="839"/>
      <c r="AQ324" s="839"/>
      <c r="AR324" s="750"/>
      <c r="AS324" s="840"/>
      <c r="AT324" s="839"/>
      <c r="AU324" s="856"/>
      <c r="AV324" s="108" t="s">
        <v>12</v>
      </c>
    </row>
    <row r="325" spans="4:48">
      <c r="D325" s="108" t="s">
        <v>12</v>
      </c>
      <c r="E325" s="742">
        <v>307</v>
      </c>
      <c r="F325" s="1016" t="str">
        <f t="shared" ca="1" si="31"/>
        <v/>
      </c>
      <c r="G325" s="1027" t="str">
        <f t="shared" ca="1" si="32"/>
        <v/>
      </c>
      <c r="H325" s="1043" t="str">
        <f ca="1"/>
        <v/>
      </c>
      <c r="I325" s="1006" t="str">
        <f ca="1"/>
        <v/>
      </c>
      <c r="J325" s="1006" t="str">
        <f ca="1"/>
        <v/>
      </c>
      <c r="K325" s="1016" t="str">
        <f ca="1"/>
        <v/>
      </c>
      <c r="L325" s="1019" t="str">
        <f ca="1"/>
        <v/>
      </c>
      <c r="M325" s="1006" t="str">
        <f ca="1"/>
        <v/>
      </c>
      <c r="N325" s="1060" t="str">
        <f t="shared" ca="1" si="29"/>
        <v/>
      </c>
      <c r="O325" s="996"/>
      <c r="P325" s="742">
        <v>307</v>
      </c>
      <c r="Q325" s="1016" t="str">
        <f t="shared" ca="1" si="33"/>
        <v/>
      </c>
      <c r="R325" s="1027" t="str">
        <f t="shared" ca="1" si="34"/>
        <v/>
      </c>
      <c r="S325" s="1006" t="str">
        <f ca="1"/>
        <v/>
      </c>
      <c r="T325" s="1006" t="str">
        <f ca="1"/>
        <v/>
      </c>
      <c r="U325" s="1006" t="str">
        <f ca="1"/>
        <v/>
      </c>
      <c r="V325" s="1016" t="str">
        <f ca="1"/>
        <v/>
      </c>
      <c r="W325" s="1019" t="str">
        <f ca="1"/>
        <v/>
      </c>
      <c r="X325" s="1006" t="str">
        <f ca="1"/>
        <v/>
      </c>
      <c r="Y325" s="864" t="str">
        <f t="shared" ca="1" si="30"/>
        <v/>
      </c>
      <c r="AA325" s="828">
        <v>307</v>
      </c>
      <c r="AB325" s="750"/>
      <c r="AC325" s="842"/>
      <c r="AD325" s="830"/>
      <c r="AE325" s="839"/>
      <c r="AF325" s="839"/>
      <c r="AG325" s="750"/>
      <c r="AH325" s="840"/>
      <c r="AI325" s="839"/>
      <c r="AJ325" s="841"/>
      <c r="AK325" s="108" t="s">
        <v>12</v>
      </c>
      <c r="AL325" s="847">
        <v>307</v>
      </c>
      <c r="AM325" s="857"/>
      <c r="AN325" s="842"/>
      <c r="AO325" s="839"/>
      <c r="AP325" s="839"/>
      <c r="AQ325" s="839"/>
      <c r="AR325" s="750"/>
      <c r="AS325" s="840"/>
      <c r="AT325" s="839"/>
      <c r="AU325" s="856"/>
      <c r="AV325" s="108" t="s">
        <v>12</v>
      </c>
    </row>
    <row r="326" spans="4:48">
      <c r="D326" s="108" t="s">
        <v>12</v>
      </c>
      <c r="E326" s="742">
        <v>308</v>
      </c>
      <c r="F326" s="1016" t="str">
        <f t="shared" ca="1" si="31"/>
        <v/>
      </c>
      <c r="G326" s="1027" t="str">
        <f t="shared" ca="1" si="32"/>
        <v/>
      </c>
      <c r="H326" s="1043" t="str">
        <f ca="1"/>
        <v/>
      </c>
      <c r="I326" s="1006" t="str">
        <f ca="1"/>
        <v/>
      </c>
      <c r="J326" s="1006" t="str">
        <f ca="1"/>
        <v/>
      </c>
      <c r="K326" s="1016" t="str">
        <f ca="1"/>
        <v/>
      </c>
      <c r="L326" s="1019" t="str">
        <f ca="1"/>
        <v/>
      </c>
      <c r="M326" s="1006" t="str">
        <f ca="1"/>
        <v/>
      </c>
      <c r="N326" s="1060" t="str">
        <f t="shared" ca="1" si="29"/>
        <v/>
      </c>
      <c r="O326" s="996"/>
      <c r="P326" s="742">
        <v>308</v>
      </c>
      <c r="Q326" s="1016" t="str">
        <f t="shared" ca="1" si="33"/>
        <v/>
      </c>
      <c r="R326" s="1027" t="str">
        <f t="shared" ca="1" si="34"/>
        <v/>
      </c>
      <c r="S326" s="1006" t="str">
        <f ca="1"/>
        <v/>
      </c>
      <c r="T326" s="1006" t="str">
        <f ca="1"/>
        <v/>
      </c>
      <c r="U326" s="1006" t="str">
        <f ca="1"/>
        <v/>
      </c>
      <c r="V326" s="1016" t="str">
        <f ca="1"/>
        <v/>
      </c>
      <c r="W326" s="1019" t="str">
        <f ca="1"/>
        <v/>
      </c>
      <c r="X326" s="1006" t="str">
        <f ca="1"/>
        <v/>
      </c>
      <c r="Y326" s="864" t="str">
        <f t="shared" ca="1" si="30"/>
        <v/>
      </c>
      <c r="AA326" s="828">
        <v>308</v>
      </c>
      <c r="AB326" s="750"/>
      <c r="AC326" s="842"/>
      <c r="AD326" s="830"/>
      <c r="AE326" s="839"/>
      <c r="AF326" s="839"/>
      <c r="AG326" s="750"/>
      <c r="AH326" s="840"/>
      <c r="AI326" s="839"/>
      <c r="AJ326" s="841"/>
      <c r="AK326" s="108" t="s">
        <v>12</v>
      </c>
      <c r="AL326" s="847">
        <v>308</v>
      </c>
      <c r="AM326" s="857"/>
      <c r="AN326" s="842"/>
      <c r="AO326" s="839"/>
      <c r="AP326" s="839"/>
      <c r="AQ326" s="839"/>
      <c r="AR326" s="750"/>
      <c r="AS326" s="840"/>
      <c r="AT326" s="839"/>
      <c r="AU326" s="856"/>
      <c r="AV326" s="108" t="s">
        <v>12</v>
      </c>
    </row>
    <row r="327" spans="4:48">
      <c r="D327" s="108" t="s">
        <v>12</v>
      </c>
      <c r="E327" s="742">
        <v>309</v>
      </c>
      <c r="F327" s="1016" t="str">
        <f t="shared" ca="1" si="31"/>
        <v/>
      </c>
      <c r="G327" s="1027" t="str">
        <f t="shared" ca="1" si="32"/>
        <v/>
      </c>
      <c r="H327" s="1043" t="str">
        <f ca="1"/>
        <v/>
      </c>
      <c r="I327" s="1006" t="str">
        <f ca="1"/>
        <v/>
      </c>
      <c r="J327" s="1006" t="str">
        <f ca="1"/>
        <v/>
      </c>
      <c r="K327" s="1016" t="str">
        <f ca="1"/>
        <v/>
      </c>
      <c r="L327" s="1019" t="str">
        <f ca="1"/>
        <v/>
      </c>
      <c r="M327" s="1006" t="str">
        <f ca="1"/>
        <v/>
      </c>
      <c r="N327" s="1060" t="str">
        <f t="shared" ca="1" si="29"/>
        <v/>
      </c>
      <c r="O327" s="996"/>
      <c r="P327" s="742">
        <v>309</v>
      </c>
      <c r="Q327" s="1016" t="str">
        <f t="shared" ca="1" si="33"/>
        <v/>
      </c>
      <c r="R327" s="1027" t="str">
        <f t="shared" ca="1" si="34"/>
        <v/>
      </c>
      <c r="S327" s="1006" t="str">
        <f ca="1"/>
        <v/>
      </c>
      <c r="T327" s="1006" t="str">
        <f ca="1"/>
        <v/>
      </c>
      <c r="U327" s="1006" t="str">
        <f ca="1"/>
        <v/>
      </c>
      <c r="V327" s="1016" t="str">
        <f ca="1"/>
        <v/>
      </c>
      <c r="W327" s="1019" t="str">
        <f ca="1"/>
        <v/>
      </c>
      <c r="X327" s="1006" t="str">
        <f ca="1"/>
        <v/>
      </c>
      <c r="Y327" s="864" t="str">
        <f t="shared" ca="1" si="30"/>
        <v/>
      </c>
      <c r="AA327" s="828">
        <v>309</v>
      </c>
      <c r="AB327" s="750"/>
      <c r="AC327" s="842"/>
      <c r="AD327" s="830"/>
      <c r="AE327" s="839"/>
      <c r="AF327" s="839"/>
      <c r="AG327" s="750"/>
      <c r="AH327" s="840"/>
      <c r="AI327" s="839"/>
      <c r="AJ327" s="841"/>
      <c r="AK327" s="108" t="s">
        <v>12</v>
      </c>
      <c r="AL327" s="847">
        <v>309</v>
      </c>
      <c r="AM327" s="857"/>
      <c r="AN327" s="842"/>
      <c r="AO327" s="839"/>
      <c r="AP327" s="839"/>
      <c r="AQ327" s="839"/>
      <c r="AR327" s="750"/>
      <c r="AS327" s="840"/>
      <c r="AT327" s="839"/>
      <c r="AU327" s="856"/>
      <c r="AV327" s="108" t="s">
        <v>12</v>
      </c>
    </row>
    <row r="328" spans="4:48">
      <c r="D328" s="108" t="s">
        <v>12</v>
      </c>
      <c r="E328" s="742">
        <v>310</v>
      </c>
      <c r="F328" s="1016" t="str">
        <f t="shared" ca="1" si="31"/>
        <v/>
      </c>
      <c r="G328" s="1027" t="str">
        <f t="shared" ca="1" si="32"/>
        <v/>
      </c>
      <c r="H328" s="1043" t="str">
        <f ca="1"/>
        <v/>
      </c>
      <c r="I328" s="1006" t="str">
        <f ca="1"/>
        <v/>
      </c>
      <c r="J328" s="1006" t="str">
        <f ca="1"/>
        <v/>
      </c>
      <c r="K328" s="1016" t="str">
        <f ca="1"/>
        <v/>
      </c>
      <c r="L328" s="1019" t="str">
        <f ca="1"/>
        <v/>
      </c>
      <c r="M328" s="1006" t="str">
        <f ca="1"/>
        <v/>
      </c>
      <c r="N328" s="1060" t="str">
        <f t="shared" ca="1" si="29"/>
        <v/>
      </c>
      <c r="O328" s="996"/>
      <c r="P328" s="742">
        <v>310</v>
      </c>
      <c r="Q328" s="1016" t="str">
        <f t="shared" ca="1" si="33"/>
        <v/>
      </c>
      <c r="R328" s="1027" t="str">
        <f t="shared" ca="1" si="34"/>
        <v/>
      </c>
      <c r="S328" s="1006" t="str">
        <f ca="1"/>
        <v/>
      </c>
      <c r="T328" s="1006" t="str">
        <f ca="1"/>
        <v/>
      </c>
      <c r="U328" s="1006" t="str">
        <f ca="1"/>
        <v/>
      </c>
      <c r="V328" s="1016" t="str">
        <f ca="1"/>
        <v/>
      </c>
      <c r="W328" s="1019" t="str">
        <f ca="1"/>
        <v/>
      </c>
      <c r="X328" s="1006" t="str">
        <f ca="1"/>
        <v/>
      </c>
      <c r="Y328" s="864" t="str">
        <f t="shared" ca="1" si="30"/>
        <v/>
      </c>
      <c r="AA328" s="828">
        <v>310</v>
      </c>
      <c r="AB328" s="750"/>
      <c r="AC328" s="842"/>
      <c r="AD328" s="830"/>
      <c r="AE328" s="839"/>
      <c r="AF328" s="839"/>
      <c r="AG328" s="750"/>
      <c r="AH328" s="840"/>
      <c r="AI328" s="839"/>
      <c r="AJ328" s="841"/>
      <c r="AK328" s="108" t="s">
        <v>12</v>
      </c>
      <c r="AL328" s="847">
        <v>310</v>
      </c>
      <c r="AM328" s="857"/>
      <c r="AN328" s="842"/>
      <c r="AO328" s="839"/>
      <c r="AP328" s="839"/>
      <c r="AQ328" s="839"/>
      <c r="AR328" s="750"/>
      <c r="AS328" s="840"/>
      <c r="AT328" s="839"/>
      <c r="AU328" s="856"/>
      <c r="AV328" s="108" t="s">
        <v>12</v>
      </c>
    </row>
    <row r="329" spans="4:48">
      <c r="D329" s="108" t="s">
        <v>12</v>
      </c>
      <c r="E329" s="742">
        <v>311</v>
      </c>
      <c r="F329" s="1016" t="str">
        <f t="shared" ca="1" si="31"/>
        <v/>
      </c>
      <c r="G329" s="1027" t="str">
        <f t="shared" ca="1" si="32"/>
        <v/>
      </c>
      <c r="H329" s="1043" t="str">
        <f ca="1"/>
        <v/>
      </c>
      <c r="I329" s="1006" t="str">
        <f ca="1"/>
        <v/>
      </c>
      <c r="J329" s="1006" t="str">
        <f ca="1"/>
        <v/>
      </c>
      <c r="K329" s="1016" t="str">
        <f ca="1"/>
        <v/>
      </c>
      <c r="L329" s="1019" t="str">
        <f ca="1"/>
        <v/>
      </c>
      <c r="M329" s="1006" t="str">
        <f ca="1"/>
        <v/>
      </c>
      <c r="N329" s="1060" t="str">
        <f t="shared" ca="1" si="29"/>
        <v/>
      </c>
      <c r="O329" s="996"/>
      <c r="P329" s="742">
        <v>311</v>
      </c>
      <c r="Q329" s="1016" t="str">
        <f t="shared" ca="1" si="33"/>
        <v/>
      </c>
      <c r="R329" s="1027" t="str">
        <f t="shared" ca="1" si="34"/>
        <v/>
      </c>
      <c r="S329" s="1006" t="str">
        <f ca="1"/>
        <v/>
      </c>
      <c r="T329" s="1006" t="str">
        <f ca="1"/>
        <v/>
      </c>
      <c r="U329" s="1006" t="str">
        <f ca="1"/>
        <v/>
      </c>
      <c r="V329" s="1016" t="str">
        <f ca="1"/>
        <v/>
      </c>
      <c r="W329" s="1019" t="str">
        <f ca="1"/>
        <v/>
      </c>
      <c r="X329" s="1006" t="str">
        <f ca="1"/>
        <v/>
      </c>
      <c r="Y329" s="864" t="str">
        <f t="shared" ca="1" si="30"/>
        <v/>
      </c>
      <c r="AA329" s="828">
        <v>311</v>
      </c>
      <c r="AB329" s="750"/>
      <c r="AC329" s="842"/>
      <c r="AD329" s="830"/>
      <c r="AE329" s="839"/>
      <c r="AF329" s="839"/>
      <c r="AG329" s="750"/>
      <c r="AH329" s="840"/>
      <c r="AI329" s="839"/>
      <c r="AJ329" s="841"/>
      <c r="AK329" s="108" t="s">
        <v>12</v>
      </c>
      <c r="AL329" s="847">
        <v>311</v>
      </c>
      <c r="AM329" s="857"/>
      <c r="AN329" s="842"/>
      <c r="AO329" s="839"/>
      <c r="AP329" s="839"/>
      <c r="AQ329" s="839"/>
      <c r="AR329" s="750"/>
      <c r="AS329" s="840"/>
      <c r="AT329" s="839"/>
      <c r="AU329" s="856"/>
      <c r="AV329" s="108" t="s">
        <v>12</v>
      </c>
    </row>
    <row r="330" spans="4:48">
      <c r="D330" s="108" t="s">
        <v>12</v>
      </c>
      <c r="E330" s="742">
        <v>312</v>
      </c>
      <c r="F330" s="1016" t="str">
        <f t="shared" ca="1" si="31"/>
        <v/>
      </c>
      <c r="G330" s="1027" t="str">
        <f t="shared" ca="1" si="32"/>
        <v/>
      </c>
      <c r="H330" s="1043" t="str">
        <f ca="1"/>
        <v/>
      </c>
      <c r="I330" s="1006" t="str">
        <f ca="1"/>
        <v/>
      </c>
      <c r="J330" s="1006" t="str">
        <f ca="1"/>
        <v/>
      </c>
      <c r="K330" s="1016" t="str">
        <f ca="1"/>
        <v/>
      </c>
      <c r="L330" s="1019" t="str">
        <f ca="1"/>
        <v/>
      </c>
      <c r="M330" s="1006" t="str">
        <f ca="1"/>
        <v/>
      </c>
      <c r="N330" s="1060" t="str">
        <f t="shared" ca="1" si="29"/>
        <v/>
      </c>
      <c r="O330" s="996"/>
      <c r="P330" s="742">
        <v>312</v>
      </c>
      <c r="Q330" s="1016" t="str">
        <f t="shared" ca="1" si="33"/>
        <v/>
      </c>
      <c r="R330" s="1027" t="str">
        <f t="shared" ca="1" si="34"/>
        <v/>
      </c>
      <c r="S330" s="1006" t="str">
        <f ca="1"/>
        <v/>
      </c>
      <c r="T330" s="1006" t="str">
        <f ca="1"/>
        <v/>
      </c>
      <c r="U330" s="1006" t="str">
        <f ca="1"/>
        <v/>
      </c>
      <c r="V330" s="1016" t="str">
        <f ca="1"/>
        <v/>
      </c>
      <c r="W330" s="1019" t="str">
        <f ca="1"/>
        <v/>
      </c>
      <c r="X330" s="1006" t="str">
        <f ca="1"/>
        <v/>
      </c>
      <c r="Y330" s="864" t="str">
        <f t="shared" ca="1" si="30"/>
        <v/>
      </c>
      <c r="AA330" s="828">
        <v>312</v>
      </c>
      <c r="AB330" s="750"/>
      <c r="AC330" s="842"/>
      <c r="AD330" s="830"/>
      <c r="AE330" s="839"/>
      <c r="AF330" s="839"/>
      <c r="AG330" s="750"/>
      <c r="AH330" s="840"/>
      <c r="AI330" s="839"/>
      <c r="AJ330" s="841"/>
      <c r="AK330" s="108" t="s">
        <v>12</v>
      </c>
      <c r="AL330" s="847">
        <v>312</v>
      </c>
      <c r="AM330" s="857"/>
      <c r="AN330" s="842"/>
      <c r="AO330" s="839"/>
      <c r="AP330" s="839"/>
      <c r="AQ330" s="839"/>
      <c r="AR330" s="750"/>
      <c r="AS330" s="840"/>
      <c r="AT330" s="839"/>
      <c r="AU330" s="856"/>
      <c r="AV330" s="108" t="s">
        <v>12</v>
      </c>
    </row>
    <row r="331" spans="4:48">
      <c r="D331" s="108" t="s">
        <v>12</v>
      </c>
      <c r="E331" s="742">
        <v>313</v>
      </c>
      <c r="F331" s="1016" t="str">
        <f t="shared" ca="1" si="31"/>
        <v/>
      </c>
      <c r="G331" s="1027" t="str">
        <f t="shared" ca="1" si="32"/>
        <v/>
      </c>
      <c r="H331" s="1043" t="str">
        <f ca="1"/>
        <v/>
      </c>
      <c r="I331" s="1006" t="str">
        <f ca="1"/>
        <v/>
      </c>
      <c r="J331" s="1006" t="str">
        <f ca="1"/>
        <v/>
      </c>
      <c r="K331" s="1016" t="str">
        <f ca="1"/>
        <v/>
      </c>
      <c r="L331" s="1019" t="str">
        <f ca="1"/>
        <v/>
      </c>
      <c r="M331" s="1006" t="str">
        <f ca="1"/>
        <v/>
      </c>
      <c r="N331" s="1060" t="str">
        <f t="shared" ca="1" si="29"/>
        <v/>
      </c>
      <c r="O331" s="996"/>
      <c r="P331" s="742">
        <v>313</v>
      </c>
      <c r="Q331" s="1016" t="str">
        <f t="shared" ca="1" si="33"/>
        <v/>
      </c>
      <c r="R331" s="1027" t="str">
        <f t="shared" ca="1" si="34"/>
        <v/>
      </c>
      <c r="S331" s="1006" t="str">
        <f ca="1"/>
        <v/>
      </c>
      <c r="T331" s="1006" t="str">
        <f ca="1"/>
        <v/>
      </c>
      <c r="U331" s="1006" t="str">
        <f ca="1"/>
        <v/>
      </c>
      <c r="V331" s="1016" t="str">
        <f ca="1"/>
        <v/>
      </c>
      <c r="W331" s="1019" t="str">
        <f ca="1"/>
        <v/>
      </c>
      <c r="X331" s="1006" t="str">
        <f ca="1"/>
        <v/>
      </c>
      <c r="Y331" s="864" t="str">
        <f t="shared" ca="1" si="30"/>
        <v/>
      </c>
      <c r="AA331" s="828">
        <v>313</v>
      </c>
      <c r="AB331" s="750"/>
      <c r="AC331" s="842"/>
      <c r="AD331" s="830"/>
      <c r="AE331" s="839"/>
      <c r="AF331" s="839"/>
      <c r="AG331" s="750"/>
      <c r="AH331" s="840"/>
      <c r="AI331" s="839"/>
      <c r="AJ331" s="841"/>
      <c r="AK331" s="108" t="s">
        <v>12</v>
      </c>
      <c r="AL331" s="847">
        <v>313</v>
      </c>
      <c r="AM331" s="857"/>
      <c r="AN331" s="842"/>
      <c r="AO331" s="839"/>
      <c r="AP331" s="839"/>
      <c r="AQ331" s="839"/>
      <c r="AR331" s="750"/>
      <c r="AS331" s="840"/>
      <c r="AT331" s="839"/>
      <c r="AU331" s="856"/>
      <c r="AV331" s="108" t="s">
        <v>12</v>
      </c>
    </row>
    <row r="332" spans="4:48">
      <c r="D332" s="108" t="s">
        <v>12</v>
      </c>
      <c r="E332" s="742">
        <v>314</v>
      </c>
      <c r="F332" s="1016" t="str">
        <f t="shared" ca="1" si="31"/>
        <v/>
      </c>
      <c r="G332" s="1027" t="str">
        <f t="shared" ca="1" si="32"/>
        <v/>
      </c>
      <c r="H332" s="1043" t="str">
        <f ca="1"/>
        <v/>
      </c>
      <c r="I332" s="1006" t="str">
        <f ca="1"/>
        <v/>
      </c>
      <c r="J332" s="1006" t="str">
        <f ca="1"/>
        <v/>
      </c>
      <c r="K332" s="1016" t="str">
        <f ca="1"/>
        <v/>
      </c>
      <c r="L332" s="1019" t="str">
        <f ca="1"/>
        <v/>
      </c>
      <c r="M332" s="1006" t="str">
        <f ca="1"/>
        <v/>
      </c>
      <c r="N332" s="1060" t="str">
        <f t="shared" ca="1" si="29"/>
        <v/>
      </c>
      <c r="O332" s="996"/>
      <c r="P332" s="742">
        <v>314</v>
      </c>
      <c r="Q332" s="1016" t="str">
        <f t="shared" ca="1" si="33"/>
        <v/>
      </c>
      <c r="R332" s="1027" t="str">
        <f t="shared" ca="1" si="34"/>
        <v/>
      </c>
      <c r="S332" s="1006" t="str">
        <f ca="1"/>
        <v/>
      </c>
      <c r="T332" s="1006" t="str">
        <f ca="1"/>
        <v/>
      </c>
      <c r="U332" s="1006" t="str">
        <f ca="1"/>
        <v/>
      </c>
      <c r="V332" s="1016" t="str">
        <f ca="1"/>
        <v/>
      </c>
      <c r="W332" s="1019" t="str">
        <f ca="1"/>
        <v/>
      </c>
      <c r="X332" s="1006" t="str">
        <f ca="1"/>
        <v/>
      </c>
      <c r="Y332" s="864" t="str">
        <f t="shared" ca="1" si="30"/>
        <v/>
      </c>
      <c r="AA332" s="828">
        <v>314</v>
      </c>
      <c r="AB332" s="750"/>
      <c r="AC332" s="842"/>
      <c r="AD332" s="830"/>
      <c r="AE332" s="839"/>
      <c r="AF332" s="839"/>
      <c r="AG332" s="750"/>
      <c r="AH332" s="840"/>
      <c r="AI332" s="839"/>
      <c r="AJ332" s="841"/>
      <c r="AK332" s="108" t="s">
        <v>12</v>
      </c>
      <c r="AL332" s="847">
        <v>314</v>
      </c>
      <c r="AM332" s="857"/>
      <c r="AN332" s="842"/>
      <c r="AO332" s="839"/>
      <c r="AP332" s="839"/>
      <c r="AQ332" s="839"/>
      <c r="AR332" s="750"/>
      <c r="AS332" s="840"/>
      <c r="AT332" s="839"/>
      <c r="AU332" s="856"/>
      <c r="AV332" s="108" t="s">
        <v>12</v>
      </c>
    </row>
    <row r="333" spans="4:48">
      <c r="D333" s="108" t="s">
        <v>12</v>
      </c>
      <c r="E333" s="742">
        <v>315</v>
      </c>
      <c r="F333" s="1016" t="str">
        <f t="shared" ca="1" si="31"/>
        <v/>
      </c>
      <c r="G333" s="1027" t="str">
        <f t="shared" ca="1" si="32"/>
        <v/>
      </c>
      <c r="H333" s="1043" t="str">
        <f ca="1"/>
        <v/>
      </c>
      <c r="I333" s="1006" t="str">
        <f ca="1"/>
        <v/>
      </c>
      <c r="J333" s="1006" t="str">
        <f ca="1"/>
        <v/>
      </c>
      <c r="K333" s="1016" t="str">
        <f ca="1"/>
        <v/>
      </c>
      <c r="L333" s="1019" t="str">
        <f ca="1"/>
        <v/>
      </c>
      <c r="M333" s="1006" t="str">
        <f ca="1"/>
        <v/>
      </c>
      <c r="N333" s="1060" t="str">
        <f t="shared" ca="1" si="29"/>
        <v/>
      </c>
      <c r="O333" s="996"/>
      <c r="P333" s="742">
        <v>315</v>
      </c>
      <c r="Q333" s="1016" t="str">
        <f t="shared" ca="1" si="33"/>
        <v/>
      </c>
      <c r="R333" s="1027" t="str">
        <f t="shared" ca="1" si="34"/>
        <v/>
      </c>
      <c r="S333" s="1006" t="str">
        <f ca="1"/>
        <v/>
      </c>
      <c r="T333" s="1006" t="str">
        <f ca="1"/>
        <v/>
      </c>
      <c r="U333" s="1006" t="str">
        <f ca="1"/>
        <v/>
      </c>
      <c r="V333" s="1016" t="str">
        <f ca="1"/>
        <v/>
      </c>
      <c r="W333" s="1019" t="str">
        <f ca="1"/>
        <v/>
      </c>
      <c r="X333" s="1006" t="str">
        <f ca="1"/>
        <v/>
      </c>
      <c r="Y333" s="864" t="str">
        <f t="shared" ca="1" si="30"/>
        <v/>
      </c>
      <c r="AA333" s="828">
        <v>315</v>
      </c>
      <c r="AB333" s="750"/>
      <c r="AC333" s="842"/>
      <c r="AD333" s="830"/>
      <c r="AE333" s="839"/>
      <c r="AF333" s="839"/>
      <c r="AG333" s="750"/>
      <c r="AH333" s="840"/>
      <c r="AI333" s="839"/>
      <c r="AJ333" s="841"/>
      <c r="AK333" s="108" t="s">
        <v>12</v>
      </c>
      <c r="AL333" s="847">
        <v>315</v>
      </c>
      <c r="AM333" s="857"/>
      <c r="AN333" s="842"/>
      <c r="AO333" s="839"/>
      <c r="AP333" s="839"/>
      <c r="AQ333" s="839"/>
      <c r="AR333" s="750"/>
      <c r="AS333" s="840"/>
      <c r="AT333" s="839"/>
      <c r="AU333" s="856"/>
      <c r="AV333" s="108" t="s">
        <v>12</v>
      </c>
    </row>
    <row r="334" spans="4:48">
      <c r="D334" s="108" t="s">
        <v>12</v>
      </c>
      <c r="E334" s="742">
        <v>316</v>
      </c>
      <c r="F334" s="1016" t="str">
        <f t="shared" ca="1" si="31"/>
        <v/>
      </c>
      <c r="G334" s="1027" t="str">
        <f t="shared" ca="1" si="32"/>
        <v/>
      </c>
      <c r="H334" s="1043" t="str">
        <f ca="1"/>
        <v/>
      </c>
      <c r="I334" s="1006" t="str">
        <f ca="1"/>
        <v/>
      </c>
      <c r="J334" s="1006" t="str">
        <f ca="1"/>
        <v/>
      </c>
      <c r="K334" s="1016" t="str">
        <f ca="1"/>
        <v/>
      </c>
      <c r="L334" s="1019" t="str">
        <f ca="1"/>
        <v/>
      </c>
      <c r="M334" s="1006" t="str">
        <f ca="1"/>
        <v/>
      </c>
      <c r="N334" s="1060" t="str">
        <f t="shared" ca="1" si="29"/>
        <v/>
      </c>
      <c r="O334" s="996"/>
      <c r="P334" s="742">
        <v>316</v>
      </c>
      <c r="Q334" s="1016" t="str">
        <f t="shared" ca="1" si="33"/>
        <v/>
      </c>
      <c r="R334" s="1027" t="str">
        <f t="shared" ca="1" si="34"/>
        <v/>
      </c>
      <c r="S334" s="1006" t="str">
        <f ca="1"/>
        <v/>
      </c>
      <c r="T334" s="1006" t="str">
        <f ca="1"/>
        <v/>
      </c>
      <c r="U334" s="1006" t="str">
        <f ca="1"/>
        <v/>
      </c>
      <c r="V334" s="1016" t="str">
        <f ca="1"/>
        <v/>
      </c>
      <c r="W334" s="1019" t="str">
        <f ca="1"/>
        <v/>
      </c>
      <c r="X334" s="1006" t="str">
        <f ca="1"/>
        <v/>
      </c>
      <c r="Y334" s="864" t="str">
        <f t="shared" ca="1" si="30"/>
        <v/>
      </c>
      <c r="AA334" s="828">
        <v>316</v>
      </c>
      <c r="AB334" s="750"/>
      <c r="AC334" s="842"/>
      <c r="AD334" s="830"/>
      <c r="AE334" s="839"/>
      <c r="AF334" s="839"/>
      <c r="AG334" s="750"/>
      <c r="AH334" s="840"/>
      <c r="AI334" s="839"/>
      <c r="AJ334" s="841"/>
      <c r="AK334" s="108" t="s">
        <v>12</v>
      </c>
      <c r="AL334" s="847">
        <v>316</v>
      </c>
      <c r="AM334" s="857"/>
      <c r="AN334" s="842"/>
      <c r="AO334" s="839"/>
      <c r="AP334" s="839"/>
      <c r="AQ334" s="839"/>
      <c r="AR334" s="750"/>
      <c r="AS334" s="840"/>
      <c r="AT334" s="839"/>
      <c r="AU334" s="856"/>
      <c r="AV334" s="108" t="s">
        <v>12</v>
      </c>
    </row>
    <row r="335" spans="4:48">
      <c r="D335" s="108" t="s">
        <v>12</v>
      </c>
      <c r="E335" s="742">
        <v>317</v>
      </c>
      <c r="F335" s="1016" t="str">
        <f t="shared" ca="1" si="31"/>
        <v/>
      </c>
      <c r="G335" s="1027" t="str">
        <f t="shared" ca="1" si="32"/>
        <v/>
      </c>
      <c r="H335" s="1043" t="str">
        <f ca="1"/>
        <v/>
      </c>
      <c r="I335" s="1006" t="str">
        <f ca="1"/>
        <v/>
      </c>
      <c r="J335" s="1006" t="str">
        <f ca="1"/>
        <v/>
      </c>
      <c r="K335" s="1016" t="str">
        <f ca="1"/>
        <v/>
      </c>
      <c r="L335" s="1019" t="str">
        <f ca="1"/>
        <v/>
      </c>
      <c r="M335" s="1006" t="str">
        <f ca="1"/>
        <v/>
      </c>
      <c r="N335" s="1060" t="str">
        <f t="shared" ca="1" si="29"/>
        <v/>
      </c>
      <c r="O335" s="996"/>
      <c r="P335" s="742">
        <v>317</v>
      </c>
      <c r="Q335" s="1016" t="str">
        <f t="shared" ca="1" si="33"/>
        <v/>
      </c>
      <c r="R335" s="1027" t="str">
        <f t="shared" ca="1" si="34"/>
        <v/>
      </c>
      <c r="S335" s="1006" t="str">
        <f ca="1"/>
        <v/>
      </c>
      <c r="T335" s="1006" t="str">
        <f ca="1"/>
        <v/>
      </c>
      <c r="U335" s="1006" t="str">
        <f ca="1"/>
        <v/>
      </c>
      <c r="V335" s="1016" t="str">
        <f ca="1"/>
        <v/>
      </c>
      <c r="W335" s="1019" t="str">
        <f ca="1"/>
        <v/>
      </c>
      <c r="X335" s="1006" t="str">
        <f ca="1"/>
        <v/>
      </c>
      <c r="Y335" s="864" t="str">
        <f t="shared" ca="1" si="30"/>
        <v/>
      </c>
      <c r="AA335" s="828">
        <v>317</v>
      </c>
      <c r="AB335" s="750"/>
      <c r="AC335" s="842"/>
      <c r="AD335" s="830"/>
      <c r="AE335" s="839"/>
      <c r="AF335" s="839"/>
      <c r="AG335" s="750"/>
      <c r="AH335" s="840"/>
      <c r="AI335" s="839"/>
      <c r="AJ335" s="841"/>
      <c r="AK335" s="108" t="s">
        <v>12</v>
      </c>
      <c r="AL335" s="847">
        <v>317</v>
      </c>
      <c r="AM335" s="857"/>
      <c r="AN335" s="842"/>
      <c r="AO335" s="839"/>
      <c r="AP335" s="839"/>
      <c r="AQ335" s="839"/>
      <c r="AR335" s="750"/>
      <c r="AS335" s="840"/>
      <c r="AT335" s="839"/>
      <c r="AU335" s="856"/>
      <c r="AV335" s="108" t="s">
        <v>12</v>
      </c>
    </row>
    <row r="336" spans="4:48">
      <c r="D336" s="108" t="s">
        <v>12</v>
      </c>
      <c r="E336" s="742">
        <v>318</v>
      </c>
      <c r="F336" s="1016" t="str">
        <f t="shared" ca="1" si="31"/>
        <v/>
      </c>
      <c r="G336" s="1027" t="str">
        <f t="shared" ca="1" si="32"/>
        <v/>
      </c>
      <c r="H336" s="1043" t="str">
        <f ca="1"/>
        <v/>
      </c>
      <c r="I336" s="1006" t="str">
        <f ca="1"/>
        <v/>
      </c>
      <c r="J336" s="1006" t="str">
        <f ca="1"/>
        <v/>
      </c>
      <c r="K336" s="1016" t="str">
        <f ca="1"/>
        <v/>
      </c>
      <c r="L336" s="1019" t="str">
        <f ca="1"/>
        <v/>
      </c>
      <c r="M336" s="1006" t="str">
        <f ca="1"/>
        <v/>
      </c>
      <c r="N336" s="1060" t="str">
        <f t="shared" ca="1" si="29"/>
        <v/>
      </c>
      <c r="O336" s="996"/>
      <c r="P336" s="742">
        <v>318</v>
      </c>
      <c r="Q336" s="1016" t="str">
        <f t="shared" ca="1" si="33"/>
        <v/>
      </c>
      <c r="R336" s="1027" t="str">
        <f t="shared" ca="1" si="34"/>
        <v/>
      </c>
      <c r="S336" s="1006" t="str">
        <f ca="1"/>
        <v/>
      </c>
      <c r="T336" s="1006" t="str">
        <f ca="1"/>
        <v/>
      </c>
      <c r="U336" s="1006" t="str">
        <f ca="1"/>
        <v/>
      </c>
      <c r="V336" s="1016" t="str">
        <f ca="1"/>
        <v/>
      </c>
      <c r="W336" s="1019" t="str">
        <f ca="1"/>
        <v/>
      </c>
      <c r="X336" s="1006" t="str">
        <f ca="1"/>
        <v/>
      </c>
      <c r="Y336" s="864" t="str">
        <f t="shared" ca="1" si="30"/>
        <v/>
      </c>
      <c r="AA336" s="828">
        <v>318</v>
      </c>
      <c r="AB336" s="750"/>
      <c r="AC336" s="842"/>
      <c r="AD336" s="830"/>
      <c r="AE336" s="839"/>
      <c r="AF336" s="839"/>
      <c r="AG336" s="750"/>
      <c r="AH336" s="840"/>
      <c r="AI336" s="839"/>
      <c r="AJ336" s="841"/>
      <c r="AK336" s="108" t="s">
        <v>12</v>
      </c>
      <c r="AL336" s="847">
        <v>318</v>
      </c>
      <c r="AM336" s="857"/>
      <c r="AN336" s="842"/>
      <c r="AO336" s="839"/>
      <c r="AP336" s="839"/>
      <c r="AQ336" s="839"/>
      <c r="AR336" s="750"/>
      <c r="AS336" s="840"/>
      <c r="AT336" s="839"/>
      <c r="AU336" s="856"/>
      <c r="AV336" s="108" t="s">
        <v>12</v>
      </c>
    </row>
    <row r="337" spans="4:48">
      <c r="D337" s="108" t="s">
        <v>12</v>
      </c>
      <c r="E337" s="742">
        <v>319</v>
      </c>
      <c r="F337" s="1016" t="str">
        <f t="shared" ca="1" si="31"/>
        <v/>
      </c>
      <c r="G337" s="1027" t="str">
        <f t="shared" ca="1" si="32"/>
        <v/>
      </c>
      <c r="H337" s="1043" t="str">
        <f ca="1"/>
        <v/>
      </c>
      <c r="I337" s="1006" t="str">
        <f ca="1"/>
        <v/>
      </c>
      <c r="J337" s="1006" t="str">
        <f ca="1"/>
        <v/>
      </c>
      <c r="K337" s="1016" t="str">
        <f ca="1"/>
        <v/>
      </c>
      <c r="L337" s="1019" t="str">
        <f ca="1"/>
        <v/>
      </c>
      <c r="M337" s="1006" t="str">
        <f ca="1"/>
        <v/>
      </c>
      <c r="N337" s="1060" t="str">
        <f t="shared" ca="1" si="29"/>
        <v/>
      </c>
      <c r="O337" s="996"/>
      <c r="P337" s="742">
        <v>319</v>
      </c>
      <c r="Q337" s="1016" t="str">
        <f t="shared" ca="1" si="33"/>
        <v/>
      </c>
      <c r="R337" s="1027" t="str">
        <f t="shared" ca="1" si="34"/>
        <v/>
      </c>
      <c r="S337" s="1006" t="str">
        <f ca="1"/>
        <v/>
      </c>
      <c r="T337" s="1006" t="str">
        <f ca="1"/>
        <v/>
      </c>
      <c r="U337" s="1006" t="str">
        <f ca="1"/>
        <v/>
      </c>
      <c r="V337" s="1016" t="str">
        <f ca="1"/>
        <v/>
      </c>
      <c r="W337" s="1019" t="str">
        <f ca="1"/>
        <v/>
      </c>
      <c r="X337" s="1006" t="str">
        <f ca="1"/>
        <v/>
      </c>
      <c r="Y337" s="864" t="str">
        <f t="shared" ca="1" si="30"/>
        <v/>
      </c>
      <c r="AA337" s="828">
        <v>319</v>
      </c>
      <c r="AB337" s="750"/>
      <c r="AC337" s="842"/>
      <c r="AD337" s="830"/>
      <c r="AE337" s="839"/>
      <c r="AF337" s="839"/>
      <c r="AG337" s="750"/>
      <c r="AH337" s="840"/>
      <c r="AI337" s="839"/>
      <c r="AJ337" s="841"/>
      <c r="AK337" s="108" t="s">
        <v>12</v>
      </c>
      <c r="AL337" s="847">
        <v>319</v>
      </c>
      <c r="AM337" s="857"/>
      <c r="AN337" s="842"/>
      <c r="AO337" s="839"/>
      <c r="AP337" s="839"/>
      <c r="AQ337" s="839"/>
      <c r="AR337" s="750"/>
      <c r="AS337" s="840"/>
      <c r="AT337" s="839"/>
      <c r="AU337" s="856"/>
      <c r="AV337" s="108" t="s">
        <v>12</v>
      </c>
    </row>
    <row r="338" spans="4:48">
      <c r="D338" s="108" t="s">
        <v>12</v>
      </c>
      <c r="E338" s="742">
        <v>320</v>
      </c>
      <c r="F338" s="1016" t="str">
        <f t="shared" ca="1" si="31"/>
        <v/>
      </c>
      <c r="G338" s="1027" t="str">
        <f t="shared" ca="1" si="32"/>
        <v/>
      </c>
      <c r="H338" s="1043" t="str">
        <f ca="1"/>
        <v/>
      </c>
      <c r="I338" s="1006" t="str">
        <f ca="1"/>
        <v/>
      </c>
      <c r="J338" s="1006" t="str">
        <f ca="1"/>
        <v/>
      </c>
      <c r="K338" s="1016" t="str">
        <f ca="1"/>
        <v/>
      </c>
      <c r="L338" s="1019" t="str">
        <f ca="1"/>
        <v/>
      </c>
      <c r="M338" s="1006" t="str">
        <f ca="1"/>
        <v/>
      </c>
      <c r="N338" s="1060" t="str">
        <f t="shared" ca="1" si="29"/>
        <v/>
      </c>
      <c r="O338" s="996"/>
      <c r="P338" s="742">
        <v>320</v>
      </c>
      <c r="Q338" s="1016" t="str">
        <f t="shared" ca="1" si="33"/>
        <v/>
      </c>
      <c r="R338" s="1027" t="str">
        <f t="shared" ca="1" si="34"/>
        <v/>
      </c>
      <c r="S338" s="1006" t="str">
        <f ca="1"/>
        <v/>
      </c>
      <c r="T338" s="1006" t="str">
        <f ca="1"/>
        <v/>
      </c>
      <c r="U338" s="1006" t="str">
        <f ca="1"/>
        <v/>
      </c>
      <c r="V338" s="1016" t="str">
        <f ca="1"/>
        <v/>
      </c>
      <c r="W338" s="1019" t="str">
        <f ca="1"/>
        <v/>
      </c>
      <c r="X338" s="1006" t="str">
        <f ca="1"/>
        <v/>
      </c>
      <c r="Y338" s="864" t="str">
        <f t="shared" ca="1" si="30"/>
        <v/>
      </c>
      <c r="AA338" s="828">
        <v>320</v>
      </c>
      <c r="AB338" s="750"/>
      <c r="AC338" s="842"/>
      <c r="AD338" s="830"/>
      <c r="AE338" s="839"/>
      <c r="AF338" s="839"/>
      <c r="AG338" s="750"/>
      <c r="AH338" s="840"/>
      <c r="AI338" s="839"/>
      <c r="AJ338" s="841"/>
      <c r="AK338" s="108" t="s">
        <v>12</v>
      </c>
      <c r="AL338" s="847">
        <v>320</v>
      </c>
      <c r="AM338" s="857"/>
      <c r="AN338" s="842"/>
      <c r="AO338" s="839"/>
      <c r="AP338" s="839"/>
      <c r="AQ338" s="839"/>
      <c r="AR338" s="750"/>
      <c r="AS338" s="840"/>
      <c r="AT338" s="839"/>
      <c r="AU338" s="856"/>
      <c r="AV338" s="108" t="s">
        <v>12</v>
      </c>
    </row>
    <row r="339" spans="4:48">
      <c r="D339" s="108" t="s">
        <v>12</v>
      </c>
      <c r="E339" s="742">
        <v>321</v>
      </c>
      <c r="F339" s="1016" t="str">
        <f t="shared" ca="1" si="31"/>
        <v/>
      </c>
      <c r="G339" s="1027" t="str">
        <f t="shared" ca="1" si="32"/>
        <v/>
      </c>
      <c r="H339" s="1043" t="str">
        <f ca="1"/>
        <v/>
      </c>
      <c r="I339" s="1006" t="str">
        <f ca="1"/>
        <v/>
      </c>
      <c r="J339" s="1006" t="str">
        <f ca="1"/>
        <v/>
      </c>
      <c r="K339" s="1016" t="str">
        <f ca="1"/>
        <v/>
      </c>
      <c r="L339" s="1019" t="str">
        <f ca="1"/>
        <v/>
      </c>
      <c r="M339" s="1006" t="str">
        <f ca="1"/>
        <v/>
      </c>
      <c r="N339" s="1060" t="str">
        <f t="shared" ref="N339:N402" ca="1" si="35">IF($I339="","",VNS.FixedRate)</f>
        <v/>
      </c>
      <c r="O339" s="996"/>
      <c r="P339" s="742">
        <v>321</v>
      </c>
      <c r="Q339" s="1016" t="str">
        <f t="shared" ca="1" si="33"/>
        <v/>
      </c>
      <c r="R339" s="1027" t="str">
        <f t="shared" ca="1" si="34"/>
        <v/>
      </c>
      <c r="S339" s="1006" t="str">
        <f ca="1"/>
        <v/>
      </c>
      <c r="T339" s="1006" t="str">
        <f ca="1"/>
        <v/>
      </c>
      <c r="U339" s="1006" t="str">
        <f ca="1"/>
        <v/>
      </c>
      <c r="V339" s="1016" t="str">
        <f ca="1"/>
        <v/>
      </c>
      <c r="W339" s="1019" t="str">
        <f ca="1"/>
        <v/>
      </c>
      <c r="X339" s="1006" t="str">
        <f ca="1"/>
        <v/>
      </c>
      <c r="Y339" s="864" t="str">
        <f t="shared" ref="Y339:Y402" ca="1" si="36">IF($T339="","",VNS.FloatSpread)</f>
        <v/>
      </c>
      <c r="AA339" s="828">
        <v>321</v>
      </c>
      <c r="AB339" s="750"/>
      <c r="AC339" s="842"/>
      <c r="AD339" s="830"/>
      <c r="AE339" s="839"/>
      <c r="AF339" s="839"/>
      <c r="AG339" s="750"/>
      <c r="AH339" s="840"/>
      <c r="AI339" s="839"/>
      <c r="AJ339" s="841"/>
      <c r="AK339" s="108" t="s">
        <v>12</v>
      </c>
      <c r="AL339" s="847">
        <v>321</v>
      </c>
      <c r="AM339" s="857"/>
      <c r="AN339" s="842"/>
      <c r="AO339" s="839"/>
      <c r="AP339" s="839"/>
      <c r="AQ339" s="839"/>
      <c r="AR339" s="750"/>
      <c r="AS339" s="840"/>
      <c r="AT339" s="839"/>
      <c r="AU339" s="856"/>
      <c r="AV339" s="108" t="s">
        <v>12</v>
      </c>
    </row>
    <row r="340" spans="4:48">
      <c r="D340" s="108" t="s">
        <v>12</v>
      </c>
      <c r="E340" s="742">
        <v>322</v>
      </c>
      <c r="F340" s="1016" t="str">
        <f t="shared" ref="F340:F403" ca="1" si="37">IF($I340="","",IF(OR(VNS.FixedAmortization=0,VNS.FixedAmortization.Frequency=0),F339,IF(MOD(E340-1,VNS.FixedAmortization.Frequency)=0,F339-VNS.FixedAmortization,F339)))</f>
        <v/>
      </c>
      <c r="G340" s="1027" t="str">
        <f t="shared" ref="G340:G403" ca="1" si="38">IF(I340="","",1)</f>
        <v/>
      </c>
      <c r="H340" s="1043" t="str">
        <f ca="1"/>
        <v/>
      </c>
      <c r="I340" s="1006" t="str">
        <f ca="1"/>
        <v/>
      </c>
      <c r="J340" s="1006" t="str">
        <f ca="1"/>
        <v/>
      </c>
      <c r="K340" s="1016" t="str">
        <f ca="1"/>
        <v/>
      </c>
      <c r="L340" s="1019" t="str">
        <f ca="1"/>
        <v/>
      </c>
      <c r="M340" s="1006" t="str">
        <f ca="1"/>
        <v/>
      </c>
      <c r="N340" s="1060" t="str">
        <f t="shared" ca="1" si="35"/>
        <v/>
      </c>
      <c r="O340" s="996"/>
      <c r="P340" s="742">
        <v>322</v>
      </c>
      <c r="Q340" s="1016" t="str">
        <f t="shared" ref="Q340:Q403" ca="1" si="39">IF($T340="","",IF(OR(VNS.FloatAmortization=0,VNS.FloatAmortization.Frequency=0),Q339,IF(MOD(P340-1,VNS.FloatAmortization.Frequency)=0,Q339-VNS.FloatAmortization,Q339)))</f>
        <v/>
      </c>
      <c r="R340" s="1027" t="str">
        <f t="shared" ca="1" si="34"/>
        <v/>
      </c>
      <c r="S340" s="1006" t="str">
        <f ca="1"/>
        <v/>
      </c>
      <c r="T340" s="1006" t="str">
        <f ca="1"/>
        <v/>
      </c>
      <c r="U340" s="1006" t="str">
        <f ca="1"/>
        <v/>
      </c>
      <c r="V340" s="1016" t="str">
        <f ca="1"/>
        <v/>
      </c>
      <c r="W340" s="1019" t="str">
        <f ca="1"/>
        <v/>
      </c>
      <c r="X340" s="1006" t="str">
        <f ca="1"/>
        <v/>
      </c>
      <c r="Y340" s="864" t="str">
        <f t="shared" ca="1" si="36"/>
        <v/>
      </c>
      <c r="AA340" s="828">
        <v>322</v>
      </c>
      <c r="AB340" s="750"/>
      <c r="AC340" s="842"/>
      <c r="AD340" s="830"/>
      <c r="AE340" s="839"/>
      <c r="AF340" s="839"/>
      <c r="AG340" s="750"/>
      <c r="AH340" s="840"/>
      <c r="AI340" s="839"/>
      <c r="AJ340" s="841"/>
      <c r="AK340" s="108" t="s">
        <v>12</v>
      </c>
      <c r="AL340" s="847">
        <v>322</v>
      </c>
      <c r="AM340" s="857"/>
      <c r="AN340" s="842"/>
      <c r="AO340" s="839"/>
      <c r="AP340" s="839"/>
      <c r="AQ340" s="839"/>
      <c r="AR340" s="750"/>
      <c r="AS340" s="840"/>
      <c r="AT340" s="839"/>
      <c r="AU340" s="856"/>
      <c r="AV340" s="108" t="s">
        <v>12</v>
      </c>
    </row>
    <row r="341" spans="4:48">
      <c r="D341" s="108" t="s">
        <v>12</v>
      </c>
      <c r="E341" s="742">
        <v>323</v>
      </c>
      <c r="F341" s="1016" t="str">
        <f t="shared" ca="1" si="37"/>
        <v/>
      </c>
      <c r="G341" s="1027" t="str">
        <f t="shared" ca="1" si="38"/>
        <v/>
      </c>
      <c r="H341" s="1043" t="str">
        <f ca="1"/>
        <v/>
      </c>
      <c r="I341" s="1006" t="str">
        <f ca="1"/>
        <v/>
      </c>
      <c r="J341" s="1006" t="str">
        <f ca="1"/>
        <v/>
      </c>
      <c r="K341" s="1016" t="str">
        <f ca="1"/>
        <v/>
      </c>
      <c r="L341" s="1019" t="str">
        <f ca="1"/>
        <v/>
      </c>
      <c r="M341" s="1006" t="str">
        <f ca="1"/>
        <v/>
      </c>
      <c r="N341" s="1060" t="str">
        <f t="shared" ca="1" si="35"/>
        <v/>
      </c>
      <c r="O341" s="996"/>
      <c r="P341" s="742">
        <v>323</v>
      </c>
      <c r="Q341" s="1016" t="str">
        <f t="shared" ca="1" si="39"/>
        <v/>
      </c>
      <c r="R341" s="1027" t="str">
        <f t="shared" ca="1" si="34"/>
        <v/>
      </c>
      <c r="S341" s="1006" t="str">
        <f ca="1"/>
        <v/>
      </c>
      <c r="T341" s="1006" t="str">
        <f ca="1"/>
        <v/>
      </c>
      <c r="U341" s="1006" t="str">
        <f ca="1"/>
        <v/>
      </c>
      <c r="V341" s="1016" t="str">
        <f ca="1"/>
        <v/>
      </c>
      <c r="W341" s="1019" t="str">
        <f ca="1"/>
        <v/>
      </c>
      <c r="X341" s="1006" t="str">
        <f ca="1"/>
        <v/>
      </c>
      <c r="Y341" s="864" t="str">
        <f t="shared" ca="1" si="36"/>
        <v/>
      </c>
      <c r="AA341" s="828">
        <v>323</v>
      </c>
      <c r="AB341" s="750"/>
      <c r="AC341" s="842"/>
      <c r="AD341" s="830"/>
      <c r="AE341" s="839"/>
      <c r="AF341" s="839"/>
      <c r="AG341" s="750"/>
      <c r="AH341" s="840"/>
      <c r="AI341" s="839"/>
      <c r="AJ341" s="841"/>
      <c r="AK341" s="108" t="s">
        <v>12</v>
      </c>
      <c r="AL341" s="847">
        <v>323</v>
      </c>
      <c r="AM341" s="857"/>
      <c r="AN341" s="842"/>
      <c r="AO341" s="839"/>
      <c r="AP341" s="839"/>
      <c r="AQ341" s="839"/>
      <c r="AR341" s="750"/>
      <c r="AS341" s="840"/>
      <c r="AT341" s="839"/>
      <c r="AU341" s="856"/>
      <c r="AV341" s="108" t="s">
        <v>12</v>
      </c>
    </row>
    <row r="342" spans="4:48">
      <c r="D342" s="108" t="s">
        <v>12</v>
      </c>
      <c r="E342" s="742">
        <v>324</v>
      </c>
      <c r="F342" s="1016" t="str">
        <f t="shared" ca="1" si="37"/>
        <v/>
      </c>
      <c r="G342" s="1027" t="str">
        <f t="shared" ca="1" si="38"/>
        <v/>
      </c>
      <c r="H342" s="1043" t="str">
        <f ca="1"/>
        <v/>
      </c>
      <c r="I342" s="1006" t="str">
        <f ca="1"/>
        <v/>
      </c>
      <c r="J342" s="1006" t="str">
        <f ca="1"/>
        <v/>
      </c>
      <c r="K342" s="1016" t="str">
        <f ca="1"/>
        <v/>
      </c>
      <c r="L342" s="1019" t="str">
        <f ca="1"/>
        <v/>
      </c>
      <c r="M342" s="1006" t="str">
        <f ca="1"/>
        <v/>
      </c>
      <c r="N342" s="1060" t="str">
        <f t="shared" ca="1" si="35"/>
        <v/>
      </c>
      <c r="O342" s="996"/>
      <c r="P342" s="742">
        <v>324</v>
      </c>
      <c r="Q342" s="1016" t="str">
        <f t="shared" ca="1" si="39"/>
        <v/>
      </c>
      <c r="R342" s="1027" t="str">
        <f t="shared" ca="1" si="34"/>
        <v/>
      </c>
      <c r="S342" s="1006" t="str">
        <f ca="1"/>
        <v/>
      </c>
      <c r="T342" s="1006" t="str">
        <f ca="1"/>
        <v/>
      </c>
      <c r="U342" s="1006" t="str">
        <f ca="1"/>
        <v/>
      </c>
      <c r="V342" s="1016" t="str">
        <f ca="1"/>
        <v/>
      </c>
      <c r="W342" s="1019" t="str">
        <f ca="1"/>
        <v/>
      </c>
      <c r="X342" s="1006" t="str">
        <f ca="1"/>
        <v/>
      </c>
      <c r="Y342" s="864" t="str">
        <f t="shared" ca="1" si="36"/>
        <v/>
      </c>
      <c r="AA342" s="828">
        <v>324</v>
      </c>
      <c r="AB342" s="750"/>
      <c r="AC342" s="842"/>
      <c r="AD342" s="830"/>
      <c r="AE342" s="839"/>
      <c r="AF342" s="839"/>
      <c r="AG342" s="750"/>
      <c r="AH342" s="840"/>
      <c r="AI342" s="839"/>
      <c r="AJ342" s="841"/>
      <c r="AK342" s="108" t="s">
        <v>12</v>
      </c>
      <c r="AL342" s="847">
        <v>324</v>
      </c>
      <c r="AM342" s="857"/>
      <c r="AN342" s="842"/>
      <c r="AO342" s="839"/>
      <c r="AP342" s="839"/>
      <c r="AQ342" s="839"/>
      <c r="AR342" s="750"/>
      <c r="AS342" s="840"/>
      <c r="AT342" s="839"/>
      <c r="AU342" s="856"/>
      <c r="AV342" s="108" t="s">
        <v>12</v>
      </c>
    </row>
    <row r="343" spans="4:48">
      <c r="D343" s="108" t="s">
        <v>12</v>
      </c>
      <c r="E343" s="742">
        <v>325</v>
      </c>
      <c r="F343" s="1016" t="str">
        <f t="shared" ca="1" si="37"/>
        <v/>
      </c>
      <c r="G343" s="1027" t="str">
        <f t="shared" ca="1" si="38"/>
        <v/>
      </c>
      <c r="H343" s="1043" t="str">
        <f ca="1"/>
        <v/>
      </c>
      <c r="I343" s="1006" t="str">
        <f ca="1"/>
        <v/>
      </c>
      <c r="J343" s="1006" t="str">
        <f ca="1"/>
        <v/>
      </c>
      <c r="K343" s="1016" t="str">
        <f ca="1"/>
        <v/>
      </c>
      <c r="L343" s="1019" t="str">
        <f ca="1"/>
        <v/>
      </c>
      <c r="M343" s="1006" t="str">
        <f ca="1"/>
        <v/>
      </c>
      <c r="N343" s="1060" t="str">
        <f t="shared" ca="1" si="35"/>
        <v/>
      </c>
      <c r="O343" s="996"/>
      <c r="P343" s="742">
        <v>325</v>
      </c>
      <c r="Q343" s="1016" t="str">
        <f t="shared" ca="1" si="39"/>
        <v/>
      </c>
      <c r="R343" s="1027" t="str">
        <f t="shared" ca="1" si="34"/>
        <v/>
      </c>
      <c r="S343" s="1006" t="str">
        <f ca="1"/>
        <v/>
      </c>
      <c r="T343" s="1006" t="str">
        <f ca="1"/>
        <v/>
      </c>
      <c r="U343" s="1006" t="str">
        <f ca="1"/>
        <v/>
      </c>
      <c r="V343" s="1016" t="str">
        <f ca="1"/>
        <v/>
      </c>
      <c r="W343" s="1019" t="str">
        <f ca="1"/>
        <v/>
      </c>
      <c r="X343" s="1006" t="str">
        <f ca="1"/>
        <v/>
      </c>
      <c r="Y343" s="864" t="str">
        <f t="shared" ca="1" si="36"/>
        <v/>
      </c>
      <c r="AA343" s="828">
        <v>325</v>
      </c>
      <c r="AB343" s="750"/>
      <c r="AC343" s="842"/>
      <c r="AD343" s="830"/>
      <c r="AE343" s="839"/>
      <c r="AF343" s="839"/>
      <c r="AG343" s="750"/>
      <c r="AH343" s="840"/>
      <c r="AI343" s="839"/>
      <c r="AJ343" s="841"/>
      <c r="AK343" s="108" t="s">
        <v>12</v>
      </c>
      <c r="AL343" s="847">
        <v>325</v>
      </c>
      <c r="AM343" s="857"/>
      <c r="AN343" s="842"/>
      <c r="AO343" s="839"/>
      <c r="AP343" s="839"/>
      <c r="AQ343" s="839"/>
      <c r="AR343" s="750"/>
      <c r="AS343" s="840"/>
      <c r="AT343" s="839"/>
      <c r="AU343" s="856"/>
      <c r="AV343" s="108" t="s">
        <v>12</v>
      </c>
    </row>
    <row r="344" spans="4:48">
      <c r="D344" s="108" t="s">
        <v>12</v>
      </c>
      <c r="E344" s="742">
        <v>326</v>
      </c>
      <c r="F344" s="1016" t="str">
        <f t="shared" ca="1" si="37"/>
        <v/>
      </c>
      <c r="G344" s="1027" t="str">
        <f t="shared" ca="1" si="38"/>
        <v/>
      </c>
      <c r="H344" s="1043" t="str">
        <f ca="1"/>
        <v/>
      </c>
      <c r="I344" s="1006" t="str">
        <f ca="1"/>
        <v/>
      </c>
      <c r="J344" s="1006" t="str">
        <f ca="1"/>
        <v/>
      </c>
      <c r="K344" s="1016" t="str">
        <f ca="1"/>
        <v/>
      </c>
      <c r="L344" s="1019" t="str">
        <f ca="1"/>
        <v/>
      </c>
      <c r="M344" s="1006" t="str">
        <f ca="1"/>
        <v/>
      </c>
      <c r="N344" s="1060" t="str">
        <f t="shared" ca="1" si="35"/>
        <v/>
      </c>
      <c r="O344" s="996"/>
      <c r="P344" s="742">
        <v>326</v>
      </c>
      <c r="Q344" s="1016" t="str">
        <f t="shared" ca="1" si="39"/>
        <v/>
      </c>
      <c r="R344" s="1027" t="str">
        <f t="shared" ref="R344:R407" ca="1" si="40">IF(T344="","",1)</f>
        <v/>
      </c>
      <c r="S344" s="1006" t="str">
        <f ca="1"/>
        <v/>
      </c>
      <c r="T344" s="1006" t="str">
        <f ca="1"/>
        <v/>
      </c>
      <c r="U344" s="1006" t="str">
        <f ca="1"/>
        <v/>
      </c>
      <c r="V344" s="1016" t="str">
        <f ca="1"/>
        <v/>
      </c>
      <c r="W344" s="1019" t="str">
        <f ca="1"/>
        <v/>
      </c>
      <c r="X344" s="1006" t="str">
        <f ca="1"/>
        <v/>
      </c>
      <c r="Y344" s="864" t="str">
        <f t="shared" ca="1" si="36"/>
        <v/>
      </c>
      <c r="AA344" s="828">
        <v>326</v>
      </c>
      <c r="AB344" s="750"/>
      <c r="AC344" s="842"/>
      <c r="AD344" s="830"/>
      <c r="AE344" s="839"/>
      <c r="AF344" s="839"/>
      <c r="AG344" s="750"/>
      <c r="AH344" s="840"/>
      <c r="AI344" s="839"/>
      <c r="AJ344" s="841"/>
      <c r="AK344" s="108" t="s">
        <v>12</v>
      </c>
      <c r="AL344" s="847">
        <v>326</v>
      </c>
      <c r="AM344" s="857"/>
      <c r="AN344" s="842"/>
      <c r="AO344" s="839"/>
      <c r="AP344" s="839"/>
      <c r="AQ344" s="839"/>
      <c r="AR344" s="750"/>
      <c r="AS344" s="840"/>
      <c r="AT344" s="839"/>
      <c r="AU344" s="856"/>
      <c r="AV344" s="108" t="s">
        <v>12</v>
      </c>
    </row>
    <row r="345" spans="4:48">
      <c r="D345" s="108" t="s">
        <v>12</v>
      </c>
      <c r="E345" s="742">
        <v>327</v>
      </c>
      <c r="F345" s="1016" t="str">
        <f t="shared" ca="1" si="37"/>
        <v/>
      </c>
      <c r="G345" s="1027" t="str">
        <f t="shared" ca="1" si="38"/>
        <v/>
      </c>
      <c r="H345" s="1043" t="str">
        <f ca="1"/>
        <v/>
      </c>
      <c r="I345" s="1006" t="str">
        <f ca="1"/>
        <v/>
      </c>
      <c r="J345" s="1006" t="str">
        <f ca="1"/>
        <v/>
      </c>
      <c r="K345" s="1016" t="str">
        <f ca="1"/>
        <v/>
      </c>
      <c r="L345" s="1019" t="str">
        <f ca="1"/>
        <v/>
      </c>
      <c r="M345" s="1006" t="str">
        <f ca="1"/>
        <v/>
      </c>
      <c r="N345" s="1060" t="str">
        <f t="shared" ca="1" si="35"/>
        <v/>
      </c>
      <c r="O345" s="996"/>
      <c r="P345" s="742">
        <v>327</v>
      </c>
      <c r="Q345" s="1016" t="str">
        <f t="shared" ca="1" si="39"/>
        <v/>
      </c>
      <c r="R345" s="1027" t="str">
        <f t="shared" ca="1" si="40"/>
        <v/>
      </c>
      <c r="S345" s="1006" t="str">
        <f ca="1"/>
        <v/>
      </c>
      <c r="T345" s="1006" t="str">
        <f ca="1"/>
        <v/>
      </c>
      <c r="U345" s="1006" t="str">
        <f ca="1"/>
        <v/>
      </c>
      <c r="V345" s="1016" t="str">
        <f ca="1"/>
        <v/>
      </c>
      <c r="W345" s="1019" t="str">
        <f ca="1"/>
        <v/>
      </c>
      <c r="X345" s="1006" t="str">
        <f ca="1"/>
        <v/>
      </c>
      <c r="Y345" s="864" t="str">
        <f t="shared" ca="1" si="36"/>
        <v/>
      </c>
      <c r="AA345" s="828">
        <v>327</v>
      </c>
      <c r="AB345" s="750"/>
      <c r="AC345" s="842"/>
      <c r="AD345" s="830"/>
      <c r="AE345" s="839"/>
      <c r="AF345" s="839"/>
      <c r="AG345" s="750"/>
      <c r="AH345" s="840"/>
      <c r="AI345" s="839"/>
      <c r="AJ345" s="841"/>
      <c r="AK345" s="108" t="s">
        <v>12</v>
      </c>
      <c r="AL345" s="847">
        <v>327</v>
      </c>
      <c r="AM345" s="857"/>
      <c r="AN345" s="842"/>
      <c r="AO345" s="839"/>
      <c r="AP345" s="839"/>
      <c r="AQ345" s="839"/>
      <c r="AR345" s="750"/>
      <c r="AS345" s="840"/>
      <c r="AT345" s="839"/>
      <c r="AU345" s="856"/>
      <c r="AV345" s="108" t="s">
        <v>12</v>
      </c>
    </row>
    <row r="346" spans="4:48">
      <c r="D346" s="108" t="s">
        <v>12</v>
      </c>
      <c r="E346" s="742">
        <v>328</v>
      </c>
      <c r="F346" s="1016" t="str">
        <f t="shared" ca="1" si="37"/>
        <v/>
      </c>
      <c r="G346" s="1027" t="str">
        <f t="shared" ca="1" si="38"/>
        <v/>
      </c>
      <c r="H346" s="1043" t="str">
        <f ca="1"/>
        <v/>
      </c>
      <c r="I346" s="1006" t="str">
        <f ca="1"/>
        <v/>
      </c>
      <c r="J346" s="1006" t="str">
        <f ca="1"/>
        <v/>
      </c>
      <c r="K346" s="1016" t="str">
        <f ca="1"/>
        <v/>
      </c>
      <c r="L346" s="1019" t="str">
        <f ca="1"/>
        <v/>
      </c>
      <c r="M346" s="1006" t="str">
        <f ca="1"/>
        <v/>
      </c>
      <c r="N346" s="1060" t="str">
        <f t="shared" ca="1" si="35"/>
        <v/>
      </c>
      <c r="O346" s="996"/>
      <c r="P346" s="742">
        <v>328</v>
      </c>
      <c r="Q346" s="1016" t="str">
        <f t="shared" ca="1" si="39"/>
        <v/>
      </c>
      <c r="R346" s="1027" t="str">
        <f t="shared" ca="1" si="40"/>
        <v/>
      </c>
      <c r="S346" s="1006" t="str">
        <f ca="1"/>
        <v/>
      </c>
      <c r="T346" s="1006" t="str">
        <f ca="1"/>
        <v/>
      </c>
      <c r="U346" s="1006" t="str">
        <f ca="1"/>
        <v/>
      </c>
      <c r="V346" s="1016" t="str">
        <f ca="1"/>
        <v/>
      </c>
      <c r="W346" s="1019" t="str">
        <f ca="1"/>
        <v/>
      </c>
      <c r="X346" s="1006" t="str">
        <f ca="1"/>
        <v/>
      </c>
      <c r="Y346" s="864" t="str">
        <f t="shared" ca="1" si="36"/>
        <v/>
      </c>
      <c r="AA346" s="828">
        <v>328</v>
      </c>
      <c r="AB346" s="750"/>
      <c r="AC346" s="842"/>
      <c r="AD346" s="830"/>
      <c r="AE346" s="839"/>
      <c r="AF346" s="839"/>
      <c r="AG346" s="750"/>
      <c r="AH346" s="840"/>
      <c r="AI346" s="839"/>
      <c r="AJ346" s="841"/>
      <c r="AK346" s="108" t="s">
        <v>12</v>
      </c>
      <c r="AL346" s="847">
        <v>328</v>
      </c>
      <c r="AM346" s="857"/>
      <c r="AN346" s="842"/>
      <c r="AO346" s="839"/>
      <c r="AP346" s="839"/>
      <c r="AQ346" s="839"/>
      <c r="AR346" s="750"/>
      <c r="AS346" s="840"/>
      <c r="AT346" s="839"/>
      <c r="AU346" s="856"/>
      <c r="AV346" s="108" t="s">
        <v>12</v>
      </c>
    </row>
    <row r="347" spans="4:48">
      <c r="D347" s="108" t="s">
        <v>12</v>
      </c>
      <c r="E347" s="742">
        <v>329</v>
      </c>
      <c r="F347" s="1016" t="str">
        <f t="shared" ca="1" si="37"/>
        <v/>
      </c>
      <c r="G347" s="1027" t="str">
        <f t="shared" ca="1" si="38"/>
        <v/>
      </c>
      <c r="H347" s="1043" t="str">
        <f ca="1"/>
        <v/>
      </c>
      <c r="I347" s="1006" t="str">
        <f ca="1"/>
        <v/>
      </c>
      <c r="J347" s="1006" t="str">
        <f ca="1"/>
        <v/>
      </c>
      <c r="K347" s="1016" t="str">
        <f ca="1"/>
        <v/>
      </c>
      <c r="L347" s="1019" t="str">
        <f ca="1"/>
        <v/>
      </c>
      <c r="M347" s="1006" t="str">
        <f ca="1"/>
        <v/>
      </c>
      <c r="N347" s="1060" t="str">
        <f t="shared" ca="1" si="35"/>
        <v/>
      </c>
      <c r="O347" s="996"/>
      <c r="P347" s="742">
        <v>329</v>
      </c>
      <c r="Q347" s="1016" t="str">
        <f t="shared" ca="1" si="39"/>
        <v/>
      </c>
      <c r="R347" s="1027" t="str">
        <f t="shared" ca="1" si="40"/>
        <v/>
      </c>
      <c r="S347" s="1006" t="str">
        <f ca="1"/>
        <v/>
      </c>
      <c r="T347" s="1006" t="str">
        <f ca="1"/>
        <v/>
      </c>
      <c r="U347" s="1006" t="str">
        <f ca="1"/>
        <v/>
      </c>
      <c r="V347" s="1016" t="str">
        <f ca="1"/>
        <v/>
      </c>
      <c r="W347" s="1019" t="str">
        <f ca="1"/>
        <v/>
      </c>
      <c r="X347" s="1006" t="str">
        <f ca="1"/>
        <v/>
      </c>
      <c r="Y347" s="864" t="str">
        <f t="shared" ca="1" si="36"/>
        <v/>
      </c>
      <c r="AA347" s="828">
        <v>329</v>
      </c>
      <c r="AB347" s="750"/>
      <c r="AC347" s="842"/>
      <c r="AD347" s="830"/>
      <c r="AE347" s="839"/>
      <c r="AF347" s="839"/>
      <c r="AG347" s="750"/>
      <c r="AH347" s="840"/>
      <c r="AI347" s="839"/>
      <c r="AJ347" s="841"/>
      <c r="AK347" s="108" t="s">
        <v>12</v>
      </c>
      <c r="AL347" s="847">
        <v>329</v>
      </c>
      <c r="AM347" s="857"/>
      <c r="AN347" s="842"/>
      <c r="AO347" s="839"/>
      <c r="AP347" s="839"/>
      <c r="AQ347" s="839"/>
      <c r="AR347" s="750"/>
      <c r="AS347" s="840"/>
      <c r="AT347" s="839"/>
      <c r="AU347" s="856"/>
      <c r="AV347" s="108" t="s">
        <v>12</v>
      </c>
    </row>
    <row r="348" spans="4:48">
      <c r="D348" s="108" t="s">
        <v>12</v>
      </c>
      <c r="E348" s="742">
        <v>330</v>
      </c>
      <c r="F348" s="1016" t="str">
        <f t="shared" ca="1" si="37"/>
        <v/>
      </c>
      <c r="G348" s="1027" t="str">
        <f t="shared" ca="1" si="38"/>
        <v/>
      </c>
      <c r="H348" s="1043" t="str">
        <f ca="1"/>
        <v/>
      </c>
      <c r="I348" s="1006" t="str">
        <f ca="1"/>
        <v/>
      </c>
      <c r="J348" s="1006" t="str">
        <f ca="1"/>
        <v/>
      </c>
      <c r="K348" s="1016" t="str">
        <f ca="1"/>
        <v/>
      </c>
      <c r="L348" s="1019" t="str">
        <f ca="1"/>
        <v/>
      </c>
      <c r="M348" s="1006" t="str">
        <f ca="1"/>
        <v/>
      </c>
      <c r="N348" s="1060" t="str">
        <f t="shared" ca="1" si="35"/>
        <v/>
      </c>
      <c r="O348" s="996"/>
      <c r="P348" s="742">
        <v>330</v>
      </c>
      <c r="Q348" s="1016" t="str">
        <f t="shared" ca="1" si="39"/>
        <v/>
      </c>
      <c r="R348" s="1027" t="str">
        <f t="shared" ca="1" si="40"/>
        <v/>
      </c>
      <c r="S348" s="1006" t="str">
        <f ca="1"/>
        <v/>
      </c>
      <c r="T348" s="1006" t="str">
        <f ca="1"/>
        <v/>
      </c>
      <c r="U348" s="1006" t="str">
        <f ca="1"/>
        <v/>
      </c>
      <c r="V348" s="1016" t="str">
        <f ca="1"/>
        <v/>
      </c>
      <c r="W348" s="1019" t="str">
        <f ca="1"/>
        <v/>
      </c>
      <c r="X348" s="1006" t="str">
        <f ca="1"/>
        <v/>
      </c>
      <c r="Y348" s="864" t="str">
        <f t="shared" ca="1" si="36"/>
        <v/>
      </c>
      <c r="AA348" s="828">
        <v>330</v>
      </c>
      <c r="AB348" s="750"/>
      <c r="AC348" s="842"/>
      <c r="AD348" s="830"/>
      <c r="AE348" s="839"/>
      <c r="AF348" s="839"/>
      <c r="AG348" s="750"/>
      <c r="AH348" s="840"/>
      <c r="AI348" s="839"/>
      <c r="AJ348" s="841"/>
      <c r="AK348" s="108" t="s">
        <v>12</v>
      </c>
      <c r="AL348" s="847">
        <v>330</v>
      </c>
      <c r="AM348" s="857"/>
      <c r="AN348" s="842"/>
      <c r="AO348" s="839"/>
      <c r="AP348" s="839"/>
      <c r="AQ348" s="839"/>
      <c r="AR348" s="750"/>
      <c r="AS348" s="840"/>
      <c r="AT348" s="839"/>
      <c r="AU348" s="856"/>
      <c r="AV348" s="108" t="s">
        <v>12</v>
      </c>
    </row>
    <row r="349" spans="4:48">
      <c r="D349" s="108" t="s">
        <v>12</v>
      </c>
      <c r="E349" s="742">
        <v>331</v>
      </c>
      <c r="F349" s="1016" t="str">
        <f t="shared" ca="1" si="37"/>
        <v/>
      </c>
      <c r="G349" s="1027" t="str">
        <f t="shared" ca="1" si="38"/>
        <v/>
      </c>
      <c r="H349" s="1043" t="str">
        <f ca="1"/>
        <v/>
      </c>
      <c r="I349" s="1006" t="str">
        <f ca="1"/>
        <v/>
      </c>
      <c r="J349" s="1006" t="str">
        <f ca="1"/>
        <v/>
      </c>
      <c r="K349" s="1016" t="str">
        <f ca="1"/>
        <v/>
      </c>
      <c r="L349" s="1019" t="str">
        <f ca="1"/>
        <v/>
      </c>
      <c r="M349" s="1006" t="str">
        <f ca="1"/>
        <v/>
      </c>
      <c r="N349" s="1060" t="str">
        <f t="shared" ca="1" si="35"/>
        <v/>
      </c>
      <c r="O349" s="996"/>
      <c r="P349" s="742">
        <v>331</v>
      </c>
      <c r="Q349" s="1016" t="str">
        <f t="shared" ca="1" si="39"/>
        <v/>
      </c>
      <c r="R349" s="1027" t="str">
        <f t="shared" ca="1" si="40"/>
        <v/>
      </c>
      <c r="S349" s="1006" t="str">
        <f ca="1"/>
        <v/>
      </c>
      <c r="T349" s="1006" t="str">
        <f ca="1"/>
        <v/>
      </c>
      <c r="U349" s="1006" t="str">
        <f ca="1"/>
        <v/>
      </c>
      <c r="V349" s="1016" t="str">
        <f ca="1"/>
        <v/>
      </c>
      <c r="W349" s="1019" t="str">
        <f ca="1"/>
        <v/>
      </c>
      <c r="X349" s="1006" t="str">
        <f ca="1"/>
        <v/>
      </c>
      <c r="Y349" s="864" t="str">
        <f t="shared" ca="1" si="36"/>
        <v/>
      </c>
      <c r="AA349" s="828">
        <v>331</v>
      </c>
      <c r="AB349" s="750"/>
      <c r="AC349" s="842"/>
      <c r="AD349" s="830"/>
      <c r="AE349" s="839"/>
      <c r="AF349" s="839"/>
      <c r="AG349" s="750"/>
      <c r="AH349" s="840"/>
      <c r="AI349" s="839"/>
      <c r="AJ349" s="841"/>
      <c r="AK349" s="108" t="s">
        <v>12</v>
      </c>
      <c r="AL349" s="847">
        <v>331</v>
      </c>
      <c r="AM349" s="857"/>
      <c r="AN349" s="842"/>
      <c r="AO349" s="839"/>
      <c r="AP349" s="839"/>
      <c r="AQ349" s="839"/>
      <c r="AR349" s="750"/>
      <c r="AS349" s="840"/>
      <c r="AT349" s="839"/>
      <c r="AU349" s="856"/>
      <c r="AV349" s="108" t="s">
        <v>12</v>
      </c>
    </row>
    <row r="350" spans="4:48">
      <c r="D350" s="108" t="s">
        <v>12</v>
      </c>
      <c r="E350" s="742">
        <v>332</v>
      </c>
      <c r="F350" s="1016" t="str">
        <f t="shared" ca="1" si="37"/>
        <v/>
      </c>
      <c r="G350" s="1027" t="str">
        <f t="shared" ca="1" si="38"/>
        <v/>
      </c>
      <c r="H350" s="1043" t="str">
        <f ca="1"/>
        <v/>
      </c>
      <c r="I350" s="1006" t="str">
        <f ca="1"/>
        <v/>
      </c>
      <c r="J350" s="1006" t="str">
        <f ca="1"/>
        <v/>
      </c>
      <c r="K350" s="1016" t="str">
        <f ca="1"/>
        <v/>
      </c>
      <c r="L350" s="1019" t="str">
        <f ca="1"/>
        <v/>
      </c>
      <c r="M350" s="1006" t="str">
        <f ca="1"/>
        <v/>
      </c>
      <c r="N350" s="1060" t="str">
        <f t="shared" ca="1" si="35"/>
        <v/>
      </c>
      <c r="O350" s="996"/>
      <c r="P350" s="742">
        <v>332</v>
      </c>
      <c r="Q350" s="1016" t="str">
        <f t="shared" ca="1" si="39"/>
        <v/>
      </c>
      <c r="R350" s="1027" t="str">
        <f t="shared" ca="1" si="40"/>
        <v/>
      </c>
      <c r="S350" s="1006" t="str">
        <f ca="1"/>
        <v/>
      </c>
      <c r="T350" s="1006" t="str">
        <f ca="1"/>
        <v/>
      </c>
      <c r="U350" s="1006" t="str">
        <f ca="1"/>
        <v/>
      </c>
      <c r="V350" s="1016" t="str">
        <f ca="1"/>
        <v/>
      </c>
      <c r="W350" s="1019" t="str">
        <f ca="1"/>
        <v/>
      </c>
      <c r="X350" s="1006" t="str">
        <f ca="1"/>
        <v/>
      </c>
      <c r="Y350" s="864" t="str">
        <f t="shared" ca="1" si="36"/>
        <v/>
      </c>
      <c r="AA350" s="828">
        <v>332</v>
      </c>
      <c r="AB350" s="750"/>
      <c r="AC350" s="842"/>
      <c r="AD350" s="830"/>
      <c r="AE350" s="839"/>
      <c r="AF350" s="839"/>
      <c r="AG350" s="750"/>
      <c r="AH350" s="840"/>
      <c r="AI350" s="839"/>
      <c r="AJ350" s="841"/>
      <c r="AK350" s="108" t="s">
        <v>12</v>
      </c>
      <c r="AL350" s="847">
        <v>332</v>
      </c>
      <c r="AM350" s="857"/>
      <c r="AN350" s="842"/>
      <c r="AO350" s="839"/>
      <c r="AP350" s="839"/>
      <c r="AQ350" s="839"/>
      <c r="AR350" s="750"/>
      <c r="AS350" s="840"/>
      <c r="AT350" s="839"/>
      <c r="AU350" s="856"/>
      <c r="AV350" s="108" t="s">
        <v>12</v>
      </c>
    </row>
    <row r="351" spans="4:48">
      <c r="D351" s="108" t="s">
        <v>12</v>
      </c>
      <c r="E351" s="742">
        <v>333</v>
      </c>
      <c r="F351" s="1016" t="str">
        <f t="shared" ca="1" si="37"/>
        <v/>
      </c>
      <c r="G351" s="1027" t="str">
        <f t="shared" ca="1" si="38"/>
        <v/>
      </c>
      <c r="H351" s="1043" t="str">
        <f ca="1"/>
        <v/>
      </c>
      <c r="I351" s="1006" t="str">
        <f ca="1"/>
        <v/>
      </c>
      <c r="J351" s="1006" t="str">
        <f ca="1"/>
        <v/>
      </c>
      <c r="K351" s="1016" t="str">
        <f ca="1"/>
        <v/>
      </c>
      <c r="L351" s="1019" t="str">
        <f ca="1"/>
        <v/>
      </c>
      <c r="M351" s="1006" t="str">
        <f ca="1"/>
        <v/>
      </c>
      <c r="N351" s="1060" t="str">
        <f t="shared" ca="1" si="35"/>
        <v/>
      </c>
      <c r="O351" s="996"/>
      <c r="P351" s="742">
        <v>333</v>
      </c>
      <c r="Q351" s="1016" t="str">
        <f t="shared" ca="1" si="39"/>
        <v/>
      </c>
      <c r="R351" s="1027" t="str">
        <f t="shared" ca="1" si="40"/>
        <v/>
      </c>
      <c r="S351" s="1006" t="str">
        <f ca="1"/>
        <v/>
      </c>
      <c r="T351" s="1006" t="str">
        <f ca="1"/>
        <v/>
      </c>
      <c r="U351" s="1006" t="str">
        <f ca="1"/>
        <v/>
      </c>
      <c r="V351" s="1016" t="str">
        <f ca="1"/>
        <v/>
      </c>
      <c r="W351" s="1019" t="str">
        <f ca="1"/>
        <v/>
      </c>
      <c r="X351" s="1006" t="str">
        <f ca="1"/>
        <v/>
      </c>
      <c r="Y351" s="864" t="str">
        <f t="shared" ca="1" si="36"/>
        <v/>
      </c>
      <c r="AA351" s="828">
        <v>333</v>
      </c>
      <c r="AB351" s="750"/>
      <c r="AC351" s="842"/>
      <c r="AD351" s="830"/>
      <c r="AE351" s="839"/>
      <c r="AF351" s="839"/>
      <c r="AG351" s="750"/>
      <c r="AH351" s="840"/>
      <c r="AI351" s="839"/>
      <c r="AJ351" s="841"/>
      <c r="AK351" s="108" t="s">
        <v>12</v>
      </c>
      <c r="AL351" s="847">
        <v>333</v>
      </c>
      <c r="AM351" s="857"/>
      <c r="AN351" s="842"/>
      <c r="AO351" s="839"/>
      <c r="AP351" s="839"/>
      <c r="AQ351" s="839"/>
      <c r="AR351" s="750"/>
      <c r="AS351" s="840"/>
      <c r="AT351" s="839"/>
      <c r="AU351" s="856"/>
      <c r="AV351" s="108" t="s">
        <v>12</v>
      </c>
    </row>
    <row r="352" spans="4:48">
      <c r="D352" s="108" t="s">
        <v>12</v>
      </c>
      <c r="E352" s="742">
        <v>334</v>
      </c>
      <c r="F352" s="1016" t="str">
        <f t="shared" ca="1" si="37"/>
        <v/>
      </c>
      <c r="G352" s="1027" t="str">
        <f t="shared" ca="1" si="38"/>
        <v/>
      </c>
      <c r="H352" s="1043" t="str">
        <f ca="1"/>
        <v/>
      </c>
      <c r="I352" s="1006" t="str">
        <f ca="1"/>
        <v/>
      </c>
      <c r="J352" s="1006" t="str">
        <f ca="1"/>
        <v/>
      </c>
      <c r="K352" s="1016" t="str">
        <f ca="1"/>
        <v/>
      </c>
      <c r="L352" s="1019" t="str">
        <f ca="1"/>
        <v/>
      </c>
      <c r="M352" s="1006" t="str">
        <f ca="1"/>
        <v/>
      </c>
      <c r="N352" s="1060" t="str">
        <f t="shared" ca="1" si="35"/>
        <v/>
      </c>
      <c r="O352" s="996"/>
      <c r="P352" s="742">
        <v>334</v>
      </c>
      <c r="Q352" s="1016" t="str">
        <f t="shared" ca="1" si="39"/>
        <v/>
      </c>
      <c r="R352" s="1027" t="str">
        <f t="shared" ca="1" si="40"/>
        <v/>
      </c>
      <c r="S352" s="1006" t="str">
        <f ca="1"/>
        <v/>
      </c>
      <c r="T352" s="1006" t="str">
        <f ca="1"/>
        <v/>
      </c>
      <c r="U352" s="1006" t="str">
        <f ca="1"/>
        <v/>
      </c>
      <c r="V352" s="1016" t="str">
        <f ca="1"/>
        <v/>
      </c>
      <c r="W352" s="1019" t="str">
        <f ca="1"/>
        <v/>
      </c>
      <c r="X352" s="1006" t="str">
        <f ca="1"/>
        <v/>
      </c>
      <c r="Y352" s="864" t="str">
        <f t="shared" ca="1" si="36"/>
        <v/>
      </c>
      <c r="AA352" s="828">
        <v>334</v>
      </c>
      <c r="AB352" s="750"/>
      <c r="AC352" s="842"/>
      <c r="AD352" s="830"/>
      <c r="AE352" s="839"/>
      <c r="AF352" s="839"/>
      <c r="AG352" s="750"/>
      <c r="AH352" s="840"/>
      <c r="AI352" s="839"/>
      <c r="AJ352" s="841"/>
      <c r="AK352" s="108" t="s">
        <v>12</v>
      </c>
      <c r="AL352" s="847">
        <v>334</v>
      </c>
      <c r="AM352" s="857"/>
      <c r="AN352" s="842"/>
      <c r="AO352" s="839"/>
      <c r="AP352" s="839"/>
      <c r="AQ352" s="839"/>
      <c r="AR352" s="750"/>
      <c r="AS352" s="840"/>
      <c r="AT352" s="839"/>
      <c r="AU352" s="856"/>
      <c r="AV352" s="108" t="s">
        <v>12</v>
      </c>
    </row>
    <row r="353" spans="4:48">
      <c r="D353" s="108" t="s">
        <v>12</v>
      </c>
      <c r="E353" s="742">
        <v>335</v>
      </c>
      <c r="F353" s="1016" t="str">
        <f t="shared" ca="1" si="37"/>
        <v/>
      </c>
      <c r="G353" s="1027" t="str">
        <f t="shared" ca="1" si="38"/>
        <v/>
      </c>
      <c r="H353" s="1043" t="str">
        <f ca="1"/>
        <v/>
      </c>
      <c r="I353" s="1006" t="str">
        <f ca="1"/>
        <v/>
      </c>
      <c r="J353" s="1006" t="str">
        <f ca="1"/>
        <v/>
      </c>
      <c r="K353" s="1016" t="str">
        <f ca="1"/>
        <v/>
      </c>
      <c r="L353" s="1019" t="str">
        <f ca="1"/>
        <v/>
      </c>
      <c r="M353" s="1006" t="str">
        <f ca="1"/>
        <v/>
      </c>
      <c r="N353" s="1060" t="str">
        <f t="shared" ca="1" si="35"/>
        <v/>
      </c>
      <c r="O353" s="996"/>
      <c r="P353" s="742">
        <v>335</v>
      </c>
      <c r="Q353" s="1016" t="str">
        <f t="shared" ca="1" si="39"/>
        <v/>
      </c>
      <c r="R353" s="1027" t="str">
        <f t="shared" ca="1" si="40"/>
        <v/>
      </c>
      <c r="S353" s="1006" t="str">
        <f ca="1"/>
        <v/>
      </c>
      <c r="T353" s="1006" t="str">
        <f ca="1"/>
        <v/>
      </c>
      <c r="U353" s="1006" t="str">
        <f ca="1"/>
        <v/>
      </c>
      <c r="V353" s="1016" t="str">
        <f ca="1"/>
        <v/>
      </c>
      <c r="W353" s="1019" t="str">
        <f ca="1"/>
        <v/>
      </c>
      <c r="X353" s="1006" t="str">
        <f ca="1"/>
        <v/>
      </c>
      <c r="Y353" s="864" t="str">
        <f t="shared" ca="1" si="36"/>
        <v/>
      </c>
      <c r="AA353" s="828">
        <v>335</v>
      </c>
      <c r="AB353" s="750"/>
      <c r="AC353" s="842"/>
      <c r="AD353" s="830"/>
      <c r="AE353" s="839"/>
      <c r="AF353" s="839"/>
      <c r="AG353" s="750"/>
      <c r="AH353" s="840"/>
      <c r="AI353" s="839"/>
      <c r="AJ353" s="841"/>
      <c r="AK353" s="108" t="s">
        <v>12</v>
      </c>
      <c r="AL353" s="847">
        <v>335</v>
      </c>
      <c r="AM353" s="857"/>
      <c r="AN353" s="842"/>
      <c r="AO353" s="839"/>
      <c r="AP353" s="839"/>
      <c r="AQ353" s="839"/>
      <c r="AR353" s="750"/>
      <c r="AS353" s="840"/>
      <c r="AT353" s="839"/>
      <c r="AU353" s="856"/>
      <c r="AV353" s="108" t="s">
        <v>12</v>
      </c>
    </row>
    <row r="354" spans="4:48">
      <c r="D354" s="108" t="s">
        <v>12</v>
      </c>
      <c r="E354" s="742">
        <v>336</v>
      </c>
      <c r="F354" s="1016" t="str">
        <f t="shared" ca="1" si="37"/>
        <v/>
      </c>
      <c r="G354" s="1027" t="str">
        <f t="shared" ca="1" si="38"/>
        <v/>
      </c>
      <c r="H354" s="1043" t="str">
        <f ca="1"/>
        <v/>
      </c>
      <c r="I354" s="1006" t="str">
        <f ca="1"/>
        <v/>
      </c>
      <c r="J354" s="1006" t="str">
        <f ca="1"/>
        <v/>
      </c>
      <c r="K354" s="1016" t="str">
        <f ca="1"/>
        <v/>
      </c>
      <c r="L354" s="1019" t="str">
        <f ca="1"/>
        <v/>
      </c>
      <c r="M354" s="1006" t="str">
        <f ca="1"/>
        <v/>
      </c>
      <c r="N354" s="1060" t="str">
        <f t="shared" ca="1" si="35"/>
        <v/>
      </c>
      <c r="O354" s="996"/>
      <c r="P354" s="742">
        <v>336</v>
      </c>
      <c r="Q354" s="1016" t="str">
        <f t="shared" ca="1" si="39"/>
        <v/>
      </c>
      <c r="R354" s="1027" t="str">
        <f t="shared" ca="1" si="40"/>
        <v/>
      </c>
      <c r="S354" s="1006" t="str">
        <f ca="1"/>
        <v/>
      </c>
      <c r="T354" s="1006" t="str">
        <f ca="1"/>
        <v/>
      </c>
      <c r="U354" s="1006" t="str">
        <f ca="1"/>
        <v/>
      </c>
      <c r="V354" s="1016" t="str">
        <f ca="1"/>
        <v/>
      </c>
      <c r="W354" s="1019" t="str">
        <f ca="1"/>
        <v/>
      </c>
      <c r="X354" s="1006" t="str">
        <f ca="1"/>
        <v/>
      </c>
      <c r="Y354" s="864" t="str">
        <f t="shared" ca="1" si="36"/>
        <v/>
      </c>
      <c r="AA354" s="828">
        <v>336</v>
      </c>
      <c r="AB354" s="750"/>
      <c r="AC354" s="842"/>
      <c r="AD354" s="830"/>
      <c r="AE354" s="839"/>
      <c r="AF354" s="839"/>
      <c r="AG354" s="750"/>
      <c r="AH354" s="840"/>
      <c r="AI354" s="839"/>
      <c r="AJ354" s="841"/>
      <c r="AK354" s="108" t="s">
        <v>12</v>
      </c>
      <c r="AL354" s="847">
        <v>336</v>
      </c>
      <c r="AM354" s="857"/>
      <c r="AN354" s="842"/>
      <c r="AO354" s="839"/>
      <c r="AP354" s="839"/>
      <c r="AQ354" s="839"/>
      <c r="AR354" s="750"/>
      <c r="AS354" s="840"/>
      <c r="AT354" s="839"/>
      <c r="AU354" s="856"/>
      <c r="AV354" s="108" t="s">
        <v>12</v>
      </c>
    </row>
    <row r="355" spans="4:48">
      <c r="D355" s="108" t="s">
        <v>12</v>
      </c>
      <c r="E355" s="742">
        <v>337</v>
      </c>
      <c r="F355" s="1016" t="str">
        <f t="shared" ca="1" si="37"/>
        <v/>
      </c>
      <c r="G355" s="1027" t="str">
        <f t="shared" ca="1" si="38"/>
        <v/>
      </c>
      <c r="H355" s="1043" t="str">
        <f ca="1"/>
        <v/>
      </c>
      <c r="I355" s="1006" t="str">
        <f ca="1"/>
        <v/>
      </c>
      <c r="J355" s="1006" t="str">
        <f ca="1"/>
        <v/>
      </c>
      <c r="K355" s="1016" t="str">
        <f ca="1"/>
        <v/>
      </c>
      <c r="L355" s="1019" t="str">
        <f ca="1"/>
        <v/>
      </c>
      <c r="M355" s="1006" t="str">
        <f ca="1"/>
        <v/>
      </c>
      <c r="N355" s="1060" t="str">
        <f t="shared" ca="1" si="35"/>
        <v/>
      </c>
      <c r="O355" s="996"/>
      <c r="P355" s="742">
        <v>337</v>
      </c>
      <c r="Q355" s="1016" t="str">
        <f t="shared" ca="1" si="39"/>
        <v/>
      </c>
      <c r="R355" s="1027" t="str">
        <f t="shared" ca="1" si="40"/>
        <v/>
      </c>
      <c r="S355" s="1006" t="str">
        <f ca="1"/>
        <v/>
      </c>
      <c r="T355" s="1006" t="str">
        <f ca="1"/>
        <v/>
      </c>
      <c r="U355" s="1006" t="str">
        <f ca="1"/>
        <v/>
      </c>
      <c r="V355" s="1016" t="str">
        <f ca="1"/>
        <v/>
      </c>
      <c r="W355" s="1019" t="str">
        <f ca="1"/>
        <v/>
      </c>
      <c r="X355" s="1006" t="str">
        <f ca="1"/>
        <v/>
      </c>
      <c r="Y355" s="864" t="str">
        <f t="shared" ca="1" si="36"/>
        <v/>
      </c>
      <c r="AA355" s="828">
        <v>337</v>
      </c>
      <c r="AB355" s="750"/>
      <c r="AC355" s="842"/>
      <c r="AD355" s="830"/>
      <c r="AE355" s="839"/>
      <c r="AF355" s="839"/>
      <c r="AG355" s="750"/>
      <c r="AH355" s="840"/>
      <c r="AI355" s="839"/>
      <c r="AJ355" s="841"/>
      <c r="AK355" s="108" t="s">
        <v>12</v>
      </c>
      <c r="AL355" s="847">
        <v>337</v>
      </c>
      <c r="AM355" s="857"/>
      <c r="AN355" s="842"/>
      <c r="AO355" s="839"/>
      <c r="AP355" s="839"/>
      <c r="AQ355" s="839"/>
      <c r="AR355" s="750"/>
      <c r="AS355" s="840"/>
      <c r="AT355" s="839"/>
      <c r="AU355" s="856"/>
      <c r="AV355" s="108" t="s">
        <v>12</v>
      </c>
    </row>
    <row r="356" spans="4:48">
      <c r="D356" s="108" t="s">
        <v>12</v>
      </c>
      <c r="E356" s="742">
        <v>338</v>
      </c>
      <c r="F356" s="1016" t="str">
        <f t="shared" ca="1" si="37"/>
        <v/>
      </c>
      <c r="G356" s="1027" t="str">
        <f t="shared" ca="1" si="38"/>
        <v/>
      </c>
      <c r="H356" s="1043" t="str">
        <f ca="1"/>
        <v/>
      </c>
      <c r="I356" s="1006" t="str">
        <f ca="1"/>
        <v/>
      </c>
      <c r="J356" s="1006" t="str">
        <f ca="1"/>
        <v/>
      </c>
      <c r="K356" s="1016" t="str">
        <f ca="1"/>
        <v/>
      </c>
      <c r="L356" s="1019" t="str">
        <f ca="1"/>
        <v/>
      </c>
      <c r="M356" s="1006" t="str">
        <f ca="1"/>
        <v/>
      </c>
      <c r="N356" s="1060" t="str">
        <f t="shared" ca="1" si="35"/>
        <v/>
      </c>
      <c r="O356" s="996"/>
      <c r="P356" s="742">
        <v>338</v>
      </c>
      <c r="Q356" s="1016" t="str">
        <f t="shared" ca="1" si="39"/>
        <v/>
      </c>
      <c r="R356" s="1027" t="str">
        <f t="shared" ca="1" si="40"/>
        <v/>
      </c>
      <c r="S356" s="1006" t="str">
        <f ca="1"/>
        <v/>
      </c>
      <c r="T356" s="1006" t="str">
        <f ca="1"/>
        <v/>
      </c>
      <c r="U356" s="1006" t="str">
        <f ca="1"/>
        <v/>
      </c>
      <c r="V356" s="1016" t="str">
        <f ca="1"/>
        <v/>
      </c>
      <c r="W356" s="1019" t="str">
        <f ca="1"/>
        <v/>
      </c>
      <c r="X356" s="1006" t="str">
        <f ca="1"/>
        <v/>
      </c>
      <c r="Y356" s="864" t="str">
        <f t="shared" ca="1" si="36"/>
        <v/>
      </c>
      <c r="AA356" s="828">
        <v>338</v>
      </c>
      <c r="AB356" s="750"/>
      <c r="AC356" s="842"/>
      <c r="AD356" s="830"/>
      <c r="AE356" s="839"/>
      <c r="AF356" s="839"/>
      <c r="AG356" s="750"/>
      <c r="AH356" s="840"/>
      <c r="AI356" s="839"/>
      <c r="AJ356" s="841"/>
      <c r="AK356" s="108" t="s">
        <v>12</v>
      </c>
      <c r="AL356" s="847">
        <v>338</v>
      </c>
      <c r="AM356" s="857"/>
      <c r="AN356" s="842"/>
      <c r="AO356" s="839"/>
      <c r="AP356" s="839"/>
      <c r="AQ356" s="839"/>
      <c r="AR356" s="750"/>
      <c r="AS356" s="840"/>
      <c r="AT356" s="839"/>
      <c r="AU356" s="856"/>
      <c r="AV356" s="108" t="s">
        <v>12</v>
      </c>
    </row>
    <row r="357" spans="4:48">
      <c r="D357" s="108" t="s">
        <v>12</v>
      </c>
      <c r="E357" s="742">
        <v>339</v>
      </c>
      <c r="F357" s="1016" t="str">
        <f t="shared" ca="1" si="37"/>
        <v/>
      </c>
      <c r="G357" s="1027" t="str">
        <f t="shared" ca="1" si="38"/>
        <v/>
      </c>
      <c r="H357" s="1043" t="str">
        <f ca="1"/>
        <v/>
      </c>
      <c r="I357" s="1006" t="str">
        <f ca="1"/>
        <v/>
      </c>
      <c r="J357" s="1006" t="str">
        <f ca="1"/>
        <v/>
      </c>
      <c r="K357" s="1016" t="str">
        <f ca="1"/>
        <v/>
      </c>
      <c r="L357" s="1019" t="str">
        <f ca="1"/>
        <v/>
      </c>
      <c r="M357" s="1006" t="str">
        <f ca="1"/>
        <v/>
      </c>
      <c r="N357" s="1060" t="str">
        <f t="shared" ca="1" si="35"/>
        <v/>
      </c>
      <c r="O357" s="996"/>
      <c r="P357" s="742">
        <v>339</v>
      </c>
      <c r="Q357" s="1016" t="str">
        <f t="shared" ca="1" si="39"/>
        <v/>
      </c>
      <c r="R357" s="1027" t="str">
        <f t="shared" ca="1" si="40"/>
        <v/>
      </c>
      <c r="S357" s="1006" t="str">
        <f ca="1"/>
        <v/>
      </c>
      <c r="T357" s="1006" t="str">
        <f ca="1"/>
        <v/>
      </c>
      <c r="U357" s="1006" t="str">
        <f ca="1"/>
        <v/>
      </c>
      <c r="V357" s="1016" t="str">
        <f ca="1"/>
        <v/>
      </c>
      <c r="W357" s="1019" t="str">
        <f ca="1"/>
        <v/>
      </c>
      <c r="X357" s="1006" t="str">
        <f ca="1"/>
        <v/>
      </c>
      <c r="Y357" s="864" t="str">
        <f t="shared" ca="1" si="36"/>
        <v/>
      </c>
      <c r="AA357" s="828">
        <v>339</v>
      </c>
      <c r="AB357" s="750"/>
      <c r="AC357" s="842"/>
      <c r="AD357" s="830"/>
      <c r="AE357" s="839"/>
      <c r="AF357" s="839"/>
      <c r="AG357" s="750"/>
      <c r="AH357" s="840"/>
      <c r="AI357" s="839"/>
      <c r="AJ357" s="841"/>
      <c r="AK357" s="108" t="s">
        <v>12</v>
      </c>
      <c r="AL357" s="847">
        <v>339</v>
      </c>
      <c r="AM357" s="857"/>
      <c r="AN357" s="842"/>
      <c r="AO357" s="839"/>
      <c r="AP357" s="839"/>
      <c r="AQ357" s="839"/>
      <c r="AR357" s="750"/>
      <c r="AS357" s="840"/>
      <c r="AT357" s="839"/>
      <c r="AU357" s="856"/>
      <c r="AV357" s="108" t="s">
        <v>12</v>
      </c>
    </row>
    <row r="358" spans="4:48">
      <c r="D358" s="108" t="s">
        <v>12</v>
      </c>
      <c r="E358" s="742">
        <v>340</v>
      </c>
      <c r="F358" s="1016" t="str">
        <f t="shared" ca="1" si="37"/>
        <v/>
      </c>
      <c r="G358" s="1027" t="str">
        <f t="shared" ca="1" si="38"/>
        <v/>
      </c>
      <c r="H358" s="1043" t="str">
        <f ca="1"/>
        <v/>
      </c>
      <c r="I358" s="1006" t="str">
        <f ca="1"/>
        <v/>
      </c>
      <c r="J358" s="1006" t="str">
        <f ca="1"/>
        <v/>
      </c>
      <c r="K358" s="1016" t="str">
        <f ca="1"/>
        <v/>
      </c>
      <c r="L358" s="1019" t="str">
        <f ca="1"/>
        <v/>
      </c>
      <c r="M358" s="1006" t="str">
        <f ca="1"/>
        <v/>
      </c>
      <c r="N358" s="1060" t="str">
        <f t="shared" ca="1" si="35"/>
        <v/>
      </c>
      <c r="O358" s="996"/>
      <c r="P358" s="742">
        <v>340</v>
      </c>
      <c r="Q358" s="1016" t="str">
        <f t="shared" ca="1" si="39"/>
        <v/>
      </c>
      <c r="R358" s="1027" t="str">
        <f t="shared" ca="1" si="40"/>
        <v/>
      </c>
      <c r="S358" s="1006" t="str">
        <f ca="1"/>
        <v/>
      </c>
      <c r="T358" s="1006" t="str">
        <f ca="1"/>
        <v/>
      </c>
      <c r="U358" s="1006" t="str">
        <f ca="1"/>
        <v/>
      </c>
      <c r="V358" s="1016" t="str">
        <f ca="1"/>
        <v/>
      </c>
      <c r="W358" s="1019" t="str">
        <f ca="1"/>
        <v/>
      </c>
      <c r="X358" s="1006" t="str">
        <f ca="1"/>
        <v/>
      </c>
      <c r="Y358" s="864" t="str">
        <f t="shared" ca="1" si="36"/>
        <v/>
      </c>
      <c r="AA358" s="828">
        <v>340</v>
      </c>
      <c r="AB358" s="750"/>
      <c r="AC358" s="842"/>
      <c r="AD358" s="830"/>
      <c r="AE358" s="839"/>
      <c r="AF358" s="839"/>
      <c r="AG358" s="750"/>
      <c r="AH358" s="840"/>
      <c r="AI358" s="839"/>
      <c r="AJ358" s="841"/>
      <c r="AK358" s="108" t="s">
        <v>12</v>
      </c>
      <c r="AL358" s="847">
        <v>340</v>
      </c>
      <c r="AM358" s="857"/>
      <c r="AN358" s="842"/>
      <c r="AO358" s="839"/>
      <c r="AP358" s="839"/>
      <c r="AQ358" s="839"/>
      <c r="AR358" s="750"/>
      <c r="AS358" s="840"/>
      <c r="AT358" s="839"/>
      <c r="AU358" s="856"/>
      <c r="AV358" s="108" t="s">
        <v>12</v>
      </c>
    </row>
    <row r="359" spans="4:48">
      <c r="D359" s="108" t="s">
        <v>12</v>
      </c>
      <c r="E359" s="742">
        <v>341</v>
      </c>
      <c r="F359" s="1016" t="str">
        <f t="shared" ca="1" si="37"/>
        <v/>
      </c>
      <c r="G359" s="1027" t="str">
        <f t="shared" ca="1" si="38"/>
        <v/>
      </c>
      <c r="H359" s="1043" t="str">
        <f ca="1"/>
        <v/>
      </c>
      <c r="I359" s="1006" t="str">
        <f ca="1"/>
        <v/>
      </c>
      <c r="J359" s="1006" t="str">
        <f ca="1"/>
        <v/>
      </c>
      <c r="K359" s="1016" t="str">
        <f ca="1"/>
        <v/>
      </c>
      <c r="L359" s="1019" t="str">
        <f ca="1"/>
        <v/>
      </c>
      <c r="M359" s="1006" t="str">
        <f ca="1"/>
        <v/>
      </c>
      <c r="N359" s="1060" t="str">
        <f t="shared" ca="1" si="35"/>
        <v/>
      </c>
      <c r="O359" s="996"/>
      <c r="P359" s="742">
        <v>341</v>
      </c>
      <c r="Q359" s="1016" t="str">
        <f t="shared" ca="1" si="39"/>
        <v/>
      </c>
      <c r="R359" s="1027" t="str">
        <f t="shared" ca="1" si="40"/>
        <v/>
      </c>
      <c r="S359" s="1006" t="str">
        <f ca="1"/>
        <v/>
      </c>
      <c r="T359" s="1006" t="str">
        <f ca="1"/>
        <v/>
      </c>
      <c r="U359" s="1006" t="str">
        <f ca="1"/>
        <v/>
      </c>
      <c r="V359" s="1016" t="str">
        <f ca="1"/>
        <v/>
      </c>
      <c r="W359" s="1019" t="str">
        <f ca="1"/>
        <v/>
      </c>
      <c r="X359" s="1006" t="str">
        <f ca="1"/>
        <v/>
      </c>
      <c r="Y359" s="864" t="str">
        <f t="shared" ca="1" si="36"/>
        <v/>
      </c>
      <c r="AA359" s="828">
        <v>341</v>
      </c>
      <c r="AB359" s="750"/>
      <c r="AC359" s="842"/>
      <c r="AD359" s="830"/>
      <c r="AE359" s="839"/>
      <c r="AF359" s="839"/>
      <c r="AG359" s="750"/>
      <c r="AH359" s="840"/>
      <c r="AI359" s="839"/>
      <c r="AJ359" s="841"/>
      <c r="AK359" s="108" t="s">
        <v>12</v>
      </c>
      <c r="AL359" s="847">
        <v>341</v>
      </c>
      <c r="AM359" s="857"/>
      <c r="AN359" s="842"/>
      <c r="AO359" s="839"/>
      <c r="AP359" s="839"/>
      <c r="AQ359" s="839"/>
      <c r="AR359" s="750"/>
      <c r="AS359" s="840"/>
      <c r="AT359" s="839"/>
      <c r="AU359" s="856"/>
      <c r="AV359" s="108" t="s">
        <v>12</v>
      </c>
    </row>
    <row r="360" spans="4:48">
      <c r="D360" s="108" t="s">
        <v>12</v>
      </c>
      <c r="E360" s="742">
        <v>342</v>
      </c>
      <c r="F360" s="1016" t="str">
        <f t="shared" ca="1" si="37"/>
        <v/>
      </c>
      <c r="G360" s="1027" t="str">
        <f t="shared" ca="1" si="38"/>
        <v/>
      </c>
      <c r="H360" s="1043" t="str">
        <f ca="1"/>
        <v/>
      </c>
      <c r="I360" s="1006" t="str">
        <f ca="1"/>
        <v/>
      </c>
      <c r="J360" s="1006" t="str">
        <f ca="1"/>
        <v/>
      </c>
      <c r="K360" s="1016" t="str">
        <f ca="1"/>
        <v/>
      </c>
      <c r="L360" s="1019" t="str">
        <f ca="1"/>
        <v/>
      </c>
      <c r="M360" s="1006" t="str">
        <f ca="1"/>
        <v/>
      </c>
      <c r="N360" s="1060" t="str">
        <f t="shared" ca="1" si="35"/>
        <v/>
      </c>
      <c r="O360" s="996"/>
      <c r="P360" s="742">
        <v>342</v>
      </c>
      <c r="Q360" s="1016" t="str">
        <f t="shared" ca="1" si="39"/>
        <v/>
      </c>
      <c r="R360" s="1027" t="str">
        <f t="shared" ca="1" si="40"/>
        <v/>
      </c>
      <c r="S360" s="1006" t="str">
        <f ca="1"/>
        <v/>
      </c>
      <c r="T360" s="1006" t="str">
        <f ca="1"/>
        <v/>
      </c>
      <c r="U360" s="1006" t="str">
        <f ca="1"/>
        <v/>
      </c>
      <c r="V360" s="1016" t="str">
        <f ca="1"/>
        <v/>
      </c>
      <c r="W360" s="1019" t="str">
        <f ca="1"/>
        <v/>
      </c>
      <c r="X360" s="1006" t="str">
        <f ca="1"/>
        <v/>
      </c>
      <c r="Y360" s="864" t="str">
        <f t="shared" ca="1" si="36"/>
        <v/>
      </c>
      <c r="AA360" s="828">
        <v>342</v>
      </c>
      <c r="AB360" s="750"/>
      <c r="AC360" s="842"/>
      <c r="AD360" s="830"/>
      <c r="AE360" s="839"/>
      <c r="AF360" s="839"/>
      <c r="AG360" s="750"/>
      <c r="AH360" s="840"/>
      <c r="AI360" s="839"/>
      <c r="AJ360" s="841"/>
      <c r="AK360" s="108" t="s">
        <v>12</v>
      </c>
      <c r="AL360" s="847">
        <v>342</v>
      </c>
      <c r="AM360" s="857"/>
      <c r="AN360" s="842"/>
      <c r="AO360" s="839"/>
      <c r="AP360" s="839"/>
      <c r="AQ360" s="839"/>
      <c r="AR360" s="750"/>
      <c r="AS360" s="840"/>
      <c r="AT360" s="839"/>
      <c r="AU360" s="856"/>
      <c r="AV360" s="108" t="s">
        <v>12</v>
      </c>
    </row>
    <row r="361" spans="4:48">
      <c r="D361" s="108" t="s">
        <v>12</v>
      </c>
      <c r="E361" s="742">
        <v>343</v>
      </c>
      <c r="F361" s="1016" t="str">
        <f t="shared" ca="1" si="37"/>
        <v/>
      </c>
      <c r="G361" s="1027" t="str">
        <f t="shared" ca="1" si="38"/>
        <v/>
      </c>
      <c r="H361" s="1043" t="str">
        <f ca="1"/>
        <v/>
      </c>
      <c r="I361" s="1006" t="str">
        <f ca="1"/>
        <v/>
      </c>
      <c r="J361" s="1006" t="str">
        <f ca="1"/>
        <v/>
      </c>
      <c r="K361" s="1016" t="str">
        <f ca="1"/>
        <v/>
      </c>
      <c r="L361" s="1019" t="str">
        <f ca="1"/>
        <v/>
      </c>
      <c r="M361" s="1006" t="str">
        <f ca="1"/>
        <v/>
      </c>
      <c r="N361" s="1060" t="str">
        <f t="shared" ca="1" si="35"/>
        <v/>
      </c>
      <c r="O361" s="996"/>
      <c r="P361" s="742">
        <v>343</v>
      </c>
      <c r="Q361" s="1016" t="str">
        <f t="shared" ca="1" si="39"/>
        <v/>
      </c>
      <c r="R361" s="1027" t="str">
        <f t="shared" ca="1" si="40"/>
        <v/>
      </c>
      <c r="S361" s="1006" t="str">
        <f ca="1"/>
        <v/>
      </c>
      <c r="T361" s="1006" t="str">
        <f ca="1"/>
        <v/>
      </c>
      <c r="U361" s="1006" t="str">
        <f ca="1"/>
        <v/>
      </c>
      <c r="V361" s="1016" t="str">
        <f ca="1"/>
        <v/>
      </c>
      <c r="W361" s="1019" t="str">
        <f ca="1"/>
        <v/>
      </c>
      <c r="X361" s="1006" t="str">
        <f ca="1"/>
        <v/>
      </c>
      <c r="Y361" s="864" t="str">
        <f t="shared" ca="1" si="36"/>
        <v/>
      </c>
      <c r="AA361" s="828">
        <v>343</v>
      </c>
      <c r="AB361" s="750"/>
      <c r="AC361" s="842"/>
      <c r="AD361" s="830"/>
      <c r="AE361" s="839"/>
      <c r="AF361" s="839"/>
      <c r="AG361" s="750"/>
      <c r="AH361" s="840"/>
      <c r="AI361" s="839"/>
      <c r="AJ361" s="841"/>
      <c r="AK361" s="108" t="s">
        <v>12</v>
      </c>
      <c r="AL361" s="847">
        <v>343</v>
      </c>
      <c r="AM361" s="857"/>
      <c r="AN361" s="842"/>
      <c r="AO361" s="839"/>
      <c r="AP361" s="839"/>
      <c r="AQ361" s="839"/>
      <c r="AR361" s="750"/>
      <c r="AS361" s="840"/>
      <c r="AT361" s="839"/>
      <c r="AU361" s="856"/>
      <c r="AV361" s="108" t="s">
        <v>12</v>
      </c>
    </row>
    <row r="362" spans="4:48">
      <c r="D362" s="108" t="s">
        <v>12</v>
      </c>
      <c r="E362" s="742">
        <v>344</v>
      </c>
      <c r="F362" s="1016" t="str">
        <f t="shared" ca="1" si="37"/>
        <v/>
      </c>
      <c r="G362" s="1027" t="str">
        <f t="shared" ca="1" si="38"/>
        <v/>
      </c>
      <c r="H362" s="1043" t="str">
        <f ca="1"/>
        <v/>
      </c>
      <c r="I362" s="1006" t="str">
        <f ca="1"/>
        <v/>
      </c>
      <c r="J362" s="1006" t="str">
        <f ca="1"/>
        <v/>
      </c>
      <c r="K362" s="1016" t="str">
        <f ca="1"/>
        <v/>
      </c>
      <c r="L362" s="1019" t="str">
        <f ca="1"/>
        <v/>
      </c>
      <c r="M362" s="1006" t="str">
        <f ca="1"/>
        <v/>
      </c>
      <c r="N362" s="1060" t="str">
        <f t="shared" ca="1" si="35"/>
        <v/>
      </c>
      <c r="O362" s="996"/>
      <c r="P362" s="742">
        <v>344</v>
      </c>
      <c r="Q362" s="1016" t="str">
        <f t="shared" ca="1" si="39"/>
        <v/>
      </c>
      <c r="R362" s="1027" t="str">
        <f t="shared" ca="1" si="40"/>
        <v/>
      </c>
      <c r="S362" s="1006" t="str">
        <f ca="1"/>
        <v/>
      </c>
      <c r="T362" s="1006" t="str">
        <f ca="1"/>
        <v/>
      </c>
      <c r="U362" s="1006" t="str">
        <f ca="1"/>
        <v/>
      </c>
      <c r="V362" s="1016" t="str">
        <f ca="1"/>
        <v/>
      </c>
      <c r="W362" s="1019" t="str">
        <f ca="1"/>
        <v/>
      </c>
      <c r="X362" s="1006" t="str">
        <f ca="1"/>
        <v/>
      </c>
      <c r="Y362" s="864" t="str">
        <f t="shared" ca="1" si="36"/>
        <v/>
      </c>
      <c r="AA362" s="828">
        <v>344</v>
      </c>
      <c r="AB362" s="750"/>
      <c r="AC362" s="842"/>
      <c r="AD362" s="830"/>
      <c r="AE362" s="839"/>
      <c r="AF362" s="839"/>
      <c r="AG362" s="750"/>
      <c r="AH362" s="840"/>
      <c r="AI362" s="839"/>
      <c r="AJ362" s="841"/>
      <c r="AK362" s="108" t="s">
        <v>12</v>
      </c>
      <c r="AL362" s="847">
        <v>344</v>
      </c>
      <c r="AM362" s="857"/>
      <c r="AN362" s="842"/>
      <c r="AO362" s="839"/>
      <c r="AP362" s="839"/>
      <c r="AQ362" s="839"/>
      <c r="AR362" s="750"/>
      <c r="AS362" s="840"/>
      <c r="AT362" s="839"/>
      <c r="AU362" s="856"/>
      <c r="AV362" s="108" t="s">
        <v>12</v>
      </c>
    </row>
    <row r="363" spans="4:48">
      <c r="D363" s="108" t="s">
        <v>12</v>
      </c>
      <c r="E363" s="742">
        <v>345</v>
      </c>
      <c r="F363" s="1016" t="str">
        <f t="shared" ca="1" si="37"/>
        <v/>
      </c>
      <c r="G363" s="1027" t="str">
        <f t="shared" ca="1" si="38"/>
        <v/>
      </c>
      <c r="H363" s="1043" t="str">
        <f ca="1"/>
        <v/>
      </c>
      <c r="I363" s="1006" t="str">
        <f ca="1"/>
        <v/>
      </c>
      <c r="J363" s="1006" t="str">
        <f ca="1"/>
        <v/>
      </c>
      <c r="K363" s="1016" t="str">
        <f ca="1"/>
        <v/>
      </c>
      <c r="L363" s="1019" t="str">
        <f ca="1"/>
        <v/>
      </c>
      <c r="M363" s="1006" t="str">
        <f ca="1"/>
        <v/>
      </c>
      <c r="N363" s="1060" t="str">
        <f t="shared" ca="1" si="35"/>
        <v/>
      </c>
      <c r="O363" s="996"/>
      <c r="P363" s="742">
        <v>345</v>
      </c>
      <c r="Q363" s="1016" t="str">
        <f t="shared" ca="1" si="39"/>
        <v/>
      </c>
      <c r="R363" s="1027" t="str">
        <f t="shared" ca="1" si="40"/>
        <v/>
      </c>
      <c r="S363" s="1006" t="str">
        <f ca="1"/>
        <v/>
      </c>
      <c r="T363" s="1006" t="str">
        <f ca="1"/>
        <v/>
      </c>
      <c r="U363" s="1006" t="str">
        <f ca="1"/>
        <v/>
      </c>
      <c r="V363" s="1016" t="str">
        <f ca="1"/>
        <v/>
      </c>
      <c r="W363" s="1019" t="str">
        <f ca="1"/>
        <v/>
      </c>
      <c r="X363" s="1006" t="str">
        <f ca="1"/>
        <v/>
      </c>
      <c r="Y363" s="864" t="str">
        <f t="shared" ca="1" si="36"/>
        <v/>
      </c>
      <c r="AA363" s="828">
        <v>345</v>
      </c>
      <c r="AB363" s="750"/>
      <c r="AC363" s="842"/>
      <c r="AD363" s="830"/>
      <c r="AE363" s="839"/>
      <c r="AF363" s="839"/>
      <c r="AG363" s="750"/>
      <c r="AH363" s="840"/>
      <c r="AI363" s="839"/>
      <c r="AJ363" s="841"/>
      <c r="AK363" s="108" t="s">
        <v>12</v>
      </c>
      <c r="AL363" s="847">
        <v>345</v>
      </c>
      <c r="AM363" s="857"/>
      <c r="AN363" s="842"/>
      <c r="AO363" s="839"/>
      <c r="AP363" s="839"/>
      <c r="AQ363" s="839"/>
      <c r="AR363" s="750"/>
      <c r="AS363" s="840"/>
      <c r="AT363" s="839"/>
      <c r="AU363" s="856"/>
      <c r="AV363" s="108" t="s">
        <v>12</v>
      </c>
    </row>
    <row r="364" spans="4:48">
      <c r="D364" s="108" t="s">
        <v>12</v>
      </c>
      <c r="E364" s="742">
        <v>346</v>
      </c>
      <c r="F364" s="1016" t="str">
        <f t="shared" ca="1" si="37"/>
        <v/>
      </c>
      <c r="G364" s="1027" t="str">
        <f t="shared" ca="1" si="38"/>
        <v/>
      </c>
      <c r="H364" s="1043" t="str">
        <f ca="1"/>
        <v/>
      </c>
      <c r="I364" s="1006" t="str">
        <f ca="1"/>
        <v/>
      </c>
      <c r="J364" s="1006" t="str">
        <f ca="1"/>
        <v/>
      </c>
      <c r="K364" s="1016" t="str">
        <f ca="1"/>
        <v/>
      </c>
      <c r="L364" s="1019" t="str">
        <f ca="1"/>
        <v/>
      </c>
      <c r="M364" s="1006" t="str">
        <f ca="1"/>
        <v/>
      </c>
      <c r="N364" s="1060" t="str">
        <f t="shared" ca="1" si="35"/>
        <v/>
      </c>
      <c r="O364" s="996"/>
      <c r="P364" s="742">
        <v>346</v>
      </c>
      <c r="Q364" s="1016" t="str">
        <f t="shared" ca="1" si="39"/>
        <v/>
      </c>
      <c r="R364" s="1027" t="str">
        <f t="shared" ca="1" si="40"/>
        <v/>
      </c>
      <c r="S364" s="1006" t="str">
        <f ca="1"/>
        <v/>
      </c>
      <c r="T364" s="1006" t="str">
        <f ca="1"/>
        <v/>
      </c>
      <c r="U364" s="1006" t="str">
        <f ca="1"/>
        <v/>
      </c>
      <c r="V364" s="1016" t="str">
        <f ca="1"/>
        <v/>
      </c>
      <c r="W364" s="1019" t="str">
        <f ca="1"/>
        <v/>
      </c>
      <c r="X364" s="1006" t="str">
        <f ca="1"/>
        <v/>
      </c>
      <c r="Y364" s="864" t="str">
        <f t="shared" ca="1" si="36"/>
        <v/>
      </c>
      <c r="AA364" s="828">
        <v>346</v>
      </c>
      <c r="AB364" s="750"/>
      <c r="AC364" s="842"/>
      <c r="AD364" s="830"/>
      <c r="AE364" s="839"/>
      <c r="AF364" s="839"/>
      <c r="AG364" s="750"/>
      <c r="AH364" s="840"/>
      <c r="AI364" s="839"/>
      <c r="AJ364" s="841"/>
      <c r="AK364" s="108" t="s">
        <v>12</v>
      </c>
      <c r="AL364" s="847">
        <v>346</v>
      </c>
      <c r="AM364" s="857"/>
      <c r="AN364" s="842"/>
      <c r="AO364" s="839"/>
      <c r="AP364" s="839"/>
      <c r="AQ364" s="839"/>
      <c r="AR364" s="750"/>
      <c r="AS364" s="840"/>
      <c r="AT364" s="839"/>
      <c r="AU364" s="856"/>
      <c r="AV364" s="108" t="s">
        <v>12</v>
      </c>
    </row>
    <row r="365" spans="4:48">
      <c r="D365" s="108" t="s">
        <v>12</v>
      </c>
      <c r="E365" s="742">
        <v>347</v>
      </c>
      <c r="F365" s="1016" t="str">
        <f t="shared" ca="1" si="37"/>
        <v/>
      </c>
      <c r="G365" s="1027" t="str">
        <f t="shared" ca="1" si="38"/>
        <v/>
      </c>
      <c r="H365" s="1043" t="str">
        <f ca="1"/>
        <v/>
      </c>
      <c r="I365" s="1006" t="str">
        <f ca="1"/>
        <v/>
      </c>
      <c r="J365" s="1006" t="str">
        <f ca="1"/>
        <v/>
      </c>
      <c r="K365" s="1016" t="str">
        <f ca="1"/>
        <v/>
      </c>
      <c r="L365" s="1019" t="str">
        <f ca="1"/>
        <v/>
      </c>
      <c r="M365" s="1006" t="str">
        <f ca="1"/>
        <v/>
      </c>
      <c r="N365" s="1060" t="str">
        <f t="shared" ca="1" si="35"/>
        <v/>
      </c>
      <c r="O365" s="996"/>
      <c r="P365" s="742">
        <v>347</v>
      </c>
      <c r="Q365" s="1016" t="str">
        <f t="shared" ca="1" si="39"/>
        <v/>
      </c>
      <c r="R365" s="1027" t="str">
        <f t="shared" ca="1" si="40"/>
        <v/>
      </c>
      <c r="S365" s="1006" t="str">
        <f ca="1"/>
        <v/>
      </c>
      <c r="T365" s="1006" t="str">
        <f ca="1"/>
        <v/>
      </c>
      <c r="U365" s="1006" t="str">
        <f ca="1"/>
        <v/>
      </c>
      <c r="V365" s="1016" t="str">
        <f ca="1"/>
        <v/>
      </c>
      <c r="W365" s="1019" t="str">
        <f ca="1"/>
        <v/>
      </c>
      <c r="X365" s="1006" t="str">
        <f ca="1"/>
        <v/>
      </c>
      <c r="Y365" s="864" t="str">
        <f t="shared" ca="1" si="36"/>
        <v/>
      </c>
      <c r="AA365" s="828">
        <v>347</v>
      </c>
      <c r="AB365" s="750"/>
      <c r="AC365" s="842"/>
      <c r="AD365" s="830"/>
      <c r="AE365" s="839"/>
      <c r="AF365" s="839"/>
      <c r="AG365" s="750"/>
      <c r="AH365" s="840"/>
      <c r="AI365" s="839"/>
      <c r="AJ365" s="841"/>
      <c r="AK365" s="108" t="s">
        <v>12</v>
      </c>
      <c r="AL365" s="847">
        <v>347</v>
      </c>
      <c r="AM365" s="857"/>
      <c r="AN365" s="842"/>
      <c r="AO365" s="839"/>
      <c r="AP365" s="839"/>
      <c r="AQ365" s="839"/>
      <c r="AR365" s="750"/>
      <c r="AS365" s="840"/>
      <c r="AT365" s="839"/>
      <c r="AU365" s="856"/>
      <c r="AV365" s="108" t="s">
        <v>12</v>
      </c>
    </row>
    <row r="366" spans="4:48">
      <c r="D366" s="108" t="s">
        <v>12</v>
      </c>
      <c r="E366" s="742">
        <v>348</v>
      </c>
      <c r="F366" s="1016" t="str">
        <f t="shared" ca="1" si="37"/>
        <v/>
      </c>
      <c r="G366" s="1027" t="str">
        <f t="shared" ca="1" si="38"/>
        <v/>
      </c>
      <c r="H366" s="1043" t="str">
        <f ca="1"/>
        <v/>
      </c>
      <c r="I366" s="1006" t="str">
        <f ca="1"/>
        <v/>
      </c>
      <c r="J366" s="1006" t="str">
        <f ca="1"/>
        <v/>
      </c>
      <c r="K366" s="1016" t="str">
        <f ca="1"/>
        <v/>
      </c>
      <c r="L366" s="1019" t="str">
        <f ca="1"/>
        <v/>
      </c>
      <c r="M366" s="1006" t="str">
        <f ca="1"/>
        <v/>
      </c>
      <c r="N366" s="1060" t="str">
        <f t="shared" ca="1" si="35"/>
        <v/>
      </c>
      <c r="O366" s="996"/>
      <c r="P366" s="742">
        <v>348</v>
      </c>
      <c r="Q366" s="1016" t="str">
        <f t="shared" ca="1" si="39"/>
        <v/>
      </c>
      <c r="R366" s="1027" t="str">
        <f t="shared" ca="1" si="40"/>
        <v/>
      </c>
      <c r="S366" s="1006" t="str">
        <f ca="1"/>
        <v/>
      </c>
      <c r="T366" s="1006" t="str">
        <f ca="1"/>
        <v/>
      </c>
      <c r="U366" s="1006" t="str">
        <f ca="1"/>
        <v/>
      </c>
      <c r="V366" s="1016" t="str">
        <f ca="1"/>
        <v/>
      </c>
      <c r="W366" s="1019" t="str">
        <f ca="1"/>
        <v/>
      </c>
      <c r="X366" s="1006" t="str">
        <f ca="1"/>
        <v/>
      </c>
      <c r="Y366" s="864" t="str">
        <f t="shared" ca="1" si="36"/>
        <v/>
      </c>
      <c r="AA366" s="828">
        <v>348</v>
      </c>
      <c r="AB366" s="750"/>
      <c r="AC366" s="842"/>
      <c r="AD366" s="830"/>
      <c r="AE366" s="839"/>
      <c r="AF366" s="839"/>
      <c r="AG366" s="750"/>
      <c r="AH366" s="840"/>
      <c r="AI366" s="839"/>
      <c r="AJ366" s="841"/>
      <c r="AK366" s="108" t="s">
        <v>12</v>
      </c>
      <c r="AL366" s="847">
        <v>348</v>
      </c>
      <c r="AM366" s="857"/>
      <c r="AN366" s="842"/>
      <c r="AO366" s="839"/>
      <c r="AP366" s="839"/>
      <c r="AQ366" s="839"/>
      <c r="AR366" s="750"/>
      <c r="AS366" s="840"/>
      <c r="AT366" s="839"/>
      <c r="AU366" s="856"/>
      <c r="AV366" s="108" t="s">
        <v>12</v>
      </c>
    </row>
    <row r="367" spans="4:48">
      <c r="D367" s="108" t="s">
        <v>12</v>
      </c>
      <c r="E367" s="742">
        <v>349</v>
      </c>
      <c r="F367" s="1016" t="str">
        <f t="shared" ca="1" si="37"/>
        <v/>
      </c>
      <c r="G367" s="1027" t="str">
        <f t="shared" ca="1" si="38"/>
        <v/>
      </c>
      <c r="H367" s="1043" t="str">
        <f ca="1"/>
        <v/>
      </c>
      <c r="I367" s="1006" t="str">
        <f ca="1"/>
        <v/>
      </c>
      <c r="J367" s="1006" t="str">
        <f ca="1"/>
        <v/>
      </c>
      <c r="K367" s="1016" t="str">
        <f ca="1"/>
        <v/>
      </c>
      <c r="L367" s="1019" t="str">
        <f ca="1"/>
        <v/>
      </c>
      <c r="M367" s="1006" t="str">
        <f ca="1"/>
        <v/>
      </c>
      <c r="N367" s="1060" t="str">
        <f t="shared" ca="1" si="35"/>
        <v/>
      </c>
      <c r="O367" s="996"/>
      <c r="P367" s="742">
        <v>349</v>
      </c>
      <c r="Q367" s="1016" t="str">
        <f t="shared" ca="1" si="39"/>
        <v/>
      </c>
      <c r="R367" s="1027" t="str">
        <f t="shared" ca="1" si="40"/>
        <v/>
      </c>
      <c r="S367" s="1006" t="str">
        <f ca="1"/>
        <v/>
      </c>
      <c r="T367" s="1006" t="str">
        <f ca="1"/>
        <v/>
      </c>
      <c r="U367" s="1006" t="str">
        <f ca="1"/>
        <v/>
      </c>
      <c r="V367" s="1016" t="str">
        <f ca="1"/>
        <v/>
      </c>
      <c r="W367" s="1019" t="str">
        <f ca="1"/>
        <v/>
      </c>
      <c r="X367" s="1006" t="str">
        <f ca="1"/>
        <v/>
      </c>
      <c r="Y367" s="864" t="str">
        <f t="shared" ca="1" si="36"/>
        <v/>
      </c>
      <c r="AA367" s="828">
        <v>349</v>
      </c>
      <c r="AB367" s="750"/>
      <c r="AC367" s="842"/>
      <c r="AD367" s="830"/>
      <c r="AE367" s="839"/>
      <c r="AF367" s="839"/>
      <c r="AG367" s="750"/>
      <c r="AH367" s="840"/>
      <c r="AI367" s="839"/>
      <c r="AJ367" s="841"/>
      <c r="AK367" s="108" t="s">
        <v>12</v>
      </c>
      <c r="AL367" s="847">
        <v>349</v>
      </c>
      <c r="AM367" s="857"/>
      <c r="AN367" s="842"/>
      <c r="AO367" s="839"/>
      <c r="AP367" s="839"/>
      <c r="AQ367" s="839"/>
      <c r="AR367" s="750"/>
      <c r="AS367" s="840"/>
      <c r="AT367" s="839"/>
      <c r="AU367" s="856"/>
      <c r="AV367" s="108" t="s">
        <v>12</v>
      </c>
    </row>
    <row r="368" spans="4:48">
      <c r="D368" s="108" t="s">
        <v>12</v>
      </c>
      <c r="E368" s="742">
        <v>350</v>
      </c>
      <c r="F368" s="1016" t="str">
        <f t="shared" ca="1" si="37"/>
        <v/>
      </c>
      <c r="G368" s="1027" t="str">
        <f t="shared" ca="1" si="38"/>
        <v/>
      </c>
      <c r="H368" s="1043" t="str">
        <f ca="1"/>
        <v/>
      </c>
      <c r="I368" s="1006" t="str">
        <f ca="1"/>
        <v/>
      </c>
      <c r="J368" s="1006" t="str">
        <f ca="1"/>
        <v/>
      </c>
      <c r="K368" s="1016" t="str">
        <f ca="1"/>
        <v/>
      </c>
      <c r="L368" s="1019" t="str">
        <f ca="1"/>
        <v/>
      </c>
      <c r="M368" s="1006" t="str">
        <f ca="1"/>
        <v/>
      </c>
      <c r="N368" s="1060" t="str">
        <f t="shared" ca="1" si="35"/>
        <v/>
      </c>
      <c r="O368" s="996"/>
      <c r="P368" s="742">
        <v>350</v>
      </c>
      <c r="Q368" s="1016" t="str">
        <f t="shared" ca="1" si="39"/>
        <v/>
      </c>
      <c r="R368" s="1027" t="str">
        <f t="shared" ca="1" si="40"/>
        <v/>
      </c>
      <c r="S368" s="1006" t="str">
        <f ca="1"/>
        <v/>
      </c>
      <c r="T368" s="1006" t="str">
        <f ca="1"/>
        <v/>
      </c>
      <c r="U368" s="1006" t="str">
        <f ca="1"/>
        <v/>
      </c>
      <c r="V368" s="1016" t="str">
        <f ca="1"/>
        <v/>
      </c>
      <c r="W368" s="1019" t="str">
        <f ca="1"/>
        <v/>
      </c>
      <c r="X368" s="1006" t="str">
        <f ca="1"/>
        <v/>
      </c>
      <c r="Y368" s="864" t="str">
        <f t="shared" ca="1" si="36"/>
        <v/>
      </c>
      <c r="AA368" s="828">
        <v>350</v>
      </c>
      <c r="AB368" s="750"/>
      <c r="AC368" s="842"/>
      <c r="AD368" s="830"/>
      <c r="AE368" s="839"/>
      <c r="AF368" s="839"/>
      <c r="AG368" s="750"/>
      <c r="AH368" s="840"/>
      <c r="AI368" s="839"/>
      <c r="AJ368" s="841"/>
      <c r="AK368" s="108" t="s">
        <v>12</v>
      </c>
      <c r="AL368" s="847">
        <v>350</v>
      </c>
      <c r="AM368" s="857"/>
      <c r="AN368" s="842"/>
      <c r="AO368" s="839"/>
      <c r="AP368" s="839"/>
      <c r="AQ368" s="839"/>
      <c r="AR368" s="750"/>
      <c r="AS368" s="840"/>
      <c r="AT368" s="839"/>
      <c r="AU368" s="856"/>
      <c r="AV368" s="108" t="s">
        <v>12</v>
      </c>
    </row>
    <row r="369" spans="4:48">
      <c r="D369" s="108" t="s">
        <v>12</v>
      </c>
      <c r="E369" s="742">
        <v>351</v>
      </c>
      <c r="F369" s="1016" t="str">
        <f t="shared" ca="1" si="37"/>
        <v/>
      </c>
      <c r="G369" s="1027" t="str">
        <f t="shared" ca="1" si="38"/>
        <v/>
      </c>
      <c r="H369" s="1043" t="str">
        <f ca="1"/>
        <v/>
      </c>
      <c r="I369" s="1006" t="str">
        <f ca="1"/>
        <v/>
      </c>
      <c r="J369" s="1006" t="str">
        <f ca="1"/>
        <v/>
      </c>
      <c r="K369" s="1016" t="str">
        <f ca="1"/>
        <v/>
      </c>
      <c r="L369" s="1019" t="str">
        <f ca="1"/>
        <v/>
      </c>
      <c r="M369" s="1006" t="str">
        <f ca="1"/>
        <v/>
      </c>
      <c r="N369" s="1060" t="str">
        <f t="shared" ca="1" si="35"/>
        <v/>
      </c>
      <c r="O369" s="996"/>
      <c r="P369" s="742">
        <v>351</v>
      </c>
      <c r="Q369" s="1016" t="str">
        <f t="shared" ca="1" si="39"/>
        <v/>
      </c>
      <c r="R369" s="1027" t="str">
        <f t="shared" ca="1" si="40"/>
        <v/>
      </c>
      <c r="S369" s="1006" t="str">
        <f ca="1"/>
        <v/>
      </c>
      <c r="T369" s="1006" t="str">
        <f ca="1"/>
        <v/>
      </c>
      <c r="U369" s="1006" t="str">
        <f ca="1"/>
        <v/>
      </c>
      <c r="V369" s="1016" t="str">
        <f ca="1"/>
        <v/>
      </c>
      <c r="W369" s="1019" t="str">
        <f ca="1"/>
        <v/>
      </c>
      <c r="X369" s="1006" t="str">
        <f ca="1"/>
        <v/>
      </c>
      <c r="Y369" s="864" t="str">
        <f t="shared" ca="1" si="36"/>
        <v/>
      </c>
      <c r="AA369" s="828">
        <v>351</v>
      </c>
      <c r="AB369" s="750"/>
      <c r="AC369" s="842"/>
      <c r="AD369" s="830"/>
      <c r="AE369" s="839"/>
      <c r="AF369" s="839"/>
      <c r="AG369" s="750"/>
      <c r="AH369" s="840"/>
      <c r="AI369" s="839"/>
      <c r="AJ369" s="841"/>
      <c r="AK369" s="108" t="s">
        <v>12</v>
      </c>
      <c r="AL369" s="847">
        <v>351</v>
      </c>
      <c r="AM369" s="857"/>
      <c r="AN369" s="842"/>
      <c r="AO369" s="839"/>
      <c r="AP369" s="839"/>
      <c r="AQ369" s="839"/>
      <c r="AR369" s="750"/>
      <c r="AS369" s="840"/>
      <c r="AT369" s="839"/>
      <c r="AU369" s="856"/>
      <c r="AV369" s="108" t="s">
        <v>12</v>
      </c>
    </row>
    <row r="370" spans="4:48">
      <c r="D370" s="108" t="s">
        <v>12</v>
      </c>
      <c r="E370" s="742">
        <v>352</v>
      </c>
      <c r="F370" s="1016" t="str">
        <f t="shared" ca="1" si="37"/>
        <v/>
      </c>
      <c r="G370" s="1027" t="str">
        <f t="shared" ca="1" si="38"/>
        <v/>
      </c>
      <c r="H370" s="1043" t="str">
        <f ca="1"/>
        <v/>
      </c>
      <c r="I370" s="1006" t="str">
        <f ca="1"/>
        <v/>
      </c>
      <c r="J370" s="1006" t="str">
        <f ca="1"/>
        <v/>
      </c>
      <c r="K370" s="1016" t="str">
        <f ca="1"/>
        <v/>
      </c>
      <c r="L370" s="1019" t="str">
        <f ca="1"/>
        <v/>
      </c>
      <c r="M370" s="1006" t="str">
        <f ca="1"/>
        <v/>
      </c>
      <c r="N370" s="1060" t="str">
        <f t="shared" ca="1" si="35"/>
        <v/>
      </c>
      <c r="O370" s="996"/>
      <c r="P370" s="742">
        <v>352</v>
      </c>
      <c r="Q370" s="1016" t="str">
        <f t="shared" ca="1" si="39"/>
        <v/>
      </c>
      <c r="R370" s="1027" t="str">
        <f t="shared" ca="1" si="40"/>
        <v/>
      </c>
      <c r="S370" s="1006" t="str">
        <f ca="1"/>
        <v/>
      </c>
      <c r="T370" s="1006" t="str">
        <f ca="1"/>
        <v/>
      </c>
      <c r="U370" s="1006" t="str">
        <f ca="1"/>
        <v/>
      </c>
      <c r="V370" s="1016" t="str">
        <f ca="1"/>
        <v/>
      </c>
      <c r="W370" s="1019" t="str">
        <f ca="1"/>
        <v/>
      </c>
      <c r="X370" s="1006" t="str">
        <f ca="1"/>
        <v/>
      </c>
      <c r="Y370" s="864" t="str">
        <f t="shared" ca="1" si="36"/>
        <v/>
      </c>
      <c r="AA370" s="828">
        <v>352</v>
      </c>
      <c r="AB370" s="750"/>
      <c r="AC370" s="842"/>
      <c r="AD370" s="830"/>
      <c r="AE370" s="839"/>
      <c r="AF370" s="839"/>
      <c r="AG370" s="750"/>
      <c r="AH370" s="840"/>
      <c r="AI370" s="839"/>
      <c r="AJ370" s="841"/>
      <c r="AK370" s="108" t="s">
        <v>12</v>
      </c>
      <c r="AL370" s="847">
        <v>352</v>
      </c>
      <c r="AM370" s="857"/>
      <c r="AN370" s="842"/>
      <c r="AO370" s="839"/>
      <c r="AP370" s="839"/>
      <c r="AQ370" s="839"/>
      <c r="AR370" s="750"/>
      <c r="AS370" s="840"/>
      <c r="AT370" s="839"/>
      <c r="AU370" s="856"/>
      <c r="AV370" s="108" t="s">
        <v>12</v>
      </c>
    </row>
    <row r="371" spans="4:48">
      <c r="D371" s="108" t="s">
        <v>12</v>
      </c>
      <c r="E371" s="742">
        <v>353</v>
      </c>
      <c r="F371" s="1016" t="str">
        <f t="shared" ca="1" si="37"/>
        <v/>
      </c>
      <c r="G371" s="1027" t="str">
        <f t="shared" ca="1" si="38"/>
        <v/>
      </c>
      <c r="H371" s="1043" t="str">
        <f ca="1"/>
        <v/>
      </c>
      <c r="I371" s="1006" t="str">
        <f ca="1"/>
        <v/>
      </c>
      <c r="J371" s="1006" t="str">
        <f ca="1"/>
        <v/>
      </c>
      <c r="K371" s="1016" t="str">
        <f ca="1"/>
        <v/>
      </c>
      <c r="L371" s="1019" t="str">
        <f ca="1"/>
        <v/>
      </c>
      <c r="M371" s="1006" t="str">
        <f ca="1"/>
        <v/>
      </c>
      <c r="N371" s="1060" t="str">
        <f t="shared" ca="1" si="35"/>
        <v/>
      </c>
      <c r="O371" s="996"/>
      <c r="P371" s="742">
        <v>353</v>
      </c>
      <c r="Q371" s="1016" t="str">
        <f t="shared" ca="1" si="39"/>
        <v/>
      </c>
      <c r="R371" s="1027" t="str">
        <f t="shared" ca="1" si="40"/>
        <v/>
      </c>
      <c r="S371" s="1006" t="str">
        <f ca="1"/>
        <v/>
      </c>
      <c r="T371" s="1006" t="str">
        <f ca="1"/>
        <v/>
      </c>
      <c r="U371" s="1006" t="str">
        <f ca="1"/>
        <v/>
      </c>
      <c r="V371" s="1016" t="str">
        <f ca="1"/>
        <v/>
      </c>
      <c r="W371" s="1019" t="str">
        <f ca="1"/>
        <v/>
      </c>
      <c r="X371" s="1006" t="str">
        <f ca="1"/>
        <v/>
      </c>
      <c r="Y371" s="864" t="str">
        <f t="shared" ca="1" si="36"/>
        <v/>
      </c>
      <c r="AA371" s="828">
        <v>353</v>
      </c>
      <c r="AB371" s="750"/>
      <c r="AC371" s="842"/>
      <c r="AD371" s="830"/>
      <c r="AE371" s="839"/>
      <c r="AF371" s="839"/>
      <c r="AG371" s="750"/>
      <c r="AH371" s="840"/>
      <c r="AI371" s="839"/>
      <c r="AJ371" s="841"/>
      <c r="AK371" s="108" t="s">
        <v>12</v>
      </c>
      <c r="AL371" s="847">
        <v>353</v>
      </c>
      <c r="AM371" s="857"/>
      <c r="AN371" s="842"/>
      <c r="AO371" s="839"/>
      <c r="AP371" s="839"/>
      <c r="AQ371" s="839"/>
      <c r="AR371" s="750"/>
      <c r="AS371" s="840"/>
      <c r="AT371" s="839"/>
      <c r="AU371" s="856"/>
      <c r="AV371" s="108" t="s">
        <v>12</v>
      </c>
    </row>
    <row r="372" spans="4:48">
      <c r="D372" s="108" t="s">
        <v>12</v>
      </c>
      <c r="E372" s="742">
        <v>354</v>
      </c>
      <c r="F372" s="1016" t="str">
        <f t="shared" ca="1" si="37"/>
        <v/>
      </c>
      <c r="G372" s="1027" t="str">
        <f t="shared" ca="1" si="38"/>
        <v/>
      </c>
      <c r="H372" s="1043" t="str">
        <f ca="1"/>
        <v/>
      </c>
      <c r="I372" s="1006" t="str">
        <f ca="1"/>
        <v/>
      </c>
      <c r="J372" s="1006" t="str">
        <f ca="1"/>
        <v/>
      </c>
      <c r="K372" s="1016" t="str">
        <f ca="1"/>
        <v/>
      </c>
      <c r="L372" s="1019" t="str">
        <f ca="1"/>
        <v/>
      </c>
      <c r="M372" s="1006" t="str">
        <f ca="1"/>
        <v/>
      </c>
      <c r="N372" s="1060" t="str">
        <f t="shared" ca="1" si="35"/>
        <v/>
      </c>
      <c r="O372" s="996"/>
      <c r="P372" s="742">
        <v>354</v>
      </c>
      <c r="Q372" s="1016" t="str">
        <f t="shared" ca="1" si="39"/>
        <v/>
      </c>
      <c r="R372" s="1027" t="str">
        <f t="shared" ca="1" si="40"/>
        <v/>
      </c>
      <c r="S372" s="1006" t="str">
        <f ca="1"/>
        <v/>
      </c>
      <c r="T372" s="1006" t="str">
        <f ca="1"/>
        <v/>
      </c>
      <c r="U372" s="1006" t="str">
        <f ca="1"/>
        <v/>
      </c>
      <c r="V372" s="1016" t="str">
        <f ca="1"/>
        <v/>
      </c>
      <c r="W372" s="1019" t="str">
        <f ca="1"/>
        <v/>
      </c>
      <c r="X372" s="1006" t="str">
        <f ca="1"/>
        <v/>
      </c>
      <c r="Y372" s="864" t="str">
        <f t="shared" ca="1" si="36"/>
        <v/>
      </c>
      <c r="AA372" s="828">
        <v>354</v>
      </c>
      <c r="AB372" s="750"/>
      <c r="AC372" s="842"/>
      <c r="AD372" s="830"/>
      <c r="AE372" s="839"/>
      <c r="AF372" s="839"/>
      <c r="AG372" s="750"/>
      <c r="AH372" s="840"/>
      <c r="AI372" s="839"/>
      <c r="AJ372" s="841"/>
      <c r="AK372" s="108" t="s">
        <v>12</v>
      </c>
      <c r="AL372" s="847">
        <v>354</v>
      </c>
      <c r="AM372" s="857"/>
      <c r="AN372" s="842"/>
      <c r="AO372" s="839"/>
      <c r="AP372" s="839"/>
      <c r="AQ372" s="839"/>
      <c r="AR372" s="750"/>
      <c r="AS372" s="840"/>
      <c r="AT372" s="839"/>
      <c r="AU372" s="856"/>
      <c r="AV372" s="108" t="s">
        <v>12</v>
      </c>
    </row>
    <row r="373" spans="4:48">
      <c r="D373" s="108" t="s">
        <v>12</v>
      </c>
      <c r="E373" s="742">
        <v>355</v>
      </c>
      <c r="F373" s="1016" t="str">
        <f t="shared" ca="1" si="37"/>
        <v/>
      </c>
      <c r="G373" s="1027" t="str">
        <f t="shared" ca="1" si="38"/>
        <v/>
      </c>
      <c r="H373" s="1043" t="str">
        <f ca="1"/>
        <v/>
      </c>
      <c r="I373" s="1006" t="str">
        <f ca="1"/>
        <v/>
      </c>
      <c r="J373" s="1006" t="str">
        <f ca="1"/>
        <v/>
      </c>
      <c r="K373" s="1016" t="str">
        <f ca="1"/>
        <v/>
      </c>
      <c r="L373" s="1019" t="str">
        <f ca="1"/>
        <v/>
      </c>
      <c r="M373" s="1006" t="str">
        <f ca="1"/>
        <v/>
      </c>
      <c r="N373" s="1060" t="str">
        <f t="shared" ca="1" si="35"/>
        <v/>
      </c>
      <c r="O373" s="996"/>
      <c r="P373" s="742">
        <v>355</v>
      </c>
      <c r="Q373" s="1016" t="str">
        <f t="shared" ca="1" si="39"/>
        <v/>
      </c>
      <c r="R373" s="1027" t="str">
        <f t="shared" ca="1" si="40"/>
        <v/>
      </c>
      <c r="S373" s="1006" t="str">
        <f ca="1"/>
        <v/>
      </c>
      <c r="T373" s="1006" t="str">
        <f ca="1"/>
        <v/>
      </c>
      <c r="U373" s="1006" t="str">
        <f ca="1"/>
        <v/>
      </c>
      <c r="V373" s="1016" t="str">
        <f ca="1"/>
        <v/>
      </c>
      <c r="W373" s="1019" t="str">
        <f ca="1"/>
        <v/>
      </c>
      <c r="X373" s="1006" t="str">
        <f ca="1"/>
        <v/>
      </c>
      <c r="Y373" s="864" t="str">
        <f t="shared" ca="1" si="36"/>
        <v/>
      </c>
      <c r="AA373" s="828">
        <v>355</v>
      </c>
      <c r="AB373" s="750"/>
      <c r="AC373" s="842"/>
      <c r="AD373" s="830"/>
      <c r="AE373" s="839"/>
      <c r="AF373" s="839"/>
      <c r="AG373" s="750"/>
      <c r="AH373" s="840"/>
      <c r="AI373" s="839"/>
      <c r="AJ373" s="841"/>
      <c r="AK373" s="108" t="s">
        <v>12</v>
      </c>
      <c r="AL373" s="847">
        <v>355</v>
      </c>
      <c r="AM373" s="857"/>
      <c r="AN373" s="842"/>
      <c r="AO373" s="839"/>
      <c r="AP373" s="839"/>
      <c r="AQ373" s="839"/>
      <c r="AR373" s="750"/>
      <c r="AS373" s="840"/>
      <c r="AT373" s="839"/>
      <c r="AU373" s="856"/>
      <c r="AV373" s="108" t="s">
        <v>12</v>
      </c>
    </row>
    <row r="374" spans="4:48">
      <c r="D374" s="108" t="s">
        <v>12</v>
      </c>
      <c r="E374" s="742">
        <v>356</v>
      </c>
      <c r="F374" s="1016" t="str">
        <f t="shared" ca="1" si="37"/>
        <v/>
      </c>
      <c r="G374" s="1027" t="str">
        <f t="shared" ca="1" si="38"/>
        <v/>
      </c>
      <c r="H374" s="1043" t="str">
        <f ca="1"/>
        <v/>
      </c>
      <c r="I374" s="1006" t="str">
        <f ca="1"/>
        <v/>
      </c>
      <c r="J374" s="1006" t="str">
        <f ca="1"/>
        <v/>
      </c>
      <c r="K374" s="1016" t="str">
        <f ca="1"/>
        <v/>
      </c>
      <c r="L374" s="1019" t="str">
        <f ca="1"/>
        <v/>
      </c>
      <c r="M374" s="1006" t="str">
        <f ca="1"/>
        <v/>
      </c>
      <c r="N374" s="1060" t="str">
        <f t="shared" ca="1" si="35"/>
        <v/>
      </c>
      <c r="O374" s="996"/>
      <c r="P374" s="742">
        <v>356</v>
      </c>
      <c r="Q374" s="1016" t="str">
        <f t="shared" ca="1" si="39"/>
        <v/>
      </c>
      <c r="R374" s="1027" t="str">
        <f t="shared" ca="1" si="40"/>
        <v/>
      </c>
      <c r="S374" s="1006" t="str">
        <f ca="1"/>
        <v/>
      </c>
      <c r="T374" s="1006" t="str">
        <f ca="1"/>
        <v/>
      </c>
      <c r="U374" s="1006" t="str">
        <f ca="1"/>
        <v/>
      </c>
      <c r="V374" s="1016" t="str">
        <f ca="1"/>
        <v/>
      </c>
      <c r="W374" s="1019" t="str">
        <f ca="1"/>
        <v/>
      </c>
      <c r="X374" s="1006" t="str">
        <f ca="1"/>
        <v/>
      </c>
      <c r="Y374" s="864" t="str">
        <f t="shared" ca="1" si="36"/>
        <v/>
      </c>
      <c r="AA374" s="828">
        <v>356</v>
      </c>
      <c r="AB374" s="750"/>
      <c r="AC374" s="842"/>
      <c r="AD374" s="830"/>
      <c r="AE374" s="839"/>
      <c r="AF374" s="839"/>
      <c r="AG374" s="750"/>
      <c r="AH374" s="840"/>
      <c r="AI374" s="839"/>
      <c r="AJ374" s="841"/>
      <c r="AK374" s="108" t="s">
        <v>12</v>
      </c>
      <c r="AL374" s="847">
        <v>356</v>
      </c>
      <c r="AM374" s="857"/>
      <c r="AN374" s="842"/>
      <c r="AO374" s="839"/>
      <c r="AP374" s="839"/>
      <c r="AQ374" s="839"/>
      <c r="AR374" s="750"/>
      <c r="AS374" s="840"/>
      <c r="AT374" s="839"/>
      <c r="AU374" s="856"/>
      <c r="AV374" s="108" t="s">
        <v>12</v>
      </c>
    </row>
    <row r="375" spans="4:48">
      <c r="D375" s="108" t="s">
        <v>12</v>
      </c>
      <c r="E375" s="742">
        <v>357</v>
      </c>
      <c r="F375" s="1016" t="str">
        <f t="shared" ca="1" si="37"/>
        <v/>
      </c>
      <c r="G375" s="1027" t="str">
        <f t="shared" ca="1" si="38"/>
        <v/>
      </c>
      <c r="H375" s="1043" t="str">
        <f ca="1"/>
        <v/>
      </c>
      <c r="I375" s="1006" t="str">
        <f ca="1"/>
        <v/>
      </c>
      <c r="J375" s="1006" t="str">
        <f ca="1"/>
        <v/>
      </c>
      <c r="K375" s="1016" t="str">
        <f ca="1"/>
        <v/>
      </c>
      <c r="L375" s="1019" t="str">
        <f ca="1"/>
        <v/>
      </c>
      <c r="M375" s="1006" t="str">
        <f ca="1"/>
        <v/>
      </c>
      <c r="N375" s="1060" t="str">
        <f t="shared" ca="1" si="35"/>
        <v/>
      </c>
      <c r="O375" s="996"/>
      <c r="P375" s="742">
        <v>357</v>
      </c>
      <c r="Q375" s="1016" t="str">
        <f t="shared" ca="1" si="39"/>
        <v/>
      </c>
      <c r="R375" s="1027" t="str">
        <f t="shared" ca="1" si="40"/>
        <v/>
      </c>
      <c r="S375" s="1006" t="str">
        <f ca="1"/>
        <v/>
      </c>
      <c r="T375" s="1006" t="str">
        <f ca="1"/>
        <v/>
      </c>
      <c r="U375" s="1006" t="str">
        <f ca="1"/>
        <v/>
      </c>
      <c r="V375" s="1016" t="str">
        <f ca="1"/>
        <v/>
      </c>
      <c r="W375" s="1019" t="str">
        <f ca="1"/>
        <v/>
      </c>
      <c r="X375" s="1006" t="str">
        <f ca="1"/>
        <v/>
      </c>
      <c r="Y375" s="864" t="str">
        <f t="shared" ca="1" si="36"/>
        <v/>
      </c>
      <c r="AA375" s="828">
        <v>357</v>
      </c>
      <c r="AB375" s="750"/>
      <c r="AC375" s="842"/>
      <c r="AD375" s="830"/>
      <c r="AE375" s="839"/>
      <c r="AF375" s="839"/>
      <c r="AG375" s="750"/>
      <c r="AH375" s="840"/>
      <c r="AI375" s="839"/>
      <c r="AJ375" s="841"/>
      <c r="AK375" s="108" t="s">
        <v>12</v>
      </c>
      <c r="AL375" s="847">
        <v>357</v>
      </c>
      <c r="AM375" s="857"/>
      <c r="AN375" s="842"/>
      <c r="AO375" s="839"/>
      <c r="AP375" s="839"/>
      <c r="AQ375" s="839"/>
      <c r="AR375" s="750"/>
      <c r="AS375" s="840"/>
      <c r="AT375" s="839"/>
      <c r="AU375" s="856"/>
      <c r="AV375" s="108" t="s">
        <v>12</v>
      </c>
    </row>
    <row r="376" spans="4:48">
      <c r="D376" s="108" t="s">
        <v>12</v>
      </c>
      <c r="E376" s="742">
        <v>358</v>
      </c>
      <c r="F376" s="1016" t="str">
        <f t="shared" ca="1" si="37"/>
        <v/>
      </c>
      <c r="G376" s="1027" t="str">
        <f t="shared" ca="1" si="38"/>
        <v/>
      </c>
      <c r="H376" s="1043" t="str">
        <f ca="1"/>
        <v/>
      </c>
      <c r="I376" s="1006" t="str">
        <f ca="1"/>
        <v/>
      </c>
      <c r="J376" s="1006" t="str">
        <f ca="1"/>
        <v/>
      </c>
      <c r="K376" s="1016" t="str">
        <f ca="1"/>
        <v/>
      </c>
      <c r="L376" s="1019" t="str">
        <f ca="1"/>
        <v/>
      </c>
      <c r="M376" s="1006" t="str">
        <f ca="1"/>
        <v/>
      </c>
      <c r="N376" s="1060" t="str">
        <f t="shared" ca="1" si="35"/>
        <v/>
      </c>
      <c r="O376" s="996"/>
      <c r="P376" s="742">
        <v>358</v>
      </c>
      <c r="Q376" s="1016" t="str">
        <f t="shared" ca="1" si="39"/>
        <v/>
      </c>
      <c r="R376" s="1027" t="str">
        <f t="shared" ca="1" si="40"/>
        <v/>
      </c>
      <c r="S376" s="1006" t="str">
        <f ca="1"/>
        <v/>
      </c>
      <c r="T376" s="1006" t="str">
        <f ca="1"/>
        <v/>
      </c>
      <c r="U376" s="1006" t="str">
        <f ca="1"/>
        <v/>
      </c>
      <c r="V376" s="1016" t="str">
        <f ca="1"/>
        <v/>
      </c>
      <c r="W376" s="1019" t="str">
        <f ca="1"/>
        <v/>
      </c>
      <c r="X376" s="1006" t="str">
        <f ca="1"/>
        <v/>
      </c>
      <c r="Y376" s="864" t="str">
        <f t="shared" ca="1" si="36"/>
        <v/>
      </c>
      <c r="AA376" s="828">
        <v>358</v>
      </c>
      <c r="AB376" s="750"/>
      <c r="AC376" s="842"/>
      <c r="AD376" s="830"/>
      <c r="AE376" s="839"/>
      <c r="AF376" s="839"/>
      <c r="AG376" s="750"/>
      <c r="AH376" s="840"/>
      <c r="AI376" s="839"/>
      <c r="AJ376" s="841"/>
      <c r="AK376" s="108" t="s">
        <v>12</v>
      </c>
      <c r="AL376" s="847">
        <v>358</v>
      </c>
      <c r="AM376" s="857"/>
      <c r="AN376" s="842"/>
      <c r="AO376" s="839"/>
      <c r="AP376" s="839"/>
      <c r="AQ376" s="839"/>
      <c r="AR376" s="750"/>
      <c r="AS376" s="840"/>
      <c r="AT376" s="839"/>
      <c r="AU376" s="856"/>
      <c r="AV376" s="108" t="s">
        <v>12</v>
      </c>
    </row>
    <row r="377" spans="4:48">
      <c r="D377" s="108" t="s">
        <v>12</v>
      </c>
      <c r="E377" s="742">
        <v>359</v>
      </c>
      <c r="F377" s="1016" t="str">
        <f t="shared" ca="1" si="37"/>
        <v/>
      </c>
      <c r="G377" s="1027" t="str">
        <f t="shared" ca="1" si="38"/>
        <v/>
      </c>
      <c r="H377" s="1043" t="str">
        <f ca="1"/>
        <v/>
      </c>
      <c r="I377" s="1006" t="str">
        <f ca="1"/>
        <v/>
      </c>
      <c r="J377" s="1006" t="str">
        <f ca="1"/>
        <v/>
      </c>
      <c r="K377" s="1016" t="str">
        <f ca="1"/>
        <v/>
      </c>
      <c r="L377" s="1019" t="str">
        <f ca="1"/>
        <v/>
      </c>
      <c r="M377" s="1006" t="str">
        <f ca="1"/>
        <v/>
      </c>
      <c r="N377" s="1060" t="str">
        <f t="shared" ca="1" si="35"/>
        <v/>
      </c>
      <c r="O377" s="996"/>
      <c r="P377" s="742">
        <v>359</v>
      </c>
      <c r="Q377" s="1016" t="str">
        <f t="shared" ca="1" si="39"/>
        <v/>
      </c>
      <c r="R377" s="1027" t="str">
        <f t="shared" ca="1" si="40"/>
        <v/>
      </c>
      <c r="S377" s="1006" t="str">
        <f ca="1"/>
        <v/>
      </c>
      <c r="T377" s="1006" t="str">
        <f ca="1"/>
        <v/>
      </c>
      <c r="U377" s="1006" t="str">
        <f ca="1"/>
        <v/>
      </c>
      <c r="V377" s="1016" t="str">
        <f ca="1"/>
        <v/>
      </c>
      <c r="W377" s="1019" t="str">
        <f ca="1"/>
        <v/>
      </c>
      <c r="X377" s="1006" t="str">
        <f ca="1"/>
        <v/>
      </c>
      <c r="Y377" s="864" t="str">
        <f t="shared" ca="1" si="36"/>
        <v/>
      </c>
      <c r="AA377" s="828">
        <v>359</v>
      </c>
      <c r="AB377" s="750"/>
      <c r="AC377" s="842"/>
      <c r="AD377" s="830"/>
      <c r="AE377" s="839"/>
      <c r="AF377" s="839"/>
      <c r="AG377" s="750"/>
      <c r="AH377" s="840"/>
      <c r="AI377" s="839"/>
      <c r="AJ377" s="841"/>
      <c r="AK377" s="108" t="s">
        <v>12</v>
      </c>
      <c r="AL377" s="847">
        <v>359</v>
      </c>
      <c r="AM377" s="857"/>
      <c r="AN377" s="842"/>
      <c r="AO377" s="839"/>
      <c r="AP377" s="839"/>
      <c r="AQ377" s="839"/>
      <c r="AR377" s="750"/>
      <c r="AS377" s="840"/>
      <c r="AT377" s="839"/>
      <c r="AU377" s="856"/>
      <c r="AV377" s="108" t="s">
        <v>12</v>
      </c>
    </row>
    <row r="378" spans="4:48">
      <c r="D378" s="108" t="s">
        <v>12</v>
      </c>
      <c r="E378" s="742">
        <v>360</v>
      </c>
      <c r="F378" s="1016" t="str">
        <f t="shared" ca="1" si="37"/>
        <v/>
      </c>
      <c r="G378" s="1027" t="str">
        <f t="shared" ca="1" si="38"/>
        <v/>
      </c>
      <c r="H378" s="1043" t="str">
        <f ca="1"/>
        <v/>
      </c>
      <c r="I378" s="1006" t="str">
        <f ca="1"/>
        <v/>
      </c>
      <c r="J378" s="1006" t="str">
        <f ca="1"/>
        <v/>
      </c>
      <c r="K378" s="1016" t="str">
        <f ca="1"/>
        <v/>
      </c>
      <c r="L378" s="1019" t="str">
        <f ca="1"/>
        <v/>
      </c>
      <c r="M378" s="1006" t="str">
        <f ca="1"/>
        <v/>
      </c>
      <c r="N378" s="1060" t="str">
        <f t="shared" ca="1" si="35"/>
        <v/>
      </c>
      <c r="O378" s="996"/>
      <c r="P378" s="742">
        <v>360</v>
      </c>
      <c r="Q378" s="1016" t="str">
        <f t="shared" ca="1" si="39"/>
        <v/>
      </c>
      <c r="R378" s="1027" t="str">
        <f t="shared" ca="1" si="40"/>
        <v/>
      </c>
      <c r="S378" s="1006" t="str">
        <f ca="1"/>
        <v/>
      </c>
      <c r="T378" s="1006" t="str">
        <f ca="1"/>
        <v/>
      </c>
      <c r="U378" s="1006" t="str">
        <f ca="1"/>
        <v/>
      </c>
      <c r="V378" s="1016" t="str">
        <f ca="1"/>
        <v/>
      </c>
      <c r="W378" s="1019" t="str">
        <f ca="1"/>
        <v/>
      </c>
      <c r="X378" s="1006" t="str">
        <f ca="1"/>
        <v/>
      </c>
      <c r="Y378" s="864" t="str">
        <f t="shared" ca="1" si="36"/>
        <v/>
      </c>
      <c r="AA378" s="828">
        <v>360</v>
      </c>
      <c r="AB378" s="750"/>
      <c r="AC378" s="842"/>
      <c r="AD378" s="830"/>
      <c r="AE378" s="839"/>
      <c r="AF378" s="839"/>
      <c r="AG378" s="750"/>
      <c r="AH378" s="840"/>
      <c r="AI378" s="839"/>
      <c r="AJ378" s="841"/>
      <c r="AK378" s="108" t="s">
        <v>12</v>
      </c>
      <c r="AL378" s="847">
        <v>360</v>
      </c>
      <c r="AM378" s="857"/>
      <c r="AN378" s="842"/>
      <c r="AO378" s="839"/>
      <c r="AP378" s="839"/>
      <c r="AQ378" s="839"/>
      <c r="AR378" s="750"/>
      <c r="AS378" s="840"/>
      <c r="AT378" s="839"/>
      <c r="AU378" s="856"/>
      <c r="AV378" s="108" t="s">
        <v>12</v>
      </c>
    </row>
    <row r="379" spans="4:48">
      <c r="D379" s="108" t="s">
        <v>12</v>
      </c>
      <c r="E379" s="742">
        <v>361</v>
      </c>
      <c r="F379" s="1016" t="str">
        <f t="shared" ca="1" si="37"/>
        <v/>
      </c>
      <c r="G379" s="1027" t="str">
        <f t="shared" ca="1" si="38"/>
        <v/>
      </c>
      <c r="H379" s="1043" t="str">
        <f ca="1"/>
        <v/>
      </c>
      <c r="I379" s="1006" t="str">
        <f ca="1"/>
        <v/>
      </c>
      <c r="J379" s="1006" t="str">
        <f ca="1"/>
        <v/>
      </c>
      <c r="K379" s="1016" t="str">
        <f ca="1"/>
        <v/>
      </c>
      <c r="L379" s="1019" t="str">
        <f ca="1"/>
        <v/>
      </c>
      <c r="M379" s="1006" t="str">
        <f ca="1"/>
        <v/>
      </c>
      <c r="N379" s="1060" t="str">
        <f t="shared" ca="1" si="35"/>
        <v/>
      </c>
      <c r="O379" s="996"/>
      <c r="P379" s="742">
        <v>361</v>
      </c>
      <c r="Q379" s="1016" t="str">
        <f t="shared" ca="1" si="39"/>
        <v/>
      </c>
      <c r="R379" s="1027" t="str">
        <f t="shared" ca="1" si="40"/>
        <v/>
      </c>
      <c r="S379" s="1006" t="str">
        <f ca="1"/>
        <v/>
      </c>
      <c r="T379" s="1006" t="str">
        <f ca="1"/>
        <v/>
      </c>
      <c r="U379" s="1006" t="str">
        <f ca="1"/>
        <v/>
      </c>
      <c r="V379" s="1016" t="str">
        <f ca="1"/>
        <v/>
      </c>
      <c r="W379" s="1019" t="str">
        <f ca="1"/>
        <v/>
      </c>
      <c r="X379" s="1006" t="str">
        <f ca="1"/>
        <v/>
      </c>
      <c r="Y379" s="864" t="str">
        <f t="shared" ca="1" si="36"/>
        <v/>
      </c>
      <c r="AA379" s="828">
        <v>361</v>
      </c>
      <c r="AB379" s="750"/>
      <c r="AC379" s="842"/>
      <c r="AD379" s="830"/>
      <c r="AE379" s="839"/>
      <c r="AF379" s="839"/>
      <c r="AG379" s="750"/>
      <c r="AH379" s="840"/>
      <c r="AI379" s="839"/>
      <c r="AJ379" s="841"/>
      <c r="AK379" s="108" t="s">
        <v>12</v>
      </c>
      <c r="AL379" s="847">
        <v>361</v>
      </c>
      <c r="AM379" s="857"/>
      <c r="AN379" s="842"/>
      <c r="AO379" s="839"/>
      <c r="AP379" s="839"/>
      <c r="AQ379" s="839"/>
      <c r="AR379" s="750"/>
      <c r="AS379" s="840"/>
      <c r="AT379" s="839"/>
      <c r="AU379" s="856"/>
      <c r="AV379" s="108" t="s">
        <v>12</v>
      </c>
    </row>
    <row r="380" spans="4:48">
      <c r="D380" s="108" t="s">
        <v>12</v>
      </c>
      <c r="E380" s="742">
        <v>362</v>
      </c>
      <c r="F380" s="1016" t="str">
        <f t="shared" ca="1" si="37"/>
        <v/>
      </c>
      <c r="G380" s="1027" t="str">
        <f t="shared" ca="1" si="38"/>
        <v/>
      </c>
      <c r="H380" s="1043" t="str">
        <f ca="1"/>
        <v/>
      </c>
      <c r="I380" s="1006" t="str">
        <f ca="1"/>
        <v/>
      </c>
      <c r="J380" s="1006" t="str">
        <f ca="1"/>
        <v/>
      </c>
      <c r="K380" s="1016" t="str">
        <f ca="1"/>
        <v/>
      </c>
      <c r="L380" s="1019" t="str">
        <f ca="1"/>
        <v/>
      </c>
      <c r="M380" s="1006" t="str">
        <f ca="1"/>
        <v/>
      </c>
      <c r="N380" s="1060" t="str">
        <f t="shared" ca="1" si="35"/>
        <v/>
      </c>
      <c r="O380" s="996"/>
      <c r="P380" s="742">
        <v>362</v>
      </c>
      <c r="Q380" s="1016" t="str">
        <f t="shared" ca="1" si="39"/>
        <v/>
      </c>
      <c r="R380" s="1027" t="str">
        <f t="shared" ca="1" si="40"/>
        <v/>
      </c>
      <c r="S380" s="1006" t="str">
        <f ca="1"/>
        <v/>
      </c>
      <c r="T380" s="1006" t="str">
        <f ca="1"/>
        <v/>
      </c>
      <c r="U380" s="1006" t="str">
        <f ca="1"/>
        <v/>
      </c>
      <c r="V380" s="1016" t="str">
        <f ca="1"/>
        <v/>
      </c>
      <c r="W380" s="1019" t="str">
        <f ca="1"/>
        <v/>
      </c>
      <c r="X380" s="1006" t="str">
        <f ca="1"/>
        <v/>
      </c>
      <c r="Y380" s="864" t="str">
        <f t="shared" ca="1" si="36"/>
        <v/>
      </c>
      <c r="AA380" s="828">
        <v>362</v>
      </c>
      <c r="AB380" s="750"/>
      <c r="AC380" s="842"/>
      <c r="AD380" s="830"/>
      <c r="AE380" s="839"/>
      <c r="AF380" s="839"/>
      <c r="AG380" s="750"/>
      <c r="AH380" s="840"/>
      <c r="AI380" s="839"/>
      <c r="AJ380" s="841"/>
      <c r="AK380" s="108" t="s">
        <v>12</v>
      </c>
      <c r="AL380" s="847">
        <v>362</v>
      </c>
      <c r="AM380" s="857"/>
      <c r="AN380" s="842"/>
      <c r="AO380" s="839"/>
      <c r="AP380" s="839"/>
      <c r="AQ380" s="839"/>
      <c r="AR380" s="750"/>
      <c r="AS380" s="840"/>
      <c r="AT380" s="839"/>
      <c r="AU380" s="856"/>
      <c r="AV380" s="108" t="s">
        <v>12</v>
      </c>
    </row>
    <row r="381" spans="4:48">
      <c r="D381" s="108" t="s">
        <v>12</v>
      </c>
      <c r="E381" s="742">
        <v>363</v>
      </c>
      <c r="F381" s="1016" t="str">
        <f t="shared" ca="1" si="37"/>
        <v/>
      </c>
      <c r="G381" s="1027" t="str">
        <f t="shared" ca="1" si="38"/>
        <v/>
      </c>
      <c r="H381" s="1043" t="str">
        <f ca="1"/>
        <v/>
      </c>
      <c r="I381" s="1006" t="str">
        <f ca="1"/>
        <v/>
      </c>
      <c r="J381" s="1006" t="str">
        <f ca="1"/>
        <v/>
      </c>
      <c r="K381" s="1016" t="str">
        <f ca="1"/>
        <v/>
      </c>
      <c r="L381" s="1019" t="str">
        <f ca="1"/>
        <v/>
      </c>
      <c r="M381" s="1006" t="str">
        <f ca="1"/>
        <v/>
      </c>
      <c r="N381" s="1060" t="str">
        <f t="shared" ca="1" si="35"/>
        <v/>
      </c>
      <c r="O381" s="996"/>
      <c r="P381" s="742">
        <v>363</v>
      </c>
      <c r="Q381" s="1016" t="str">
        <f t="shared" ca="1" si="39"/>
        <v/>
      </c>
      <c r="R381" s="1027" t="str">
        <f t="shared" ca="1" si="40"/>
        <v/>
      </c>
      <c r="S381" s="1006" t="str">
        <f ca="1"/>
        <v/>
      </c>
      <c r="T381" s="1006" t="str">
        <f ca="1"/>
        <v/>
      </c>
      <c r="U381" s="1006" t="str">
        <f ca="1"/>
        <v/>
      </c>
      <c r="V381" s="1016" t="str">
        <f ca="1"/>
        <v/>
      </c>
      <c r="W381" s="1019" t="str">
        <f ca="1"/>
        <v/>
      </c>
      <c r="X381" s="1006" t="str">
        <f ca="1"/>
        <v/>
      </c>
      <c r="Y381" s="864" t="str">
        <f t="shared" ca="1" si="36"/>
        <v/>
      </c>
      <c r="AA381" s="828">
        <v>363</v>
      </c>
      <c r="AB381" s="750"/>
      <c r="AC381" s="842"/>
      <c r="AD381" s="830"/>
      <c r="AE381" s="839"/>
      <c r="AF381" s="839"/>
      <c r="AG381" s="750"/>
      <c r="AH381" s="840"/>
      <c r="AI381" s="839"/>
      <c r="AJ381" s="841"/>
      <c r="AK381" s="108" t="s">
        <v>12</v>
      </c>
      <c r="AL381" s="847">
        <v>363</v>
      </c>
      <c r="AM381" s="857"/>
      <c r="AN381" s="842"/>
      <c r="AO381" s="839"/>
      <c r="AP381" s="839"/>
      <c r="AQ381" s="839"/>
      <c r="AR381" s="750"/>
      <c r="AS381" s="840"/>
      <c r="AT381" s="839"/>
      <c r="AU381" s="856"/>
      <c r="AV381" s="108" t="s">
        <v>12</v>
      </c>
    </row>
    <row r="382" spans="4:48">
      <c r="D382" s="108" t="s">
        <v>12</v>
      </c>
      <c r="E382" s="742">
        <v>364</v>
      </c>
      <c r="F382" s="1016" t="str">
        <f t="shared" ca="1" si="37"/>
        <v/>
      </c>
      <c r="G382" s="1027" t="str">
        <f t="shared" ca="1" si="38"/>
        <v/>
      </c>
      <c r="H382" s="1043" t="str">
        <f ca="1"/>
        <v/>
      </c>
      <c r="I382" s="1006" t="str">
        <f ca="1"/>
        <v/>
      </c>
      <c r="J382" s="1006" t="str">
        <f ca="1"/>
        <v/>
      </c>
      <c r="K382" s="1016" t="str">
        <f ca="1"/>
        <v/>
      </c>
      <c r="L382" s="1019" t="str">
        <f ca="1"/>
        <v/>
      </c>
      <c r="M382" s="1006" t="str">
        <f ca="1"/>
        <v/>
      </c>
      <c r="N382" s="1060" t="str">
        <f t="shared" ca="1" si="35"/>
        <v/>
      </c>
      <c r="O382" s="996"/>
      <c r="P382" s="742">
        <v>364</v>
      </c>
      <c r="Q382" s="1016" t="str">
        <f t="shared" ca="1" si="39"/>
        <v/>
      </c>
      <c r="R382" s="1027" t="str">
        <f t="shared" ca="1" si="40"/>
        <v/>
      </c>
      <c r="S382" s="1006" t="str">
        <f ca="1"/>
        <v/>
      </c>
      <c r="T382" s="1006" t="str">
        <f ca="1"/>
        <v/>
      </c>
      <c r="U382" s="1006" t="str">
        <f ca="1"/>
        <v/>
      </c>
      <c r="V382" s="1016" t="str">
        <f ca="1"/>
        <v/>
      </c>
      <c r="W382" s="1019" t="str">
        <f ca="1"/>
        <v/>
      </c>
      <c r="X382" s="1006" t="str">
        <f ca="1"/>
        <v/>
      </c>
      <c r="Y382" s="864" t="str">
        <f t="shared" ca="1" si="36"/>
        <v/>
      </c>
      <c r="AA382" s="828">
        <v>364</v>
      </c>
      <c r="AB382" s="750"/>
      <c r="AC382" s="842"/>
      <c r="AD382" s="830"/>
      <c r="AE382" s="839"/>
      <c r="AF382" s="839"/>
      <c r="AG382" s="750"/>
      <c r="AH382" s="840"/>
      <c r="AI382" s="839"/>
      <c r="AJ382" s="841"/>
      <c r="AK382" s="108" t="s">
        <v>12</v>
      </c>
      <c r="AL382" s="847">
        <v>364</v>
      </c>
      <c r="AM382" s="857"/>
      <c r="AN382" s="842"/>
      <c r="AO382" s="839"/>
      <c r="AP382" s="839"/>
      <c r="AQ382" s="839"/>
      <c r="AR382" s="750"/>
      <c r="AS382" s="840"/>
      <c r="AT382" s="839"/>
      <c r="AU382" s="856"/>
      <c r="AV382" s="108" t="s">
        <v>12</v>
      </c>
    </row>
    <row r="383" spans="4:48">
      <c r="D383" s="108" t="s">
        <v>12</v>
      </c>
      <c r="E383" s="742">
        <v>365</v>
      </c>
      <c r="F383" s="1016" t="str">
        <f t="shared" ca="1" si="37"/>
        <v/>
      </c>
      <c r="G383" s="1027" t="str">
        <f t="shared" ca="1" si="38"/>
        <v/>
      </c>
      <c r="H383" s="1043" t="str">
        <f ca="1"/>
        <v/>
      </c>
      <c r="I383" s="1006" t="str">
        <f ca="1"/>
        <v/>
      </c>
      <c r="J383" s="1006" t="str">
        <f ca="1"/>
        <v/>
      </c>
      <c r="K383" s="1016" t="str">
        <f ca="1"/>
        <v/>
      </c>
      <c r="L383" s="1019" t="str">
        <f ca="1"/>
        <v/>
      </c>
      <c r="M383" s="1006" t="str">
        <f ca="1"/>
        <v/>
      </c>
      <c r="N383" s="1060" t="str">
        <f t="shared" ca="1" si="35"/>
        <v/>
      </c>
      <c r="O383" s="996"/>
      <c r="P383" s="742">
        <v>365</v>
      </c>
      <c r="Q383" s="1016" t="str">
        <f t="shared" ca="1" si="39"/>
        <v/>
      </c>
      <c r="R383" s="1027" t="str">
        <f t="shared" ca="1" si="40"/>
        <v/>
      </c>
      <c r="S383" s="1006" t="str">
        <f ca="1"/>
        <v/>
      </c>
      <c r="T383" s="1006" t="str">
        <f ca="1"/>
        <v/>
      </c>
      <c r="U383" s="1006" t="str">
        <f ca="1"/>
        <v/>
      </c>
      <c r="V383" s="1016" t="str">
        <f ca="1"/>
        <v/>
      </c>
      <c r="W383" s="1019" t="str">
        <f ca="1"/>
        <v/>
      </c>
      <c r="X383" s="1006" t="str">
        <f ca="1"/>
        <v/>
      </c>
      <c r="Y383" s="864" t="str">
        <f t="shared" ca="1" si="36"/>
        <v/>
      </c>
      <c r="AA383" s="828">
        <v>365</v>
      </c>
      <c r="AB383" s="750"/>
      <c r="AC383" s="842"/>
      <c r="AD383" s="830"/>
      <c r="AE383" s="839"/>
      <c r="AF383" s="839"/>
      <c r="AG383" s="750"/>
      <c r="AH383" s="840"/>
      <c r="AI383" s="839"/>
      <c r="AJ383" s="841"/>
      <c r="AK383" s="108" t="s">
        <v>12</v>
      </c>
      <c r="AL383" s="847">
        <v>365</v>
      </c>
      <c r="AM383" s="857"/>
      <c r="AN383" s="842"/>
      <c r="AO383" s="839"/>
      <c r="AP383" s="839"/>
      <c r="AQ383" s="839"/>
      <c r="AR383" s="750"/>
      <c r="AS383" s="840"/>
      <c r="AT383" s="839"/>
      <c r="AU383" s="856"/>
      <c r="AV383" s="108" t="s">
        <v>12</v>
      </c>
    </row>
    <row r="384" spans="4:48">
      <c r="D384" s="108" t="s">
        <v>12</v>
      </c>
      <c r="E384" s="742">
        <v>366</v>
      </c>
      <c r="F384" s="1016" t="str">
        <f t="shared" ca="1" si="37"/>
        <v/>
      </c>
      <c r="G384" s="1027" t="str">
        <f t="shared" ca="1" si="38"/>
        <v/>
      </c>
      <c r="H384" s="1043" t="str">
        <f ca="1"/>
        <v/>
      </c>
      <c r="I384" s="1006" t="str">
        <f ca="1"/>
        <v/>
      </c>
      <c r="J384" s="1006" t="str">
        <f ca="1"/>
        <v/>
      </c>
      <c r="K384" s="1016" t="str">
        <f ca="1"/>
        <v/>
      </c>
      <c r="L384" s="1019" t="str">
        <f ca="1"/>
        <v/>
      </c>
      <c r="M384" s="1006" t="str">
        <f ca="1"/>
        <v/>
      </c>
      <c r="N384" s="1060" t="str">
        <f t="shared" ca="1" si="35"/>
        <v/>
      </c>
      <c r="O384" s="996"/>
      <c r="P384" s="742">
        <v>366</v>
      </c>
      <c r="Q384" s="1016" t="str">
        <f t="shared" ca="1" si="39"/>
        <v/>
      </c>
      <c r="R384" s="1027" t="str">
        <f t="shared" ca="1" si="40"/>
        <v/>
      </c>
      <c r="S384" s="1006" t="str">
        <f ca="1"/>
        <v/>
      </c>
      <c r="T384" s="1006" t="str">
        <f ca="1"/>
        <v/>
      </c>
      <c r="U384" s="1006" t="str">
        <f ca="1"/>
        <v/>
      </c>
      <c r="V384" s="1016" t="str">
        <f ca="1"/>
        <v/>
      </c>
      <c r="W384" s="1019" t="str">
        <f ca="1"/>
        <v/>
      </c>
      <c r="X384" s="1006" t="str">
        <f ca="1"/>
        <v/>
      </c>
      <c r="Y384" s="864" t="str">
        <f t="shared" ca="1" si="36"/>
        <v/>
      </c>
      <c r="AA384" s="828">
        <v>366</v>
      </c>
      <c r="AB384" s="750"/>
      <c r="AC384" s="842"/>
      <c r="AD384" s="830"/>
      <c r="AE384" s="839"/>
      <c r="AF384" s="839"/>
      <c r="AG384" s="750"/>
      <c r="AH384" s="840"/>
      <c r="AI384" s="839"/>
      <c r="AJ384" s="841"/>
      <c r="AK384" s="108" t="s">
        <v>12</v>
      </c>
      <c r="AL384" s="847">
        <v>366</v>
      </c>
      <c r="AM384" s="857"/>
      <c r="AN384" s="842"/>
      <c r="AO384" s="839"/>
      <c r="AP384" s="839"/>
      <c r="AQ384" s="839"/>
      <c r="AR384" s="750"/>
      <c r="AS384" s="840"/>
      <c r="AT384" s="839"/>
      <c r="AU384" s="856"/>
      <c r="AV384" s="108" t="s">
        <v>12</v>
      </c>
    </row>
    <row r="385" spans="4:48">
      <c r="D385" s="108" t="s">
        <v>12</v>
      </c>
      <c r="E385" s="742">
        <v>367</v>
      </c>
      <c r="F385" s="1016" t="str">
        <f t="shared" ca="1" si="37"/>
        <v/>
      </c>
      <c r="G385" s="1027" t="str">
        <f t="shared" ca="1" si="38"/>
        <v/>
      </c>
      <c r="H385" s="1043" t="str">
        <f ca="1"/>
        <v/>
      </c>
      <c r="I385" s="1006" t="str">
        <f ca="1"/>
        <v/>
      </c>
      <c r="J385" s="1006" t="str">
        <f ca="1"/>
        <v/>
      </c>
      <c r="K385" s="1016" t="str">
        <f ca="1"/>
        <v/>
      </c>
      <c r="L385" s="1019" t="str">
        <f ca="1"/>
        <v/>
      </c>
      <c r="M385" s="1006" t="str">
        <f ca="1"/>
        <v/>
      </c>
      <c r="N385" s="1060" t="str">
        <f t="shared" ca="1" si="35"/>
        <v/>
      </c>
      <c r="O385" s="996"/>
      <c r="P385" s="742">
        <v>367</v>
      </c>
      <c r="Q385" s="1016" t="str">
        <f t="shared" ca="1" si="39"/>
        <v/>
      </c>
      <c r="R385" s="1027" t="str">
        <f t="shared" ca="1" si="40"/>
        <v/>
      </c>
      <c r="S385" s="1006" t="str">
        <f ca="1"/>
        <v/>
      </c>
      <c r="T385" s="1006" t="str">
        <f ca="1"/>
        <v/>
      </c>
      <c r="U385" s="1006" t="str">
        <f ca="1"/>
        <v/>
      </c>
      <c r="V385" s="1016" t="str">
        <f ca="1"/>
        <v/>
      </c>
      <c r="W385" s="1019" t="str">
        <f ca="1"/>
        <v/>
      </c>
      <c r="X385" s="1006" t="str">
        <f ca="1"/>
        <v/>
      </c>
      <c r="Y385" s="864" t="str">
        <f t="shared" ca="1" si="36"/>
        <v/>
      </c>
      <c r="AA385" s="828">
        <v>367</v>
      </c>
      <c r="AB385" s="750"/>
      <c r="AC385" s="842"/>
      <c r="AD385" s="830"/>
      <c r="AE385" s="839"/>
      <c r="AF385" s="839"/>
      <c r="AG385" s="750"/>
      <c r="AH385" s="840"/>
      <c r="AI385" s="839"/>
      <c r="AJ385" s="841"/>
      <c r="AK385" s="108" t="s">
        <v>12</v>
      </c>
      <c r="AL385" s="847">
        <v>367</v>
      </c>
      <c r="AM385" s="857"/>
      <c r="AN385" s="842"/>
      <c r="AO385" s="839"/>
      <c r="AP385" s="839"/>
      <c r="AQ385" s="839"/>
      <c r="AR385" s="750"/>
      <c r="AS385" s="840"/>
      <c r="AT385" s="839"/>
      <c r="AU385" s="856"/>
      <c r="AV385" s="108" t="s">
        <v>12</v>
      </c>
    </row>
    <row r="386" spans="4:48">
      <c r="D386" s="108" t="s">
        <v>12</v>
      </c>
      <c r="E386" s="742">
        <v>368</v>
      </c>
      <c r="F386" s="1016" t="str">
        <f t="shared" ca="1" si="37"/>
        <v/>
      </c>
      <c r="G386" s="1027" t="str">
        <f t="shared" ca="1" si="38"/>
        <v/>
      </c>
      <c r="H386" s="1043" t="str">
        <f ca="1"/>
        <v/>
      </c>
      <c r="I386" s="1006" t="str">
        <f ca="1"/>
        <v/>
      </c>
      <c r="J386" s="1006" t="str">
        <f ca="1"/>
        <v/>
      </c>
      <c r="K386" s="1016" t="str">
        <f ca="1"/>
        <v/>
      </c>
      <c r="L386" s="1019" t="str">
        <f ca="1"/>
        <v/>
      </c>
      <c r="M386" s="1006" t="str">
        <f ca="1"/>
        <v/>
      </c>
      <c r="N386" s="1060" t="str">
        <f t="shared" ca="1" si="35"/>
        <v/>
      </c>
      <c r="O386" s="996"/>
      <c r="P386" s="742">
        <v>368</v>
      </c>
      <c r="Q386" s="1016" t="str">
        <f t="shared" ca="1" si="39"/>
        <v/>
      </c>
      <c r="R386" s="1027" t="str">
        <f t="shared" ca="1" si="40"/>
        <v/>
      </c>
      <c r="S386" s="1006" t="str">
        <f ca="1"/>
        <v/>
      </c>
      <c r="T386" s="1006" t="str">
        <f ca="1"/>
        <v/>
      </c>
      <c r="U386" s="1006" t="str">
        <f ca="1"/>
        <v/>
      </c>
      <c r="V386" s="1016" t="str">
        <f ca="1"/>
        <v/>
      </c>
      <c r="W386" s="1019" t="str">
        <f ca="1"/>
        <v/>
      </c>
      <c r="X386" s="1006" t="str">
        <f ca="1"/>
        <v/>
      </c>
      <c r="Y386" s="864" t="str">
        <f t="shared" ca="1" si="36"/>
        <v/>
      </c>
      <c r="AA386" s="828">
        <v>368</v>
      </c>
      <c r="AB386" s="750"/>
      <c r="AC386" s="842"/>
      <c r="AD386" s="830"/>
      <c r="AE386" s="839"/>
      <c r="AF386" s="839"/>
      <c r="AG386" s="750"/>
      <c r="AH386" s="840"/>
      <c r="AI386" s="839"/>
      <c r="AJ386" s="841"/>
      <c r="AK386" s="108" t="s">
        <v>12</v>
      </c>
      <c r="AL386" s="847">
        <v>368</v>
      </c>
      <c r="AM386" s="857"/>
      <c r="AN386" s="842"/>
      <c r="AO386" s="839"/>
      <c r="AP386" s="839"/>
      <c r="AQ386" s="839"/>
      <c r="AR386" s="750"/>
      <c r="AS386" s="840"/>
      <c r="AT386" s="839"/>
      <c r="AU386" s="856"/>
      <c r="AV386" s="108" t="s">
        <v>12</v>
      </c>
    </row>
    <row r="387" spans="4:48">
      <c r="D387" s="108" t="s">
        <v>12</v>
      </c>
      <c r="E387" s="742">
        <v>369</v>
      </c>
      <c r="F387" s="1016" t="str">
        <f t="shared" ca="1" si="37"/>
        <v/>
      </c>
      <c r="G387" s="1027" t="str">
        <f t="shared" ca="1" si="38"/>
        <v/>
      </c>
      <c r="H387" s="1043" t="str">
        <f ca="1"/>
        <v/>
      </c>
      <c r="I387" s="1006" t="str">
        <f ca="1"/>
        <v/>
      </c>
      <c r="J387" s="1006" t="str">
        <f ca="1"/>
        <v/>
      </c>
      <c r="K387" s="1016" t="str">
        <f ca="1"/>
        <v/>
      </c>
      <c r="L387" s="1019" t="str">
        <f ca="1"/>
        <v/>
      </c>
      <c r="M387" s="1006" t="str">
        <f ca="1"/>
        <v/>
      </c>
      <c r="N387" s="1060" t="str">
        <f t="shared" ca="1" si="35"/>
        <v/>
      </c>
      <c r="O387" s="996"/>
      <c r="P387" s="742">
        <v>369</v>
      </c>
      <c r="Q387" s="1016" t="str">
        <f t="shared" ca="1" si="39"/>
        <v/>
      </c>
      <c r="R387" s="1027" t="str">
        <f t="shared" ca="1" si="40"/>
        <v/>
      </c>
      <c r="S387" s="1006" t="str">
        <f ca="1"/>
        <v/>
      </c>
      <c r="T387" s="1006" t="str">
        <f ca="1"/>
        <v/>
      </c>
      <c r="U387" s="1006" t="str">
        <f ca="1"/>
        <v/>
      </c>
      <c r="V387" s="1016" t="str">
        <f ca="1"/>
        <v/>
      </c>
      <c r="W387" s="1019" t="str">
        <f ca="1"/>
        <v/>
      </c>
      <c r="X387" s="1006" t="str">
        <f ca="1"/>
        <v/>
      </c>
      <c r="Y387" s="864" t="str">
        <f t="shared" ca="1" si="36"/>
        <v/>
      </c>
      <c r="AA387" s="828">
        <v>369</v>
      </c>
      <c r="AB387" s="750"/>
      <c r="AC387" s="842"/>
      <c r="AD387" s="830"/>
      <c r="AE387" s="839"/>
      <c r="AF387" s="839"/>
      <c r="AG387" s="750"/>
      <c r="AH387" s="840"/>
      <c r="AI387" s="839"/>
      <c r="AJ387" s="841"/>
      <c r="AK387" s="108" t="s">
        <v>12</v>
      </c>
      <c r="AL387" s="847">
        <v>369</v>
      </c>
      <c r="AM387" s="857"/>
      <c r="AN387" s="842"/>
      <c r="AO387" s="839"/>
      <c r="AP387" s="839"/>
      <c r="AQ387" s="839"/>
      <c r="AR387" s="750"/>
      <c r="AS387" s="840"/>
      <c r="AT387" s="839"/>
      <c r="AU387" s="856"/>
      <c r="AV387" s="108" t="s">
        <v>12</v>
      </c>
    </row>
    <row r="388" spans="4:48">
      <c r="D388" s="108" t="s">
        <v>12</v>
      </c>
      <c r="E388" s="742">
        <v>370</v>
      </c>
      <c r="F388" s="1016" t="str">
        <f t="shared" ca="1" si="37"/>
        <v/>
      </c>
      <c r="G388" s="1027" t="str">
        <f t="shared" ca="1" si="38"/>
        <v/>
      </c>
      <c r="H388" s="1043" t="str">
        <f ca="1"/>
        <v/>
      </c>
      <c r="I388" s="1006" t="str">
        <f ca="1"/>
        <v/>
      </c>
      <c r="J388" s="1006" t="str">
        <f ca="1"/>
        <v/>
      </c>
      <c r="K388" s="1016" t="str">
        <f ca="1"/>
        <v/>
      </c>
      <c r="L388" s="1019" t="str">
        <f ca="1"/>
        <v/>
      </c>
      <c r="M388" s="1006" t="str">
        <f ca="1"/>
        <v/>
      </c>
      <c r="N388" s="1060" t="str">
        <f t="shared" ca="1" si="35"/>
        <v/>
      </c>
      <c r="O388" s="996"/>
      <c r="P388" s="742">
        <v>370</v>
      </c>
      <c r="Q388" s="1016" t="str">
        <f t="shared" ca="1" si="39"/>
        <v/>
      </c>
      <c r="R388" s="1027" t="str">
        <f t="shared" ca="1" si="40"/>
        <v/>
      </c>
      <c r="S388" s="1006" t="str">
        <f ca="1"/>
        <v/>
      </c>
      <c r="T388" s="1006" t="str">
        <f ca="1"/>
        <v/>
      </c>
      <c r="U388" s="1006" t="str">
        <f ca="1"/>
        <v/>
      </c>
      <c r="V388" s="1016" t="str">
        <f ca="1"/>
        <v/>
      </c>
      <c r="W388" s="1019" t="str">
        <f ca="1"/>
        <v/>
      </c>
      <c r="X388" s="1006" t="str">
        <f ca="1"/>
        <v/>
      </c>
      <c r="Y388" s="864" t="str">
        <f t="shared" ca="1" si="36"/>
        <v/>
      </c>
      <c r="AA388" s="828">
        <v>370</v>
      </c>
      <c r="AB388" s="750"/>
      <c r="AC388" s="842"/>
      <c r="AD388" s="830"/>
      <c r="AE388" s="839"/>
      <c r="AF388" s="839"/>
      <c r="AG388" s="750"/>
      <c r="AH388" s="840"/>
      <c r="AI388" s="839"/>
      <c r="AJ388" s="841"/>
      <c r="AK388" s="108" t="s">
        <v>12</v>
      </c>
      <c r="AL388" s="847">
        <v>370</v>
      </c>
      <c r="AM388" s="857"/>
      <c r="AN388" s="842"/>
      <c r="AO388" s="839"/>
      <c r="AP388" s="839"/>
      <c r="AQ388" s="839"/>
      <c r="AR388" s="750"/>
      <c r="AS388" s="840"/>
      <c r="AT388" s="839"/>
      <c r="AU388" s="856"/>
      <c r="AV388" s="108" t="s">
        <v>12</v>
      </c>
    </row>
    <row r="389" spans="4:48">
      <c r="D389" s="108" t="s">
        <v>12</v>
      </c>
      <c r="E389" s="742">
        <v>371</v>
      </c>
      <c r="F389" s="1016" t="str">
        <f t="shared" ca="1" si="37"/>
        <v/>
      </c>
      <c r="G389" s="1027" t="str">
        <f t="shared" ca="1" si="38"/>
        <v/>
      </c>
      <c r="H389" s="1043" t="str">
        <f ca="1"/>
        <v/>
      </c>
      <c r="I389" s="1006" t="str">
        <f ca="1"/>
        <v/>
      </c>
      <c r="J389" s="1006" t="str">
        <f ca="1"/>
        <v/>
      </c>
      <c r="K389" s="1016" t="str">
        <f ca="1"/>
        <v/>
      </c>
      <c r="L389" s="1019" t="str">
        <f ca="1"/>
        <v/>
      </c>
      <c r="M389" s="1006" t="str">
        <f ca="1"/>
        <v/>
      </c>
      <c r="N389" s="1060" t="str">
        <f t="shared" ca="1" si="35"/>
        <v/>
      </c>
      <c r="O389" s="996"/>
      <c r="P389" s="742">
        <v>371</v>
      </c>
      <c r="Q389" s="1016" t="str">
        <f t="shared" ca="1" si="39"/>
        <v/>
      </c>
      <c r="R389" s="1027" t="str">
        <f t="shared" ca="1" si="40"/>
        <v/>
      </c>
      <c r="S389" s="1006" t="str">
        <f ca="1"/>
        <v/>
      </c>
      <c r="T389" s="1006" t="str">
        <f ca="1"/>
        <v/>
      </c>
      <c r="U389" s="1006" t="str">
        <f ca="1"/>
        <v/>
      </c>
      <c r="V389" s="1016" t="str">
        <f ca="1"/>
        <v/>
      </c>
      <c r="W389" s="1019" t="str">
        <f ca="1"/>
        <v/>
      </c>
      <c r="X389" s="1006" t="str">
        <f ca="1"/>
        <v/>
      </c>
      <c r="Y389" s="864" t="str">
        <f t="shared" ca="1" si="36"/>
        <v/>
      </c>
      <c r="AA389" s="828">
        <v>371</v>
      </c>
      <c r="AB389" s="750"/>
      <c r="AC389" s="842"/>
      <c r="AD389" s="830"/>
      <c r="AE389" s="839"/>
      <c r="AF389" s="839"/>
      <c r="AG389" s="750"/>
      <c r="AH389" s="840"/>
      <c r="AI389" s="839"/>
      <c r="AJ389" s="841"/>
      <c r="AK389" s="108" t="s">
        <v>12</v>
      </c>
      <c r="AL389" s="847">
        <v>371</v>
      </c>
      <c r="AM389" s="857"/>
      <c r="AN389" s="842"/>
      <c r="AO389" s="839"/>
      <c r="AP389" s="839"/>
      <c r="AQ389" s="839"/>
      <c r="AR389" s="750"/>
      <c r="AS389" s="840"/>
      <c r="AT389" s="839"/>
      <c r="AU389" s="856"/>
      <c r="AV389" s="108" t="s">
        <v>12</v>
      </c>
    </row>
    <row r="390" spans="4:48">
      <c r="D390" s="108" t="s">
        <v>12</v>
      </c>
      <c r="E390" s="742">
        <v>372</v>
      </c>
      <c r="F390" s="1016" t="str">
        <f t="shared" ca="1" si="37"/>
        <v/>
      </c>
      <c r="G390" s="1027" t="str">
        <f t="shared" ca="1" si="38"/>
        <v/>
      </c>
      <c r="H390" s="1043" t="str">
        <f ca="1"/>
        <v/>
      </c>
      <c r="I390" s="1006" t="str">
        <f ca="1"/>
        <v/>
      </c>
      <c r="J390" s="1006" t="str">
        <f ca="1"/>
        <v/>
      </c>
      <c r="K390" s="1016" t="str">
        <f ca="1"/>
        <v/>
      </c>
      <c r="L390" s="1019" t="str">
        <f ca="1"/>
        <v/>
      </c>
      <c r="M390" s="1006" t="str">
        <f ca="1"/>
        <v/>
      </c>
      <c r="N390" s="1060" t="str">
        <f t="shared" ca="1" si="35"/>
        <v/>
      </c>
      <c r="O390" s="996"/>
      <c r="P390" s="742">
        <v>372</v>
      </c>
      <c r="Q390" s="1016" t="str">
        <f t="shared" ca="1" si="39"/>
        <v/>
      </c>
      <c r="R390" s="1027" t="str">
        <f t="shared" ca="1" si="40"/>
        <v/>
      </c>
      <c r="S390" s="1006" t="str">
        <f ca="1"/>
        <v/>
      </c>
      <c r="T390" s="1006" t="str">
        <f ca="1"/>
        <v/>
      </c>
      <c r="U390" s="1006" t="str">
        <f ca="1"/>
        <v/>
      </c>
      <c r="V390" s="1016" t="str">
        <f ca="1"/>
        <v/>
      </c>
      <c r="W390" s="1019" t="str">
        <f ca="1"/>
        <v/>
      </c>
      <c r="X390" s="1006" t="str">
        <f ca="1"/>
        <v/>
      </c>
      <c r="Y390" s="864" t="str">
        <f t="shared" ca="1" si="36"/>
        <v/>
      </c>
      <c r="AA390" s="828">
        <v>372</v>
      </c>
      <c r="AB390" s="750"/>
      <c r="AC390" s="842"/>
      <c r="AD390" s="830"/>
      <c r="AE390" s="839"/>
      <c r="AF390" s="839"/>
      <c r="AG390" s="750"/>
      <c r="AH390" s="840"/>
      <c r="AI390" s="839"/>
      <c r="AJ390" s="841"/>
      <c r="AK390" s="108" t="s">
        <v>12</v>
      </c>
      <c r="AL390" s="847">
        <v>372</v>
      </c>
      <c r="AM390" s="857"/>
      <c r="AN390" s="842"/>
      <c r="AO390" s="839"/>
      <c r="AP390" s="839"/>
      <c r="AQ390" s="839"/>
      <c r="AR390" s="750"/>
      <c r="AS390" s="840"/>
      <c r="AT390" s="839"/>
      <c r="AU390" s="856"/>
      <c r="AV390" s="108" t="s">
        <v>12</v>
      </c>
    </row>
    <row r="391" spans="4:48">
      <c r="D391" s="108" t="s">
        <v>12</v>
      </c>
      <c r="E391" s="742">
        <v>373</v>
      </c>
      <c r="F391" s="1016" t="str">
        <f t="shared" ca="1" si="37"/>
        <v/>
      </c>
      <c r="G391" s="1027" t="str">
        <f t="shared" ca="1" si="38"/>
        <v/>
      </c>
      <c r="H391" s="1043" t="str">
        <f ca="1"/>
        <v/>
      </c>
      <c r="I391" s="1006" t="str">
        <f ca="1"/>
        <v/>
      </c>
      <c r="J391" s="1006" t="str">
        <f ca="1"/>
        <v/>
      </c>
      <c r="K391" s="1016" t="str">
        <f ca="1"/>
        <v/>
      </c>
      <c r="L391" s="1019" t="str">
        <f ca="1"/>
        <v/>
      </c>
      <c r="M391" s="1006" t="str">
        <f ca="1"/>
        <v/>
      </c>
      <c r="N391" s="1060" t="str">
        <f t="shared" ca="1" si="35"/>
        <v/>
      </c>
      <c r="O391" s="996"/>
      <c r="P391" s="742">
        <v>373</v>
      </c>
      <c r="Q391" s="1016" t="str">
        <f t="shared" ca="1" si="39"/>
        <v/>
      </c>
      <c r="R391" s="1027" t="str">
        <f t="shared" ca="1" si="40"/>
        <v/>
      </c>
      <c r="S391" s="1006" t="str">
        <f ca="1"/>
        <v/>
      </c>
      <c r="T391" s="1006" t="str">
        <f ca="1"/>
        <v/>
      </c>
      <c r="U391" s="1006" t="str">
        <f ca="1"/>
        <v/>
      </c>
      <c r="V391" s="1016" t="str">
        <f ca="1"/>
        <v/>
      </c>
      <c r="W391" s="1019" t="str">
        <f ca="1"/>
        <v/>
      </c>
      <c r="X391" s="1006" t="str">
        <f ca="1"/>
        <v/>
      </c>
      <c r="Y391" s="864" t="str">
        <f t="shared" ca="1" si="36"/>
        <v/>
      </c>
      <c r="AA391" s="828">
        <v>373</v>
      </c>
      <c r="AB391" s="750"/>
      <c r="AC391" s="842"/>
      <c r="AD391" s="830"/>
      <c r="AE391" s="839"/>
      <c r="AF391" s="839"/>
      <c r="AG391" s="750"/>
      <c r="AH391" s="840"/>
      <c r="AI391" s="839"/>
      <c r="AJ391" s="841"/>
      <c r="AK391" s="108" t="s">
        <v>12</v>
      </c>
      <c r="AL391" s="847">
        <v>373</v>
      </c>
      <c r="AM391" s="857"/>
      <c r="AN391" s="842"/>
      <c r="AO391" s="839"/>
      <c r="AP391" s="839"/>
      <c r="AQ391" s="839"/>
      <c r="AR391" s="750"/>
      <c r="AS391" s="840"/>
      <c r="AT391" s="839"/>
      <c r="AU391" s="856"/>
      <c r="AV391" s="108" t="s">
        <v>12</v>
      </c>
    </row>
    <row r="392" spans="4:48">
      <c r="D392" s="108" t="s">
        <v>12</v>
      </c>
      <c r="E392" s="742">
        <v>374</v>
      </c>
      <c r="F392" s="1016" t="str">
        <f t="shared" ca="1" si="37"/>
        <v/>
      </c>
      <c r="G392" s="1027" t="str">
        <f t="shared" ca="1" si="38"/>
        <v/>
      </c>
      <c r="H392" s="1043" t="str">
        <f ca="1"/>
        <v/>
      </c>
      <c r="I392" s="1006" t="str">
        <f ca="1"/>
        <v/>
      </c>
      <c r="J392" s="1006" t="str">
        <f ca="1"/>
        <v/>
      </c>
      <c r="K392" s="1016" t="str">
        <f ca="1"/>
        <v/>
      </c>
      <c r="L392" s="1019" t="str">
        <f ca="1"/>
        <v/>
      </c>
      <c r="M392" s="1006" t="str">
        <f ca="1"/>
        <v/>
      </c>
      <c r="N392" s="1060" t="str">
        <f t="shared" ca="1" si="35"/>
        <v/>
      </c>
      <c r="O392" s="996"/>
      <c r="P392" s="742">
        <v>374</v>
      </c>
      <c r="Q392" s="1016" t="str">
        <f t="shared" ca="1" si="39"/>
        <v/>
      </c>
      <c r="R392" s="1027" t="str">
        <f t="shared" ca="1" si="40"/>
        <v/>
      </c>
      <c r="S392" s="1006" t="str">
        <f ca="1"/>
        <v/>
      </c>
      <c r="T392" s="1006" t="str">
        <f ca="1"/>
        <v/>
      </c>
      <c r="U392" s="1006" t="str">
        <f ca="1"/>
        <v/>
      </c>
      <c r="V392" s="1016" t="str">
        <f ca="1"/>
        <v/>
      </c>
      <c r="W392" s="1019" t="str">
        <f ca="1"/>
        <v/>
      </c>
      <c r="X392" s="1006" t="str">
        <f ca="1"/>
        <v/>
      </c>
      <c r="Y392" s="864" t="str">
        <f t="shared" ca="1" si="36"/>
        <v/>
      </c>
      <c r="AA392" s="828">
        <v>374</v>
      </c>
      <c r="AB392" s="750"/>
      <c r="AC392" s="842"/>
      <c r="AD392" s="830"/>
      <c r="AE392" s="839"/>
      <c r="AF392" s="839"/>
      <c r="AG392" s="750"/>
      <c r="AH392" s="840"/>
      <c r="AI392" s="839"/>
      <c r="AJ392" s="841"/>
      <c r="AK392" s="108" t="s">
        <v>12</v>
      </c>
      <c r="AL392" s="847">
        <v>374</v>
      </c>
      <c r="AM392" s="857"/>
      <c r="AN392" s="842"/>
      <c r="AO392" s="839"/>
      <c r="AP392" s="839"/>
      <c r="AQ392" s="839"/>
      <c r="AR392" s="750"/>
      <c r="AS392" s="840"/>
      <c r="AT392" s="839"/>
      <c r="AU392" s="856"/>
      <c r="AV392" s="108" t="s">
        <v>12</v>
      </c>
    </row>
    <row r="393" spans="4:48">
      <c r="D393" s="108" t="s">
        <v>12</v>
      </c>
      <c r="E393" s="742">
        <v>375</v>
      </c>
      <c r="F393" s="1016" t="str">
        <f t="shared" ca="1" si="37"/>
        <v/>
      </c>
      <c r="G393" s="1027" t="str">
        <f t="shared" ca="1" si="38"/>
        <v/>
      </c>
      <c r="H393" s="1043" t="str">
        <f ca="1"/>
        <v/>
      </c>
      <c r="I393" s="1006" t="str">
        <f ca="1"/>
        <v/>
      </c>
      <c r="J393" s="1006" t="str">
        <f ca="1"/>
        <v/>
      </c>
      <c r="K393" s="1016" t="str">
        <f ca="1"/>
        <v/>
      </c>
      <c r="L393" s="1019" t="str">
        <f ca="1"/>
        <v/>
      </c>
      <c r="M393" s="1006" t="str">
        <f ca="1"/>
        <v/>
      </c>
      <c r="N393" s="1060" t="str">
        <f t="shared" ca="1" si="35"/>
        <v/>
      </c>
      <c r="O393" s="996"/>
      <c r="P393" s="742">
        <v>375</v>
      </c>
      <c r="Q393" s="1016" t="str">
        <f t="shared" ca="1" si="39"/>
        <v/>
      </c>
      <c r="R393" s="1027" t="str">
        <f t="shared" ca="1" si="40"/>
        <v/>
      </c>
      <c r="S393" s="1006" t="str">
        <f ca="1"/>
        <v/>
      </c>
      <c r="T393" s="1006" t="str">
        <f ca="1"/>
        <v/>
      </c>
      <c r="U393" s="1006" t="str">
        <f ca="1"/>
        <v/>
      </c>
      <c r="V393" s="1016" t="str">
        <f ca="1"/>
        <v/>
      </c>
      <c r="W393" s="1019" t="str">
        <f ca="1"/>
        <v/>
      </c>
      <c r="X393" s="1006" t="str">
        <f ca="1"/>
        <v/>
      </c>
      <c r="Y393" s="864" t="str">
        <f t="shared" ca="1" si="36"/>
        <v/>
      </c>
      <c r="AA393" s="828">
        <v>375</v>
      </c>
      <c r="AB393" s="750"/>
      <c r="AC393" s="842"/>
      <c r="AD393" s="830"/>
      <c r="AE393" s="839"/>
      <c r="AF393" s="839"/>
      <c r="AG393" s="750"/>
      <c r="AH393" s="840"/>
      <c r="AI393" s="839"/>
      <c r="AJ393" s="841"/>
      <c r="AK393" s="108" t="s">
        <v>12</v>
      </c>
      <c r="AL393" s="847">
        <v>375</v>
      </c>
      <c r="AM393" s="857"/>
      <c r="AN393" s="842"/>
      <c r="AO393" s="839"/>
      <c r="AP393" s="839"/>
      <c r="AQ393" s="839"/>
      <c r="AR393" s="750"/>
      <c r="AS393" s="840"/>
      <c r="AT393" s="839"/>
      <c r="AU393" s="856"/>
      <c r="AV393" s="108" t="s">
        <v>12</v>
      </c>
    </row>
    <row r="394" spans="4:48">
      <c r="D394" s="108" t="s">
        <v>12</v>
      </c>
      <c r="E394" s="742">
        <v>376</v>
      </c>
      <c r="F394" s="1016" t="str">
        <f t="shared" ca="1" si="37"/>
        <v/>
      </c>
      <c r="G394" s="1027" t="str">
        <f t="shared" ca="1" si="38"/>
        <v/>
      </c>
      <c r="H394" s="1043" t="str">
        <f ca="1"/>
        <v/>
      </c>
      <c r="I394" s="1006" t="str">
        <f ca="1"/>
        <v/>
      </c>
      <c r="J394" s="1006" t="str">
        <f ca="1"/>
        <v/>
      </c>
      <c r="K394" s="1016" t="str">
        <f ca="1"/>
        <v/>
      </c>
      <c r="L394" s="1019" t="str">
        <f ca="1"/>
        <v/>
      </c>
      <c r="M394" s="1006" t="str">
        <f ca="1"/>
        <v/>
      </c>
      <c r="N394" s="1060" t="str">
        <f t="shared" ca="1" si="35"/>
        <v/>
      </c>
      <c r="O394" s="996"/>
      <c r="P394" s="742">
        <v>376</v>
      </c>
      <c r="Q394" s="1016" t="str">
        <f t="shared" ca="1" si="39"/>
        <v/>
      </c>
      <c r="R394" s="1027" t="str">
        <f t="shared" ca="1" si="40"/>
        <v/>
      </c>
      <c r="S394" s="1006" t="str">
        <f ca="1"/>
        <v/>
      </c>
      <c r="T394" s="1006" t="str">
        <f ca="1"/>
        <v/>
      </c>
      <c r="U394" s="1006" t="str">
        <f ca="1"/>
        <v/>
      </c>
      <c r="V394" s="1016" t="str">
        <f ca="1"/>
        <v/>
      </c>
      <c r="W394" s="1019" t="str">
        <f ca="1"/>
        <v/>
      </c>
      <c r="X394" s="1006" t="str">
        <f ca="1"/>
        <v/>
      </c>
      <c r="Y394" s="864" t="str">
        <f t="shared" ca="1" si="36"/>
        <v/>
      </c>
      <c r="AA394" s="828">
        <v>376</v>
      </c>
      <c r="AB394" s="750"/>
      <c r="AC394" s="842"/>
      <c r="AD394" s="830"/>
      <c r="AE394" s="839"/>
      <c r="AF394" s="839"/>
      <c r="AG394" s="750"/>
      <c r="AH394" s="840"/>
      <c r="AI394" s="839"/>
      <c r="AJ394" s="841"/>
      <c r="AK394" s="108" t="s">
        <v>12</v>
      </c>
      <c r="AL394" s="847">
        <v>376</v>
      </c>
      <c r="AM394" s="857"/>
      <c r="AN394" s="842"/>
      <c r="AO394" s="839"/>
      <c r="AP394" s="839"/>
      <c r="AQ394" s="839"/>
      <c r="AR394" s="750"/>
      <c r="AS394" s="840"/>
      <c r="AT394" s="839"/>
      <c r="AU394" s="856"/>
      <c r="AV394" s="108" t="s">
        <v>12</v>
      </c>
    </row>
    <row r="395" spans="4:48">
      <c r="D395" s="108" t="s">
        <v>12</v>
      </c>
      <c r="E395" s="742">
        <v>377</v>
      </c>
      <c r="F395" s="1016" t="str">
        <f t="shared" ca="1" si="37"/>
        <v/>
      </c>
      <c r="G395" s="1027" t="str">
        <f t="shared" ca="1" si="38"/>
        <v/>
      </c>
      <c r="H395" s="1043" t="str">
        <f ca="1"/>
        <v/>
      </c>
      <c r="I395" s="1006" t="str">
        <f ca="1"/>
        <v/>
      </c>
      <c r="J395" s="1006" t="str">
        <f ca="1"/>
        <v/>
      </c>
      <c r="K395" s="1016" t="str">
        <f ca="1"/>
        <v/>
      </c>
      <c r="L395" s="1019" t="str">
        <f ca="1"/>
        <v/>
      </c>
      <c r="M395" s="1006" t="str">
        <f ca="1"/>
        <v/>
      </c>
      <c r="N395" s="1060" t="str">
        <f t="shared" ca="1" si="35"/>
        <v/>
      </c>
      <c r="O395" s="996"/>
      <c r="P395" s="742">
        <v>377</v>
      </c>
      <c r="Q395" s="1016" t="str">
        <f t="shared" ca="1" si="39"/>
        <v/>
      </c>
      <c r="R395" s="1027" t="str">
        <f t="shared" ca="1" si="40"/>
        <v/>
      </c>
      <c r="S395" s="1006" t="str">
        <f ca="1"/>
        <v/>
      </c>
      <c r="T395" s="1006" t="str">
        <f ca="1"/>
        <v/>
      </c>
      <c r="U395" s="1006" t="str">
        <f ca="1"/>
        <v/>
      </c>
      <c r="V395" s="1016" t="str">
        <f ca="1"/>
        <v/>
      </c>
      <c r="W395" s="1019" t="str">
        <f ca="1"/>
        <v/>
      </c>
      <c r="X395" s="1006" t="str">
        <f ca="1"/>
        <v/>
      </c>
      <c r="Y395" s="864" t="str">
        <f t="shared" ca="1" si="36"/>
        <v/>
      </c>
      <c r="AA395" s="828">
        <v>377</v>
      </c>
      <c r="AB395" s="750"/>
      <c r="AC395" s="842"/>
      <c r="AD395" s="830"/>
      <c r="AE395" s="839"/>
      <c r="AF395" s="839"/>
      <c r="AG395" s="750"/>
      <c r="AH395" s="840"/>
      <c r="AI395" s="839"/>
      <c r="AJ395" s="841"/>
      <c r="AK395" s="108" t="s">
        <v>12</v>
      </c>
      <c r="AL395" s="847">
        <v>377</v>
      </c>
      <c r="AM395" s="857"/>
      <c r="AN395" s="842"/>
      <c r="AO395" s="839"/>
      <c r="AP395" s="839"/>
      <c r="AQ395" s="839"/>
      <c r="AR395" s="750"/>
      <c r="AS395" s="840"/>
      <c r="AT395" s="839"/>
      <c r="AU395" s="856"/>
      <c r="AV395" s="108" t="s">
        <v>12</v>
      </c>
    </row>
    <row r="396" spans="4:48">
      <c r="D396" s="108" t="s">
        <v>12</v>
      </c>
      <c r="E396" s="742">
        <v>378</v>
      </c>
      <c r="F396" s="1016" t="str">
        <f t="shared" ca="1" si="37"/>
        <v/>
      </c>
      <c r="G396" s="1027" t="str">
        <f t="shared" ca="1" si="38"/>
        <v/>
      </c>
      <c r="H396" s="1043" t="str">
        <f ca="1"/>
        <v/>
      </c>
      <c r="I396" s="1006" t="str">
        <f ca="1"/>
        <v/>
      </c>
      <c r="J396" s="1006" t="str">
        <f ca="1"/>
        <v/>
      </c>
      <c r="K396" s="1016" t="str">
        <f ca="1"/>
        <v/>
      </c>
      <c r="L396" s="1019" t="str">
        <f ca="1"/>
        <v/>
      </c>
      <c r="M396" s="1006" t="str">
        <f ca="1"/>
        <v/>
      </c>
      <c r="N396" s="1060" t="str">
        <f t="shared" ca="1" si="35"/>
        <v/>
      </c>
      <c r="O396" s="996"/>
      <c r="P396" s="742">
        <v>378</v>
      </c>
      <c r="Q396" s="1016" t="str">
        <f t="shared" ca="1" si="39"/>
        <v/>
      </c>
      <c r="R396" s="1027" t="str">
        <f t="shared" ca="1" si="40"/>
        <v/>
      </c>
      <c r="S396" s="1006" t="str">
        <f ca="1"/>
        <v/>
      </c>
      <c r="T396" s="1006" t="str">
        <f ca="1"/>
        <v/>
      </c>
      <c r="U396" s="1006" t="str">
        <f ca="1"/>
        <v/>
      </c>
      <c r="V396" s="1016" t="str">
        <f ca="1"/>
        <v/>
      </c>
      <c r="W396" s="1019" t="str">
        <f ca="1"/>
        <v/>
      </c>
      <c r="X396" s="1006" t="str">
        <f ca="1"/>
        <v/>
      </c>
      <c r="Y396" s="864" t="str">
        <f t="shared" ca="1" si="36"/>
        <v/>
      </c>
      <c r="AA396" s="828">
        <v>378</v>
      </c>
      <c r="AB396" s="750"/>
      <c r="AC396" s="842"/>
      <c r="AD396" s="830"/>
      <c r="AE396" s="839"/>
      <c r="AF396" s="839"/>
      <c r="AG396" s="750"/>
      <c r="AH396" s="840"/>
      <c r="AI396" s="839"/>
      <c r="AJ396" s="841"/>
      <c r="AK396" s="108" t="s">
        <v>12</v>
      </c>
      <c r="AL396" s="847">
        <v>378</v>
      </c>
      <c r="AM396" s="857"/>
      <c r="AN396" s="842"/>
      <c r="AO396" s="839"/>
      <c r="AP396" s="839"/>
      <c r="AQ396" s="839"/>
      <c r="AR396" s="750"/>
      <c r="AS396" s="840"/>
      <c r="AT396" s="839"/>
      <c r="AU396" s="856"/>
      <c r="AV396" s="108" t="s">
        <v>12</v>
      </c>
    </row>
    <row r="397" spans="4:48">
      <c r="D397" s="108" t="s">
        <v>12</v>
      </c>
      <c r="E397" s="742">
        <v>379</v>
      </c>
      <c r="F397" s="1016" t="str">
        <f t="shared" ca="1" si="37"/>
        <v/>
      </c>
      <c r="G397" s="1027" t="str">
        <f t="shared" ca="1" si="38"/>
        <v/>
      </c>
      <c r="H397" s="1043" t="str">
        <f ca="1"/>
        <v/>
      </c>
      <c r="I397" s="1006" t="str">
        <f ca="1"/>
        <v/>
      </c>
      <c r="J397" s="1006" t="str">
        <f ca="1"/>
        <v/>
      </c>
      <c r="K397" s="1016" t="str">
        <f ca="1"/>
        <v/>
      </c>
      <c r="L397" s="1019" t="str">
        <f ca="1"/>
        <v/>
      </c>
      <c r="M397" s="1006" t="str">
        <f ca="1"/>
        <v/>
      </c>
      <c r="N397" s="1060" t="str">
        <f t="shared" ca="1" si="35"/>
        <v/>
      </c>
      <c r="O397" s="996"/>
      <c r="P397" s="742">
        <v>379</v>
      </c>
      <c r="Q397" s="1016" t="str">
        <f t="shared" ca="1" si="39"/>
        <v/>
      </c>
      <c r="R397" s="1027" t="str">
        <f t="shared" ca="1" si="40"/>
        <v/>
      </c>
      <c r="S397" s="1006" t="str">
        <f ca="1"/>
        <v/>
      </c>
      <c r="T397" s="1006" t="str">
        <f ca="1"/>
        <v/>
      </c>
      <c r="U397" s="1006" t="str">
        <f ca="1"/>
        <v/>
      </c>
      <c r="V397" s="1016" t="str">
        <f ca="1"/>
        <v/>
      </c>
      <c r="W397" s="1019" t="str">
        <f ca="1"/>
        <v/>
      </c>
      <c r="X397" s="1006" t="str">
        <f ca="1"/>
        <v/>
      </c>
      <c r="Y397" s="864" t="str">
        <f t="shared" ca="1" si="36"/>
        <v/>
      </c>
      <c r="AA397" s="828">
        <v>379</v>
      </c>
      <c r="AB397" s="750"/>
      <c r="AC397" s="842"/>
      <c r="AD397" s="830"/>
      <c r="AE397" s="839"/>
      <c r="AF397" s="839"/>
      <c r="AG397" s="750"/>
      <c r="AH397" s="840"/>
      <c r="AI397" s="839"/>
      <c r="AJ397" s="841"/>
      <c r="AK397" s="108" t="s">
        <v>12</v>
      </c>
      <c r="AL397" s="847">
        <v>379</v>
      </c>
      <c r="AM397" s="857"/>
      <c r="AN397" s="842"/>
      <c r="AO397" s="839"/>
      <c r="AP397" s="839"/>
      <c r="AQ397" s="839"/>
      <c r="AR397" s="750"/>
      <c r="AS397" s="840"/>
      <c r="AT397" s="839"/>
      <c r="AU397" s="856"/>
      <c r="AV397" s="108" t="s">
        <v>12</v>
      </c>
    </row>
    <row r="398" spans="4:48">
      <c r="D398" s="108" t="s">
        <v>12</v>
      </c>
      <c r="E398" s="742">
        <v>380</v>
      </c>
      <c r="F398" s="1016" t="str">
        <f t="shared" ca="1" si="37"/>
        <v/>
      </c>
      <c r="G398" s="1027" t="str">
        <f t="shared" ca="1" si="38"/>
        <v/>
      </c>
      <c r="H398" s="1043" t="str">
        <f ca="1"/>
        <v/>
      </c>
      <c r="I398" s="1006" t="str">
        <f ca="1"/>
        <v/>
      </c>
      <c r="J398" s="1006" t="str">
        <f ca="1"/>
        <v/>
      </c>
      <c r="K398" s="1016" t="str">
        <f ca="1"/>
        <v/>
      </c>
      <c r="L398" s="1019" t="str">
        <f ca="1"/>
        <v/>
      </c>
      <c r="M398" s="1006" t="str">
        <f ca="1"/>
        <v/>
      </c>
      <c r="N398" s="1060" t="str">
        <f t="shared" ca="1" si="35"/>
        <v/>
      </c>
      <c r="O398" s="996"/>
      <c r="P398" s="742">
        <v>380</v>
      </c>
      <c r="Q398" s="1016" t="str">
        <f t="shared" ca="1" si="39"/>
        <v/>
      </c>
      <c r="R398" s="1027" t="str">
        <f t="shared" ca="1" si="40"/>
        <v/>
      </c>
      <c r="S398" s="1006" t="str">
        <f ca="1"/>
        <v/>
      </c>
      <c r="T398" s="1006" t="str">
        <f ca="1"/>
        <v/>
      </c>
      <c r="U398" s="1006" t="str">
        <f ca="1"/>
        <v/>
      </c>
      <c r="V398" s="1016" t="str">
        <f ca="1"/>
        <v/>
      </c>
      <c r="W398" s="1019" t="str">
        <f ca="1"/>
        <v/>
      </c>
      <c r="X398" s="1006" t="str">
        <f ca="1"/>
        <v/>
      </c>
      <c r="Y398" s="864" t="str">
        <f t="shared" ca="1" si="36"/>
        <v/>
      </c>
      <c r="AA398" s="828">
        <v>380</v>
      </c>
      <c r="AB398" s="750"/>
      <c r="AC398" s="842"/>
      <c r="AD398" s="830"/>
      <c r="AE398" s="839"/>
      <c r="AF398" s="839"/>
      <c r="AG398" s="750"/>
      <c r="AH398" s="840"/>
      <c r="AI398" s="839"/>
      <c r="AJ398" s="841"/>
      <c r="AK398" s="108" t="s">
        <v>12</v>
      </c>
      <c r="AL398" s="847">
        <v>380</v>
      </c>
      <c r="AM398" s="857"/>
      <c r="AN398" s="842"/>
      <c r="AO398" s="839"/>
      <c r="AP398" s="839"/>
      <c r="AQ398" s="839"/>
      <c r="AR398" s="750"/>
      <c r="AS398" s="840"/>
      <c r="AT398" s="839"/>
      <c r="AU398" s="856"/>
      <c r="AV398" s="108" t="s">
        <v>12</v>
      </c>
    </row>
    <row r="399" spans="4:48">
      <c r="D399" s="108" t="s">
        <v>12</v>
      </c>
      <c r="E399" s="742">
        <v>381</v>
      </c>
      <c r="F399" s="1016" t="str">
        <f t="shared" ca="1" si="37"/>
        <v/>
      </c>
      <c r="G399" s="1027" t="str">
        <f t="shared" ca="1" si="38"/>
        <v/>
      </c>
      <c r="H399" s="1043" t="str">
        <f ca="1"/>
        <v/>
      </c>
      <c r="I399" s="1006" t="str">
        <f ca="1"/>
        <v/>
      </c>
      <c r="J399" s="1006" t="str">
        <f ca="1"/>
        <v/>
      </c>
      <c r="K399" s="1016" t="str">
        <f ca="1"/>
        <v/>
      </c>
      <c r="L399" s="1019" t="str">
        <f ca="1"/>
        <v/>
      </c>
      <c r="M399" s="1006" t="str">
        <f ca="1"/>
        <v/>
      </c>
      <c r="N399" s="1060" t="str">
        <f t="shared" ca="1" si="35"/>
        <v/>
      </c>
      <c r="O399" s="996"/>
      <c r="P399" s="742">
        <v>381</v>
      </c>
      <c r="Q399" s="1016" t="str">
        <f t="shared" ca="1" si="39"/>
        <v/>
      </c>
      <c r="R399" s="1027" t="str">
        <f t="shared" ca="1" si="40"/>
        <v/>
      </c>
      <c r="S399" s="1006" t="str">
        <f ca="1"/>
        <v/>
      </c>
      <c r="T399" s="1006" t="str">
        <f ca="1"/>
        <v/>
      </c>
      <c r="U399" s="1006" t="str">
        <f ca="1"/>
        <v/>
      </c>
      <c r="V399" s="1016" t="str">
        <f ca="1"/>
        <v/>
      </c>
      <c r="W399" s="1019" t="str">
        <f ca="1"/>
        <v/>
      </c>
      <c r="X399" s="1006" t="str">
        <f ca="1"/>
        <v/>
      </c>
      <c r="Y399" s="864" t="str">
        <f t="shared" ca="1" si="36"/>
        <v/>
      </c>
      <c r="AA399" s="828">
        <v>381</v>
      </c>
      <c r="AB399" s="750"/>
      <c r="AC399" s="842"/>
      <c r="AD399" s="830"/>
      <c r="AE399" s="839"/>
      <c r="AF399" s="839"/>
      <c r="AG399" s="750"/>
      <c r="AH399" s="840"/>
      <c r="AI399" s="839"/>
      <c r="AJ399" s="841"/>
      <c r="AK399" s="108" t="s">
        <v>12</v>
      </c>
      <c r="AL399" s="847">
        <v>381</v>
      </c>
      <c r="AM399" s="857"/>
      <c r="AN399" s="842"/>
      <c r="AO399" s="839"/>
      <c r="AP399" s="839"/>
      <c r="AQ399" s="839"/>
      <c r="AR399" s="750"/>
      <c r="AS399" s="840"/>
      <c r="AT399" s="839"/>
      <c r="AU399" s="856"/>
      <c r="AV399" s="108" t="s">
        <v>12</v>
      </c>
    </row>
    <row r="400" spans="4:48">
      <c r="D400" s="108" t="s">
        <v>12</v>
      </c>
      <c r="E400" s="742">
        <v>382</v>
      </c>
      <c r="F400" s="1016" t="str">
        <f t="shared" ca="1" si="37"/>
        <v/>
      </c>
      <c r="G400" s="1027" t="str">
        <f t="shared" ca="1" si="38"/>
        <v/>
      </c>
      <c r="H400" s="1043" t="str">
        <f ca="1"/>
        <v/>
      </c>
      <c r="I400" s="1006" t="str">
        <f ca="1"/>
        <v/>
      </c>
      <c r="J400" s="1006" t="str">
        <f ca="1"/>
        <v/>
      </c>
      <c r="K400" s="1016" t="str">
        <f ca="1"/>
        <v/>
      </c>
      <c r="L400" s="1019" t="str">
        <f ca="1"/>
        <v/>
      </c>
      <c r="M400" s="1006" t="str">
        <f ca="1"/>
        <v/>
      </c>
      <c r="N400" s="1060" t="str">
        <f t="shared" ca="1" si="35"/>
        <v/>
      </c>
      <c r="O400" s="996"/>
      <c r="P400" s="742">
        <v>382</v>
      </c>
      <c r="Q400" s="1016" t="str">
        <f t="shared" ca="1" si="39"/>
        <v/>
      </c>
      <c r="R400" s="1027" t="str">
        <f t="shared" ca="1" si="40"/>
        <v/>
      </c>
      <c r="S400" s="1006" t="str">
        <f ca="1"/>
        <v/>
      </c>
      <c r="T400" s="1006" t="str">
        <f ca="1"/>
        <v/>
      </c>
      <c r="U400" s="1006" t="str">
        <f ca="1"/>
        <v/>
      </c>
      <c r="V400" s="1016" t="str">
        <f ca="1"/>
        <v/>
      </c>
      <c r="W400" s="1019" t="str">
        <f ca="1"/>
        <v/>
      </c>
      <c r="X400" s="1006" t="str">
        <f ca="1"/>
        <v/>
      </c>
      <c r="Y400" s="864" t="str">
        <f t="shared" ca="1" si="36"/>
        <v/>
      </c>
      <c r="AA400" s="828">
        <v>382</v>
      </c>
      <c r="AB400" s="750"/>
      <c r="AC400" s="842"/>
      <c r="AD400" s="830"/>
      <c r="AE400" s="839"/>
      <c r="AF400" s="839"/>
      <c r="AG400" s="750"/>
      <c r="AH400" s="840"/>
      <c r="AI400" s="839"/>
      <c r="AJ400" s="841"/>
      <c r="AK400" s="108" t="s">
        <v>12</v>
      </c>
      <c r="AL400" s="847">
        <v>382</v>
      </c>
      <c r="AM400" s="857"/>
      <c r="AN400" s="842"/>
      <c r="AO400" s="839"/>
      <c r="AP400" s="839"/>
      <c r="AQ400" s="839"/>
      <c r="AR400" s="750"/>
      <c r="AS400" s="840"/>
      <c r="AT400" s="839"/>
      <c r="AU400" s="856"/>
      <c r="AV400" s="108" t="s">
        <v>12</v>
      </c>
    </row>
    <row r="401" spans="4:48">
      <c r="D401" s="108" t="s">
        <v>12</v>
      </c>
      <c r="E401" s="742">
        <v>383</v>
      </c>
      <c r="F401" s="1016" t="str">
        <f t="shared" ca="1" si="37"/>
        <v/>
      </c>
      <c r="G401" s="1027" t="str">
        <f t="shared" ca="1" si="38"/>
        <v/>
      </c>
      <c r="H401" s="1043" t="str">
        <f ca="1"/>
        <v/>
      </c>
      <c r="I401" s="1006" t="str">
        <f ca="1"/>
        <v/>
      </c>
      <c r="J401" s="1006" t="str">
        <f ca="1"/>
        <v/>
      </c>
      <c r="K401" s="1016" t="str">
        <f ca="1"/>
        <v/>
      </c>
      <c r="L401" s="1019" t="str">
        <f ca="1"/>
        <v/>
      </c>
      <c r="M401" s="1006" t="str">
        <f ca="1"/>
        <v/>
      </c>
      <c r="N401" s="1060" t="str">
        <f t="shared" ca="1" si="35"/>
        <v/>
      </c>
      <c r="O401" s="996"/>
      <c r="P401" s="742">
        <v>383</v>
      </c>
      <c r="Q401" s="1016" t="str">
        <f t="shared" ca="1" si="39"/>
        <v/>
      </c>
      <c r="R401" s="1027" t="str">
        <f t="shared" ca="1" si="40"/>
        <v/>
      </c>
      <c r="S401" s="1006" t="str">
        <f ca="1"/>
        <v/>
      </c>
      <c r="T401" s="1006" t="str">
        <f ca="1"/>
        <v/>
      </c>
      <c r="U401" s="1006" t="str">
        <f ca="1"/>
        <v/>
      </c>
      <c r="V401" s="1016" t="str">
        <f ca="1"/>
        <v/>
      </c>
      <c r="W401" s="1019" t="str">
        <f ca="1"/>
        <v/>
      </c>
      <c r="X401" s="1006" t="str">
        <f ca="1"/>
        <v/>
      </c>
      <c r="Y401" s="864" t="str">
        <f t="shared" ca="1" si="36"/>
        <v/>
      </c>
      <c r="AA401" s="828">
        <v>383</v>
      </c>
      <c r="AB401" s="750"/>
      <c r="AC401" s="842"/>
      <c r="AD401" s="830"/>
      <c r="AE401" s="839"/>
      <c r="AF401" s="839"/>
      <c r="AG401" s="750"/>
      <c r="AH401" s="840"/>
      <c r="AI401" s="839"/>
      <c r="AJ401" s="841"/>
      <c r="AK401" s="108" t="s">
        <v>12</v>
      </c>
      <c r="AL401" s="847">
        <v>383</v>
      </c>
      <c r="AM401" s="857"/>
      <c r="AN401" s="842"/>
      <c r="AO401" s="839"/>
      <c r="AP401" s="839"/>
      <c r="AQ401" s="839"/>
      <c r="AR401" s="750"/>
      <c r="AS401" s="840"/>
      <c r="AT401" s="839"/>
      <c r="AU401" s="856"/>
      <c r="AV401" s="108" t="s">
        <v>12</v>
      </c>
    </row>
    <row r="402" spans="4:48">
      <c r="D402" s="108" t="s">
        <v>12</v>
      </c>
      <c r="E402" s="742">
        <v>384</v>
      </c>
      <c r="F402" s="1016" t="str">
        <f t="shared" ca="1" si="37"/>
        <v/>
      </c>
      <c r="G402" s="1027" t="str">
        <f t="shared" ca="1" si="38"/>
        <v/>
      </c>
      <c r="H402" s="1043" t="str">
        <f ca="1"/>
        <v/>
      </c>
      <c r="I402" s="1006" t="str">
        <f ca="1"/>
        <v/>
      </c>
      <c r="J402" s="1006" t="str">
        <f ca="1"/>
        <v/>
      </c>
      <c r="K402" s="1016" t="str">
        <f ca="1"/>
        <v/>
      </c>
      <c r="L402" s="1019" t="str">
        <f ca="1"/>
        <v/>
      </c>
      <c r="M402" s="1006" t="str">
        <f ca="1"/>
        <v/>
      </c>
      <c r="N402" s="1060" t="str">
        <f t="shared" ca="1" si="35"/>
        <v/>
      </c>
      <c r="O402" s="996"/>
      <c r="P402" s="742">
        <v>384</v>
      </c>
      <c r="Q402" s="1016" t="str">
        <f t="shared" ca="1" si="39"/>
        <v/>
      </c>
      <c r="R402" s="1027" t="str">
        <f t="shared" ca="1" si="40"/>
        <v/>
      </c>
      <c r="S402" s="1006" t="str">
        <f ca="1"/>
        <v/>
      </c>
      <c r="T402" s="1006" t="str">
        <f ca="1"/>
        <v/>
      </c>
      <c r="U402" s="1006" t="str">
        <f ca="1"/>
        <v/>
      </c>
      <c r="V402" s="1016" t="str">
        <f ca="1"/>
        <v/>
      </c>
      <c r="W402" s="1019" t="str">
        <f ca="1"/>
        <v/>
      </c>
      <c r="X402" s="1006" t="str">
        <f ca="1"/>
        <v/>
      </c>
      <c r="Y402" s="864" t="str">
        <f t="shared" ca="1" si="36"/>
        <v/>
      </c>
      <c r="AA402" s="828">
        <v>384</v>
      </c>
      <c r="AB402" s="750"/>
      <c r="AC402" s="842"/>
      <c r="AD402" s="830"/>
      <c r="AE402" s="839"/>
      <c r="AF402" s="839"/>
      <c r="AG402" s="750"/>
      <c r="AH402" s="840"/>
      <c r="AI402" s="839"/>
      <c r="AJ402" s="841"/>
      <c r="AK402" s="108" t="s">
        <v>12</v>
      </c>
      <c r="AL402" s="847">
        <v>384</v>
      </c>
      <c r="AM402" s="857"/>
      <c r="AN402" s="842"/>
      <c r="AO402" s="839"/>
      <c r="AP402" s="839"/>
      <c r="AQ402" s="839"/>
      <c r="AR402" s="750"/>
      <c r="AS402" s="840"/>
      <c r="AT402" s="839"/>
      <c r="AU402" s="856"/>
      <c r="AV402" s="108" t="s">
        <v>12</v>
      </c>
    </row>
    <row r="403" spans="4:48">
      <c r="D403" s="108" t="s">
        <v>12</v>
      </c>
      <c r="E403" s="742">
        <v>385</v>
      </c>
      <c r="F403" s="1016" t="str">
        <f t="shared" ca="1" si="37"/>
        <v/>
      </c>
      <c r="G403" s="1027" t="str">
        <f t="shared" ca="1" si="38"/>
        <v/>
      </c>
      <c r="H403" s="1043" t="str">
        <f ca="1"/>
        <v/>
      </c>
      <c r="I403" s="1006" t="str">
        <f ca="1"/>
        <v/>
      </c>
      <c r="J403" s="1006" t="str">
        <f ca="1"/>
        <v/>
      </c>
      <c r="K403" s="1016" t="str">
        <f ca="1"/>
        <v/>
      </c>
      <c r="L403" s="1019" t="str">
        <f ca="1"/>
        <v/>
      </c>
      <c r="M403" s="1006" t="str">
        <f ca="1"/>
        <v/>
      </c>
      <c r="N403" s="1060" t="str">
        <f t="shared" ref="N403:N466" ca="1" si="41">IF($I403="","",VNS.FixedRate)</f>
        <v/>
      </c>
      <c r="O403" s="996"/>
      <c r="P403" s="742">
        <v>385</v>
      </c>
      <c r="Q403" s="1016" t="str">
        <f t="shared" ca="1" si="39"/>
        <v/>
      </c>
      <c r="R403" s="1027" t="str">
        <f t="shared" ca="1" si="40"/>
        <v/>
      </c>
      <c r="S403" s="1006" t="str">
        <f ca="1"/>
        <v/>
      </c>
      <c r="T403" s="1006" t="str">
        <f ca="1"/>
        <v/>
      </c>
      <c r="U403" s="1006" t="str">
        <f ca="1"/>
        <v/>
      </c>
      <c r="V403" s="1016" t="str">
        <f ca="1"/>
        <v/>
      </c>
      <c r="W403" s="1019" t="str">
        <f ca="1"/>
        <v/>
      </c>
      <c r="X403" s="1006" t="str">
        <f ca="1"/>
        <v/>
      </c>
      <c r="Y403" s="864" t="str">
        <f t="shared" ref="Y403:Y466" ca="1" si="42">IF($T403="","",VNS.FloatSpread)</f>
        <v/>
      </c>
      <c r="AA403" s="828">
        <v>385</v>
      </c>
      <c r="AB403" s="750"/>
      <c r="AC403" s="842"/>
      <c r="AD403" s="830"/>
      <c r="AE403" s="839"/>
      <c r="AF403" s="839"/>
      <c r="AG403" s="750"/>
      <c r="AH403" s="840"/>
      <c r="AI403" s="839"/>
      <c r="AJ403" s="841"/>
      <c r="AK403" s="108" t="s">
        <v>12</v>
      </c>
      <c r="AL403" s="847">
        <v>385</v>
      </c>
      <c r="AM403" s="857"/>
      <c r="AN403" s="842"/>
      <c r="AO403" s="839"/>
      <c r="AP403" s="839"/>
      <c r="AQ403" s="839"/>
      <c r="AR403" s="750"/>
      <c r="AS403" s="840"/>
      <c r="AT403" s="839"/>
      <c r="AU403" s="856"/>
      <c r="AV403" s="108" t="s">
        <v>12</v>
      </c>
    </row>
    <row r="404" spans="4:48">
      <c r="D404" s="108" t="s">
        <v>12</v>
      </c>
      <c r="E404" s="742">
        <v>386</v>
      </c>
      <c r="F404" s="1016" t="str">
        <f t="shared" ref="F404:F467" ca="1" si="43">IF($I404="","",IF(OR(VNS.FixedAmortization=0,VNS.FixedAmortization.Frequency=0),F403,IF(MOD(E404-1,VNS.FixedAmortization.Frequency)=0,F403-VNS.FixedAmortization,F403)))</f>
        <v/>
      </c>
      <c r="G404" s="1027" t="str">
        <f t="shared" ref="G404:G467" ca="1" si="44">IF(I404="","",1)</f>
        <v/>
      </c>
      <c r="H404" s="1043" t="str">
        <f ca="1"/>
        <v/>
      </c>
      <c r="I404" s="1006" t="str">
        <f ca="1"/>
        <v/>
      </c>
      <c r="J404" s="1006" t="str">
        <f ca="1"/>
        <v/>
      </c>
      <c r="K404" s="1016" t="str">
        <f ca="1"/>
        <v/>
      </c>
      <c r="L404" s="1019" t="str">
        <f ca="1"/>
        <v/>
      </c>
      <c r="M404" s="1006" t="str">
        <f ca="1"/>
        <v/>
      </c>
      <c r="N404" s="1060" t="str">
        <f t="shared" ca="1" si="41"/>
        <v/>
      </c>
      <c r="O404" s="996"/>
      <c r="P404" s="742">
        <v>386</v>
      </c>
      <c r="Q404" s="1016" t="str">
        <f t="shared" ref="Q404:Q467" ca="1" si="45">IF($T404="","",IF(OR(VNS.FloatAmortization=0,VNS.FloatAmortization.Frequency=0),Q403,IF(MOD(P404-1,VNS.FloatAmortization.Frequency)=0,Q403-VNS.FloatAmortization,Q403)))</f>
        <v/>
      </c>
      <c r="R404" s="1027" t="str">
        <f t="shared" ca="1" si="40"/>
        <v/>
      </c>
      <c r="S404" s="1006" t="str">
        <f ca="1"/>
        <v/>
      </c>
      <c r="T404" s="1006" t="str">
        <f ca="1"/>
        <v/>
      </c>
      <c r="U404" s="1006" t="str">
        <f ca="1"/>
        <v/>
      </c>
      <c r="V404" s="1016" t="str">
        <f ca="1"/>
        <v/>
      </c>
      <c r="W404" s="1019" t="str">
        <f ca="1"/>
        <v/>
      </c>
      <c r="X404" s="1006" t="str">
        <f ca="1"/>
        <v/>
      </c>
      <c r="Y404" s="864" t="str">
        <f t="shared" ca="1" si="42"/>
        <v/>
      </c>
      <c r="AA404" s="828">
        <v>386</v>
      </c>
      <c r="AB404" s="750"/>
      <c r="AC404" s="842"/>
      <c r="AD404" s="830"/>
      <c r="AE404" s="839"/>
      <c r="AF404" s="839"/>
      <c r="AG404" s="750"/>
      <c r="AH404" s="840"/>
      <c r="AI404" s="839"/>
      <c r="AJ404" s="841"/>
      <c r="AK404" s="108" t="s">
        <v>12</v>
      </c>
      <c r="AL404" s="847">
        <v>386</v>
      </c>
      <c r="AM404" s="857"/>
      <c r="AN404" s="842"/>
      <c r="AO404" s="839"/>
      <c r="AP404" s="839"/>
      <c r="AQ404" s="839"/>
      <c r="AR404" s="750"/>
      <c r="AS404" s="840"/>
      <c r="AT404" s="839"/>
      <c r="AU404" s="856"/>
      <c r="AV404" s="108" t="s">
        <v>12</v>
      </c>
    </row>
    <row r="405" spans="4:48">
      <c r="D405" s="108" t="s">
        <v>12</v>
      </c>
      <c r="E405" s="742">
        <v>387</v>
      </c>
      <c r="F405" s="1016" t="str">
        <f t="shared" ca="1" si="43"/>
        <v/>
      </c>
      <c r="G405" s="1027" t="str">
        <f t="shared" ca="1" si="44"/>
        <v/>
      </c>
      <c r="H405" s="1043" t="str">
        <f ca="1"/>
        <v/>
      </c>
      <c r="I405" s="1006" t="str">
        <f ca="1"/>
        <v/>
      </c>
      <c r="J405" s="1006" t="str">
        <f ca="1"/>
        <v/>
      </c>
      <c r="K405" s="1016" t="str">
        <f ca="1"/>
        <v/>
      </c>
      <c r="L405" s="1019" t="str">
        <f ca="1"/>
        <v/>
      </c>
      <c r="M405" s="1006" t="str">
        <f ca="1"/>
        <v/>
      </c>
      <c r="N405" s="1060" t="str">
        <f t="shared" ca="1" si="41"/>
        <v/>
      </c>
      <c r="O405" s="996"/>
      <c r="P405" s="742">
        <v>387</v>
      </c>
      <c r="Q405" s="1016" t="str">
        <f t="shared" ca="1" si="45"/>
        <v/>
      </c>
      <c r="R405" s="1027" t="str">
        <f t="shared" ca="1" si="40"/>
        <v/>
      </c>
      <c r="S405" s="1006" t="str">
        <f ca="1"/>
        <v/>
      </c>
      <c r="T405" s="1006" t="str">
        <f ca="1"/>
        <v/>
      </c>
      <c r="U405" s="1006" t="str">
        <f ca="1"/>
        <v/>
      </c>
      <c r="V405" s="1016" t="str">
        <f ca="1"/>
        <v/>
      </c>
      <c r="W405" s="1019" t="str">
        <f ca="1"/>
        <v/>
      </c>
      <c r="X405" s="1006" t="str">
        <f ca="1"/>
        <v/>
      </c>
      <c r="Y405" s="864" t="str">
        <f t="shared" ca="1" si="42"/>
        <v/>
      </c>
      <c r="AA405" s="828">
        <v>387</v>
      </c>
      <c r="AB405" s="750"/>
      <c r="AC405" s="842"/>
      <c r="AD405" s="830"/>
      <c r="AE405" s="839"/>
      <c r="AF405" s="839"/>
      <c r="AG405" s="750"/>
      <c r="AH405" s="840"/>
      <c r="AI405" s="839"/>
      <c r="AJ405" s="841"/>
      <c r="AK405" s="108" t="s">
        <v>12</v>
      </c>
      <c r="AL405" s="847">
        <v>387</v>
      </c>
      <c r="AM405" s="857"/>
      <c r="AN405" s="842"/>
      <c r="AO405" s="839"/>
      <c r="AP405" s="839"/>
      <c r="AQ405" s="839"/>
      <c r="AR405" s="750"/>
      <c r="AS405" s="840"/>
      <c r="AT405" s="839"/>
      <c r="AU405" s="856"/>
      <c r="AV405" s="108" t="s">
        <v>12</v>
      </c>
    </row>
    <row r="406" spans="4:48">
      <c r="D406" s="108" t="s">
        <v>12</v>
      </c>
      <c r="E406" s="742">
        <v>388</v>
      </c>
      <c r="F406" s="1016" t="str">
        <f t="shared" ca="1" si="43"/>
        <v/>
      </c>
      <c r="G406" s="1027" t="str">
        <f t="shared" ca="1" si="44"/>
        <v/>
      </c>
      <c r="H406" s="1043" t="str">
        <f ca="1"/>
        <v/>
      </c>
      <c r="I406" s="1006" t="str">
        <f ca="1"/>
        <v/>
      </c>
      <c r="J406" s="1006" t="str">
        <f ca="1"/>
        <v/>
      </c>
      <c r="K406" s="1016" t="str">
        <f ca="1"/>
        <v/>
      </c>
      <c r="L406" s="1019" t="str">
        <f ca="1"/>
        <v/>
      </c>
      <c r="M406" s="1006" t="str">
        <f ca="1"/>
        <v/>
      </c>
      <c r="N406" s="1060" t="str">
        <f t="shared" ca="1" si="41"/>
        <v/>
      </c>
      <c r="O406" s="996"/>
      <c r="P406" s="742">
        <v>388</v>
      </c>
      <c r="Q406" s="1016" t="str">
        <f t="shared" ca="1" si="45"/>
        <v/>
      </c>
      <c r="R406" s="1027" t="str">
        <f t="shared" ca="1" si="40"/>
        <v/>
      </c>
      <c r="S406" s="1006" t="str">
        <f ca="1"/>
        <v/>
      </c>
      <c r="T406" s="1006" t="str">
        <f ca="1"/>
        <v/>
      </c>
      <c r="U406" s="1006" t="str">
        <f ca="1"/>
        <v/>
      </c>
      <c r="V406" s="1016" t="str">
        <f ca="1"/>
        <v/>
      </c>
      <c r="W406" s="1019" t="str">
        <f ca="1"/>
        <v/>
      </c>
      <c r="X406" s="1006" t="str">
        <f ca="1"/>
        <v/>
      </c>
      <c r="Y406" s="864" t="str">
        <f t="shared" ca="1" si="42"/>
        <v/>
      </c>
      <c r="AA406" s="828">
        <v>388</v>
      </c>
      <c r="AB406" s="750"/>
      <c r="AC406" s="842"/>
      <c r="AD406" s="830"/>
      <c r="AE406" s="839"/>
      <c r="AF406" s="839"/>
      <c r="AG406" s="750"/>
      <c r="AH406" s="840"/>
      <c r="AI406" s="839"/>
      <c r="AJ406" s="841"/>
      <c r="AK406" s="108" t="s">
        <v>12</v>
      </c>
      <c r="AL406" s="847">
        <v>388</v>
      </c>
      <c r="AM406" s="857"/>
      <c r="AN406" s="842"/>
      <c r="AO406" s="839"/>
      <c r="AP406" s="839"/>
      <c r="AQ406" s="839"/>
      <c r="AR406" s="750"/>
      <c r="AS406" s="840"/>
      <c r="AT406" s="839"/>
      <c r="AU406" s="856"/>
      <c r="AV406" s="108" t="s">
        <v>12</v>
      </c>
    </row>
    <row r="407" spans="4:48">
      <c r="D407" s="108" t="s">
        <v>12</v>
      </c>
      <c r="E407" s="742">
        <v>389</v>
      </c>
      <c r="F407" s="1016" t="str">
        <f t="shared" ca="1" si="43"/>
        <v/>
      </c>
      <c r="G407" s="1027" t="str">
        <f t="shared" ca="1" si="44"/>
        <v/>
      </c>
      <c r="H407" s="1043" t="str">
        <f ca="1"/>
        <v/>
      </c>
      <c r="I407" s="1006" t="str">
        <f ca="1"/>
        <v/>
      </c>
      <c r="J407" s="1006" t="str">
        <f ca="1"/>
        <v/>
      </c>
      <c r="K407" s="1016" t="str">
        <f ca="1"/>
        <v/>
      </c>
      <c r="L407" s="1019" t="str">
        <f ca="1"/>
        <v/>
      </c>
      <c r="M407" s="1006" t="str">
        <f ca="1"/>
        <v/>
      </c>
      <c r="N407" s="1060" t="str">
        <f t="shared" ca="1" si="41"/>
        <v/>
      </c>
      <c r="O407" s="996"/>
      <c r="P407" s="742">
        <v>389</v>
      </c>
      <c r="Q407" s="1016" t="str">
        <f t="shared" ca="1" si="45"/>
        <v/>
      </c>
      <c r="R407" s="1027" t="str">
        <f t="shared" ca="1" si="40"/>
        <v/>
      </c>
      <c r="S407" s="1006" t="str">
        <f ca="1"/>
        <v/>
      </c>
      <c r="T407" s="1006" t="str">
        <f ca="1"/>
        <v/>
      </c>
      <c r="U407" s="1006" t="str">
        <f ca="1"/>
        <v/>
      </c>
      <c r="V407" s="1016" t="str">
        <f ca="1"/>
        <v/>
      </c>
      <c r="W407" s="1019" t="str">
        <f ca="1"/>
        <v/>
      </c>
      <c r="X407" s="1006" t="str">
        <f ca="1"/>
        <v/>
      </c>
      <c r="Y407" s="864" t="str">
        <f t="shared" ca="1" si="42"/>
        <v/>
      </c>
      <c r="AA407" s="828">
        <v>389</v>
      </c>
      <c r="AB407" s="750"/>
      <c r="AC407" s="842"/>
      <c r="AD407" s="830"/>
      <c r="AE407" s="839"/>
      <c r="AF407" s="839"/>
      <c r="AG407" s="750"/>
      <c r="AH407" s="840"/>
      <c r="AI407" s="839"/>
      <c r="AJ407" s="841"/>
      <c r="AK407" s="108" t="s">
        <v>12</v>
      </c>
      <c r="AL407" s="847">
        <v>389</v>
      </c>
      <c r="AM407" s="857"/>
      <c r="AN407" s="842"/>
      <c r="AO407" s="839"/>
      <c r="AP407" s="839"/>
      <c r="AQ407" s="839"/>
      <c r="AR407" s="750"/>
      <c r="AS407" s="840"/>
      <c r="AT407" s="839"/>
      <c r="AU407" s="856"/>
      <c r="AV407" s="108" t="s">
        <v>12</v>
      </c>
    </row>
    <row r="408" spans="4:48">
      <c r="D408" s="108" t="s">
        <v>12</v>
      </c>
      <c r="E408" s="742">
        <v>390</v>
      </c>
      <c r="F408" s="1016" t="str">
        <f t="shared" ca="1" si="43"/>
        <v/>
      </c>
      <c r="G408" s="1027" t="str">
        <f t="shared" ca="1" si="44"/>
        <v/>
      </c>
      <c r="H408" s="1043" t="str">
        <f ca="1"/>
        <v/>
      </c>
      <c r="I408" s="1006" t="str">
        <f ca="1"/>
        <v/>
      </c>
      <c r="J408" s="1006" t="str">
        <f ca="1"/>
        <v/>
      </c>
      <c r="K408" s="1016" t="str">
        <f ca="1"/>
        <v/>
      </c>
      <c r="L408" s="1019" t="str">
        <f ca="1"/>
        <v/>
      </c>
      <c r="M408" s="1006" t="str">
        <f ca="1"/>
        <v/>
      </c>
      <c r="N408" s="1060" t="str">
        <f t="shared" ca="1" si="41"/>
        <v/>
      </c>
      <c r="O408" s="996"/>
      <c r="P408" s="742">
        <v>390</v>
      </c>
      <c r="Q408" s="1016" t="str">
        <f t="shared" ca="1" si="45"/>
        <v/>
      </c>
      <c r="R408" s="1027" t="str">
        <f t="shared" ref="R408:R471" ca="1" si="46">IF(T408="","",1)</f>
        <v/>
      </c>
      <c r="S408" s="1006" t="str">
        <f ca="1"/>
        <v/>
      </c>
      <c r="T408" s="1006" t="str">
        <f ca="1"/>
        <v/>
      </c>
      <c r="U408" s="1006" t="str">
        <f ca="1"/>
        <v/>
      </c>
      <c r="V408" s="1016" t="str">
        <f ca="1"/>
        <v/>
      </c>
      <c r="W408" s="1019" t="str">
        <f ca="1"/>
        <v/>
      </c>
      <c r="X408" s="1006" t="str">
        <f ca="1"/>
        <v/>
      </c>
      <c r="Y408" s="864" t="str">
        <f t="shared" ca="1" si="42"/>
        <v/>
      </c>
      <c r="AA408" s="828">
        <v>390</v>
      </c>
      <c r="AB408" s="750"/>
      <c r="AC408" s="842"/>
      <c r="AD408" s="830"/>
      <c r="AE408" s="839"/>
      <c r="AF408" s="839"/>
      <c r="AG408" s="750"/>
      <c r="AH408" s="840"/>
      <c r="AI408" s="839"/>
      <c r="AJ408" s="841"/>
      <c r="AK408" s="108" t="s">
        <v>12</v>
      </c>
      <c r="AL408" s="847">
        <v>390</v>
      </c>
      <c r="AM408" s="857"/>
      <c r="AN408" s="842"/>
      <c r="AO408" s="839"/>
      <c r="AP408" s="839"/>
      <c r="AQ408" s="839"/>
      <c r="AR408" s="750"/>
      <c r="AS408" s="840"/>
      <c r="AT408" s="839"/>
      <c r="AU408" s="856"/>
      <c r="AV408" s="108" t="s">
        <v>12</v>
      </c>
    </row>
    <row r="409" spans="4:48">
      <c r="D409" s="108" t="s">
        <v>12</v>
      </c>
      <c r="E409" s="742">
        <v>391</v>
      </c>
      <c r="F409" s="1016" t="str">
        <f t="shared" ca="1" si="43"/>
        <v/>
      </c>
      <c r="G409" s="1027" t="str">
        <f t="shared" ca="1" si="44"/>
        <v/>
      </c>
      <c r="H409" s="1043" t="str">
        <f ca="1"/>
        <v/>
      </c>
      <c r="I409" s="1006" t="str">
        <f ca="1"/>
        <v/>
      </c>
      <c r="J409" s="1006" t="str">
        <f ca="1"/>
        <v/>
      </c>
      <c r="K409" s="1016" t="str">
        <f ca="1"/>
        <v/>
      </c>
      <c r="L409" s="1019" t="str">
        <f ca="1"/>
        <v/>
      </c>
      <c r="M409" s="1006" t="str">
        <f ca="1"/>
        <v/>
      </c>
      <c r="N409" s="1060" t="str">
        <f t="shared" ca="1" si="41"/>
        <v/>
      </c>
      <c r="O409" s="996"/>
      <c r="P409" s="742">
        <v>391</v>
      </c>
      <c r="Q409" s="1016" t="str">
        <f t="shared" ca="1" si="45"/>
        <v/>
      </c>
      <c r="R409" s="1027" t="str">
        <f t="shared" ca="1" si="46"/>
        <v/>
      </c>
      <c r="S409" s="1006" t="str">
        <f ca="1"/>
        <v/>
      </c>
      <c r="T409" s="1006" t="str">
        <f ca="1"/>
        <v/>
      </c>
      <c r="U409" s="1006" t="str">
        <f ca="1"/>
        <v/>
      </c>
      <c r="V409" s="1016" t="str">
        <f ca="1"/>
        <v/>
      </c>
      <c r="W409" s="1019" t="str">
        <f ca="1"/>
        <v/>
      </c>
      <c r="X409" s="1006" t="str">
        <f ca="1"/>
        <v/>
      </c>
      <c r="Y409" s="864" t="str">
        <f t="shared" ca="1" si="42"/>
        <v/>
      </c>
      <c r="AA409" s="828">
        <v>391</v>
      </c>
      <c r="AB409" s="750"/>
      <c r="AC409" s="842"/>
      <c r="AD409" s="830"/>
      <c r="AE409" s="839"/>
      <c r="AF409" s="839"/>
      <c r="AG409" s="750"/>
      <c r="AH409" s="840"/>
      <c r="AI409" s="839"/>
      <c r="AJ409" s="841"/>
      <c r="AK409" s="108" t="s">
        <v>12</v>
      </c>
      <c r="AL409" s="847">
        <v>391</v>
      </c>
      <c r="AM409" s="857"/>
      <c r="AN409" s="842"/>
      <c r="AO409" s="839"/>
      <c r="AP409" s="839"/>
      <c r="AQ409" s="839"/>
      <c r="AR409" s="750"/>
      <c r="AS409" s="840"/>
      <c r="AT409" s="839"/>
      <c r="AU409" s="856"/>
      <c r="AV409" s="108" t="s">
        <v>12</v>
      </c>
    </row>
    <row r="410" spans="4:48">
      <c r="D410" s="108" t="s">
        <v>12</v>
      </c>
      <c r="E410" s="742">
        <v>392</v>
      </c>
      <c r="F410" s="1016" t="str">
        <f t="shared" ca="1" si="43"/>
        <v/>
      </c>
      <c r="G410" s="1027" t="str">
        <f t="shared" ca="1" si="44"/>
        <v/>
      </c>
      <c r="H410" s="1043" t="str">
        <f ca="1"/>
        <v/>
      </c>
      <c r="I410" s="1006" t="str">
        <f ca="1"/>
        <v/>
      </c>
      <c r="J410" s="1006" t="str">
        <f ca="1"/>
        <v/>
      </c>
      <c r="K410" s="1016" t="str">
        <f ca="1"/>
        <v/>
      </c>
      <c r="L410" s="1019" t="str">
        <f ca="1"/>
        <v/>
      </c>
      <c r="M410" s="1006" t="str">
        <f ca="1"/>
        <v/>
      </c>
      <c r="N410" s="1060" t="str">
        <f t="shared" ca="1" si="41"/>
        <v/>
      </c>
      <c r="O410" s="996"/>
      <c r="P410" s="742">
        <v>392</v>
      </c>
      <c r="Q410" s="1016" t="str">
        <f t="shared" ca="1" si="45"/>
        <v/>
      </c>
      <c r="R410" s="1027" t="str">
        <f t="shared" ca="1" si="46"/>
        <v/>
      </c>
      <c r="S410" s="1006" t="str">
        <f ca="1"/>
        <v/>
      </c>
      <c r="T410" s="1006" t="str">
        <f ca="1"/>
        <v/>
      </c>
      <c r="U410" s="1006" t="str">
        <f ca="1"/>
        <v/>
      </c>
      <c r="V410" s="1016" t="str">
        <f ca="1"/>
        <v/>
      </c>
      <c r="W410" s="1019" t="str">
        <f ca="1"/>
        <v/>
      </c>
      <c r="X410" s="1006" t="str">
        <f ca="1"/>
        <v/>
      </c>
      <c r="Y410" s="864" t="str">
        <f t="shared" ca="1" si="42"/>
        <v/>
      </c>
      <c r="AA410" s="828">
        <v>392</v>
      </c>
      <c r="AB410" s="750"/>
      <c r="AC410" s="842"/>
      <c r="AD410" s="830"/>
      <c r="AE410" s="839"/>
      <c r="AF410" s="839"/>
      <c r="AG410" s="750"/>
      <c r="AH410" s="840"/>
      <c r="AI410" s="839"/>
      <c r="AJ410" s="841"/>
      <c r="AK410" s="108" t="s">
        <v>12</v>
      </c>
      <c r="AL410" s="847">
        <v>392</v>
      </c>
      <c r="AM410" s="857"/>
      <c r="AN410" s="842"/>
      <c r="AO410" s="839"/>
      <c r="AP410" s="839"/>
      <c r="AQ410" s="839"/>
      <c r="AR410" s="750"/>
      <c r="AS410" s="840"/>
      <c r="AT410" s="839"/>
      <c r="AU410" s="856"/>
      <c r="AV410" s="108" t="s">
        <v>12</v>
      </c>
    </row>
    <row r="411" spans="4:48">
      <c r="D411" s="108" t="s">
        <v>12</v>
      </c>
      <c r="E411" s="742">
        <v>393</v>
      </c>
      <c r="F411" s="1016" t="str">
        <f t="shared" ca="1" si="43"/>
        <v/>
      </c>
      <c r="G411" s="1027" t="str">
        <f t="shared" ca="1" si="44"/>
        <v/>
      </c>
      <c r="H411" s="1043" t="str">
        <f ca="1"/>
        <v/>
      </c>
      <c r="I411" s="1006" t="str">
        <f ca="1"/>
        <v/>
      </c>
      <c r="J411" s="1006" t="str">
        <f ca="1"/>
        <v/>
      </c>
      <c r="K411" s="1016" t="str">
        <f ca="1"/>
        <v/>
      </c>
      <c r="L411" s="1019" t="str">
        <f ca="1"/>
        <v/>
      </c>
      <c r="M411" s="1006" t="str">
        <f ca="1"/>
        <v/>
      </c>
      <c r="N411" s="1060" t="str">
        <f t="shared" ca="1" si="41"/>
        <v/>
      </c>
      <c r="O411" s="996"/>
      <c r="P411" s="742">
        <v>393</v>
      </c>
      <c r="Q411" s="1016" t="str">
        <f t="shared" ca="1" si="45"/>
        <v/>
      </c>
      <c r="R411" s="1027" t="str">
        <f t="shared" ca="1" si="46"/>
        <v/>
      </c>
      <c r="S411" s="1006" t="str">
        <f ca="1"/>
        <v/>
      </c>
      <c r="T411" s="1006" t="str">
        <f ca="1"/>
        <v/>
      </c>
      <c r="U411" s="1006" t="str">
        <f ca="1"/>
        <v/>
      </c>
      <c r="V411" s="1016" t="str">
        <f ca="1"/>
        <v/>
      </c>
      <c r="W411" s="1019" t="str">
        <f ca="1"/>
        <v/>
      </c>
      <c r="X411" s="1006" t="str">
        <f ca="1"/>
        <v/>
      </c>
      <c r="Y411" s="864" t="str">
        <f t="shared" ca="1" si="42"/>
        <v/>
      </c>
      <c r="AA411" s="828">
        <v>393</v>
      </c>
      <c r="AB411" s="750"/>
      <c r="AC411" s="842"/>
      <c r="AD411" s="830"/>
      <c r="AE411" s="839"/>
      <c r="AF411" s="839"/>
      <c r="AG411" s="750"/>
      <c r="AH411" s="840"/>
      <c r="AI411" s="839"/>
      <c r="AJ411" s="841"/>
      <c r="AK411" s="108" t="s">
        <v>12</v>
      </c>
      <c r="AL411" s="847">
        <v>393</v>
      </c>
      <c r="AM411" s="857"/>
      <c r="AN411" s="842"/>
      <c r="AO411" s="839"/>
      <c r="AP411" s="839"/>
      <c r="AQ411" s="839"/>
      <c r="AR411" s="750"/>
      <c r="AS411" s="840"/>
      <c r="AT411" s="839"/>
      <c r="AU411" s="856"/>
      <c r="AV411" s="108" t="s">
        <v>12</v>
      </c>
    </row>
    <row r="412" spans="4:48">
      <c r="D412" s="108" t="s">
        <v>12</v>
      </c>
      <c r="E412" s="742">
        <v>394</v>
      </c>
      <c r="F412" s="1016" t="str">
        <f t="shared" ca="1" si="43"/>
        <v/>
      </c>
      <c r="G412" s="1027" t="str">
        <f t="shared" ca="1" si="44"/>
        <v/>
      </c>
      <c r="H412" s="1043" t="str">
        <f ca="1"/>
        <v/>
      </c>
      <c r="I412" s="1006" t="str">
        <f ca="1"/>
        <v/>
      </c>
      <c r="J412" s="1006" t="str">
        <f ca="1"/>
        <v/>
      </c>
      <c r="K412" s="1016" t="str">
        <f ca="1"/>
        <v/>
      </c>
      <c r="L412" s="1019" t="str">
        <f ca="1"/>
        <v/>
      </c>
      <c r="M412" s="1006" t="str">
        <f ca="1"/>
        <v/>
      </c>
      <c r="N412" s="1060" t="str">
        <f t="shared" ca="1" si="41"/>
        <v/>
      </c>
      <c r="O412" s="996"/>
      <c r="P412" s="742">
        <v>394</v>
      </c>
      <c r="Q412" s="1016" t="str">
        <f t="shared" ca="1" si="45"/>
        <v/>
      </c>
      <c r="R412" s="1027" t="str">
        <f t="shared" ca="1" si="46"/>
        <v/>
      </c>
      <c r="S412" s="1006" t="str">
        <f ca="1"/>
        <v/>
      </c>
      <c r="T412" s="1006" t="str">
        <f ca="1"/>
        <v/>
      </c>
      <c r="U412" s="1006" t="str">
        <f ca="1"/>
        <v/>
      </c>
      <c r="V412" s="1016" t="str">
        <f ca="1"/>
        <v/>
      </c>
      <c r="W412" s="1019" t="str">
        <f ca="1"/>
        <v/>
      </c>
      <c r="X412" s="1006" t="str">
        <f ca="1"/>
        <v/>
      </c>
      <c r="Y412" s="864" t="str">
        <f t="shared" ca="1" si="42"/>
        <v/>
      </c>
      <c r="AA412" s="828">
        <v>394</v>
      </c>
      <c r="AB412" s="750"/>
      <c r="AC412" s="842"/>
      <c r="AD412" s="830"/>
      <c r="AE412" s="839"/>
      <c r="AF412" s="839"/>
      <c r="AG412" s="750"/>
      <c r="AH412" s="840"/>
      <c r="AI412" s="839"/>
      <c r="AJ412" s="841"/>
      <c r="AK412" s="108" t="s">
        <v>12</v>
      </c>
      <c r="AL412" s="847">
        <v>394</v>
      </c>
      <c r="AM412" s="857"/>
      <c r="AN412" s="842"/>
      <c r="AO412" s="839"/>
      <c r="AP412" s="839"/>
      <c r="AQ412" s="839"/>
      <c r="AR412" s="750"/>
      <c r="AS412" s="840"/>
      <c r="AT412" s="839"/>
      <c r="AU412" s="856"/>
      <c r="AV412" s="108" t="s">
        <v>12</v>
      </c>
    </row>
    <row r="413" spans="4:48">
      <c r="D413" s="108" t="s">
        <v>12</v>
      </c>
      <c r="E413" s="742">
        <v>395</v>
      </c>
      <c r="F413" s="1016" t="str">
        <f t="shared" ca="1" si="43"/>
        <v/>
      </c>
      <c r="G413" s="1027" t="str">
        <f t="shared" ca="1" si="44"/>
        <v/>
      </c>
      <c r="H413" s="1043" t="str">
        <f ca="1"/>
        <v/>
      </c>
      <c r="I413" s="1006" t="str">
        <f ca="1"/>
        <v/>
      </c>
      <c r="J413" s="1006" t="str">
        <f ca="1"/>
        <v/>
      </c>
      <c r="K413" s="1016" t="str">
        <f ca="1"/>
        <v/>
      </c>
      <c r="L413" s="1019" t="str">
        <f ca="1"/>
        <v/>
      </c>
      <c r="M413" s="1006" t="str">
        <f ca="1"/>
        <v/>
      </c>
      <c r="N413" s="1060" t="str">
        <f t="shared" ca="1" si="41"/>
        <v/>
      </c>
      <c r="O413" s="996"/>
      <c r="P413" s="742">
        <v>395</v>
      </c>
      <c r="Q413" s="1016" t="str">
        <f t="shared" ca="1" si="45"/>
        <v/>
      </c>
      <c r="R413" s="1027" t="str">
        <f t="shared" ca="1" si="46"/>
        <v/>
      </c>
      <c r="S413" s="1006" t="str">
        <f ca="1"/>
        <v/>
      </c>
      <c r="T413" s="1006" t="str">
        <f ca="1"/>
        <v/>
      </c>
      <c r="U413" s="1006" t="str">
        <f ca="1"/>
        <v/>
      </c>
      <c r="V413" s="1016" t="str">
        <f ca="1"/>
        <v/>
      </c>
      <c r="W413" s="1019" t="str">
        <f ca="1"/>
        <v/>
      </c>
      <c r="X413" s="1006" t="str">
        <f ca="1"/>
        <v/>
      </c>
      <c r="Y413" s="864" t="str">
        <f t="shared" ca="1" si="42"/>
        <v/>
      </c>
      <c r="AA413" s="828">
        <v>395</v>
      </c>
      <c r="AB413" s="750"/>
      <c r="AC413" s="842"/>
      <c r="AD413" s="830"/>
      <c r="AE413" s="839"/>
      <c r="AF413" s="839"/>
      <c r="AG413" s="750"/>
      <c r="AH413" s="840"/>
      <c r="AI413" s="839"/>
      <c r="AJ413" s="841"/>
      <c r="AK413" s="108" t="s">
        <v>12</v>
      </c>
      <c r="AL413" s="847">
        <v>395</v>
      </c>
      <c r="AM413" s="857"/>
      <c r="AN413" s="842"/>
      <c r="AO413" s="839"/>
      <c r="AP413" s="839"/>
      <c r="AQ413" s="839"/>
      <c r="AR413" s="750"/>
      <c r="AS413" s="840"/>
      <c r="AT413" s="839"/>
      <c r="AU413" s="856"/>
      <c r="AV413" s="108" t="s">
        <v>12</v>
      </c>
    </row>
    <row r="414" spans="4:48">
      <c r="D414" s="108" t="s">
        <v>12</v>
      </c>
      <c r="E414" s="742">
        <v>396</v>
      </c>
      <c r="F414" s="1016" t="str">
        <f t="shared" ca="1" si="43"/>
        <v/>
      </c>
      <c r="G414" s="1027" t="str">
        <f t="shared" ca="1" si="44"/>
        <v/>
      </c>
      <c r="H414" s="1043" t="str">
        <f ca="1"/>
        <v/>
      </c>
      <c r="I414" s="1006" t="str">
        <f ca="1"/>
        <v/>
      </c>
      <c r="J414" s="1006" t="str">
        <f ca="1"/>
        <v/>
      </c>
      <c r="K414" s="1016" t="str">
        <f ca="1"/>
        <v/>
      </c>
      <c r="L414" s="1019" t="str">
        <f ca="1"/>
        <v/>
      </c>
      <c r="M414" s="1006" t="str">
        <f ca="1"/>
        <v/>
      </c>
      <c r="N414" s="1060" t="str">
        <f t="shared" ca="1" si="41"/>
        <v/>
      </c>
      <c r="O414" s="996"/>
      <c r="P414" s="742">
        <v>396</v>
      </c>
      <c r="Q414" s="1016" t="str">
        <f t="shared" ca="1" si="45"/>
        <v/>
      </c>
      <c r="R414" s="1027" t="str">
        <f t="shared" ca="1" si="46"/>
        <v/>
      </c>
      <c r="S414" s="1006" t="str">
        <f ca="1"/>
        <v/>
      </c>
      <c r="T414" s="1006" t="str">
        <f ca="1"/>
        <v/>
      </c>
      <c r="U414" s="1006" t="str">
        <f ca="1"/>
        <v/>
      </c>
      <c r="V414" s="1016" t="str">
        <f ca="1"/>
        <v/>
      </c>
      <c r="W414" s="1019" t="str">
        <f ca="1"/>
        <v/>
      </c>
      <c r="X414" s="1006" t="str">
        <f ca="1"/>
        <v/>
      </c>
      <c r="Y414" s="864" t="str">
        <f t="shared" ca="1" si="42"/>
        <v/>
      </c>
      <c r="AA414" s="828">
        <v>396</v>
      </c>
      <c r="AB414" s="750"/>
      <c r="AC414" s="842"/>
      <c r="AD414" s="830"/>
      <c r="AE414" s="839"/>
      <c r="AF414" s="839"/>
      <c r="AG414" s="750"/>
      <c r="AH414" s="840"/>
      <c r="AI414" s="839"/>
      <c r="AJ414" s="841"/>
      <c r="AK414" s="108" t="s">
        <v>12</v>
      </c>
      <c r="AL414" s="847">
        <v>396</v>
      </c>
      <c r="AM414" s="857"/>
      <c r="AN414" s="842"/>
      <c r="AO414" s="839"/>
      <c r="AP414" s="839"/>
      <c r="AQ414" s="839"/>
      <c r="AR414" s="750"/>
      <c r="AS414" s="840"/>
      <c r="AT414" s="839"/>
      <c r="AU414" s="856"/>
      <c r="AV414" s="108" t="s">
        <v>12</v>
      </c>
    </row>
    <row r="415" spans="4:48">
      <c r="D415" s="108" t="s">
        <v>12</v>
      </c>
      <c r="E415" s="742">
        <v>397</v>
      </c>
      <c r="F415" s="1016" t="str">
        <f t="shared" ca="1" si="43"/>
        <v/>
      </c>
      <c r="G415" s="1027" t="str">
        <f t="shared" ca="1" si="44"/>
        <v/>
      </c>
      <c r="H415" s="1043" t="str">
        <f ca="1"/>
        <v/>
      </c>
      <c r="I415" s="1006" t="str">
        <f ca="1"/>
        <v/>
      </c>
      <c r="J415" s="1006" t="str">
        <f ca="1"/>
        <v/>
      </c>
      <c r="K415" s="1016" t="str">
        <f ca="1"/>
        <v/>
      </c>
      <c r="L415" s="1019" t="str">
        <f ca="1"/>
        <v/>
      </c>
      <c r="M415" s="1006" t="str">
        <f ca="1"/>
        <v/>
      </c>
      <c r="N415" s="1060" t="str">
        <f t="shared" ca="1" si="41"/>
        <v/>
      </c>
      <c r="O415" s="996"/>
      <c r="P415" s="742">
        <v>397</v>
      </c>
      <c r="Q415" s="1016" t="str">
        <f t="shared" ca="1" si="45"/>
        <v/>
      </c>
      <c r="R415" s="1027" t="str">
        <f t="shared" ca="1" si="46"/>
        <v/>
      </c>
      <c r="S415" s="1006" t="str">
        <f ca="1"/>
        <v/>
      </c>
      <c r="T415" s="1006" t="str">
        <f ca="1"/>
        <v/>
      </c>
      <c r="U415" s="1006" t="str">
        <f ca="1"/>
        <v/>
      </c>
      <c r="V415" s="1016" t="str">
        <f ca="1"/>
        <v/>
      </c>
      <c r="W415" s="1019" t="str">
        <f ca="1"/>
        <v/>
      </c>
      <c r="X415" s="1006" t="str">
        <f ca="1"/>
        <v/>
      </c>
      <c r="Y415" s="864" t="str">
        <f t="shared" ca="1" si="42"/>
        <v/>
      </c>
      <c r="AA415" s="828">
        <v>397</v>
      </c>
      <c r="AB415" s="750"/>
      <c r="AC415" s="842"/>
      <c r="AD415" s="830"/>
      <c r="AE415" s="839"/>
      <c r="AF415" s="839"/>
      <c r="AG415" s="750"/>
      <c r="AH415" s="840"/>
      <c r="AI415" s="839"/>
      <c r="AJ415" s="841"/>
      <c r="AK415" s="108" t="s">
        <v>12</v>
      </c>
      <c r="AL415" s="847">
        <v>397</v>
      </c>
      <c r="AM415" s="857"/>
      <c r="AN415" s="842"/>
      <c r="AO415" s="839"/>
      <c r="AP415" s="839"/>
      <c r="AQ415" s="839"/>
      <c r="AR415" s="750"/>
      <c r="AS415" s="840"/>
      <c r="AT415" s="839"/>
      <c r="AU415" s="856"/>
      <c r="AV415" s="108" t="s">
        <v>12</v>
      </c>
    </row>
    <row r="416" spans="4:48">
      <c r="D416" s="108" t="s">
        <v>12</v>
      </c>
      <c r="E416" s="742">
        <v>398</v>
      </c>
      <c r="F416" s="1016" t="str">
        <f t="shared" ca="1" si="43"/>
        <v/>
      </c>
      <c r="G416" s="1027" t="str">
        <f t="shared" ca="1" si="44"/>
        <v/>
      </c>
      <c r="H416" s="1043" t="str">
        <f ca="1"/>
        <v/>
      </c>
      <c r="I416" s="1006" t="str">
        <f ca="1"/>
        <v/>
      </c>
      <c r="J416" s="1006" t="str">
        <f ca="1"/>
        <v/>
      </c>
      <c r="K416" s="1016" t="str">
        <f ca="1"/>
        <v/>
      </c>
      <c r="L416" s="1019" t="str">
        <f ca="1"/>
        <v/>
      </c>
      <c r="M416" s="1006" t="str">
        <f ca="1"/>
        <v/>
      </c>
      <c r="N416" s="1060" t="str">
        <f t="shared" ca="1" si="41"/>
        <v/>
      </c>
      <c r="O416" s="996"/>
      <c r="P416" s="742">
        <v>398</v>
      </c>
      <c r="Q416" s="1016" t="str">
        <f t="shared" ca="1" si="45"/>
        <v/>
      </c>
      <c r="R416" s="1027" t="str">
        <f t="shared" ca="1" si="46"/>
        <v/>
      </c>
      <c r="S416" s="1006" t="str">
        <f ca="1"/>
        <v/>
      </c>
      <c r="T416" s="1006" t="str">
        <f ca="1"/>
        <v/>
      </c>
      <c r="U416" s="1006" t="str">
        <f ca="1"/>
        <v/>
      </c>
      <c r="V416" s="1016" t="str">
        <f ca="1"/>
        <v/>
      </c>
      <c r="W416" s="1019" t="str">
        <f ca="1"/>
        <v/>
      </c>
      <c r="X416" s="1006" t="str">
        <f ca="1"/>
        <v/>
      </c>
      <c r="Y416" s="864" t="str">
        <f t="shared" ca="1" si="42"/>
        <v/>
      </c>
      <c r="AA416" s="828">
        <v>398</v>
      </c>
      <c r="AB416" s="750"/>
      <c r="AC416" s="842"/>
      <c r="AD416" s="830"/>
      <c r="AE416" s="839"/>
      <c r="AF416" s="839"/>
      <c r="AG416" s="750"/>
      <c r="AH416" s="840"/>
      <c r="AI416" s="839"/>
      <c r="AJ416" s="841"/>
      <c r="AK416" s="108" t="s">
        <v>12</v>
      </c>
      <c r="AL416" s="847">
        <v>398</v>
      </c>
      <c r="AM416" s="857"/>
      <c r="AN416" s="842"/>
      <c r="AO416" s="839"/>
      <c r="AP416" s="839"/>
      <c r="AQ416" s="839"/>
      <c r="AR416" s="750"/>
      <c r="AS416" s="840"/>
      <c r="AT416" s="839"/>
      <c r="AU416" s="856"/>
      <c r="AV416" s="108" t="s">
        <v>12</v>
      </c>
    </row>
    <row r="417" spans="4:48">
      <c r="D417" s="108" t="s">
        <v>12</v>
      </c>
      <c r="E417" s="742">
        <v>399</v>
      </c>
      <c r="F417" s="1016" t="str">
        <f t="shared" ca="1" si="43"/>
        <v/>
      </c>
      <c r="G417" s="1027" t="str">
        <f t="shared" ca="1" si="44"/>
        <v/>
      </c>
      <c r="H417" s="1043" t="str">
        <f ca="1"/>
        <v/>
      </c>
      <c r="I417" s="1006" t="str">
        <f ca="1"/>
        <v/>
      </c>
      <c r="J417" s="1006" t="str">
        <f ca="1"/>
        <v/>
      </c>
      <c r="K417" s="1016" t="str">
        <f ca="1"/>
        <v/>
      </c>
      <c r="L417" s="1019" t="str">
        <f ca="1"/>
        <v/>
      </c>
      <c r="M417" s="1006" t="str">
        <f ca="1"/>
        <v/>
      </c>
      <c r="N417" s="1060" t="str">
        <f t="shared" ca="1" si="41"/>
        <v/>
      </c>
      <c r="O417" s="996"/>
      <c r="P417" s="742">
        <v>399</v>
      </c>
      <c r="Q417" s="1016" t="str">
        <f t="shared" ca="1" si="45"/>
        <v/>
      </c>
      <c r="R417" s="1027" t="str">
        <f t="shared" ca="1" si="46"/>
        <v/>
      </c>
      <c r="S417" s="1006" t="str">
        <f ca="1"/>
        <v/>
      </c>
      <c r="T417" s="1006" t="str">
        <f ca="1"/>
        <v/>
      </c>
      <c r="U417" s="1006" t="str">
        <f ca="1"/>
        <v/>
      </c>
      <c r="V417" s="1016" t="str">
        <f ca="1"/>
        <v/>
      </c>
      <c r="W417" s="1019" t="str">
        <f ca="1"/>
        <v/>
      </c>
      <c r="X417" s="1006" t="str">
        <f ca="1"/>
        <v/>
      </c>
      <c r="Y417" s="864" t="str">
        <f t="shared" ca="1" si="42"/>
        <v/>
      </c>
      <c r="AA417" s="828">
        <v>399</v>
      </c>
      <c r="AB417" s="750"/>
      <c r="AC417" s="842"/>
      <c r="AD417" s="830"/>
      <c r="AE417" s="839"/>
      <c r="AF417" s="839"/>
      <c r="AG417" s="750"/>
      <c r="AH417" s="840"/>
      <c r="AI417" s="839"/>
      <c r="AJ417" s="841"/>
      <c r="AK417" s="108" t="s">
        <v>12</v>
      </c>
      <c r="AL417" s="847">
        <v>399</v>
      </c>
      <c r="AM417" s="857"/>
      <c r="AN417" s="842"/>
      <c r="AO417" s="839"/>
      <c r="AP417" s="839"/>
      <c r="AQ417" s="839"/>
      <c r="AR417" s="750"/>
      <c r="AS417" s="840"/>
      <c r="AT417" s="839"/>
      <c r="AU417" s="856"/>
      <c r="AV417" s="108" t="s">
        <v>12</v>
      </c>
    </row>
    <row r="418" spans="4:48">
      <c r="D418" s="108" t="s">
        <v>12</v>
      </c>
      <c r="E418" s="742">
        <v>400</v>
      </c>
      <c r="F418" s="1016" t="str">
        <f t="shared" ca="1" si="43"/>
        <v/>
      </c>
      <c r="G418" s="1027" t="str">
        <f t="shared" ca="1" si="44"/>
        <v/>
      </c>
      <c r="H418" s="1043" t="str">
        <f ca="1"/>
        <v/>
      </c>
      <c r="I418" s="1006" t="str">
        <f ca="1"/>
        <v/>
      </c>
      <c r="J418" s="1006" t="str">
        <f ca="1"/>
        <v/>
      </c>
      <c r="K418" s="1016" t="str">
        <f ca="1"/>
        <v/>
      </c>
      <c r="L418" s="1019" t="str">
        <f ca="1"/>
        <v/>
      </c>
      <c r="M418" s="1006" t="str">
        <f ca="1"/>
        <v/>
      </c>
      <c r="N418" s="1060" t="str">
        <f t="shared" ca="1" si="41"/>
        <v/>
      </c>
      <c r="O418" s="996"/>
      <c r="P418" s="742">
        <v>400</v>
      </c>
      <c r="Q418" s="1016" t="str">
        <f t="shared" ca="1" si="45"/>
        <v/>
      </c>
      <c r="R418" s="1027" t="str">
        <f t="shared" ca="1" si="46"/>
        <v/>
      </c>
      <c r="S418" s="1006" t="str">
        <f ca="1"/>
        <v/>
      </c>
      <c r="T418" s="1006" t="str">
        <f ca="1"/>
        <v/>
      </c>
      <c r="U418" s="1006" t="str">
        <f ca="1"/>
        <v/>
      </c>
      <c r="V418" s="1016" t="str">
        <f ca="1"/>
        <v/>
      </c>
      <c r="W418" s="1019" t="str">
        <f ca="1"/>
        <v/>
      </c>
      <c r="X418" s="1006" t="str">
        <f ca="1"/>
        <v/>
      </c>
      <c r="Y418" s="864" t="str">
        <f t="shared" ca="1" si="42"/>
        <v/>
      </c>
      <c r="AA418" s="828">
        <v>400</v>
      </c>
      <c r="AB418" s="750"/>
      <c r="AC418" s="842"/>
      <c r="AD418" s="830"/>
      <c r="AE418" s="839"/>
      <c r="AF418" s="839"/>
      <c r="AG418" s="750"/>
      <c r="AH418" s="840"/>
      <c r="AI418" s="839"/>
      <c r="AJ418" s="841"/>
      <c r="AK418" s="108" t="s">
        <v>12</v>
      </c>
      <c r="AL418" s="847">
        <v>400</v>
      </c>
      <c r="AM418" s="857"/>
      <c r="AN418" s="842"/>
      <c r="AO418" s="839"/>
      <c r="AP418" s="839"/>
      <c r="AQ418" s="839"/>
      <c r="AR418" s="750"/>
      <c r="AS418" s="840"/>
      <c r="AT418" s="839"/>
      <c r="AU418" s="856"/>
      <c r="AV418" s="108" t="s">
        <v>12</v>
      </c>
    </row>
    <row r="419" spans="4:48">
      <c r="D419" s="108" t="s">
        <v>12</v>
      </c>
      <c r="E419" s="742">
        <v>401</v>
      </c>
      <c r="F419" s="1016" t="str">
        <f t="shared" ca="1" si="43"/>
        <v/>
      </c>
      <c r="G419" s="1027" t="str">
        <f t="shared" ca="1" si="44"/>
        <v/>
      </c>
      <c r="H419" s="1043" t="str">
        <f ca="1"/>
        <v/>
      </c>
      <c r="I419" s="1006" t="str">
        <f ca="1"/>
        <v/>
      </c>
      <c r="J419" s="1006" t="str">
        <f ca="1"/>
        <v/>
      </c>
      <c r="K419" s="1016" t="str">
        <f ca="1"/>
        <v/>
      </c>
      <c r="L419" s="1019" t="str">
        <f ca="1"/>
        <v/>
      </c>
      <c r="M419" s="1006" t="str">
        <f ca="1"/>
        <v/>
      </c>
      <c r="N419" s="1060" t="str">
        <f t="shared" ca="1" si="41"/>
        <v/>
      </c>
      <c r="O419" s="996"/>
      <c r="P419" s="742">
        <v>401</v>
      </c>
      <c r="Q419" s="1016" t="str">
        <f t="shared" ca="1" si="45"/>
        <v/>
      </c>
      <c r="R419" s="1027" t="str">
        <f t="shared" ca="1" si="46"/>
        <v/>
      </c>
      <c r="S419" s="1006" t="str">
        <f ca="1"/>
        <v/>
      </c>
      <c r="T419" s="1006" t="str">
        <f ca="1"/>
        <v/>
      </c>
      <c r="U419" s="1006" t="str">
        <f ca="1"/>
        <v/>
      </c>
      <c r="V419" s="1016" t="str">
        <f ca="1"/>
        <v/>
      </c>
      <c r="W419" s="1019" t="str">
        <f ca="1"/>
        <v/>
      </c>
      <c r="X419" s="1006" t="str">
        <f ca="1"/>
        <v/>
      </c>
      <c r="Y419" s="864" t="str">
        <f t="shared" ca="1" si="42"/>
        <v/>
      </c>
      <c r="AA419" s="828">
        <v>401</v>
      </c>
      <c r="AB419" s="750"/>
      <c r="AC419" s="842"/>
      <c r="AD419" s="830"/>
      <c r="AE419" s="839"/>
      <c r="AF419" s="839"/>
      <c r="AG419" s="750"/>
      <c r="AH419" s="840"/>
      <c r="AI419" s="839"/>
      <c r="AJ419" s="841"/>
      <c r="AK419" s="108" t="s">
        <v>12</v>
      </c>
      <c r="AL419" s="847">
        <v>401</v>
      </c>
      <c r="AM419" s="857"/>
      <c r="AN419" s="842"/>
      <c r="AO419" s="839"/>
      <c r="AP419" s="839"/>
      <c r="AQ419" s="839"/>
      <c r="AR419" s="750"/>
      <c r="AS419" s="840"/>
      <c r="AT419" s="839"/>
      <c r="AU419" s="856"/>
      <c r="AV419" s="108" t="s">
        <v>12</v>
      </c>
    </row>
    <row r="420" spans="4:48">
      <c r="D420" s="108" t="s">
        <v>12</v>
      </c>
      <c r="E420" s="742">
        <v>402</v>
      </c>
      <c r="F420" s="1016" t="str">
        <f t="shared" ca="1" si="43"/>
        <v/>
      </c>
      <c r="G420" s="1027" t="str">
        <f t="shared" ca="1" si="44"/>
        <v/>
      </c>
      <c r="H420" s="1043" t="str">
        <f ca="1"/>
        <v/>
      </c>
      <c r="I420" s="1006" t="str">
        <f ca="1"/>
        <v/>
      </c>
      <c r="J420" s="1006" t="str">
        <f ca="1"/>
        <v/>
      </c>
      <c r="K420" s="1016" t="str">
        <f ca="1"/>
        <v/>
      </c>
      <c r="L420" s="1019" t="str">
        <f ca="1"/>
        <v/>
      </c>
      <c r="M420" s="1006" t="str">
        <f ca="1"/>
        <v/>
      </c>
      <c r="N420" s="1060" t="str">
        <f t="shared" ca="1" si="41"/>
        <v/>
      </c>
      <c r="O420" s="996"/>
      <c r="P420" s="742">
        <v>402</v>
      </c>
      <c r="Q420" s="1016" t="str">
        <f t="shared" ca="1" si="45"/>
        <v/>
      </c>
      <c r="R420" s="1027" t="str">
        <f t="shared" ca="1" si="46"/>
        <v/>
      </c>
      <c r="S420" s="1006" t="str">
        <f ca="1"/>
        <v/>
      </c>
      <c r="T420" s="1006" t="str">
        <f ca="1"/>
        <v/>
      </c>
      <c r="U420" s="1006" t="str">
        <f ca="1"/>
        <v/>
      </c>
      <c r="V420" s="1016" t="str">
        <f ca="1"/>
        <v/>
      </c>
      <c r="W420" s="1019" t="str">
        <f ca="1"/>
        <v/>
      </c>
      <c r="X420" s="1006" t="str">
        <f ca="1"/>
        <v/>
      </c>
      <c r="Y420" s="864" t="str">
        <f t="shared" ca="1" si="42"/>
        <v/>
      </c>
      <c r="AA420" s="828">
        <v>402</v>
      </c>
      <c r="AB420" s="750"/>
      <c r="AC420" s="842"/>
      <c r="AD420" s="830"/>
      <c r="AE420" s="839"/>
      <c r="AF420" s="839"/>
      <c r="AG420" s="750"/>
      <c r="AH420" s="840"/>
      <c r="AI420" s="839"/>
      <c r="AJ420" s="841"/>
      <c r="AK420" s="108" t="s">
        <v>12</v>
      </c>
      <c r="AL420" s="847">
        <v>402</v>
      </c>
      <c r="AM420" s="857"/>
      <c r="AN420" s="842"/>
      <c r="AO420" s="839"/>
      <c r="AP420" s="839"/>
      <c r="AQ420" s="839"/>
      <c r="AR420" s="750"/>
      <c r="AS420" s="840"/>
      <c r="AT420" s="839"/>
      <c r="AU420" s="856"/>
      <c r="AV420" s="108" t="s">
        <v>12</v>
      </c>
    </row>
    <row r="421" spans="4:48">
      <c r="D421" s="108" t="s">
        <v>12</v>
      </c>
      <c r="E421" s="742">
        <v>403</v>
      </c>
      <c r="F421" s="1016" t="str">
        <f t="shared" ca="1" si="43"/>
        <v/>
      </c>
      <c r="G421" s="1027" t="str">
        <f t="shared" ca="1" si="44"/>
        <v/>
      </c>
      <c r="H421" s="1043" t="str">
        <f ca="1"/>
        <v/>
      </c>
      <c r="I421" s="1006" t="str">
        <f ca="1"/>
        <v/>
      </c>
      <c r="J421" s="1006" t="str">
        <f ca="1"/>
        <v/>
      </c>
      <c r="K421" s="1016" t="str">
        <f ca="1"/>
        <v/>
      </c>
      <c r="L421" s="1019" t="str">
        <f ca="1"/>
        <v/>
      </c>
      <c r="M421" s="1006" t="str">
        <f ca="1"/>
        <v/>
      </c>
      <c r="N421" s="1060" t="str">
        <f t="shared" ca="1" si="41"/>
        <v/>
      </c>
      <c r="O421" s="996"/>
      <c r="P421" s="742">
        <v>403</v>
      </c>
      <c r="Q421" s="1016" t="str">
        <f t="shared" ca="1" si="45"/>
        <v/>
      </c>
      <c r="R421" s="1027" t="str">
        <f t="shared" ca="1" si="46"/>
        <v/>
      </c>
      <c r="S421" s="1006" t="str">
        <f ca="1"/>
        <v/>
      </c>
      <c r="T421" s="1006" t="str">
        <f ca="1"/>
        <v/>
      </c>
      <c r="U421" s="1006" t="str">
        <f ca="1"/>
        <v/>
      </c>
      <c r="V421" s="1016" t="str">
        <f ca="1"/>
        <v/>
      </c>
      <c r="W421" s="1019" t="str">
        <f ca="1"/>
        <v/>
      </c>
      <c r="X421" s="1006" t="str">
        <f ca="1"/>
        <v/>
      </c>
      <c r="Y421" s="864" t="str">
        <f t="shared" ca="1" si="42"/>
        <v/>
      </c>
      <c r="AA421" s="828">
        <v>403</v>
      </c>
      <c r="AB421" s="750"/>
      <c r="AC421" s="842"/>
      <c r="AD421" s="830"/>
      <c r="AE421" s="839"/>
      <c r="AF421" s="839"/>
      <c r="AG421" s="750"/>
      <c r="AH421" s="840"/>
      <c r="AI421" s="839"/>
      <c r="AJ421" s="841"/>
      <c r="AK421" s="108" t="s">
        <v>12</v>
      </c>
      <c r="AL421" s="847">
        <v>403</v>
      </c>
      <c r="AM421" s="857"/>
      <c r="AN421" s="842"/>
      <c r="AO421" s="839"/>
      <c r="AP421" s="839"/>
      <c r="AQ421" s="839"/>
      <c r="AR421" s="750"/>
      <c r="AS421" s="840"/>
      <c r="AT421" s="839"/>
      <c r="AU421" s="856"/>
      <c r="AV421" s="108" t="s">
        <v>12</v>
      </c>
    </row>
    <row r="422" spans="4:48">
      <c r="D422" s="108" t="s">
        <v>12</v>
      </c>
      <c r="E422" s="742">
        <v>404</v>
      </c>
      <c r="F422" s="1016" t="str">
        <f t="shared" ca="1" si="43"/>
        <v/>
      </c>
      <c r="G422" s="1027" t="str">
        <f t="shared" ca="1" si="44"/>
        <v/>
      </c>
      <c r="H422" s="1043" t="str">
        <f ca="1"/>
        <v/>
      </c>
      <c r="I422" s="1006" t="str">
        <f ca="1"/>
        <v/>
      </c>
      <c r="J422" s="1006" t="str">
        <f ca="1"/>
        <v/>
      </c>
      <c r="K422" s="1016" t="str">
        <f ca="1"/>
        <v/>
      </c>
      <c r="L422" s="1019" t="str">
        <f ca="1"/>
        <v/>
      </c>
      <c r="M422" s="1006" t="str">
        <f ca="1"/>
        <v/>
      </c>
      <c r="N422" s="1060" t="str">
        <f t="shared" ca="1" si="41"/>
        <v/>
      </c>
      <c r="O422" s="996"/>
      <c r="P422" s="742">
        <v>404</v>
      </c>
      <c r="Q422" s="1016" t="str">
        <f t="shared" ca="1" si="45"/>
        <v/>
      </c>
      <c r="R422" s="1027" t="str">
        <f t="shared" ca="1" si="46"/>
        <v/>
      </c>
      <c r="S422" s="1006" t="str">
        <f ca="1"/>
        <v/>
      </c>
      <c r="T422" s="1006" t="str">
        <f ca="1"/>
        <v/>
      </c>
      <c r="U422" s="1006" t="str">
        <f ca="1"/>
        <v/>
      </c>
      <c r="V422" s="1016" t="str">
        <f ca="1"/>
        <v/>
      </c>
      <c r="W422" s="1019" t="str">
        <f ca="1"/>
        <v/>
      </c>
      <c r="X422" s="1006" t="str">
        <f ca="1"/>
        <v/>
      </c>
      <c r="Y422" s="864" t="str">
        <f t="shared" ca="1" si="42"/>
        <v/>
      </c>
      <c r="AA422" s="828">
        <v>404</v>
      </c>
      <c r="AB422" s="750"/>
      <c r="AC422" s="842"/>
      <c r="AD422" s="830"/>
      <c r="AE422" s="839"/>
      <c r="AF422" s="839"/>
      <c r="AG422" s="750"/>
      <c r="AH422" s="840"/>
      <c r="AI422" s="839"/>
      <c r="AJ422" s="841"/>
      <c r="AK422" s="108" t="s">
        <v>12</v>
      </c>
      <c r="AL422" s="847">
        <v>404</v>
      </c>
      <c r="AM422" s="857"/>
      <c r="AN422" s="842"/>
      <c r="AO422" s="839"/>
      <c r="AP422" s="839"/>
      <c r="AQ422" s="839"/>
      <c r="AR422" s="750"/>
      <c r="AS422" s="840"/>
      <c r="AT422" s="839"/>
      <c r="AU422" s="856"/>
      <c r="AV422" s="108" t="s">
        <v>12</v>
      </c>
    </row>
    <row r="423" spans="4:48">
      <c r="D423" s="108" t="s">
        <v>12</v>
      </c>
      <c r="E423" s="742">
        <v>405</v>
      </c>
      <c r="F423" s="1016" t="str">
        <f t="shared" ca="1" si="43"/>
        <v/>
      </c>
      <c r="G423" s="1027" t="str">
        <f t="shared" ca="1" si="44"/>
        <v/>
      </c>
      <c r="H423" s="1043" t="str">
        <f ca="1"/>
        <v/>
      </c>
      <c r="I423" s="1006" t="str">
        <f ca="1"/>
        <v/>
      </c>
      <c r="J423" s="1006" t="str">
        <f ca="1"/>
        <v/>
      </c>
      <c r="K423" s="1016" t="str">
        <f ca="1"/>
        <v/>
      </c>
      <c r="L423" s="1019" t="str">
        <f ca="1"/>
        <v/>
      </c>
      <c r="M423" s="1006" t="str">
        <f ca="1"/>
        <v/>
      </c>
      <c r="N423" s="1060" t="str">
        <f t="shared" ca="1" si="41"/>
        <v/>
      </c>
      <c r="O423" s="996"/>
      <c r="P423" s="742">
        <v>405</v>
      </c>
      <c r="Q423" s="1016" t="str">
        <f t="shared" ca="1" si="45"/>
        <v/>
      </c>
      <c r="R423" s="1027" t="str">
        <f t="shared" ca="1" si="46"/>
        <v/>
      </c>
      <c r="S423" s="1006" t="str">
        <f ca="1"/>
        <v/>
      </c>
      <c r="T423" s="1006" t="str">
        <f ca="1"/>
        <v/>
      </c>
      <c r="U423" s="1006" t="str">
        <f ca="1"/>
        <v/>
      </c>
      <c r="V423" s="1016" t="str">
        <f ca="1"/>
        <v/>
      </c>
      <c r="W423" s="1019" t="str">
        <f ca="1"/>
        <v/>
      </c>
      <c r="X423" s="1006" t="str">
        <f ca="1"/>
        <v/>
      </c>
      <c r="Y423" s="864" t="str">
        <f t="shared" ca="1" si="42"/>
        <v/>
      </c>
      <c r="AA423" s="828">
        <v>405</v>
      </c>
      <c r="AB423" s="750"/>
      <c r="AC423" s="842"/>
      <c r="AD423" s="830"/>
      <c r="AE423" s="839"/>
      <c r="AF423" s="839"/>
      <c r="AG423" s="750"/>
      <c r="AH423" s="840"/>
      <c r="AI423" s="839"/>
      <c r="AJ423" s="841"/>
      <c r="AK423" s="108" t="s">
        <v>12</v>
      </c>
      <c r="AL423" s="847">
        <v>405</v>
      </c>
      <c r="AM423" s="857"/>
      <c r="AN423" s="842"/>
      <c r="AO423" s="839"/>
      <c r="AP423" s="839"/>
      <c r="AQ423" s="839"/>
      <c r="AR423" s="750"/>
      <c r="AS423" s="840"/>
      <c r="AT423" s="839"/>
      <c r="AU423" s="856"/>
      <c r="AV423" s="108" t="s">
        <v>12</v>
      </c>
    </row>
    <row r="424" spans="4:48">
      <c r="D424" s="108" t="s">
        <v>12</v>
      </c>
      <c r="E424" s="742">
        <v>406</v>
      </c>
      <c r="F424" s="1016" t="str">
        <f t="shared" ca="1" si="43"/>
        <v/>
      </c>
      <c r="G424" s="1027" t="str">
        <f t="shared" ca="1" si="44"/>
        <v/>
      </c>
      <c r="H424" s="1043" t="str">
        <f ca="1"/>
        <v/>
      </c>
      <c r="I424" s="1006" t="str">
        <f ca="1"/>
        <v/>
      </c>
      <c r="J424" s="1006" t="str">
        <f ca="1"/>
        <v/>
      </c>
      <c r="K424" s="1016" t="str">
        <f ca="1"/>
        <v/>
      </c>
      <c r="L424" s="1019" t="str">
        <f ca="1"/>
        <v/>
      </c>
      <c r="M424" s="1006" t="str">
        <f ca="1"/>
        <v/>
      </c>
      <c r="N424" s="1060" t="str">
        <f t="shared" ca="1" si="41"/>
        <v/>
      </c>
      <c r="O424" s="996"/>
      <c r="P424" s="742">
        <v>406</v>
      </c>
      <c r="Q424" s="1016" t="str">
        <f t="shared" ca="1" si="45"/>
        <v/>
      </c>
      <c r="R424" s="1027" t="str">
        <f t="shared" ca="1" si="46"/>
        <v/>
      </c>
      <c r="S424" s="1006" t="str">
        <f ca="1"/>
        <v/>
      </c>
      <c r="T424" s="1006" t="str">
        <f ca="1"/>
        <v/>
      </c>
      <c r="U424" s="1006" t="str">
        <f ca="1"/>
        <v/>
      </c>
      <c r="V424" s="1016" t="str">
        <f ca="1"/>
        <v/>
      </c>
      <c r="W424" s="1019" t="str">
        <f ca="1"/>
        <v/>
      </c>
      <c r="X424" s="1006" t="str">
        <f ca="1"/>
        <v/>
      </c>
      <c r="Y424" s="864" t="str">
        <f t="shared" ca="1" si="42"/>
        <v/>
      </c>
      <c r="AA424" s="828">
        <v>406</v>
      </c>
      <c r="AB424" s="750"/>
      <c r="AC424" s="842"/>
      <c r="AD424" s="830"/>
      <c r="AE424" s="839"/>
      <c r="AF424" s="839"/>
      <c r="AG424" s="750"/>
      <c r="AH424" s="840"/>
      <c r="AI424" s="839"/>
      <c r="AJ424" s="841"/>
      <c r="AK424" s="108" t="s">
        <v>12</v>
      </c>
      <c r="AL424" s="847">
        <v>406</v>
      </c>
      <c r="AM424" s="857"/>
      <c r="AN424" s="842"/>
      <c r="AO424" s="839"/>
      <c r="AP424" s="839"/>
      <c r="AQ424" s="839"/>
      <c r="AR424" s="750"/>
      <c r="AS424" s="840"/>
      <c r="AT424" s="839"/>
      <c r="AU424" s="856"/>
      <c r="AV424" s="108" t="s">
        <v>12</v>
      </c>
    </row>
    <row r="425" spans="4:48">
      <c r="D425" s="108" t="s">
        <v>12</v>
      </c>
      <c r="E425" s="742">
        <v>407</v>
      </c>
      <c r="F425" s="1016" t="str">
        <f t="shared" ca="1" si="43"/>
        <v/>
      </c>
      <c r="G425" s="1027" t="str">
        <f t="shared" ca="1" si="44"/>
        <v/>
      </c>
      <c r="H425" s="1043" t="str">
        <f ca="1"/>
        <v/>
      </c>
      <c r="I425" s="1006" t="str">
        <f ca="1"/>
        <v/>
      </c>
      <c r="J425" s="1006" t="str">
        <f ca="1"/>
        <v/>
      </c>
      <c r="K425" s="1016" t="str">
        <f ca="1"/>
        <v/>
      </c>
      <c r="L425" s="1019" t="str">
        <f ca="1"/>
        <v/>
      </c>
      <c r="M425" s="1006" t="str">
        <f ca="1"/>
        <v/>
      </c>
      <c r="N425" s="1060" t="str">
        <f t="shared" ca="1" si="41"/>
        <v/>
      </c>
      <c r="O425" s="996"/>
      <c r="P425" s="742">
        <v>407</v>
      </c>
      <c r="Q425" s="1016" t="str">
        <f t="shared" ca="1" si="45"/>
        <v/>
      </c>
      <c r="R425" s="1027" t="str">
        <f t="shared" ca="1" si="46"/>
        <v/>
      </c>
      <c r="S425" s="1006" t="str">
        <f ca="1"/>
        <v/>
      </c>
      <c r="T425" s="1006" t="str">
        <f ca="1"/>
        <v/>
      </c>
      <c r="U425" s="1006" t="str">
        <f ca="1"/>
        <v/>
      </c>
      <c r="V425" s="1016" t="str">
        <f ca="1"/>
        <v/>
      </c>
      <c r="W425" s="1019" t="str">
        <f ca="1"/>
        <v/>
      </c>
      <c r="X425" s="1006" t="str">
        <f ca="1"/>
        <v/>
      </c>
      <c r="Y425" s="864" t="str">
        <f t="shared" ca="1" si="42"/>
        <v/>
      </c>
      <c r="AA425" s="828">
        <v>407</v>
      </c>
      <c r="AB425" s="750"/>
      <c r="AC425" s="842"/>
      <c r="AD425" s="830"/>
      <c r="AE425" s="839"/>
      <c r="AF425" s="839"/>
      <c r="AG425" s="750"/>
      <c r="AH425" s="840"/>
      <c r="AI425" s="839"/>
      <c r="AJ425" s="841"/>
      <c r="AK425" s="108" t="s">
        <v>12</v>
      </c>
      <c r="AL425" s="847">
        <v>407</v>
      </c>
      <c r="AM425" s="857"/>
      <c r="AN425" s="842"/>
      <c r="AO425" s="839"/>
      <c r="AP425" s="839"/>
      <c r="AQ425" s="839"/>
      <c r="AR425" s="750"/>
      <c r="AS425" s="840"/>
      <c r="AT425" s="839"/>
      <c r="AU425" s="856"/>
      <c r="AV425" s="108" t="s">
        <v>12</v>
      </c>
    </row>
    <row r="426" spans="4:48">
      <c r="D426" s="108" t="s">
        <v>12</v>
      </c>
      <c r="E426" s="742">
        <v>408</v>
      </c>
      <c r="F426" s="1016" t="str">
        <f t="shared" ca="1" si="43"/>
        <v/>
      </c>
      <c r="G426" s="1027" t="str">
        <f t="shared" ca="1" si="44"/>
        <v/>
      </c>
      <c r="H426" s="1043" t="str">
        <f ca="1"/>
        <v/>
      </c>
      <c r="I426" s="1006" t="str">
        <f ca="1"/>
        <v/>
      </c>
      <c r="J426" s="1006" t="str">
        <f ca="1"/>
        <v/>
      </c>
      <c r="K426" s="1016" t="str">
        <f ca="1"/>
        <v/>
      </c>
      <c r="L426" s="1019" t="str">
        <f ca="1"/>
        <v/>
      </c>
      <c r="M426" s="1006" t="str">
        <f ca="1"/>
        <v/>
      </c>
      <c r="N426" s="1060" t="str">
        <f t="shared" ca="1" si="41"/>
        <v/>
      </c>
      <c r="O426" s="996"/>
      <c r="P426" s="742">
        <v>408</v>
      </c>
      <c r="Q426" s="1016" t="str">
        <f t="shared" ca="1" si="45"/>
        <v/>
      </c>
      <c r="R426" s="1027" t="str">
        <f t="shared" ca="1" si="46"/>
        <v/>
      </c>
      <c r="S426" s="1006" t="str">
        <f ca="1"/>
        <v/>
      </c>
      <c r="T426" s="1006" t="str">
        <f ca="1"/>
        <v/>
      </c>
      <c r="U426" s="1006" t="str">
        <f ca="1"/>
        <v/>
      </c>
      <c r="V426" s="1016" t="str">
        <f ca="1"/>
        <v/>
      </c>
      <c r="W426" s="1019" t="str">
        <f ca="1"/>
        <v/>
      </c>
      <c r="X426" s="1006" t="str">
        <f ca="1"/>
        <v/>
      </c>
      <c r="Y426" s="864" t="str">
        <f t="shared" ca="1" si="42"/>
        <v/>
      </c>
      <c r="AA426" s="828">
        <v>408</v>
      </c>
      <c r="AB426" s="750"/>
      <c r="AC426" s="842"/>
      <c r="AD426" s="830"/>
      <c r="AE426" s="839"/>
      <c r="AF426" s="839"/>
      <c r="AG426" s="750"/>
      <c r="AH426" s="840"/>
      <c r="AI426" s="839"/>
      <c r="AJ426" s="841"/>
      <c r="AK426" s="108" t="s">
        <v>12</v>
      </c>
      <c r="AL426" s="847">
        <v>408</v>
      </c>
      <c r="AM426" s="857"/>
      <c r="AN426" s="842"/>
      <c r="AO426" s="839"/>
      <c r="AP426" s="839"/>
      <c r="AQ426" s="839"/>
      <c r="AR426" s="750"/>
      <c r="AS426" s="840"/>
      <c r="AT426" s="839"/>
      <c r="AU426" s="856"/>
      <c r="AV426" s="108" t="s">
        <v>12</v>
      </c>
    </row>
    <row r="427" spans="4:48">
      <c r="D427" s="108" t="s">
        <v>12</v>
      </c>
      <c r="E427" s="742">
        <v>409</v>
      </c>
      <c r="F427" s="1016" t="str">
        <f t="shared" ca="1" si="43"/>
        <v/>
      </c>
      <c r="G427" s="1027" t="str">
        <f t="shared" ca="1" si="44"/>
        <v/>
      </c>
      <c r="H427" s="1043" t="str">
        <f ca="1"/>
        <v/>
      </c>
      <c r="I427" s="1006" t="str">
        <f ca="1"/>
        <v/>
      </c>
      <c r="J427" s="1006" t="str">
        <f ca="1"/>
        <v/>
      </c>
      <c r="K427" s="1016" t="str">
        <f ca="1"/>
        <v/>
      </c>
      <c r="L427" s="1019" t="str">
        <f ca="1"/>
        <v/>
      </c>
      <c r="M427" s="1006" t="str">
        <f ca="1"/>
        <v/>
      </c>
      <c r="N427" s="1060" t="str">
        <f t="shared" ca="1" si="41"/>
        <v/>
      </c>
      <c r="O427" s="996"/>
      <c r="P427" s="742">
        <v>409</v>
      </c>
      <c r="Q427" s="1016" t="str">
        <f t="shared" ca="1" si="45"/>
        <v/>
      </c>
      <c r="R427" s="1027" t="str">
        <f t="shared" ca="1" si="46"/>
        <v/>
      </c>
      <c r="S427" s="1006" t="str">
        <f ca="1"/>
        <v/>
      </c>
      <c r="T427" s="1006" t="str">
        <f ca="1"/>
        <v/>
      </c>
      <c r="U427" s="1006" t="str">
        <f ca="1"/>
        <v/>
      </c>
      <c r="V427" s="1016" t="str">
        <f ca="1"/>
        <v/>
      </c>
      <c r="W427" s="1019" t="str">
        <f ca="1"/>
        <v/>
      </c>
      <c r="X427" s="1006" t="str">
        <f ca="1"/>
        <v/>
      </c>
      <c r="Y427" s="864" t="str">
        <f t="shared" ca="1" si="42"/>
        <v/>
      </c>
      <c r="AA427" s="828">
        <v>409</v>
      </c>
      <c r="AB427" s="750"/>
      <c r="AC427" s="842"/>
      <c r="AD427" s="830"/>
      <c r="AE427" s="839"/>
      <c r="AF427" s="839"/>
      <c r="AG427" s="750"/>
      <c r="AH427" s="840"/>
      <c r="AI427" s="839"/>
      <c r="AJ427" s="841"/>
      <c r="AK427" s="108" t="s">
        <v>12</v>
      </c>
      <c r="AL427" s="847">
        <v>409</v>
      </c>
      <c r="AM427" s="857"/>
      <c r="AN427" s="842"/>
      <c r="AO427" s="839"/>
      <c r="AP427" s="839"/>
      <c r="AQ427" s="839"/>
      <c r="AR427" s="750"/>
      <c r="AS427" s="840"/>
      <c r="AT427" s="839"/>
      <c r="AU427" s="856"/>
      <c r="AV427" s="108" t="s">
        <v>12</v>
      </c>
    </row>
    <row r="428" spans="4:48">
      <c r="D428" s="108" t="s">
        <v>12</v>
      </c>
      <c r="E428" s="742">
        <v>410</v>
      </c>
      <c r="F428" s="1016" t="str">
        <f t="shared" ca="1" si="43"/>
        <v/>
      </c>
      <c r="G428" s="1027" t="str">
        <f t="shared" ca="1" si="44"/>
        <v/>
      </c>
      <c r="H428" s="1043" t="str">
        <f ca="1"/>
        <v/>
      </c>
      <c r="I428" s="1006" t="str">
        <f ca="1"/>
        <v/>
      </c>
      <c r="J428" s="1006" t="str">
        <f ca="1"/>
        <v/>
      </c>
      <c r="K428" s="1016" t="str">
        <f ca="1"/>
        <v/>
      </c>
      <c r="L428" s="1019" t="str">
        <f ca="1"/>
        <v/>
      </c>
      <c r="M428" s="1006" t="str">
        <f ca="1"/>
        <v/>
      </c>
      <c r="N428" s="1060" t="str">
        <f t="shared" ca="1" si="41"/>
        <v/>
      </c>
      <c r="O428" s="996"/>
      <c r="P428" s="742">
        <v>410</v>
      </c>
      <c r="Q428" s="1016" t="str">
        <f t="shared" ca="1" si="45"/>
        <v/>
      </c>
      <c r="R428" s="1027" t="str">
        <f t="shared" ca="1" si="46"/>
        <v/>
      </c>
      <c r="S428" s="1006" t="str">
        <f ca="1"/>
        <v/>
      </c>
      <c r="T428" s="1006" t="str">
        <f ca="1"/>
        <v/>
      </c>
      <c r="U428" s="1006" t="str">
        <f ca="1"/>
        <v/>
      </c>
      <c r="V428" s="1016" t="str">
        <f ca="1"/>
        <v/>
      </c>
      <c r="W428" s="1019" t="str">
        <f ca="1"/>
        <v/>
      </c>
      <c r="X428" s="1006" t="str">
        <f ca="1"/>
        <v/>
      </c>
      <c r="Y428" s="864" t="str">
        <f t="shared" ca="1" si="42"/>
        <v/>
      </c>
      <c r="AA428" s="828">
        <v>410</v>
      </c>
      <c r="AB428" s="750"/>
      <c r="AC428" s="842"/>
      <c r="AD428" s="830"/>
      <c r="AE428" s="839"/>
      <c r="AF428" s="839"/>
      <c r="AG428" s="750"/>
      <c r="AH428" s="840"/>
      <c r="AI428" s="839"/>
      <c r="AJ428" s="841"/>
      <c r="AK428" s="108" t="s">
        <v>12</v>
      </c>
      <c r="AL428" s="847">
        <v>410</v>
      </c>
      <c r="AM428" s="857"/>
      <c r="AN428" s="842"/>
      <c r="AO428" s="839"/>
      <c r="AP428" s="839"/>
      <c r="AQ428" s="839"/>
      <c r="AR428" s="750"/>
      <c r="AS428" s="840"/>
      <c r="AT428" s="839"/>
      <c r="AU428" s="856"/>
      <c r="AV428" s="108" t="s">
        <v>12</v>
      </c>
    </row>
    <row r="429" spans="4:48">
      <c r="D429" s="108" t="s">
        <v>12</v>
      </c>
      <c r="E429" s="742">
        <v>411</v>
      </c>
      <c r="F429" s="1016" t="str">
        <f t="shared" ca="1" si="43"/>
        <v/>
      </c>
      <c r="G429" s="1027" t="str">
        <f t="shared" ca="1" si="44"/>
        <v/>
      </c>
      <c r="H429" s="1043" t="str">
        <f ca="1"/>
        <v/>
      </c>
      <c r="I429" s="1006" t="str">
        <f ca="1"/>
        <v/>
      </c>
      <c r="J429" s="1006" t="str">
        <f ca="1"/>
        <v/>
      </c>
      <c r="K429" s="1016" t="str">
        <f ca="1"/>
        <v/>
      </c>
      <c r="L429" s="1019" t="str">
        <f ca="1"/>
        <v/>
      </c>
      <c r="M429" s="1006" t="str">
        <f ca="1"/>
        <v/>
      </c>
      <c r="N429" s="1060" t="str">
        <f t="shared" ca="1" si="41"/>
        <v/>
      </c>
      <c r="O429" s="996"/>
      <c r="P429" s="742">
        <v>411</v>
      </c>
      <c r="Q429" s="1016" t="str">
        <f t="shared" ca="1" si="45"/>
        <v/>
      </c>
      <c r="R429" s="1027" t="str">
        <f t="shared" ca="1" si="46"/>
        <v/>
      </c>
      <c r="S429" s="1006" t="str">
        <f ca="1"/>
        <v/>
      </c>
      <c r="T429" s="1006" t="str">
        <f ca="1"/>
        <v/>
      </c>
      <c r="U429" s="1006" t="str">
        <f ca="1"/>
        <v/>
      </c>
      <c r="V429" s="1016" t="str">
        <f ca="1"/>
        <v/>
      </c>
      <c r="W429" s="1019" t="str">
        <f ca="1"/>
        <v/>
      </c>
      <c r="X429" s="1006" t="str">
        <f ca="1"/>
        <v/>
      </c>
      <c r="Y429" s="864" t="str">
        <f t="shared" ca="1" si="42"/>
        <v/>
      </c>
      <c r="AA429" s="828">
        <v>411</v>
      </c>
      <c r="AB429" s="750"/>
      <c r="AC429" s="842"/>
      <c r="AD429" s="830"/>
      <c r="AE429" s="839"/>
      <c r="AF429" s="839"/>
      <c r="AG429" s="750"/>
      <c r="AH429" s="840"/>
      <c r="AI429" s="839"/>
      <c r="AJ429" s="841"/>
      <c r="AK429" s="108" t="s">
        <v>12</v>
      </c>
      <c r="AL429" s="847">
        <v>411</v>
      </c>
      <c r="AM429" s="857"/>
      <c r="AN429" s="842"/>
      <c r="AO429" s="839"/>
      <c r="AP429" s="839"/>
      <c r="AQ429" s="839"/>
      <c r="AR429" s="750"/>
      <c r="AS429" s="840"/>
      <c r="AT429" s="839"/>
      <c r="AU429" s="856"/>
      <c r="AV429" s="108" t="s">
        <v>12</v>
      </c>
    </row>
    <row r="430" spans="4:48">
      <c r="D430" s="108" t="s">
        <v>12</v>
      </c>
      <c r="E430" s="742">
        <v>412</v>
      </c>
      <c r="F430" s="1016" t="str">
        <f t="shared" ca="1" si="43"/>
        <v/>
      </c>
      <c r="G430" s="1027" t="str">
        <f t="shared" ca="1" si="44"/>
        <v/>
      </c>
      <c r="H430" s="1043" t="str">
        <f ca="1"/>
        <v/>
      </c>
      <c r="I430" s="1006" t="str">
        <f ca="1"/>
        <v/>
      </c>
      <c r="J430" s="1006" t="str">
        <f ca="1"/>
        <v/>
      </c>
      <c r="K430" s="1016" t="str">
        <f ca="1"/>
        <v/>
      </c>
      <c r="L430" s="1019" t="str">
        <f ca="1"/>
        <v/>
      </c>
      <c r="M430" s="1006" t="str">
        <f ca="1"/>
        <v/>
      </c>
      <c r="N430" s="1060" t="str">
        <f t="shared" ca="1" si="41"/>
        <v/>
      </c>
      <c r="O430" s="996"/>
      <c r="P430" s="742">
        <v>412</v>
      </c>
      <c r="Q430" s="1016" t="str">
        <f t="shared" ca="1" si="45"/>
        <v/>
      </c>
      <c r="R430" s="1027" t="str">
        <f t="shared" ca="1" si="46"/>
        <v/>
      </c>
      <c r="S430" s="1006" t="str">
        <f ca="1"/>
        <v/>
      </c>
      <c r="T430" s="1006" t="str">
        <f ca="1"/>
        <v/>
      </c>
      <c r="U430" s="1006" t="str">
        <f ca="1"/>
        <v/>
      </c>
      <c r="V430" s="1016" t="str">
        <f ca="1"/>
        <v/>
      </c>
      <c r="W430" s="1019" t="str">
        <f ca="1"/>
        <v/>
      </c>
      <c r="X430" s="1006" t="str">
        <f ca="1"/>
        <v/>
      </c>
      <c r="Y430" s="864" t="str">
        <f t="shared" ca="1" si="42"/>
        <v/>
      </c>
      <c r="AA430" s="828">
        <v>412</v>
      </c>
      <c r="AB430" s="750"/>
      <c r="AC430" s="842"/>
      <c r="AD430" s="830"/>
      <c r="AE430" s="839"/>
      <c r="AF430" s="839"/>
      <c r="AG430" s="750"/>
      <c r="AH430" s="840"/>
      <c r="AI430" s="839"/>
      <c r="AJ430" s="841"/>
      <c r="AK430" s="108" t="s">
        <v>12</v>
      </c>
      <c r="AL430" s="847">
        <v>412</v>
      </c>
      <c r="AM430" s="857"/>
      <c r="AN430" s="842"/>
      <c r="AO430" s="839"/>
      <c r="AP430" s="839"/>
      <c r="AQ430" s="839"/>
      <c r="AR430" s="750"/>
      <c r="AS430" s="840"/>
      <c r="AT430" s="839"/>
      <c r="AU430" s="856"/>
      <c r="AV430" s="108" t="s">
        <v>12</v>
      </c>
    </row>
    <row r="431" spans="4:48">
      <c r="D431" s="108" t="s">
        <v>12</v>
      </c>
      <c r="E431" s="742">
        <v>413</v>
      </c>
      <c r="F431" s="1016" t="str">
        <f t="shared" ca="1" si="43"/>
        <v/>
      </c>
      <c r="G431" s="1027" t="str">
        <f t="shared" ca="1" si="44"/>
        <v/>
      </c>
      <c r="H431" s="1043" t="str">
        <f ca="1"/>
        <v/>
      </c>
      <c r="I431" s="1006" t="str">
        <f ca="1"/>
        <v/>
      </c>
      <c r="J431" s="1006" t="str">
        <f ca="1"/>
        <v/>
      </c>
      <c r="K431" s="1016" t="str">
        <f ca="1"/>
        <v/>
      </c>
      <c r="L431" s="1019" t="str">
        <f ca="1"/>
        <v/>
      </c>
      <c r="M431" s="1006" t="str">
        <f ca="1"/>
        <v/>
      </c>
      <c r="N431" s="1060" t="str">
        <f t="shared" ca="1" si="41"/>
        <v/>
      </c>
      <c r="O431" s="996"/>
      <c r="P431" s="742">
        <v>413</v>
      </c>
      <c r="Q431" s="1016" t="str">
        <f t="shared" ca="1" si="45"/>
        <v/>
      </c>
      <c r="R431" s="1027" t="str">
        <f t="shared" ca="1" si="46"/>
        <v/>
      </c>
      <c r="S431" s="1006" t="str">
        <f ca="1"/>
        <v/>
      </c>
      <c r="T431" s="1006" t="str">
        <f ca="1"/>
        <v/>
      </c>
      <c r="U431" s="1006" t="str">
        <f ca="1"/>
        <v/>
      </c>
      <c r="V431" s="1016" t="str">
        <f ca="1"/>
        <v/>
      </c>
      <c r="W431" s="1019" t="str">
        <f ca="1"/>
        <v/>
      </c>
      <c r="X431" s="1006" t="str">
        <f ca="1"/>
        <v/>
      </c>
      <c r="Y431" s="864" t="str">
        <f t="shared" ca="1" si="42"/>
        <v/>
      </c>
      <c r="AA431" s="828">
        <v>413</v>
      </c>
      <c r="AB431" s="750"/>
      <c r="AC431" s="842"/>
      <c r="AD431" s="830"/>
      <c r="AE431" s="839"/>
      <c r="AF431" s="839"/>
      <c r="AG431" s="750"/>
      <c r="AH431" s="840"/>
      <c r="AI431" s="839"/>
      <c r="AJ431" s="841"/>
      <c r="AK431" s="108" t="s">
        <v>12</v>
      </c>
      <c r="AL431" s="847">
        <v>413</v>
      </c>
      <c r="AM431" s="857"/>
      <c r="AN431" s="842"/>
      <c r="AO431" s="839"/>
      <c r="AP431" s="839"/>
      <c r="AQ431" s="839"/>
      <c r="AR431" s="750"/>
      <c r="AS431" s="840"/>
      <c r="AT431" s="839"/>
      <c r="AU431" s="856"/>
      <c r="AV431" s="108" t="s">
        <v>12</v>
      </c>
    </row>
    <row r="432" spans="4:48">
      <c r="D432" s="108" t="s">
        <v>12</v>
      </c>
      <c r="E432" s="742">
        <v>414</v>
      </c>
      <c r="F432" s="1016" t="str">
        <f t="shared" ca="1" si="43"/>
        <v/>
      </c>
      <c r="G432" s="1027" t="str">
        <f t="shared" ca="1" si="44"/>
        <v/>
      </c>
      <c r="H432" s="1043" t="str">
        <f ca="1"/>
        <v/>
      </c>
      <c r="I432" s="1006" t="str">
        <f ca="1"/>
        <v/>
      </c>
      <c r="J432" s="1006" t="str">
        <f ca="1"/>
        <v/>
      </c>
      <c r="K432" s="1016" t="str">
        <f ca="1"/>
        <v/>
      </c>
      <c r="L432" s="1019" t="str">
        <f ca="1"/>
        <v/>
      </c>
      <c r="M432" s="1006" t="str">
        <f ca="1"/>
        <v/>
      </c>
      <c r="N432" s="1060" t="str">
        <f t="shared" ca="1" si="41"/>
        <v/>
      </c>
      <c r="O432" s="996"/>
      <c r="P432" s="742">
        <v>414</v>
      </c>
      <c r="Q432" s="1016" t="str">
        <f t="shared" ca="1" si="45"/>
        <v/>
      </c>
      <c r="R432" s="1027" t="str">
        <f t="shared" ca="1" si="46"/>
        <v/>
      </c>
      <c r="S432" s="1006" t="str">
        <f ca="1"/>
        <v/>
      </c>
      <c r="T432" s="1006" t="str">
        <f ca="1"/>
        <v/>
      </c>
      <c r="U432" s="1006" t="str">
        <f ca="1"/>
        <v/>
      </c>
      <c r="V432" s="1016" t="str">
        <f ca="1"/>
        <v/>
      </c>
      <c r="W432" s="1019" t="str">
        <f ca="1"/>
        <v/>
      </c>
      <c r="X432" s="1006" t="str">
        <f ca="1"/>
        <v/>
      </c>
      <c r="Y432" s="864" t="str">
        <f t="shared" ca="1" si="42"/>
        <v/>
      </c>
      <c r="AA432" s="828">
        <v>414</v>
      </c>
      <c r="AB432" s="750"/>
      <c r="AC432" s="842"/>
      <c r="AD432" s="830"/>
      <c r="AE432" s="839"/>
      <c r="AF432" s="839"/>
      <c r="AG432" s="750"/>
      <c r="AH432" s="840"/>
      <c r="AI432" s="839"/>
      <c r="AJ432" s="841"/>
      <c r="AK432" s="108" t="s">
        <v>12</v>
      </c>
      <c r="AL432" s="847">
        <v>414</v>
      </c>
      <c r="AM432" s="857"/>
      <c r="AN432" s="842"/>
      <c r="AO432" s="839"/>
      <c r="AP432" s="839"/>
      <c r="AQ432" s="839"/>
      <c r="AR432" s="750"/>
      <c r="AS432" s="840"/>
      <c r="AT432" s="839"/>
      <c r="AU432" s="856"/>
      <c r="AV432" s="108" t="s">
        <v>12</v>
      </c>
    </row>
    <row r="433" spans="4:48">
      <c r="D433" s="108" t="s">
        <v>12</v>
      </c>
      <c r="E433" s="742">
        <v>415</v>
      </c>
      <c r="F433" s="1016" t="str">
        <f t="shared" ca="1" si="43"/>
        <v/>
      </c>
      <c r="G433" s="1027" t="str">
        <f t="shared" ca="1" si="44"/>
        <v/>
      </c>
      <c r="H433" s="1043" t="str">
        <f ca="1"/>
        <v/>
      </c>
      <c r="I433" s="1006" t="str">
        <f ca="1"/>
        <v/>
      </c>
      <c r="J433" s="1006" t="str">
        <f ca="1"/>
        <v/>
      </c>
      <c r="K433" s="1016" t="str">
        <f ca="1"/>
        <v/>
      </c>
      <c r="L433" s="1019" t="str">
        <f ca="1"/>
        <v/>
      </c>
      <c r="M433" s="1006" t="str">
        <f ca="1"/>
        <v/>
      </c>
      <c r="N433" s="1060" t="str">
        <f t="shared" ca="1" si="41"/>
        <v/>
      </c>
      <c r="O433" s="996"/>
      <c r="P433" s="742">
        <v>415</v>
      </c>
      <c r="Q433" s="1016" t="str">
        <f t="shared" ca="1" si="45"/>
        <v/>
      </c>
      <c r="R433" s="1027" t="str">
        <f t="shared" ca="1" si="46"/>
        <v/>
      </c>
      <c r="S433" s="1006" t="str">
        <f ca="1"/>
        <v/>
      </c>
      <c r="T433" s="1006" t="str">
        <f ca="1"/>
        <v/>
      </c>
      <c r="U433" s="1006" t="str">
        <f ca="1"/>
        <v/>
      </c>
      <c r="V433" s="1016" t="str">
        <f ca="1"/>
        <v/>
      </c>
      <c r="W433" s="1019" t="str">
        <f ca="1"/>
        <v/>
      </c>
      <c r="X433" s="1006" t="str">
        <f ca="1"/>
        <v/>
      </c>
      <c r="Y433" s="864" t="str">
        <f t="shared" ca="1" si="42"/>
        <v/>
      </c>
      <c r="AA433" s="828">
        <v>415</v>
      </c>
      <c r="AB433" s="750"/>
      <c r="AC433" s="842"/>
      <c r="AD433" s="830"/>
      <c r="AE433" s="839"/>
      <c r="AF433" s="839"/>
      <c r="AG433" s="750"/>
      <c r="AH433" s="840"/>
      <c r="AI433" s="839"/>
      <c r="AJ433" s="841"/>
      <c r="AK433" s="108" t="s">
        <v>12</v>
      </c>
      <c r="AL433" s="847">
        <v>415</v>
      </c>
      <c r="AM433" s="857"/>
      <c r="AN433" s="842"/>
      <c r="AO433" s="839"/>
      <c r="AP433" s="839"/>
      <c r="AQ433" s="839"/>
      <c r="AR433" s="750"/>
      <c r="AS433" s="840"/>
      <c r="AT433" s="839"/>
      <c r="AU433" s="856"/>
      <c r="AV433" s="108" t="s">
        <v>12</v>
      </c>
    </row>
    <row r="434" spans="4:48">
      <c r="D434" s="108" t="s">
        <v>12</v>
      </c>
      <c r="E434" s="742">
        <v>416</v>
      </c>
      <c r="F434" s="1016" t="str">
        <f t="shared" ca="1" si="43"/>
        <v/>
      </c>
      <c r="G434" s="1027" t="str">
        <f t="shared" ca="1" si="44"/>
        <v/>
      </c>
      <c r="H434" s="1043" t="str">
        <f ca="1"/>
        <v/>
      </c>
      <c r="I434" s="1006" t="str">
        <f ca="1"/>
        <v/>
      </c>
      <c r="J434" s="1006" t="str">
        <f ca="1"/>
        <v/>
      </c>
      <c r="K434" s="1016" t="str">
        <f ca="1"/>
        <v/>
      </c>
      <c r="L434" s="1019" t="str">
        <f ca="1"/>
        <v/>
      </c>
      <c r="M434" s="1006" t="str">
        <f ca="1"/>
        <v/>
      </c>
      <c r="N434" s="1060" t="str">
        <f t="shared" ca="1" si="41"/>
        <v/>
      </c>
      <c r="O434" s="996"/>
      <c r="P434" s="742">
        <v>416</v>
      </c>
      <c r="Q434" s="1016" t="str">
        <f t="shared" ca="1" si="45"/>
        <v/>
      </c>
      <c r="R434" s="1027" t="str">
        <f t="shared" ca="1" si="46"/>
        <v/>
      </c>
      <c r="S434" s="1006" t="str">
        <f ca="1"/>
        <v/>
      </c>
      <c r="T434" s="1006" t="str">
        <f ca="1"/>
        <v/>
      </c>
      <c r="U434" s="1006" t="str">
        <f ca="1"/>
        <v/>
      </c>
      <c r="V434" s="1016" t="str">
        <f ca="1"/>
        <v/>
      </c>
      <c r="W434" s="1019" t="str">
        <f ca="1"/>
        <v/>
      </c>
      <c r="X434" s="1006" t="str">
        <f ca="1"/>
        <v/>
      </c>
      <c r="Y434" s="864" t="str">
        <f t="shared" ca="1" si="42"/>
        <v/>
      </c>
      <c r="AA434" s="828">
        <v>416</v>
      </c>
      <c r="AB434" s="750"/>
      <c r="AC434" s="842"/>
      <c r="AD434" s="830"/>
      <c r="AE434" s="839"/>
      <c r="AF434" s="839"/>
      <c r="AG434" s="750"/>
      <c r="AH434" s="840"/>
      <c r="AI434" s="839"/>
      <c r="AJ434" s="841"/>
      <c r="AK434" s="108" t="s">
        <v>12</v>
      </c>
      <c r="AL434" s="847">
        <v>416</v>
      </c>
      <c r="AM434" s="857"/>
      <c r="AN434" s="842"/>
      <c r="AO434" s="839"/>
      <c r="AP434" s="839"/>
      <c r="AQ434" s="839"/>
      <c r="AR434" s="750"/>
      <c r="AS434" s="840"/>
      <c r="AT434" s="839"/>
      <c r="AU434" s="856"/>
      <c r="AV434" s="108" t="s">
        <v>12</v>
      </c>
    </row>
    <row r="435" spans="4:48">
      <c r="D435" s="108" t="s">
        <v>12</v>
      </c>
      <c r="E435" s="742">
        <v>417</v>
      </c>
      <c r="F435" s="1016" t="str">
        <f t="shared" ca="1" si="43"/>
        <v/>
      </c>
      <c r="G435" s="1027" t="str">
        <f t="shared" ca="1" si="44"/>
        <v/>
      </c>
      <c r="H435" s="1043" t="str">
        <f ca="1"/>
        <v/>
      </c>
      <c r="I435" s="1006" t="str">
        <f ca="1"/>
        <v/>
      </c>
      <c r="J435" s="1006" t="str">
        <f ca="1"/>
        <v/>
      </c>
      <c r="K435" s="1016" t="str">
        <f ca="1"/>
        <v/>
      </c>
      <c r="L435" s="1019" t="str">
        <f ca="1"/>
        <v/>
      </c>
      <c r="M435" s="1006" t="str">
        <f ca="1"/>
        <v/>
      </c>
      <c r="N435" s="1060" t="str">
        <f t="shared" ca="1" si="41"/>
        <v/>
      </c>
      <c r="O435" s="996"/>
      <c r="P435" s="742">
        <v>417</v>
      </c>
      <c r="Q435" s="1016" t="str">
        <f t="shared" ca="1" si="45"/>
        <v/>
      </c>
      <c r="R435" s="1027" t="str">
        <f t="shared" ca="1" si="46"/>
        <v/>
      </c>
      <c r="S435" s="1006" t="str">
        <f ca="1"/>
        <v/>
      </c>
      <c r="T435" s="1006" t="str">
        <f ca="1"/>
        <v/>
      </c>
      <c r="U435" s="1006" t="str">
        <f ca="1"/>
        <v/>
      </c>
      <c r="V435" s="1016" t="str">
        <f ca="1"/>
        <v/>
      </c>
      <c r="W435" s="1019" t="str">
        <f ca="1"/>
        <v/>
      </c>
      <c r="X435" s="1006" t="str">
        <f ca="1"/>
        <v/>
      </c>
      <c r="Y435" s="864" t="str">
        <f t="shared" ca="1" si="42"/>
        <v/>
      </c>
      <c r="AA435" s="828">
        <v>417</v>
      </c>
      <c r="AB435" s="750"/>
      <c r="AC435" s="842"/>
      <c r="AD435" s="830"/>
      <c r="AE435" s="839"/>
      <c r="AF435" s="839"/>
      <c r="AG435" s="750"/>
      <c r="AH435" s="840"/>
      <c r="AI435" s="839"/>
      <c r="AJ435" s="841"/>
      <c r="AK435" s="108" t="s">
        <v>12</v>
      </c>
      <c r="AL435" s="847">
        <v>417</v>
      </c>
      <c r="AM435" s="857"/>
      <c r="AN435" s="842"/>
      <c r="AO435" s="839"/>
      <c r="AP435" s="839"/>
      <c r="AQ435" s="839"/>
      <c r="AR435" s="750"/>
      <c r="AS435" s="840"/>
      <c r="AT435" s="839"/>
      <c r="AU435" s="856"/>
      <c r="AV435" s="108" t="s">
        <v>12</v>
      </c>
    </row>
    <row r="436" spans="4:48">
      <c r="D436" s="108" t="s">
        <v>12</v>
      </c>
      <c r="E436" s="742">
        <v>418</v>
      </c>
      <c r="F436" s="1016" t="str">
        <f t="shared" ca="1" si="43"/>
        <v/>
      </c>
      <c r="G436" s="1027" t="str">
        <f t="shared" ca="1" si="44"/>
        <v/>
      </c>
      <c r="H436" s="1043" t="str">
        <f ca="1"/>
        <v/>
      </c>
      <c r="I436" s="1006" t="str">
        <f ca="1"/>
        <v/>
      </c>
      <c r="J436" s="1006" t="str">
        <f ca="1"/>
        <v/>
      </c>
      <c r="K436" s="1016" t="str">
        <f ca="1"/>
        <v/>
      </c>
      <c r="L436" s="1019" t="str">
        <f ca="1"/>
        <v/>
      </c>
      <c r="M436" s="1006" t="str">
        <f ca="1"/>
        <v/>
      </c>
      <c r="N436" s="1060" t="str">
        <f t="shared" ca="1" si="41"/>
        <v/>
      </c>
      <c r="O436" s="996"/>
      <c r="P436" s="742">
        <v>418</v>
      </c>
      <c r="Q436" s="1016" t="str">
        <f t="shared" ca="1" si="45"/>
        <v/>
      </c>
      <c r="R436" s="1027" t="str">
        <f t="shared" ca="1" si="46"/>
        <v/>
      </c>
      <c r="S436" s="1006" t="str">
        <f ca="1"/>
        <v/>
      </c>
      <c r="T436" s="1006" t="str">
        <f ca="1"/>
        <v/>
      </c>
      <c r="U436" s="1006" t="str">
        <f ca="1"/>
        <v/>
      </c>
      <c r="V436" s="1016" t="str">
        <f ca="1"/>
        <v/>
      </c>
      <c r="W436" s="1019" t="str">
        <f ca="1"/>
        <v/>
      </c>
      <c r="X436" s="1006" t="str">
        <f ca="1"/>
        <v/>
      </c>
      <c r="Y436" s="864" t="str">
        <f t="shared" ca="1" si="42"/>
        <v/>
      </c>
      <c r="AA436" s="828">
        <v>418</v>
      </c>
      <c r="AB436" s="750"/>
      <c r="AC436" s="842"/>
      <c r="AD436" s="830"/>
      <c r="AE436" s="839"/>
      <c r="AF436" s="839"/>
      <c r="AG436" s="750"/>
      <c r="AH436" s="840"/>
      <c r="AI436" s="839"/>
      <c r="AJ436" s="841"/>
      <c r="AK436" s="108" t="s">
        <v>12</v>
      </c>
      <c r="AL436" s="847">
        <v>418</v>
      </c>
      <c r="AM436" s="857"/>
      <c r="AN436" s="842"/>
      <c r="AO436" s="839"/>
      <c r="AP436" s="839"/>
      <c r="AQ436" s="839"/>
      <c r="AR436" s="750"/>
      <c r="AS436" s="840"/>
      <c r="AT436" s="839"/>
      <c r="AU436" s="856"/>
      <c r="AV436" s="108" t="s">
        <v>12</v>
      </c>
    </row>
    <row r="437" spans="4:48">
      <c r="D437" s="108" t="s">
        <v>12</v>
      </c>
      <c r="E437" s="742">
        <v>419</v>
      </c>
      <c r="F437" s="1016" t="str">
        <f t="shared" ca="1" si="43"/>
        <v/>
      </c>
      <c r="G437" s="1027" t="str">
        <f t="shared" ca="1" si="44"/>
        <v/>
      </c>
      <c r="H437" s="1043" t="str">
        <f ca="1"/>
        <v/>
      </c>
      <c r="I437" s="1006" t="str">
        <f ca="1"/>
        <v/>
      </c>
      <c r="J437" s="1006" t="str">
        <f ca="1"/>
        <v/>
      </c>
      <c r="K437" s="1016" t="str">
        <f ca="1"/>
        <v/>
      </c>
      <c r="L437" s="1019" t="str">
        <f ca="1"/>
        <v/>
      </c>
      <c r="M437" s="1006" t="str">
        <f ca="1"/>
        <v/>
      </c>
      <c r="N437" s="1060" t="str">
        <f t="shared" ca="1" si="41"/>
        <v/>
      </c>
      <c r="O437" s="996"/>
      <c r="P437" s="742">
        <v>419</v>
      </c>
      <c r="Q437" s="1016" t="str">
        <f t="shared" ca="1" si="45"/>
        <v/>
      </c>
      <c r="R437" s="1027" t="str">
        <f t="shared" ca="1" si="46"/>
        <v/>
      </c>
      <c r="S437" s="1006" t="str">
        <f ca="1"/>
        <v/>
      </c>
      <c r="T437" s="1006" t="str">
        <f ca="1"/>
        <v/>
      </c>
      <c r="U437" s="1006" t="str">
        <f ca="1"/>
        <v/>
      </c>
      <c r="V437" s="1016" t="str">
        <f ca="1"/>
        <v/>
      </c>
      <c r="W437" s="1019" t="str">
        <f ca="1"/>
        <v/>
      </c>
      <c r="X437" s="1006" t="str">
        <f ca="1"/>
        <v/>
      </c>
      <c r="Y437" s="864" t="str">
        <f t="shared" ca="1" si="42"/>
        <v/>
      </c>
      <c r="AA437" s="828">
        <v>419</v>
      </c>
      <c r="AB437" s="750"/>
      <c r="AC437" s="842"/>
      <c r="AD437" s="830"/>
      <c r="AE437" s="839"/>
      <c r="AF437" s="839"/>
      <c r="AG437" s="750"/>
      <c r="AH437" s="840"/>
      <c r="AI437" s="839"/>
      <c r="AJ437" s="841"/>
      <c r="AK437" s="108" t="s">
        <v>12</v>
      </c>
      <c r="AL437" s="847">
        <v>419</v>
      </c>
      <c r="AM437" s="857"/>
      <c r="AN437" s="842"/>
      <c r="AO437" s="839"/>
      <c r="AP437" s="839"/>
      <c r="AQ437" s="839"/>
      <c r="AR437" s="750"/>
      <c r="AS437" s="840"/>
      <c r="AT437" s="839"/>
      <c r="AU437" s="856"/>
      <c r="AV437" s="108" t="s">
        <v>12</v>
      </c>
    </row>
    <row r="438" spans="4:48">
      <c r="D438" s="108" t="s">
        <v>12</v>
      </c>
      <c r="E438" s="742">
        <v>420</v>
      </c>
      <c r="F438" s="1016" t="str">
        <f t="shared" ca="1" si="43"/>
        <v/>
      </c>
      <c r="G438" s="1027" t="str">
        <f t="shared" ca="1" si="44"/>
        <v/>
      </c>
      <c r="H438" s="1043" t="str">
        <f ca="1"/>
        <v/>
      </c>
      <c r="I438" s="1006" t="str">
        <f ca="1"/>
        <v/>
      </c>
      <c r="J438" s="1006" t="str">
        <f ca="1"/>
        <v/>
      </c>
      <c r="K438" s="1016" t="str">
        <f ca="1"/>
        <v/>
      </c>
      <c r="L438" s="1019" t="str">
        <f ca="1"/>
        <v/>
      </c>
      <c r="M438" s="1006" t="str">
        <f ca="1"/>
        <v/>
      </c>
      <c r="N438" s="1060" t="str">
        <f t="shared" ca="1" si="41"/>
        <v/>
      </c>
      <c r="O438" s="996"/>
      <c r="P438" s="742">
        <v>420</v>
      </c>
      <c r="Q438" s="1016" t="str">
        <f t="shared" ca="1" si="45"/>
        <v/>
      </c>
      <c r="R438" s="1027" t="str">
        <f t="shared" ca="1" si="46"/>
        <v/>
      </c>
      <c r="S438" s="1006" t="str">
        <f ca="1"/>
        <v/>
      </c>
      <c r="T438" s="1006" t="str">
        <f ca="1"/>
        <v/>
      </c>
      <c r="U438" s="1006" t="str">
        <f ca="1"/>
        <v/>
      </c>
      <c r="V438" s="1016" t="str">
        <f ca="1"/>
        <v/>
      </c>
      <c r="W438" s="1019" t="str">
        <f ca="1"/>
        <v/>
      </c>
      <c r="X438" s="1006" t="str">
        <f ca="1"/>
        <v/>
      </c>
      <c r="Y438" s="864" t="str">
        <f t="shared" ca="1" si="42"/>
        <v/>
      </c>
      <c r="AA438" s="828">
        <v>420</v>
      </c>
      <c r="AB438" s="750"/>
      <c r="AC438" s="842"/>
      <c r="AD438" s="830"/>
      <c r="AE438" s="839"/>
      <c r="AF438" s="839"/>
      <c r="AG438" s="750"/>
      <c r="AH438" s="840"/>
      <c r="AI438" s="839"/>
      <c r="AJ438" s="841"/>
      <c r="AK438" s="108" t="s">
        <v>12</v>
      </c>
      <c r="AL438" s="847">
        <v>420</v>
      </c>
      <c r="AM438" s="857"/>
      <c r="AN438" s="842"/>
      <c r="AO438" s="839"/>
      <c r="AP438" s="839"/>
      <c r="AQ438" s="839"/>
      <c r="AR438" s="750"/>
      <c r="AS438" s="840"/>
      <c r="AT438" s="839"/>
      <c r="AU438" s="856"/>
      <c r="AV438" s="108" t="s">
        <v>12</v>
      </c>
    </row>
    <row r="439" spans="4:48">
      <c r="D439" s="108" t="s">
        <v>12</v>
      </c>
      <c r="E439" s="742">
        <v>421</v>
      </c>
      <c r="F439" s="1016" t="str">
        <f t="shared" ca="1" si="43"/>
        <v/>
      </c>
      <c r="G439" s="1027" t="str">
        <f t="shared" ca="1" si="44"/>
        <v/>
      </c>
      <c r="H439" s="1043" t="str">
        <f ca="1"/>
        <v/>
      </c>
      <c r="I439" s="1006" t="str">
        <f ca="1"/>
        <v/>
      </c>
      <c r="J439" s="1006" t="str">
        <f ca="1"/>
        <v/>
      </c>
      <c r="K439" s="1016" t="str">
        <f ca="1"/>
        <v/>
      </c>
      <c r="L439" s="1019" t="str">
        <f ca="1"/>
        <v/>
      </c>
      <c r="M439" s="1006" t="str">
        <f ca="1"/>
        <v/>
      </c>
      <c r="N439" s="1060" t="str">
        <f t="shared" ca="1" si="41"/>
        <v/>
      </c>
      <c r="O439" s="996"/>
      <c r="P439" s="742">
        <v>421</v>
      </c>
      <c r="Q439" s="1016" t="str">
        <f t="shared" ca="1" si="45"/>
        <v/>
      </c>
      <c r="R439" s="1027" t="str">
        <f t="shared" ca="1" si="46"/>
        <v/>
      </c>
      <c r="S439" s="1006" t="str">
        <f ca="1"/>
        <v/>
      </c>
      <c r="T439" s="1006" t="str">
        <f ca="1"/>
        <v/>
      </c>
      <c r="U439" s="1006" t="str">
        <f ca="1"/>
        <v/>
      </c>
      <c r="V439" s="1016" t="str">
        <f ca="1"/>
        <v/>
      </c>
      <c r="W439" s="1019" t="str">
        <f ca="1"/>
        <v/>
      </c>
      <c r="X439" s="1006" t="str">
        <f ca="1"/>
        <v/>
      </c>
      <c r="Y439" s="864" t="str">
        <f t="shared" ca="1" si="42"/>
        <v/>
      </c>
      <c r="AA439" s="828">
        <v>421</v>
      </c>
      <c r="AB439" s="750"/>
      <c r="AC439" s="842"/>
      <c r="AD439" s="830"/>
      <c r="AE439" s="839"/>
      <c r="AF439" s="839"/>
      <c r="AG439" s="750"/>
      <c r="AH439" s="840"/>
      <c r="AI439" s="839"/>
      <c r="AJ439" s="841"/>
      <c r="AK439" s="108" t="s">
        <v>12</v>
      </c>
      <c r="AL439" s="847">
        <v>421</v>
      </c>
      <c r="AM439" s="857"/>
      <c r="AN439" s="842"/>
      <c r="AO439" s="839"/>
      <c r="AP439" s="839"/>
      <c r="AQ439" s="839"/>
      <c r="AR439" s="750"/>
      <c r="AS439" s="840"/>
      <c r="AT439" s="839"/>
      <c r="AU439" s="856"/>
      <c r="AV439" s="108" t="s">
        <v>12</v>
      </c>
    </row>
    <row r="440" spans="4:48">
      <c r="D440" s="108" t="s">
        <v>12</v>
      </c>
      <c r="E440" s="742">
        <v>422</v>
      </c>
      <c r="F440" s="1016" t="str">
        <f t="shared" ca="1" si="43"/>
        <v/>
      </c>
      <c r="G440" s="1027" t="str">
        <f t="shared" ca="1" si="44"/>
        <v/>
      </c>
      <c r="H440" s="1043" t="str">
        <f ca="1"/>
        <v/>
      </c>
      <c r="I440" s="1006" t="str">
        <f ca="1"/>
        <v/>
      </c>
      <c r="J440" s="1006" t="str">
        <f ca="1"/>
        <v/>
      </c>
      <c r="K440" s="1016" t="str">
        <f ca="1"/>
        <v/>
      </c>
      <c r="L440" s="1019" t="str">
        <f ca="1"/>
        <v/>
      </c>
      <c r="M440" s="1006" t="str">
        <f ca="1"/>
        <v/>
      </c>
      <c r="N440" s="1060" t="str">
        <f t="shared" ca="1" si="41"/>
        <v/>
      </c>
      <c r="O440" s="996"/>
      <c r="P440" s="742">
        <v>422</v>
      </c>
      <c r="Q440" s="1016" t="str">
        <f t="shared" ca="1" si="45"/>
        <v/>
      </c>
      <c r="R440" s="1027" t="str">
        <f t="shared" ca="1" si="46"/>
        <v/>
      </c>
      <c r="S440" s="1006" t="str">
        <f ca="1"/>
        <v/>
      </c>
      <c r="T440" s="1006" t="str">
        <f ca="1"/>
        <v/>
      </c>
      <c r="U440" s="1006" t="str">
        <f ca="1"/>
        <v/>
      </c>
      <c r="V440" s="1016" t="str">
        <f ca="1"/>
        <v/>
      </c>
      <c r="W440" s="1019" t="str">
        <f ca="1"/>
        <v/>
      </c>
      <c r="X440" s="1006" t="str">
        <f ca="1"/>
        <v/>
      </c>
      <c r="Y440" s="864" t="str">
        <f t="shared" ca="1" si="42"/>
        <v/>
      </c>
      <c r="AA440" s="828">
        <v>422</v>
      </c>
      <c r="AB440" s="750"/>
      <c r="AC440" s="842"/>
      <c r="AD440" s="830"/>
      <c r="AE440" s="839"/>
      <c r="AF440" s="839"/>
      <c r="AG440" s="750"/>
      <c r="AH440" s="840"/>
      <c r="AI440" s="839"/>
      <c r="AJ440" s="841"/>
      <c r="AK440" s="108" t="s">
        <v>12</v>
      </c>
      <c r="AL440" s="847">
        <v>422</v>
      </c>
      <c r="AM440" s="857"/>
      <c r="AN440" s="842"/>
      <c r="AO440" s="839"/>
      <c r="AP440" s="839"/>
      <c r="AQ440" s="839"/>
      <c r="AR440" s="750"/>
      <c r="AS440" s="840"/>
      <c r="AT440" s="839"/>
      <c r="AU440" s="856"/>
      <c r="AV440" s="108" t="s">
        <v>12</v>
      </c>
    </row>
    <row r="441" spans="4:48">
      <c r="D441" s="108" t="s">
        <v>12</v>
      </c>
      <c r="E441" s="742">
        <v>423</v>
      </c>
      <c r="F441" s="1016" t="str">
        <f t="shared" ca="1" si="43"/>
        <v/>
      </c>
      <c r="G441" s="1027" t="str">
        <f t="shared" ca="1" si="44"/>
        <v/>
      </c>
      <c r="H441" s="1043" t="str">
        <f ca="1"/>
        <v/>
      </c>
      <c r="I441" s="1006" t="str">
        <f ca="1"/>
        <v/>
      </c>
      <c r="J441" s="1006" t="str">
        <f ca="1"/>
        <v/>
      </c>
      <c r="K441" s="1016" t="str">
        <f ca="1"/>
        <v/>
      </c>
      <c r="L441" s="1019" t="str">
        <f ca="1"/>
        <v/>
      </c>
      <c r="M441" s="1006" t="str">
        <f ca="1"/>
        <v/>
      </c>
      <c r="N441" s="1060" t="str">
        <f t="shared" ca="1" si="41"/>
        <v/>
      </c>
      <c r="O441" s="996"/>
      <c r="P441" s="742">
        <v>423</v>
      </c>
      <c r="Q441" s="1016" t="str">
        <f t="shared" ca="1" si="45"/>
        <v/>
      </c>
      <c r="R441" s="1027" t="str">
        <f t="shared" ca="1" si="46"/>
        <v/>
      </c>
      <c r="S441" s="1006" t="str">
        <f ca="1"/>
        <v/>
      </c>
      <c r="T441" s="1006" t="str">
        <f ca="1"/>
        <v/>
      </c>
      <c r="U441" s="1006" t="str">
        <f ca="1"/>
        <v/>
      </c>
      <c r="V441" s="1016" t="str">
        <f ca="1"/>
        <v/>
      </c>
      <c r="W441" s="1019" t="str">
        <f ca="1"/>
        <v/>
      </c>
      <c r="X441" s="1006" t="str">
        <f ca="1"/>
        <v/>
      </c>
      <c r="Y441" s="864" t="str">
        <f t="shared" ca="1" si="42"/>
        <v/>
      </c>
      <c r="AA441" s="828">
        <v>423</v>
      </c>
      <c r="AB441" s="750"/>
      <c r="AC441" s="842"/>
      <c r="AD441" s="830"/>
      <c r="AE441" s="839"/>
      <c r="AF441" s="839"/>
      <c r="AG441" s="750"/>
      <c r="AH441" s="840"/>
      <c r="AI441" s="839"/>
      <c r="AJ441" s="841"/>
      <c r="AK441" s="108" t="s">
        <v>12</v>
      </c>
      <c r="AL441" s="847">
        <v>423</v>
      </c>
      <c r="AM441" s="857"/>
      <c r="AN441" s="842"/>
      <c r="AO441" s="839"/>
      <c r="AP441" s="839"/>
      <c r="AQ441" s="839"/>
      <c r="AR441" s="750"/>
      <c r="AS441" s="840"/>
      <c r="AT441" s="839"/>
      <c r="AU441" s="856"/>
      <c r="AV441" s="108" t="s">
        <v>12</v>
      </c>
    </row>
    <row r="442" spans="4:48">
      <c r="D442" s="108" t="s">
        <v>12</v>
      </c>
      <c r="E442" s="742">
        <v>424</v>
      </c>
      <c r="F442" s="1016" t="str">
        <f t="shared" ca="1" si="43"/>
        <v/>
      </c>
      <c r="G442" s="1027" t="str">
        <f t="shared" ca="1" si="44"/>
        <v/>
      </c>
      <c r="H442" s="1043" t="str">
        <f ca="1"/>
        <v/>
      </c>
      <c r="I442" s="1006" t="str">
        <f ca="1"/>
        <v/>
      </c>
      <c r="J442" s="1006" t="str">
        <f ca="1"/>
        <v/>
      </c>
      <c r="K442" s="1016" t="str">
        <f ca="1"/>
        <v/>
      </c>
      <c r="L442" s="1019" t="str">
        <f ca="1"/>
        <v/>
      </c>
      <c r="M442" s="1006" t="str">
        <f ca="1"/>
        <v/>
      </c>
      <c r="N442" s="1060" t="str">
        <f t="shared" ca="1" si="41"/>
        <v/>
      </c>
      <c r="O442" s="996"/>
      <c r="P442" s="742">
        <v>424</v>
      </c>
      <c r="Q442" s="1016" t="str">
        <f t="shared" ca="1" si="45"/>
        <v/>
      </c>
      <c r="R442" s="1027" t="str">
        <f t="shared" ca="1" si="46"/>
        <v/>
      </c>
      <c r="S442" s="1006" t="str">
        <f ca="1"/>
        <v/>
      </c>
      <c r="T442" s="1006" t="str">
        <f ca="1"/>
        <v/>
      </c>
      <c r="U442" s="1006" t="str">
        <f ca="1"/>
        <v/>
      </c>
      <c r="V442" s="1016" t="str">
        <f ca="1"/>
        <v/>
      </c>
      <c r="W442" s="1019" t="str">
        <f ca="1"/>
        <v/>
      </c>
      <c r="X442" s="1006" t="str">
        <f ca="1"/>
        <v/>
      </c>
      <c r="Y442" s="864" t="str">
        <f t="shared" ca="1" si="42"/>
        <v/>
      </c>
      <c r="AA442" s="828">
        <v>424</v>
      </c>
      <c r="AB442" s="750"/>
      <c r="AC442" s="842"/>
      <c r="AD442" s="830"/>
      <c r="AE442" s="839"/>
      <c r="AF442" s="839"/>
      <c r="AG442" s="750"/>
      <c r="AH442" s="840"/>
      <c r="AI442" s="839"/>
      <c r="AJ442" s="841"/>
      <c r="AK442" s="108" t="s">
        <v>12</v>
      </c>
      <c r="AL442" s="847">
        <v>424</v>
      </c>
      <c r="AM442" s="857"/>
      <c r="AN442" s="842"/>
      <c r="AO442" s="839"/>
      <c r="AP442" s="839"/>
      <c r="AQ442" s="839"/>
      <c r="AR442" s="750"/>
      <c r="AS442" s="840"/>
      <c r="AT442" s="839"/>
      <c r="AU442" s="856"/>
      <c r="AV442" s="108" t="s">
        <v>12</v>
      </c>
    </row>
    <row r="443" spans="4:48">
      <c r="D443" s="108" t="s">
        <v>12</v>
      </c>
      <c r="E443" s="742">
        <v>425</v>
      </c>
      <c r="F443" s="1016" t="str">
        <f t="shared" ca="1" si="43"/>
        <v/>
      </c>
      <c r="G443" s="1027" t="str">
        <f t="shared" ca="1" si="44"/>
        <v/>
      </c>
      <c r="H443" s="1043" t="str">
        <f ca="1"/>
        <v/>
      </c>
      <c r="I443" s="1006" t="str">
        <f ca="1"/>
        <v/>
      </c>
      <c r="J443" s="1006" t="str">
        <f ca="1"/>
        <v/>
      </c>
      <c r="K443" s="1016" t="str">
        <f ca="1"/>
        <v/>
      </c>
      <c r="L443" s="1019" t="str">
        <f ca="1"/>
        <v/>
      </c>
      <c r="M443" s="1006" t="str">
        <f ca="1"/>
        <v/>
      </c>
      <c r="N443" s="1060" t="str">
        <f t="shared" ca="1" si="41"/>
        <v/>
      </c>
      <c r="O443" s="996"/>
      <c r="P443" s="742">
        <v>425</v>
      </c>
      <c r="Q443" s="1016" t="str">
        <f t="shared" ca="1" si="45"/>
        <v/>
      </c>
      <c r="R443" s="1027" t="str">
        <f t="shared" ca="1" si="46"/>
        <v/>
      </c>
      <c r="S443" s="1006" t="str">
        <f ca="1"/>
        <v/>
      </c>
      <c r="T443" s="1006" t="str">
        <f ca="1"/>
        <v/>
      </c>
      <c r="U443" s="1006" t="str">
        <f ca="1"/>
        <v/>
      </c>
      <c r="V443" s="1016" t="str">
        <f ca="1"/>
        <v/>
      </c>
      <c r="W443" s="1019" t="str">
        <f ca="1"/>
        <v/>
      </c>
      <c r="X443" s="1006" t="str">
        <f ca="1"/>
        <v/>
      </c>
      <c r="Y443" s="864" t="str">
        <f t="shared" ca="1" si="42"/>
        <v/>
      </c>
      <c r="AA443" s="828">
        <v>425</v>
      </c>
      <c r="AB443" s="750"/>
      <c r="AC443" s="842"/>
      <c r="AD443" s="830"/>
      <c r="AE443" s="839"/>
      <c r="AF443" s="839"/>
      <c r="AG443" s="750"/>
      <c r="AH443" s="840"/>
      <c r="AI443" s="839"/>
      <c r="AJ443" s="841"/>
      <c r="AK443" s="108" t="s">
        <v>12</v>
      </c>
      <c r="AL443" s="847">
        <v>425</v>
      </c>
      <c r="AM443" s="857"/>
      <c r="AN443" s="842"/>
      <c r="AO443" s="839"/>
      <c r="AP443" s="839"/>
      <c r="AQ443" s="839"/>
      <c r="AR443" s="750"/>
      <c r="AS443" s="840"/>
      <c r="AT443" s="839"/>
      <c r="AU443" s="856"/>
      <c r="AV443" s="108" t="s">
        <v>12</v>
      </c>
    </row>
    <row r="444" spans="4:48">
      <c r="D444" s="108" t="s">
        <v>12</v>
      </c>
      <c r="E444" s="742">
        <v>426</v>
      </c>
      <c r="F444" s="1016" t="str">
        <f t="shared" ca="1" si="43"/>
        <v/>
      </c>
      <c r="G444" s="1027" t="str">
        <f t="shared" ca="1" si="44"/>
        <v/>
      </c>
      <c r="H444" s="1043" t="str">
        <f ca="1"/>
        <v/>
      </c>
      <c r="I444" s="1006" t="str">
        <f ca="1"/>
        <v/>
      </c>
      <c r="J444" s="1006" t="str">
        <f ca="1"/>
        <v/>
      </c>
      <c r="K444" s="1016" t="str">
        <f ca="1"/>
        <v/>
      </c>
      <c r="L444" s="1019" t="str">
        <f ca="1"/>
        <v/>
      </c>
      <c r="M444" s="1006" t="str">
        <f ca="1"/>
        <v/>
      </c>
      <c r="N444" s="1060" t="str">
        <f t="shared" ca="1" si="41"/>
        <v/>
      </c>
      <c r="O444" s="996"/>
      <c r="P444" s="742">
        <v>426</v>
      </c>
      <c r="Q444" s="1016" t="str">
        <f t="shared" ca="1" si="45"/>
        <v/>
      </c>
      <c r="R444" s="1027" t="str">
        <f t="shared" ca="1" si="46"/>
        <v/>
      </c>
      <c r="S444" s="1006" t="str">
        <f ca="1"/>
        <v/>
      </c>
      <c r="T444" s="1006" t="str">
        <f ca="1"/>
        <v/>
      </c>
      <c r="U444" s="1006" t="str">
        <f ca="1"/>
        <v/>
      </c>
      <c r="V444" s="1016" t="str">
        <f ca="1"/>
        <v/>
      </c>
      <c r="W444" s="1019" t="str">
        <f ca="1"/>
        <v/>
      </c>
      <c r="X444" s="1006" t="str">
        <f ca="1"/>
        <v/>
      </c>
      <c r="Y444" s="864" t="str">
        <f t="shared" ca="1" si="42"/>
        <v/>
      </c>
      <c r="AA444" s="828">
        <v>426</v>
      </c>
      <c r="AB444" s="750"/>
      <c r="AC444" s="842"/>
      <c r="AD444" s="830"/>
      <c r="AE444" s="839"/>
      <c r="AF444" s="839"/>
      <c r="AG444" s="750"/>
      <c r="AH444" s="840"/>
      <c r="AI444" s="839"/>
      <c r="AJ444" s="841"/>
      <c r="AK444" s="108" t="s">
        <v>12</v>
      </c>
      <c r="AL444" s="847">
        <v>426</v>
      </c>
      <c r="AM444" s="857"/>
      <c r="AN444" s="842"/>
      <c r="AO444" s="839"/>
      <c r="AP444" s="839"/>
      <c r="AQ444" s="839"/>
      <c r="AR444" s="750"/>
      <c r="AS444" s="840"/>
      <c r="AT444" s="839"/>
      <c r="AU444" s="856"/>
      <c r="AV444" s="108" t="s">
        <v>12</v>
      </c>
    </row>
    <row r="445" spans="4:48">
      <c r="D445" s="108" t="s">
        <v>12</v>
      </c>
      <c r="E445" s="742">
        <v>427</v>
      </c>
      <c r="F445" s="1016" t="str">
        <f t="shared" ca="1" si="43"/>
        <v/>
      </c>
      <c r="G445" s="1027" t="str">
        <f t="shared" ca="1" si="44"/>
        <v/>
      </c>
      <c r="H445" s="1043" t="str">
        <f ca="1"/>
        <v/>
      </c>
      <c r="I445" s="1006" t="str">
        <f ca="1"/>
        <v/>
      </c>
      <c r="J445" s="1006" t="str">
        <f ca="1"/>
        <v/>
      </c>
      <c r="K445" s="1016" t="str">
        <f ca="1"/>
        <v/>
      </c>
      <c r="L445" s="1019" t="str">
        <f ca="1"/>
        <v/>
      </c>
      <c r="M445" s="1006" t="str">
        <f ca="1"/>
        <v/>
      </c>
      <c r="N445" s="1060" t="str">
        <f t="shared" ca="1" si="41"/>
        <v/>
      </c>
      <c r="O445" s="996"/>
      <c r="P445" s="742">
        <v>427</v>
      </c>
      <c r="Q445" s="1016" t="str">
        <f t="shared" ca="1" si="45"/>
        <v/>
      </c>
      <c r="R445" s="1027" t="str">
        <f t="shared" ca="1" si="46"/>
        <v/>
      </c>
      <c r="S445" s="1006" t="str">
        <f ca="1"/>
        <v/>
      </c>
      <c r="T445" s="1006" t="str">
        <f ca="1"/>
        <v/>
      </c>
      <c r="U445" s="1006" t="str">
        <f ca="1"/>
        <v/>
      </c>
      <c r="V445" s="1016" t="str">
        <f ca="1"/>
        <v/>
      </c>
      <c r="W445" s="1019" t="str">
        <f ca="1"/>
        <v/>
      </c>
      <c r="X445" s="1006" t="str">
        <f ca="1"/>
        <v/>
      </c>
      <c r="Y445" s="864" t="str">
        <f t="shared" ca="1" si="42"/>
        <v/>
      </c>
      <c r="AA445" s="828">
        <v>427</v>
      </c>
      <c r="AB445" s="750"/>
      <c r="AC445" s="842"/>
      <c r="AD445" s="830"/>
      <c r="AE445" s="839"/>
      <c r="AF445" s="839"/>
      <c r="AG445" s="750"/>
      <c r="AH445" s="840"/>
      <c r="AI445" s="839"/>
      <c r="AJ445" s="841"/>
      <c r="AK445" s="108" t="s">
        <v>12</v>
      </c>
      <c r="AL445" s="847">
        <v>427</v>
      </c>
      <c r="AM445" s="857"/>
      <c r="AN445" s="842"/>
      <c r="AO445" s="839"/>
      <c r="AP445" s="839"/>
      <c r="AQ445" s="839"/>
      <c r="AR445" s="750"/>
      <c r="AS445" s="840"/>
      <c r="AT445" s="839"/>
      <c r="AU445" s="856"/>
      <c r="AV445" s="108" t="s">
        <v>12</v>
      </c>
    </row>
    <row r="446" spans="4:48">
      <c r="D446" s="108" t="s">
        <v>12</v>
      </c>
      <c r="E446" s="742">
        <v>428</v>
      </c>
      <c r="F446" s="1016" t="str">
        <f t="shared" ca="1" si="43"/>
        <v/>
      </c>
      <c r="G446" s="1027" t="str">
        <f t="shared" ca="1" si="44"/>
        <v/>
      </c>
      <c r="H446" s="1043" t="str">
        <f ca="1"/>
        <v/>
      </c>
      <c r="I446" s="1006" t="str">
        <f ca="1"/>
        <v/>
      </c>
      <c r="J446" s="1006" t="str">
        <f ca="1"/>
        <v/>
      </c>
      <c r="K446" s="1016" t="str">
        <f ca="1"/>
        <v/>
      </c>
      <c r="L446" s="1019" t="str">
        <f ca="1"/>
        <v/>
      </c>
      <c r="M446" s="1006" t="str">
        <f ca="1"/>
        <v/>
      </c>
      <c r="N446" s="1060" t="str">
        <f t="shared" ca="1" si="41"/>
        <v/>
      </c>
      <c r="O446" s="996"/>
      <c r="P446" s="742">
        <v>428</v>
      </c>
      <c r="Q446" s="1016" t="str">
        <f t="shared" ca="1" si="45"/>
        <v/>
      </c>
      <c r="R446" s="1027" t="str">
        <f t="shared" ca="1" si="46"/>
        <v/>
      </c>
      <c r="S446" s="1006" t="str">
        <f ca="1"/>
        <v/>
      </c>
      <c r="T446" s="1006" t="str">
        <f ca="1"/>
        <v/>
      </c>
      <c r="U446" s="1006" t="str">
        <f ca="1"/>
        <v/>
      </c>
      <c r="V446" s="1016" t="str">
        <f ca="1"/>
        <v/>
      </c>
      <c r="W446" s="1019" t="str">
        <f ca="1"/>
        <v/>
      </c>
      <c r="X446" s="1006" t="str">
        <f ca="1"/>
        <v/>
      </c>
      <c r="Y446" s="864" t="str">
        <f t="shared" ca="1" si="42"/>
        <v/>
      </c>
      <c r="AA446" s="828">
        <v>428</v>
      </c>
      <c r="AB446" s="750"/>
      <c r="AC446" s="842"/>
      <c r="AD446" s="830"/>
      <c r="AE446" s="839"/>
      <c r="AF446" s="839"/>
      <c r="AG446" s="750"/>
      <c r="AH446" s="840"/>
      <c r="AI446" s="839"/>
      <c r="AJ446" s="841"/>
      <c r="AK446" s="108" t="s">
        <v>12</v>
      </c>
      <c r="AL446" s="847">
        <v>428</v>
      </c>
      <c r="AM446" s="857"/>
      <c r="AN446" s="842"/>
      <c r="AO446" s="839"/>
      <c r="AP446" s="839"/>
      <c r="AQ446" s="839"/>
      <c r="AR446" s="750"/>
      <c r="AS446" s="840"/>
      <c r="AT446" s="839"/>
      <c r="AU446" s="856"/>
      <c r="AV446" s="108" t="s">
        <v>12</v>
      </c>
    </row>
    <row r="447" spans="4:48">
      <c r="D447" s="108" t="s">
        <v>12</v>
      </c>
      <c r="E447" s="742">
        <v>429</v>
      </c>
      <c r="F447" s="1016" t="str">
        <f t="shared" ca="1" si="43"/>
        <v/>
      </c>
      <c r="G447" s="1027" t="str">
        <f t="shared" ca="1" si="44"/>
        <v/>
      </c>
      <c r="H447" s="1043" t="str">
        <f ca="1"/>
        <v/>
      </c>
      <c r="I447" s="1006" t="str">
        <f ca="1"/>
        <v/>
      </c>
      <c r="J447" s="1006" t="str">
        <f ca="1"/>
        <v/>
      </c>
      <c r="K447" s="1016" t="str">
        <f ca="1"/>
        <v/>
      </c>
      <c r="L447" s="1019" t="str">
        <f ca="1"/>
        <v/>
      </c>
      <c r="M447" s="1006" t="str">
        <f ca="1"/>
        <v/>
      </c>
      <c r="N447" s="1060" t="str">
        <f t="shared" ca="1" si="41"/>
        <v/>
      </c>
      <c r="O447" s="996"/>
      <c r="P447" s="742">
        <v>429</v>
      </c>
      <c r="Q447" s="1016" t="str">
        <f t="shared" ca="1" si="45"/>
        <v/>
      </c>
      <c r="R447" s="1027" t="str">
        <f t="shared" ca="1" si="46"/>
        <v/>
      </c>
      <c r="S447" s="1006" t="str">
        <f ca="1"/>
        <v/>
      </c>
      <c r="T447" s="1006" t="str">
        <f ca="1"/>
        <v/>
      </c>
      <c r="U447" s="1006" t="str">
        <f ca="1"/>
        <v/>
      </c>
      <c r="V447" s="1016" t="str">
        <f ca="1"/>
        <v/>
      </c>
      <c r="W447" s="1019" t="str">
        <f ca="1"/>
        <v/>
      </c>
      <c r="X447" s="1006" t="str">
        <f ca="1"/>
        <v/>
      </c>
      <c r="Y447" s="864" t="str">
        <f t="shared" ca="1" si="42"/>
        <v/>
      </c>
      <c r="AA447" s="828">
        <v>429</v>
      </c>
      <c r="AB447" s="750"/>
      <c r="AC447" s="842"/>
      <c r="AD447" s="830"/>
      <c r="AE447" s="839"/>
      <c r="AF447" s="839"/>
      <c r="AG447" s="750"/>
      <c r="AH447" s="840"/>
      <c r="AI447" s="839"/>
      <c r="AJ447" s="841"/>
      <c r="AK447" s="108" t="s">
        <v>12</v>
      </c>
      <c r="AL447" s="847">
        <v>429</v>
      </c>
      <c r="AM447" s="857"/>
      <c r="AN447" s="842"/>
      <c r="AO447" s="839"/>
      <c r="AP447" s="839"/>
      <c r="AQ447" s="839"/>
      <c r="AR447" s="750"/>
      <c r="AS447" s="840"/>
      <c r="AT447" s="839"/>
      <c r="AU447" s="856"/>
      <c r="AV447" s="108" t="s">
        <v>12</v>
      </c>
    </row>
    <row r="448" spans="4:48">
      <c r="D448" s="108" t="s">
        <v>12</v>
      </c>
      <c r="E448" s="742">
        <v>430</v>
      </c>
      <c r="F448" s="1016" t="str">
        <f t="shared" ca="1" si="43"/>
        <v/>
      </c>
      <c r="G448" s="1027" t="str">
        <f t="shared" ca="1" si="44"/>
        <v/>
      </c>
      <c r="H448" s="1043" t="str">
        <f ca="1"/>
        <v/>
      </c>
      <c r="I448" s="1006" t="str">
        <f ca="1"/>
        <v/>
      </c>
      <c r="J448" s="1006" t="str">
        <f ca="1"/>
        <v/>
      </c>
      <c r="K448" s="1016" t="str">
        <f ca="1"/>
        <v/>
      </c>
      <c r="L448" s="1019" t="str">
        <f ca="1"/>
        <v/>
      </c>
      <c r="M448" s="1006" t="str">
        <f ca="1"/>
        <v/>
      </c>
      <c r="N448" s="1060" t="str">
        <f t="shared" ca="1" si="41"/>
        <v/>
      </c>
      <c r="O448" s="996"/>
      <c r="P448" s="742">
        <v>430</v>
      </c>
      <c r="Q448" s="1016" t="str">
        <f t="shared" ca="1" si="45"/>
        <v/>
      </c>
      <c r="R448" s="1027" t="str">
        <f t="shared" ca="1" si="46"/>
        <v/>
      </c>
      <c r="S448" s="1006" t="str">
        <f ca="1"/>
        <v/>
      </c>
      <c r="T448" s="1006" t="str">
        <f ca="1"/>
        <v/>
      </c>
      <c r="U448" s="1006" t="str">
        <f ca="1"/>
        <v/>
      </c>
      <c r="V448" s="1016" t="str">
        <f ca="1"/>
        <v/>
      </c>
      <c r="W448" s="1019" t="str">
        <f ca="1"/>
        <v/>
      </c>
      <c r="X448" s="1006" t="str">
        <f ca="1"/>
        <v/>
      </c>
      <c r="Y448" s="864" t="str">
        <f t="shared" ca="1" si="42"/>
        <v/>
      </c>
      <c r="AA448" s="828">
        <v>430</v>
      </c>
      <c r="AB448" s="750"/>
      <c r="AC448" s="842"/>
      <c r="AD448" s="830"/>
      <c r="AE448" s="839"/>
      <c r="AF448" s="839"/>
      <c r="AG448" s="750"/>
      <c r="AH448" s="840"/>
      <c r="AI448" s="839"/>
      <c r="AJ448" s="841"/>
      <c r="AK448" s="108" t="s">
        <v>12</v>
      </c>
      <c r="AL448" s="847">
        <v>430</v>
      </c>
      <c r="AM448" s="857"/>
      <c r="AN448" s="842"/>
      <c r="AO448" s="839"/>
      <c r="AP448" s="839"/>
      <c r="AQ448" s="839"/>
      <c r="AR448" s="750"/>
      <c r="AS448" s="840"/>
      <c r="AT448" s="839"/>
      <c r="AU448" s="856"/>
      <c r="AV448" s="108" t="s">
        <v>12</v>
      </c>
    </row>
    <row r="449" spans="4:48">
      <c r="D449" s="108" t="s">
        <v>12</v>
      </c>
      <c r="E449" s="742">
        <v>431</v>
      </c>
      <c r="F449" s="1016" t="str">
        <f t="shared" ca="1" si="43"/>
        <v/>
      </c>
      <c r="G449" s="1027" t="str">
        <f t="shared" ca="1" si="44"/>
        <v/>
      </c>
      <c r="H449" s="1043" t="str">
        <f ca="1"/>
        <v/>
      </c>
      <c r="I449" s="1006" t="str">
        <f ca="1"/>
        <v/>
      </c>
      <c r="J449" s="1006" t="str">
        <f ca="1"/>
        <v/>
      </c>
      <c r="K449" s="1016" t="str">
        <f ca="1"/>
        <v/>
      </c>
      <c r="L449" s="1019" t="str">
        <f ca="1"/>
        <v/>
      </c>
      <c r="M449" s="1006" t="str">
        <f ca="1"/>
        <v/>
      </c>
      <c r="N449" s="1060" t="str">
        <f t="shared" ca="1" si="41"/>
        <v/>
      </c>
      <c r="O449" s="996"/>
      <c r="P449" s="742">
        <v>431</v>
      </c>
      <c r="Q449" s="1016" t="str">
        <f t="shared" ca="1" si="45"/>
        <v/>
      </c>
      <c r="R449" s="1027" t="str">
        <f t="shared" ca="1" si="46"/>
        <v/>
      </c>
      <c r="S449" s="1006" t="str">
        <f ca="1"/>
        <v/>
      </c>
      <c r="T449" s="1006" t="str">
        <f ca="1"/>
        <v/>
      </c>
      <c r="U449" s="1006" t="str">
        <f ca="1"/>
        <v/>
      </c>
      <c r="V449" s="1016" t="str">
        <f ca="1"/>
        <v/>
      </c>
      <c r="W449" s="1019" t="str">
        <f ca="1"/>
        <v/>
      </c>
      <c r="X449" s="1006" t="str">
        <f ca="1"/>
        <v/>
      </c>
      <c r="Y449" s="864" t="str">
        <f t="shared" ca="1" si="42"/>
        <v/>
      </c>
      <c r="AA449" s="828">
        <v>431</v>
      </c>
      <c r="AB449" s="750"/>
      <c r="AC449" s="842"/>
      <c r="AD449" s="830"/>
      <c r="AE449" s="839"/>
      <c r="AF449" s="839"/>
      <c r="AG449" s="750"/>
      <c r="AH449" s="840"/>
      <c r="AI449" s="839"/>
      <c r="AJ449" s="841"/>
      <c r="AK449" s="108" t="s">
        <v>12</v>
      </c>
      <c r="AL449" s="847">
        <v>431</v>
      </c>
      <c r="AM449" s="857"/>
      <c r="AN449" s="842"/>
      <c r="AO449" s="839"/>
      <c r="AP449" s="839"/>
      <c r="AQ449" s="839"/>
      <c r="AR449" s="750"/>
      <c r="AS449" s="840"/>
      <c r="AT449" s="839"/>
      <c r="AU449" s="856"/>
      <c r="AV449" s="108" t="s">
        <v>12</v>
      </c>
    </row>
    <row r="450" spans="4:48">
      <c r="D450" s="108" t="s">
        <v>12</v>
      </c>
      <c r="E450" s="742">
        <v>432</v>
      </c>
      <c r="F450" s="1016" t="str">
        <f t="shared" ca="1" si="43"/>
        <v/>
      </c>
      <c r="G450" s="1027" t="str">
        <f t="shared" ca="1" si="44"/>
        <v/>
      </c>
      <c r="H450" s="1043" t="str">
        <f ca="1"/>
        <v/>
      </c>
      <c r="I450" s="1006" t="str">
        <f ca="1"/>
        <v/>
      </c>
      <c r="J450" s="1006" t="str">
        <f ca="1"/>
        <v/>
      </c>
      <c r="K450" s="1016" t="str">
        <f ca="1"/>
        <v/>
      </c>
      <c r="L450" s="1019" t="str">
        <f ca="1"/>
        <v/>
      </c>
      <c r="M450" s="1006" t="str">
        <f ca="1"/>
        <v/>
      </c>
      <c r="N450" s="1060" t="str">
        <f t="shared" ca="1" si="41"/>
        <v/>
      </c>
      <c r="O450" s="996"/>
      <c r="P450" s="742">
        <v>432</v>
      </c>
      <c r="Q450" s="1016" t="str">
        <f t="shared" ca="1" si="45"/>
        <v/>
      </c>
      <c r="R450" s="1027" t="str">
        <f t="shared" ca="1" si="46"/>
        <v/>
      </c>
      <c r="S450" s="1006" t="str">
        <f ca="1"/>
        <v/>
      </c>
      <c r="T450" s="1006" t="str">
        <f ca="1"/>
        <v/>
      </c>
      <c r="U450" s="1006" t="str">
        <f ca="1"/>
        <v/>
      </c>
      <c r="V450" s="1016" t="str">
        <f ca="1"/>
        <v/>
      </c>
      <c r="W450" s="1019" t="str">
        <f ca="1"/>
        <v/>
      </c>
      <c r="X450" s="1006" t="str">
        <f ca="1"/>
        <v/>
      </c>
      <c r="Y450" s="864" t="str">
        <f t="shared" ca="1" si="42"/>
        <v/>
      </c>
      <c r="AA450" s="828">
        <v>432</v>
      </c>
      <c r="AB450" s="750"/>
      <c r="AC450" s="842"/>
      <c r="AD450" s="830"/>
      <c r="AE450" s="839"/>
      <c r="AF450" s="839"/>
      <c r="AG450" s="750"/>
      <c r="AH450" s="840"/>
      <c r="AI450" s="839"/>
      <c r="AJ450" s="841"/>
      <c r="AK450" s="108" t="s">
        <v>12</v>
      </c>
      <c r="AL450" s="847">
        <v>432</v>
      </c>
      <c r="AM450" s="857"/>
      <c r="AN450" s="842"/>
      <c r="AO450" s="839"/>
      <c r="AP450" s="839"/>
      <c r="AQ450" s="839"/>
      <c r="AR450" s="750"/>
      <c r="AS450" s="840"/>
      <c r="AT450" s="839"/>
      <c r="AU450" s="856"/>
      <c r="AV450" s="108" t="s">
        <v>12</v>
      </c>
    </row>
    <row r="451" spans="4:48">
      <c r="D451" s="108" t="s">
        <v>12</v>
      </c>
      <c r="E451" s="742">
        <v>433</v>
      </c>
      <c r="F451" s="1016" t="str">
        <f t="shared" ca="1" si="43"/>
        <v/>
      </c>
      <c r="G451" s="1027" t="str">
        <f t="shared" ca="1" si="44"/>
        <v/>
      </c>
      <c r="H451" s="1043" t="str">
        <f ca="1"/>
        <v/>
      </c>
      <c r="I451" s="1006" t="str">
        <f ca="1"/>
        <v/>
      </c>
      <c r="J451" s="1006" t="str">
        <f ca="1"/>
        <v/>
      </c>
      <c r="K451" s="1016" t="str">
        <f ca="1"/>
        <v/>
      </c>
      <c r="L451" s="1019" t="str">
        <f ca="1"/>
        <v/>
      </c>
      <c r="M451" s="1006" t="str">
        <f ca="1"/>
        <v/>
      </c>
      <c r="N451" s="1060" t="str">
        <f t="shared" ca="1" si="41"/>
        <v/>
      </c>
      <c r="O451" s="996"/>
      <c r="P451" s="742">
        <v>433</v>
      </c>
      <c r="Q451" s="1016" t="str">
        <f t="shared" ca="1" si="45"/>
        <v/>
      </c>
      <c r="R451" s="1027" t="str">
        <f t="shared" ca="1" si="46"/>
        <v/>
      </c>
      <c r="S451" s="1006" t="str">
        <f ca="1"/>
        <v/>
      </c>
      <c r="T451" s="1006" t="str">
        <f ca="1"/>
        <v/>
      </c>
      <c r="U451" s="1006" t="str">
        <f ca="1"/>
        <v/>
      </c>
      <c r="V451" s="1016" t="str">
        <f ca="1"/>
        <v/>
      </c>
      <c r="W451" s="1019" t="str">
        <f ca="1"/>
        <v/>
      </c>
      <c r="X451" s="1006" t="str">
        <f ca="1"/>
        <v/>
      </c>
      <c r="Y451" s="864" t="str">
        <f t="shared" ca="1" si="42"/>
        <v/>
      </c>
      <c r="AA451" s="828">
        <v>433</v>
      </c>
      <c r="AB451" s="750"/>
      <c r="AC451" s="842"/>
      <c r="AD451" s="830"/>
      <c r="AE451" s="839"/>
      <c r="AF451" s="839"/>
      <c r="AG451" s="750"/>
      <c r="AH451" s="840"/>
      <c r="AI451" s="839"/>
      <c r="AJ451" s="841"/>
      <c r="AK451" s="108" t="s">
        <v>12</v>
      </c>
      <c r="AL451" s="847">
        <v>433</v>
      </c>
      <c r="AM451" s="857"/>
      <c r="AN451" s="842"/>
      <c r="AO451" s="839"/>
      <c r="AP451" s="839"/>
      <c r="AQ451" s="839"/>
      <c r="AR451" s="750"/>
      <c r="AS451" s="840"/>
      <c r="AT451" s="839"/>
      <c r="AU451" s="856"/>
      <c r="AV451" s="108" t="s">
        <v>12</v>
      </c>
    </row>
    <row r="452" spans="4:48">
      <c r="D452" s="108" t="s">
        <v>12</v>
      </c>
      <c r="E452" s="742">
        <v>434</v>
      </c>
      <c r="F452" s="1016" t="str">
        <f t="shared" ca="1" si="43"/>
        <v/>
      </c>
      <c r="G452" s="1027" t="str">
        <f t="shared" ca="1" si="44"/>
        <v/>
      </c>
      <c r="H452" s="1043" t="str">
        <f ca="1"/>
        <v/>
      </c>
      <c r="I452" s="1006" t="str">
        <f ca="1"/>
        <v/>
      </c>
      <c r="J452" s="1006" t="str">
        <f ca="1"/>
        <v/>
      </c>
      <c r="K452" s="1016" t="str">
        <f ca="1"/>
        <v/>
      </c>
      <c r="L452" s="1019" t="str">
        <f ca="1"/>
        <v/>
      </c>
      <c r="M452" s="1006" t="str">
        <f ca="1"/>
        <v/>
      </c>
      <c r="N452" s="1060" t="str">
        <f t="shared" ca="1" si="41"/>
        <v/>
      </c>
      <c r="O452" s="996"/>
      <c r="P452" s="742">
        <v>434</v>
      </c>
      <c r="Q452" s="1016" t="str">
        <f t="shared" ca="1" si="45"/>
        <v/>
      </c>
      <c r="R452" s="1027" t="str">
        <f t="shared" ca="1" si="46"/>
        <v/>
      </c>
      <c r="S452" s="1006" t="str">
        <f ca="1"/>
        <v/>
      </c>
      <c r="T452" s="1006" t="str">
        <f ca="1"/>
        <v/>
      </c>
      <c r="U452" s="1006" t="str">
        <f ca="1"/>
        <v/>
      </c>
      <c r="V452" s="1016" t="str">
        <f ca="1"/>
        <v/>
      </c>
      <c r="W452" s="1019" t="str">
        <f ca="1"/>
        <v/>
      </c>
      <c r="X452" s="1006" t="str">
        <f ca="1"/>
        <v/>
      </c>
      <c r="Y452" s="864" t="str">
        <f t="shared" ca="1" si="42"/>
        <v/>
      </c>
      <c r="AA452" s="828">
        <v>434</v>
      </c>
      <c r="AB452" s="750"/>
      <c r="AC452" s="842"/>
      <c r="AD452" s="830"/>
      <c r="AE452" s="839"/>
      <c r="AF452" s="839"/>
      <c r="AG452" s="750"/>
      <c r="AH452" s="840"/>
      <c r="AI452" s="839"/>
      <c r="AJ452" s="841"/>
      <c r="AK452" s="108" t="s">
        <v>12</v>
      </c>
      <c r="AL452" s="847">
        <v>434</v>
      </c>
      <c r="AM452" s="857"/>
      <c r="AN452" s="842"/>
      <c r="AO452" s="839"/>
      <c r="AP452" s="839"/>
      <c r="AQ452" s="839"/>
      <c r="AR452" s="750"/>
      <c r="AS452" s="840"/>
      <c r="AT452" s="839"/>
      <c r="AU452" s="856"/>
      <c r="AV452" s="108" t="s">
        <v>12</v>
      </c>
    </row>
    <row r="453" spans="4:48">
      <c r="D453" s="108" t="s">
        <v>12</v>
      </c>
      <c r="E453" s="742">
        <v>435</v>
      </c>
      <c r="F453" s="1016" t="str">
        <f t="shared" ca="1" si="43"/>
        <v/>
      </c>
      <c r="G453" s="1027" t="str">
        <f t="shared" ca="1" si="44"/>
        <v/>
      </c>
      <c r="H453" s="1043" t="str">
        <f ca="1"/>
        <v/>
      </c>
      <c r="I453" s="1006" t="str">
        <f ca="1"/>
        <v/>
      </c>
      <c r="J453" s="1006" t="str">
        <f ca="1"/>
        <v/>
      </c>
      <c r="K453" s="1016" t="str">
        <f ca="1"/>
        <v/>
      </c>
      <c r="L453" s="1019" t="str">
        <f ca="1"/>
        <v/>
      </c>
      <c r="M453" s="1006" t="str">
        <f ca="1"/>
        <v/>
      </c>
      <c r="N453" s="1060" t="str">
        <f t="shared" ca="1" si="41"/>
        <v/>
      </c>
      <c r="O453" s="996"/>
      <c r="P453" s="742">
        <v>435</v>
      </c>
      <c r="Q453" s="1016" t="str">
        <f t="shared" ca="1" si="45"/>
        <v/>
      </c>
      <c r="R453" s="1027" t="str">
        <f t="shared" ca="1" si="46"/>
        <v/>
      </c>
      <c r="S453" s="1006" t="str">
        <f ca="1"/>
        <v/>
      </c>
      <c r="T453" s="1006" t="str">
        <f ca="1"/>
        <v/>
      </c>
      <c r="U453" s="1006" t="str">
        <f ca="1"/>
        <v/>
      </c>
      <c r="V453" s="1016" t="str">
        <f ca="1"/>
        <v/>
      </c>
      <c r="W453" s="1019" t="str">
        <f ca="1"/>
        <v/>
      </c>
      <c r="X453" s="1006" t="str">
        <f ca="1"/>
        <v/>
      </c>
      <c r="Y453" s="864" t="str">
        <f t="shared" ca="1" si="42"/>
        <v/>
      </c>
      <c r="AA453" s="828">
        <v>435</v>
      </c>
      <c r="AB453" s="750"/>
      <c r="AC453" s="842"/>
      <c r="AD453" s="830"/>
      <c r="AE453" s="839"/>
      <c r="AF453" s="839"/>
      <c r="AG453" s="750"/>
      <c r="AH453" s="840"/>
      <c r="AI453" s="839"/>
      <c r="AJ453" s="841"/>
      <c r="AK453" s="108" t="s">
        <v>12</v>
      </c>
      <c r="AL453" s="847">
        <v>435</v>
      </c>
      <c r="AM453" s="857"/>
      <c r="AN453" s="842"/>
      <c r="AO453" s="839"/>
      <c r="AP453" s="839"/>
      <c r="AQ453" s="839"/>
      <c r="AR453" s="750"/>
      <c r="AS453" s="840"/>
      <c r="AT453" s="839"/>
      <c r="AU453" s="856"/>
      <c r="AV453" s="108" t="s">
        <v>12</v>
      </c>
    </row>
    <row r="454" spans="4:48">
      <c r="D454" s="108" t="s">
        <v>12</v>
      </c>
      <c r="E454" s="742">
        <v>436</v>
      </c>
      <c r="F454" s="1016" t="str">
        <f t="shared" ca="1" si="43"/>
        <v/>
      </c>
      <c r="G454" s="1027" t="str">
        <f t="shared" ca="1" si="44"/>
        <v/>
      </c>
      <c r="H454" s="1043" t="str">
        <f ca="1"/>
        <v/>
      </c>
      <c r="I454" s="1006" t="str">
        <f ca="1"/>
        <v/>
      </c>
      <c r="J454" s="1006" t="str">
        <f ca="1"/>
        <v/>
      </c>
      <c r="K454" s="1016" t="str">
        <f ca="1"/>
        <v/>
      </c>
      <c r="L454" s="1019" t="str">
        <f ca="1"/>
        <v/>
      </c>
      <c r="M454" s="1006" t="str">
        <f ca="1"/>
        <v/>
      </c>
      <c r="N454" s="1060" t="str">
        <f t="shared" ca="1" si="41"/>
        <v/>
      </c>
      <c r="O454" s="996"/>
      <c r="P454" s="742">
        <v>436</v>
      </c>
      <c r="Q454" s="1016" t="str">
        <f t="shared" ca="1" si="45"/>
        <v/>
      </c>
      <c r="R454" s="1027" t="str">
        <f t="shared" ca="1" si="46"/>
        <v/>
      </c>
      <c r="S454" s="1006" t="str">
        <f ca="1"/>
        <v/>
      </c>
      <c r="T454" s="1006" t="str">
        <f ca="1"/>
        <v/>
      </c>
      <c r="U454" s="1006" t="str">
        <f ca="1"/>
        <v/>
      </c>
      <c r="V454" s="1016" t="str">
        <f ca="1"/>
        <v/>
      </c>
      <c r="W454" s="1019" t="str">
        <f ca="1"/>
        <v/>
      </c>
      <c r="X454" s="1006" t="str">
        <f ca="1"/>
        <v/>
      </c>
      <c r="Y454" s="864" t="str">
        <f t="shared" ca="1" si="42"/>
        <v/>
      </c>
      <c r="AA454" s="828">
        <v>436</v>
      </c>
      <c r="AB454" s="750"/>
      <c r="AC454" s="842"/>
      <c r="AD454" s="830"/>
      <c r="AE454" s="839"/>
      <c r="AF454" s="839"/>
      <c r="AG454" s="750"/>
      <c r="AH454" s="840"/>
      <c r="AI454" s="839"/>
      <c r="AJ454" s="841"/>
      <c r="AK454" s="108" t="s">
        <v>12</v>
      </c>
      <c r="AL454" s="847">
        <v>436</v>
      </c>
      <c r="AM454" s="857"/>
      <c r="AN454" s="842"/>
      <c r="AO454" s="839"/>
      <c r="AP454" s="839"/>
      <c r="AQ454" s="839"/>
      <c r="AR454" s="750"/>
      <c r="AS454" s="840"/>
      <c r="AT454" s="839"/>
      <c r="AU454" s="856"/>
      <c r="AV454" s="108" t="s">
        <v>12</v>
      </c>
    </row>
    <row r="455" spans="4:48">
      <c r="D455" s="108" t="s">
        <v>12</v>
      </c>
      <c r="E455" s="742">
        <v>437</v>
      </c>
      <c r="F455" s="1016" t="str">
        <f t="shared" ca="1" si="43"/>
        <v/>
      </c>
      <c r="G455" s="1027" t="str">
        <f t="shared" ca="1" si="44"/>
        <v/>
      </c>
      <c r="H455" s="1043" t="str">
        <f ca="1"/>
        <v/>
      </c>
      <c r="I455" s="1006" t="str">
        <f ca="1"/>
        <v/>
      </c>
      <c r="J455" s="1006" t="str">
        <f ca="1"/>
        <v/>
      </c>
      <c r="K455" s="1016" t="str">
        <f ca="1"/>
        <v/>
      </c>
      <c r="L455" s="1019" t="str">
        <f ca="1"/>
        <v/>
      </c>
      <c r="M455" s="1006" t="str">
        <f ca="1"/>
        <v/>
      </c>
      <c r="N455" s="1060" t="str">
        <f t="shared" ca="1" si="41"/>
        <v/>
      </c>
      <c r="O455" s="996"/>
      <c r="P455" s="742">
        <v>437</v>
      </c>
      <c r="Q455" s="1016" t="str">
        <f t="shared" ca="1" si="45"/>
        <v/>
      </c>
      <c r="R455" s="1027" t="str">
        <f t="shared" ca="1" si="46"/>
        <v/>
      </c>
      <c r="S455" s="1006" t="str">
        <f ca="1"/>
        <v/>
      </c>
      <c r="T455" s="1006" t="str">
        <f ca="1"/>
        <v/>
      </c>
      <c r="U455" s="1006" t="str">
        <f ca="1"/>
        <v/>
      </c>
      <c r="V455" s="1016" t="str">
        <f ca="1"/>
        <v/>
      </c>
      <c r="W455" s="1019" t="str">
        <f ca="1"/>
        <v/>
      </c>
      <c r="X455" s="1006" t="str">
        <f ca="1"/>
        <v/>
      </c>
      <c r="Y455" s="864" t="str">
        <f t="shared" ca="1" si="42"/>
        <v/>
      </c>
      <c r="AA455" s="828">
        <v>437</v>
      </c>
      <c r="AB455" s="750"/>
      <c r="AC455" s="842"/>
      <c r="AD455" s="830"/>
      <c r="AE455" s="839"/>
      <c r="AF455" s="839"/>
      <c r="AG455" s="750"/>
      <c r="AH455" s="840"/>
      <c r="AI455" s="839"/>
      <c r="AJ455" s="841"/>
      <c r="AK455" s="108" t="s">
        <v>12</v>
      </c>
      <c r="AL455" s="847">
        <v>437</v>
      </c>
      <c r="AM455" s="857"/>
      <c r="AN455" s="842"/>
      <c r="AO455" s="839"/>
      <c r="AP455" s="839"/>
      <c r="AQ455" s="839"/>
      <c r="AR455" s="750"/>
      <c r="AS455" s="840"/>
      <c r="AT455" s="839"/>
      <c r="AU455" s="856"/>
      <c r="AV455" s="108" t="s">
        <v>12</v>
      </c>
    </row>
    <row r="456" spans="4:48">
      <c r="D456" s="108" t="s">
        <v>12</v>
      </c>
      <c r="E456" s="742">
        <v>438</v>
      </c>
      <c r="F456" s="1016" t="str">
        <f t="shared" ca="1" si="43"/>
        <v/>
      </c>
      <c r="G456" s="1027" t="str">
        <f t="shared" ca="1" si="44"/>
        <v/>
      </c>
      <c r="H456" s="1043" t="str">
        <f ca="1"/>
        <v/>
      </c>
      <c r="I456" s="1006" t="str">
        <f ca="1"/>
        <v/>
      </c>
      <c r="J456" s="1006" t="str">
        <f ca="1"/>
        <v/>
      </c>
      <c r="K456" s="1016" t="str">
        <f ca="1"/>
        <v/>
      </c>
      <c r="L456" s="1019" t="str">
        <f ca="1"/>
        <v/>
      </c>
      <c r="M456" s="1006" t="str">
        <f ca="1"/>
        <v/>
      </c>
      <c r="N456" s="1060" t="str">
        <f t="shared" ca="1" si="41"/>
        <v/>
      </c>
      <c r="O456" s="996"/>
      <c r="P456" s="742">
        <v>438</v>
      </c>
      <c r="Q456" s="1016" t="str">
        <f t="shared" ca="1" si="45"/>
        <v/>
      </c>
      <c r="R456" s="1027" t="str">
        <f t="shared" ca="1" si="46"/>
        <v/>
      </c>
      <c r="S456" s="1006" t="str">
        <f ca="1"/>
        <v/>
      </c>
      <c r="T456" s="1006" t="str">
        <f ca="1"/>
        <v/>
      </c>
      <c r="U456" s="1006" t="str">
        <f ca="1"/>
        <v/>
      </c>
      <c r="V456" s="1016" t="str">
        <f ca="1"/>
        <v/>
      </c>
      <c r="W456" s="1019" t="str">
        <f ca="1"/>
        <v/>
      </c>
      <c r="X456" s="1006" t="str">
        <f ca="1"/>
        <v/>
      </c>
      <c r="Y456" s="864" t="str">
        <f t="shared" ca="1" si="42"/>
        <v/>
      </c>
      <c r="AA456" s="828">
        <v>438</v>
      </c>
      <c r="AB456" s="750"/>
      <c r="AC456" s="842"/>
      <c r="AD456" s="830"/>
      <c r="AE456" s="839"/>
      <c r="AF456" s="839"/>
      <c r="AG456" s="750"/>
      <c r="AH456" s="840"/>
      <c r="AI456" s="839"/>
      <c r="AJ456" s="841"/>
      <c r="AK456" s="108" t="s">
        <v>12</v>
      </c>
      <c r="AL456" s="847">
        <v>438</v>
      </c>
      <c r="AM456" s="857"/>
      <c r="AN456" s="842"/>
      <c r="AO456" s="839"/>
      <c r="AP456" s="839"/>
      <c r="AQ456" s="839"/>
      <c r="AR456" s="750"/>
      <c r="AS456" s="840"/>
      <c r="AT456" s="839"/>
      <c r="AU456" s="856"/>
      <c r="AV456" s="108" t="s">
        <v>12</v>
      </c>
    </row>
    <row r="457" spans="4:48">
      <c r="D457" s="108" t="s">
        <v>12</v>
      </c>
      <c r="E457" s="742">
        <v>439</v>
      </c>
      <c r="F457" s="1016" t="str">
        <f t="shared" ca="1" si="43"/>
        <v/>
      </c>
      <c r="G457" s="1027" t="str">
        <f t="shared" ca="1" si="44"/>
        <v/>
      </c>
      <c r="H457" s="1043" t="str">
        <f ca="1"/>
        <v/>
      </c>
      <c r="I457" s="1006" t="str">
        <f ca="1"/>
        <v/>
      </c>
      <c r="J457" s="1006" t="str">
        <f ca="1"/>
        <v/>
      </c>
      <c r="K457" s="1016" t="str">
        <f ca="1"/>
        <v/>
      </c>
      <c r="L457" s="1019" t="str">
        <f ca="1"/>
        <v/>
      </c>
      <c r="M457" s="1006" t="str">
        <f ca="1"/>
        <v/>
      </c>
      <c r="N457" s="1060" t="str">
        <f t="shared" ca="1" si="41"/>
        <v/>
      </c>
      <c r="O457" s="996"/>
      <c r="P457" s="742">
        <v>439</v>
      </c>
      <c r="Q457" s="1016" t="str">
        <f t="shared" ca="1" si="45"/>
        <v/>
      </c>
      <c r="R457" s="1027" t="str">
        <f t="shared" ca="1" si="46"/>
        <v/>
      </c>
      <c r="S457" s="1006" t="str">
        <f ca="1"/>
        <v/>
      </c>
      <c r="T457" s="1006" t="str">
        <f ca="1"/>
        <v/>
      </c>
      <c r="U457" s="1006" t="str">
        <f ca="1"/>
        <v/>
      </c>
      <c r="V457" s="1016" t="str">
        <f ca="1"/>
        <v/>
      </c>
      <c r="W457" s="1019" t="str">
        <f ca="1"/>
        <v/>
      </c>
      <c r="X457" s="1006" t="str">
        <f ca="1"/>
        <v/>
      </c>
      <c r="Y457" s="864" t="str">
        <f t="shared" ca="1" si="42"/>
        <v/>
      </c>
      <c r="AA457" s="828">
        <v>439</v>
      </c>
      <c r="AB457" s="750"/>
      <c r="AC457" s="842"/>
      <c r="AD457" s="830"/>
      <c r="AE457" s="839"/>
      <c r="AF457" s="839"/>
      <c r="AG457" s="750"/>
      <c r="AH457" s="840"/>
      <c r="AI457" s="839"/>
      <c r="AJ457" s="841"/>
      <c r="AK457" s="108" t="s">
        <v>12</v>
      </c>
      <c r="AL457" s="847">
        <v>439</v>
      </c>
      <c r="AM457" s="857"/>
      <c r="AN457" s="842"/>
      <c r="AO457" s="839"/>
      <c r="AP457" s="839"/>
      <c r="AQ457" s="839"/>
      <c r="AR457" s="750"/>
      <c r="AS457" s="840"/>
      <c r="AT457" s="839"/>
      <c r="AU457" s="856"/>
      <c r="AV457" s="108" t="s">
        <v>12</v>
      </c>
    </row>
    <row r="458" spans="4:48">
      <c r="D458" s="108" t="s">
        <v>12</v>
      </c>
      <c r="E458" s="742">
        <v>440</v>
      </c>
      <c r="F458" s="1016" t="str">
        <f t="shared" ca="1" si="43"/>
        <v/>
      </c>
      <c r="G458" s="1027" t="str">
        <f t="shared" ca="1" si="44"/>
        <v/>
      </c>
      <c r="H458" s="1043" t="str">
        <f ca="1"/>
        <v/>
      </c>
      <c r="I458" s="1006" t="str">
        <f ca="1"/>
        <v/>
      </c>
      <c r="J458" s="1006" t="str">
        <f ca="1"/>
        <v/>
      </c>
      <c r="K458" s="1016" t="str">
        <f ca="1"/>
        <v/>
      </c>
      <c r="L458" s="1019" t="str">
        <f ca="1"/>
        <v/>
      </c>
      <c r="M458" s="1006" t="str">
        <f ca="1"/>
        <v/>
      </c>
      <c r="N458" s="1060" t="str">
        <f t="shared" ca="1" si="41"/>
        <v/>
      </c>
      <c r="O458" s="996"/>
      <c r="P458" s="742">
        <v>440</v>
      </c>
      <c r="Q458" s="1016" t="str">
        <f t="shared" ca="1" si="45"/>
        <v/>
      </c>
      <c r="R458" s="1027" t="str">
        <f t="shared" ca="1" si="46"/>
        <v/>
      </c>
      <c r="S458" s="1006" t="str">
        <f ca="1"/>
        <v/>
      </c>
      <c r="T458" s="1006" t="str">
        <f ca="1"/>
        <v/>
      </c>
      <c r="U458" s="1006" t="str">
        <f ca="1"/>
        <v/>
      </c>
      <c r="V458" s="1016" t="str">
        <f ca="1"/>
        <v/>
      </c>
      <c r="W458" s="1019" t="str">
        <f ca="1"/>
        <v/>
      </c>
      <c r="X458" s="1006" t="str">
        <f ca="1"/>
        <v/>
      </c>
      <c r="Y458" s="864" t="str">
        <f t="shared" ca="1" si="42"/>
        <v/>
      </c>
      <c r="AA458" s="828">
        <v>440</v>
      </c>
      <c r="AB458" s="750"/>
      <c r="AC458" s="842"/>
      <c r="AD458" s="830"/>
      <c r="AE458" s="839"/>
      <c r="AF458" s="839"/>
      <c r="AG458" s="750"/>
      <c r="AH458" s="840"/>
      <c r="AI458" s="839"/>
      <c r="AJ458" s="841"/>
      <c r="AK458" s="108" t="s">
        <v>12</v>
      </c>
      <c r="AL458" s="847">
        <v>440</v>
      </c>
      <c r="AM458" s="857"/>
      <c r="AN458" s="842"/>
      <c r="AO458" s="839"/>
      <c r="AP458" s="839"/>
      <c r="AQ458" s="839"/>
      <c r="AR458" s="750"/>
      <c r="AS458" s="840"/>
      <c r="AT458" s="839"/>
      <c r="AU458" s="856"/>
      <c r="AV458" s="108" t="s">
        <v>12</v>
      </c>
    </row>
    <row r="459" spans="4:48">
      <c r="D459" s="108" t="s">
        <v>12</v>
      </c>
      <c r="E459" s="742">
        <v>441</v>
      </c>
      <c r="F459" s="1016" t="str">
        <f t="shared" ca="1" si="43"/>
        <v/>
      </c>
      <c r="G459" s="1027" t="str">
        <f t="shared" ca="1" si="44"/>
        <v/>
      </c>
      <c r="H459" s="1043" t="str">
        <f ca="1"/>
        <v/>
      </c>
      <c r="I459" s="1006" t="str">
        <f ca="1"/>
        <v/>
      </c>
      <c r="J459" s="1006" t="str">
        <f ca="1"/>
        <v/>
      </c>
      <c r="K459" s="1016" t="str">
        <f ca="1"/>
        <v/>
      </c>
      <c r="L459" s="1019" t="str">
        <f ca="1"/>
        <v/>
      </c>
      <c r="M459" s="1006" t="str">
        <f ca="1"/>
        <v/>
      </c>
      <c r="N459" s="1060" t="str">
        <f t="shared" ca="1" si="41"/>
        <v/>
      </c>
      <c r="O459" s="996"/>
      <c r="P459" s="742">
        <v>441</v>
      </c>
      <c r="Q459" s="1016" t="str">
        <f t="shared" ca="1" si="45"/>
        <v/>
      </c>
      <c r="R459" s="1027" t="str">
        <f t="shared" ca="1" si="46"/>
        <v/>
      </c>
      <c r="S459" s="1006" t="str">
        <f ca="1"/>
        <v/>
      </c>
      <c r="T459" s="1006" t="str">
        <f ca="1"/>
        <v/>
      </c>
      <c r="U459" s="1006" t="str">
        <f ca="1"/>
        <v/>
      </c>
      <c r="V459" s="1016" t="str">
        <f ca="1"/>
        <v/>
      </c>
      <c r="W459" s="1019" t="str">
        <f ca="1"/>
        <v/>
      </c>
      <c r="X459" s="1006" t="str">
        <f ca="1"/>
        <v/>
      </c>
      <c r="Y459" s="864" t="str">
        <f t="shared" ca="1" si="42"/>
        <v/>
      </c>
      <c r="AA459" s="828">
        <v>441</v>
      </c>
      <c r="AB459" s="750"/>
      <c r="AC459" s="842"/>
      <c r="AD459" s="830"/>
      <c r="AE459" s="839"/>
      <c r="AF459" s="839"/>
      <c r="AG459" s="750"/>
      <c r="AH459" s="840"/>
      <c r="AI459" s="839"/>
      <c r="AJ459" s="841"/>
      <c r="AK459" s="108" t="s">
        <v>12</v>
      </c>
      <c r="AL459" s="847">
        <v>441</v>
      </c>
      <c r="AM459" s="857"/>
      <c r="AN459" s="842"/>
      <c r="AO459" s="839"/>
      <c r="AP459" s="839"/>
      <c r="AQ459" s="839"/>
      <c r="AR459" s="750"/>
      <c r="AS459" s="840"/>
      <c r="AT459" s="839"/>
      <c r="AU459" s="856"/>
      <c r="AV459" s="108" t="s">
        <v>12</v>
      </c>
    </row>
    <row r="460" spans="4:48">
      <c r="D460" s="108" t="s">
        <v>12</v>
      </c>
      <c r="E460" s="742">
        <v>442</v>
      </c>
      <c r="F460" s="1016" t="str">
        <f t="shared" ca="1" si="43"/>
        <v/>
      </c>
      <c r="G460" s="1027" t="str">
        <f t="shared" ca="1" si="44"/>
        <v/>
      </c>
      <c r="H460" s="1043" t="str">
        <f ca="1"/>
        <v/>
      </c>
      <c r="I460" s="1006" t="str">
        <f ca="1"/>
        <v/>
      </c>
      <c r="J460" s="1006" t="str">
        <f ca="1"/>
        <v/>
      </c>
      <c r="K460" s="1016" t="str">
        <f ca="1"/>
        <v/>
      </c>
      <c r="L460" s="1019" t="str">
        <f ca="1"/>
        <v/>
      </c>
      <c r="M460" s="1006" t="str">
        <f ca="1"/>
        <v/>
      </c>
      <c r="N460" s="1060" t="str">
        <f t="shared" ca="1" si="41"/>
        <v/>
      </c>
      <c r="O460" s="996"/>
      <c r="P460" s="742">
        <v>442</v>
      </c>
      <c r="Q460" s="1016" t="str">
        <f t="shared" ca="1" si="45"/>
        <v/>
      </c>
      <c r="R460" s="1027" t="str">
        <f t="shared" ca="1" si="46"/>
        <v/>
      </c>
      <c r="S460" s="1006" t="str">
        <f ca="1"/>
        <v/>
      </c>
      <c r="T460" s="1006" t="str">
        <f ca="1"/>
        <v/>
      </c>
      <c r="U460" s="1006" t="str">
        <f ca="1"/>
        <v/>
      </c>
      <c r="V460" s="1016" t="str">
        <f ca="1"/>
        <v/>
      </c>
      <c r="W460" s="1019" t="str">
        <f ca="1"/>
        <v/>
      </c>
      <c r="X460" s="1006" t="str">
        <f ca="1"/>
        <v/>
      </c>
      <c r="Y460" s="864" t="str">
        <f t="shared" ca="1" si="42"/>
        <v/>
      </c>
      <c r="AA460" s="828">
        <v>442</v>
      </c>
      <c r="AB460" s="750"/>
      <c r="AC460" s="842"/>
      <c r="AD460" s="830"/>
      <c r="AE460" s="839"/>
      <c r="AF460" s="839"/>
      <c r="AG460" s="750"/>
      <c r="AH460" s="840"/>
      <c r="AI460" s="839"/>
      <c r="AJ460" s="841"/>
      <c r="AK460" s="108" t="s">
        <v>12</v>
      </c>
      <c r="AL460" s="847">
        <v>442</v>
      </c>
      <c r="AM460" s="857"/>
      <c r="AN460" s="842"/>
      <c r="AO460" s="839"/>
      <c r="AP460" s="839"/>
      <c r="AQ460" s="839"/>
      <c r="AR460" s="750"/>
      <c r="AS460" s="840"/>
      <c r="AT460" s="839"/>
      <c r="AU460" s="856"/>
      <c r="AV460" s="108" t="s">
        <v>12</v>
      </c>
    </row>
    <row r="461" spans="4:48">
      <c r="D461" s="108" t="s">
        <v>12</v>
      </c>
      <c r="E461" s="742">
        <v>443</v>
      </c>
      <c r="F461" s="1016" t="str">
        <f t="shared" ca="1" si="43"/>
        <v/>
      </c>
      <c r="G461" s="1027" t="str">
        <f t="shared" ca="1" si="44"/>
        <v/>
      </c>
      <c r="H461" s="1043" t="str">
        <f ca="1"/>
        <v/>
      </c>
      <c r="I461" s="1006" t="str">
        <f ca="1"/>
        <v/>
      </c>
      <c r="J461" s="1006" t="str">
        <f ca="1"/>
        <v/>
      </c>
      <c r="K461" s="1016" t="str">
        <f ca="1"/>
        <v/>
      </c>
      <c r="L461" s="1019" t="str">
        <f ca="1"/>
        <v/>
      </c>
      <c r="M461" s="1006" t="str">
        <f ca="1"/>
        <v/>
      </c>
      <c r="N461" s="1060" t="str">
        <f t="shared" ca="1" si="41"/>
        <v/>
      </c>
      <c r="O461" s="996"/>
      <c r="P461" s="742">
        <v>443</v>
      </c>
      <c r="Q461" s="1016" t="str">
        <f t="shared" ca="1" si="45"/>
        <v/>
      </c>
      <c r="R461" s="1027" t="str">
        <f t="shared" ca="1" si="46"/>
        <v/>
      </c>
      <c r="S461" s="1006" t="str">
        <f ca="1"/>
        <v/>
      </c>
      <c r="T461" s="1006" t="str">
        <f ca="1"/>
        <v/>
      </c>
      <c r="U461" s="1006" t="str">
        <f ca="1"/>
        <v/>
      </c>
      <c r="V461" s="1016" t="str">
        <f ca="1"/>
        <v/>
      </c>
      <c r="W461" s="1019" t="str">
        <f ca="1"/>
        <v/>
      </c>
      <c r="X461" s="1006" t="str">
        <f ca="1"/>
        <v/>
      </c>
      <c r="Y461" s="864" t="str">
        <f t="shared" ca="1" si="42"/>
        <v/>
      </c>
      <c r="AA461" s="828">
        <v>443</v>
      </c>
      <c r="AB461" s="750"/>
      <c r="AC461" s="842"/>
      <c r="AD461" s="830"/>
      <c r="AE461" s="839"/>
      <c r="AF461" s="839"/>
      <c r="AG461" s="750"/>
      <c r="AH461" s="840"/>
      <c r="AI461" s="839"/>
      <c r="AJ461" s="841"/>
      <c r="AK461" s="108" t="s">
        <v>12</v>
      </c>
      <c r="AL461" s="847">
        <v>443</v>
      </c>
      <c r="AM461" s="857"/>
      <c r="AN461" s="842"/>
      <c r="AO461" s="839"/>
      <c r="AP461" s="839"/>
      <c r="AQ461" s="839"/>
      <c r="AR461" s="750"/>
      <c r="AS461" s="840"/>
      <c r="AT461" s="839"/>
      <c r="AU461" s="856"/>
      <c r="AV461" s="108" t="s">
        <v>12</v>
      </c>
    </row>
    <row r="462" spans="4:48">
      <c r="D462" s="108" t="s">
        <v>12</v>
      </c>
      <c r="E462" s="742">
        <v>444</v>
      </c>
      <c r="F462" s="1016" t="str">
        <f t="shared" ca="1" si="43"/>
        <v/>
      </c>
      <c r="G462" s="1027" t="str">
        <f t="shared" ca="1" si="44"/>
        <v/>
      </c>
      <c r="H462" s="1043" t="str">
        <f ca="1"/>
        <v/>
      </c>
      <c r="I462" s="1006" t="str">
        <f ca="1"/>
        <v/>
      </c>
      <c r="J462" s="1006" t="str">
        <f ca="1"/>
        <v/>
      </c>
      <c r="K462" s="1016" t="str">
        <f ca="1"/>
        <v/>
      </c>
      <c r="L462" s="1019" t="str">
        <f ca="1"/>
        <v/>
      </c>
      <c r="M462" s="1006" t="str">
        <f ca="1"/>
        <v/>
      </c>
      <c r="N462" s="1060" t="str">
        <f t="shared" ca="1" si="41"/>
        <v/>
      </c>
      <c r="O462" s="996"/>
      <c r="P462" s="742">
        <v>444</v>
      </c>
      <c r="Q462" s="1016" t="str">
        <f t="shared" ca="1" si="45"/>
        <v/>
      </c>
      <c r="R462" s="1027" t="str">
        <f t="shared" ca="1" si="46"/>
        <v/>
      </c>
      <c r="S462" s="1006" t="str">
        <f ca="1"/>
        <v/>
      </c>
      <c r="T462" s="1006" t="str">
        <f ca="1"/>
        <v/>
      </c>
      <c r="U462" s="1006" t="str">
        <f ca="1"/>
        <v/>
      </c>
      <c r="V462" s="1016" t="str">
        <f ca="1"/>
        <v/>
      </c>
      <c r="W462" s="1019" t="str">
        <f ca="1"/>
        <v/>
      </c>
      <c r="X462" s="1006" t="str">
        <f ca="1"/>
        <v/>
      </c>
      <c r="Y462" s="864" t="str">
        <f t="shared" ca="1" si="42"/>
        <v/>
      </c>
      <c r="AA462" s="828">
        <v>444</v>
      </c>
      <c r="AB462" s="750"/>
      <c r="AC462" s="842"/>
      <c r="AD462" s="830"/>
      <c r="AE462" s="839"/>
      <c r="AF462" s="839"/>
      <c r="AG462" s="750"/>
      <c r="AH462" s="840"/>
      <c r="AI462" s="839"/>
      <c r="AJ462" s="841"/>
      <c r="AK462" s="108" t="s">
        <v>12</v>
      </c>
      <c r="AL462" s="847">
        <v>444</v>
      </c>
      <c r="AM462" s="857"/>
      <c r="AN462" s="842"/>
      <c r="AO462" s="839"/>
      <c r="AP462" s="839"/>
      <c r="AQ462" s="839"/>
      <c r="AR462" s="750"/>
      <c r="AS462" s="840"/>
      <c r="AT462" s="839"/>
      <c r="AU462" s="856"/>
      <c r="AV462" s="108" t="s">
        <v>12</v>
      </c>
    </row>
    <row r="463" spans="4:48">
      <c r="D463" s="108" t="s">
        <v>12</v>
      </c>
      <c r="E463" s="742">
        <v>445</v>
      </c>
      <c r="F463" s="1016" t="str">
        <f t="shared" ca="1" si="43"/>
        <v/>
      </c>
      <c r="G463" s="1027" t="str">
        <f t="shared" ca="1" si="44"/>
        <v/>
      </c>
      <c r="H463" s="1043" t="str">
        <f ca="1"/>
        <v/>
      </c>
      <c r="I463" s="1006" t="str">
        <f ca="1"/>
        <v/>
      </c>
      <c r="J463" s="1006" t="str">
        <f ca="1"/>
        <v/>
      </c>
      <c r="K463" s="1016" t="str">
        <f ca="1"/>
        <v/>
      </c>
      <c r="L463" s="1019" t="str">
        <f ca="1"/>
        <v/>
      </c>
      <c r="M463" s="1006" t="str">
        <f ca="1"/>
        <v/>
      </c>
      <c r="N463" s="1060" t="str">
        <f t="shared" ca="1" si="41"/>
        <v/>
      </c>
      <c r="O463" s="996"/>
      <c r="P463" s="742">
        <v>445</v>
      </c>
      <c r="Q463" s="1016" t="str">
        <f t="shared" ca="1" si="45"/>
        <v/>
      </c>
      <c r="R463" s="1027" t="str">
        <f t="shared" ca="1" si="46"/>
        <v/>
      </c>
      <c r="S463" s="1006" t="str">
        <f ca="1"/>
        <v/>
      </c>
      <c r="T463" s="1006" t="str">
        <f ca="1"/>
        <v/>
      </c>
      <c r="U463" s="1006" t="str">
        <f ca="1"/>
        <v/>
      </c>
      <c r="V463" s="1016" t="str">
        <f ca="1"/>
        <v/>
      </c>
      <c r="W463" s="1019" t="str">
        <f ca="1"/>
        <v/>
      </c>
      <c r="X463" s="1006" t="str">
        <f ca="1"/>
        <v/>
      </c>
      <c r="Y463" s="864" t="str">
        <f t="shared" ca="1" si="42"/>
        <v/>
      </c>
      <c r="AA463" s="828">
        <v>445</v>
      </c>
      <c r="AB463" s="750"/>
      <c r="AC463" s="842"/>
      <c r="AD463" s="830"/>
      <c r="AE463" s="839"/>
      <c r="AF463" s="839"/>
      <c r="AG463" s="750"/>
      <c r="AH463" s="840"/>
      <c r="AI463" s="839"/>
      <c r="AJ463" s="841"/>
      <c r="AK463" s="108" t="s">
        <v>12</v>
      </c>
      <c r="AL463" s="847">
        <v>445</v>
      </c>
      <c r="AM463" s="857"/>
      <c r="AN463" s="842"/>
      <c r="AO463" s="839"/>
      <c r="AP463" s="839"/>
      <c r="AQ463" s="839"/>
      <c r="AR463" s="750"/>
      <c r="AS463" s="840"/>
      <c r="AT463" s="839"/>
      <c r="AU463" s="856"/>
      <c r="AV463" s="108" t="s">
        <v>12</v>
      </c>
    </row>
    <row r="464" spans="4:48">
      <c r="D464" s="108" t="s">
        <v>12</v>
      </c>
      <c r="E464" s="742">
        <v>446</v>
      </c>
      <c r="F464" s="1016" t="str">
        <f t="shared" ca="1" si="43"/>
        <v/>
      </c>
      <c r="G464" s="1027" t="str">
        <f t="shared" ca="1" si="44"/>
        <v/>
      </c>
      <c r="H464" s="1043" t="str">
        <f ca="1"/>
        <v/>
      </c>
      <c r="I464" s="1006" t="str">
        <f ca="1"/>
        <v/>
      </c>
      <c r="J464" s="1006" t="str">
        <f ca="1"/>
        <v/>
      </c>
      <c r="K464" s="1016" t="str">
        <f ca="1"/>
        <v/>
      </c>
      <c r="L464" s="1019" t="str">
        <f ca="1"/>
        <v/>
      </c>
      <c r="M464" s="1006" t="str">
        <f ca="1"/>
        <v/>
      </c>
      <c r="N464" s="1060" t="str">
        <f t="shared" ca="1" si="41"/>
        <v/>
      </c>
      <c r="O464" s="996"/>
      <c r="P464" s="742">
        <v>446</v>
      </c>
      <c r="Q464" s="1016" t="str">
        <f t="shared" ca="1" si="45"/>
        <v/>
      </c>
      <c r="R464" s="1027" t="str">
        <f t="shared" ca="1" si="46"/>
        <v/>
      </c>
      <c r="S464" s="1006" t="str">
        <f ca="1"/>
        <v/>
      </c>
      <c r="T464" s="1006" t="str">
        <f ca="1"/>
        <v/>
      </c>
      <c r="U464" s="1006" t="str">
        <f ca="1"/>
        <v/>
      </c>
      <c r="V464" s="1016" t="str">
        <f ca="1"/>
        <v/>
      </c>
      <c r="W464" s="1019" t="str">
        <f ca="1"/>
        <v/>
      </c>
      <c r="X464" s="1006" t="str">
        <f ca="1"/>
        <v/>
      </c>
      <c r="Y464" s="864" t="str">
        <f t="shared" ca="1" si="42"/>
        <v/>
      </c>
      <c r="AA464" s="828">
        <v>446</v>
      </c>
      <c r="AB464" s="750"/>
      <c r="AC464" s="842"/>
      <c r="AD464" s="830"/>
      <c r="AE464" s="839"/>
      <c r="AF464" s="839"/>
      <c r="AG464" s="750"/>
      <c r="AH464" s="840"/>
      <c r="AI464" s="839"/>
      <c r="AJ464" s="841"/>
      <c r="AK464" s="108" t="s">
        <v>12</v>
      </c>
      <c r="AL464" s="847">
        <v>446</v>
      </c>
      <c r="AM464" s="857"/>
      <c r="AN464" s="842"/>
      <c r="AO464" s="839"/>
      <c r="AP464" s="839"/>
      <c r="AQ464" s="839"/>
      <c r="AR464" s="750"/>
      <c r="AS464" s="840"/>
      <c r="AT464" s="839"/>
      <c r="AU464" s="856"/>
      <c r="AV464" s="108" t="s">
        <v>12</v>
      </c>
    </row>
    <row r="465" spans="4:48">
      <c r="D465" s="108" t="s">
        <v>12</v>
      </c>
      <c r="E465" s="742">
        <v>447</v>
      </c>
      <c r="F465" s="1016" t="str">
        <f t="shared" ca="1" si="43"/>
        <v/>
      </c>
      <c r="G465" s="1027" t="str">
        <f t="shared" ca="1" si="44"/>
        <v/>
      </c>
      <c r="H465" s="1043" t="str">
        <f ca="1"/>
        <v/>
      </c>
      <c r="I465" s="1006" t="str">
        <f ca="1"/>
        <v/>
      </c>
      <c r="J465" s="1006" t="str">
        <f ca="1"/>
        <v/>
      </c>
      <c r="K465" s="1016" t="str">
        <f ca="1"/>
        <v/>
      </c>
      <c r="L465" s="1019" t="str">
        <f ca="1"/>
        <v/>
      </c>
      <c r="M465" s="1006" t="str">
        <f ca="1"/>
        <v/>
      </c>
      <c r="N465" s="1060" t="str">
        <f t="shared" ca="1" si="41"/>
        <v/>
      </c>
      <c r="O465" s="996"/>
      <c r="P465" s="742">
        <v>447</v>
      </c>
      <c r="Q465" s="1016" t="str">
        <f t="shared" ca="1" si="45"/>
        <v/>
      </c>
      <c r="R465" s="1027" t="str">
        <f t="shared" ca="1" si="46"/>
        <v/>
      </c>
      <c r="S465" s="1006" t="str">
        <f ca="1"/>
        <v/>
      </c>
      <c r="T465" s="1006" t="str">
        <f ca="1"/>
        <v/>
      </c>
      <c r="U465" s="1006" t="str">
        <f ca="1"/>
        <v/>
      </c>
      <c r="V465" s="1016" t="str">
        <f ca="1"/>
        <v/>
      </c>
      <c r="W465" s="1019" t="str">
        <f ca="1"/>
        <v/>
      </c>
      <c r="X465" s="1006" t="str">
        <f ca="1"/>
        <v/>
      </c>
      <c r="Y465" s="864" t="str">
        <f t="shared" ca="1" si="42"/>
        <v/>
      </c>
      <c r="AA465" s="828">
        <v>447</v>
      </c>
      <c r="AB465" s="750"/>
      <c r="AC465" s="842"/>
      <c r="AD465" s="830"/>
      <c r="AE465" s="839"/>
      <c r="AF465" s="839"/>
      <c r="AG465" s="750"/>
      <c r="AH465" s="840"/>
      <c r="AI465" s="839"/>
      <c r="AJ465" s="841"/>
      <c r="AK465" s="108" t="s">
        <v>12</v>
      </c>
      <c r="AL465" s="847">
        <v>447</v>
      </c>
      <c r="AM465" s="857"/>
      <c r="AN465" s="842"/>
      <c r="AO465" s="839"/>
      <c r="AP465" s="839"/>
      <c r="AQ465" s="839"/>
      <c r="AR465" s="750"/>
      <c r="AS465" s="840"/>
      <c r="AT465" s="839"/>
      <c r="AU465" s="856"/>
      <c r="AV465" s="108" t="s">
        <v>12</v>
      </c>
    </row>
    <row r="466" spans="4:48">
      <c r="D466" s="108" t="s">
        <v>12</v>
      </c>
      <c r="E466" s="742">
        <v>448</v>
      </c>
      <c r="F466" s="1016" t="str">
        <f t="shared" ca="1" si="43"/>
        <v/>
      </c>
      <c r="G466" s="1027" t="str">
        <f t="shared" ca="1" si="44"/>
        <v/>
      </c>
      <c r="H466" s="1043" t="str">
        <f ca="1"/>
        <v/>
      </c>
      <c r="I466" s="1006" t="str">
        <f ca="1"/>
        <v/>
      </c>
      <c r="J466" s="1006" t="str">
        <f ca="1"/>
        <v/>
      </c>
      <c r="K466" s="1016" t="str">
        <f ca="1"/>
        <v/>
      </c>
      <c r="L466" s="1019" t="str">
        <f ca="1"/>
        <v/>
      </c>
      <c r="M466" s="1006" t="str">
        <f ca="1"/>
        <v/>
      </c>
      <c r="N466" s="1060" t="str">
        <f t="shared" ca="1" si="41"/>
        <v/>
      </c>
      <c r="O466" s="996"/>
      <c r="P466" s="742">
        <v>448</v>
      </c>
      <c r="Q466" s="1016" t="str">
        <f t="shared" ca="1" si="45"/>
        <v/>
      </c>
      <c r="R466" s="1027" t="str">
        <f t="shared" ca="1" si="46"/>
        <v/>
      </c>
      <c r="S466" s="1006" t="str">
        <f ca="1"/>
        <v/>
      </c>
      <c r="T466" s="1006" t="str">
        <f ca="1"/>
        <v/>
      </c>
      <c r="U466" s="1006" t="str">
        <f ca="1"/>
        <v/>
      </c>
      <c r="V466" s="1016" t="str">
        <f ca="1"/>
        <v/>
      </c>
      <c r="W466" s="1019" t="str">
        <f ca="1"/>
        <v/>
      </c>
      <c r="X466" s="1006" t="str">
        <f ca="1"/>
        <v/>
      </c>
      <c r="Y466" s="864" t="str">
        <f t="shared" ca="1" si="42"/>
        <v/>
      </c>
      <c r="AA466" s="828">
        <v>448</v>
      </c>
      <c r="AB466" s="750"/>
      <c r="AC466" s="842"/>
      <c r="AD466" s="830"/>
      <c r="AE466" s="839"/>
      <c r="AF466" s="839"/>
      <c r="AG466" s="750"/>
      <c r="AH466" s="840"/>
      <c r="AI466" s="839"/>
      <c r="AJ466" s="841"/>
      <c r="AK466" s="108" t="s">
        <v>12</v>
      </c>
      <c r="AL466" s="847">
        <v>448</v>
      </c>
      <c r="AM466" s="857"/>
      <c r="AN466" s="842"/>
      <c r="AO466" s="839"/>
      <c r="AP466" s="839"/>
      <c r="AQ466" s="839"/>
      <c r="AR466" s="750"/>
      <c r="AS466" s="840"/>
      <c r="AT466" s="839"/>
      <c r="AU466" s="856"/>
      <c r="AV466" s="108" t="s">
        <v>12</v>
      </c>
    </row>
    <row r="467" spans="4:48">
      <c r="D467" s="108" t="s">
        <v>12</v>
      </c>
      <c r="E467" s="742">
        <v>449</v>
      </c>
      <c r="F467" s="1016" t="str">
        <f t="shared" ca="1" si="43"/>
        <v/>
      </c>
      <c r="G467" s="1027" t="str">
        <f t="shared" ca="1" si="44"/>
        <v/>
      </c>
      <c r="H467" s="1043" t="str">
        <f ca="1"/>
        <v/>
      </c>
      <c r="I467" s="1006" t="str">
        <f ca="1"/>
        <v/>
      </c>
      <c r="J467" s="1006" t="str">
        <f ca="1"/>
        <v/>
      </c>
      <c r="K467" s="1016" t="str">
        <f ca="1"/>
        <v/>
      </c>
      <c r="L467" s="1019" t="str">
        <f ca="1"/>
        <v/>
      </c>
      <c r="M467" s="1006" t="str">
        <f ca="1"/>
        <v/>
      </c>
      <c r="N467" s="1060" t="str">
        <f t="shared" ref="N467:N518" ca="1" si="47">IF($I467="","",VNS.FixedRate)</f>
        <v/>
      </c>
      <c r="O467" s="996"/>
      <c r="P467" s="742">
        <v>449</v>
      </c>
      <c r="Q467" s="1016" t="str">
        <f t="shared" ca="1" si="45"/>
        <v/>
      </c>
      <c r="R467" s="1027" t="str">
        <f t="shared" ca="1" si="46"/>
        <v/>
      </c>
      <c r="S467" s="1006" t="str">
        <f ca="1"/>
        <v/>
      </c>
      <c r="T467" s="1006" t="str">
        <f ca="1"/>
        <v/>
      </c>
      <c r="U467" s="1006" t="str">
        <f ca="1"/>
        <v/>
      </c>
      <c r="V467" s="1016" t="str">
        <f ca="1"/>
        <v/>
      </c>
      <c r="W467" s="1019" t="str">
        <f ca="1"/>
        <v/>
      </c>
      <c r="X467" s="1006" t="str">
        <f ca="1"/>
        <v/>
      </c>
      <c r="Y467" s="864" t="str">
        <f t="shared" ref="Y467:Y518" ca="1" si="48">IF($T467="","",VNS.FloatSpread)</f>
        <v/>
      </c>
      <c r="AA467" s="828">
        <v>449</v>
      </c>
      <c r="AB467" s="750"/>
      <c r="AC467" s="842"/>
      <c r="AD467" s="830"/>
      <c r="AE467" s="839"/>
      <c r="AF467" s="839"/>
      <c r="AG467" s="750"/>
      <c r="AH467" s="840"/>
      <c r="AI467" s="839"/>
      <c r="AJ467" s="841"/>
      <c r="AK467" s="108" t="s">
        <v>12</v>
      </c>
      <c r="AL467" s="847">
        <v>449</v>
      </c>
      <c r="AM467" s="857"/>
      <c r="AN467" s="842"/>
      <c r="AO467" s="839"/>
      <c r="AP467" s="839"/>
      <c r="AQ467" s="839"/>
      <c r="AR467" s="750"/>
      <c r="AS467" s="840"/>
      <c r="AT467" s="839"/>
      <c r="AU467" s="856"/>
      <c r="AV467" s="108" t="s">
        <v>12</v>
      </c>
    </row>
    <row r="468" spans="4:48">
      <c r="D468" s="108" t="s">
        <v>12</v>
      </c>
      <c r="E468" s="742">
        <v>450</v>
      </c>
      <c r="F468" s="1016" t="str">
        <f t="shared" ref="F468:F518" ca="1" si="49">IF($I468="","",IF(OR(VNS.FixedAmortization=0,VNS.FixedAmortization.Frequency=0),F467,IF(MOD(E468-1,VNS.FixedAmortization.Frequency)=0,F467-VNS.FixedAmortization,F467)))</f>
        <v/>
      </c>
      <c r="G468" s="1027" t="str">
        <f t="shared" ref="G468:G518" ca="1" si="50">IF(I468="","",1)</f>
        <v/>
      </c>
      <c r="H468" s="1043" t="str">
        <f ca="1"/>
        <v/>
      </c>
      <c r="I468" s="1006" t="str">
        <f ca="1"/>
        <v/>
      </c>
      <c r="J468" s="1006" t="str">
        <f ca="1"/>
        <v/>
      </c>
      <c r="K468" s="1016" t="str">
        <f ca="1"/>
        <v/>
      </c>
      <c r="L468" s="1019" t="str">
        <f ca="1"/>
        <v/>
      </c>
      <c r="M468" s="1006" t="str">
        <f ca="1"/>
        <v/>
      </c>
      <c r="N468" s="1060" t="str">
        <f t="shared" ca="1" si="47"/>
        <v/>
      </c>
      <c r="O468" s="996"/>
      <c r="P468" s="742">
        <v>450</v>
      </c>
      <c r="Q468" s="1016" t="str">
        <f t="shared" ref="Q468:Q518" ca="1" si="51">IF($T468="","",IF(OR(VNS.FloatAmortization=0,VNS.FloatAmortization.Frequency=0),Q467,IF(MOD(P468-1,VNS.FloatAmortization.Frequency)=0,Q467-VNS.FloatAmortization,Q467)))</f>
        <v/>
      </c>
      <c r="R468" s="1027" t="str">
        <f t="shared" ca="1" si="46"/>
        <v/>
      </c>
      <c r="S468" s="1006" t="str">
        <f ca="1"/>
        <v/>
      </c>
      <c r="T468" s="1006" t="str">
        <f ca="1"/>
        <v/>
      </c>
      <c r="U468" s="1006" t="str">
        <f ca="1"/>
        <v/>
      </c>
      <c r="V468" s="1016" t="str">
        <f ca="1"/>
        <v/>
      </c>
      <c r="W468" s="1019" t="str">
        <f ca="1"/>
        <v/>
      </c>
      <c r="X468" s="1006" t="str">
        <f ca="1"/>
        <v/>
      </c>
      <c r="Y468" s="864" t="str">
        <f t="shared" ca="1" si="48"/>
        <v/>
      </c>
      <c r="AA468" s="828">
        <v>450</v>
      </c>
      <c r="AB468" s="750"/>
      <c r="AC468" s="842"/>
      <c r="AD468" s="830"/>
      <c r="AE468" s="839"/>
      <c r="AF468" s="839"/>
      <c r="AG468" s="750"/>
      <c r="AH468" s="840"/>
      <c r="AI468" s="839"/>
      <c r="AJ468" s="841"/>
      <c r="AK468" s="108" t="s">
        <v>12</v>
      </c>
      <c r="AL468" s="847">
        <v>450</v>
      </c>
      <c r="AM468" s="857"/>
      <c r="AN468" s="842"/>
      <c r="AO468" s="839"/>
      <c r="AP468" s="839"/>
      <c r="AQ468" s="839"/>
      <c r="AR468" s="750"/>
      <c r="AS468" s="840"/>
      <c r="AT468" s="839"/>
      <c r="AU468" s="856"/>
      <c r="AV468" s="108" t="s">
        <v>12</v>
      </c>
    </row>
    <row r="469" spans="4:48">
      <c r="D469" s="108" t="s">
        <v>12</v>
      </c>
      <c r="E469" s="742">
        <v>451</v>
      </c>
      <c r="F469" s="1016" t="str">
        <f t="shared" ca="1" si="49"/>
        <v/>
      </c>
      <c r="G469" s="1027" t="str">
        <f t="shared" ca="1" si="50"/>
        <v/>
      </c>
      <c r="H469" s="1043" t="str">
        <f ca="1"/>
        <v/>
      </c>
      <c r="I469" s="1006" t="str">
        <f ca="1"/>
        <v/>
      </c>
      <c r="J469" s="1006" t="str">
        <f ca="1"/>
        <v/>
      </c>
      <c r="K469" s="1016" t="str">
        <f ca="1"/>
        <v/>
      </c>
      <c r="L469" s="1019" t="str">
        <f ca="1"/>
        <v/>
      </c>
      <c r="M469" s="1006" t="str">
        <f ca="1"/>
        <v/>
      </c>
      <c r="N469" s="1060" t="str">
        <f t="shared" ca="1" si="47"/>
        <v/>
      </c>
      <c r="O469" s="996"/>
      <c r="P469" s="742">
        <v>451</v>
      </c>
      <c r="Q469" s="1016" t="str">
        <f t="shared" ca="1" si="51"/>
        <v/>
      </c>
      <c r="R469" s="1027" t="str">
        <f t="shared" ca="1" si="46"/>
        <v/>
      </c>
      <c r="S469" s="1006" t="str">
        <f ca="1"/>
        <v/>
      </c>
      <c r="T469" s="1006" t="str">
        <f ca="1"/>
        <v/>
      </c>
      <c r="U469" s="1006" t="str">
        <f ca="1"/>
        <v/>
      </c>
      <c r="V469" s="1016" t="str">
        <f ca="1"/>
        <v/>
      </c>
      <c r="W469" s="1019" t="str">
        <f ca="1"/>
        <v/>
      </c>
      <c r="X469" s="1006" t="str">
        <f ca="1"/>
        <v/>
      </c>
      <c r="Y469" s="864" t="str">
        <f t="shared" ca="1" si="48"/>
        <v/>
      </c>
      <c r="AA469" s="828">
        <v>451</v>
      </c>
      <c r="AB469" s="750"/>
      <c r="AC469" s="842"/>
      <c r="AD469" s="830"/>
      <c r="AE469" s="839"/>
      <c r="AF469" s="839"/>
      <c r="AG469" s="750"/>
      <c r="AH469" s="840"/>
      <c r="AI469" s="839"/>
      <c r="AJ469" s="841"/>
      <c r="AK469" s="108" t="s">
        <v>12</v>
      </c>
      <c r="AL469" s="847">
        <v>451</v>
      </c>
      <c r="AM469" s="857"/>
      <c r="AN469" s="842"/>
      <c r="AO469" s="839"/>
      <c r="AP469" s="839"/>
      <c r="AQ469" s="839"/>
      <c r="AR469" s="750"/>
      <c r="AS469" s="840"/>
      <c r="AT469" s="839"/>
      <c r="AU469" s="856"/>
      <c r="AV469" s="108" t="s">
        <v>12</v>
      </c>
    </row>
    <row r="470" spans="4:48">
      <c r="D470" s="108" t="s">
        <v>12</v>
      </c>
      <c r="E470" s="742">
        <v>452</v>
      </c>
      <c r="F470" s="1016" t="str">
        <f t="shared" ca="1" si="49"/>
        <v/>
      </c>
      <c r="G470" s="1027" t="str">
        <f t="shared" ca="1" si="50"/>
        <v/>
      </c>
      <c r="H470" s="1043" t="str">
        <f ca="1"/>
        <v/>
      </c>
      <c r="I470" s="1006" t="str">
        <f ca="1"/>
        <v/>
      </c>
      <c r="J470" s="1006" t="str">
        <f ca="1"/>
        <v/>
      </c>
      <c r="K470" s="1016" t="str">
        <f ca="1"/>
        <v/>
      </c>
      <c r="L470" s="1019" t="str">
        <f ca="1"/>
        <v/>
      </c>
      <c r="M470" s="1006" t="str">
        <f ca="1"/>
        <v/>
      </c>
      <c r="N470" s="1060" t="str">
        <f t="shared" ca="1" si="47"/>
        <v/>
      </c>
      <c r="O470" s="996"/>
      <c r="P470" s="742">
        <v>452</v>
      </c>
      <c r="Q470" s="1016" t="str">
        <f t="shared" ca="1" si="51"/>
        <v/>
      </c>
      <c r="R470" s="1027" t="str">
        <f t="shared" ca="1" si="46"/>
        <v/>
      </c>
      <c r="S470" s="1006" t="str">
        <f ca="1"/>
        <v/>
      </c>
      <c r="T470" s="1006" t="str">
        <f ca="1"/>
        <v/>
      </c>
      <c r="U470" s="1006" t="str">
        <f ca="1"/>
        <v/>
      </c>
      <c r="V470" s="1016" t="str">
        <f ca="1"/>
        <v/>
      </c>
      <c r="W470" s="1019" t="str">
        <f ca="1"/>
        <v/>
      </c>
      <c r="X470" s="1006" t="str">
        <f ca="1"/>
        <v/>
      </c>
      <c r="Y470" s="864" t="str">
        <f t="shared" ca="1" si="48"/>
        <v/>
      </c>
      <c r="AA470" s="828">
        <v>452</v>
      </c>
      <c r="AB470" s="750"/>
      <c r="AC470" s="842"/>
      <c r="AD470" s="830"/>
      <c r="AE470" s="839"/>
      <c r="AF470" s="839"/>
      <c r="AG470" s="750"/>
      <c r="AH470" s="840"/>
      <c r="AI470" s="839"/>
      <c r="AJ470" s="841"/>
      <c r="AK470" s="108" t="s">
        <v>12</v>
      </c>
      <c r="AL470" s="847">
        <v>452</v>
      </c>
      <c r="AM470" s="857"/>
      <c r="AN470" s="842"/>
      <c r="AO470" s="839"/>
      <c r="AP470" s="839"/>
      <c r="AQ470" s="839"/>
      <c r="AR470" s="750"/>
      <c r="AS470" s="840"/>
      <c r="AT470" s="839"/>
      <c r="AU470" s="856"/>
      <c r="AV470" s="108" t="s">
        <v>12</v>
      </c>
    </row>
    <row r="471" spans="4:48">
      <c r="D471" s="108" t="s">
        <v>12</v>
      </c>
      <c r="E471" s="742">
        <v>453</v>
      </c>
      <c r="F471" s="1016" t="str">
        <f t="shared" ca="1" si="49"/>
        <v/>
      </c>
      <c r="G471" s="1027" t="str">
        <f t="shared" ca="1" si="50"/>
        <v/>
      </c>
      <c r="H471" s="1043" t="str">
        <f ca="1"/>
        <v/>
      </c>
      <c r="I471" s="1006" t="str">
        <f ca="1"/>
        <v/>
      </c>
      <c r="J471" s="1006" t="str">
        <f ca="1"/>
        <v/>
      </c>
      <c r="K471" s="1016" t="str">
        <f ca="1"/>
        <v/>
      </c>
      <c r="L471" s="1019" t="str">
        <f ca="1"/>
        <v/>
      </c>
      <c r="M471" s="1006" t="str">
        <f ca="1"/>
        <v/>
      </c>
      <c r="N471" s="1060" t="str">
        <f t="shared" ca="1" si="47"/>
        <v/>
      </c>
      <c r="O471" s="996"/>
      <c r="P471" s="742">
        <v>453</v>
      </c>
      <c r="Q471" s="1016" t="str">
        <f t="shared" ca="1" si="51"/>
        <v/>
      </c>
      <c r="R471" s="1027" t="str">
        <f t="shared" ca="1" si="46"/>
        <v/>
      </c>
      <c r="S471" s="1006" t="str">
        <f ca="1"/>
        <v/>
      </c>
      <c r="T471" s="1006" t="str">
        <f ca="1"/>
        <v/>
      </c>
      <c r="U471" s="1006" t="str">
        <f ca="1"/>
        <v/>
      </c>
      <c r="V471" s="1016" t="str">
        <f ca="1"/>
        <v/>
      </c>
      <c r="W471" s="1019" t="str">
        <f ca="1"/>
        <v/>
      </c>
      <c r="X471" s="1006" t="str">
        <f ca="1"/>
        <v/>
      </c>
      <c r="Y471" s="864" t="str">
        <f t="shared" ca="1" si="48"/>
        <v/>
      </c>
      <c r="AA471" s="828">
        <v>453</v>
      </c>
      <c r="AB471" s="750"/>
      <c r="AC471" s="842"/>
      <c r="AD471" s="830"/>
      <c r="AE471" s="839"/>
      <c r="AF471" s="839"/>
      <c r="AG471" s="750"/>
      <c r="AH471" s="840"/>
      <c r="AI471" s="839"/>
      <c r="AJ471" s="841"/>
      <c r="AK471" s="108" t="s">
        <v>12</v>
      </c>
      <c r="AL471" s="847">
        <v>453</v>
      </c>
      <c r="AM471" s="857"/>
      <c r="AN471" s="842"/>
      <c r="AO471" s="839"/>
      <c r="AP471" s="839"/>
      <c r="AQ471" s="839"/>
      <c r="AR471" s="750"/>
      <c r="AS471" s="840"/>
      <c r="AT471" s="839"/>
      <c r="AU471" s="856"/>
      <c r="AV471" s="108" t="s">
        <v>12</v>
      </c>
    </row>
    <row r="472" spans="4:48">
      <c r="D472" s="108" t="s">
        <v>12</v>
      </c>
      <c r="E472" s="742">
        <v>454</v>
      </c>
      <c r="F472" s="1016" t="str">
        <f t="shared" ca="1" si="49"/>
        <v/>
      </c>
      <c r="G472" s="1027" t="str">
        <f t="shared" ca="1" si="50"/>
        <v/>
      </c>
      <c r="H472" s="1043" t="str">
        <f ca="1"/>
        <v/>
      </c>
      <c r="I472" s="1006" t="str">
        <f ca="1"/>
        <v/>
      </c>
      <c r="J472" s="1006" t="str">
        <f ca="1"/>
        <v/>
      </c>
      <c r="K472" s="1016" t="str">
        <f ca="1"/>
        <v/>
      </c>
      <c r="L472" s="1019" t="str">
        <f ca="1"/>
        <v/>
      </c>
      <c r="M472" s="1006" t="str">
        <f ca="1"/>
        <v/>
      </c>
      <c r="N472" s="1060" t="str">
        <f t="shared" ca="1" si="47"/>
        <v/>
      </c>
      <c r="O472" s="996"/>
      <c r="P472" s="742">
        <v>454</v>
      </c>
      <c r="Q472" s="1016" t="str">
        <f t="shared" ca="1" si="51"/>
        <v/>
      </c>
      <c r="R472" s="1027" t="str">
        <f t="shared" ref="R472:R518" ca="1" si="52">IF(T472="","",1)</f>
        <v/>
      </c>
      <c r="S472" s="1006" t="str">
        <f ca="1"/>
        <v/>
      </c>
      <c r="T472" s="1006" t="str">
        <f ca="1"/>
        <v/>
      </c>
      <c r="U472" s="1006" t="str">
        <f ca="1"/>
        <v/>
      </c>
      <c r="V472" s="1016" t="str">
        <f ca="1"/>
        <v/>
      </c>
      <c r="W472" s="1019" t="str">
        <f ca="1"/>
        <v/>
      </c>
      <c r="X472" s="1006" t="str">
        <f ca="1"/>
        <v/>
      </c>
      <c r="Y472" s="864" t="str">
        <f t="shared" ca="1" si="48"/>
        <v/>
      </c>
      <c r="AA472" s="828">
        <v>454</v>
      </c>
      <c r="AB472" s="750"/>
      <c r="AC472" s="842"/>
      <c r="AD472" s="830"/>
      <c r="AE472" s="839"/>
      <c r="AF472" s="839"/>
      <c r="AG472" s="750"/>
      <c r="AH472" s="840"/>
      <c r="AI472" s="839"/>
      <c r="AJ472" s="841"/>
      <c r="AK472" s="108" t="s">
        <v>12</v>
      </c>
      <c r="AL472" s="847">
        <v>454</v>
      </c>
      <c r="AM472" s="857"/>
      <c r="AN472" s="842"/>
      <c r="AO472" s="839"/>
      <c r="AP472" s="839"/>
      <c r="AQ472" s="839"/>
      <c r="AR472" s="750"/>
      <c r="AS472" s="840"/>
      <c r="AT472" s="839"/>
      <c r="AU472" s="856"/>
      <c r="AV472" s="108" t="s">
        <v>12</v>
      </c>
    </row>
    <row r="473" spans="4:48">
      <c r="D473" s="108" t="s">
        <v>12</v>
      </c>
      <c r="E473" s="742">
        <v>455</v>
      </c>
      <c r="F473" s="1016" t="str">
        <f t="shared" ca="1" si="49"/>
        <v/>
      </c>
      <c r="G473" s="1027" t="str">
        <f t="shared" ca="1" si="50"/>
        <v/>
      </c>
      <c r="H473" s="1043" t="str">
        <f ca="1"/>
        <v/>
      </c>
      <c r="I473" s="1006" t="str">
        <f ca="1"/>
        <v/>
      </c>
      <c r="J473" s="1006" t="str">
        <f ca="1"/>
        <v/>
      </c>
      <c r="K473" s="1016" t="str">
        <f ca="1"/>
        <v/>
      </c>
      <c r="L473" s="1019" t="str">
        <f ca="1"/>
        <v/>
      </c>
      <c r="M473" s="1006" t="str">
        <f ca="1"/>
        <v/>
      </c>
      <c r="N473" s="1060" t="str">
        <f t="shared" ca="1" si="47"/>
        <v/>
      </c>
      <c r="O473" s="996"/>
      <c r="P473" s="742">
        <v>455</v>
      </c>
      <c r="Q473" s="1016" t="str">
        <f t="shared" ca="1" si="51"/>
        <v/>
      </c>
      <c r="R473" s="1027" t="str">
        <f t="shared" ca="1" si="52"/>
        <v/>
      </c>
      <c r="S473" s="1006" t="str">
        <f ca="1"/>
        <v/>
      </c>
      <c r="T473" s="1006" t="str">
        <f ca="1"/>
        <v/>
      </c>
      <c r="U473" s="1006" t="str">
        <f ca="1"/>
        <v/>
      </c>
      <c r="V473" s="1016" t="str">
        <f ca="1"/>
        <v/>
      </c>
      <c r="W473" s="1019" t="str">
        <f ca="1"/>
        <v/>
      </c>
      <c r="X473" s="1006" t="str">
        <f ca="1"/>
        <v/>
      </c>
      <c r="Y473" s="864" t="str">
        <f t="shared" ca="1" si="48"/>
        <v/>
      </c>
      <c r="AA473" s="828">
        <v>455</v>
      </c>
      <c r="AB473" s="750"/>
      <c r="AC473" s="842"/>
      <c r="AD473" s="830"/>
      <c r="AE473" s="839"/>
      <c r="AF473" s="839"/>
      <c r="AG473" s="750"/>
      <c r="AH473" s="840"/>
      <c r="AI473" s="839"/>
      <c r="AJ473" s="841"/>
      <c r="AK473" s="108" t="s">
        <v>12</v>
      </c>
      <c r="AL473" s="847">
        <v>455</v>
      </c>
      <c r="AM473" s="857"/>
      <c r="AN473" s="842"/>
      <c r="AO473" s="839"/>
      <c r="AP473" s="839"/>
      <c r="AQ473" s="839"/>
      <c r="AR473" s="750"/>
      <c r="AS473" s="840"/>
      <c r="AT473" s="839"/>
      <c r="AU473" s="856"/>
      <c r="AV473" s="108" t="s">
        <v>12</v>
      </c>
    </row>
    <row r="474" spans="4:48">
      <c r="D474" s="108" t="s">
        <v>12</v>
      </c>
      <c r="E474" s="742">
        <v>456</v>
      </c>
      <c r="F474" s="1016" t="str">
        <f t="shared" ca="1" si="49"/>
        <v/>
      </c>
      <c r="G474" s="1027" t="str">
        <f t="shared" ca="1" si="50"/>
        <v/>
      </c>
      <c r="H474" s="1043" t="str">
        <f ca="1"/>
        <v/>
      </c>
      <c r="I474" s="1006" t="str">
        <f ca="1"/>
        <v/>
      </c>
      <c r="J474" s="1006" t="str">
        <f ca="1"/>
        <v/>
      </c>
      <c r="K474" s="1016" t="str">
        <f ca="1"/>
        <v/>
      </c>
      <c r="L474" s="1019" t="str">
        <f ca="1"/>
        <v/>
      </c>
      <c r="M474" s="1006" t="str">
        <f ca="1"/>
        <v/>
      </c>
      <c r="N474" s="1060" t="str">
        <f t="shared" ca="1" si="47"/>
        <v/>
      </c>
      <c r="O474" s="996"/>
      <c r="P474" s="742">
        <v>456</v>
      </c>
      <c r="Q474" s="1016" t="str">
        <f t="shared" ca="1" si="51"/>
        <v/>
      </c>
      <c r="R474" s="1027" t="str">
        <f t="shared" ca="1" si="52"/>
        <v/>
      </c>
      <c r="S474" s="1006" t="str">
        <f ca="1"/>
        <v/>
      </c>
      <c r="T474" s="1006" t="str">
        <f ca="1"/>
        <v/>
      </c>
      <c r="U474" s="1006" t="str">
        <f ca="1"/>
        <v/>
      </c>
      <c r="V474" s="1016" t="str">
        <f ca="1"/>
        <v/>
      </c>
      <c r="W474" s="1019" t="str">
        <f ca="1"/>
        <v/>
      </c>
      <c r="X474" s="1006" t="str">
        <f ca="1"/>
        <v/>
      </c>
      <c r="Y474" s="864" t="str">
        <f t="shared" ca="1" si="48"/>
        <v/>
      </c>
      <c r="AA474" s="828">
        <v>456</v>
      </c>
      <c r="AB474" s="750"/>
      <c r="AC474" s="842"/>
      <c r="AD474" s="830"/>
      <c r="AE474" s="839"/>
      <c r="AF474" s="839"/>
      <c r="AG474" s="750"/>
      <c r="AH474" s="840"/>
      <c r="AI474" s="839"/>
      <c r="AJ474" s="841"/>
      <c r="AK474" s="108" t="s">
        <v>12</v>
      </c>
      <c r="AL474" s="847">
        <v>456</v>
      </c>
      <c r="AM474" s="857"/>
      <c r="AN474" s="842"/>
      <c r="AO474" s="839"/>
      <c r="AP474" s="839"/>
      <c r="AQ474" s="839"/>
      <c r="AR474" s="750"/>
      <c r="AS474" s="840"/>
      <c r="AT474" s="839"/>
      <c r="AU474" s="856"/>
      <c r="AV474" s="108" t="s">
        <v>12</v>
      </c>
    </row>
    <row r="475" spans="4:48">
      <c r="D475" s="108" t="s">
        <v>12</v>
      </c>
      <c r="E475" s="742">
        <v>457</v>
      </c>
      <c r="F475" s="1016" t="str">
        <f t="shared" ca="1" si="49"/>
        <v/>
      </c>
      <c r="G475" s="1027" t="str">
        <f t="shared" ca="1" si="50"/>
        <v/>
      </c>
      <c r="H475" s="1043" t="str">
        <f ca="1"/>
        <v/>
      </c>
      <c r="I475" s="1006" t="str">
        <f ca="1"/>
        <v/>
      </c>
      <c r="J475" s="1006" t="str">
        <f ca="1"/>
        <v/>
      </c>
      <c r="K475" s="1016" t="str">
        <f ca="1"/>
        <v/>
      </c>
      <c r="L475" s="1019" t="str">
        <f ca="1"/>
        <v/>
      </c>
      <c r="M475" s="1006" t="str">
        <f ca="1"/>
        <v/>
      </c>
      <c r="N475" s="1060" t="str">
        <f t="shared" ca="1" si="47"/>
        <v/>
      </c>
      <c r="O475" s="996"/>
      <c r="P475" s="742">
        <v>457</v>
      </c>
      <c r="Q475" s="1016" t="str">
        <f t="shared" ca="1" si="51"/>
        <v/>
      </c>
      <c r="R475" s="1027" t="str">
        <f t="shared" ca="1" si="52"/>
        <v/>
      </c>
      <c r="S475" s="1006" t="str">
        <f ca="1"/>
        <v/>
      </c>
      <c r="T475" s="1006" t="str">
        <f ca="1"/>
        <v/>
      </c>
      <c r="U475" s="1006" t="str">
        <f ca="1"/>
        <v/>
      </c>
      <c r="V475" s="1016" t="str">
        <f ca="1"/>
        <v/>
      </c>
      <c r="W475" s="1019" t="str">
        <f ca="1"/>
        <v/>
      </c>
      <c r="X475" s="1006" t="str">
        <f ca="1"/>
        <v/>
      </c>
      <c r="Y475" s="864" t="str">
        <f t="shared" ca="1" si="48"/>
        <v/>
      </c>
      <c r="AA475" s="828">
        <v>457</v>
      </c>
      <c r="AB475" s="750"/>
      <c r="AC475" s="842"/>
      <c r="AD475" s="830"/>
      <c r="AE475" s="839"/>
      <c r="AF475" s="839"/>
      <c r="AG475" s="750"/>
      <c r="AH475" s="840"/>
      <c r="AI475" s="839"/>
      <c r="AJ475" s="841"/>
      <c r="AK475" s="108" t="s">
        <v>12</v>
      </c>
      <c r="AL475" s="847">
        <v>457</v>
      </c>
      <c r="AM475" s="857"/>
      <c r="AN475" s="842"/>
      <c r="AO475" s="839"/>
      <c r="AP475" s="839"/>
      <c r="AQ475" s="839"/>
      <c r="AR475" s="750"/>
      <c r="AS475" s="840"/>
      <c r="AT475" s="839"/>
      <c r="AU475" s="856"/>
      <c r="AV475" s="108" t="s">
        <v>12</v>
      </c>
    </row>
    <row r="476" spans="4:48">
      <c r="D476" s="108" t="s">
        <v>12</v>
      </c>
      <c r="E476" s="742">
        <v>458</v>
      </c>
      <c r="F476" s="1016" t="str">
        <f t="shared" ca="1" si="49"/>
        <v/>
      </c>
      <c r="G476" s="1027" t="str">
        <f t="shared" ca="1" si="50"/>
        <v/>
      </c>
      <c r="H476" s="1043" t="str">
        <f ca="1"/>
        <v/>
      </c>
      <c r="I476" s="1006" t="str">
        <f ca="1"/>
        <v/>
      </c>
      <c r="J476" s="1006" t="str">
        <f ca="1"/>
        <v/>
      </c>
      <c r="K476" s="1016" t="str">
        <f ca="1"/>
        <v/>
      </c>
      <c r="L476" s="1019" t="str">
        <f ca="1"/>
        <v/>
      </c>
      <c r="M476" s="1006" t="str">
        <f ca="1"/>
        <v/>
      </c>
      <c r="N476" s="1060" t="str">
        <f t="shared" ca="1" si="47"/>
        <v/>
      </c>
      <c r="O476" s="996"/>
      <c r="P476" s="742">
        <v>458</v>
      </c>
      <c r="Q476" s="1016" t="str">
        <f t="shared" ca="1" si="51"/>
        <v/>
      </c>
      <c r="R476" s="1027" t="str">
        <f t="shared" ca="1" si="52"/>
        <v/>
      </c>
      <c r="S476" s="1006" t="str">
        <f ca="1"/>
        <v/>
      </c>
      <c r="T476" s="1006" t="str">
        <f ca="1"/>
        <v/>
      </c>
      <c r="U476" s="1006" t="str">
        <f ca="1"/>
        <v/>
      </c>
      <c r="V476" s="1016" t="str">
        <f ca="1"/>
        <v/>
      </c>
      <c r="W476" s="1019" t="str">
        <f ca="1"/>
        <v/>
      </c>
      <c r="X476" s="1006" t="str">
        <f ca="1"/>
        <v/>
      </c>
      <c r="Y476" s="864" t="str">
        <f t="shared" ca="1" si="48"/>
        <v/>
      </c>
      <c r="AA476" s="828">
        <v>458</v>
      </c>
      <c r="AB476" s="750"/>
      <c r="AC476" s="842"/>
      <c r="AD476" s="830"/>
      <c r="AE476" s="839"/>
      <c r="AF476" s="839"/>
      <c r="AG476" s="750"/>
      <c r="AH476" s="840"/>
      <c r="AI476" s="839"/>
      <c r="AJ476" s="841"/>
      <c r="AK476" s="108" t="s">
        <v>12</v>
      </c>
      <c r="AL476" s="847">
        <v>458</v>
      </c>
      <c r="AM476" s="857"/>
      <c r="AN476" s="842"/>
      <c r="AO476" s="839"/>
      <c r="AP476" s="839"/>
      <c r="AQ476" s="839"/>
      <c r="AR476" s="750"/>
      <c r="AS476" s="840"/>
      <c r="AT476" s="839"/>
      <c r="AU476" s="856"/>
      <c r="AV476" s="108" t="s">
        <v>12</v>
      </c>
    </row>
    <row r="477" spans="4:48">
      <c r="D477" s="108" t="s">
        <v>12</v>
      </c>
      <c r="E477" s="742">
        <v>459</v>
      </c>
      <c r="F477" s="1016" t="str">
        <f t="shared" ca="1" si="49"/>
        <v/>
      </c>
      <c r="G477" s="1027" t="str">
        <f t="shared" ca="1" si="50"/>
        <v/>
      </c>
      <c r="H477" s="1043" t="str">
        <f ca="1"/>
        <v/>
      </c>
      <c r="I477" s="1006" t="str">
        <f ca="1"/>
        <v/>
      </c>
      <c r="J477" s="1006" t="str">
        <f ca="1"/>
        <v/>
      </c>
      <c r="K477" s="1016" t="str">
        <f ca="1"/>
        <v/>
      </c>
      <c r="L477" s="1019" t="str">
        <f ca="1"/>
        <v/>
      </c>
      <c r="M477" s="1006" t="str">
        <f ca="1"/>
        <v/>
      </c>
      <c r="N477" s="1060" t="str">
        <f t="shared" ca="1" si="47"/>
        <v/>
      </c>
      <c r="O477" s="996"/>
      <c r="P477" s="742">
        <v>459</v>
      </c>
      <c r="Q477" s="1016" t="str">
        <f t="shared" ca="1" si="51"/>
        <v/>
      </c>
      <c r="R477" s="1027" t="str">
        <f t="shared" ca="1" si="52"/>
        <v/>
      </c>
      <c r="S477" s="1006" t="str">
        <f ca="1"/>
        <v/>
      </c>
      <c r="T477" s="1006" t="str">
        <f ca="1"/>
        <v/>
      </c>
      <c r="U477" s="1006" t="str">
        <f ca="1"/>
        <v/>
      </c>
      <c r="V477" s="1016" t="str">
        <f ca="1"/>
        <v/>
      </c>
      <c r="W477" s="1019" t="str">
        <f ca="1"/>
        <v/>
      </c>
      <c r="X477" s="1006" t="str">
        <f ca="1"/>
        <v/>
      </c>
      <c r="Y477" s="864" t="str">
        <f t="shared" ca="1" si="48"/>
        <v/>
      </c>
      <c r="AA477" s="828">
        <v>459</v>
      </c>
      <c r="AB477" s="750"/>
      <c r="AC477" s="842"/>
      <c r="AD477" s="830"/>
      <c r="AE477" s="839"/>
      <c r="AF477" s="839"/>
      <c r="AG477" s="750"/>
      <c r="AH477" s="840"/>
      <c r="AI477" s="839"/>
      <c r="AJ477" s="841"/>
      <c r="AK477" s="108" t="s">
        <v>12</v>
      </c>
      <c r="AL477" s="847">
        <v>459</v>
      </c>
      <c r="AM477" s="857"/>
      <c r="AN477" s="842"/>
      <c r="AO477" s="839"/>
      <c r="AP477" s="839"/>
      <c r="AQ477" s="839"/>
      <c r="AR477" s="750"/>
      <c r="AS477" s="840"/>
      <c r="AT477" s="839"/>
      <c r="AU477" s="856"/>
      <c r="AV477" s="108" t="s">
        <v>12</v>
      </c>
    </row>
    <row r="478" spans="4:48">
      <c r="D478" s="108" t="s">
        <v>12</v>
      </c>
      <c r="E478" s="742">
        <v>460</v>
      </c>
      <c r="F478" s="1016" t="str">
        <f t="shared" ca="1" si="49"/>
        <v/>
      </c>
      <c r="G478" s="1027" t="str">
        <f t="shared" ca="1" si="50"/>
        <v/>
      </c>
      <c r="H478" s="1043" t="str">
        <f ca="1"/>
        <v/>
      </c>
      <c r="I478" s="1006" t="str">
        <f ca="1"/>
        <v/>
      </c>
      <c r="J478" s="1006" t="str">
        <f ca="1"/>
        <v/>
      </c>
      <c r="K478" s="1016" t="str">
        <f ca="1"/>
        <v/>
      </c>
      <c r="L478" s="1019" t="str">
        <f ca="1"/>
        <v/>
      </c>
      <c r="M478" s="1006" t="str">
        <f ca="1"/>
        <v/>
      </c>
      <c r="N478" s="1060" t="str">
        <f t="shared" ca="1" si="47"/>
        <v/>
      </c>
      <c r="O478" s="996"/>
      <c r="P478" s="742">
        <v>460</v>
      </c>
      <c r="Q478" s="1016" t="str">
        <f t="shared" ca="1" si="51"/>
        <v/>
      </c>
      <c r="R478" s="1027" t="str">
        <f t="shared" ca="1" si="52"/>
        <v/>
      </c>
      <c r="S478" s="1006" t="str">
        <f ca="1"/>
        <v/>
      </c>
      <c r="T478" s="1006" t="str">
        <f ca="1"/>
        <v/>
      </c>
      <c r="U478" s="1006" t="str">
        <f ca="1"/>
        <v/>
      </c>
      <c r="V478" s="1016" t="str">
        <f ca="1"/>
        <v/>
      </c>
      <c r="W478" s="1019" t="str">
        <f ca="1"/>
        <v/>
      </c>
      <c r="X478" s="1006" t="str">
        <f ca="1"/>
        <v/>
      </c>
      <c r="Y478" s="864" t="str">
        <f t="shared" ca="1" si="48"/>
        <v/>
      </c>
      <c r="AA478" s="828">
        <v>460</v>
      </c>
      <c r="AB478" s="750"/>
      <c r="AC478" s="842"/>
      <c r="AD478" s="830"/>
      <c r="AE478" s="839"/>
      <c r="AF478" s="839"/>
      <c r="AG478" s="750"/>
      <c r="AH478" s="840"/>
      <c r="AI478" s="839"/>
      <c r="AJ478" s="841"/>
      <c r="AK478" s="108" t="s">
        <v>12</v>
      </c>
      <c r="AL478" s="847">
        <v>460</v>
      </c>
      <c r="AM478" s="857"/>
      <c r="AN478" s="842"/>
      <c r="AO478" s="839"/>
      <c r="AP478" s="839"/>
      <c r="AQ478" s="839"/>
      <c r="AR478" s="750"/>
      <c r="AS478" s="840"/>
      <c r="AT478" s="839"/>
      <c r="AU478" s="856"/>
      <c r="AV478" s="108" t="s">
        <v>12</v>
      </c>
    </row>
    <row r="479" spans="4:48">
      <c r="D479" s="108" t="s">
        <v>12</v>
      </c>
      <c r="E479" s="742">
        <v>461</v>
      </c>
      <c r="F479" s="1016" t="str">
        <f t="shared" ca="1" si="49"/>
        <v/>
      </c>
      <c r="G479" s="1027" t="str">
        <f t="shared" ca="1" si="50"/>
        <v/>
      </c>
      <c r="H479" s="1043" t="str">
        <f ca="1"/>
        <v/>
      </c>
      <c r="I479" s="1006" t="str">
        <f ca="1"/>
        <v/>
      </c>
      <c r="J479" s="1006" t="str">
        <f ca="1"/>
        <v/>
      </c>
      <c r="K479" s="1016" t="str">
        <f ca="1"/>
        <v/>
      </c>
      <c r="L479" s="1019" t="str">
        <f ca="1"/>
        <v/>
      </c>
      <c r="M479" s="1006" t="str">
        <f ca="1"/>
        <v/>
      </c>
      <c r="N479" s="1060" t="str">
        <f t="shared" ca="1" si="47"/>
        <v/>
      </c>
      <c r="O479" s="996"/>
      <c r="P479" s="742">
        <v>461</v>
      </c>
      <c r="Q479" s="1016" t="str">
        <f t="shared" ca="1" si="51"/>
        <v/>
      </c>
      <c r="R479" s="1027" t="str">
        <f t="shared" ca="1" si="52"/>
        <v/>
      </c>
      <c r="S479" s="1006" t="str">
        <f ca="1"/>
        <v/>
      </c>
      <c r="T479" s="1006" t="str">
        <f ca="1"/>
        <v/>
      </c>
      <c r="U479" s="1006" t="str">
        <f ca="1"/>
        <v/>
      </c>
      <c r="V479" s="1016" t="str">
        <f ca="1"/>
        <v/>
      </c>
      <c r="W479" s="1019" t="str">
        <f ca="1"/>
        <v/>
      </c>
      <c r="X479" s="1006" t="str">
        <f ca="1"/>
        <v/>
      </c>
      <c r="Y479" s="864" t="str">
        <f t="shared" ca="1" si="48"/>
        <v/>
      </c>
      <c r="AA479" s="828">
        <v>461</v>
      </c>
      <c r="AB479" s="750"/>
      <c r="AC479" s="842"/>
      <c r="AD479" s="830"/>
      <c r="AE479" s="839"/>
      <c r="AF479" s="839"/>
      <c r="AG479" s="750"/>
      <c r="AH479" s="840"/>
      <c r="AI479" s="839"/>
      <c r="AJ479" s="841"/>
      <c r="AK479" s="108" t="s">
        <v>12</v>
      </c>
      <c r="AL479" s="847">
        <v>461</v>
      </c>
      <c r="AM479" s="857"/>
      <c r="AN479" s="842"/>
      <c r="AO479" s="839"/>
      <c r="AP479" s="839"/>
      <c r="AQ479" s="839"/>
      <c r="AR479" s="750"/>
      <c r="AS479" s="840"/>
      <c r="AT479" s="839"/>
      <c r="AU479" s="856"/>
      <c r="AV479" s="108" t="s">
        <v>12</v>
      </c>
    </row>
    <row r="480" spans="4:48">
      <c r="D480" s="108" t="s">
        <v>12</v>
      </c>
      <c r="E480" s="742">
        <v>462</v>
      </c>
      <c r="F480" s="1016" t="str">
        <f t="shared" ca="1" si="49"/>
        <v/>
      </c>
      <c r="G480" s="1027" t="str">
        <f t="shared" ca="1" si="50"/>
        <v/>
      </c>
      <c r="H480" s="1043" t="str">
        <f ca="1"/>
        <v/>
      </c>
      <c r="I480" s="1006" t="str">
        <f ca="1"/>
        <v/>
      </c>
      <c r="J480" s="1006" t="str">
        <f ca="1"/>
        <v/>
      </c>
      <c r="K480" s="1016" t="str">
        <f ca="1"/>
        <v/>
      </c>
      <c r="L480" s="1019" t="str">
        <f ca="1"/>
        <v/>
      </c>
      <c r="M480" s="1006" t="str">
        <f ca="1"/>
        <v/>
      </c>
      <c r="N480" s="1060" t="str">
        <f t="shared" ca="1" si="47"/>
        <v/>
      </c>
      <c r="O480" s="996"/>
      <c r="P480" s="742">
        <v>462</v>
      </c>
      <c r="Q480" s="1016" t="str">
        <f t="shared" ca="1" si="51"/>
        <v/>
      </c>
      <c r="R480" s="1027" t="str">
        <f t="shared" ca="1" si="52"/>
        <v/>
      </c>
      <c r="S480" s="1006" t="str">
        <f ca="1"/>
        <v/>
      </c>
      <c r="T480" s="1006" t="str">
        <f ca="1"/>
        <v/>
      </c>
      <c r="U480" s="1006" t="str">
        <f ca="1"/>
        <v/>
      </c>
      <c r="V480" s="1016" t="str">
        <f ca="1"/>
        <v/>
      </c>
      <c r="W480" s="1019" t="str">
        <f ca="1"/>
        <v/>
      </c>
      <c r="X480" s="1006" t="str">
        <f ca="1"/>
        <v/>
      </c>
      <c r="Y480" s="864" t="str">
        <f t="shared" ca="1" si="48"/>
        <v/>
      </c>
      <c r="AA480" s="828">
        <v>462</v>
      </c>
      <c r="AB480" s="750"/>
      <c r="AC480" s="842"/>
      <c r="AD480" s="830"/>
      <c r="AE480" s="839"/>
      <c r="AF480" s="839"/>
      <c r="AG480" s="750"/>
      <c r="AH480" s="840"/>
      <c r="AI480" s="839"/>
      <c r="AJ480" s="841"/>
      <c r="AK480" s="108" t="s">
        <v>12</v>
      </c>
      <c r="AL480" s="847">
        <v>462</v>
      </c>
      <c r="AM480" s="857"/>
      <c r="AN480" s="842"/>
      <c r="AO480" s="839"/>
      <c r="AP480" s="839"/>
      <c r="AQ480" s="839"/>
      <c r="AR480" s="750"/>
      <c r="AS480" s="840"/>
      <c r="AT480" s="839"/>
      <c r="AU480" s="856"/>
      <c r="AV480" s="108" t="s">
        <v>12</v>
      </c>
    </row>
    <row r="481" spans="4:48">
      <c r="D481" s="108" t="s">
        <v>12</v>
      </c>
      <c r="E481" s="742">
        <v>463</v>
      </c>
      <c r="F481" s="1016" t="str">
        <f t="shared" ca="1" si="49"/>
        <v/>
      </c>
      <c r="G481" s="1027" t="str">
        <f t="shared" ca="1" si="50"/>
        <v/>
      </c>
      <c r="H481" s="1043" t="str">
        <f ca="1"/>
        <v/>
      </c>
      <c r="I481" s="1006" t="str">
        <f ca="1"/>
        <v/>
      </c>
      <c r="J481" s="1006" t="str">
        <f ca="1"/>
        <v/>
      </c>
      <c r="K481" s="1016" t="str">
        <f ca="1"/>
        <v/>
      </c>
      <c r="L481" s="1019" t="str">
        <f ca="1"/>
        <v/>
      </c>
      <c r="M481" s="1006" t="str">
        <f ca="1"/>
        <v/>
      </c>
      <c r="N481" s="1060" t="str">
        <f t="shared" ca="1" si="47"/>
        <v/>
      </c>
      <c r="O481" s="996"/>
      <c r="P481" s="742">
        <v>463</v>
      </c>
      <c r="Q481" s="1016" t="str">
        <f t="shared" ca="1" si="51"/>
        <v/>
      </c>
      <c r="R481" s="1027" t="str">
        <f t="shared" ca="1" si="52"/>
        <v/>
      </c>
      <c r="S481" s="1006" t="str">
        <f ca="1"/>
        <v/>
      </c>
      <c r="T481" s="1006" t="str">
        <f ca="1"/>
        <v/>
      </c>
      <c r="U481" s="1006" t="str">
        <f ca="1"/>
        <v/>
      </c>
      <c r="V481" s="1016" t="str">
        <f ca="1"/>
        <v/>
      </c>
      <c r="W481" s="1019" t="str">
        <f ca="1"/>
        <v/>
      </c>
      <c r="X481" s="1006" t="str">
        <f ca="1"/>
        <v/>
      </c>
      <c r="Y481" s="864" t="str">
        <f t="shared" ca="1" si="48"/>
        <v/>
      </c>
      <c r="AA481" s="828">
        <v>463</v>
      </c>
      <c r="AB481" s="750"/>
      <c r="AC481" s="842"/>
      <c r="AD481" s="830"/>
      <c r="AE481" s="839"/>
      <c r="AF481" s="839"/>
      <c r="AG481" s="750"/>
      <c r="AH481" s="840"/>
      <c r="AI481" s="839"/>
      <c r="AJ481" s="841"/>
      <c r="AK481" s="108" t="s">
        <v>12</v>
      </c>
      <c r="AL481" s="847">
        <v>463</v>
      </c>
      <c r="AM481" s="857"/>
      <c r="AN481" s="842"/>
      <c r="AO481" s="839"/>
      <c r="AP481" s="839"/>
      <c r="AQ481" s="839"/>
      <c r="AR481" s="750"/>
      <c r="AS481" s="840"/>
      <c r="AT481" s="839"/>
      <c r="AU481" s="856"/>
      <c r="AV481" s="108" t="s">
        <v>12</v>
      </c>
    </row>
    <row r="482" spans="4:48">
      <c r="D482" s="108" t="s">
        <v>12</v>
      </c>
      <c r="E482" s="742">
        <v>464</v>
      </c>
      <c r="F482" s="1016" t="str">
        <f t="shared" ca="1" si="49"/>
        <v/>
      </c>
      <c r="G482" s="1027" t="str">
        <f t="shared" ca="1" si="50"/>
        <v/>
      </c>
      <c r="H482" s="1043" t="str">
        <f ca="1"/>
        <v/>
      </c>
      <c r="I482" s="1006" t="str">
        <f ca="1"/>
        <v/>
      </c>
      <c r="J482" s="1006" t="str">
        <f ca="1"/>
        <v/>
      </c>
      <c r="K482" s="1016" t="str">
        <f ca="1"/>
        <v/>
      </c>
      <c r="L482" s="1019" t="str">
        <f ca="1"/>
        <v/>
      </c>
      <c r="M482" s="1006" t="str">
        <f ca="1"/>
        <v/>
      </c>
      <c r="N482" s="1060" t="str">
        <f t="shared" ca="1" si="47"/>
        <v/>
      </c>
      <c r="O482" s="996"/>
      <c r="P482" s="742">
        <v>464</v>
      </c>
      <c r="Q482" s="1016" t="str">
        <f t="shared" ca="1" si="51"/>
        <v/>
      </c>
      <c r="R482" s="1027" t="str">
        <f t="shared" ca="1" si="52"/>
        <v/>
      </c>
      <c r="S482" s="1006" t="str">
        <f ca="1"/>
        <v/>
      </c>
      <c r="T482" s="1006" t="str">
        <f ca="1"/>
        <v/>
      </c>
      <c r="U482" s="1006" t="str">
        <f ca="1"/>
        <v/>
      </c>
      <c r="V482" s="1016" t="str">
        <f ca="1"/>
        <v/>
      </c>
      <c r="W482" s="1019" t="str">
        <f ca="1"/>
        <v/>
      </c>
      <c r="X482" s="1006" t="str">
        <f ca="1"/>
        <v/>
      </c>
      <c r="Y482" s="864" t="str">
        <f t="shared" ca="1" si="48"/>
        <v/>
      </c>
      <c r="AA482" s="828">
        <v>464</v>
      </c>
      <c r="AB482" s="750"/>
      <c r="AC482" s="842"/>
      <c r="AD482" s="830"/>
      <c r="AE482" s="839"/>
      <c r="AF482" s="839"/>
      <c r="AG482" s="750"/>
      <c r="AH482" s="840"/>
      <c r="AI482" s="839"/>
      <c r="AJ482" s="841"/>
      <c r="AK482" s="108" t="s">
        <v>12</v>
      </c>
      <c r="AL482" s="847">
        <v>464</v>
      </c>
      <c r="AM482" s="857"/>
      <c r="AN482" s="842"/>
      <c r="AO482" s="839"/>
      <c r="AP482" s="839"/>
      <c r="AQ482" s="839"/>
      <c r="AR482" s="750"/>
      <c r="AS482" s="840"/>
      <c r="AT482" s="839"/>
      <c r="AU482" s="856"/>
      <c r="AV482" s="108" t="s">
        <v>12</v>
      </c>
    </row>
    <row r="483" spans="4:48">
      <c r="D483" s="108" t="s">
        <v>12</v>
      </c>
      <c r="E483" s="742">
        <v>465</v>
      </c>
      <c r="F483" s="1016" t="str">
        <f t="shared" ca="1" si="49"/>
        <v/>
      </c>
      <c r="G483" s="1027" t="str">
        <f t="shared" ca="1" si="50"/>
        <v/>
      </c>
      <c r="H483" s="1043" t="str">
        <f ca="1"/>
        <v/>
      </c>
      <c r="I483" s="1006" t="str">
        <f ca="1"/>
        <v/>
      </c>
      <c r="J483" s="1006" t="str">
        <f ca="1"/>
        <v/>
      </c>
      <c r="K483" s="1016" t="str">
        <f ca="1"/>
        <v/>
      </c>
      <c r="L483" s="1019" t="str">
        <f ca="1"/>
        <v/>
      </c>
      <c r="M483" s="1006" t="str">
        <f ca="1"/>
        <v/>
      </c>
      <c r="N483" s="1060" t="str">
        <f t="shared" ca="1" si="47"/>
        <v/>
      </c>
      <c r="O483" s="996"/>
      <c r="P483" s="742">
        <v>465</v>
      </c>
      <c r="Q483" s="1016" t="str">
        <f t="shared" ca="1" si="51"/>
        <v/>
      </c>
      <c r="R483" s="1027" t="str">
        <f t="shared" ca="1" si="52"/>
        <v/>
      </c>
      <c r="S483" s="1006" t="str">
        <f ca="1"/>
        <v/>
      </c>
      <c r="T483" s="1006" t="str">
        <f ca="1"/>
        <v/>
      </c>
      <c r="U483" s="1006" t="str">
        <f ca="1"/>
        <v/>
      </c>
      <c r="V483" s="1016" t="str">
        <f ca="1"/>
        <v/>
      </c>
      <c r="W483" s="1019" t="str">
        <f ca="1"/>
        <v/>
      </c>
      <c r="X483" s="1006" t="str">
        <f ca="1"/>
        <v/>
      </c>
      <c r="Y483" s="864" t="str">
        <f t="shared" ca="1" si="48"/>
        <v/>
      </c>
      <c r="AA483" s="828">
        <v>465</v>
      </c>
      <c r="AB483" s="750"/>
      <c r="AC483" s="842"/>
      <c r="AD483" s="830"/>
      <c r="AE483" s="839"/>
      <c r="AF483" s="839"/>
      <c r="AG483" s="750"/>
      <c r="AH483" s="840"/>
      <c r="AI483" s="839"/>
      <c r="AJ483" s="841"/>
      <c r="AK483" s="108" t="s">
        <v>12</v>
      </c>
      <c r="AL483" s="847">
        <v>465</v>
      </c>
      <c r="AM483" s="857"/>
      <c r="AN483" s="842"/>
      <c r="AO483" s="839"/>
      <c r="AP483" s="839"/>
      <c r="AQ483" s="839"/>
      <c r="AR483" s="750"/>
      <c r="AS483" s="840"/>
      <c r="AT483" s="839"/>
      <c r="AU483" s="856"/>
      <c r="AV483" s="108" t="s">
        <v>12</v>
      </c>
    </row>
    <row r="484" spans="4:48">
      <c r="D484" s="108" t="s">
        <v>12</v>
      </c>
      <c r="E484" s="742">
        <v>466</v>
      </c>
      <c r="F484" s="1016" t="str">
        <f t="shared" ca="1" si="49"/>
        <v/>
      </c>
      <c r="G484" s="1027" t="str">
        <f t="shared" ca="1" si="50"/>
        <v/>
      </c>
      <c r="H484" s="1043" t="str">
        <f ca="1"/>
        <v/>
      </c>
      <c r="I484" s="1006" t="str">
        <f ca="1"/>
        <v/>
      </c>
      <c r="J484" s="1006" t="str">
        <f ca="1"/>
        <v/>
      </c>
      <c r="K484" s="1016" t="str">
        <f ca="1"/>
        <v/>
      </c>
      <c r="L484" s="1019" t="str">
        <f ca="1"/>
        <v/>
      </c>
      <c r="M484" s="1006" t="str">
        <f ca="1"/>
        <v/>
      </c>
      <c r="N484" s="1060" t="str">
        <f t="shared" ca="1" si="47"/>
        <v/>
      </c>
      <c r="O484" s="996"/>
      <c r="P484" s="742">
        <v>466</v>
      </c>
      <c r="Q484" s="1016" t="str">
        <f t="shared" ca="1" si="51"/>
        <v/>
      </c>
      <c r="R484" s="1027" t="str">
        <f t="shared" ca="1" si="52"/>
        <v/>
      </c>
      <c r="S484" s="1006" t="str">
        <f ca="1"/>
        <v/>
      </c>
      <c r="T484" s="1006" t="str">
        <f ca="1"/>
        <v/>
      </c>
      <c r="U484" s="1006" t="str">
        <f ca="1"/>
        <v/>
      </c>
      <c r="V484" s="1016" t="str">
        <f ca="1"/>
        <v/>
      </c>
      <c r="W484" s="1019" t="str">
        <f ca="1"/>
        <v/>
      </c>
      <c r="X484" s="1006" t="str">
        <f ca="1"/>
        <v/>
      </c>
      <c r="Y484" s="864" t="str">
        <f t="shared" ca="1" si="48"/>
        <v/>
      </c>
      <c r="AA484" s="828">
        <v>466</v>
      </c>
      <c r="AB484" s="750"/>
      <c r="AC484" s="842"/>
      <c r="AD484" s="830"/>
      <c r="AE484" s="839"/>
      <c r="AF484" s="839"/>
      <c r="AG484" s="750"/>
      <c r="AH484" s="840"/>
      <c r="AI484" s="839"/>
      <c r="AJ484" s="841"/>
      <c r="AK484" s="108" t="s">
        <v>12</v>
      </c>
      <c r="AL484" s="847">
        <v>466</v>
      </c>
      <c r="AM484" s="857"/>
      <c r="AN484" s="842"/>
      <c r="AO484" s="839"/>
      <c r="AP484" s="839"/>
      <c r="AQ484" s="839"/>
      <c r="AR484" s="750"/>
      <c r="AS484" s="840"/>
      <c r="AT484" s="839"/>
      <c r="AU484" s="856"/>
      <c r="AV484" s="108" t="s">
        <v>12</v>
      </c>
    </row>
    <row r="485" spans="4:48">
      <c r="D485" s="108" t="s">
        <v>12</v>
      </c>
      <c r="E485" s="742">
        <v>467</v>
      </c>
      <c r="F485" s="1016" t="str">
        <f t="shared" ca="1" si="49"/>
        <v/>
      </c>
      <c r="G485" s="1027" t="str">
        <f t="shared" ca="1" si="50"/>
        <v/>
      </c>
      <c r="H485" s="1043" t="str">
        <f ca="1"/>
        <v/>
      </c>
      <c r="I485" s="1006" t="str">
        <f ca="1"/>
        <v/>
      </c>
      <c r="J485" s="1006" t="str">
        <f ca="1"/>
        <v/>
      </c>
      <c r="K485" s="1016" t="str">
        <f ca="1"/>
        <v/>
      </c>
      <c r="L485" s="1019" t="str">
        <f ca="1"/>
        <v/>
      </c>
      <c r="M485" s="1006" t="str">
        <f ca="1"/>
        <v/>
      </c>
      <c r="N485" s="1060" t="str">
        <f t="shared" ca="1" si="47"/>
        <v/>
      </c>
      <c r="O485" s="996"/>
      <c r="P485" s="742">
        <v>467</v>
      </c>
      <c r="Q485" s="1016" t="str">
        <f t="shared" ca="1" si="51"/>
        <v/>
      </c>
      <c r="R485" s="1027" t="str">
        <f t="shared" ca="1" si="52"/>
        <v/>
      </c>
      <c r="S485" s="1006" t="str">
        <f ca="1"/>
        <v/>
      </c>
      <c r="T485" s="1006" t="str">
        <f ca="1"/>
        <v/>
      </c>
      <c r="U485" s="1006" t="str">
        <f ca="1"/>
        <v/>
      </c>
      <c r="V485" s="1016" t="str">
        <f ca="1"/>
        <v/>
      </c>
      <c r="W485" s="1019" t="str">
        <f ca="1"/>
        <v/>
      </c>
      <c r="X485" s="1006" t="str">
        <f ca="1"/>
        <v/>
      </c>
      <c r="Y485" s="864" t="str">
        <f t="shared" ca="1" si="48"/>
        <v/>
      </c>
      <c r="AA485" s="828">
        <v>467</v>
      </c>
      <c r="AB485" s="750"/>
      <c r="AC485" s="842"/>
      <c r="AD485" s="830"/>
      <c r="AE485" s="839"/>
      <c r="AF485" s="839"/>
      <c r="AG485" s="750"/>
      <c r="AH485" s="840"/>
      <c r="AI485" s="839"/>
      <c r="AJ485" s="841"/>
      <c r="AK485" s="108" t="s">
        <v>12</v>
      </c>
      <c r="AL485" s="847">
        <v>467</v>
      </c>
      <c r="AM485" s="857"/>
      <c r="AN485" s="842"/>
      <c r="AO485" s="839"/>
      <c r="AP485" s="839"/>
      <c r="AQ485" s="839"/>
      <c r="AR485" s="750"/>
      <c r="AS485" s="840"/>
      <c r="AT485" s="839"/>
      <c r="AU485" s="856"/>
      <c r="AV485" s="108" t="s">
        <v>12</v>
      </c>
    </row>
    <row r="486" spans="4:48">
      <c r="D486" s="108" t="s">
        <v>12</v>
      </c>
      <c r="E486" s="742">
        <v>468</v>
      </c>
      <c r="F486" s="1016" t="str">
        <f t="shared" ca="1" si="49"/>
        <v/>
      </c>
      <c r="G486" s="1027" t="str">
        <f t="shared" ca="1" si="50"/>
        <v/>
      </c>
      <c r="H486" s="1043" t="str">
        <f ca="1"/>
        <v/>
      </c>
      <c r="I486" s="1006" t="str">
        <f ca="1"/>
        <v/>
      </c>
      <c r="J486" s="1006" t="str">
        <f ca="1"/>
        <v/>
      </c>
      <c r="K486" s="1016" t="str">
        <f ca="1"/>
        <v/>
      </c>
      <c r="L486" s="1019" t="str">
        <f ca="1"/>
        <v/>
      </c>
      <c r="M486" s="1006" t="str">
        <f ca="1"/>
        <v/>
      </c>
      <c r="N486" s="1060" t="str">
        <f t="shared" ca="1" si="47"/>
        <v/>
      </c>
      <c r="O486" s="996"/>
      <c r="P486" s="742">
        <v>468</v>
      </c>
      <c r="Q486" s="1016" t="str">
        <f t="shared" ca="1" si="51"/>
        <v/>
      </c>
      <c r="R486" s="1027" t="str">
        <f t="shared" ca="1" si="52"/>
        <v/>
      </c>
      <c r="S486" s="1006" t="str">
        <f ca="1"/>
        <v/>
      </c>
      <c r="T486" s="1006" t="str">
        <f ca="1"/>
        <v/>
      </c>
      <c r="U486" s="1006" t="str">
        <f ca="1"/>
        <v/>
      </c>
      <c r="V486" s="1016" t="str">
        <f ca="1"/>
        <v/>
      </c>
      <c r="W486" s="1019" t="str">
        <f ca="1"/>
        <v/>
      </c>
      <c r="X486" s="1006" t="str">
        <f ca="1"/>
        <v/>
      </c>
      <c r="Y486" s="864" t="str">
        <f t="shared" ca="1" si="48"/>
        <v/>
      </c>
      <c r="AA486" s="828">
        <v>468</v>
      </c>
      <c r="AB486" s="750"/>
      <c r="AC486" s="842"/>
      <c r="AD486" s="830"/>
      <c r="AE486" s="839"/>
      <c r="AF486" s="839"/>
      <c r="AG486" s="750"/>
      <c r="AH486" s="840"/>
      <c r="AI486" s="839"/>
      <c r="AJ486" s="841"/>
      <c r="AK486" s="108" t="s">
        <v>12</v>
      </c>
      <c r="AL486" s="847">
        <v>468</v>
      </c>
      <c r="AM486" s="857"/>
      <c r="AN486" s="842"/>
      <c r="AO486" s="839"/>
      <c r="AP486" s="839"/>
      <c r="AQ486" s="839"/>
      <c r="AR486" s="750"/>
      <c r="AS486" s="840"/>
      <c r="AT486" s="839"/>
      <c r="AU486" s="856"/>
      <c r="AV486" s="108" t="s">
        <v>12</v>
      </c>
    </row>
    <row r="487" spans="4:48">
      <c r="D487" s="108" t="s">
        <v>12</v>
      </c>
      <c r="E487" s="742">
        <v>469</v>
      </c>
      <c r="F487" s="1016" t="str">
        <f t="shared" ca="1" si="49"/>
        <v/>
      </c>
      <c r="G487" s="1027" t="str">
        <f t="shared" ca="1" si="50"/>
        <v/>
      </c>
      <c r="H487" s="1043" t="str">
        <f ca="1"/>
        <v/>
      </c>
      <c r="I487" s="1006" t="str">
        <f ca="1"/>
        <v/>
      </c>
      <c r="J487" s="1006" t="str">
        <f ca="1"/>
        <v/>
      </c>
      <c r="K487" s="1016" t="str">
        <f ca="1"/>
        <v/>
      </c>
      <c r="L487" s="1019" t="str">
        <f ca="1"/>
        <v/>
      </c>
      <c r="M487" s="1006" t="str">
        <f ca="1"/>
        <v/>
      </c>
      <c r="N487" s="1060" t="str">
        <f t="shared" ca="1" si="47"/>
        <v/>
      </c>
      <c r="O487" s="996"/>
      <c r="P487" s="742">
        <v>469</v>
      </c>
      <c r="Q487" s="1016" t="str">
        <f t="shared" ca="1" si="51"/>
        <v/>
      </c>
      <c r="R487" s="1027" t="str">
        <f t="shared" ca="1" si="52"/>
        <v/>
      </c>
      <c r="S487" s="1006" t="str">
        <f ca="1"/>
        <v/>
      </c>
      <c r="T487" s="1006" t="str">
        <f ca="1"/>
        <v/>
      </c>
      <c r="U487" s="1006" t="str">
        <f ca="1"/>
        <v/>
      </c>
      <c r="V487" s="1016" t="str">
        <f ca="1"/>
        <v/>
      </c>
      <c r="W487" s="1019" t="str">
        <f ca="1"/>
        <v/>
      </c>
      <c r="X487" s="1006" t="str">
        <f ca="1"/>
        <v/>
      </c>
      <c r="Y487" s="864" t="str">
        <f t="shared" ca="1" si="48"/>
        <v/>
      </c>
      <c r="AA487" s="828">
        <v>469</v>
      </c>
      <c r="AB487" s="750"/>
      <c r="AC487" s="842"/>
      <c r="AD487" s="830"/>
      <c r="AE487" s="839"/>
      <c r="AF487" s="839"/>
      <c r="AG487" s="750"/>
      <c r="AH487" s="840"/>
      <c r="AI487" s="839"/>
      <c r="AJ487" s="841"/>
      <c r="AK487" s="108" t="s">
        <v>12</v>
      </c>
      <c r="AL487" s="847">
        <v>469</v>
      </c>
      <c r="AM487" s="857"/>
      <c r="AN487" s="842"/>
      <c r="AO487" s="839"/>
      <c r="AP487" s="839"/>
      <c r="AQ487" s="839"/>
      <c r="AR487" s="750"/>
      <c r="AS487" s="840"/>
      <c r="AT487" s="839"/>
      <c r="AU487" s="856"/>
      <c r="AV487" s="108" t="s">
        <v>12</v>
      </c>
    </row>
    <row r="488" spans="4:48">
      <c r="D488" s="108" t="s">
        <v>12</v>
      </c>
      <c r="E488" s="742">
        <v>470</v>
      </c>
      <c r="F488" s="1016" t="str">
        <f t="shared" ca="1" si="49"/>
        <v/>
      </c>
      <c r="G488" s="1027" t="str">
        <f t="shared" ca="1" si="50"/>
        <v/>
      </c>
      <c r="H488" s="1043" t="str">
        <f ca="1"/>
        <v/>
      </c>
      <c r="I488" s="1006" t="str">
        <f ca="1"/>
        <v/>
      </c>
      <c r="J488" s="1006" t="str">
        <f ca="1"/>
        <v/>
      </c>
      <c r="K488" s="1016" t="str">
        <f ca="1"/>
        <v/>
      </c>
      <c r="L488" s="1019" t="str">
        <f ca="1"/>
        <v/>
      </c>
      <c r="M488" s="1006" t="str">
        <f ca="1"/>
        <v/>
      </c>
      <c r="N488" s="1060" t="str">
        <f t="shared" ca="1" si="47"/>
        <v/>
      </c>
      <c r="O488" s="996"/>
      <c r="P488" s="742">
        <v>470</v>
      </c>
      <c r="Q488" s="1016" t="str">
        <f t="shared" ca="1" si="51"/>
        <v/>
      </c>
      <c r="R488" s="1027" t="str">
        <f t="shared" ca="1" si="52"/>
        <v/>
      </c>
      <c r="S488" s="1006" t="str">
        <f ca="1"/>
        <v/>
      </c>
      <c r="T488" s="1006" t="str">
        <f ca="1"/>
        <v/>
      </c>
      <c r="U488" s="1006" t="str">
        <f ca="1"/>
        <v/>
      </c>
      <c r="V488" s="1016" t="str">
        <f ca="1"/>
        <v/>
      </c>
      <c r="W488" s="1019" t="str">
        <f ca="1"/>
        <v/>
      </c>
      <c r="X488" s="1006" t="str">
        <f ca="1"/>
        <v/>
      </c>
      <c r="Y488" s="864" t="str">
        <f t="shared" ca="1" si="48"/>
        <v/>
      </c>
      <c r="AA488" s="828">
        <v>470</v>
      </c>
      <c r="AB488" s="750"/>
      <c r="AC488" s="842"/>
      <c r="AD488" s="830"/>
      <c r="AE488" s="839"/>
      <c r="AF488" s="839"/>
      <c r="AG488" s="750"/>
      <c r="AH488" s="840"/>
      <c r="AI488" s="839"/>
      <c r="AJ488" s="841"/>
      <c r="AK488" s="108" t="s">
        <v>12</v>
      </c>
      <c r="AL488" s="847">
        <v>470</v>
      </c>
      <c r="AM488" s="857"/>
      <c r="AN488" s="842"/>
      <c r="AO488" s="839"/>
      <c r="AP488" s="839"/>
      <c r="AQ488" s="839"/>
      <c r="AR488" s="750"/>
      <c r="AS488" s="840"/>
      <c r="AT488" s="839"/>
      <c r="AU488" s="856"/>
      <c r="AV488" s="108" t="s">
        <v>12</v>
      </c>
    </row>
    <row r="489" spans="4:48">
      <c r="D489" s="108" t="s">
        <v>12</v>
      </c>
      <c r="E489" s="742">
        <v>471</v>
      </c>
      <c r="F489" s="1016" t="str">
        <f t="shared" ca="1" si="49"/>
        <v/>
      </c>
      <c r="G489" s="1027" t="str">
        <f t="shared" ca="1" si="50"/>
        <v/>
      </c>
      <c r="H489" s="1043" t="str">
        <f ca="1"/>
        <v/>
      </c>
      <c r="I489" s="1006" t="str">
        <f ca="1"/>
        <v/>
      </c>
      <c r="J489" s="1006" t="str">
        <f ca="1"/>
        <v/>
      </c>
      <c r="K489" s="1016" t="str">
        <f ca="1"/>
        <v/>
      </c>
      <c r="L489" s="1019" t="str">
        <f ca="1"/>
        <v/>
      </c>
      <c r="M489" s="1006" t="str">
        <f ca="1"/>
        <v/>
      </c>
      <c r="N489" s="1060" t="str">
        <f t="shared" ca="1" si="47"/>
        <v/>
      </c>
      <c r="O489" s="996"/>
      <c r="P489" s="742">
        <v>471</v>
      </c>
      <c r="Q489" s="1016" t="str">
        <f t="shared" ca="1" si="51"/>
        <v/>
      </c>
      <c r="R489" s="1027" t="str">
        <f t="shared" ca="1" si="52"/>
        <v/>
      </c>
      <c r="S489" s="1006" t="str">
        <f ca="1"/>
        <v/>
      </c>
      <c r="T489" s="1006" t="str">
        <f ca="1"/>
        <v/>
      </c>
      <c r="U489" s="1006" t="str">
        <f ca="1"/>
        <v/>
      </c>
      <c r="V489" s="1016" t="str">
        <f ca="1"/>
        <v/>
      </c>
      <c r="W489" s="1019" t="str">
        <f ca="1"/>
        <v/>
      </c>
      <c r="X489" s="1006" t="str">
        <f ca="1"/>
        <v/>
      </c>
      <c r="Y489" s="864" t="str">
        <f t="shared" ca="1" si="48"/>
        <v/>
      </c>
      <c r="AA489" s="828">
        <v>471</v>
      </c>
      <c r="AB489" s="750"/>
      <c r="AC489" s="842"/>
      <c r="AD489" s="830"/>
      <c r="AE489" s="839"/>
      <c r="AF489" s="839"/>
      <c r="AG489" s="750"/>
      <c r="AH489" s="840"/>
      <c r="AI489" s="839"/>
      <c r="AJ489" s="841"/>
      <c r="AK489" s="108" t="s">
        <v>12</v>
      </c>
      <c r="AL489" s="847">
        <v>471</v>
      </c>
      <c r="AM489" s="857"/>
      <c r="AN489" s="842"/>
      <c r="AO489" s="839"/>
      <c r="AP489" s="839"/>
      <c r="AQ489" s="839"/>
      <c r="AR489" s="750"/>
      <c r="AS489" s="840"/>
      <c r="AT489" s="839"/>
      <c r="AU489" s="856"/>
      <c r="AV489" s="108" t="s">
        <v>12</v>
      </c>
    </row>
    <row r="490" spans="4:48">
      <c r="D490" s="108" t="s">
        <v>12</v>
      </c>
      <c r="E490" s="742">
        <v>472</v>
      </c>
      <c r="F490" s="1016" t="str">
        <f t="shared" ca="1" si="49"/>
        <v/>
      </c>
      <c r="G490" s="1027" t="str">
        <f t="shared" ca="1" si="50"/>
        <v/>
      </c>
      <c r="H490" s="1043" t="str">
        <f ca="1"/>
        <v/>
      </c>
      <c r="I490" s="1006" t="str">
        <f ca="1"/>
        <v/>
      </c>
      <c r="J490" s="1006" t="str">
        <f ca="1"/>
        <v/>
      </c>
      <c r="K490" s="1016" t="str">
        <f ca="1"/>
        <v/>
      </c>
      <c r="L490" s="1019" t="str">
        <f ca="1"/>
        <v/>
      </c>
      <c r="M490" s="1006" t="str">
        <f ca="1"/>
        <v/>
      </c>
      <c r="N490" s="1060" t="str">
        <f t="shared" ca="1" si="47"/>
        <v/>
      </c>
      <c r="O490" s="996"/>
      <c r="P490" s="742">
        <v>472</v>
      </c>
      <c r="Q490" s="1016" t="str">
        <f t="shared" ca="1" si="51"/>
        <v/>
      </c>
      <c r="R490" s="1027" t="str">
        <f t="shared" ca="1" si="52"/>
        <v/>
      </c>
      <c r="S490" s="1006" t="str">
        <f ca="1"/>
        <v/>
      </c>
      <c r="T490" s="1006" t="str">
        <f ca="1"/>
        <v/>
      </c>
      <c r="U490" s="1006" t="str">
        <f ca="1"/>
        <v/>
      </c>
      <c r="V490" s="1016" t="str">
        <f ca="1"/>
        <v/>
      </c>
      <c r="W490" s="1019" t="str">
        <f ca="1"/>
        <v/>
      </c>
      <c r="X490" s="1006" t="str">
        <f ca="1"/>
        <v/>
      </c>
      <c r="Y490" s="864" t="str">
        <f t="shared" ca="1" si="48"/>
        <v/>
      </c>
      <c r="AA490" s="828">
        <v>472</v>
      </c>
      <c r="AB490" s="750"/>
      <c r="AC490" s="842"/>
      <c r="AD490" s="830"/>
      <c r="AE490" s="839"/>
      <c r="AF490" s="839"/>
      <c r="AG490" s="750"/>
      <c r="AH490" s="840"/>
      <c r="AI490" s="839"/>
      <c r="AJ490" s="841"/>
      <c r="AK490" s="108" t="s">
        <v>12</v>
      </c>
      <c r="AL490" s="847">
        <v>472</v>
      </c>
      <c r="AM490" s="857"/>
      <c r="AN490" s="842"/>
      <c r="AO490" s="839"/>
      <c r="AP490" s="839"/>
      <c r="AQ490" s="839"/>
      <c r="AR490" s="750"/>
      <c r="AS490" s="840"/>
      <c r="AT490" s="839"/>
      <c r="AU490" s="856"/>
      <c r="AV490" s="108" t="s">
        <v>12</v>
      </c>
    </row>
    <row r="491" spans="4:48">
      <c r="D491" s="108" t="s">
        <v>12</v>
      </c>
      <c r="E491" s="742">
        <v>473</v>
      </c>
      <c r="F491" s="1016" t="str">
        <f t="shared" ca="1" si="49"/>
        <v/>
      </c>
      <c r="G491" s="1027" t="str">
        <f t="shared" ca="1" si="50"/>
        <v/>
      </c>
      <c r="H491" s="1043" t="str">
        <f ca="1"/>
        <v/>
      </c>
      <c r="I491" s="1006" t="str">
        <f ca="1"/>
        <v/>
      </c>
      <c r="J491" s="1006" t="str">
        <f ca="1"/>
        <v/>
      </c>
      <c r="K491" s="1016" t="str">
        <f ca="1"/>
        <v/>
      </c>
      <c r="L491" s="1019" t="str">
        <f ca="1"/>
        <v/>
      </c>
      <c r="M491" s="1006" t="str">
        <f ca="1"/>
        <v/>
      </c>
      <c r="N491" s="1060" t="str">
        <f t="shared" ca="1" si="47"/>
        <v/>
      </c>
      <c r="O491" s="996"/>
      <c r="P491" s="742">
        <v>473</v>
      </c>
      <c r="Q491" s="1016" t="str">
        <f t="shared" ca="1" si="51"/>
        <v/>
      </c>
      <c r="R491" s="1027" t="str">
        <f t="shared" ca="1" si="52"/>
        <v/>
      </c>
      <c r="S491" s="1006" t="str">
        <f ca="1"/>
        <v/>
      </c>
      <c r="T491" s="1006" t="str">
        <f ca="1"/>
        <v/>
      </c>
      <c r="U491" s="1006" t="str">
        <f ca="1"/>
        <v/>
      </c>
      <c r="V491" s="1016" t="str">
        <f ca="1"/>
        <v/>
      </c>
      <c r="W491" s="1019" t="str">
        <f ca="1"/>
        <v/>
      </c>
      <c r="X491" s="1006" t="str">
        <f ca="1"/>
        <v/>
      </c>
      <c r="Y491" s="864" t="str">
        <f t="shared" ca="1" si="48"/>
        <v/>
      </c>
      <c r="AA491" s="828">
        <v>473</v>
      </c>
      <c r="AB491" s="750"/>
      <c r="AC491" s="842"/>
      <c r="AD491" s="830"/>
      <c r="AE491" s="839"/>
      <c r="AF491" s="839"/>
      <c r="AG491" s="750"/>
      <c r="AH491" s="840"/>
      <c r="AI491" s="839"/>
      <c r="AJ491" s="841"/>
      <c r="AK491" s="108" t="s">
        <v>12</v>
      </c>
      <c r="AL491" s="847">
        <v>473</v>
      </c>
      <c r="AM491" s="857"/>
      <c r="AN491" s="842"/>
      <c r="AO491" s="839"/>
      <c r="AP491" s="839"/>
      <c r="AQ491" s="839"/>
      <c r="AR491" s="750"/>
      <c r="AS491" s="840"/>
      <c r="AT491" s="839"/>
      <c r="AU491" s="856"/>
      <c r="AV491" s="108" t="s">
        <v>12</v>
      </c>
    </row>
    <row r="492" spans="4:48">
      <c r="D492" s="108" t="s">
        <v>12</v>
      </c>
      <c r="E492" s="742">
        <v>474</v>
      </c>
      <c r="F492" s="1016" t="str">
        <f t="shared" ca="1" si="49"/>
        <v/>
      </c>
      <c r="G492" s="1027" t="str">
        <f t="shared" ca="1" si="50"/>
        <v/>
      </c>
      <c r="H492" s="1043" t="str">
        <f ca="1"/>
        <v/>
      </c>
      <c r="I492" s="1006" t="str">
        <f ca="1"/>
        <v/>
      </c>
      <c r="J492" s="1006" t="str">
        <f ca="1"/>
        <v/>
      </c>
      <c r="K492" s="1016" t="str">
        <f ca="1"/>
        <v/>
      </c>
      <c r="L492" s="1019" t="str">
        <f ca="1"/>
        <v/>
      </c>
      <c r="M492" s="1006" t="str">
        <f ca="1"/>
        <v/>
      </c>
      <c r="N492" s="1060" t="str">
        <f t="shared" ca="1" si="47"/>
        <v/>
      </c>
      <c r="O492" s="996"/>
      <c r="P492" s="742">
        <v>474</v>
      </c>
      <c r="Q492" s="1016" t="str">
        <f t="shared" ca="1" si="51"/>
        <v/>
      </c>
      <c r="R492" s="1027" t="str">
        <f t="shared" ca="1" si="52"/>
        <v/>
      </c>
      <c r="S492" s="1006" t="str">
        <f ca="1"/>
        <v/>
      </c>
      <c r="T492" s="1006" t="str">
        <f ca="1"/>
        <v/>
      </c>
      <c r="U492" s="1006" t="str">
        <f ca="1"/>
        <v/>
      </c>
      <c r="V492" s="1016" t="str">
        <f ca="1"/>
        <v/>
      </c>
      <c r="W492" s="1019" t="str">
        <f ca="1"/>
        <v/>
      </c>
      <c r="X492" s="1006" t="str">
        <f ca="1"/>
        <v/>
      </c>
      <c r="Y492" s="864" t="str">
        <f t="shared" ca="1" si="48"/>
        <v/>
      </c>
      <c r="AA492" s="828">
        <v>474</v>
      </c>
      <c r="AB492" s="750"/>
      <c r="AC492" s="842"/>
      <c r="AD492" s="830"/>
      <c r="AE492" s="839"/>
      <c r="AF492" s="839"/>
      <c r="AG492" s="750"/>
      <c r="AH492" s="840"/>
      <c r="AI492" s="839"/>
      <c r="AJ492" s="841"/>
      <c r="AK492" s="108" t="s">
        <v>12</v>
      </c>
      <c r="AL492" s="847">
        <v>474</v>
      </c>
      <c r="AM492" s="857"/>
      <c r="AN492" s="842"/>
      <c r="AO492" s="839"/>
      <c r="AP492" s="839"/>
      <c r="AQ492" s="839"/>
      <c r="AR492" s="750"/>
      <c r="AS492" s="840"/>
      <c r="AT492" s="839"/>
      <c r="AU492" s="856"/>
      <c r="AV492" s="108" t="s">
        <v>12</v>
      </c>
    </row>
    <row r="493" spans="4:48">
      <c r="D493" s="108" t="s">
        <v>12</v>
      </c>
      <c r="E493" s="742">
        <v>475</v>
      </c>
      <c r="F493" s="1016" t="str">
        <f t="shared" ca="1" si="49"/>
        <v/>
      </c>
      <c r="G493" s="1027" t="str">
        <f t="shared" ca="1" si="50"/>
        <v/>
      </c>
      <c r="H493" s="1043" t="str">
        <f ca="1"/>
        <v/>
      </c>
      <c r="I493" s="1006" t="str">
        <f ca="1"/>
        <v/>
      </c>
      <c r="J493" s="1006" t="str">
        <f ca="1"/>
        <v/>
      </c>
      <c r="K493" s="1016" t="str">
        <f ca="1"/>
        <v/>
      </c>
      <c r="L493" s="1019" t="str">
        <f ca="1"/>
        <v/>
      </c>
      <c r="M493" s="1006" t="str">
        <f ca="1"/>
        <v/>
      </c>
      <c r="N493" s="1060" t="str">
        <f t="shared" ca="1" si="47"/>
        <v/>
      </c>
      <c r="O493" s="996"/>
      <c r="P493" s="742">
        <v>475</v>
      </c>
      <c r="Q493" s="1016" t="str">
        <f t="shared" ca="1" si="51"/>
        <v/>
      </c>
      <c r="R493" s="1027" t="str">
        <f t="shared" ca="1" si="52"/>
        <v/>
      </c>
      <c r="S493" s="1006" t="str">
        <f ca="1"/>
        <v/>
      </c>
      <c r="T493" s="1006" t="str">
        <f ca="1"/>
        <v/>
      </c>
      <c r="U493" s="1006" t="str">
        <f ca="1"/>
        <v/>
      </c>
      <c r="V493" s="1016" t="str">
        <f ca="1"/>
        <v/>
      </c>
      <c r="W493" s="1019" t="str">
        <f ca="1"/>
        <v/>
      </c>
      <c r="X493" s="1006" t="str">
        <f ca="1"/>
        <v/>
      </c>
      <c r="Y493" s="864" t="str">
        <f t="shared" ca="1" si="48"/>
        <v/>
      </c>
      <c r="AA493" s="828">
        <v>475</v>
      </c>
      <c r="AB493" s="750"/>
      <c r="AC493" s="842"/>
      <c r="AD493" s="830"/>
      <c r="AE493" s="839"/>
      <c r="AF493" s="839"/>
      <c r="AG493" s="750"/>
      <c r="AH493" s="840"/>
      <c r="AI493" s="839"/>
      <c r="AJ493" s="841"/>
      <c r="AK493" s="108" t="s">
        <v>12</v>
      </c>
      <c r="AL493" s="847">
        <v>475</v>
      </c>
      <c r="AM493" s="857"/>
      <c r="AN493" s="842"/>
      <c r="AO493" s="839"/>
      <c r="AP493" s="839"/>
      <c r="AQ493" s="839"/>
      <c r="AR493" s="750"/>
      <c r="AS493" s="840"/>
      <c r="AT493" s="839"/>
      <c r="AU493" s="856"/>
      <c r="AV493" s="108" t="s">
        <v>12</v>
      </c>
    </row>
    <row r="494" spans="4:48">
      <c r="D494" s="108" t="s">
        <v>12</v>
      </c>
      <c r="E494" s="742">
        <v>476</v>
      </c>
      <c r="F494" s="1016" t="str">
        <f t="shared" ca="1" si="49"/>
        <v/>
      </c>
      <c r="G494" s="1027" t="str">
        <f t="shared" ca="1" si="50"/>
        <v/>
      </c>
      <c r="H494" s="1043" t="str">
        <f ca="1"/>
        <v/>
      </c>
      <c r="I494" s="1006" t="str">
        <f ca="1"/>
        <v/>
      </c>
      <c r="J494" s="1006" t="str">
        <f ca="1"/>
        <v/>
      </c>
      <c r="K494" s="1016" t="str">
        <f ca="1"/>
        <v/>
      </c>
      <c r="L494" s="1019" t="str">
        <f ca="1"/>
        <v/>
      </c>
      <c r="M494" s="1006" t="str">
        <f ca="1"/>
        <v/>
      </c>
      <c r="N494" s="1060" t="str">
        <f t="shared" ca="1" si="47"/>
        <v/>
      </c>
      <c r="O494" s="996"/>
      <c r="P494" s="742">
        <v>476</v>
      </c>
      <c r="Q494" s="1016" t="str">
        <f t="shared" ca="1" si="51"/>
        <v/>
      </c>
      <c r="R494" s="1027" t="str">
        <f t="shared" ca="1" si="52"/>
        <v/>
      </c>
      <c r="S494" s="1006" t="str">
        <f ca="1"/>
        <v/>
      </c>
      <c r="T494" s="1006" t="str">
        <f ca="1"/>
        <v/>
      </c>
      <c r="U494" s="1006" t="str">
        <f ca="1"/>
        <v/>
      </c>
      <c r="V494" s="1016" t="str">
        <f ca="1"/>
        <v/>
      </c>
      <c r="W494" s="1019" t="str">
        <f ca="1"/>
        <v/>
      </c>
      <c r="X494" s="1006" t="str">
        <f ca="1"/>
        <v/>
      </c>
      <c r="Y494" s="864" t="str">
        <f t="shared" ca="1" si="48"/>
        <v/>
      </c>
      <c r="AA494" s="828">
        <v>476</v>
      </c>
      <c r="AB494" s="750"/>
      <c r="AC494" s="842"/>
      <c r="AD494" s="830"/>
      <c r="AE494" s="839"/>
      <c r="AF494" s="839"/>
      <c r="AG494" s="750"/>
      <c r="AH494" s="840"/>
      <c r="AI494" s="839"/>
      <c r="AJ494" s="841"/>
      <c r="AK494" s="108" t="s">
        <v>12</v>
      </c>
      <c r="AL494" s="847">
        <v>476</v>
      </c>
      <c r="AM494" s="857"/>
      <c r="AN494" s="842"/>
      <c r="AO494" s="839"/>
      <c r="AP494" s="839"/>
      <c r="AQ494" s="839"/>
      <c r="AR494" s="750"/>
      <c r="AS494" s="840"/>
      <c r="AT494" s="839"/>
      <c r="AU494" s="856"/>
      <c r="AV494" s="108" t="s">
        <v>12</v>
      </c>
    </row>
    <row r="495" spans="4:48">
      <c r="D495" s="108" t="s">
        <v>12</v>
      </c>
      <c r="E495" s="742">
        <v>477</v>
      </c>
      <c r="F495" s="1016" t="str">
        <f t="shared" ca="1" si="49"/>
        <v/>
      </c>
      <c r="G495" s="1027" t="str">
        <f t="shared" ca="1" si="50"/>
        <v/>
      </c>
      <c r="H495" s="1043" t="str">
        <f ca="1"/>
        <v/>
      </c>
      <c r="I495" s="1006" t="str">
        <f ca="1"/>
        <v/>
      </c>
      <c r="J495" s="1006" t="str">
        <f ca="1"/>
        <v/>
      </c>
      <c r="K495" s="1016" t="str">
        <f ca="1"/>
        <v/>
      </c>
      <c r="L495" s="1019" t="str">
        <f ca="1"/>
        <v/>
      </c>
      <c r="M495" s="1006" t="str">
        <f ca="1"/>
        <v/>
      </c>
      <c r="N495" s="1060" t="str">
        <f t="shared" ca="1" si="47"/>
        <v/>
      </c>
      <c r="O495" s="996"/>
      <c r="P495" s="742">
        <v>477</v>
      </c>
      <c r="Q495" s="1016" t="str">
        <f t="shared" ca="1" si="51"/>
        <v/>
      </c>
      <c r="R495" s="1027" t="str">
        <f t="shared" ca="1" si="52"/>
        <v/>
      </c>
      <c r="S495" s="1006" t="str">
        <f ca="1"/>
        <v/>
      </c>
      <c r="T495" s="1006" t="str">
        <f ca="1"/>
        <v/>
      </c>
      <c r="U495" s="1006" t="str">
        <f ca="1"/>
        <v/>
      </c>
      <c r="V495" s="1016" t="str">
        <f ca="1"/>
        <v/>
      </c>
      <c r="W495" s="1019" t="str">
        <f ca="1"/>
        <v/>
      </c>
      <c r="X495" s="1006" t="str">
        <f ca="1"/>
        <v/>
      </c>
      <c r="Y495" s="864" t="str">
        <f t="shared" ca="1" si="48"/>
        <v/>
      </c>
      <c r="AA495" s="828">
        <v>477</v>
      </c>
      <c r="AB495" s="750"/>
      <c r="AC495" s="842"/>
      <c r="AD495" s="830"/>
      <c r="AE495" s="839"/>
      <c r="AF495" s="839"/>
      <c r="AG495" s="750"/>
      <c r="AH495" s="840"/>
      <c r="AI495" s="839"/>
      <c r="AJ495" s="841"/>
      <c r="AK495" s="108" t="s">
        <v>12</v>
      </c>
      <c r="AL495" s="847">
        <v>477</v>
      </c>
      <c r="AM495" s="857"/>
      <c r="AN495" s="842"/>
      <c r="AO495" s="839"/>
      <c r="AP495" s="839"/>
      <c r="AQ495" s="839"/>
      <c r="AR495" s="750"/>
      <c r="AS495" s="840"/>
      <c r="AT495" s="839"/>
      <c r="AU495" s="856"/>
      <c r="AV495" s="108" t="s">
        <v>12</v>
      </c>
    </row>
    <row r="496" spans="4:48">
      <c r="D496" s="108" t="s">
        <v>12</v>
      </c>
      <c r="E496" s="742">
        <v>478</v>
      </c>
      <c r="F496" s="1016" t="str">
        <f t="shared" ca="1" si="49"/>
        <v/>
      </c>
      <c r="G496" s="1027" t="str">
        <f t="shared" ca="1" si="50"/>
        <v/>
      </c>
      <c r="H496" s="1043" t="str">
        <f ca="1"/>
        <v/>
      </c>
      <c r="I496" s="1006" t="str">
        <f ca="1"/>
        <v/>
      </c>
      <c r="J496" s="1006" t="str">
        <f ca="1"/>
        <v/>
      </c>
      <c r="K496" s="1016" t="str">
        <f ca="1"/>
        <v/>
      </c>
      <c r="L496" s="1019" t="str">
        <f ca="1"/>
        <v/>
      </c>
      <c r="M496" s="1006" t="str">
        <f ca="1"/>
        <v/>
      </c>
      <c r="N496" s="1060" t="str">
        <f t="shared" ca="1" si="47"/>
        <v/>
      </c>
      <c r="O496" s="996"/>
      <c r="P496" s="742">
        <v>478</v>
      </c>
      <c r="Q496" s="1016" t="str">
        <f t="shared" ca="1" si="51"/>
        <v/>
      </c>
      <c r="R496" s="1027" t="str">
        <f t="shared" ca="1" si="52"/>
        <v/>
      </c>
      <c r="S496" s="1006" t="str">
        <f ca="1"/>
        <v/>
      </c>
      <c r="T496" s="1006" t="str">
        <f ca="1"/>
        <v/>
      </c>
      <c r="U496" s="1006" t="str">
        <f ca="1"/>
        <v/>
      </c>
      <c r="V496" s="1016" t="str">
        <f ca="1"/>
        <v/>
      </c>
      <c r="W496" s="1019" t="str">
        <f ca="1"/>
        <v/>
      </c>
      <c r="X496" s="1006" t="str">
        <f ca="1"/>
        <v/>
      </c>
      <c r="Y496" s="864" t="str">
        <f t="shared" ca="1" si="48"/>
        <v/>
      </c>
      <c r="AA496" s="828">
        <v>478</v>
      </c>
      <c r="AB496" s="750"/>
      <c r="AC496" s="842"/>
      <c r="AD496" s="830"/>
      <c r="AE496" s="839"/>
      <c r="AF496" s="839"/>
      <c r="AG496" s="750"/>
      <c r="AH496" s="840"/>
      <c r="AI496" s="839"/>
      <c r="AJ496" s="841"/>
      <c r="AK496" s="108" t="s">
        <v>12</v>
      </c>
      <c r="AL496" s="847">
        <v>478</v>
      </c>
      <c r="AM496" s="857"/>
      <c r="AN496" s="842"/>
      <c r="AO496" s="839"/>
      <c r="AP496" s="839"/>
      <c r="AQ496" s="839"/>
      <c r="AR496" s="750"/>
      <c r="AS496" s="840"/>
      <c r="AT496" s="839"/>
      <c r="AU496" s="856"/>
      <c r="AV496" s="108" t="s">
        <v>12</v>
      </c>
    </row>
    <row r="497" spans="4:48">
      <c r="D497" s="108" t="s">
        <v>12</v>
      </c>
      <c r="E497" s="742">
        <v>479</v>
      </c>
      <c r="F497" s="1016" t="str">
        <f t="shared" ca="1" si="49"/>
        <v/>
      </c>
      <c r="G497" s="1027" t="str">
        <f t="shared" ca="1" si="50"/>
        <v/>
      </c>
      <c r="H497" s="1043" t="str">
        <f ca="1"/>
        <v/>
      </c>
      <c r="I497" s="1006" t="str">
        <f ca="1"/>
        <v/>
      </c>
      <c r="J497" s="1006" t="str">
        <f ca="1"/>
        <v/>
      </c>
      <c r="K497" s="1016" t="str">
        <f ca="1"/>
        <v/>
      </c>
      <c r="L497" s="1019" t="str">
        <f ca="1"/>
        <v/>
      </c>
      <c r="M497" s="1006" t="str">
        <f ca="1"/>
        <v/>
      </c>
      <c r="N497" s="1060" t="str">
        <f t="shared" ca="1" si="47"/>
        <v/>
      </c>
      <c r="O497" s="996"/>
      <c r="P497" s="742">
        <v>479</v>
      </c>
      <c r="Q497" s="1016" t="str">
        <f t="shared" ca="1" si="51"/>
        <v/>
      </c>
      <c r="R497" s="1027" t="str">
        <f t="shared" ca="1" si="52"/>
        <v/>
      </c>
      <c r="S497" s="1006" t="str">
        <f ca="1"/>
        <v/>
      </c>
      <c r="T497" s="1006" t="str">
        <f ca="1"/>
        <v/>
      </c>
      <c r="U497" s="1006" t="str">
        <f ca="1"/>
        <v/>
      </c>
      <c r="V497" s="1016" t="str">
        <f ca="1"/>
        <v/>
      </c>
      <c r="W497" s="1019" t="str">
        <f ca="1"/>
        <v/>
      </c>
      <c r="X497" s="1006" t="str">
        <f ca="1"/>
        <v/>
      </c>
      <c r="Y497" s="864" t="str">
        <f t="shared" ca="1" si="48"/>
        <v/>
      </c>
      <c r="AA497" s="828">
        <v>479</v>
      </c>
      <c r="AB497" s="750"/>
      <c r="AC497" s="842"/>
      <c r="AD497" s="830"/>
      <c r="AE497" s="839"/>
      <c r="AF497" s="839"/>
      <c r="AG497" s="750"/>
      <c r="AH497" s="840"/>
      <c r="AI497" s="839"/>
      <c r="AJ497" s="841"/>
      <c r="AK497" s="108" t="s">
        <v>12</v>
      </c>
      <c r="AL497" s="847">
        <v>479</v>
      </c>
      <c r="AM497" s="857"/>
      <c r="AN497" s="842"/>
      <c r="AO497" s="839"/>
      <c r="AP497" s="839"/>
      <c r="AQ497" s="839"/>
      <c r="AR497" s="750"/>
      <c r="AS497" s="840"/>
      <c r="AT497" s="839"/>
      <c r="AU497" s="856"/>
      <c r="AV497" s="108" t="s">
        <v>12</v>
      </c>
    </row>
    <row r="498" spans="4:48">
      <c r="D498" s="108" t="s">
        <v>12</v>
      </c>
      <c r="E498" s="742">
        <v>480</v>
      </c>
      <c r="F498" s="1016" t="str">
        <f t="shared" ca="1" si="49"/>
        <v/>
      </c>
      <c r="G498" s="1027" t="str">
        <f t="shared" ca="1" si="50"/>
        <v/>
      </c>
      <c r="H498" s="1043" t="str">
        <f ca="1"/>
        <v/>
      </c>
      <c r="I498" s="1006" t="str">
        <f ca="1"/>
        <v/>
      </c>
      <c r="J498" s="1006" t="str">
        <f ca="1"/>
        <v/>
      </c>
      <c r="K498" s="1016" t="str">
        <f ca="1"/>
        <v/>
      </c>
      <c r="L498" s="1019" t="str">
        <f ca="1"/>
        <v/>
      </c>
      <c r="M498" s="1006" t="str">
        <f ca="1"/>
        <v/>
      </c>
      <c r="N498" s="1060" t="str">
        <f t="shared" ca="1" si="47"/>
        <v/>
      </c>
      <c r="O498" s="996"/>
      <c r="P498" s="742">
        <v>480</v>
      </c>
      <c r="Q498" s="1016" t="str">
        <f t="shared" ca="1" si="51"/>
        <v/>
      </c>
      <c r="R498" s="1027" t="str">
        <f t="shared" ca="1" si="52"/>
        <v/>
      </c>
      <c r="S498" s="1006" t="str">
        <f ca="1"/>
        <v/>
      </c>
      <c r="T498" s="1006" t="str">
        <f ca="1"/>
        <v/>
      </c>
      <c r="U498" s="1006" t="str">
        <f ca="1"/>
        <v/>
      </c>
      <c r="V498" s="1016" t="str">
        <f ca="1"/>
        <v/>
      </c>
      <c r="W498" s="1019" t="str">
        <f ca="1"/>
        <v/>
      </c>
      <c r="X498" s="1006" t="str">
        <f ca="1"/>
        <v/>
      </c>
      <c r="Y498" s="864" t="str">
        <f t="shared" ca="1" si="48"/>
        <v/>
      </c>
      <c r="AA498" s="828">
        <v>480</v>
      </c>
      <c r="AB498" s="750"/>
      <c r="AC498" s="842"/>
      <c r="AD498" s="830"/>
      <c r="AE498" s="839"/>
      <c r="AF498" s="839"/>
      <c r="AG498" s="750"/>
      <c r="AH498" s="840"/>
      <c r="AI498" s="839"/>
      <c r="AJ498" s="841"/>
      <c r="AK498" s="108" t="s">
        <v>12</v>
      </c>
      <c r="AL498" s="847">
        <v>480</v>
      </c>
      <c r="AM498" s="857"/>
      <c r="AN498" s="842"/>
      <c r="AO498" s="839"/>
      <c r="AP498" s="839"/>
      <c r="AQ498" s="839"/>
      <c r="AR498" s="750"/>
      <c r="AS498" s="840"/>
      <c r="AT498" s="839"/>
      <c r="AU498" s="856"/>
      <c r="AV498" s="108" t="s">
        <v>12</v>
      </c>
    </row>
    <row r="499" spans="4:48">
      <c r="D499" s="108" t="s">
        <v>12</v>
      </c>
      <c r="E499" s="742">
        <v>481</v>
      </c>
      <c r="F499" s="1016" t="str">
        <f t="shared" ca="1" si="49"/>
        <v/>
      </c>
      <c r="G499" s="1027" t="str">
        <f t="shared" ca="1" si="50"/>
        <v/>
      </c>
      <c r="H499" s="1043" t="str">
        <f ca="1"/>
        <v/>
      </c>
      <c r="I499" s="1006" t="str">
        <f ca="1"/>
        <v/>
      </c>
      <c r="J499" s="1006" t="str">
        <f ca="1"/>
        <v/>
      </c>
      <c r="K499" s="1016" t="str">
        <f ca="1"/>
        <v/>
      </c>
      <c r="L499" s="1019" t="str">
        <f ca="1"/>
        <v/>
      </c>
      <c r="M499" s="1006" t="str">
        <f ca="1"/>
        <v/>
      </c>
      <c r="N499" s="1060" t="str">
        <f t="shared" ca="1" si="47"/>
        <v/>
      </c>
      <c r="O499" s="996"/>
      <c r="P499" s="742">
        <v>481</v>
      </c>
      <c r="Q499" s="1016" t="str">
        <f t="shared" ca="1" si="51"/>
        <v/>
      </c>
      <c r="R499" s="1027" t="str">
        <f t="shared" ca="1" si="52"/>
        <v/>
      </c>
      <c r="S499" s="1006" t="str">
        <f ca="1"/>
        <v/>
      </c>
      <c r="T499" s="1006" t="str">
        <f ca="1"/>
        <v/>
      </c>
      <c r="U499" s="1006" t="str">
        <f ca="1"/>
        <v/>
      </c>
      <c r="V499" s="1016" t="str">
        <f ca="1"/>
        <v/>
      </c>
      <c r="W499" s="1019" t="str">
        <f ca="1"/>
        <v/>
      </c>
      <c r="X499" s="1006" t="str">
        <f ca="1"/>
        <v/>
      </c>
      <c r="Y499" s="864" t="str">
        <f t="shared" ca="1" si="48"/>
        <v/>
      </c>
      <c r="AA499" s="828">
        <v>481</v>
      </c>
      <c r="AB499" s="750"/>
      <c r="AC499" s="842"/>
      <c r="AD499" s="830"/>
      <c r="AE499" s="839"/>
      <c r="AF499" s="839"/>
      <c r="AG499" s="750"/>
      <c r="AH499" s="840"/>
      <c r="AI499" s="839"/>
      <c r="AJ499" s="841"/>
      <c r="AK499" s="108" t="s">
        <v>12</v>
      </c>
      <c r="AL499" s="847">
        <v>481</v>
      </c>
      <c r="AM499" s="857"/>
      <c r="AN499" s="842"/>
      <c r="AO499" s="839"/>
      <c r="AP499" s="839"/>
      <c r="AQ499" s="839"/>
      <c r="AR499" s="750"/>
      <c r="AS499" s="840"/>
      <c r="AT499" s="839"/>
      <c r="AU499" s="856"/>
      <c r="AV499" s="108" t="s">
        <v>12</v>
      </c>
    </row>
    <row r="500" spans="4:48">
      <c r="D500" s="108" t="s">
        <v>12</v>
      </c>
      <c r="E500" s="742">
        <v>482</v>
      </c>
      <c r="F500" s="1016" t="str">
        <f t="shared" ca="1" si="49"/>
        <v/>
      </c>
      <c r="G500" s="1027" t="str">
        <f t="shared" ca="1" si="50"/>
        <v/>
      </c>
      <c r="H500" s="1043" t="str">
        <f ca="1"/>
        <v/>
      </c>
      <c r="I500" s="1006" t="str">
        <f ca="1"/>
        <v/>
      </c>
      <c r="J500" s="1006" t="str">
        <f ca="1"/>
        <v/>
      </c>
      <c r="K500" s="1016" t="str">
        <f ca="1"/>
        <v/>
      </c>
      <c r="L500" s="1019" t="str">
        <f ca="1"/>
        <v/>
      </c>
      <c r="M500" s="1006" t="str">
        <f ca="1"/>
        <v/>
      </c>
      <c r="N500" s="1060" t="str">
        <f t="shared" ca="1" si="47"/>
        <v/>
      </c>
      <c r="O500" s="996"/>
      <c r="P500" s="742">
        <v>482</v>
      </c>
      <c r="Q500" s="1016" t="str">
        <f t="shared" ca="1" si="51"/>
        <v/>
      </c>
      <c r="R500" s="1027" t="str">
        <f t="shared" ca="1" si="52"/>
        <v/>
      </c>
      <c r="S500" s="1006" t="str">
        <f ca="1"/>
        <v/>
      </c>
      <c r="T500" s="1006" t="str">
        <f ca="1"/>
        <v/>
      </c>
      <c r="U500" s="1006" t="str">
        <f ca="1"/>
        <v/>
      </c>
      <c r="V500" s="1016" t="str">
        <f ca="1"/>
        <v/>
      </c>
      <c r="W500" s="1019" t="str">
        <f ca="1"/>
        <v/>
      </c>
      <c r="X500" s="1006" t="str">
        <f ca="1"/>
        <v/>
      </c>
      <c r="Y500" s="864" t="str">
        <f t="shared" ca="1" si="48"/>
        <v/>
      </c>
      <c r="AA500" s="828">
        <v>482</v>
      </c>
      <c r="AB500" s="750"/>
      <c r="AC500" s="842"/>
      <c r="AD500" s="830"/>
      <c r="AE500" s="839"/>
      <c r="AF500" s="839"/>
      <c r="AG500" s="750"/>
      <c r="AH500" s="840"/>
      <c r="AI500" s="839"/>
      <c r="AJ500" s="841"/>
      <c r="AK500" s="108" t="s">
        <v>12</v>
      </c>
      <c r="AL500" s="847">
        <v>482</v>
      </c>
      <c r="AM500" s="857"/>
      <c r="AN500" s="842"/>
      <c r="AO500" s="839"/>
      <c r="AP500" s="839"/>
      <c r="AQ500" s="839"/>
      <c r="AR500" s="750"/>
      <c r="AS500" s="840"/>
      <c r="AT500" s="839"/>
      <c r="AU500" s="856"/>
      <c r="AV500" s="108" t="s">
        <v>12</v>
      </c>
    </row>
    <row r="501" spans="4:48">
      <c r="D501" s="108" t="s">
        <v>12</v>
      </c>
      <c r="E501" s="742">
        <v>483</v>
      </c>
      <c r="F501" s="1016" t="str">
        <f t="shared" ca="1" si="49"/>
        <v/>
      </c>
      <c r="G501" s="1027" t="str">
        <f t="shared" ca="1" si="50"/>
        <v/>
      </c>
      <c r="H501" s="1043" t="str">
        <f ca="1"/>
        <v/>
      </c>
      <c r="I501" s="1006" t="str">
        <f ca="1"/>
        <v/>
      </c>
      <c r="J501" s="1006" t="str">
        <f ca="1"/>
        <v/>
      </c>
      <c r="K501" s="1016" t="str">
        <f ca="1"/>
        <v/>
      </c>
      <c r="L501" s="1019" t="str">
        <f ca="1"/>
        <v/>
      </c>
      <c r="M501" s="1006" t="str">
        <f ca="1"/>
        <v/>
      </c>
      <c r="N501" s="1060" t="str">
        <f t="shared" ca="1" si="47"/>
        <v/>
      </c>
      <c r="O501" s="996"/>
      <c r="P501" s="742">
        <v>483</v>
      </c>
      <c r="Q501" s="1016" t="str">
        <f t="shared" ca="1" si="51"/>
        <v/>
      </c>
      <c r="R501" s="1027" t="str">
        <f t="shared" ca="1" si="52"/>
        <v/>
      </c>
      <c r="S501" s="1006" t="str">
        <f ca="1"/>
        <v/>
      </c>
      <c r="T501" s="1006" t="str">
        <f ca="1"/>
        <v/>
      </c>
      <c r="U501" s="1006" t="str">
        <f ca="1"/>
        <v/>
      </c>
      <c r="V501" s="1016" t="str">
        <f ca="1"/>
        <v/>
      </c>
      <c r="W501" s="1019" t="str">
        <f ca="1"/>
        <v/>
      </c>
      <c r="X501" s="1006" t="str">
        <f ca="1"/>
        <v/>
      </c>
      <c r="Y501" s="864" t="str">
        <f t="shared" ca="1" si="48"/>
        <v/>
      </c>
      <c r="AA501" s="828">
        <v>483</v>
      </c>
      <c r="AB501" s="750"/>
      <c r="AC501" s="842"/>
      <c r="AD501" s="830"/>
      <c r="AE501" s="839"/>
      <c r="AF501" s="839"/>
      <c r="AG501" s="750"/>
      <c r="AH501" s="840"/>
      <c r="AI501" s="839"/>
      <c r="AJ501" s="841"/>
      <c r="AK501" s="108" t="s">
        <v>12</v>
      </c>
      <c r="AL501" s="847">
        <v>483</v>
      </c>
      <c r="AM501" s="857"/>
      <c r="AN501" s="842"/>
      <c r="AO501" s="839"/>
      <c r="AP501" s="839"/>
      <c r="AQ501" s="839"/>
      <c r="AR501" s="750"/>
      <c r="AS501" s="840"/>
      <c r="AT501" s="839"/>
      <c r="AU501" s="856"/>
      <c r="AV501" s="108" t="s">
        <v>12</v>
      </c>
    </row>
    <row r="502" spans="4:48">
      <c r="D502" s="108" t="s">
        <v>12</v>
      </c>
      <c r="E502" s="742">
        <v>484</v>
      </c>
      <c r="F502" s="1016" t="str">
        <f t="shared" ca="1" si="49"/>
        <v/>
      </c>
      <c r="G502" s="1027" t="str">
        <f t="shared" ca="1" si="50"/>
        <v/>
      </c>
      <c r="H502" s="1043" t="str">
        <f ca="1"/>
        <v/>
      </c>
      <c r="I502" s="1006" t="str">
        <f ca="1"/>
        <v/>
      </c>
      <c r="J502" s="1006" t="str">
        <f ca="1"/>
        <v/>
      </c>
      <c r="K502" s="1016" t="str">
        <f ca="1"/>
        <v/>
      </c>
      <c r="L502" s="1019" t="str">
        <f ca="1"/>
        <v/>
      </c>
      <c r="M502" s="1006" t="str">
        <f ca="1"/>
        <v/>
      </c>
      <c r="N502" s="1060" t="str">
        <f t="shared" ca="1" si="47"/>
        <v/>
      </c>
      <c r="O502" s="996"/>
      <c r="P502" s="742">
        <v>484</v>
      </c>
      <c r="Q502" s="1016" t="str">
        <f t="shared" ca="1" si="51"/>
        <v/>
      </c>
      <c r="R502" s="1027" t="str">
        <f t="shared" ca="1" si="52"/>
        <v/>
      </c>
      <c r="S502" s="1006" t="str">
        <f ca="1"/>
        <v/>
      </c>
      <c r="T502" s="1006" t="str">
        <f ca="1"/>
        <v/>
      </c>
      <c r="U502" s="1006" t="str">
        <f ca="1"/>
        <v/>
      </c>
      <c r="V502" s="1016" t="str">
        <f ca="1"/>
        <v/>
      </c>
      <c r="W502" s="1019" t="str">
        <f ca="1"/>
        <v/>
      </c>
      <c r="X502" s="1006" t="str">
        <f ca="1"/>
        <v/>
      </c>
      <c r="Y502" s="864" t="str">
        <f t="shared" ca="1" si="48"/>
        <v/>
      </c>
      <c r="AA502" s="828">
        <v>484</v>
      </c>
      <c r="AB502" s="750"/>
      <c r="AC502" s="842"/>
      <c r="AD502" s="830"/>
      <c r="AE502" s="839"/>
      <c r="AF502" s="839"/>
      <c r="AG502" s="750"/>
      <c r="AH502" s="840"/>
      <c r="AI502" s="839"/>
      <c r="AJ502" s="841"/>
      <c r="AK502" s="108" t="s">
        <v>12</v>
      </c>
      <c r="AL502" s="847">
        <v>484</v>
      </c>
      <c r="AM502" s="857"/>
      <c r="AN502" s="842"/>
      <c r="AO502" s="839"/>
      <c r="AP502" s="839"/>
      <c r="AQ502" s="839"/>
      <c r="AR502" s="750"/>
      <c r="AS502" s="840"/>
      <c r="AT502" s="839"/>
      <c r="AU502" s="856"/>
      <c r="AV502" s="108" t="s">
        <v>12</v>
      </c>
    </row>
    <row r="503" spans="4:48">
      <c r="D503" s="108" t="s">
        <v>12</v>
      </c>
      <c r="E503" s="742">
        <v>485</v>
      </c>
      <c r="F503" s="1016" t="str">
        <f t="shared" ca="1" si="49"/>
        <v/>
      </c>
      <c r="G503" s="1027" t="str">
        <f t="shared" ca="1" si="50"/>
        <v/>
      </c>
      <c r="H503" s="1043" t="str">
        <f ca="1"/>
        <v/>
      </c>
      <c r="I503" s="1006" t="str">
        <f ca="1"/>
        <v/>
      </c>
      <c r="J503" s="1006" t="str">
        <f ca="1"/>
        <v/>
      </c>
      <c r="K503" s="1016" t="str">
        <f ca="1"/>
        <v/>
      </c>
      <c r="L503" s="1019" t="str">
        <f ca="1"/>
        <v/>
      </c>
      <c r="M503" s="1006" t="str">
        <f ca="1"/>
        <v/>
      </c>
      <c r="N503" s="1060" t="str">
        <f t="shared" ca="1" si="47"/>
        <v/>
      </c>
      <c r="O503" s="996"/>
      <c r="P503" s="742">
        <v>485</v>
      </c>
      <c r="Q503" s="1016" t="str">
        <f t="shared" ca="1" si="51"/>
        <v/>
      </c>
      <c r="R503" s="1027" t="str">
        <f t="shared" ca="1" si="52"/>
        <v/>
      </c>
      <c r="S503" s="1006" t="str">
        <f ca="1"/>
        <v/>
      </c>
      <c r="T503" s="1006" t="str">
        <f ca="1"/>
        <v/>
      </c>
      <c r="U503" s="1006" t="str">
        <f ca="1"/>
        <v/>
      </c>
      <c r="V503" s="1016" t="str">
        <f ca="1"/>
        <v/>
      </c>
      <c r="W503" s="1019" t="str">
        <f ca="1"/>
        <v/>
      </c>
      <c r="X503" s="1006" t="str">
        <f ca="1"/>
        <v/>
      </c>
      <c r="Y503" s="864" t="str">
        <f t="shared" ca="1" si="48"/>
        <v/>
      </c>
      <c r="AA503" s="828">
        <v>485</v>
      </c>
      <c r="AB503" s="750"/>
      <c r="AC503" s="842"/>
      <c r="AD503" s="830"/>
      <c r="AE503" s="839"/>
      <c r="AF503" s="839"/>
      <c r="AG503" s="750"/>
      <c r="AH503" s="840"/>
      <c r="AI503" s="839"/>
      <c r="AJ503" s="841"/>
      <c r="AK503" s="108" t="s">
        <v>12</v>
      </c>
      <c r="AL503" s="847">
        <v>485</v>
      </c>
      <c r="AM503" s="857"/>
      <c r="AN503" s="842"/>
      <c r="AO503" s="839"/>
      <c r="AP503" s="839"/>
      <c r="AQ503" s="839"/>
      <c r="AR503" s="750"/>
      <c r="AS503" s="840"/>
      <c r="AT503" s="839"/>
      <c r="AU503" s="856"/>
      <c r="AV503" s="108" t="s">
        <v>12</v>
      </c>
    </row>
    <row r="504" spans="4:48">
      <c r="D504" s="108" t="s">
        <v>12</v>
      </c>
      <c r="E504" s="742">
        <v>486</v>
      </c>
      <c r="F504" s="1016" t="str">
        <f t="shared" ca="1" si="49"/>
        <v/>
      </c>
      <c r="G504" s="1027" t="str">
        <f t="shared" ca="1" si="50"/>
        <v/>
      </c>
      <c r="H504" s="1043" t="str">
        <f ca="1"/>
        <v/>
      </c>
      <c r="I504" s="1006" t="str">
        <f ca="1"/>
        <v/>
      </c>
      <c r="J504" s="1006" t="str">
        <f ca="1"/>
        <v/>
      </c>
      <c r="K504" s="1016" t="str">
        <f ca="1"/>
        <v/>
      </c>
      <c r="L504" s="1019" t="str">
        <f ca="1"/>
        <v/>
      </c>
      <c r="M504" s="1006" t="str">
        <f ca="1"/>
        <v/>
      </c>
      <c r="N504" s="1060" t="str">
        <f t="shared" ca="1" si="47"/>
        <v/>
      </c>
      <c r="O504" s="996"/>
      <c r="P504" s="742">
        <v>486</v>
      </c>
      <c r="Q504" s="1016" t="str">
        <f t="shared" ca="1" si="51"/>
        <v/>
      </c>
      <c r="R504" s="1027" t="str">
        <f t="shared" ca="1" si="52"/>
        <v/>
      </c>
      <c r="S504" s="1006" t="str">
        <f ca="1"/>
        <v/>
      </c>
      <c r="T504" s="1006" t="str">
        <f ca="1"/>
        <v/>
      </c>
      <c r="U504" s="1006" t="str">
        <f ca="1"/>
        <v/>
      </c>
      <c r="V504" s="1016" t="str">
        <f ca="1"/>
        <v/>
      </c>
      <c r="W504" s="1019" t="str">
        <f ca="1"/>
        <v/>
      </c>
      <c r="X504" s="1006" t="str">
        <f ca="1"/>
        <v/>
      </c>
      <c r="Y504" s="864" t="str">
        <f t="shared" ca="1" si="48"/>
        <v/>
      </c>
      <c r="AA504" s="828">
        <v>486</v>
      </c>
      <c r="AB504" s="750"/>
      <c r="AC504" s="842"/>
      <c r="AD504" s="830"/>
      <c r="AE504" s="839"/>
      <c r="AF504" s="839"/>
      <c r="AG504" s="750"/>
      <c r="AH504" s="840"/>
      <c r="AI504" s="839"/>
      <c r="AJ504" s="841"/>
      <c r="AK504" s="108" t="s">
        <v>12</v>
      </c>
      <c r="AL504" s="847">
        <v>486</v>
      </c>
      <c r="AM504" s="857"/>
      <c r="AN504" s="842"/>
      <c r="AO504" s="839"/>
      <c r="AP504" s="839"/>
      <c r="AQ504" s="839"/>
      <c r="AR504" s="750"/>
      <c r="AS504" s="840"/>
      <c r="AT504" s="839"/>
      <c r="AU504" s="856"/>
      <c r="AV504" s="108" t="s">
        <v>12</v>
      </c>
    </row>
    <row r="505" spans="4:48">
      <c r="D505" s="108" t="s">
        <v>12</v>
      </c>
      <c r="E505" s="742">
        <v>487</v>
      </c>
      <c r="F505" s="1016" t="str">
        <f t="shared" ca="1" si="49"/>
        <v/>
      </c>
      <c r="G505" s="1027" t="str">
        <f t="shared" ca="1" si="50"/>
        <v/>
      </c>
      <c r="H505" s="1043" t="str">
        <f ca="1"/>
        <v/>
      </c>
      <c r="I505" s="1006" t="str">
        <f ca="1"/>
        <v/>
      </c>
      <c r="J505" s="1006" t="str">
        <f ca="1"/>
        <v/>
      </c>
      <c r="K505" s="1016" t="str">
        <f ca="1"/>
        <v/>
      </c>
      <c r="L505" s="1019" t="str">
        <f ca="1"/>
        <v/>
      </c>
      <c r="M505" s="1006" t="str">
        <f ca="1"/>
        <v/>
      </c>
      <c r="N505" s="1060" t="str">
        <f t="shared" ca="1" si="47"/>
        <v/>
      </c>
      <c r="O505" s="996"/>
      <c r="P505" s="742">
        <v>487</v>
      </c>
      <c r="Q505" s="1016" t="str">
        <f t="shared" ca="1" si="51"/>
        <v/>
      </c>
      <c r="R505" s="1027" t="str">
        <f t="shared" ca="1" si="52"/>
        <v/>
      </c>
      <c r="S505" s="1006" t="str">
        <f ca="1"/>
        <v/>
      </c>
      <c r="T505" s="1006" t="str">
        <f ca="1"/>
        <v/>
      </c>
      <c r="U505" s="1006" t="str">
        <f ca="1"/>
        <v/>
      </c>
      <c r="V505" s="1016" t="str">
        <f ca="1"/>
        <v/>
      </c>
      <c r="W505" s="1019" t="str">
        <f ca="1"/>
        <v/>
      </c>
      <c r="X505" s="1006" t="str">
        <f ca="1"/>
        <v/>
      </c>
      <c r="Y505" s="864" t="str">
        <f t="shared" ca="1" si="48"/>
        <v/>
      </c>
      <c r="AA505" s="828">
        <v>487</v>
      </c>
      <c r="AB505" s="750"/>
      <c r="AC505" s="842"/>
      <c r="AD505" s="830"/>
      <c r="AE505" s="839"/>
      <c r="AF505" s="839"/>
      <c r="AG505" s="750"/>
      <c r="AH505" s="840"/>
      <c r="AI505" s="839"/>
      <c r="AJ505" s="841"/>
      <c r="AK505" s="108" t="s">
        <v>12</v>
      </c>
      <c r="AL505" s="847">
        <v>487</v>
      </c>
      <c r="AM505" s="857"/>
      <c r="AN505" s="842"/>
      <c r="AO505" s="839"/>
      <c r="AP505" s="839"/>
      <c r="AQ505" s="839"/>
      <c r="AR505" s="750"/>
      <c r="AS505" s="840"/>
      <c r="AT505" s="839"/>
      <c r="AU505" s="856"/>
      <c r="AV505" s="108" t="s">
        <v>12</v>
      </c>
    </row>
    <row r="506" spans="4:48">
      <c r="D506" s="108" t="s">
        <v>12</v>
      </c>
      <c r="E506" s="742">
        <v>488</v>
      </c>
      <c r="F506" s="1016" t="str">
        <f t="shared" ca="1" si="49"/>
        <v/>
      </c>
      <c r="G506" s="1027" t="str">
        <f t="shared" ca="1" si="50"/>
        <v/>
      </c>
      <c r="H506" s="1043" t="str">
        <f ca="1"/>
        <v/>
      </c>
      <c r="I506" s="1006" t="str">
        <f ca="1"/>
        <v/>
      </c>
      <c r="J506" s="1006" t="str">
        <f ca="1"/>
        <v/>
      </c>
      <c r="K506" s="1016" t="str">
        <f ca="1"/>
        <v/>
      </c>
      <c r="L506" s="1019" t="str">
        <f ca="1"/>
        <v/>
      </c>
      <c r="M506" s="1006" t="str">
        <f ca="1"/>
        <v/>
      </c>
      <c r="N506" s="1060" t="str">
        <f t="shared" ca="1" si="47"/>
        <v/>
      </c>
      <c r="O506" s="996"/>
      <c r="P506" s="742">
        <v>488</v>
      </c>
      <c r="Q506" s="1016" t="str">
        <f t="shared" ca="1" si="51"/>
        <v/>
      </c>
      <c r="R506" s="1027" t="str">
        <f t="shared" ca="1" si="52"/>
        <v/>
      </c>
      <c r="S506" s="1006" t="str">
        <f ca="1"/>
        <v/>
      </c>
      <c r="T506" s="1006" t="str">
        <f ca="1"/>
        <v/>
      </c>
      <c r="U506" s="1006" t="str">
        <f ca="1"/>
        <v/>
      </c>
      <c r="V506" s="1016" t="str">
        <f ca="1"/>
        <v/>
      </c>
      <c r="W506" s="1019" t="str">
        <f ca="1"/>
        <v/>
      </c>
      <c r="X506" s="1006" t="str">
        <f ca="1"/>
        <v/>
      </c>
      <c r="Y506" s="864" t="str">
        <f t="shared" ca="1" si="48"/>
        <v/>
      </c>
      <c r="AA506" s="828">
        <v>488</v>
      </c>
      <c r="AB506" s="750"/>
      <c r="AC506" s="842"/>
      <c r="AD506" s="830"/>
      <c r="AE506" s="839"/>
      <c r="AF506" s="839"/>
      <c r="AG506" s="750"/>
      <c r="AH506" s="840"/>
      <c r="AI506" s="839"/>
      <c r="AJ506" s="841"/>
      <c r="AK506" s="108" t="s">
        <v>12</v>
      </c>
      <c r="AL506" s="847">
        <v>488</v>
      </c>
      <c r="AM506" s="857"/>
      <c r="AN506" s="842"/>
      <c r="AO506" s="839"/>
      <c r="AP506" s="839"/>
      <c r="AQ506" s="839"/>
      <c r="AR506" s="750"/>
      <c r="AS506" s="840"/>
      <c r="AT506" s="839"/>
      <c r="AU506" s="856"/>
      <c r="AV506" s="108" t="s">
        <v>12</v>
      </c>
    </row>
    <row r="507" spans="4:48">
      <c r="D507" s="108" t="s">
        <v>12</v>
      </c>
      <c r="E507" s="742">
        <v>489</v>
      </c>
      <c r="F507" s="1016" t="str">
        <f t="shared" ca="1" si="49"/>
        <v/>
      </c>
      <c r="G507" s="1027" t="str">
        <f t="shared" ca="1" si="50"/>
        <v/>
      </c>
      <c r="H507" s="1043" t="str">
        <f ca="1"/>
        <v/>
      </c>
      <c r="I507" s="1006" t="str">
        <f ca="1"/>
        <v/>
      </c>
      <c r="J507" s="1006" t="str">
        <f ca="1"/>
        <v/>
      </c>
      <c r="K507" s="1016" t="str">
        <f ca="1"/>
        <v/>
      </c>
      <c r="L507" s="1019" t="str">
        <f ca="1"/>
        <v/>
      </c>
      <c r="M507" s="1006" t="str">
        <f ca="1"/>
        <v/>
      </c>
      <c r="N507" s="1060" t="str">
        <f t="shared" ca="1" si="47"/>
        <v/>
      </c>
      <c r="O507" s="996"/>
      <c r="P507" s="742">
        <v>489</v>
      </c>
      <c r="Q507" s="1016" t="str">
        <f t="shared" ca="1" si="51"/>
        <v/>
      </c>
      <c r="R507" s="1027" t="str">
        <f t="shared" ca="1" si="52"/>
        <v/>
      </c>
      <c r="S507" s="1006" t="str">
        <f ca="1"/>
        <v/>
      </c>
      <c r="T507" s="1006" t="str">
        <f ca="1"/>
        <v/>
      </c>
      <c r="U507" s="1006" t="str">
        <f ca="1"/>
        <v/>
      </c>
      <c r="V507" s="1016" t="str">
        <f ca="1"/>
        <v/>
      </c>
      <c r="W507" s="1019" t="str">
        <f ca="1"/>
        <v/>
      </c>
      <c r="X507" s="1006" t="str">
        <f ca="1"/>
        <v/>
      </c>
      <c r="Y507" s="864" t="str">
        <f t="shared" ca="1" si="48"/>
        <v/>
      </c>
      <c r="AA507" s="828">
        <v>489</v>
      </c>
      <c r="AB507" s="750"/>
      <c r="AC507" s="842"/>
      <c r="AD507" s="830"/>
      <c r="AE507" s="839"/>
      <c r="AF507" s="839"/>
      <c r="AG507" s="750"/>
      <c r="AH507" s="840"/>
      <c r="AI507" s="839"/>
      <c r="AJ507" s="841"/>
      <c r="AK507" s="108" t="s">
        <v>12</v>
      </c>
      <c r="AL507" s="847">
        <v>489</v>
      </c>
      <c r="AM507" s="857"/>
      <c r="AN507" s="842"/>
      <c r="AO507" s="839"/>
      <c r="AP507" s="839"/>
      <c r="AQ507" s="839"/>
      <c r="AR507" s="750"/>
      <c r="AS507" s="840"/>
      <c r="AT507" s="839"/>
      <c r="AU507" s="856"/>
      <c r="AV507" s="108" t="s">
        <v>12</v>
      </c>
    </row>
    <row r="508" spans="4:48">
      <c r="D508" s="108" t="s">
        <v>12</v>
      </c>
      <c r="E508" s="742">
        <v>490</v>
      </c>
      <c r="F508" s="1016" t="str">
        <f t="shared" ca="1" si="49"/>
        <v/>
      </c>
      <c r="G508" s="1027" t="str">
        <f t="shared" ca="1" si="50"/>
        <v/>
      </c>
      <c r="H508" s="1043" t="str">
        <f ca="1"/>
        <v/>
      </c>
      <c r="I508" s="1006" t="str">
        <f ca="1"/>
        <v/>
      </c>
      <c r="J508" s="1006" t="str">
        <f ca="1"/>
        <v/>
      </c>
      <c r="K508" s="1016" t="str">
        <f ca="1"/>
        <v/>
      </c>
      <c r="L508" s="1019" t="str">
        <f ca="1"/>
        <v/>
      </c>
      <c r="M508" s="1006" t="str">
        <f ca="1"/>
        <v/>
      </c>
      <c r="N508" s="1060" t="str">
        <f t="shared" ca="1" si="47"/>
        <v/>
      </c>
      <c r="O508" s="996"/>
      <c r="P508" s="742">
        <v>490</v>
      </c>
      <c r="Q508" s="1016" t="str">
        <f t="shared" ca="1" si="51"/>
        <v/>
      </c>
      <c r="R508" s="1027" t="str">
        <f t="shared" ca="1" si="52"/>
        <v/>
      </c>
      <c r="S508" s="1006" t="str">
        <f ca="1"/>
        <v/>
      </c>
      <c r="T508" s="1006" t="str">
        <f ca="1"/>
        <v/>
      </c>
      <c r="U508" s="1006" t="str">
        <f ca="1"/>
        <v/>
      </c>
      <c r="V508" s="1016" t="str">
        <f ca="1"/>
        <v/>
      </c>
      <c r="W508" s="1019" t="str">
        <f ca="1"/>
        <v/>
      </c>
      <c r="X508" s="1006" t="str">
        <f ca="1"/>
        <v/>
      </c>
      <c r="Y508" s="864" t="str">
        <f t="shared" ca="1" si="48"/>
        <v/>
      </c>
      <c r="AA508" s="828">
        <v>490</v>
      </c>
      <c r="AB508" s="750"/>
      <c r="AC508" s="842"/>
      <c r="AD508" s="830"/>
      <c r="AE508" s="839"/>
      <c r="AF508" s="839"/>
      <c r="AG508" s="750"/>
      <c r="AH508" s="840"/>
      <c r="AI508" s="839"/>
      <c r="AJ508" s="841"/>
      <c r="AK508" s="108" t="s">
        <v>12</v>
      </c>
      <c r="AL508" s="847">
        <v>490</v>
      </c>
      <c r="AM508" s="857"/>
      <c r="AN508" s="842"/>
      <c r="AO508" s="839"/>
      <c r="AP508" s="839"/>
      <c r="AQ508" s="839"/>
      <c r="AR508" s="750"/>
      <c r="AS508" s="840"/>
      <c r="AT508" s="839"/>
      <c r="AU508" s="856"/>
      <c r="AV508" s="108" t="s">
        <v>12</v>
      </c>
    </row>
    <row r="509" spans="4:48">
      <c r="D509" s="108" t="s">
        <v>12</v>
      </c>
      <c r="E509" s="742">
        <v>491</v>
      </c>
      <c r="F509" s="1016" t="str">
        <f t="shared" ca="1" si="49"/>
        <v/>
      </c>
      <c r="G509" s="1027" t="str">
        <f t="shared" ca="1" si="50"/>
        <v/>
      </c>
      <c r="H509" s="1043" t="str">
        <f ca="1"/>
        <v/>
      </c>
      <c r="I509" s="1006" t="str">
        <f ca="1"/>
        <v/>
      </c>
      <c r="J509" s="1006" t="str">
        <f ca="1"/>
        <v/>
      </c>
      <c r="K509" s="1016" t="str">
        <f ca="1"/>
        <v/>
      </c>
      <c r="L509" s="1019" t="str">
        <f ca="1"/>
        <v/>
      </c>
      <c r="M509" s="1006" t="str">
        <f ca="1"/>
        <v/>
      </c>
      <c r="N509" s="1060" t="str">
        <f t="shared" ca="1" si="47"/>
        <v/>
      </c>
      <c r="O509" s="996"/>
      <c r="P509" s="742">
        <v>491</v>
      </c>
      <c r="Q509" s="1016" t="str">
        <f t="shared" ca="1" si="51"/>
        <v/>
      </c>
      <c r="R509" s="1027" t="str">
        <f t="shared" ca="1" si="52"/>
        <v/>
      </c>
      <c r="S509" s="1006" t="str">
        <f ca="1"/>
        <v/>
      </c>
      <c r="T509" s="1006" t="str">
        <f ca="1"/>
        <v/>
      </c>
      <c r="U509" s="1006" t="str">
        <f ca="1"/>
        <v/>
      </c>
      <c r="V509" s="1016" t="str">
        <f ca="1"/>
        <v/>
      </c>
      <c r="W509" s="1019" t="str">
        <f ca="1"/>
        <v/>
      </c>
      <c r="X509" s="1006" t="str">
        <f ca="1"/>
        <v/>
      </c>
      <c r="Y509" s="864" t="str">
        <f t="shared" ca="1" si="48"/>
        <v/>
      </c>
      <c r="AA509" s="828">
        <v>491</v>
      </c>
      <c r="AB509" s="750"/>
      <c r="AC509" s="842"/>
      <c r="AD509" s="830"/>
      <c r="AE509" s="839"/>
      <c r="AF509" s="839"/>
      <c r="AG509" s="750"/>
      <c r="AH509" s="840"/>
      <c r="AI509" s="839"/>
      <c r="AJ509" s="841"/>
      <c r="AK509" s="108" t="s">
        <v>12</v>
      </c>
      <c r="AL509" s="847">
        <v>491</v>
      </c>
      <c r="AM509" s="857"/>
      <c r="AN509" s="842"/>
      <c r="AO509" s="839"/>
      <c r="AP509" s="839"/>
      <c r="AQ509" s="839"/>
      <c r="AR509" s="750"/>
      <c r="AS509" s="840"/>
      <c r="AT509" s="839"/>
      <c r="AU509" s="856"/>
      <c r="AV509" s="108" t="s">
        <v>12</v>
      </c>
    </row>
    <row r="510" spans="4:48">
      <c r="D510" s="108" t="s">
        <v>12</v>
      </c>
      <c r="E510" s="742">
        <v>492</v>
      </c>
      <c r="F510" s="1016" t="str">
        <f t="shared" ca="1" si="49"/>
        <v/>
      </c>
      <c r="G510" s="1027" t="str">
        <f t="shared" ca="1" si="50"/>
        <v/>
      </c>
      <c r="H510" s="1043" t="str">
        <f ca="1"/>
        <v/>
      </c>
      <c r="I510" s="1006" t="str">
        <f ca="1"/>
        <v/>
      </c>
      <c r="J510" s="1006" t="str">
        <f ca="1"/>
        <v/>
      </c>
      <c r="K510" s="1016" t="str">
        <f ca="1"/>
        <v/>
      </c>
      <c r="L510" s="1019" t="str">
        <f ca="1"/>
        <v/>
      </c>
      <c r="M510" s="1006" t="str">
        <f ca="1"/>
        <v/>
      </c>
      <c r="N510" s="1060" t="str">
        <f t="shared" ca="1" si="47"/>
        <v/>
      </c>
      <c r="O510" s="996"/>
      <c r="P510" s="742">
        <v>492</v>
      </c>
      <c r="Q510" s="1016" t="str">
        <f t="shared" ca="1" si="51"/>
        <v/>
      </c>
      <c r="R510" s="1027" t="str">
        <f t="shared" ca="1" si="52"/>
        <v/>
      </c>
      <c r="S510" s="1006" t="str">
        <f ca="1"/>
        <v/>
      </c>
      <c r="T510" s="1006" t="str">
        <f ca="1"/>
        <v/>
      </c>
      <c r="U510" s="1006" t="str">
        <f ca="1"/>
        <v/>
      </c>
      <c r="V510" s="1016" t="str">
        <f ca="1"/>
        <v/>
      </c>
      <c r="W510" s="1019" t="str">
        <f ca="1"/>
        <v/>
      </c>
      <c r="X510" s="1006" t="str">
        <f ca="1"/>
        <v/>
      </c>
      <c r="Y510" s="864" t="str">
        <f t="shared" ca="1" si="48"/>
        <v/>
      </c>
      <c r="AA510" s="828">
        <v>492</v>
      </c>
      <c r="AB510" s="750"/>
      <c r="AC510" s="842"/>
      <c r="AD510" s="830"/>
      <c r="AE510" s="839"/>
      <c r="AF510" s="839"/>
      <c r="AG510" s="750"/>
      <c r="AH510" s="840"/>
      <c r="AI510" s="839"/>
      <c r="AJ510" s="841"/>
      <c r="AK510" s="108" t="s">
        <v>12</v>
      </c>
      <c r="AL510" s="847">
        <v>492</v>
      </c>
      <c r="AM510" s="857"/>
      <c r="AN510" s="842"/>
      <c r="AO510" s="839"/>
      <c r="AP510" s="839"/>
      <c r="AQ510" s="839"/>
      <c r="AR510" s="750"/>
      <c r="AS510" s="840"/>
      <c r="AT510" s="839"/>
      <c r="AU510" s="856"/>
      <c r="AV510" s="108" t="s">
        <v>12</v>
      </c>
    </row>
    <row r="511" spans="4:48">
      <c r="D511" s="108" t="s">
        <v>12</v>
      </c>
      <c r="E511" s="742">
        <v>493</v>
      </c>
      <c r="F511" s="1016" t="str">
        <f t="shared" ca="1" si="49"/>
        <v/>
      </c>
      <c r="G511" s="1027" t="str">
        <f t="shared" ca="1" si="50"/>
        <v/>
      </c>
      <c r="H511" s="1043" t="str">
        <f ca="1"/>
        <v/>
      </c>
      <c r="I511" s="1006" t="str">
        <f ca="1"/>
        <v/>
      </c>
      <c r="J511" s="1006" t="str">
        <f ca="1"/>
        <v/>
      </c>
      <c r="K511" s="1016" t="str">
        <f ca="1"/>
        <v/>
      </c>
      <c r="L511" s="1019" t="str">
        <f ca="1"/>
        <v/>
      </c>
      <c r="M511" s="1006" t="str">
        <f ca="1"/>
        <v/>
      </c>
      <c r="N511" s="1060" t="str">
        <f t="shared" ca="1" si="47"/>
        <v/>
      </c>
      <c r="O511" s="996"/>
      <c r="P511" s="742">
        <v>493</v>
      </c>
      <c r="Q511" s="1016" t="str">
        <f t="shared" ca="1" si="51"/>
        <v/>
      </c>
      <c r="R511" s="1027" t="str">
        <f t="shared" ca="1" si="52"/>
        <v/>
      </c>
      <c r="S511" s="1006" t="str">
        <f ca="1"/>
        <v/>
      </c>
      <c r="T511" s="1006" t="str">
        <f ca="1"/>
        <v/>
      </c>
      <c r="U511" s="1006" t="str">
        <f ca="1"/>
        <v/>
      </c>
      <c r="V511" s="1016" t="str">
        <f ca="1"/>
        <v/>
      </c>
      <c r="W511" s="1019" t="str">
        <f ca="1"/>
        <v/>
      </c>
      <c r="X511" s="1006" t="str">
        <f ca="1"/>
        <v/>
      </c>
      <c r="Y511" s="864" t="str">
        <f t="shared" ca="1" si="48"/>
        <v/>
      </c>
      <c r="AA511" s="828">
        <v>493</v>
      </c>
      <c r="AB511" s="750"/>
      <c r="AC511" s="842"/>
      <c r="AD511" s="830"/>
      <c r="AE511" s="839"/>
      <c r="AF511" s="839"/>
      <c r="AG511" s="750"/>
      <c r="AH511" s="840"/>
      <c r="AI511" s="839"/>
      <c r="AJ511" s="841"/>
      <c r="AK511" s="108" t="s">
        <v>12</v>
      </c>
      <c r="AL511" s="847">
        <v>493</v>
      </c>
      <c r="AM511" s="857"/>
      <c r="AN511" s="842"/>
      <c r="AO511" s="839"/>
      <c r="AP511" s="839"/>
      <c r="AQ511" s="839"/>
      <c r="AR511" s="750"/>
      <c r="AS511" s="840"/>
      <c r="AT511" s="839"/>
      <c r="AU511" s="856"/>
      <c r="AV511" s="108" t="s">
        <v>12</v>
      </c>
    </row>
    <row r="512" spans="4:48">
      <c r="D512" s="108" t="s">
        <v>12</v>
      </c>
      <c r="E512" s="742">
        <v>494</v>
      </c>
      <c r="F512" s="1016" t="str">
        <f t="shared" ca="1" si="49"/>
        <v/>
      </c>
      <c r="G512" s="1027" t="str">
        <f t="shared" ca="1" si="50"/>
        <v/>
      </c>
      <c r="H512" s="1043" t="str">
        <f ca="1"/>
        <v/>
      </c>
      <c r="I512" s="1006" t="str">
        <f ca="1"/>
        <v/>
      </c>
      <c r="J512" s="1006" t="str">
        <f ca="1"/>
        <v/>
      </c>
      <c r="K512" s="1016" t="str">
        <f ca="1"/>
        <v/>
      </c>
      <c r="L512" s="1019" t="str">
        <f ca="1"/>
        <v/>
      </c>
      <c r="M512" s="1006" t="str">
        <f ca="1"/>
        <v/>
      </c>
      <c r="N512" s="1060" t="str">
        <f t="shared" ca="1" si="47"/>
        <v/>
      </c>
      <c r="O512" s="996"/>
      <c r="P512" s="742">
        <v>494</v>
      </c>
      <c r="Q512" s="1016" t="str">
        <f t="shared" ca="1" si="51"/>
        <v/>
      </c>
      <c r="R512" s="1027" t="str">
        <f t="shared" ca="1" si="52"/>
        <v/>
      </c>
      <c r="S512" s="1006" t="str">
        <f ca="1"/>
        <v/>
      </c>
      <c r="T512" s="1006" t="str">
        <f ca="1"/>
        <v/>
      </c>
      <c r="U512" s="1006" t="str">
        <f ca="1"/>
        <v/>
      </c>
      <c r="V512" s="1016" t="str">
        <f ca="1"/>
        <v/>
      </c>
      <c r="W512" s="1019" t="str">
        <f ca="1"/>
        <v/>
      </c>
      <c r="X512" s="1006" t="str">
        <f ca="1"/>
        <v/>
      </c>
      <c r="Y512" s="864" t="str">
        <f t="shared" ca="1" si="48"/>
        <v/>
      </c>
      <c r="AA512" s="828">
        <v>494</v>
      </c>
      <c r="AB512" s="750"/>
      <c r="AC512" s="842"/>
      <c r="AD512" s="830"/>
      <c r="AE512" s="839"/>
      <c r="AF512" s="839"/>
      <c r="AG512" s="750"/>
      <c r="AH512" s="840"/>
      <c r="AI512" s="839"/>
      <c r="AJ512" s="841"/>
      <c r="AK512" s="108" t="s">
        <v>12</v>
      </c>
      <c r="AL512" s="847">
        <v>494</v>
      </c>
      <c r="AM512" s="857"/>
      <c r="AN512" s="842"/>
      <c r="AO512" s="839"/>
      <c r="AP512" s="839"/>
      <c r="AQ512" s="839"/>
      <c r="AR512" s="750"/>
      <c r="AS512" s="840"/>
      <c r="AT512" s="839"/>
      <c r="AU512" s="856"/>
      <c r="AV512" s="108" t="s">
        <v>12</v>
      </c>
    </row>
    <row r="513" spans="4:48">
      <c r="D513" s="108" t="s">
        <v>12</v>
      </c>
      <c r="E513" s="742">
        <v>495</v>
      </c>
      <c r="F513" s="1016" t="str">
        <f t="shared" ca="1" si="49"/>
        <v/>
      </c>
      <c r="G513" s="1027" t="str">
        <f t="shared" ca="1" si="50"/>
        <v/>
      </c>
      <c r="H513" s="1043" t="str">
        <f ca="1"/>
        <v/>
      </c>
      <c r="I513" s="1006" t="str">
        <f ca="1"/>
        <v/>
      </c>
      <c r="J513" s="1006" t="str">
        <f ca="1"/>
        <v/>
      </c>
      <c r="K513" s="1016" t="str">
        <f ca="1"/>
        <v/>
      </c>
      <c r="L513" s="1019" t="str">
        <f ca="1"/>
        <v/>
      </c>
      <c r="M513" s="1006" t="str">
        <f ca="1"/>
        <v/>
      </c>
      <c r="N513" s="1060" t="str">
        <f t="shared" ca="1" si="47"/>
        <v/>
      </c>
      <c r="O513" s="996"/>
      <c r="P513" s="742">
        <v>495</v>
      </c>
      <c r="Q513" s="1016" t="str">
        <f t="shared" ca="1" si="51"/>
        <v/>
      </c>
      <c r="R513" s="1027" t="str">
        <f t="shared" ca="1" si="52"/>
        <v/>
      </c>
      <c r="S513" s="1006" t="str">
        <f ca="1"/>
        <v/>
      </c>
      <c r="T513" s="1006" t="str">
        <f ca="1"/>
        <v/>
      </c>
      <c r="U513" s="1006" t="str">
        <f ca="1"/>
        <v/>
      </c>
      <c r="V513" s="1016" t="str">
        <f ca="1"/>
        <v/>
      </c>
      <c r="W513" s="1019" t="str">
        <f ca="1"/>
        <v/>
      </c>
      <c r="X513" s="1006" t="str">
        <f ca="1"/>
        <v/>
      </c>
      <c r="Y513" s="864" t="str">
        <f t="shared" ca="1" si="48"/>
        <v/>
      </c>
      <c r="AA513" s="828">
        <v>495</v>
      </c>
      <c r="AB513" s="750"/>
      <c r="AC513" s="842"/>
      <c r="AD513" s="830"/>
      <c r="AE513" s="839"/>
      <c r="AF513" s="839"/>
      <c r="AG513" s="750"/>
      <c r="AH513" s="840"/>
      <c r="AI513" s="839"/>
      <c r="AJ513" s="841"/>
      <c r="AK513" s="108" t="s">
        <v>12</v>
      </c>
      <c r="AL513" s="847">
        <v>495</v>
      </c>
      <c r="AM513" s="857"/>
      <c r="AN513" s="842"/>
      <c r="AO513" s="839"/>
      <c r="AP513" s="839"/>
      <c r="AQ513" s="839"/>
      <c r="AR513" s="750"/>
      <c r="AS513" s="840"/>
      <c r="AT513" s="839"/>
      <c r="AU513" s="856"/>
      <c r="AV513" s="108" t="s">
        <v>12</v>
      </c>
    </row>
    <row r="514" spans="4:48">
      <c r="D514" s="108" t="s">
        <v>12</v>
      </c>
      <c r="E514" s="742">
        <v>496</v>
      </c>
      <c r="F514" s="1016" t="str">
        <f t="shared" ca="1" si="49"/>
        <v/>
      </c>
      <c r="G514" s="1027" t="str">
        <f t="shared" ca="1" si="50"/>
        <v/>
      </c>
      <c r="H514" s="1043" t="str">
        <f ca="1"/>
        <v/>
      </c>
      <c r="I514" s="1006" t="str">
        <f ca="1"/>
        <v/>
      </c>
      <c r="J514" s="1006" t="str">
        <f ca="1"/>
        <v/>
      </c>
      <c r="K514" s="1016" t="str">
        <f ca="1"/>
        <v/>
      </c>
      <c r="L514" s="1019" t="str">
        <f ca="1"/>
        <v/>
      </c>
      <c r="M514" s="1006" t="str">
        <f ca="1"/>
        <v/>
      </c>
      <c r="N514" s="1060" t="str">
        <f t="shared" ca="1" si="47"/>
        <v/>
      </c>
      <c r="O514" s="996"/>
      <c r="P514" s="742">
        <v>496</v>
      </c>
      <c r="Q514" s="1016" t="str">
        <f t="shared" ca="1" si="51"/>
        <v/>
      </c>
      <c r="R514" s="1027" t="str">
        <f t="shared" ca="1" si="52"/>
        <v/>
      </c>
      <c r="S514" s="1006" t="str">
        <f ca="1"/>
        <v/>
      </c>
      <c r="T514" s="1006" t="str">
        <f ca="1"/>
        <v/>
      </c>
      <c r="U514" s="1006" t="str">
        <f ca="1"/>
        <v/>
      </c>
      <c r="V514" s="1016" t="str">
        <f ca="1"/>
        <v/>
      </c>
      <c r="W514" s="1019" t="str">
        <f ca="1"/>
        <v/>
      </c>
      <c r="X514" s="1006" t="str">
        <f ca="1"/>
        <v/>
      </c>
      <c r="Y514" s="864" t="str">
        <f t="shared" ca="1" si="48"/>
        <v/>
      </c>
      <c r="AA514" s="828">
        <v>496</v>
      </c>
      <c r="AB514" s="750"/>
      <c r="AC514" s="842"/>
      <c r="AD514" s="830"/>
      <c r="AE514" s="839"/>
      <c r="AF514" s="839"/>
      <c r="AG514" s="750"/>
      <c r="AH514" s="840"/>
      <c r="AI514" s="839"/>
      <c r="AJ514" s="841"/>
      <c r="AK514" s="108" t="s">
        <v>12</v>
      </c>
      <c r="AL514" s="847">
        <v>496</v>
      </c>
      <c r="AM514" s="857"/>
      <c r="AN514" s="842"/>
      <c r="AO514" s="839"/>
      <c r="AP514" s="839"/>
      <c r="AQ514" s="839"/>
      <c r="AR514" s="750"/>
      <c r="AS514" s="840"/>
      <c r="AT514" s="839"/>
      <c r="AU514" s="856"/>
      <c r="AV514" s="108" t="s">
        <v>12</v>
      </c>
    </row>
    <row r="515" spans="4:48">
      <c r="D515" s="108" t="s">
        <v>12</v>
      </c>
      <c r="E515" s="742">
        <v>497</v>
      </c>
      <c r="F515" s="1016" t="str">
        <f t="shared" ca="1" si="49"/>
        <v/>
      </c>
      <c r="G515" s="1027" t="str">
        <f t="shared" ca="1" si="50"/>
        <v/>
      </c>
      <c r="H515" s="1043" t="str">
        <f ca="1"/>
        <v/>
      </c>
      <c r="I515" s="1006" t="str">
        <f ca="1"/>
        <v/>
      </c>
      <c r="J515" s="1006" t="str">
        <f ca="1"/>
        <v/>
      </c>
      <c r="K515" s="1016" t="str">
        <f ca="1"/>
        <v/>
      </c>
      <c r="L515" s="1019" t="str">
        <f ca="1"/>
        <v/>
      </c>
      <c r="M515" s="1006" t="str">
        <f ca="1"/>
        <v/>
      </c>
      <c r="N515" s="1060" t="str">
        <f t="shared" ca="1" si="47"/>
        <v/>
      </c>
      <c r="O515" s="996"/>
      <c r="P515" s="742">
        <v>497</v>
      </c>
      <c r="Q515" s="1016" t="str">
        <f t="shared" ca="1" si="51"/>
        <v/>
      </c>
      <c r="R515" s="1027" t="str">
        <f t="shared" ca="1" si="52"/>
        <v/>
      </c>
      <c r="S515" s="1006" t="str">
        <f ca="1"/>
        <v/>
      </c>
      <c r="T515" s="1006" t="str">
        <f ca="1"/>
        <v/>
      </c>
      <c r="U515" s="1006" t="str">
        <f ca="1"/>
        <v/>
      </c>
      <c r="V515" s="1016" t="str">
        <f ca="1"/>
        <v/>
      </c>
      <c r="W515" s="1019" t="str">
        <f ca="1"/>
        <v/>
      </c>
      <c r="X515" s="1006" t="str">
        <f ca="1"/>
        <v/>
      </c>
      <c r="Y515" s="864" t="str">
        <f t="shared" ca="1" si="48"/>
        <v/>
      </c>
      <c r="AA515" s="828">
        <v>497</v>
      </c>
      <c r="AB515" s="750"/>
      <c r="AC515" s="842"/>
      <c r="AD515" s="830"/>
      <c r="AE515" s="839"/>
      <c r="AF515" s="839"/>
      <c r="AG515" s="750"/>
      <c r="AH515" s="840"/>
      <c r="AI515" s="839"/>
      <c r="AJ515" s="841"/>
      <c r="AK515" s="108" t="s">
        <v>12</v>
      </c>
      <c r="AL515" s="847">
        <v>497</v>
      </c>
      <c r="AM515" s="857"/>
      <c r="AN515" s="842"/>
      <c r="AO515" s="839"/>
      <c r="AP515" s="839"/>
      <c r="AQ515" s="839"/>
      <c r="AR515" s="750"/>
      <c r="AS515" s="840"/>
      <c r="AT515" s="839"/>
      <c r="AU515" s="856"/>
      <c r="AV515" s="108" t="s">
        <v>12</v>
      </c>
    </row>
    <row r="516" spans="4:48">
      <c r="D516" s="108" t="s">
        <v>12</v>
      </c>
      <c r="E516" s="742">
        <v>498</v>
      </c>
      <c r="F516" s="1016" t="str">
        <f t="shared" ca="1" si="49"/>
        <v/>
      </c>
      <c r="G516" s="1027" t="str">
        <f t="shared" ca="1" si="50"/>
        <v/>
      </c>
      <c r="H516" s="1043" t="str">
        <f ca="1"/>
        <v/>
      </c>
      <c r="I516" s="1006" t="str">
        <f ca="1"/>
        <v/>
      </c>
      <c r="J516" s="1006" t="str">
        <f ca="1"/>
        <v/>
      </c>
      <c r="K516" s="1016" t="str">
        <f ca="1"/>
        <v/>
      </c>
      <c r="L516" s="1019" t="str">
        <f ca="1"/>
        <v/>
      </c>
      <c r="M516" s="1006" t="str">
        <f ca="1"/>
        <v/>
      </c>
      <c r="N516" s="1060" t="str">
        <f t="shared" ca="1" si="47"/>
        <v/>
      </c>
      <c r="O516" s="996"/>
      <c r="P516" s="742">
        <v>498</v>
      </c>
      <c r="Q516" s="1016" t="str">
        <f t="shared" ca="1" si="51"/>
        <v/>
      </c>
      <c r="R516" s="1027" t="str">
        <f t="shared" ca="1" si="52"/>
        <v/>
      </c>
      <c r="S516" s="1006" t="str">
        <f ca="1"/>
        <v/>
      </c>
      <c r="T516" s="1006" t="str">
        <f ca="1"/>
        <v/>
      </c>
      <c r="U516" s="1006" t="str">
        <f ca="1"/>
        <v/>
      </c>
      <c r="V516" s="1016" t="str">
        <f ca="1"/>
        <v/>
      </c>
      <c r="W516" s="1019" t="str">
        <f ca="1"/>
        <v/>
      </c>
      <c r="X516" s="1006" t="str">
        <f ca="1"/>
        <v/>
      </c>
      <c r="Y516" s="864" t="str">
        <f t="shared" ca="1" si="48"/>
        <v/>
      </c>
      <c r="AA516" s="828">
        <v>498</v>
      </c>
      <c r="AB516" s="750"/>
      <c r="AC516" s="842"/>
      <c r="AD516" s="830"/>
      <c r="AE516" s="839"/>
      <c r="AF516" s="839"/>
      <c r="AG516" s="750"/>
      <c r="AH516" s="840"/>
      <c r="AI516" s="839"/>
      <c r="AJ516" s="841"/>
      <c r="AK516" s="108" t="s">
        <v>12</v>
      </c>
      <c r="AL516" s="847">
        <v>498</v>
      </c>
      <c r="AM516" s="857"/>
      <c r="AN516" s="842"/>
      <c r="AO516" s="839"/>
      <c r="AP516" s="839"/>
      <c r="AQ516" s="839"/>
      <c r="AR516" s="750"/>
      <c r="AS516" s="840"/>
      <c r="AT516" s="839"/>
      <c r="AU516" s="856"/>
      <c r="AV516" s="108" t="s">
        <v>12</v>
      </c>
    </row>
    <row r="517" spans="4:48">
      <c r="D517" s="108" t="s">
        <v>12</v>
      </c>
      <c r="E517" s="742">
        <v>499</v>
      </c>
      <c r="F517" s="1016" t="str">
        <f t="shared" ca="1" si="49"/>
        <v/>
      </c>
      <c r="G517" s="1027" t="str">
        <f t="shared" ca="1" si="50"/>
        <v/>
      </c>
      <c r="H517" s="1043" t="str">
        <f ca="1"/>
        <v/>
      </c>
      <c r="I517" s="1006" t="str">
        <f ca="1"/>
        <v/>
      </c>
      <c r="J517" s="1006" t="str">
        <f ca="1"/>
        <v/>
      </c>
      <c r="K517" s="1016" t="str">
        <f ca="1"/>
        <v/>
      </c>
      <c r="L517" s="1019" t="str">
        <f ca="1"/>
        <v/>
      </c>
      <c r="M517" s="1006" t="str">
        <f ca="1"/>
        <v/>
      </c>
      <c r="N517" s="1060" t="str">
        <f t="shared" ca="1" si="47"/>
        <v/>
      </c>
      <c r="O517" s="996"/>
      <c r="P517" s="742">
        <v>499</v>
      </c>
      <c r="Q517" s="1016" t="str">
        <f t="shared" ca="1" si="51"/>
        <v/>
      </c>
      <c r="R517" s="1027" t="str">
        <f t="shared" ca="1" si="52"/>
        <v/>
      </c>
      <c r="S517" s="1006" t="str">
        <f ca="1"/>
        <v/>
      </c>
      <c r="T517" s="1006" t="str">
        <f ca="1"/>
        <v/>
      </c>
      <c r="U517" s="1006" t="str">
        <f ca="1"/>
        <v/>
      </c>
      <c r="V517" s="1016" t="str">
        <f ca="1"/>
        <v/>
      </c>
      <c r="W517" s="1019" t="str">
        <f ca="1"/>
        <v/>
      </c>
      <c r="X517" s="1006" t="str">
        <f ca="1"/>
        <v/>
      </c>
      <c r="Y517" s="864" t="str">
        <f t="shared" ca="1" si="48"/>
        <v/>
      </c>
      <c r="AA517" s="828">
        <v>499</v>
      </c>
      <c r="AB517" s="750"/>
      <c r="AC517" s="842"/>
      <c r="AD517" s="830"/>
      <c r="AE517" s="839"/>
      <c r="AF517" s="839"/>
      <c r="AG517" s="750"/>
      <c r="AH517" s="840"/>
      <c r="AI517" s="839"/>
      <c r="AJ517" s="841"/>
      <c r="AK517" s="108" t="s">
        <v>12</v>
      </c>
      <c r="AL517" s="847">
        <v>499</v>
      </c>
      <c r="AM517" s="857"/>
      <c r="AN517" s="842"/>
      <c r="AO517" s="839"/>
      <c r="AP517" s="839"/>
      <c r="AQ517" s="839"/>
      <c r="AR517" s="750"/>
      <c r="AS517" s="840"/>
      <c r="AT517" s="839"/>
      <c r="AU517" s="856"/>
      <c r="AV517" s="108" t="s">
        <v>12</v>
      </c>
    </row>
    <row r="518" spans="4:48">
      <c r="D518" s="108" t="s">
        <v>12</v>
      </c>
      <c r="E518" s="751">
        <v>500</v>
      </c>
      <c r="F518" s="1061" t="str">
        <f t="shared" ca="1" si="49"/>
        <v/>
      </c>
      <c r="G518" s="825" t="str">
        <f t="shared" ca="1" si="50"/>
        <v/>
      </c>
      <c r="H518" s="1062" t="str">
        <f ca="1"/>
        <v/>
      </c>
      <c r="I518" s="1063" t="str">
        <f ca="1"/>
        <v/>
      </c>
      <c r="J518" s="1063" t="str">
        <f ca="1"/>
        <v/>
      </c>
      <c r="K518" s="1061" t="str">
        <f ca="1"/>
        <v/>
      </c>
      <c r="L518" s="1064" t="str">
        <f ca="1"/>
        <v/>
      </c>
      <c r="M518" s="1063" t="str">
        <f ca="1"/>
        <v/>
      </c>
      <c r="N518" s="1065" t="str">
        <f t="shared" ca="1" si="47"/>
        <v/>
      </c>
      <c r="O518" s="996"/>
      <c r="P518" s="751">
        <v>500</v>
      </c>
      <c r="Q518" s="1061" t="str">
        <f t="shared" ca="1" si="51"/>
        <v/>
      </c>
      <c r="R518" s="825" t="str">
        <f t="shared" ca="1" si="52"/>
        <v/>
      </c>
      <c r="S518" s="1063" t="str">
        <f ca="1"/>
        <v/>
      </c>
      <c r="T518" s="1063" t="str">
        <f ca="1"/>
        <v/>
      </c>
      <c r="U518" s="1063" t="str">
        <f ca="1"/>
        <v/>
      </c>
      <c r="V518" s="1061" t="str">
        <f ca="1"/>
        <v/>
      </c>
      <c r="W518" s="1064" t="str">
        <f ca="1"/>
        <v/>
      </c>
      <c r="X518" s="1063" t="str">
        <f ca="1"/>
        <v/>
      </c>
      <c r="Y518" s="865" t="str">
        <f t="shared" ca="1" si="48"/>
        <v/>
      </c>
      <c r="AA518" s="828">
        <v>500</v>
      </c>
      <c r="AB518" s="752"/>
      <c r="AC518" s="843"/>
      <c r="AD518" s="831"/>
      <c r="AE518" s="844"/>
      <c r="AF518" s="844"/>
      <c r="AG518" s="752"/>
      <c r="AH518" s="845"/>
      <c r="AI518" s="844"/>
      <c r="AJ518" s="846"/>
      <c r="AK518" s="108" t="s">
        <v>12</v>
      </c>
      <c r="AL518" s="847">
        <v>500</v>
      </c>
      <c r="AM518" s="858"/>
      <c r="AN518" s="859"/>
      <c r="AO518" s="860"/>
      <c r="AP518" s="860"/>
      <c r="AQ518" s="860"/>
      <c r="AR518" s="861"/>
      <c r="AS518" s="862"/>
      <c r="AT518" s="860"/>
      <c r="AU518" s="863"/>
      <c r="AV518" s="108" t="s">
        <v>12</v>
      </c>
    </row>
    <row r="519" spans="4:48">
      <c r="E519" s="1046" t="s">
        <v>12</v>
      </c>
      <c r="F519" s="1046" t="s">
        <v>12</v>
      </c>
      <c r="G519" s="1046" t="s">
        <v>12</v>
      </c>
      <c r="H519" s="1046" t="s">
        <v>12</v>
      </c>
      <c r="I519" s="1046" t="s">
        <v>12</v>
      </c>
      <c r="J519" s="1046" t="s">
        <v>12</v>
      </c>
      <c r="K519" s="1046" t="s">
        <v>12</v>
      </c>
      <c r="L519" s="1046" t="s">
        <v>12</v>
      </c>
      <c r="M519" s="1046" t="s">
        <v>12</v>
      </c>
      <c r="N519" s="1046" t="s">
        <v>12</v>
      </c>
      <c r="O519" s="996"/>
      <c r="P519" s="1046" t="s">
        <v>12</v>
      </c>
      <c r="Q519" s="1046" t="s">
        <v>12</v>
      </c>
      <c r="R519" s="1046" t="s">
        <v>12</v>
      </c>
      <c r="S519" s="1046" t="s">
        <v>12</v>
      </c>
      <c r="T519" s="1046" t="s">
        <v>12</v>
      </c>
      <c r="U519" s="1046" t="s">
        <v>12</v>
      </c>
      <c r="V519" s="1046" t="s">
        <v>12</v>
      </c>
      <c r="W519" s="1046" t="s">
        <v>12</v>
      </c>
      <c r="X519" s="1046" t="s">
        <v>12</v>
      </c>
      <c r="Y519" s="1046" t="s">
        <v>12</v>
      </c>
      <c r="AA519" s="741" t="s">
        <v>12</v>
      </c>
      <c r="AB519" s="741" t="s">
        <v>12</v>
      </c>
      <c r="AC519" s="741" t="s">
        <v>12</v>
      </c>
      <c r="AD519" s="741" t="s">
        <v>12</v>
      </c>
      <c r="AE519" s="741" t="s">
        <v>12</v>
      </c>
      <c r="AF519" s="741" t="s">
        <v>12</v>
      </c>
      <c r="AG519" s="741" t="s">
        <v>12</v>
      </c>
      <c r="AH519" s="741" t="s">
        <v>12</v>
      </c>
      <c r="AI519" s="741" t="s">
        <v>12</v>
      </c>
      <c r="AJ519" s="762" t="s">
        <v>12</v>
      </c>
      <c r="AL519" s="741" t="s">
        <v>12</v>
      </c>
      <c r="AM519" s="741" t="s">
        <v>12</v>
      </c>
      <c r="AN519" s="741" t="s">
        <v>12</v>
      </c>
      <c r="AO519" s="741" t="s">
        <v>12</v>
      </c>
      <c r="AP519" s="741" t="s">
        <v>12</v>
      </c>
      <c r="AQ519" s="741" t="s">
        <v>12</v>
      </c>
      <c r="AR519" s="741" t="s">
        <v>12</v>
      </c>
      <c r="AS519" s="741" t="s">
        <v>12</v>
      </c>
      <c r="AT519" s="741" t="s">
        <v>12</v>
      </c>
      <c r="AU519" s="741" t="s">
        <v>12</v>
      </c>
      <c r="AV519" s="203" t="s">
        <v>12</v>
      </c>
    </row>
    <row r="520" spans="4:48">
      <c r="AA520" s="741"/>
      <c r="AL520" s="741"/>
    </row>
    <row r="521" spans="4:48">
      <c r="AA521" s="741"/>
      <c r="AL521" s="741"/>
    </row>
    <row r="522" spans="4:48">
      <c r="AA522" s="741"/>
      <c r="AL522" s="741"/>
    </row>
  </sheetData>
  <dataValidations count="9">
    <dataValidation type="list" allowBlank="1" showInputMessage="1" showErrorMessage="1" sqref="C42 C22">
      <formula1>"ACT/365,ACT/365_ISDA,ACT/360,30/360,30E/360,ACT/365FJ"</formula1>
    </dataValidation>
    <dataValidation type="list" allowBlank="1" showInputMessage="1" showErrorMessage="1" sqref="C53 C33">
      <formula1>"ADVANCE,ARREARS"</formula1>
    </dataValidation>
    <dataValidation type="list" allowBlank="1" showInputMessage="1" showErrorMessage="1" sqref="C44 C50 C47 C24 C30 C27">
      <formula1>"FOLLOWING,MOD_FOLLOWING,PRECEDING,MOD_PRECEDING,NO_CHANGE"</formula1>
    </dataValidation>
    <dataValidation type="list" allowBlank="1" showInputMessage="1" showErrorMessage="1" sqref="C46 C43 C26 C23">
      <formula1>"Annual,Semi-Annual,Quarterly,Monthly,Weekly"</formula1>
    </dataValidation>
    <dataValidation type="list" allowBlank="1" showInputMessage="1" showErrorMessage="1" sqref="C37 C57">
      <formula1>"ShortStart,ShortEnd,LongStart,LongEnd,"</formula1>
    </dataValidation>
    <dataValidation type="list" allowBlank="1" showInputMessage="1" showErrorMessage="1" sqref="C36 C56">
      <formula1>"IMM,EOM,1,2,3,4,5,6,7,8,9,10,11,12,13,14,15,16,17,18,19,20,21,22,23,24,25,26,27,28,29,30,31"</formula1>
    </dataValidation>
    <dataValidation type="whole" operator="greaterThanOrEqual" allowBlank="1" showInputMessage="1" showErrorMessage="1" sqref="AC15 AN15">
      <formula1>0</formula1>
    </dataValidation>
    <dataValidation type="list" allowBlank="1" showInputMessage="1" showErrorMessage="1" sqref="C13 AU9 AJ9">
      <formula1>"PAY,RECEIVE"</formula1>
    </dataValidation>
    <dataValidation type="list" allowBlank="1" showInputMessage="1" showErrorMessage="1" sqref="C14 AU10 AJ10">
      <formula1>"NONE,START,END,START_AND_END"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79998168889431442"/>
  </sheetPr>
  <dimension ref="B1:AH101"/>
  <sheetViews>
    <sheetView showGridLines="0" workbookViewId="0"/>
  </sheetViews>
  <sheetFormatPr defaultRowHeight="15" outlineLevelCol="1"/>
  <cols>
    <col min="1" max="1" width="4.7109375" customWidth="1"/>
    <col min="2" max="2" width="32.85546875" bestFit="1" customWidth="1"/>
    <col min="3" max="3" width="24.28515625" customWidth="1"/>
    <col min="4" max="4" width="4.7109375" customWidth="1"/>
    <col min="5" max="5" width="18.85546875" style="995" customWidth="1" outlineLevel="1"/>
    <col min="6" max="6" width="15.140625" style="995" customWidth="1" outlineLevel="1"/>
    <col min="7" max="7" width="11.7109375" style="995" customWidth="1" outlineLevel="1"/>
    <col min="8" max="8" width="19.7109375" style="995" customWidth="1" outlineLevel="1"/>
    <col min="9" max="9" width="15.140625" style="995" customWidth="1" outlineLevel="1"/>
    <col min="10" max="10" width="12.7109375" style="995" customWidth="1" outlineLevel="1"/>
    <col min="11" max="11" width="17.28515625" style="345" bestFit="1" customWidth="1" outlineLevel="1"/>
    <col min="12" max="13" width="10" style="995" customWidth="1" outlineLevel="1"/>
    <col min="14" max="14" width="14.42578125" style="995" customWidth="1" outlineLevel="1"/>
    <col min="15" max="15" width="11.7109375" style="995" customWidth="1" outlineLevel="1"/>
    <col min="16" max="16" width="14.28515625" style="995" bestFit="1" customWidth="1" outlineLevel="1"/>
    <col min="17" max="17" width="13.140625" style="995" customWidth="1" outlineLevel="1"/>
    <col min="18" max="18" width="26.140625" style="995" bestFit="1" customWidth="1"/>
    <col min="19" max="19" width="18.5703125" style="995" customWidth="1" outlineLevel="1"/>
    <col min="20" max="21" width="15.28515625" style="995" customWidth="1" outlineLevel="1"/>
    <col min="22" max="22" width="11.5703125" style="995" bestFit="1" customWidth="1" outlineLevel="1"/>
    <col min="23" max="23" width="19.7109375" style="995" customWidth="1" outlineLevel="1"/>
    <col min="24" max="24" width="16" style="995" customWidth="1" outlineLevel="1"/>
    <col min="25" max="25" width="17.28515625" style="995" bestFit="1" customWidth="1" outlineLevel="1"/>
    <col min="26" max="26" width="17.28515625" style="345" bestFit="1" customWidth="1" outlineLevel="1"/>
    <col min="27" max="27" width="11.7109375" style="995" customWidth="1" outlineLevel="1"/>
    <col min="28" max="28" width="13.140625" style="995" customWidth="1" outlineLevel="1"/>
    <col min="29" max="29" width="12.5703125" style="995" customWidth="1" outlineLevel="1"/>
    <col min="30" max="30" width="14.42578125" style="995" customWidth="1" outlineLevel="1"/>
    <col min="31" max="31" width="14.28515625" style="345" bestFit="1" customWidth="1" outlineLevel="1"/>
    <col min="32" max="32" width="14.28515625" style="1110" bestFit="1" customWidth="1" outlineLevel="1"/>
    <col min="33" max="33" width="12.5703125" style="1110" customWidth="1" outlineLevel="1"/>
    <col min="34" max="34" width="25.7109375" style="995" bestFit="1" customWidth="1"/>
  </cols>
  <sheetData>
    <row r="1" spans="2:34">
      <c r="R1" s="1114" t="s">
        <v>2068</v>
      </c>
      <c r="AH1" s="1114" t="s">
        <v>2067</v>
      </c>
    </row>
    <row r="2" spans="2:34">
      <c r="B2" t="s">
        <v>2061</v>
      </c>
      <c r="E2" s="867"/>
      <c r="R2" s="1114"/>
      <c r="AH2" s="1114"/>
    </row>
    <row r="3" spans="2:34">
      <c r="B3" s="771" t="s">
        <v>2059</v>
      </c>
      <c r="C3" s="772" t="s">
        <v>2106</v>
      </c>
      <c r="D3" t="s">
        <v>12</v>
      </c>
      <c r="E3" s="1084" t="str">
        <f t="array" aca="1" ref="E3:Q100" ca="1">_xll.meUtilityResize(_xll.meLWOSwapDisplayCashflows(VNS,$C$15,$C$14),120,50)</f>
        <v>[2018/05/04 09:52] #Error: Invalid Curve: CurveCollection 'JPYYC' does not exist</v>
      </c>
      <c r="F3" s="1032" t="str">
        <f ca="1"/>
        <v/>
      </c>
      <c r="G3" s="1013" t="str">
        <f ca="1"/>
        <v/>
      </c>
      <c r="H3" s="1037" t="str">
        <f ca="1"/>
        <v/>
      </c>
      <c r="I3" s="1013" t="str">
        <f ca="1"/>
        <v/>
      </c>
      <c r="J3" s="1033" t="str">
        <f ca="1"/>
        <v/>
      </c>
      <c r="K3" s="1033" t="str">
        <f ca="1"/>
        <v/>
      </c>
      <c r="L3" s="1013" t="str">
        <f ca="1"/>
        <v/>
      </c>
      <c r="M3" s="1013" t="str">
        <f ca="1"/>
        <v/>
      </c>
      <c r="N3" s="1013" t="str">
        <f ca="1"/>
        <v/>
      </c>
      <c r="O3" s="1013" t="str">
        <f ca="1"/>
        <v/>
      </c>
      <c r="P3" s="1013" t="str">
        <f ca="1"/>
        <v/>
      </c>
      <c r="Q3" s="1014" t="str">
        <f ca="1"/>
        <v/>
      </c>
      <c r="R3" s="995" t="s">
        <v>12</v>
      </c>
      <c r="S3" s="1038" t="str">
        <f t="array" aca="1" ref="S3:AG100" ca="1">_xll.meUtilityResize(_xll.meLWOSwapDisplayCashflows(VNS,C15,$C$22),100,50)</f>
        <v>[2018/05/04 09:52] #Error: Invalid Curve: CurveCollection 'JPYYC' does not exist</v>
      </c>
      <c r="T3" s="1013" t="str">
        <f ca="1"/>
        <v/>
      </c>
      <c r="U3" s="1032" t="str">
        <f ca="1"/>
        <v/>
      </c>
      <c r="V3" s="1033" t="str">
        <f ca="1"/>
        <v/>
      </c>
      <c r="W3" s="1037" t="str">
        <f ca="1"/>
        <v/>
      </c>
      <c r="X3" s="1032" t="str">
        <f ca="1"/>
        <v/>
      </c>
      <c r="Y3" s="1054" t="str">
        <f ca="1"/>
        <v/>
      </c>
      <c r="Z3" s="1033" t="str">
        <f ca="1"/>
        <v/>
      </c>
      <c r="AA3" s="1054" t="str">
        <f ca="1"/>
        <v/>
      </c>
      <c r="AB3" s="1113" t="str">
        <f ca="1"/>
        <v/>
      </c>
      <c r="AC3" s="1013" t="str">
        <f ca="1"/>
        <v/>
      </c>
      <c r="AD3" s="1013" t="str">
        <f ca="1"/>
        <v/>
      </c>
      <c r="AE3" s="1033" t="str">
        <f ca="1"/>
        <v/>
      </c>
      <c r="AF3" s="1111" t="str">
        <f ca="1"/>
        <v/>
      </c>
      <c r="AG3" s="1112" t="str">
        <f ca="1"/>
        <v/>
      </c>
      <c r="AH3" s="995" t="s">
        <v>12</v>
      </c>
    </row>
    <row r="4" spans="2:34">
      <c r="B4" s="773" t="s">
        <v>2000</v>
      </c>
      <c r="C4" s="794" t="str">
        <f ca="1">_xll.meLWOVariableNotionalSwapCreate(C3,C13,C21,B14:C17,B22:C28,FALSE)</f>
        <v>JPY_VNS@11:0</v>
      </c>
      <c r="E4" s="1015" t="str">
        <f ca="1"/>
        <v/>
      </c>
      <c r="F4" s="1006" t="str">
        <f ca="1"/>
        <v/>
      </c>
      <c r="G4" s="1004" t="str">
        <f ca="1"/>
        <v/>
      </c>
      <c r="H4" s="1017" t="str">
        <f ca="1"/>
        <v/>
      </c>
      <c r="I4" s="1006" t="str">
        <f ca="1"/>
        <v/>
      </c>
      <c r="J4" s="1016" t="str">
        <f ca="1"/>
        <v/>
      </c>
      <c r="K4" s="1016" t="str">
        <f ca="1"/>
        <v/>
      </c>
      <c r="L4" s="1004" t="str">
        <f ca="1"/>
        <v/>
      </c>
      <c r="M4" s="1004" t="str">
        <f ca="1"/>
        <v/>
      </c>
      <c r="N4" s="1004" t="str">
        <f ca="1"/>
        <v/>
      </c>
      <c r="O4" s="1004" t="str">
        <f ca="1"/>
        <v/>
      </c>
      <c r="P4" s="1019" t="str">
        <f ca="1"/>
        <v/>
      </c>
      <c r="Q4" s="1020" t="str">
        <f ca="1"/>
        <v/>
      </c>
      <c r="R4" s="995" t="s">
        <v>12</v>
      </c>
      <c r="S4" s="1015" t="str">
        <f ca="1"/>
        <v/>
      </c>
      <c r="T4" s="1006" t="str">
        <f ca="1"/>
        <v/>
      </c>
      <c r="U4" s="1006" t="str">
        <f ca="1"/>
        <v/>
      </c>
      <c r="V4" s="1016" t="str">
        <f ca="1"/>
        <v/>
      </c>
      <c r="W4" s="1017" t="str">
        <f ca="1"/>
        <v/>
      </c>
      <c r="X4" s="1006" t="str">
        <f ca="1"/>
        <v/>
      </c>
      <c r="Y4" s="1027" t="str">
        <f ca="1"/>
        <v/>
      </c>
      <c r="Z4" s="1016" t="str">
        <f ca="1"/>
        <v/>
      </c>
      <c r="AA4" s="1027" t="str">
        <f ca="1"/>
        <v/>
      </c>
      <c r="AB4" s="1034" t="str">
        <f ca="1"/>
        <v/>
      </c>
      <c r="AC4" s="1004" t="str">
        <f ca="1"/>
        <v/>
      </c>
      <c r="AD4" s="1004" t="str">
        <f ca="1"/>
        <v/>
      </c>
      <c r="AE4" s="1016" t="str">
        <f ca="1"/>
        <v/>
      </c>
      <c r="AF4" s="1019" t="str">
        <f ca="1"/>
        <v/>
      </c>
      <c r="AG4" s="1028" t="str">
        <f ca="1"/>
        <v/>
      </c>
      <c r="AH4" s="995" t="s">
        <v>12</v>
      </c>
    </row>
    <row r="5" spans="2:34">
      <c r="E5" s="1015" t="str">
        <f ca="1"/>
        <v/>
      </c>
      <c r="F5" s="1006" t="str">
        <f ca="1"/>
        <v/>
      </c>
      <c r="G5" s="1016" t="str">
        <f ca="1"/>
        <v/>
      </c>
      <c r="H5" s="1017" t="str">
        <f ca="1"/>
        <v/>
      </c>
      <c r="I5" s="1006" t="str">
        <f ca="1"/>
        <v/>
      </c>
      <c r="J5" s="1016" t="str">
        <f ca="1"/>
        <v/>
      </c>
      <c r="K5" s="1016" t="str">
        <f ca="1"/>
        <v/>
      </c>
      <c r="L5" s="1027" t="str">
        <f ca="1"/>
        <v/>
      </c>
      <c r="M5" s="1249" t="str">
        <f ca="1"/>
        <v/>
      </c>
      <c r="N5" s="1016" t="str">
        <f ca="1"/>
        <v/>
      </c>
      <c r="O5" s="1019" t="str">
        <f ca="1"/>
        <v/>
      </c>
      <c r="P5" s="1016" t="str">
        <f ca="1"/>
        <v/>
      </c>
      <c r="Q5" s="1028" t="str">
        <f ca="1"/>
        <v/>
      </c>
      <c r="R5" s="995" t="s">
        <v>12</v>
      </c>
      <c r="S5" s="1015" t="str">
        <f ca="1"/>
        <v/>
      </c>
      <c r="T5" s="1006" t="str">
        <f ca="1"/>
        <v/>
      </c>
      <c r="U5" s="1006" t="str">
        <f ca="1"/>
        <v/>
      </c>
      <c r="V5" s="1016" t="str">
        <f ca="1"/>
        <v/>
      </c>
      <c r="W5" s="1017" t="str">
        <f ca="1"/>
        <v/>
      </c>
      <c r="X5" s="1006" t="str">
        <f ca="1"/>
        <v/>
      </c>
      <c r="Y5" s="1016" t="str">
        <f ca="1"/>
        <v/>
      </c>
      <c r="Z5" s="1016" t="str">
        <f ca="1"/>
        <v/>
      </c>
      <c r="AA5" s="1027" t="str">
        <f ca="1"/>
        <v/>
      </c>
      <c r="AB5" s="1034" t="str">
        <f ca="1"/>
        <v/>
      </c>
      <c r="AC5" s="1036" t="str">
        <f ca="1"/>
        <v/>
      </c>
      <c r="AD5" s="1016" t="str">
        <f ca="1"/>
        <v/>
      </c>
      <c r="AE5" s="1019" t="str">
        <f ca="1"/>
        <v/>
      </c>
      <c r="AF5" s="1016" t="str">
        <f ca="1"/>
        <v/>
      </c>
      <c r="AG5" s="1028" t="str">
        <f ca="1"/>
        <v/>
      </c>
      <c r="AH5" s="995" t="s">
        <v>12</v>
      </c>
    </row>
    <row r="6" spans="2:34">
      <c r="B6" t="s">
        <v>2058</v>
      </c>
      <c r="E6" s="1015" t="str">
        <f ca="1"/>
        <v/>
      </c>
      <c r="F6" s="1006" t="str">
        <f ca="1"/>
        <v/>
      </c>
      <c r="G6" s="1016" t="str">
        <f ca="1"/>
        <v/>
      </c>
      <c r="H6" s="1017" t="str">
        <f ca="1"/>
        <v/>
      </c>
      <c r="I6" s="1006" t="str">
        <f ca="1"/>
        <v/>
      </c>
      <c r="J6" s="1016" t="str">
        <f ca="1"/>
        <v/>
      </c>
      <c r="K6" s="1016" t="str">
        <f ca="1"/>
        <v/>
      </c>
      <c r="L6" s="1027" t="str">
        <f ca="1"/>
        <v/>
      </c>
      <c r="M6" s="1249" t="str">
        <f ca="1"/>
        <v/>
      </c>
      <c r="N6" s="1016" t="str">
        <f ca="1"/>
        <v/>
      </c>
      <c r="O6" s="1019" t="str">
        <f ca="1"/>
        <v/>
      </c>
      <c r="P6" s="1016" t="str">
        <f ca="1"/>
        <v/>
      </c>
      <c r="Q6" s="1028" t="str">
        <f ca="1"/>
        <v/>
      </c>
      <c r="R6" s="995" t="s">
        <v>12</v>
      </c>
      <c r="S6" s="1015" t="str">
        <f ca="1"/>
        <v/>
      </c>
      <c r="T6" s="1006" t="str">
        <f ca="1"/>
        <v/>
      </c>
      <c r="U6" s="1006" t="str">
        <f ca="1"/>
        <v/>
      </c>
      <c r="V6" s="1016" t="str">
        <f ca="1"/>
        <v/>
      </c>
      <c r="W6" s="1017" t="str">
        <f ca="1"/>
        <v/>
      </c>
      <c r="X6" s="1006" t="str">
        <f ca="1"/>
        <v/>
      </c>
      <c r="Y6" s="1016" t="str">
        <f ca="1"/>
        <v/>
      </c>
      <c r="Z6" s="1016" t="str">
        <f ca="1"/>
        <v/>
      </c>
      <c r="AA6" s="1027" t="str">
        <f ca="1"/>
        <v/>
      </c>
      <c r="AB6" s="1034" t="str">
        <f ca="1"/>
        <v/>
      </c>
      <c r="AC6" s="1036" t="str">
        <f ca="1"/>
        <v/>
      </c>
      <c r="AD6" s="1016" t="str">
        <f ca="1"/>
        <v/>
      </c>
      <c r="AE6" s="1019" t="str">
        <f ca="1"/>
        <v/>
      </c>
      <c r="AF6" s="1016" t="str">
        <f ca="1"/>
        <v/>
      </c>
      <c r="AG6" s="1028" t="str">
        <f ca="1"/>
        <v/>
      </c>
      <c r="AH6" s="995" t="s">
        <v>12</v>
      </c>
    </row>
    <row r="7" spans="2:34">
      <c r="B7" s="509" t="s">
        <v>1445</v>
      </c>
      <c r="C7" s="795" t="str">
        <f ca="1">_xll.meLWOSwapPV(VNS,C15)</f>
        <v>[2018/05/04 09:52] #Error: Invalid Curve: CurveCollection 'JPYYC' does not exist</v>
      </c>
      <c r="E7" s="1015" t="str">
        <f ca="1"/>
        <v/>
      </c>
      <c r="F7" s="1006" t="str">
        <f ca="1"/>
        <v/>
      </c>
      <c r="G7" s="1016" t="str">
        <f ca="1"/>
        <v/>
      </c>
      <c r="H7" s="1017" t="str">
        <f ca="1"/>
        <v/>
      </c>
      <c r="I7" s="1006" t="str">
        <f ca="1"/>
        <v/>
      </c>
      <c r="J7" s="1016" t="str">
        <f ca="1"/>
        <v/>
      </c>
      <c r="K7" s="1016" t="str">
        <f ca="1"/>
        <v/>
      </c>
      <c r="L7" s="1027" t="str">
        <f ca="1"/>
        <v/>
      </c>
      <c r="M7" s="1249" t="str">
        <f ca="1"/>
        <v/>
      </c>
      <c r="N7" s="1016" t="str">
        <f ca="1"/>
        <v/>
      </c>
      <c r="O7" s="1019" t="str">
        <f ca="1"/>
        <v/>
      </c>
      <c r="P7" s="1016" t="str">
        <f ca="1"/>
        <v/>
      </c>
      <c r="Q7" s="1028" t="str">
        <f ca="1"/>
        <v/>
      </c>
      <c r="R7" s="995" t="s">
        <v>12</v>
      </c>
      <c r="S7" s="1015" t="str">
        <f ca="1"/>
        <v/>
      </c>
      <c r="T7" s="1006" t="str">
        <f ca="1"/>
        <v/>
      </c>
      <c r="U7" s="1006" t="str">
        <f ca="1"/>
        <v/>
      </c>
      <c r="V7" s="1016" t="str">
        <f ca="1"/>
        <v/>
      </c>
      <c r="W7" s="1017" t="str">
        <f ca="1"/>
        <v/>
      </c>
      <c r="X7" s="1006" t="str">
        <f ca="1"/>
        <v/>
      </c>
      <c r="Y7" s="1016" t="str">
        <f ca="1"/>
        <v/>
      </c>
      <c r="Z7" s="1016" t="str">
        <f ca="1"/>
        <v/>
      </c>
      <c r="AA7" s="1027" t="str">
        <f ca="1"/>
        <v/>
      </c>
      <c r="AB7" s="1034" t="str">
        <f ca="1"/>
        <v/>
      </c>
      <c r="AC7" s="1036" t="str">
        <f ca="1"/>
        <v/>
      </c>
      <c r="AD7" s="1016" t="str">
        <f ca="1"/>
        <v/>
      </c>
      <c r="AE7" s="1019" t="str">
        <f ca="1"/>
        <v/>
      </c>
      <c r="AF7" s="1016" t="str">
        <f ca="1"/>
        <v/>
      </c>
      <c r="AG7" s="1028" t="str">
        <f ca="1"/>
        <v/>
      </c>
      <c r="AH7" s="995" t="s">
        <v>12</v>
      </c>
    </row>
    <row r="8" spans="2:34">
      <c r="B8" s="510" t="s">
        <v>1805</v>
      </c>
      <c r="C8" s="796" t="str">
        <f ca="1">_xll.meLWOSwapParRate(VNS,C15)</f>
        <v>[2018/05/04 09:52] #Error: Invalid Curve: CurveCollection 'JPYYC' does not exist</v>
      </c>
      <c r="E8" s="1015" t="str">
        <f ca="1"/>
        <v/>
      </c>
      <c r="F8" s="1006" t="str">
        <f ca="1"/>
        <v/>
      </c>
      <c r="G8" s="1016" t="str">
        <f ca="1"/>
        <v/>
      </c>
      <c r="H8" s="1017" t="str">
        <f ca="1"/>
        <v/>
      </c>
      <c r="I8" s="1006" t="str">
        <f ca="1"/>
        <v/>
      </c>
      <c r="J8" s="1016" t="str">
        <f ca="1"/>
        <v/>
      </c>
      <c r="K8" s="1016" t="str">
        <f ca="1"/>
        <v/>
      </c>
      <c r="L8" s="1027" t="str">
        <f ca="1"/>
        <v/>
      </c>
      <c r="M8" s="1249" t="str">
        <f ca="1"/>
        <v/>
      </c>
      <c r="N8" s="1016" t="str">
        <f ca="1"/>
        <v/>
      </c>
      <c r="O8" s="1019" t="str">
        <f ca="1"/>
        <v/>
      </c>
      <c r="P8" s="1016" t="str">
        <f ca="1"/>
        <v/>
      </c>
      <c r="Q8" s="1028" t="str">
        <f ca="1"/>
        <v/>
      </c>
      <c r="R8" s="995" t="s">
        <v>12</v>
      </c>
      <c r="S8" s="1015" t="str">
        <f ca="1"/>
        <v/>
      </c>
      <c r="T8" s="1006" t="str">
        <f ca="1"/>
        <v/>
      </c>
      <c r="U8" s="1006" t="str">
        <f ca="1"/>
        <v/>
      </c>
      <c r="V8" s="1016" t="str">
        <f ca="1"/>
        <v/>
      </c>
      <c r="W8" s="1017" t="str">
        <f ca="1"/>
        <v/>
      </c>
      <c r="X8" s="1006" t="str">
        <f ca="1"/>
        <v/>
      </c>
      <c r="Y8" s="1016" t="str">
        <f ca="1"/>
        <v/>
      </c>
      <c r="Z8" s="1016" t="str">
        <f ca="1"/>
        <v/>
      </c>
      <c r="AA8" s="1027" t="str">
        <f ca="1"/>
        <v/>
      </c>
      <c r="AB8" s="1034" t="str">
        <f ca="1"/>
        <v/>
      </c>
      <c r="AC8" s="1036" t="str">
        <f ca="1"/>
        <v/>
      </c>
      <c r="AD8" s="1016" t="str">
        <f ca="1"/>
        <v/>
      </c>
      <c r="AE8" s="1019" t="str">
        <f ca="1"/>
        <v/>
      </c>
      <c r="AF8" s="1016" t="str">
        <f ca="1"/>
        <v/>
      </c>
      <c r="AG8" s="1028" t="str">
        <f ca="1"/>
        <v/>
      </c>
      <c r="AH8" s="995" t="s">
        <v>12</v>
      </c>
    </row>
    <row r="9" spans="2:34">
      <c r="B9" s="511" t="s">
        <v>1077</v>
      </c>
      <c r="C9" s="797" t="str">
        <f ca="1">_xll.meLWOSwapPV01(VNS,C15)</f>
        <v>[2018/05/04 09:52] #Error: Invalid Curve: CurveCollection 'JPYYC' does not exist</v>
      </c>
      <c r="E9" s="1015" t="str">
        <f ca="1"/>
        <v/>
      </c>
      <c r="F9" s="1006" t="str">
        <f ca="1"/>
        <v/>
      </c>
      <c r="G9" s="1016" t="str">
        <f ca="1"/>
        <v/>
      </c>
      <c r="H9" s="1017" t="str">
        <f ca="1"/>
        <v/>
      </c>
      <c r="I9" s="1006" t="str">
        <f ca="1"/>
        <v/>
      </c>
      <c r="J9" s="1016" t="str">
        <f ca="1"/>
        <v/>
      </c>
      <c r="K9" s="1016" t="str">
        <f ca="1"/>
        <v/>
      </c>
      <c r="L9" s="1027" t="str">
        <f ca="1"/>
        <v/>
      </c>
      <c r="M9" s="1249" t="str">
        <f ca="1"/>
        <v/>
      </c>
      <c r="N9" s="1016" t="str">
        <f ca="1"/>
        <v/>
      </c>
      <c r="O9" s="1019" t="str">
        <f ca="1"/>
        <v/>
      </c>
      <c r="P9" s="1016" t="str">
        <f ca="1"/>
        <v/>
      </c>
      <c r="Q9" s="1028" t="str">
        <f ca="1"/>
        <v/>
      </c>
      <c r="R9" s="995" t="s">
        <v>12</v>
      </c>
      <c r="S9" s="1015" t="str">
        <f ca="1"/>
        <v/>
      </c>
      <c r="T9" s="1006" t="str">
        <f ca="1"/>
        <v/>
      </c>
      <c r="U9" s="1006" t="str">
        <f ca="1"/>
        <v/>
      </c>
      <c r="V9" s="1016" t="str">
        <f ca="1"/>
        <v/>
      </c>
      <c r="W9" s="1017" t="str">
        <f ca="1"/>
        <v/>
      </c>
      <c r="X9" s="1006" t="str">
        <f ca="1"/>
        <v/>
      </c>
      <c r="Y9" s="1016" t="str">
        <f ca="1"/>
        <v/>
      </c>
      <c r="Z9" s="1016" t="str">
        <f ca="1"/>
        <v/>
      </c>
      <c r="AA9" s="1027" t="str">
        <f ca="1"/>
        <v/>
      </c>
      <c r="AB9" s="1034" t="str">
        <f ca="1"/>
        <v/>
      </c>
      <c r="AC9" s="1036" t="str">
        <f ca="1"/>
        <v/>
      </c>
      <c r="AD9" s="1016" t="str">
        <f ca="1"/>
        <v/>
      </c>
      <c r="AE9" s="1019" t="str">
        <f ca="1"/>
        <v/>
      </c>
      <c r="AF9" s="1016" t="str">
        <f ca="1"/>
        <v/>
      </c>
      <c r="AG9" s="1028" t="str">
        <f ca="1"/>
        <v/>
      </c>
      <c r="AH9" s="995" t="s">
        <v>12</v>
      </c>
    </row>
    <row r="10" spans="2:34">
      <c r="E10" s="1015" t="str">
        <f ca="1"/>
        <v/>
      </c>
      <c r="F10" s="1006" t="str">
        <f ca="1"/>
        <v/>
      </c>
      <c r="G10" s="1016" t="str">
        <f ca="1"/>
        <v/>
      </c>
      <c r="H10" s="1017" t="str">
        <f ca="1"/>
        <v/>
      </c>
      <c r="I10" s="1006" t="str">
        <f ca="1"/>
        <v/>
      </c>
      <c r="J10" s="1016" t="str">
        <f ca="1"/>
        <v/>
      </c>
      <c r="K10" s="1016" t="str">
        <f ca="1"/>
        <v/>
      </c>
      <c r="L10" s="1027" t="str">
        <f ca="1"/>
        <v/>
      </c>
      <c r="M10" s="1249" t="str">
        <f ca="1"/>
        <v/>
      </c>
      <c r="N10" s="1016" t="str">
        <f ca="1"/>
        <v/>
      </c>
      <c r="O10" s="1019" t="str">
        <f ca="1"/>
        <v/>
      </c>
      <c r="P10" s="1016" t="str">
        <f ca="1"/>
        <v/>
      </c>
      <c r="Q10" s="1028" t="str">
        <f ca="1"/>
        <v/>
      </c>
      <c r="R10" s="995" t="s">
        <v>12</v>
      </c>
      <c r="S10" s="1015" t="str">
        <f ca="1"/>
        <v/>
      </c>
      <c r="T10" s="1006" t="str">
        <f ca="1"/>
        <v/>
      </c>
      <c r="U10" s="1006" t="str">
        <f ca="1"/>
        <v/>
      </c>
      <c r="V10" s="1016" t="str">
        <f ca="1"/>
        <v/>
      </c>
      <c r="W10" s="1017" t="str">
        <f ca="1"/>
        <v/>
      </c>
      <c r="X10" s="1006" t="str">
        <f ca="1"/>
        <v/>
      </c>
      <c r="Y10" s="1016" t="str">
        <f ca="1"/>
        <v/>
      </c>
      <c r="Z10" s="1016" t="str">
        <f ca="1"/>
        <v/>
      </c>
      <c r="AA10" s="1027" t="str">
        <f ca="1"/>
        <v/>
      </c>
      <c r="AB10" s="1034" t="str">
        <f ca="1"/>
        <v/>
      </c>
      <c r="AC10" s="1036" t="str">
        <f ca="1"/>
        <v/>
      </c>
      <c r="AD10" s="1016" t="str">
        <f ca="1"/>
        <v/>
      </c>
      <c r="AE10" s="1019" t="str">
        <f ca="1"/>
        <v/>
      </c>
      <c r="AF10" s="1016" t="str">
        <f ca="1"/>
        <v/>
      </c>
      <c r="AG10" s="1028" t="str">
        <f ca="1"/>
        <v/>
      </c>
      <c r="AH10" s="995" t="s">
        <v>12</v>
      </c>
    </row>
    <row r="11" spans="2:34">
      <c r="E11" s="1015" t="str">
        <f ca="1"/>
        <v/>
      </c>
      <c r="F11" s="1006" t="str">
        <f ca="1"/>
        <v/>
      </c>
      <c r="G11" s="1016" t="str">
        <f ca="1"/>
        <v/>
      </c>
      <c r="H11" s="1017" t="str">
        <f ca="1"/>
        <v/>
      </c>
      <c r="I11" s="1006" t="str">
        <f ca="1"/>
        <v/>
      </c>
      <c r="J11" s="1016" t="str">
        <f ca="1"/>
        <v/>
      </c>
      <c r="K11" s="1016" t="str">
        <f ca="1"/>
        <v/>
      </c>
      <c r="L11" s="1027" t="str">
        <f ca="1"/>
        <v/>
      </c>
      <c r="M11" s="1249" t="str">
        <f ca="1"/>
        <v/>
      </c>
      <c r="N11" s="1016" t="str">
        <f ca="1"/>
        <v/>
      </c>
      <c r="O11" s="1019" t="str">
        <f ca="1"/>
        <v/>
      </c>
      <c r="P11" s="1016" t="str">
        <f ca="1"/>
        <v/>
      </c>
      <c r="Q11" s="1028" t="str">
        <f ca="1"/>
        <v/>
      </c>
      <c r="R11" s="995" t="s">
        <v>12</v>
      </c>
      <c r="S11" s="1015" t="str">
        <f ca="1"/>
        <v/>
      </c>
      <c r="T11" s="1006" t="str">
        <f ca="1"/>
        <v/>
      </c>
      <c r="U11" s="1006" t="str">
        <f ca="1"/>
        <v/>
      </c>
      <c r="V11" s="1016" t="str">
        <f ca="1"/>
        <v/>
      </c>
      <c r="W11" s="1017" t="str">
        <f ca="1"/>
        <v/>
      </c>
      <c r="X11" s="1006" t="str">
        <f ca="1"/>
        <v/>
      </c>
      <c r="Y11" s="1016" t="str">
        <f ca="1"/>
        <v/>
      </c>
      <c r="Z11" s="1016" t="str">
        <f ca="1"/>
        <v/>
      </c>
      <c r="AA11" s="1027" t="str">
        <f ca="1"/>
        <v/>
      </c>
      <c r="AB11" s="1034" t="str">
        <f ca="1"/>
        <v/>
      </c>
      <c r="AC11" s="1036" t="str">
        <f ca="1"/>
        <v/>
      </c>
      <c r="AD11" s="1016" t="str">
        <f ca="1"/>
        <v/>
      </c>
      <c r="AE11" s="1019" t="str">
        <f ca="1"/>
        <v/>
      </c>
      <c r="AF11" s="1016" t="str">
        <f ca="1"/>
        <v/>
      </c>
      <c r="AG11" s="1028" t="str">
        <f ca="1"/>
        <v/>
      </c>
      <c r="AH11" s="995" t="s">
        <v>12</v>
      </c>
    </row>
    <row r="12" spans="2:34">
      <c r="B12" s="774" t="s">
        <v>2062</v>
      </c>
      <c r="C12" s="108"/>
      <c r="E12" s="1015" t="str">
        <f ca="1"/>
        <v/>
      </c>
      <c r="F12" s="1006" t="str">
        <f ca="1"/>
        <v/>
      </c>
      <c r="G12" s="1016" t="str">
        <f ca="1"/>
        <v/>
      </c>
      <c r="H12" s="1017" t="str">
        <f ca="1"/>
        <v/>
      </c>
      <c r="I12" s="1006" t="str">
        <f ca="1"/>
        <v/>
      </c>
      <c r="J12" s="1016" t="str">
        <f ca="1"/>
        <v/>
      </c>
      <c r="K12" s="1016" t="str">
        <f ca="1"/>
        <v/>
      </c>
      <c r="L12" s="1027" t="str">
        <f ca="1"/>
        <v/>
      </c>
      <c r="M12" s="1249" t="str">
        <f ca="1"/>
        <v/>
      </c>
      <c r="N12" s="1016" t="str">
        <f ca="1"/>
        <v/>
      </c>
      <c r="O12" s="1019" t="str">
        <f ca="1"/>
        <v/>
      </c>
      <c r="P12" s="1016" t="str">
        <f ca="1"/>
        <v/>
      </c>
      <c r="Q12" s="1028" t="str">
        <f ca="1"/>
        <v/>
      </c>
      <c r="R12" s="995" t="s">
        <v>12</v>
      </c>
      <c r="S12" s="1015" t="str">
        <f ca="1"/>
        <v/>
      </c>
      <c r="T12" s="1006" t="str">
        <f ca="1"/>
        <v/>
      </c>
      <c r="U12" s="1006" t="str">
        <f ca="1"/>
        <v/>
      </c>
      <c r="V12" s="1016" t="str">
        <f ca="1"/>
        <v/>
      </c>
      <c r="W12" s="1017" t="str">
        <f ca="1"/>
        <v/>
      </c>
      <c r="X12" s="1006" t="str">
        <f ca="1"/>
        <v/>
      </c>
      <c r="Y12" s="1016" t="str">
        <f ca="1"/>
        <v/>
      </c>
      <c r="Z12" s="1016" t="str">
        <f ca="1"/>
        <v/>
      </c>
      <c r="AA12" s="1027" t="str">
        <f ca="1"/>
        <v/>
      </c>
      <c r="AB12" s="1034" t="str">
        <f ca="1"/>
        <v/>
      </c>
      <c r="AC12" s="1036" t="str">
        <f ca="1"/>
        <v/>
      </c>
      <c r="AD12" s="1016" t="str">
        <f ca="1"/>
        <v/>
      </c>
      <c r="AE12" s="1019" t="str">
        <f ca="1"/>
        <v/>
      </c>
      <c r="AF12" s="1016" t="str">
        <f ca="1"/>
        <v/>
      </c>
      <c r="AG12" s="1028" t="str">
        <f ca="1"/>
        <v/>
      </c>
      <c r="AH12" s="995" t="s">
        <v>12</v>
      </c>
    </row>
    <row r="13" spans="2:34">
      <c r="B13" s="775" t="s">
        <v>2064</v>
      </c>
      <c r="C13" s="792" t="str">
        <f ca="1">'JPY VNS Schedules'!C3</f>
        <v>JPY_FIXEDSCHEDULE@7:0</v>
      </c>
      <c r="E13" s="1015" t="str">
        <f ca="1"/>
        <v/>
      </c>
      <c r="F13" s="1006" t="str">
        <f ca="1"/>
        <v/>
      </c>
      <c r="G13" s="1016" t="str">
        <f ca="1"/>
        <v/>
      </c>
      <c r="H13" s="1017" t="str">
        <f ca="1"/>
        <v/>
      </c>
      <c r="I13" s="1006" t="str">
        <f ca="1"/>
        <v/>
      </c>
      <c r="J13" s="1016" t="str">
        <f ca="1"/>
        <v/>
      </c>
      <c r="K13" s="1016" t="str">
        <f ca="1"/>
        <v/>
      </c>
      <c r="L13" s="1027" t="str">
        <f ca="1"/>
        <v/>
      </c>
      <c r="M13" s="1249" t="str">
        <f ca="1"/>
        <v/>
      </c>
      <c r="N13" s="1016" t="str">
        <f ca="1"/>
        <v/>
      </c>
      <c r="O13" s="1019" t="str">
        <f ca="1"/>
        <v/>
      </c>
      <c r="P13" s="1016" t="str">
        <f ca="1"/>
        <v/>
      </c>
      <c r="Q13" s="1028" t="str">
        <f ca="1"/>
        <v/>
      </c>
      <c r="R13" s="995" t="s">
        <v>12</v>
      </c>
      <c r="S13" s="1015" t="str">
        <f ca="1"/>
        <v/>
      </c>
      <c r="T13" s="1006" t="str">
        <f ca="1"/>
        <v/>
      </c>
      <c r="U13" s="1006" t="str">
        <f ca="1"/>
        <v/>
      </c>
      <c r="V13" s="1016" t="str">
        <f ca="1"/>
        <v/>
      </c>
      <c r="W13" s="1017" t="str">
        <f ca="1"/>
        <v/>
      </c>
      <c r="X13" s="1006" t="str">
        <f ca="1"/>
        <v/>
      </c>
      <c r="Y13" s="1016" t="str">
        <f ca="1"/>
        <v/>
      </c>
      <c r="Z13" s="1016" t="str">
        <f ca="1"/>
        <v/>
      </c>
      <c r="AA13" s="1027" t="str">
        <f ca="1"/>
        <v/>
      </c>
      <c r="AB13" s="1034" t="str">
        <f ca="1"/>
        <v/>
      </c>
      <c r="AC13" s="1036" t="str">
        <f ca="1"/>
        <v/>
      </c>
      <c r="AD13" s="1016" t="str">
        <f ca="1"/>
        <v/>
      </c>
      <c r="AE13" s="1019" t="str">
        <f ca="1"/>
        <v/>
      </c>
      <c r="AF13" s="1016" t="str">
        <f ca="1"/>
        <v/>
      </c>
      <c r="AG13" s="1028" t="str">
        <f ca="1"/>
        <v/>
      </c>
      <c r="AH13" s="995" t="s">
        <v>12</v>
      </c>
    </row>
    <row r="14" spans="2:34">
      <c r="B14" s="776" t="s">
        <v>2017</v>
      </c>
      <c r="C14" s="868" t="s">
        <v>2060</v>
      </c>
      <c r="E14" s="1015" t="str">
        <f ca="1"/>
        <v/>
      </c>
      <c r="F14" s="1006" t="str">
        <f ca="1"/>
        <v/>
      </c>
      <c r="G14" s="1016" t="str">
        <f ca="1"/>
        <v/>
      </c>
      <c r="H14" s="1017" t="str">
        <f ca="1"/>
        <v/>
      </c>
      <c r="I14" s="1006" t="str">
        <f ca="1"/>
        <v/>
      </c>
      <c r="J14" s="1016" t="str">
        <f ca="1"/>
        <v/>
      </c>
      <c r="K14" s="1016" t="str">
        <f ca="1"/>
        <v/>
      </c>
      <c r="L14" s="1027" t="str">
        <f ca="1"/>
        <v/>
      </c>
      <c r="M14" s="1249" t="str">
        <f ca="1"/>
        <v/>
      </c>
      <c r="N14" s="1016" t="str">
        <f ca="1"/>
        <v/>
      </c>
      <c r="O14" s="1019" t="str">
        <f ca="1"/>
        <v/>
      </c>
      <c r="P14" s="1016" t="str">
        <f ca="1"/>
        <v/>
      </c>
      <c r="Q14" s="1028" t="str">
        <f ca="1"/>
        <v/>
      </c>
      <c r="R14" s="995" t="s">
        <v>12</v>
      </c>
      <c r="S14" s="1015" t="str">
        <f ca="1"/>
        <v/>
      </c>
      <c r="T14" s="1006" t="str">
        <f ca="1"/>
        <v/>
      </c>
      <c r="U14" s="1006" t="str">
        <f ca="1"/>
        <v/>
      </c>
      <c r="V14" s="1016" t="str">
        <f ca="1"/>
        <v/>
      </c>
      <c r="W14" s="1017" t="str">
        <f ca="1"/>
        <v/>
      </c>
      <c r="X14" s="1006" t="str">
        <f ca="1"/>
        <v/>
      </c>
      <c r="Y14" s="1016" t="str">
        <f ca="1"/>
        <v/>
      </c>
      <c r="Z14" s="1016" t="str">
        <f ca="1"/>
        <v/>
      </c>
      <c r="AA14" s="1027" t="str">
        <f ca="1"/>
        <v/>
      </c>
      <c r="AB14" s="1034" t="str">
        <f ca="1"/>
        <v/>
      </c>
      <c r="AC14" s="1036" t="str">
        <f ca="1"/>
        <v/>
      </c>
      <c r="AD14" s="1016" t="str">
        <f ca="1"/>
        <v/>
      </c>
      <c r="AE14" s="1019" t="str">
        <f ca="1"/>
        <v/>
      </c>
      <c r="AF14" s="1016" t="str">
        <f ca="1"/>
        <v/>
      </c>
      <c r="AG14" s="1028" t="str">
        <f ca="1"/>
        <v/>
      </c>
      <c r="AH14" s="995" t="s">
        <v>12</v>
      </c>
    </row>
    <row r="15" spans="2:34">
      <c r="B15" s="777" t="s">
        <v>1770</v>
      </c>
      <c r="C15" s="869" t="s">
        <v>1047</v>
      </c>
      <c r="E15" s="1015" t="str">
        <f ca="1"/>
        <v/>
      </c>
      <c r="F15" s="1006" t="str">
        <f ca="1"/>
        <v/>
      </c>
      <c r="G15" s="1016" t="str">
        <f ca="1"/>
        <v/>
      </c>
      <c r="H15" s="1017" t="str">
        <f ca="1"/>
        <v/>
      </c>
      <c r="I15" s="1006" t="str">
        <f ca="1"/>
        <v/>
      </c>
      <c r="J15" s="1016" t="str">
        <f ca="1"/>
        <v/>
      </c>
      <c r="K15" s="1016" t="str">
        <f ca="1"/>
        <v/>
      </c>
      <c r="L15" s="1027" t="str">
        <f ca="1"/>
        <v/>
      </c>
      <c r="M15" s="1249" t="str">
        <f ca="1"/>
        <v/>
      </c>
      <c r="N15" s="1016" t="str">
        <f ca="1"/>
        <v/>
      </c>
      <c r="O15" s="1019" t="str">
        <f ca="1"/>
        <v/>
      </c>
      <c r="P15" s="1016" t="str">
        <f ca="1"/>
        <v/>
      </c>
      <c r="Q15" s="1028" t="str">
        <f ca="1"/>
        <v/>
      </c>
      <c r="R15" s="995" t="s">
        <v>12</v>
      </c>
      <c r="S15" s="1015" t="str">
        <f ca="1"/>
        <v/>
      </c>
      <c r="T15" s="1006" t="str">
        <f ca="1"/>
        <v/>
      </c>
      <c r="U15" s="1006" t="str">
        <f ca="1"/>
        <v/>
      </c>
      <c r="V15" s="1016" t="str">
        <f ca="1"/>
        <v/>
      </c>
      <c r="W15" s="1017" t="str">
        <f ca="1"/>
        <v/>
      </c>
      <c r="X15" s="1006" t="str">
        <f ca="1"/>
        <v/>
      </c>
      <c r="Y15" s="1016" t="str">
        <f ca="1"/>
        <v/>
      </c>
      <c r="Z15" s="1016" t="str">
        <f ca="1"/>
        <v/>
      </c>
      <c r="AA15" s="1027" t="str">
        <f ca="1"/>
        <v/>
      </c>
      <c r="AB15" s="1034" t="str">
        <f ca="1"/>
        <v/>
      </c>
      <c r="AC15" s="1036" t="str">
        <f ca="1"/>
        <v/>
      </c>
      <c r="AD15" s="1016" t="str">
        <f ca="1"/>
        <v/>
      </c>
      <c r="AE15" s="1019" t="str">
        <f ca="1"/>
        <v/>
      </c>
      <c r="AF15" s="1016" t="str">
        <f ca="1"/>
        <v/>
      </c>
      <c r="AG15" s="1028" t="str">
        <f ca="1"/>
        <v/>
      </c>
      <c r="AH15" s="995" t="s">
        <v>12</v>
      </c>
    </row>
    <row r="16" spans="2:34">
      <c r="B16" s="777" t="s">
        <v>1444</v>
      </c>
      <c r="C16" s="870" t="s">
        <v>1919</v>
      </c>
      <c r="E16" s="1085" t="str">
        <f ca="1"/>
        <v/>
      </c>
      <c r="F16" s="1044" t="str">
        <f ca="1"/>
        <v/>
      </c>
      <c r="G16" s="1045" t="str">
        <f ca="1"/>
        <v/>
      </c>
      <c r="H16" s="1058" t="str">
        <f ca="1"/>
        <v/>
      </c>
      <c r="I16" s="1006" t="str">
        <f ca="1"/>
        <v/>
      </c>
      <c r="J16" s="1016" t="str">
        <f ca="1"/>
        <v/>
      </c>
      <c r="K16" s="1016" t="str">
        <f ca="1"/>
        <v/>
      </c>
      <c r="L16" s="1027" t="str">
        <f ca="1"/>
        <v/>
      </c>
      <c r="M16" s="1249" t="str">
        <f ca="1"/>
        <v/>
      </c>
      <c r="N16" s="1016" t="str">
        <f ca="1"/>
        <v/>
      </c>
      <c r="O16" s="1019" t="str">
        <f ca="1"/>
        <v/>
      </c>
      <c r="P16" s="1016" t="str">
        <f ca="1"/>
        <v/>
      </c>
      <c r="Q16" s="1028" t="str">
        <f ca="1"/>
        <v/>
      </c>
      <c r="R16" s="995" t="s">
        <v>12</v>
      </c>
      <c r="S16" s="1015" t="str">
        <f ca="1"/>
        <v/>
      </c>
      <c r="T16" s="1006" t="str">
        <f ca="1"/>
        <v/>
      </c>
      <c r="U16" s="1006" t="str">
        <f ca="1"/>
        <v/>
      </c>
      <c r="V16" s="1016" t="str">
        <f ca="1"/>
        <v/>
      </c>
      <c r="W16" s="1017" t="str">
        <f ca="1"/>
        <v/>
      </c>
      <c r="X16" s="1006" t="str">
        <f ca="1"/>
        <v/>
      </c>
      <c r="Y16" s="1016" t="str">
        <f ca="1"/>
        <v/>
      </c>
      <c r="Z16" s="1016" t="str">
        <f ca="1"/>
        <v/>
      </c>
      <c r="AA16" s="1027" t="str">
        <f ca="1"/>
        <v/>
      </c>
      <c r="AB16" s="1034" t="str">
        <f ca="1"/>
        <v/>
      </c>
      <c r="AC16" s="1036" t="str">
        <f ca="1"/>
        <v/>
      </c>
      <c r="AD16" s="1016" t="str">
        <f ca="1"/>
        <v/>
      </c>
      <c r="AE16" s="1019" t="str">
        <f ca="1"/>
        <v/>
      </c>
      <c r="AF16" s="1016" t="str">
        <f ca="1"/>
        <v/>
      </c>
      <c r="AG16" s="1028" t="str">
        <f ca="1"/>
        <v/>
      </c>
      <c r="AH16" s="995" t="s">
        <v>12</v>
      </c>
    </row>
    <row r="17" spans="2:34">
      <c r="B17" s="790" t="s">
        <v>156</v>
      </c>
      <c r="C17" s="871" t="s">
        <v>188</v>
      </c>
      <c r="E17" s="1085" t="str">
        <f ca="1"/>
        <v/>
      </c>
      <c r="F17" s="1044" t="str">
        <f ca="1"/>
        <v/>
      </c>
      <c r="G17" s="1045" t="str">
        <f ca="1"/>
        <v/>
      </c>
      <c r="H17" s="1058" t="str">
        <f ca="1"/>
        <v/>
      </c>
      <c r="I17" s="1006" t="str">
        <f ca="1"/>
        <v/>
      </c>
      <c r="J17" s="1016" t="str">
        <f ca="1"/>
        <v/>
      </c>
      <c r="K17" s="1016" t="str">
        <f ca="1"/>
        <v/>
      </c>
      <c r="L17" s="1027" t="str">
        <f ca="1"/>
        <v/>
      </c>
      <c r="M17" s="1249" t="str">
        <f ca="1"/>
        <v/>
      </c>
      <c r="N17" s="1016" t="str">
        <f ca="1"/>
        <v/>
      </c>
      <c r="O17" s="1019" t="str">
        <f ca="1"/>
        <v/>
      </c>
      <c r="P17" s="1016" t="str">
        <f ca="1"/>
        <v/>
      </c>
      <c r="Q17" s="1028" t="str">
        <f ca="1"/>
        <v/>
      </c>
      <c r="R17" s="995" t="s">
        <v>12</v>
      </c>
      <c r="S17" s="1015" t="str">
        <f ca="1"/>
        <v/>
      </c>
      <c r="T17" s="1006" t="str">
        <f ca="1"/>
        <v/>
      </c>
      <c r="U17" s="1006" t="str">
        <f ca="1"/>
        <v/>
      </c>
      <c r="V17" s="1016" t="str">
        <f ca="1"/>
        <v/>
      </c>
      <c r="W17" s="1017" t="str">
        <f ca="1"/>
        <v/>
      </c>
      <c r="X17" s="1006" t="str">
        <f ca="1"/>
        <v/>
      </c>
      <c r="Y17" s="1016" t="str">
        <f ca="1"/>
        <v/>
      </c>
      <c r="Z17" s="1016" t="str">
        <f ca="1"/>
        <v/>
      </c>
      <c r="AA17" s="1027" t="str">
        <f ca="1"/>
        <v/>
      </c>
      <c r="AB17" s="1034" t="str">
        <f ca="1"/>
        <v/>
      </c>
      <c r="AC17" s="1036" t="str">
        <f ca="1"/>
        <v/>
      </c>
      <c r="AD17" s="1016" t="str">
        <f ca="1"/>
        <v/>
      </c>
      <c r="AE17" s="1019" t="str">
        <f ca="1"/>
        <v/>
      </c>
      <c r="AF17" s="1016" t="str">
        <f ca="1"/>
        <v/>
      </c>
      <c r="AG17" s="1028" t="str">
        <f ca="1"/>
        <v/>
      </c>
      <c r="AH17" s="995" t="s">
        <v>12</v>
      </c>
    </row>
    <row r="18" spans="2:34">
      <c r="E18" s="1085" t="str">
        <f ca="1"/>
        <v/>
      </c>
      <c r="F18" s="1044" t="str">
        <f ca="1"/>
        <v/>
      </c>
      <c r="G18" s="1045" t="str">
        <f ca="1"/>
        <v/>
      </c>
      <c r="H18" s="1058" t="str">
        <f ca="1"/>
        <v/>
      </c>
      <c r="I18" s="1006" t="str">
        <f ca="1"/>
        <v/>
      </c>
      <c r="J18" s="1016" t="str">
        <f ca="1"/>
        <v/>
      </c>
      <c r="K18" s="1016" t="str">
        <f ca="1"/>
        <v/>
      </c>
      <c r="L18" s="1027" t="str">
        <f ca="1"/>
        <v/>
      </c>
      <c r="M18" s="1249" t="str">
        <f ca="1"/>
        <v/>
      </c>
      <c r="N18" s="1016" t="str">
        <f ca="1"/>
        <v/>
      </c>
      <c r="O18" s="1019" t="str">
        <f ca="1"/>
        <v/>
      </c>
      <c r="P18" s="1016" t="str">
        <f ca="1"/>
        <v/>
      </c>
      <c r="Q18" s="1028" t="str">
        <f ca="1"/>
        <v/>
      </c>
      <c r="R18" s="995" t="s">
        <v>12</v>
      </c>
      <c r="S18" s="1015" t="str">
        <f ca="1"/>
        <v/>
      </c>
      <c r="T18" s="1006" t="str">
        <f ca="1"/>
        <v/>
      </c>
      <c r="U18" s="1006" t="str">
        <f ca="1"/>
        <v/>
      </c>
      <c r="V18" s="1016" t="str">
        <f ca="1"/>
        <v/>
      </c>
      <c r="W18" s="1017" t="str">
        <f ca="1"/>
        <v/>
      </c>
      <c r="X18" s="1006" t="str">
        <f ca="1"/>
        <v/>
      </c>
      <c r="Y18" s="1016" t="str">
        <f ca="1"/>
        <v/>
      </c>
      <c r="Z18" s="1016" t="str">
        <f ca="1"/>
        <v/>
      </c>
      <c r="AA18" s="1027" t="str">
        <f ca="1"/>
        <v/>
      </c>
      <c r="AB18" s="1034" t="str">
        <f ca="1"/>
        <v/>
      </c>
      <c r="AC18" s="1036" t="str">
        <f ca="1"/>
        <v/>
      </c>
      <c r="AD18" s="1016" t="str">
        <f ca="1"/>
        <v/>
      </c>
      <c r="AE18" s="1019" t="str">
        <f ca="1"/>
        <v/>
      </c>
      <c r="AF18" s="1016" t="str">
        <f ca="1"/>
        <v/>
      </c>
      <c r="AG18" s="1028" t="str">
        <f ca="1"/>
        <v/>
      </c>
      <c r="AH18" s="995" t="s">
        <v>12</v>
      </c>
    </row>
    <row r="19" spans="2:34">
      <c r="E19" s="1085" t="str">
        <f ca="1"/>
        <v/>
      </c>
      <c r="F19" s="1044" t="str">
        <f ca="1"/>
        <v/>
      </c>
      <c r="G19" s="1045" t="str">
        <f ca="1"/>
        <v/>
      </c>
      <c r="H19" s="1058" t="str">
        <f ca="1"/>
        <v/>
      </c>
      <c r="I19" s="1006" t="str">
        <f ca="1"/>
        <v/>
      </c>
      <c r="J19" s="1016" t="str">
        <f ca="1"/>
        <v/>
      </c>
      <c r="K19" s="1016" t="str">
        <f ca="1"/>
        <v/>
      </c>
      <c r="L19" s="1027" t="str">
        <f ca="1"/>
        <v/>
      </c>
      <c r="M19" s="1249" t="str">
        <f ca="1"/>
        <v/>
      </c>
      <c r="N19" s="1016" t="str">
        <f ca="1"/>
        <v/>
      </c>
      <c r="O19" s="1019" t="str">
        <f ca="1"/>
        <v/>
      </c>
      <c r="P19" s="1016" t="str">
        <f ca="1"/>
        <v/>
      </c>
      <c r="Q19" s="1028" t="str">
        <f ca="1"/>
        <v/>
      </c>
      <c r="R19" s="995" t="s">
        <v>12</v>
      </c>
      <c r="S19" s="1015" t="str">
        <f ca="1"/>
        <v/>
      </c>
      <c r="T19" s="1006" t="str">
        <f ca="1"/>
        <v/>
      </c>
      <c r="U19" s="1006" t="str">
        <f ca="1"/>
        <v/>
      </c>
      <c r="V19" s="1016" t="str">
        <f ca="1"/>
        <v/>
      </c>
      <c r="W19" s="1017" t="str">
        <f ca="1"/>
        <v/>
      </c>
      <c r="X19" s="1006" t="str">
        <f ca="1"/>
        <v/>
      </c>
      <c r="Y19" s="1016" t="str">
        <f ca="1"/>
        <v/>
      </c>
      <c r="Z19" s="1016" t="str">
        <f ca="1"/>
        <v/>
      </c>
      <c r="AA19" s="1027" t="str">
        <f ca="1"/>
        <v/>
      </c>
      <c r="AB19" s="1034" t="str">
        <f ca="1"/>
        <v/>
      </c>
      <c r="AC19" s="1036" t="str">
        <f ca="1"/>
        <v/>
      </c>
      <c r="AD19" s="1016" t="str">
        <f ca="1"/>
        <v/>
      </c>
      <c r="AE19" s="1019" t="str">
        <f ca="1"/>
        <v/>
      </c>
      <c r="AF19" s="1016" t="str">
        <f ca="1"/>
        <v/>
      </c>
      <c r="AG19" s="1028" t="str">
        <f ca="1"/>
        <v/>
      </c>
      <c r="AH19" s="995" t="s">
        <v>12</v>
      </c>
    </row>
    <row r="20" spans="2:34">
      <c r="B20" s="778" t="s">
        <v>2063</v>
      </c>
      <c r="C20" s="108"/>
      <c r="E20" s="1085" t="str">
        <f ca="1"/>
        <v/>
      </c>
      <c r="F20" s="1044" t="str">
        <f ca="1"/>
        <v/>
      </c>
      <c r="G20" s="1045" t="str">
        <f ca="1"/>
        <v/>
      </c>
      <c r="H20" s="1058" t="str">
        <f ca="1"/>
        <v/>
      </c>
      <c r="I20" s="1006" t="str">
        <f ca="1"/>
        <v/>
      </c>
      <c r="J20" s="1016" t="str">
        <f ca="1"/>
        <v/>
      </c>
      <c r="K20" s="1016" t="str">
        <f ca="1"/>
        <v/>
      </c>
      <c r="L20" s="1027" t="str">
        <f ca="1"/>
        <v/>
      </c>
      <c r="M20" s="1249" t="str">
        <f ca="1"/>
        <v/>
      </c>
      <c r="N20" s="1016" t="str">
        <f ca="1"/>
        <v/>
      </c>
      <c r="O20" s="1019" t="str">
        <f ca="1"/>
        <v/>
      </c>
      <c r="P20" s="1016" t="str">
        <f ca="1"/>
        <v/>
      </c>
      <c r="Q20" s="1028" t="str">
        <f ca="1"/>
        <v/>
      </c>
      <c r="R20" s="995" t="s">
        <v>12</v>
      </c>
      <c r="S20" s="1015" t="str">
        <f ca="1"/>
        <v/>
      </c>
      <c r="T20" s="1006" t="str">
        <f ca="1"/>
        <v/>
      </c>
      <c r="U20" s="1006" t="str">
        <f ca="1"/>
        <v/>
      </c>
      <c r="V20" s="1016" t="str">
        <f ca="1"/>
        <v/>
      </c>
      <c r="W20" s="1017" t="str">
        <f ca="1"/>
        <v/>
      </c>
      <c r="X20" s="1006" t="str">
        <f ca="1"/>
        <v/>
      </c>
      <c r="Y20" s="1016" t="str">
        <f ca="1"/>
        <v/>
      </c>
      <c r="Z20" s="1016" t="str">
        <f ca="1"/>
        <v/>
      </c>
      <c r="AA20" s="1027" t="str">
        <f ca="1"/>
        <v/>
      </c>
      <c r="AB20" s="1034" t="str">
        <f ca="1"/>
        <v/>
      </c>
      <c r="AC20" s="1036" t="str">
        <f ca="1"/>
        <v/>
      </c>
      <c r="AD20" s="1016" t="str">
        <f ca="1"/>
        <v/>
      </c>
      <c r="AE20" s="1019" t="str">
        <f ca="1"/>
        <v/>
      </c>
      <c r="AF20" s="1016" t="str">
        <f ca="1"/>
        <v/>
      </c>
      <c r="AG20" s="1028" t="str">
        <f ca="1"/>
        <v/>
      </c>
      <c r="AH20" s="995" t="s">
        <v>12</v>
      </c>
    </row>
    <row r="21" spans="2:34">
      <c r="B21" s="775" t="s">
        <v>2065</v>
      </c>
      <c r="C21" s="793" t="str">
        <f ca="1">'JPY VNS Schedules'!C4</f>
        <v>JPY_FLOATSCHEDULE@5:0</v>
      </c>
      <c r="E21" s="1085" t="str">
        <f ca="1"/>
        <v/>
      </c>
      <c r="F21" s="1044" t="str">
        <f ca="1"/>
        <v/>
      </c>
      <c r="G21" s="1045" t="str">
        <f ca="1"/>
        <v/>
      </c>
      <c r="H21" s="1058" t="str">
        <f ca="1"/>
        <v/>
      </c>
      <c r="I21" s="1006" t="str">
        <f ca="1"/>
        <v/>
      </c>
      <c r="J21" s="1016" t="str">
        <f ca="1"/>
        <v/>
      </c>
      <c r="K21" s="1016" t="str">
        <f ca="1"/>
        <v/>
      </c>
      <c r="L21" s="1027" t="str">
        <f ca="1"/>
        <v/>
      </c>
      <c r="M21" s="1249" t="str">
        <f ca="1"/>
        <v/>
      </c>
      <c r="N21" s="1016" t="str">
        <f ca="1"/>
        <v/>
      </c>
      <c r="O21" s="1019" t="str">
        <f ca="1"/>
        <v/>
      </c>
      <c r="P21" s="1016" t="str">
        <f ca="1"/>
        <v/>
      </c>
      <c r="Q21" s="1028" t="str">
        <f ca="1"/>
        <v/>
      </c>
      <c r="R21" s="995" t="s">
        <v>12</v>
      </c>
      <c r="S21" s="1015" t="str">
        <f ca="1"/>
        <v/>
      </c>
      <c r="T21" s="1006" t="str">
        <f ca="1"/>
        <v/>
      </c>
      <c r="U21" s="1006" t="str">
        <f ca="1"/>
        <v/>
      </c>
      <c r="V21" s="1016" t="str">
        <f ca="1"/>
        <v/>
      </c>
      <c r="W21" s="1017" t="str">
        <f ca="1"/>
        <v/>
      </c>
      <c r="X21" s="1006" t="str">
        <f ca="1"/>
        <v/>
      </c>
      <c r="Y21" s="1016" t="str">
        <f ca="1"/>
        <v/>
      </c>
      <c r="Z21" s="1016" t="str">
        <f ca="1"/>
        <v/>
      </c>
      <c r="AA21" s="1027" t="str">
        <f ca="1"/>
        <v/>
      </c>
      <c r="AB21" s="1034" t="str">
        <f ca="1"/>
        <v/>
      </c>
      <c r="AC21" s="1036" t="str">
        <f ca="1"/>
        <v/>
      </c>
      <c r="AD21" s="1016" t="str">
        <f ca="1"/>
        <v/>
      </c>
      <c r="AE21" s="1019" t="str">
        <f ca="1"/>
        <v/>
      </c>
      <c r="AF21" s="1016" t="str">
        <f ca="1"/>
        <v/>
      </c>
      <c r="AG21" s="1028" t="str">
        <f ca="1"/>
        <v/>
      </c>
      <c r="AH21" s="995" t="s">
        <v>12</v>
      </c>
    </row>
    <row r="22" spans="2:34">
      <c r="B22" s="787" t="s">
        <v>2017</v>
      </c>
      <c r="C22" s="872" t="s">
        <v>1993</v>
      </c>
      <c r="E22" s="1085" t="str">
        <f ca="1"/>
        <v/>
      </c>
      <c r="F22" s="1044" t="str">
        <f ca="1"/>
        <v/>
      </c>
      <c r="G22" s="1045" t="str">
        <f ca="1"/>
        <v/>
      </c>
      <c r="H22" s="1058" t="str">
        <f ca="1"/>
        <v/>
      </c>
      <c r="I22" s="1006" t="str">
        <f ca="1"/>
        <v/>
      </c>
      <c r="J22" s="1016" t="str">
        <f ca="1"/>
        <v/>
      </c>
      <c r="K22" s="1016" t="str">
        <f ca="1"/>
        <v/>
      </c>
      <c r="L22" s="1027" t="str">
        <f ca="1"/>
        <v/>
      </c>
      <c r="M22" s="1249" t="str">
        <f ca="1"/>
        <v/>
      </c>
      <c r="N22" s="1016" t="str">
        <f ca="1"/>
        <v/>
      </c>
      <c r="O22" s="1019" t="str">
        <f ca="1"/>
        <v/>
      </c>
      <c r="P22" s="1016" t="str">
        <f ca="1"/>
        <v/>
      </c>
      <c r="Q22" s="1028" t="str">
        <f ca="1"/>
        <v/>
      </c>
      <c r="R22" s="995" t="s">
        <v>12</v>
      </c>
      <c r="S22" s="1015" t="str">
        <f ca="1"/>
        <v/>
      </c>
      <c r="T22" s="1006" t="str">
        <f ca="1"/>
        <v/>
      </c>
      <c r="U22" s="1006" t="str">
        <f ca="1"/>
        <v/>
      </c>
      <c r="V22" s="1016" t="str">
        <f ca="1"/>
        <v/>
      </c>
      <c r="W22" s="1017" t="str">
        <f ca="1"/>
        <v/>
      </c>
      <c r="X22" s="1006" t="str">
        <f ca="1"/>
        <v/>
      </c>
      <c r="Y22" s="1016" t="str">
        <f ca="1"/>
        <v/>
      </c>
      <c r="Z22" s="1016" t="str">
        <f ca="1"/>
        <v/>
      </c>
      <c r="AA22" s="1027" t="str">
        <f ca="1"/>
        <v/>
      </c>
      <c r="AB22" s="1034" t="str">
        <f ca="1"/>
        <v/>
      </c>
      <c r="AC22" s="1036" t="str">
        <f ca="1"/>
        <v/>
      </c>
      <c r="AD22" s="1016" t="str">
        <f ca="1"/>
        <v/>
      </c>
      <c r="AE22" s="1019" t="str">
        <f ca="1"/>
        <v/>
      </c>
      <c r="AF22" s="1016" t="str">
        <f ca="1"/>
        <v/>
      </c>
      <c r="AG22" s="1028" t="str">
        <f ca="1"/>
        <v/>
      </c>
      <c r="AH22" s="995" t="s">
        <v>12</v>
      </c>
    </row>
    <row r="23" spans="2:34">
      <c r="B23" s="788" t="s">
        <v>1770</v>
      </c>
      <c r="C23" s="873" t="s">
        <v>1047</v>
      </c>
      <c r="E23" s="1085" t="str">
        <f ca="1"/>
        <v/>
      </c>
      <c r="F23" s="1044" t="str">
        <f ca="1"/>
        <v/>
      </c>
      <c r="G23" s="1045" t="str">
        <f ca="1"/>
        <v/>
      </c>
      <c r="H23" s="1058" t="str">
        <f ca="1"/>
        <v/>
      </c>
      <c r="I23" s="1006" t="str">
        <f ca="1"/>
        <v/>
      </c>
      <c r="J23" s="1016" t="str">
        <f ca="1"/>
        <v/>
      </c>
      <c r="K23" s="1016" t="str">
        <f ca="1"/>
        <v/>
      </c>
      <c r="L23" s="1027" t="str">
        <f ca="1"/>
        <v/>
      </c>
      <c r="M23" s="1249" t="str">
        <f ca="1"/>
        <v/>
      </c>
      <c r="N23" s="1016" t="str">
        <f ca="1"/>
        <v/>
      </c>
      <c r="O23" s="1019" t="str">
        <f ca="1"/>
        <v/>
      </c>
      <c r="P23" s="1016" t="str">
        <f ca="1"/>
        <v/>
      </c>
      <c r="Q23" s="1028" t="str">
        <f ca="1"/>
        <v/>
      </c>
      <c r="R23" s="995" t="s">
        <v>12</v>
      </c>
      <c r="S23" s="1015" t="str">
        <f ca="1"/>
        <v/>
      </c>
      <c r="T23" s="1006" t="str">
        <f ca="1"/>
        <v/>
      </c>
      <c r="U23" s="1006" t="str">
        <f ca="1"/>
        <v/>
      </c>
      <c r="V23" s="1016" t="str">
        <f ca="1"/>
        <v/>
      </c>
      <c r="W23" s="1017" t="str">
        <f ca="1"/>
        <v/>
      </c>
      <c r="X23" s="1006" t="str">
        <f ca="1"/>
        <v/>
      </c>
      <c r="Y23" s="1016" t="str">
        <f ca="1"/>
        <v/>
      </c>
      <c r="Z23" s="1016" t="str">
        <f ca="1"/>
        <v/>
      </c>
      <c r="AA23" s="1027" t="str">
        <f ca="1"/>
        <v/>
      </c>
      <c r="AB23" s="1034" t="str">
        <f ca="1"/>
        <v/>
      </c>
      <c r="AC23" s="1036" t="str">
        <f ca="1"/>
        <v/>
      </c>
      <c r="AD23" s="1016" t="str">
        <f ca="1"/>
        <v/>
      </c>
      <c r="AE23" s="1019" t="str">
        <f ca="1"/>
        <v/>
      </c>
      <c r="AF23" s="1016" t="str">
        <f ca="1"/>
        <v/>
      </c>
      <c r="AG23" s="1028" t="str">
        <f ca="1"/>
        <v/>
      </c>
      <c r="AH23" s="995" t="s">
        <v>12</v>
      </c>
    </row>
    <row r="24" spans="2:34">
      <c r="B24" s="788" t="s">
        <v>1443</v>
      </c>
      <c r="C24" s="874" t="s">
        <v>1042</v>
      </c>
      <c r="E24" s="1085" t="str">
        <f ca="1"/>
        <v/>
      </c>
      <c r="F24" s="1044" t="str">
        <f ca="1"/>
        <v/>
      </c>
      <c r="G24" s="1045" t="str">
        <f ca="1"/>
        <v/>
      </c>
      <c r="H24" s="1058" t="str">
        <f ca="1"/>
        <v/>
      </c>
      <c r="I24" s="1006" t="str">
        <f ca="1"/>
        <v/>
      </c>
      <c r="J24" s="1016" t="str">
        <f ca="1"/>
        <v/>
      </c>
      <c r="K24" s="1016" t="str">
        <f ca="1"/>
        <v/>
      </c>
      <c r="L24" s="1027" t="str">
        <f ca="1"/>
        <v/>
      </c>
      <c r="M24" s="1249" t="str">
        <f ca="1"/>
        <v/>
      </c>
      <c r="N24" s="1016" t="str">
        <f ca="1"/>
        <v/>
      </c>
      <c r="O24" s="1019" t="str">
        <f ca="1"/>
        <v/>
      </c>
      <c r="P24" s="1016" t="str">
        <f ca="1"/>
        <v/>
      </c>
      <c r="Q24" s="1028" t="str">
        <f ca="1"/>
        <v/>
      </c>
      <c r="R24" s="995" t="s">
        <v>12</v>
      </c>
      <c r="S24" s="1015" t="str">
        <f ca="1"/>
        <v/>
      </c>
      <c r="T24" s="1006" t="str">
        <f ca="1"/>
        <v/>
      </c>
      <c r="U24" s="1006" t="str">
        <f ca="1"/>
        <v/>
      </c>
      <c r="V24" s="1016" t="str">
        <f ca="1"/>
        <v/>
      </c>
      <c r="W24" s="1017" t="str">
        <f ca="1"/>
        <v/>
      </c>
      <c r="X24" s="1006" t="str">
        <f ca="1"/>
        <v/>
      </c>
      <c r="Y24" s="1016" t="str">
        <f ca="1"/>
        <v/>
      </c>
      <c r="Z24" s="1016" t="str">
        <f ca="1"/>
        <v/>
      </c>
      <c r="AA24" s="1027" t="str">
        <f ca="1"/>
        <v/>
      </c>
      <c r="AB24" s="1034" t="str">
        <f ca="1"/>
        <v/>
      </c>
      <c r="AC24" s="1036" t="str">
        <f ca="1"/>
        <v/>
      </c>
      <c r="AD24" s="1016" t="str">
        <f ca="1"/>
        <v/>
      </c>
      <c r="AE24" s="1019" t="str">
        <f ca="1"/>
        <v/>
      </c>
      <c r="AF24" s="1016" t="str">
        <f ca="1"/>
        <v/>
      </c>
      <c r="AG24" s="1028" t="str">
        <f ca="1"/>
        <v/>
      </c>
      <c r="AH24" s="995" t="s">
        <v>12</v>
      </c>
    </row>
    <row r="25" spans="2:34">
      <c r="B25" s="788" t="s">
        <v>1444</v>
      </c>
      <c r="C25" s="874" t="s">
        <v>1919</v>
      </c>
      <c r="E25" s="1085" t="str">
        <f ca="1"/>
        <v/>
      </c>
      <c r="F25" s="1044" t="str">
        <f ca="1"/>
        <v/>
      </c>
      <c r="G25" s="1045" t="str">
        <f ca="1"/>
        <v/>
      </c>
      <c r="H25" s="1058" t="str">
        <f ca="1"/>
        <v/>
      </c>
      <c r="I25" s="1006" t="str">
        <f ca="1"/>
        <v/>
      </c>
      <c r="J25" s="1016" t="str">
        <f ca="1"/>
        <v/>
      </c>
      <c r="K25" s="1016" t="str">
        <f ca="1"/>
        <v/>
      </c>
      <c r="L25" s="1027" t="str">
        <f ca="1"/>
        <v/>
      </c>
      <c r="M25" s="1249" t="str">
        <f ca="1"/>
        <v/>
      </c>
      <c r="N25" s="1016" t="str">
        <f ca="1"/>
        <v/>
      </c>
      <c r="O25" s="1019" t="str">
        <f ca="1"/>
        <v/>
      </c>
      <c r="P25" s="1016" t="str">
        <f ca="1"/>
        <v/>
      </c>
      <c r="Q25" s="1028" t="str">
        <f ca="1"/>
        <v/>
      </c>
      <c r="R25" s="995" t="s">
        <v>12</v>
      </c>
      <c r="S25" s="1015" t="str">
        <f ca="1"/>
        <v/>
      </c>
      <c r="T25" s="1006" t="str">
        <f ca="1"/>
        <v/>
      </c>
      <c r="U25" s="1006" t="str">
        <f ca="1"/>
        <v/>
      </c>
      <c r="V25" s="1016" t="str">
        <f ca="1"/>
        <v/>
      </c>
      <c r="W25" s="1017" t="str">
        <f ca="1"/>
        <v/>
      </c>
      <c r="X25" s="1006" t="str">
        <f ca="1"/>
        <v/>
      </c>
      <c r="Y25" s="1016" t="str">
        <f ca="1"/>
        <v/>
      </c>
      <c r="Z25" s="1016" t="str">
        <f ca="1"/>
        <v/>
      </c>
      <c r="AA25" s="1027" t="str">
        <f ca="1"/>
        <v/>
      </c>
      <c r="AB25" s="1034" t="str">
        <f ca="1"/>
        <v/>
      </c>
      <c r="AC25" s="1036" t="str">
        <f ca="1"/>
        <v/>
      </c>
      <c r="AD25" s="1016" t="str">
        <f ca="1"/>
        <v/>
      </c>
      <c r="AE25" s="1019" t="str">
        <f ca="1"/>
        <v/>
      </c>
      <c r="AF25" s="1016" t="str">
        <f ca="1"/>
        <v/>
      </c>
      <c r="AG25" s="1028" t="str">
        <f ca="1"/>
        <v/>
      </c>
      <c r="AH25" s="995" t="s">
        <v>12</v>
      </c>
    </row>
    <row r="26" spans="2:34">
      <c r="B26" s="788" t="s">
        <v>156</v>
      </c>
      <c r="C26" s="874" t="s">
        <v>188</v>
      </c>
      <c r="E26" s="1085" t="str">
        <f ca="1"/>
        <v/>
      </c>
      <c r="F26" s="1044" t="str">
        <f ca="1"/>
        <v/>
      </c>
      <c r="G26" s="1045" t="str">
        <f ca="1"/>
        <v/>
      </c>
      <c r="H26" s="1058" t="str">
        <f ca="1"/>
        <v/>
      </c>
      <c r="I26" s="1006" t="str">
        <f ca="1"/>
        <v/>
      </c>
      <c r="J26" s="1016" t="str">
        <f ca="1"/>
        <v/>
      </c>
      <c r="K26" s="1016" t="str">
        <f ca="1"/>
        <v/>
      </c>
      <c r="L26" s="1027" t="str">
        <f ca="1"/>
        <v/>
      </c>
      <c r="M26" s="1249" t="str">
        <f ca="1"/>
        <v/>
      </c>
      <c r="N26" s="1016" t="str">
        <f ca="1"/>
        <v/>
      </c>
      <c r="O26" s="1019" t="str">
        <f ca="1"/>
        <v/>
      </c>
      <c r="P26" s="1016" t="str">
        <f ca="1"/>
        <v/>
      </c>
      <c r="Q26" s="1028" t="str">
        <f ca="1"/>
        <v/>
      </c>
      <c r="R26" s="995" t="s">
        <v>12</v>
      </c>
      <c r="S26" s="1015" t="str">
        <f ca="1"/>
        <v/>
      </c>
      <c r="T26" s="1006" t="str">
        <f ca="1"/>
        <v/>
      </c>
      <c r="U26" s="1006" t="str">
        <f ca="1"/>
        <v/>
      </c>
      <c r="V26" s="1016" t="str">
        <f ca="1"/>
        <v/>
      </c>
      <c r="W26" s="1017" t="str">
        <f ca="1"/>
        <v/>
      </c>
      <c r="X26" s="1006" t="str">
        <f ca="1"/>
        <v/>
      </c>
      <c r="Y26" s="1016" t="str">
        <f ca="1"/>
        <v/>
      </c>
      <c r="Z26" s="1016" t="str">
        <f ca="1"/>
        <v/>
      </c>
      <c r="AA26" s="1027" t="str">
        <f ca="1"/>
        <v/>
      </c>
      <c r="AB26" s="1034" t="str">
        <f ca="1"/>
        <v/>
      </c>
      <c r="AC26" s="1036" t="str">
        <f ca="1"/>
        <v/>
      </c>
      <c r="AD26" s="1016" t="str">
        <f ca="1"/>
        <v/>
      </c>
      <c r="AE26" s="1019" t="str">
        <f ca="1"/>
        <v/>
      </c>
      <c r="AF26" s="1016" t="str">
        <f ca="1"/>
        <v/>
      </c>
      <c r="AG26" s="1028" t="str">
        <f ca="1"/>
        <v/>
      </c>
      <c r="AH26" s="995" t="s">
        <v>12</v>
      </c>
    </row>
    <row r="27" spans="2:34">
      <c r="B27" s="788" t="s">
        <v>1796</v>
      </c>
      <c r="C27" s="875"/>
      <c r="E27" s="1085" t="str">
        <f ca="1"/>
        <v/>
      </c>
      <c r="F27" s="1044" t="str">
        <f ca="1"/>
        <v/>
      </c>
      <c r="G27" s="1045" t="str">
        <f ca="1"/>
        <v/>
      </c>
      <c r="H27" s="1058" t="str">
        <f ca="1"/>
        <v/>
      </c>
      <c r="I27" s="1006" t="str">
        <f ca="1"/>
        <v/>
      </c>
      <c r="J27" s="1016" t="str">
        <f ca="1"/>
        <v/>
      </c>
      <c r="K27" s="1016" t="str">
        <f ca="1"/>
        <v/>
      </c>
      <c r="L27" s="1027" t="str">
        <f ca="1"/>
        <v/>
      </c>
      <c r="M27" s="1249" t="str">
        <f ca="1"/>
        <v/>
      </c>
      <c r="N27" s="1016" t="str">
        <f ca="1"/>
        <v/>
      </c>
      <c r="O27" s="1019" t="str">
        <f ca="1"/>
        <v/>
      </c>
      <c r="P27" s="1016" t="str">
        <f ca="1"/>
        <v/>
      </c>
      <c r="Q27" s="1028" t="str">
        <f ca="1"/>
        <v/>
      </c>
      <c r="R27" s="995" t="s">
        <v>12</v>
      </c>
      <c r="S27" s="1015" t="str">
        <f ca="1"/>
        <v/>
      </c>
      <c r="T27" s="1006" t="str">
        <f ca="1"/>
        <v/>
      </c>
      <c r="U27" s="1006" t="str">
        <f ca="1"/>
        <v/>
      </c>
      <c r="V27" s="1016" t="str">
        <f ca="1"/>
        <v/>
      </c>
      <c r="W27" s="1017" t="str">
        <f ca="1"/>
        <v/>
      </c>
      <c r="X27" s="1006" t="str">
        <f ca="1"/>
        <v/>
      </c>
      <c r="Y27" s="1016" t="str">
        <f ca="1"/>
        <v/>
      </c>
      <c r="Z27" s="1016" t="str">
        <f ca="1"/>
        <v/>
      </c>
      <c r="AA27" s="1027" t="str">
        <f ca="1"/>
        <v/>
      </c>
      <c r="AB27" s="1034" t="str">
        <f ca="1"/>
        <v/>
      </c>
      <c r="AC27" s="1036" t="str">
        <f ca="1"/>
        <v/>
      </c>
      <c r="AD27" s="1016" t="str">
        <f ca="1"/>
        <v/>
      </c>
      <c r="AE27" s="1019" t="str">
        <f ca="1"/>
        <v/>
      </c>
      <c r="AF27" s="1016" t="str">
        <f ca="1"/>
        <v/>
      </c>
      <c r="AG27" s="1028" t="str">
        <f ca="1"/>
        <v/>
      </c>
      <c r="AH27" s="995" t="s">
        <v>12</v>
      </c>
    </row>
    <row r="28" spans="2:34">
      <c r="B28" s="789" t="s">
        <v>1797</v>
      </c>
      <c r="C28" s="876"/>
      <c r="E28" s="1085" t="str">
        <f ca="1"/>
        <v/>
      </c>
      <c r="F28" s="1044" t="str">
        <f ca="1"/>
        <v/>
      </c>
      <c r="G28" s="1045" t="str">
        <f ca="1"/>
        <v/>
      </c>
      <c r="H28" s="1058" t="str">
        <f ca="1"/>
        <v/>
      </c>
      <c r="I28" s="1006" t="str">
        <f ca="1"/>
        <v/>
      </c>
      <c r="J28" s="1016" t="str">
        <f ca="1"/>
        <v/>
      </c>
      <c r="K28" s="1016" t="str">
        <f ca="1"/>
        <v/>
      </c>
      <c r="L28" s="1027" t="str">
        <f ca="1"/>
        <v/>
      </c>
      <c r="M28" s="1249" t="str">
        <f ca="1"/>
        <v/>
      </c>
      <c r="N28" s="1016" t="str">
        <f ca="1"/>
        <v/>
      </c>
      <c r="O28" s="1019" t="str">
        <f ca="1"/>
        <v/>
      </c>
      <c r="P28" s="1016" t="str">
        <f ca="1"/>
        <v/>
      </c>
      <c r="Q28" s="1028" t="str">
        <f ca="1"/>
        <v/>
      </c>
      <c r="R28" s="995" t="s">
        <v>12</v>
      </c>
      <c r="S28" s="1015" t="str">
        <f ca="1"/>
        <v/>
      </c>
      <c r="T28" s="1006" t="str">
        <f ca="1"/>
        <v/>
      </c>
      <c r="U28" s="1006" t="str">
        <f ca="1"/>
        <v/>
      </c>
      <c r="V28" s="1016" t="str">
        <f ca="1"/>
        <v/>
      </c>
      <c r="W28" s="1017" t="str">
        <f ca="1"/>
        <v/>
      </c>
      <c r="X28" s="1006" t="str">
        <f ca="1"/>
        <v/>
      </c>
      <c r="Y28" s="1016" t="str">
        <f ca="1"/>
        <v/>
      </c>
      <c r="Z28" s="1016" t="str">
        <f ca="1"/>
        <v/>
      </c>
      <c r="AA28" s="1027" t="str">
        <f ca="1"/>
        <v/>
      </c>
      <c r="AB28" s="1034" t="str">
        <f ca="1"/>
        <v/>
      </c>
      <c r="AC28" s="1036" t="str">
        <f ca="1"/>
        <v/>
      </c>
      <c r="AD28" s="1016" t="str">
        <f ca="1"/>
        <v/>
      </c>
      <c r="AE28" s="1019" t="str">
        <f ca="1"/>
        <v/>
      </c>
      <c r="AF28" s="1016" t="str">
        <f ca="1"/>
        <v/>
      </c>
      <c r="AG28" s="1028" t="str">
        <f ca="1"/>
        <v/>
      </c>
      <c r="AH28" s="995" t="s">
        <v>12</v>
      </c>
    </row>
    <row r="29" spans="2:34">
      <c r="E29" s="1085" t="str">
        <f ca="1"/>
        <v/>
      </c>
      <c r="F29" s="1044" t="str">
        <f ca="1"/>
        <v/>
      </c>
      <c r="G29" s="1045" t="str">
        <f ca="1"/>
        <v/>
      </c>
      <c r="H29" s="1058" t="str">
        <f ca="1"/>
        <v/>
      </c>
      <c r="I29" s="1006" t="str">
        <f ca="1"/>
        <v/>
      </c>
      <c r="J29" s="1016" t="str">
        <f ca="1"/>
        <v/>
      </c>
      <c r="K29" s="1016" t="str">
        <f ca="1"/>
        <v/>
      </c>
      <c r="L29" s="1027" t="str">
        <f ca="1"/>
        <v/>
      </c>
      <c r="M29" s="1249" t="str">
        <f ca="1"/>
        <v/>
      </c>
      <c r="N29" s="1016" t="str">
        <f ca="1"/>
        <v/>
      </c>
      <c r="O29" s="1019" t="str">
        <f ca="1"/>
        <v/>
      </c>
      <c r="P29" s="1016" t="str">
        <f ca="1"/>
        <v/>
      </c>
      <c r="Q29" s="1028" t="str">
        <f ca="1"/>
        <v/>
      </c>
      <c r="R29" s="995" t="s">
        <v>12</v>
      </c>
      <c r="S29" s="1015" t="str">
        <f ca="1"/>
        <v/>
      </c>
      <c r="T29" s="1006" t="str">
        <f ca="1"/>
        <v/>
      </c>
      <c r="U29" s="1006" t="str">
        <f ca="1"/>
        <v/>
      </c>
      <c r="V29" s="1016" t="str">
        <f ca="1"/>
        <v/>
      </c>
      <c r="W29" s="1017" t="str">
        <f ca="1"/>
        <v/>
      </c>
      <c r="X29" s="1006" t="str">
        <f ca="1"/>
        <v/>
      </c>
      <c r="Y29" s="1016" t="str">
        <f ca="1"/>
        <v/>
      </c>
      <c r="Z29" s="1016" t="str">
        <f ca="1"/>
        <v/>
      </c>
      <c r="AA29" s="1027" t="str">
        <f ca="1"/>
        <v/>
      </c>
      <c r="AB29" s="1034" t="str">
        <f ca="1"/>
        <v/>
      </c>
      <c r="AC29" s="1036" t="str">
        <f ca="1"/>
        <v/>
      </c>
      <c r="AD29" s="1016" t="str">
        <f ca="1"/>
        <v/>
      </c>
      <c r="AE29" s="1019" t="str">
        <f ca="1"/>
        <v/>
      </c>
      <c r="AF29" s="1016" t="str">
        <f ca="1"/>
        <v/>
      </c>
      <c r="AG29" s="1028" t="str">
        <f ca="1"/>
        <v/>
      </c>
      <c r="AH29" s="995" t="s">
        <v>12</v>
      </c>
    </row>
    <row r="30" spans="2:34">
      <c r="E30" s="1085" t="str">
        <f ca="1"/>
        <v/>
      </c>
      <c r="F30" s="1044" t="str">
        <f ca="1"/>
        <v/>
      </c>
      <c r="G30" s="1045" t="str">
        <f ca="1"/>
        <v/>
      </c>
      <c r="H30" s="1058" t="str">
        <f ca="1"/>
        <v/>
      </c>
      <c r="I30" s="1006" t="str">
        <f ca="1"/>
        <v/>
      </c>
      <c r="J30" s="1016" t="str">
        <f ca="1"/>
        <v/>
      </c>
      <c r="K30" s="1016" t="str">
        <f ca="1"/>
        <v/>
      </c>
      <c r="L30" s="1027" t="str">
        <f ca="1"/>
        <v/>
      </c>
      <c r="M30" s="1249" t="str">
        <f ca="1"/>
        <v/>
      </c>
      <c r="N30" s="1016" t="str">
        <f ca="1"/>
        <v/>
      </c>
      <c r="O30" s="1019" t="str">
        <f ca="1"/>
        <v/>
      </c>
      <c r="P30" s="1016" t="str">
        <f ca="1"/>
        <v/>
      </c>
      <c r="Q30" s="1028" t="str">
        <f ca="1"/>
        <v/>
      </c>
      <c r="R30" s="995" t="s">
        <v>12</v>
      </c>
      <c r="S30" s="1015" t="str">
        <f ca="1"/>
        <v/>
      </c>
      <c r="T30" s="1006" t="str">
        <f ca="1"/>
        <v/>
      </c>
      <c r="U30" s="1006" t="str">
        <f ca="1"/>
        <v/>
      </c>
      <c r="V30" s="1016" t="str">
        <f ca="1"/>
        <v/>
      </c>
      <c r="W30" s="1017" t="str">
        <f ca="1"/>
        <v/>
      </c>
      <c r="X30" s="1006" t="str">
        <f ca="1"/>
        <v/>
      </c>
      <c r="Y30" s="1016" t="str">
        <f ca="1"/>
        <v/>
      </c>
      <c r="Z30" s="1016" t="str">
        <f ca="1"/>
        <v/>
      </c>
      <c r="AA30" s="1027" t="str">
        <f ca="1"/>
        <v/>
      </c>
      <c r="AB30" s="1034" t="str">
        <f ca="1"/>
        <v/>
      </c>
      <c r="AC30" s="1036" t="str">
        <f ca="1"/>
        <v/>
      </c>
      <c r="AD30" s="1016" t="str">
        <f ca="1"/>
        <v/>
      </c>
      <c r="AE30" s="1019" t="str">
        <f ca="1"/>
        <v/>
      </c>
      <c r="AF30" s="1016" t="str">
        <f ca="1"/>
        <v/>
      </c>
      <c r="AG30" s="1028" t="str">
        <f ca="1"/>
        <v/>
      </c>
      <c r="AH30" s="995" t="s">
        <v>12</v>
      </c>
    </row>
    <row r="31" spans="2:34">
      <c r="E31" s="1085" t="str">
        <f ca="1"/>
        <v/>
      </c>
      <c r="F31" s="1044" t="str">
        <f ca="1"/>
        <v/>
      </c>
      <c r="G31" s="1045" t="str">
        <f ca="1"/>
        <v/>
      </c>
      <c r="H31" s="1058" t="str">
        <f ca="1"/>
        <v/>
      </c>
      <c r="I31" s="1006" t="str">
        <f ca="1"/>
        <v/>
      </c>
      <c r="J31" s="1016" t="str">
        <f ca="1"/>
        <v/>
      </c>
      <c r="K31" s="1016" t="str">
        <f ca="1"/>
        <v/>
      </c>
      <c r="L31" s="1027" t="str">
        <f ca="1"/>
        <v/>
      </c>
      <c r="M31" s="1249" t="str">
        <f ca="1"/>
        <v/>
      </c>
      <c r="N31" s="1016" t="str">
        <f ca="1"/>
        <v/>
      </c>
      <c r="O31" s="1019" t="str">
        <f ca="1"/>
        <v/>
      </c>
      <c r="P31" s="1016" t="str">
        <f ca="1"/>
        <v/>
      </c>
      <c r="Q31" s="1028" t="str">
        <f ca="1"/>
        <v/>
      </c>
      <c r="R31" s="995" t="s">
        <v>12</v>
      </c>
      <c r="S31" s="1015" t="str">
        <f ca="1"/>
        <v/>
      </c>
      <c r="T31" s="1006" t="str">
        <f ca="1"/>
        <v/>
      </c>
      <c r="U31" s="1006" t="str">
        <f ca="1"/>
        <v/>
      </c>
      <c r="V31" s="1016" t="str">
        <f ca="1"/>
        <v/>
      </c>
      <c r="W31" s="1017" t="str">
        <f ca="1"/>
        <v/>
      </c>
      <c r="X31" s="1006" t="str">
        <f ca="1"/>
        <v/>
      </c>
      <c r="Y31" s="1016" t="str">
        <f ca="1"/>
        <v/>
      </c>
      <c r="Z31" s="1016" t="str">
        <f ca="1"/>
        <v/>
      </c>
      <c r="AA31" s="1027" t="str">
        <f ca="1"/>
        <v/>
      </c>
      <c r="AB31" s="1034" t="str">
        <f ca="1"/>
        <v/>
      </c>
      <c r="AC31" s="1036" t="str">
        <f ca="1"/>
        <v/>
      </c>
      <c r="AD31" s="1016" t="str">
        <f ca="1"/>
        <v/>
      </c>
      <c r="AE31" s="1019" t="str">
        <f ca="1"/>
        <v/>
      </c>
      <c r="AF31" s="1016" t="str">
        <f ca="1"/>
        <v/>
      </c>
      <c r="AG31" s="1028" t="str">
        <f ca="1"/>
        <v/>
      </c>
      <c r="AH31" s="995" t="s">
        <v>12</v>
      </c>
    </row>
    <row r="32" spans="2:34">
      <c r="E32" s="1085" t="str">
        <f ca="1"/>
        <v/>
      </c>
      <c r="F32" s="1044" t="str">
        <f ca="1"/>
        <v/>
      </c>
      <c r="G32" s="1045" t="str">
        <f ca="1"/>
        <v/>
      </c>
      <c r="H32" s="1058" t="str">
        <f ca="1"/>
        <v/>
      </c>
      <c r="I32" s="1006" t="str">
        <f ca="1"/>
        <v/>
      </c>
      <c r="J32" s="1016" t="str">
        <f ca="1"/>
        <v/>
      </c>
      <c r="K32" s="1016" t="str">
        <f ca="1"/>
        <v/>
      </c>
      <c r="L32" s="1027" t="str">
        <f ca="1"/>
        <v/>
      </c>
      <c r="M32" s="1249" t="str">
        <f ca="1"/>
        <v/>
      </c>
      <c r="N32" s="1016" t="str">
        <f ca="1"/>
        <v/>
      </c>
      <c r="O32" s="1019" t="str">
        <f ca="1"/>
        <v/>
      </c>
      <c r="P32" s="1016" t="str">
        <f ca="1"/>
        <v/>
      </c>
      <c r="Q32" s="1028" t="str">
        <f ca="1"/>
        <v/>
      </c>
      <c r="R32" s="995" t="s">
        <v>12</v>
      </c>
      <c r="S32" s="1015" t="str">
        <f ca="1"/>
        <v/>
      </c>
      <c r="T32" s="1006" t="str">
        <f ca="1"/>
        <v/>
      </c>
      <c r="U32" s="1006" t="str">
        <f ca="1"/>
        <v/>
      </c>
      <c r="V32" s="1016" t="str">
        <f ca="1"/>
        <v/>
      </c>
      <c r="W32" s="1017" t="str">
        <f ca="1"/>
        <v/>
      </c>
      <c r="X32" s="1006" t="str">
        <f ca="1"/>
        <v/>
      </c>
      <c r="Y32" s="1016" t="str">
        <f ca="1"/>
        <v/>
      </c>
      <c r="Z32" s="1016" t="str">
        <f ca="1"/>
        <v/>
      </c>
      <c r="AA32" s="1027" t="str">
        <f ca="1"/>
        <v/>
      </c>
      <c r="AB32" s="1034" t="str">
        <f ca="1"/>
        <v/>
      </c>
      <c r="AC32" s="1036" t="str">
        <f ca="1"/>
        <v/>
      </c>
      <c r="AD32" s="1016" t="str">
        <f ca="1"/>
        <v/>
      </c>
      <c r="AE32" s="1019" t="str">
        <f ca="1"/>
        <v/>
      </c>
      <c r="AF32" s="1016" t="str">
        <f ca="1"/>
        <v/>
      </c>
      <c r="AG32" s="1028" t="str">
        <f ca="1"/>
        <v/>
      </c>
      <c r="AH32" s="995" t="s">
        <v>12</v>
      </c>
    </row>
    <row r="33" spans="5:34">
      <c r="E33" s="1085" t="str">
        <f ca="1"/>
        <v/>
      </c>
      <c r="F33" s="1044" t="str">
        <f ca="1"/>
        <v/>
      </c>
      <c r="G33" s="1045" t="str">
        <f ca="1"/>
        <v/>
      </c>
      <c r="H33" s="1058" t="str">
        <f ca="1"/>
        <v/>
      </c>
      <c r="I33" s="1006" t="str">
        <f ca="1"/>
        <v/>
      </c>
      <c r="J33" s="1016" t="str">
        <f ca="1"/>
        <v/>
      </c>
      <c r="K33" s="1016" t="str">
        <f ca="1"/>
        <v/>
      </c>
      <c r="L33" s="1027" t="str">
        <f ca="1"/>
        <v/>
      </c>
      <c r="M33" s="1249" t="str">
        <f ca="1"/>
        <v/>
      </c>
      <c r="N33" s="1016" t="str">
        <f ca="1"/>
        <v/>
      </c>
      <c r="O33" s="1019" t="str">
        <f ca="1"/>
        <v/>
      </c>
      <c r="P33" s="1016" t="str">
        <f ca="1"/>
        <v/>
      </c>
      <c r="Q33" s="1028" t="str">
        <f ca="1"/>
        <v/>
      </c>
      <c r="R33" s="995" t="s">
        <v>12</v>
      </c>
      <c r="S33" s="1015" t="str">
        <f ca="1"/>
        <v/>
      </c>
      <c r="T33" s="1006" t="str">
        <f ca="1"/>
        <v/>
      </c>
      <c r="U33" s="1006" t="str">
        <f ca="1"/>
        <v/>
      </c>
      <c r="V33" s="1016" t="str">
        <f ca="1"/>
        <v/>
      </c>
      <c r="W33" s="1017" t="str">
        <f ca="1"/>
        <v/>
      </c>
      <c r="X33" s="1006" t="str">
        <f ca="1"/>
        <v/>
      </c>
      <c r="Y33" s="1016" t="str">
        <f ca="1"/>
        <v/>
      </c>
      <c r="Z33" s="1016" t="str">
        <f ca="1"/>
        <v/>
      </c>
      <c r="AA33" s="1027" t="str">
        <f ca="1"/>
        <v/>
      </c>
      <c r="AB33" s="1034" t="str">
        <f ca="1"/>
        <v/>
      </c>
      <c r="AC33" s="1036" t="str">
        <f ca="1"/>
        <v/>
      </c>
      <c r="AD33" s="1016" t="str">
        <f ca="1"/>
        <v/>
      </c>
      <c r="AE33" s="1019" t="str">
        <f ca="1"/>
        <v/>
      </c>
      <c r="AF33" s="1016" t="str">
        <f ca="1"/>
        <v/>
      </c>
      <c r="AG33" s="1028" t="str">
        <f ca="1"/>
        <v/>
      </c>
      <c r="AH33" s="995" t="s">
        <v>12</v>
      </c>
    </row>
    <row r="34" spans="5:34">
      <c r="E34" s="1085" t="str">
        <f ca="1"/>
        <v/>
      </c>
      <c r="F34" s="1044" t="str">
        <f ca="1"/>
        <v/>
      </c>
      <c r="G34" s="1045" t="str">
        <f ca="1"/>
        <v/>
      </c>
      <c r="H34" s="1058" t="str">
        <f ca="1"/>
        <v/>
      </c>
      <c r="I34" s="1006" t="str">
        <f ca="1"/>
        <v/>
      </c>
      <c r="J34" s="1016" t="str">
        <f ca="1"/>
        <v/>
      </c>
      <c r="K34" s="1016" t="str">
        <f ca="1"/>
        <v/>
      </c>
      <c r="L34" s="1027" t="str">
        <f ca="1"/>
        <v/>
      </c>
      <c r="M34" s="1249" t="str">
        <f ca="1"/>
        <v/>
      </c>
      <c r="N34" s="1016" t="str">
        <f ca="1"/>
        <v/>
      </c>
      <c r="O34" s="1019" t="str">
        <f ca="1"/>
        <v/>
      </c>
      <c r="P34" s="1016" t="str">
        <f ca="1"/>
        <v/>
      </c>
      <c r="Q34" s="1028" t="str">
        <f ca="1"/>
        <v/>
      </c>
      <c r="R34" s="995" t="s">
        <v>12</v>
      </c>
      <c r="S34" s="1015" t="str">
        <f ca="1"/>
        <v/>
      </c>
      <c r="T34" s="1006" t="str">
        <f ca="1"/>
        <v/>
      </c>
      <c r="U34" s="1006" t="str">
        <f ca="1"/>
        <v/>
      </c>
      <c r="V34" s="1016" t="str">
        <f ca="1"/>
        <v/>
      </c>
      <c r="W34" s="1017" t="str">
        <f ca="1"/>
        <v/>
      </c>
      <c r="X34" s="1006" t="str">
        <f ca="1"/>
        <v/>
      </c>
      <c r="Y34" s="1016" t="str">
        <f ca="1"/>
        <v/>
      </c>
      <c r="Z34" s="1016" t="str">
        <f ca="1"/>
        <v/>
      </c>
      <c r="AA34" s="1027" t="str">
        <f ca="1"/>
        <v/>
      </c>
      <c r="AB34" s="1034" t="str">
        <f ca="1"/>
        <v/>
      </c>
      <c r="AC34" s="1036" t="str">
        <f ca="1"/>
        <v/>
      </c>
      <c r="AD34" s="1016" t="str">
        <f ca="1"/>
        <v/>
      </c>
      <c r="AE34" s="1019" t="str">
        <f ca="1"/>
        <v/>
      </c>
      <c r="AF34" s="1016" t="str">
        <f ca="1"/>
        <v/>
      </c>
      <c r="AG34" s="1028" t="str">
        <f ca="1"/>
        <v/>
      </c>
      <c r="AH34" s="995" t="s">
        <v>12</v>
      </c>
    </row>
    <row r="35" spans="5:34">
      <c r="E35" s="1085" t="str">
        <f ca="1"/>
        <v/>
      </c>
      <c r="F35" s="1044" t="str">
        <f ca="1"/>
        <v/>
      </c>
      <c r="G35" s="1045" t="str">
        <f ca="1"/>
        <v/>
      </c>
      <c r="H35" s="1058" t="str">
        <f ca="1"/>
        <v/>
      </c>
      <c r="I35" s="1006" t="str">
        <f ca="1"/>
        <v/>
      </c>
      <c r="J35" s="1016" t="str">
        <f ca="1"/>
        <v/>
      </c>
      <c r="K35" s="1016" t="str">
        <f ca="1"/>
        <v/>
      </c>
      <c r="L35" s="1027" t="str">
        <f ca="1"/>
        <v/>
      </c>
      <c r="M35" s="1249" t="str">
        <f ca="1"/>
        <v/>
      </c>
      <c r="N35" s="1016" t="str">
        <f ca="1"/>
        <v/>
      </c>
      <c r="O35" s="1019" t="str">
        <f ca="1"/>
        <v/>
      </c>
      <c r="P35" s="1016" t="str">
        <f ca="1"/>
        <v/>
      </c>
      <c r="Q35" s="1028" t="str">
        <f ca="1"/>
        <v/>
      </c>
      <c r="R35" s="995" t="s">
        <v>12</v>
      </c>
      <c r="S35" s="1015" t="str">
        <f ca="1"/>
        <v/>
      </c>
      <c r="T35" s="1006" t="str">
        <f ca="1"/>
        <v/>
      </c>
      <c r="U35" s="1006" t="str">
        <f ca="1"/>
        <v/>
      </c>
      <c r="V35" s="1016" t="str">
        <f ca="1"/>
        <v/>
      </c>
      <c r="W35" s="1017" t="str">
        <f ca="1"/>
        <v/>
      </c>
      <c r="X35" s="1006" t="str">
        <f ca="1"/>
        <v/>
      </c>
      <c r="Y35" s="1016" t="str">
        <f ca="1"/>
        <v/>
      </c>
      <c r="Z35" s="1016" t="str">
        <f ca="1"/>
        <v/>
      </c>
      <c r="AA35" s="1027" t="str">
        <f ca="1"/>
        <v/>
      </c>
      <c r="AB35" s="1034" t="str">
        <f ca="1"/>
        <v/>
      </c>
      <c r="AC35" s="1036" t="str">
        <f ca="1"/>
        <v/>
      </c>
      <c r="AD35" s="1016" t="str">
        <f ca="1"/>
        <v/>
      </c>
      <c r="AE35" s="1019" t="str">
        <f ca="1"/>
        <v/>
      </c>
      <c r="AF35" s="1016" t="str">
        <f ca="1"/>
        <v/>
      </c>
      <c r="AG35" s="1028" t="str">
        <f ca="1"/>
        <v/>
      </c>
      <c r="AH35" s="995" t="s">
        <v>12</v>
      </c>
    </row>
    <row r="36" spans="5:34">
      <c r="E36" s="1085" t="str">
        <f ca="1"/>
        <v/>
      </c>
      <c r="F36" s="1044" t="str">
        <f ca="1"/>
        <v/>
      </c>
      <c r="G36" s="1045" t="str">
        <f ca="1"/>
        <v/>
      </c>
      <c r="H36" s="1058" t="str">
        <f ca="1"/>
        <v/>
      </c>
      <c r="I36" s="1006" t="str">
        <f ca="1"/>
        <v/>
      </c>
      <c r="J36" s="1016" t="str">
        <f ca="1"/>
        <v/>
      </c>
      <c r="K36" s="1016" t="str">
        <f ca="1"/>
        <v/>
      </c>
      <c r="L36" s="1027" t="str">
        <f ca="1"/>
        <v/>
      </c>
      <c r="M36" s="1249" t="str">
        <f ca="1"/>
        <v/>
      </c>
      <c r="N36" s="1016" t="str">
        <f ca="1"/>
        <v/>
      </c>
      <c r="O36" s="1019" t="str">
        <f ca="1"/>
        <v/>
      </c>
      <c r="P36" s="1016" t="str">
        <f ca="1"/>
        <v/>
      </c>
      <c r="Q36" s="1028" t="str">
        <f ca="1"/>
        <v/>
      </c>
      <c r="R36" s="995" t="s">
        <v>12</v>
      </c>
      <c r="S36" s="1015" t="str">
        <f ca="1"/>
        <v/>
      </c>
      <c r="T36" s="1006" t="str">
        <f ca="1"/>
        <v/>
      </c>
      <c r="U36" s="1006" t="str">
        <f ca="1"/>
        <v/>
      </c>
      <c r="V36" s="1016" t="str">
        <f ca="1"/>
        <v/>
      </c>
      <c r="W36" s="1017" t="str">
        <f ca="1"/>
        <v/>
      </c>
      <c r="X36" s="1006" t="str">
        <f ca="1"/>
        <v/>
      </c>
      <c r="Y36" s="1016" t="str">
        <f ca="1"/>
        <v/>
      </c>
      <c r="Z36" s="1016" t="str">
        <f ca="1"/>
        <v/>
      </c>
      <c r="AA36" s="1027" t="str">
        <f ca="1"/>
        <v/>
      </c>
      <c r="AB36" s="1034" t="str">
        <f ca="1"/>
        <v/>
      </c>
      <c r="AC36" s="1036" t="str">
        <f ca="1"/>
        <v/>
      </c>
      <c r="AD36" s="1016" t="str">
        <f ca="1"/>
        <v/>
      </c>
      <c r="AE36" s="1019" t="str">
        <f ca="1"/>
        <v/>
      </c>
      <c r="AF36" s="1016" t="str">
        <f ca="1"/>
        <v/>
      </c>
      <c r="AG36" s="1028" t="str">
        <f ca="1"/>
        <v/>
      </c>
      <c r="AH36" s="995" t="s">
        <v>12</v>
      </c>
    </row>
    <row r="37" spans="5:34">
      <c r="E37" s="1085" t="str">
        <f ca="1"/>
        <v/>
      </c>
      <c r="F37" s="1044" t="str">
        <f ca="1"/>
        <v/>
      </c>
      <c r="G37" s="1045" t="str">
        <f ca="1"/>
        <v/>
      </c>
      <c r="H37" s="1058" t="str">
        <f ca="1"/>
        <v/>
      </c>
      <c r="I37" s="1006" t="str">
        <f ca="1"/>
        <v/>
      </c>
      <c r="J37" s="1016" t="str">
        <f ca="1"/>
        <v/>
      </c>
      <c r="K37" s="1016" t="str">
        <f ca="1"/>
        <v/>
      </c>
      <c r="L37" s="1027" t="str">
        <f ca="1"/>
        <v/>
      </c>
      <c r="M37" s="1249" t="str">
        <f ca="1"/>
        <v/>
      </c>
      <c r="N37" s="1016" t="str">
        <f ca="1"/>
        <v/>
      </c>
      <c r="O37" s="1019" t="str">
        <f ca="1"/>
        <v/>
      </c>
      <c r="P37" s="1016" t="str">
        <f ca="1"/>
        <v/>
      </c>
      <c r="Q37" s="1028" t="str">
        <f ca="1"/>
        <v/>
      </c>
      <c r="R37" s="995" t="s">
        <v>12</v>
      </c>
      <c r="S37" s="1015" t="str">
        <f ca="1"/>
        <v/>
      </c>
      <c r="T37" s="1006" t="str">
        <f ca="1"/>
        <v/>
      </c>
      <c r="U37" s="1006" t="str">
        <f ca="1"/>
        <v/>
      </c>
      <c r="V37" s="1016" t="str">
        <f ca="1"/>
        <v/>
      </c>
      <c r="W37" s="1017" t="str">
        <f ca="1"/>
        <v/>
      </c>
      <c r="X37" s="1006" t="str">
        <f ca="1"/>
        <v/>
      </c>
      <c r="Y37" s="1016" t="str">
        <f ca="1"/>
        <v/>
      </c>
      <c r="Z37" s="1016" t="str">
        <f ca="1"/>
        <v/>
      </c>
      <c r="AA37" s="1027" t="str">
        <f ca="1"/>
        <v/>
      </c>
      <c r="AB37" s="1034" t="str">
        <f ca="1"/>
        <v/>
      </c>
      <c r="AC37" s="1036" t="str">
        <f ca="1"/>
        <v/>
      </c>
      <c r="AD37" s="1016" t="str">
        <f ca="1"/>
        <v/>
      </c>
      <c r="AE37" s="1019" t="str">
        <f ca="1"/>
        <v/>
      </c>
      <c r="AF37" s="1016" t="str">
        <f ca="1"/>
        <v/>
      </c>
      <c r="AG37" s="1028" t="str">
        <f ca="1"/>
        <v/>
      </c>
      <c r="AH37" s="995" t="s">
        <v>12</v>
      </c>
    </row>
    <row r="38" spans="5:34">
      <c r="E38" s="1085" t="str">
        <f ca="1"/>
        <v/>
      </c>
      <c r="F38" s="1044" t="str">
        <f ca="1"/>
        <v/>
      </c>
      <c r="G38" s="1045" t="str">
        <f ca="1"/>
        <v/>
      </c>
      <c r="H38" s="1058" t="str">
        <f ca="1"/>
        <v/>
      </c>
      <c r="I38" s="1006" t="str">
        <f ca="1"/>
        <v/>
      </c>
      <c r="J38" s="1016" t="str">
        <f ca="1"/>
        <v/>
      </c>
      <c r="K38" s="1016" t="str">
        <f ca="1"/>
        <v/>
      </c>
      <c r="L38" s="1027" t="str">
        <f ca="1"/>
        <v/>
      </c>
      <c r="M38" s="1249" t="str">
        <f ca="1"/>
        <v/>
      </c>
      <c r="N38" s="1016" t="str">
        <f ca="1"/>
        <v/>
      </c>
      <c r="O38" s="1019" t="str">
        <f ca="1"/>
        <v/>
      </c>
      <c r="P38" s="1016" t="str">
        <f ca="1"/>
        <v/>
      </c>
      <c r="Q38" s="1028" t="str">
        <f ca="1"/>
        <v/>
      </c>
      <c r="R38" s="995" t="s">
        <v>12</v>
      </c>
      <c r="S38" s="1015" t="str">
        <f ca="1"/>
        <v/>
      </c>
      <c r="T38" s="1006" t="str">
        <f ca="1"/>
        <v/>
      </c>
      <c r="U38" s="1006" t="str">
        <f ca="1"/>
        <v/>
      </c>
      <c r="V38" s="1016" t="str">
        <f ca="1"/>
        <v/>
      </c>
      <c r="W38" s="1017" t="str">
        <f ca="1"/>
        <v/>
      </c>
      <c r="X38" s="1006" t="str">
        <f ca="1"/>
        <v/>
      </c>
      <c r="Y38" s="1016" t="str">
        <f ca="1"/>
        <v/>
      </c>
      <c r="Z38" s="1016" t="str">
        <f ca="1"/>
        <v/>
      </c>
      <c r="AA38" s="1027" t="str">
        <f ca="1"/>
        <v/>
      </c>
      <c r="AB38" s="1034" t="str">
        <f ca="1"/>
        <v/>
      </c>
      <c r="AC38" s="1036" t="str">
        <f ca="1"/>
        <v/>
      </c>
      <c r="AD38" s="1016" t="str">
        <f ca="1"/>
        <v/>
      </c>
      <c r="AE38" s="1019" t="str">
        <f ca="1"/>
        <v/>
      </c>
      <c r="AF38" s="1016" t="str">
        <f ca="1"/>
        <v/>
      </c>
      <c r="AG38" s="1028" t="str">
        <f ca="1"/>
        <v/>
      </c>
      <c r="AH38" s="995" t="s">
        <v>12</v>
      </c>
    </row>
    <row r="39" spans="5:34">
      <c r="E39" s="1085" t="str">
        <f ca="1"/>
        <v/>
      </c>
      <c r="F39" s="1044" t="str">
        <f ca="1"/>
        <v/>
      </c>
      <c r="G39" s="1045" t="str">
        <f ca="1"/>
        <v/>
      </c>
      <c r="H39" s="1058" t="str">
        <f ca="1"/>
        <v/>
      </c>
      <c r="I39" s="1006" t="str">
        <f ca="1"/>
        <v/>
      </c>
      <c r="J39" s="1016" t="str">
        <f ca="1"/>
        <v/>
      </c>
      <c r="K39" s="1016" t="str">
        <f ca="1"/>
        <v/>
      </c>
      <c r="L39" s="1027" t="str">
        <f ca="1"/>
        <v/>
      </c>
      <c r="M39" s="1249" t="str">
        <f ca="1"/>
        <v/>
      </c>
      <c r="N39" s="1016" t="str">
        <f ca="1"/>
        <v/>
      </c>
      <c r="O39" s="1019" t="str">
        <f ca="1"/>
        <v/>
      </c>
      <c r="P39" s="1016" t="str">
        <f ca="1"/>
        <v/>
      </c>
      <c r="Q39" s="1028" t="str">
        <f ca="1"/>
        <v/>
      </c>
      <c r="R39" s="995" t="s">
        <v>12</v>
      </c>
      <c r="S39" s="1015" t="str">
        <f ca="1"/>
        <v/>
      </c>
      <c r="T39" s="1006" t="str">
        <f ca="1"/>
        <v/>
      </c>
      <c r="U39" s="1006" t="str">
        <f ca="1"/>
        <v/>
      </c>
      <c r="V39" s="1016" t="str">
        <f ca="1"/>
        <v/>
      </c>
      <c r="W39" s="1017" t="str">
        <f ca="1"/>
        <v/>
      </c>
      <c r="X39" s="1006" t="str">
        <f ca="1"/>
        <v/>
      </c>
      <c r="Y39" s="1016" t="str">
        <f ca="1"/>
        <v/>
      </c>
      <c r="Z39" s="1016" t="str">
        <f ca="1"/>
        <v/>
      </c>
      <c r="AA39" s="1027" t="str">
        <f ca="1"/>
        <v/>
      </c>
      <c r="AB39" s="1034" t="str">
        <f ca="1"/>
        <v/>
      </c>
      <c r="AC39" s="1036" t="str">
        <f ca="1"/>
        <v/>
      </c>
      <c r="AD39" s="1016" t="str">
        <f ca="1"/>
        <v/>
      </c>
      <c r="AE39" s="1019" t="str">
        <f ca="1"/>
        <v/>
      </c>
      <c r="AF39" s="1016" t="str">
        <f ca="1"/>
        <v/>
      </c>
      <c r="AG39" s="1028" t="str">
        <f ca="1"/>
        <v/>
      </c>
      <c r="AH39" s="995" t="s">
        <v>12</v>
      </c>
    </row>
    <row r="40" spans="5:34">
      <c r="E40" s="1085" t="str">
        <f ca="1"/>
        <v/>
      </c>
      <c r="F40" s="1044" t="str">
        <f ca="1"/>
        <v/>
      </c>
      <c r="G40" s="1045" t="str">
        <f ca="1"/>
        <v/>
      </c>
      <c r="H40" s="1058" t="str">
        <f ca="1"/>
        <v/>
      </c>
      <c r="I40" s="1006" t="str">
        <f ca="1"/>
        <v/>
      </c>
      <c r="J40" s="1016" t="str">
        <f ca="1"/>
        <v/>
      </c>
      <c r="K40" s="1016" t="str">
        <f ca="1"/>
        <v/>
      </c>
      <c r="L40" s="1027" t="str">
        <f ca="1"/>
        <v/>
      </c>
      <c r="M40" s="1249" t="str">
        <f ca="1"/>
        <v/>
      </c>
      <c r="N40" s="1016" t="str">
        <f ca="1"/>
        <v/>
      </c>
      <c r="O40" s="1019" t="str">
        <f ca="1"/>
        <v/>
      </c>
      <c r="P40" s="1016" t="str">
        <f ca="1"/>
        <v/>
      </c>
      <c r="Q40" s="1028" t="str">
        <f ca="1"/>
        <v/>
      </c>
      <c r="R40" s="995" t="s">
        <v>12</v>
      </c>
      <c r="S40" s="1015" t="str">
        <f ca="1"/>
        <v/>
      </c>
      <c r="T40" s="1006" t="str">
        <f ca="1"/>
        <v/>
      </c>
      <c r="U40" s="1006" t="str">
        <f ca="1"/>
        <v/>
      </c>
      <c r="V40" s="1016" t="str">
        <f ca="1"/>
        <v/>
      </c>
      <c r="W40" s="1017" t="str">
        <f ca="1"/>
        <v/>
      </c>
      <c r="X40" s="1006" t="str">
        <f ca="1"/>
        <v/>
      </c>
      <c r="Y40" s="1016" t="str">
        <f ca="1"/>
        <v/>
      </c>
      <c r="Z40" s="1016" t="str">
        <f ca="1"/>
        <v/>
      </c>
      <c r="AA40" s="1027" t="str">
        <f ca="1"/>
        <v/>
      </c>
      <c r="AB40" s="1034" t="str">
        <f ca="1"/>
        <v/>
      </c>
      <c r="AC40" s="1036" t="str">
        <f ca="1"/>
        <v/>
      </c>
      <c r="AD40" s="1016" t="str">
        <f ca="1"/>
        <v/>
      </c>
      <c r="AE40" s="1019" t="str">
        <f ca="1"/>
        <v/>
      </c>
      <c r="AF40" s="1016" t="str">
        <f ca="1"/>
        <v/>
      </c>
      <c r="AG40" s="1028" t="str">
        <f ca="1"/>
        <v/>
      </c>
      <c r="AH40" s="995" t="s">
        <v>12</v>
      </c>
    </row>
    <row r="41" spans="5:34">
      <c r="E41" s="1085" t="str">
        <f ca="1"/>
        <v/>
      </c>
      <c r="F41" s="1044" t="str">
        <f ca="1"/>
        <v/>
      </c>
      <c r="G41" s="1045" t="str">
        <f ca="1"/>
        <v/>
      </c>
      <c r="H41" s="1058" t="str">
        <f ca="1"/>
        <v/>
      </c>
      <c r="I41" s="1006" t="str">
        <f ca="1"/>
        <v/>
      </c>
      <c r="J41" s="1016" t="str">
        <f ca="1"/>
        <v/>
      </c>
      <c r="K41" s="1016" t="str">
        <f ca="1"/>
        <v/>
      </c>
      <c r="L41" s="1027" t="str">
        <f ca="1"/>
        <v/>
      </c>
      <c r="M41" s="1249" t="str">
        <f ca="1"/>
        <v/>
      </c>
      <c r="N41" s="1016" t="str">
        <f ca="1"/>
        <v/>
      </c>
      <c r="O41" s="1019" t="str">
        <f ca="1"/>
        <v/>
      </c>
      <c r="P41" s="1016" t="str">
        <f ca="1"/>
        <v/>
      </c>
      <c r="Q41" s="1028" t="str">
        <f ca="1"/>
        <v/>
      </c>
      <c r="R41" s="995" t="s">
        <v>12</v>
      </c>
      <c r="S41" s="1015" t="str">
        <f ca="1"/>
        <v/>
      </c>
      <c r="T41" s="1006" t="str">
        <f ca="1"/>
        <v/>
      </c>
      <c r="U41" s="1006" t="str">
        <f ca="1"/>
        <v/>
      </c>
      <c r="V41" s="1016" t="str">
        <f ca="1"/>
        <v/>
      </c>
      <c r="W41" s="1017" t="str">
        <f ca="1"/>
        <v/>
      </c>
      <c r="X41" s="1006" t="str">
        <f ca="1"/>
        <v/>
      </c>
      <c r="Y41" s="1016" t="str">
        <f ca="1"/>
        <v/>
      </c>
      <c r="Z41" s="1016" t="str">
        <f ca="1"/>
        <v/>
      </c>
      <c r="AA41" s="1027" t="str">
        <f ca="1"/>
        <v/>
      </c>
      <c r="AB41" s="1034" t="str">
        <f ca="1"/>
        <v/>
      </c>
      <c r="AC41" s="1036" t="str">
        <f ca="1"/>
        <v/>
      </c>
      <c r="AD41" s="1016" t="str">
        <f ca="1"/>
        <v/>
      </c>
      <c r="AE41" s="1019" t="str">
        <f ca="1"/>
        <v/>
      </c>
      <c r="AF41" s="1016" t="str">
        <f ca="1"/>
        <v/>
      </c>
      <c r="AG41" s="1028" t="str">
        <f ca="1"/>
        <v/>
      </c>
      <c r="AH41" s="995" t="s">
        <v>12</v>
      </c>
    </row>
    <row r="42" spans="5:34">
      <c r="E42" s="1085" t="str">
        <f ca="1"/>
        <v/>
      </c>
      <c r="F42" s="1044" t="str">
        <f ca="1"/>
        <v/>
      </c>
      <c r="G42" s="1045" t="str">
        <f ca="1"/>
        <v/>
      </c>
      <c r="H42" s="1058" t="str">
        <f ca="1"/>
        <v/>
      </c>
      <c r="I42" s="1006" t="str">
        <f ca="1"/>
        <v/>
      </c>
      <c r="J42" s="1016" t="str">
        <f ca="1"/>
        <v/>
      </c>
      <c r="K42" s="1016" t="str">
        <f ca="1"/>
        <v/>
      </c>
      <c r="L42" s="1027" t="str">
        <f ca="1"/>
        <v/>
      </c>
      <c r="M42" s="1249" t="str">
        <f ca="1"/>
        <v/>
      </c>
      <c r="N42" s="1016" t="str">
        <f ca="1"/>
        <v/>
      </c>
      <c r="O42" s="1019" t="str">
        <f ca="1"/>
        <v/>
      </c>
      <c r="P42" s="1016" t="str">
        <f ca="1"/>
        <v/>
      </c>
      <c r="Q42" s="1028" t="str">
        <f ca="1"/>
        <v/>
      </c>
      <c r="R42" s="995" t="s">
        <v>12</v>
      </c>
      <c r="S42" s="1015" t="str">
        <f ca="1"/>
        <v/>
      </c>
      <c r="T42" s="1006" t="str">
        <f ca="1"/>
        <v/>
      </c>
      <c r="U42" s="1006" t="str">
        <f ca="1"/>
        <v/>
      </c>
      <c r="V42" s="1016" t="str">
        <f ca="1"/>
        <v/>
      </c>
      <c r="W42" s="1017" t="str">
        <f ca="1"/>
        <v/>
      </c>
      <c r="X42" s="1006" t="str">
        <f ca="1"/>
        <v/>
      </c>
      <c r="Y42" s="1016" t="str">
        <f ca="1"/>
        <v/>
      </c>
      <c r="Z42" s="1016" t="str">
        <f ca="1"/>
        <v/>
      </c>
      <c r="AA42" s="1027" t="str">
        <f ca="1"/>
        <v/>
      </c>
      <c r="AB42" s="1034" t="str">
        <f ca="1"/>
        <v/>
      </c>
      <c r="AC42" s="1036" t="str">
        <f ca="1"/>
        <v/>
      </c>
      <c r="AD42" s="1016" t="str">
        <f ca="1"/>
        <v/>
      </c>
      <c r="AE42" s="1019" t="str">
        <f ca="1"/>
        <v/>
      </c>
      <c r="AF42" s="1016" t="str">
        <f ca="1"/>
        <v/>
      </c>
      <c r="AG42" s="1028" t="str">
        <f ca="1"/>
        <v/>
      </c>
      <c r="AH42" s="995" t="s">
        <v>12</v>
      </c>
    </row>
    <row r="43" spans="5:34">
      <c r="E43" s="1085" t="str">
        <f ca="1"/>
        <v/>
      </c>
      <c r="F43" s="1044" t="str">
        <f ca="1"/>
        <v/>
      </c>
      <c r="G43" s="1045" t="str">
        <f ca="1"/>
        <v/>
      </c>
      <c r="H43" s="1058" t="str">
        <f ca="1"/>
        <v/>
      </c>
      <c r="I43" s="1006" t="str">
        <f ca="1"/>
        <v/>
      </c>
      <c r="J43" s="1016" t="str">
        <f ca="1"/>
        <v/>
      </c>
      <c r="K43" s="1016" t="str">
        <f ca="1"/>
        <v/>
      </c>
      <c r="L43" s="1027" t="str">
        <f ca="1"/>
        <v/>
      </c>
      <c r="M43" s="1249" t="str">
        <f ca="1"/>
        <v/>
      </c>
      <c r="N43" s="1016" t="str">
        <f ca="1"/>
        <v/>
      </c>
      <c r="O43" s="1019" t="str">
        <f ca="1"/>
        <v/>
      </c>
      <c r="P43" s="1016" t="str">
        <f ca="1"/>
        <v/>
      </c>
      <c r="Q43" s="1028" t="str">
        <f ca="1"/>
        <v/>
      </c>
      <c r="R43" s="995" t="s">
        <v>12</v>
      </c>
      <c r="S43" s="1015" t="str">
        <f ca="1"/>
        <v/>
      </c>
      <c r="T43" s="1006" t="str">
        <f ca="1"/>
        <v/>
      </c>
      <c r="U43" s="1006" t="str">
        <f ca="1"/>
        <v/>
      </c>
      <c r="V43" s="1016" t="str">
        <f ca="1"/>
        <v/>
      </c>
      <c r="W43" s="1017" t="str">
        <f ca="1"/>
        <v/>
      </c>
      <c r="X43" s="1006" t="str">
        <f ca="1"/>
        <v/>
      </c>
      <c r="Y43" s="1016" t="str">
        <f ca="1"/>
        <v/>
      </c>
      <c r="Z43" s="1016" t="str">
        <f ca="1"/>
        <v/>
      </c>
      <c r="AA43" s="1027" t="str">
        <f ca="1"/>
        <v/>
      </c>
      <c r="AB43" s="1034" t="str">
        <f ca="1"/>
        <v/>
      </c>
      <c r="AC43" s="1036" t="str">
        <f ca="1"/>
        <v/>
      </c>
      <c r="AD43" s="1016" t="str">
        <f ca="1"/>
        <v/>
      </c>
      <c r="AE43" s="1019" t="str">
        <f ca="1"/>
        <v/>
      </c>
      <c r="AF43" s="1016" t="str">
        <f ca="1"/>
        <v/>
      </c>
      <c r="AG43" s="1028" t="str">
        <f ca="1"/>
        <v/>
      </c>
      <c r="AH43" s="995" t="s">
        <v>12</v>
      </c>
    </row>
    <row r="44" spans="5:34">
      <c r="E44" s="1085" t="str">
        <f ca="1"/>
        <v/>
      </c>
      <c r="F44" s="1044" t="str">
        <f ca="1"/>
        <v/>
      </c>
      <c r="G44" s="1045" t="str">
        <f ca="1"/>
        <v/>
      </c>
      <c r="H44" s="1058" t="str">
        <f ca="1"/>
        <v/>
      </c>
      <c r="I44" s="1006" t="str">
        <f ca="1"/>
        <v/>
      </c>
      <c r="J44" s="1016" t="str">
        <f ca="1"/>
        <v/>
      </c>
      <c r="K44" s="1016" t="str">
        <f ca="1"/>
        <v/>
      </c>
      <c r="L44" s="1027" t="str">
        <f ca="1"/>
        <v/>
      </c>
      <c r="M44" s="1249" t="str">
        <f ca="1"/>
        <v/>
      </c>
      <c r="N44" s="1016" t="str">
        <f ca="1"/>
        <v/>
      </c>
      <c r="O44" s="1019" t="str">
        <f ca="1"/>
        <v/>
      </c>
      <c r="P44" s="1016" t="str">
        <f ca="1"/>
        <v/>
      </c>
      <c r="Q44" s="1028" t="str">
        <f ca="1"/>
        <v/>
      </c>
      <c r="R44" s="995" t="s">
        <v>12</v>
      </c>
      <c r="S44" s="1015" t="str">
        <f ca="1"/>
        <v/>
      </c>
      <c r="T44" s="1006" t="str">
        <f ca="1"/>
        <v/>
      </c>
      <c r="U44" s="1006" t="str">
        <f ca="1"/>
        <v/>
      </c>
      <c r="V44" s="1016" t="str">
        <f ca="1"/>
        <v/>
      </c>
      <c r="W44" s="1017" t="str">
        <f ca="1"/>
        <v/>
      </c>
      <c r="X44" s="1006" t="str">
        <f ca="1"/>
        <v/>
      </c>
      <c r="Y44" s="1016" t="str">
        <f ca="1"/>
        <v/>
      </c>
      <c r="Z44" s="1016" t="str">
        <f ca="1"/>
        <v/>
      </c>
      <c r="AA44" s="1027" t="str">
        <f ca="1"/>
        <v/>
      </c>
      <c r="AB44" s="1034" t="str">
        <f ca="1"/>
        <v/>
      </c>
      <c r="AC44" s="1036" t="str">
        <f ca="1"/>
        <v/>
      </c>
      <c r="AD44" s="1016" t="str">
        <f ca="1"/>
        <v/>
      </c>
      <c r="AE44" s="1019" t="str">
        <f ca="1"/>
        <v/>
      </c>
      <c r="AF44" s="1016" t="str">
        <f ca="1"/>
        <v/>
      </c>
      <c r="AG44" s="1028" t="str">
        <f ca="1"/>
        <v/>
      </c>
      <c r="AH44" s="995" t="s">
        <v>12</v>
      </c>
    </row>
    <row r="45" spans="5:34">
      <c r="E45" s="1085" t="str">
        <f ca="1"/>
        <v/>
      </c>
      <c r="F45" s="1044" t="str">
        <f ca="1"/>
        <v/>
      </c>
      <c r="G45" s="1045" t="str">
        <f ca="1"/>
        <v/>
      </c>
      <c r="H45" s="1058" t="str">
        <f ca="1"/>
        <v/>
      </c>
      <c r="I45" s="1006" t="str">
        <f ca="1"/>
        <v/>
      </c>
      <c r="J45" s="1016" t="str">
        <f ca="1"/>
        <v/>
      </c>
      <c r="K45" s="1016" t="str">
        <f ca="1"/>
        <v/>
      </c>
      <c r="L45" s="1027" t="str">
        <f ca="1"/>
        <v/>
      </c>
      <c r="M45" s="1249" t="str">
        <f ca="1"/>
        <v/>
      </c>
      <c r="N45" s="1016" t="str">
        <f ca="1"/>
        <v/>
      </c>
      <c r="O45" s="1019" t="str">
        <f ca="1"/>
        <v/>
      </c>
      <c r="P45" s="1016" t="str">
        <f ca="1"/>
        <v/>
      </c>
      <c r="Q45" s="1028" t="str">
        <f ca="1"/>
        <v/>
      </c>
      <c r="R45" s="995" t="s">
        <v>12</v>
      </c>
      <c r="S45" s="1015" t="str">
        <f ca="1"/>
        <v/>
      </c>
      <c r="T45" s="1006" t="str">
        <f ca="1"/>
        <v/>
      </c>
      <c r="U45" s="1006" t="str">
        <f ca="1"/>
        <v/>
      </c>
      <c r="V45" s="1016" t="str">
        <f ca="1"/>
        <v/>
      </c>
      <c r="W45" s="1017" t="str">
        <f ca="1"/>
        <v/>
      </c>
      <c r="X45" s="1006" t="str">
        <f ca="1"/>
        <v/>
      </c>
      <c r="Y45" s="1016" t="str">
        <f ca="1"/>
        <v/>
      </c>
      <c r="Z45" s="1016" t="str">
        <f ca="1"/>
        <v/>
      </c>
      <c r="AA45" s="1027" t="str">
        <f ca="1"/>
        <v/>
      </c>
      <c r="AB45" s="1034" t="str">
        <f ca="1"/>
        <v/>
      </c>
      <c r="AC45" s="1036" t="str">
        <f ca="1"/>
        <v/>
      </c>
      <c r="AD45" s="1016" t="str">
        <f ca="1"/>
        <v/>
      </c>
      <c r="AE45" s="1019" t="str">
        <f ca="1"/>
        <v/>
      </c>
      <c r="AF45" s="1016" t="str">
        <f ca="1"/>
        <v/>
      </c>
      <c r="AG45" s="1028" t="str">
        <f ca="1"/>
        <v/>
      </c>
      <c r="AH45" s="995" t="s">
        <v>12</v>
      </c>
    </row>
    <row r="46" spans="5:34">
      <c r="E46" s="1085" t="str">
        <f ca="1"/>
        <v/>
      </c>
      <c r="F46" s="1044" t="str">
        <f ca="1"/>
        <v/>
      </c>
      <c r="G46" s="1045" t="str">
        <f ca="1"/>
        <v/>
      </c>
      <c r="H46" s="1058" t="str">
        <f ca="1"/>
        <v/>
      </c>
      <c r="I46" s="1006" t="str">
        <f ca="1"/>
        <v/>
      </c>
      <c r="J46" s="1016" t="str">
        <f ca="1"/>
        <v/>
      </c>
      <c r="K46" s="1016" t="str">
        <f ca="1"/>
        <v/>
      </c>
      <c r="L46" s="1027" t="str">
        <f ca="1"/>
        <v/>
      </c>
      <c r="M46" s="1249" t="str">
        <f ca="1"/>
        <v/>
      </c>
      <c r="N46" s="1016" t="str">
        <f ca="1"/>
        <v/>
      </c>
      <c r="O46" s="1019" t="str">
        <f ca="1"/>
        <v/>
      </c>
      <c r="P46" s="1016" t="str">
        <f ca="1"/>
        <v/>
      </c>
      <c r="Q46" s="1028" t="str">
        <f ca="1"/>
        <v/>
      </c>
      <c r="R46" s="995" t="s">
        <v>12</v>
      </c>
      <c r="S46" s="1015" t="str">
        <f ca="1"/>
        <v/>
      </c>
      <c r="T46" s="1006" t="str">
        <f ca="1"/>
        <v/>
      </c>
      <c r="U46" s="1006" t="str">
        <f ca="1"/>
        <v/>
      </c>
      <c r="V46" s="1016" t="str">
        <f ca="1"/>
        <v/>
      </c>
      <c r="W46" s="1017" t="str">
        <f ca="1"/>
        <v/>
      </c>
      <c r="X46" s="1006" t="str">
        <f ca="1"/>
        <v/>
      </c>
      <c r="Y46" s="1016" t="str">
        <f ca="1"/>
        <v/>
      </c>
      <c r="Z46" s="1016" t="str">
        <f ca="1"/>
        <v/>
      </c>
      <c r="AA46" s="1027" t="str">
        <f ca="1"/>
        <v/>
      </c>
      <c r="AB46" s="1034" t="str">
        <f ca="1"/>
        <v/>
      </c>
      <c r="AC46" s="1036" t="str">
        <f ca="1"/>
        <v/>
      </c>
      <c r="AD46" s="1016" t="str">
        <f ca="1"/>
        <v/>
      </c>
      <c r="AE46" s="1019" t="str">
        <f ca="1"/>
        <v/>
      </c>
      <c r="AF46" s="1016" t="str">
        <f ca="1"/>
        <v/>
      </c>
      <c r="AG46" s="1028" t="str">
        <f ca="1"/>
        <v/>
      </c>
      <c r="AH46" s="995" t="s">
        <v>12</v>
      </c>
    </row>
    <row r="47" spans="5:34">
      <c r="E47" s="1085" t="str">
        <f ca="1"/>
        <v/>
      </c>
      <c r="F47" s="1044" t="str">
        <f ca="1"/>
        <v/>
      </c>
      <c r="G47" s="1045" t="str">
        <f ca="1"/>
        <v/>
      </c>
      <c r="H47" s="1058" t="str">
        <f ca="1"/>
        <v/>
      </c>
      <c r="I47" s="1006" t="str">
        <f ca="1"/>
        <v/>
      </c>
      <c r="J47" s="1016" t="str">
        <f ca="1"/>
        <v/>
      </c>
      <c r="K47" s="1016" t="str">
        <f ca="1"/>
        <v/>
      </c>
      <c r="L47" s="1027" t="str">
        <f ca="1"/>
        <v/>
      </c>
      <c r="M47" s="1249" t="str">
        <f ca="1"/>
        <v/>
      </c>
      <c r="N47" s="1016" t="str">
        <f ca="1"/>
        <v/>
      </c>
      <c r="O47" s="1019" t="str">
        <f ca="1"/>
        <v/>
      </c>
      <c r="P47" s="1016" t="str">
        <f ca="1"/>
        <v/>
      </c>
      <c r="Q47" s="1028" t="str">
        <f ca="1"/>
        <v/>
      </c>
      <c r="R47" s="995" t="s">
        <v>12</v>
      </c>
      <c r="S47" s="1015" t="str">
        <f ca="1"/>
        <v/>
      </c>
      <c r="T47" s="1006" t="str">
        <f ca="1"/>
        <v/>
      </c>
      <c r="U47" s="1006" t="str">
        <f ca="1"/>
        <v/>
      </c>
      <c r="V47" s="1016" t="str">
        <f ca="1"/>
        <v/>
      </c>
      <c r="W47" s="1017" t="str">
        <f ca="1"/>
        <v/>
      </c>
      <c r="X47" s="1006" t="str">
        <f ca="1"/>
        <v/>
      </c>
      <c r="Y47" s="1016" t="str">
        <f ca="1"/>
        <v/>
      </c>
      <c r="Z47" s="1016" t="str">
        <f ca="1"/>
        <v/>
      </c>
      <c r="AA47" s="1027" t="str">
        <f ca="1"/>
        <v/>
      </c>
      <c r="AB47" s="1034" t="str">
        <f ca="1"/>
        <v/>
      </c>
      <c r="AC47" s="1036" t="str">
        <f ca="1"/>
        <v/>
      </c>
      <c r="AD47" s="1016" t="str">
        <f ca="1"/>
        <v/>
      </c>
      <c r="AE47" s="1019" t="str">
        <f ca="1"/>
        <v/>
      </c>
      <c r="AF47" s="1016" t="str">
        <f ca="1"/>
        <v/>
      </c>
      <c r="AG47" s="1028" t="str">
        <f ca="1"/>
        <v/>
      </c>
      <c r="AH47" s="995" t="s">
        <v>12</v>
      </c>
    </row>
    <row r="48" spans="5:34">
      <c r="E48" s="1085" t="str">
        <f ca="1"/>
        <v/>
      </c>
      <c r="F48" s="1044" t="str">
        <f ca="1"/>
        <v/>
      </c>
      <c r="G48" s="1045" t="str">
        <f ca="1"/>
        <v/>
      </c>
      <c r="H48" s="1058" t="str">
        <f ca="1"/>
        <v/>
      </c>
      <c r="I48" s="1006" t="str">
        <f ca="1"/>
        <v/>
      </c>
      <c r="J48" s="1016" t="str">
        <f ca="1"/>
        <v/>
      </c>
      <c r="K48" s="1016" t="str">
        <f ca="1"/>
        <v/>
      </c>
      <c r="L48" s="1027" t="str">
        <f ca="1"/>
        <v/>
      </c>
      <c r="M48" s="1249" t="str">
        <f ca="1"/>
        <v/>
      </c>
      <c r="N48" s="1016" t="str">
        <f ca="1"/>
        <v/>
      </c>
      <c r="O48" s="1019" t="str">
        <f ca="1"/>
        <v/>
      </c>
      <c r="P48" s="1016" t="str">
        <f ca="1"/>
        <v/>
      </c>
      <c r="Q48" s="1028" t="str">
        <f ca="1"/>
        <v/>
      </c>
      <c r="R48" s="995" t="s">
        <v>12</v>
      </c>
      <c r="S48" s="1015" t="str">
        <f ca="1"/>
        <v/>
      </c>
      <c r="T48" s="1006" t="str">
        <f ca="1"/>
        <v/>
      </c>
      <c r="U48" s="1006" t="str">
        <f ca="1"/>
        <v/>
      </c>
      <c r="V48" s="1016" t="str">
        <f ca="1"/>
        <v/>
      </c>
      <c r="W48" s="1017" t="str">
        <f ca="1"/>
        <v/>
      </c>
      <c r="X48" s="1006" t="str">
        <f ca="1"/>
        <v/>
      </c>
      <c r="Y48" s="1016" t="str">
        <f ca="1"/>
        <v/>
      </c>
      <c r="Z48" s="1016" t="str">
        <f ca="1"/>
        <v/>
      </c>
      <c r="AA48" s="1027" t="str">
        <f ca="1"/>
        <v/>
      </c>
      <c r="AB48" s="1034" t="str">
        <f ca="1"/>
        <v/>
      </c>
      <c r="AC48" s="1036" t="str">
        <f ca="1"/>
        <v/>
      </c>
      <c r="AD48" s="1016" t="str">
        <f ca="1"/>
        <v/>
      </c>
      <c r="AE48" s="1019" t="str">
        <f ca="1"/>
        <v/>
      </c>
      <c r="AF48" s="1016" t="str">
        <f ca="1"/>
        <v/>
      </c>
      <c r="AG48" s="1028" t="str">
        <f ca="1"/>
        <v/>
      </c>
      <c r="AH48" s="995" t="s">
        <v>12</v>
      </c>
    </row>
    <row r="49" spans="5:34">
      <c r="E49" s="1085" t="str">
        <f ca="1"/>
        <v/>
      </c>
      <c r="F49" s="1044" t="str">
        <f ca="1"/>
        <v/>
      </c>
      <c r="G49" s="1045" t="str">
        <f ca="1"/>
        <v/>
      </c>
      <c r="H49" s="1058" t="str">
        <f ca="1"/>
        <v/>
      </c>
      <c r="I49" s="1006" t="str">
        <f ca="1"/>
        <v/>
      </c>
      <c r="J49" s="1016" t="str">
        <f ca="1"/>
        <v/>
      </c>
      <c r="K49" s="1016" t="str">
        <f ca="1"/>
        <v/>
      </c>
      <c r="L49" s="1027" t="str">
        <f ca="1"/>
        <v/>
      </c>
      <c r="M49" s="1249" t="str">
        <f ca="1"/>
        <v/>
      </c>
      <c r="N49" s="1016" t="str">
        <f ca="1"/>
        <v/>
      </c>
      <c r="O49" s="1019" t="str">
        <f ca="1"/>
        <v/>
      </c>
      <c r="P49" s="1016" t="str">
        <f ca="1"/>
        <v/>
      </c>
      <c r="Q49" s="1028" t="str">
        <f ca="1"/>
        <v/>
      </c>
      <c r="R49" s="995" t="s">
        <v>12</v>
      </c>
      <c r="S49" s="1015" t="str">
        <f ca="1"/>
        <v/>
      </c>
      <c r="T49" s="1006" t="str">
        <f ca="1"/>
        <v/>
      </c>
      <c r="U49" s="1006" t="str">
        <f ca="1"/>
        <v/>
      </c>
      <c r="V49" s="1016" t="str">
        <f ca="1"/>
        <v/>
      </c>
      <c r="W49" s="1017" t="str">
        <f ca="1"/>
        <v/>
      </c>
      <c r="X49" s="1006" t="str">
        <f ca="1"/>
        <v/>
      </c>
      <c r="Y49" s="1016" t="str">
        <f ca="1"/>
        <v/>
      </c>
      <c r="Z49" s="1016" t="str">
        <f ca="1"/>
        <v/>
      </c>
      <c r="AA49" s="1027" t="str">
        <f ca="1"/>
        <v/>
      </c>
      <c r="AB49" s="1034" t="str">
        <f ca="1"/>
        <v/>
      </c>
      <c r="AC49" s="1036" t="str">
        <f ca="1"/>
        <v/>
      </c>
      <c r="AD49" s="1016" t="str">
        <f ca="1"/>
        <v/>
      </c>
      <c r="AE49" s="1019" t="str">
        <f ca="1"/>
        <v/>
      </c>
      <c r="AF49" s="1016" t="str">
        <f ca="1"/>
        <v/>
      </c>
      <c r="AG49" s="1028" t="str">
        <f ca="1"/>
        <v/>
      </c>
      <c r="AH49" s="995" t="s">
        <v>12</v>
      </c>
    </row>
    <row r="50" spans="5:34">
      <c r="E50" s="1085" t="str">
        <f ca="1"/>
        <v/>
      </c>
      <c r="F50" s="1044" t="str">
        <f ca="1"/>
        <v/>
      </c>
      <c r="G50" s="1045" t="str">
        <f ca="1"/>
        <v/>
      </c>
      <c r="H50" s="1058" t="str">
        <f ca="1"/>
        <v/>
      </c>
      <c r="I50" s="1006" t="str">
        <f ca="1"/>
        <v/>
      </c>
      <c r="J50" s="1016" t="str">
        <f ca="1"/>
        <v/>
      </c>
      <c r="K50" s="1016" t="str">
        <f ca="1"/>
        <v/>
      </c>
      <c r="L50" s="1027" t="str">
        <f ca="1"/>
        <v/>
      </c>
      <c r="M50" s="1249" t="str">
        <f ca="1"/>
        <v/>
      </c>
      <c r="N50" s="1016" t="str">
        <f ca="1"/>
        <v/>
      </c>
      <c r="O50" s="1019" t="str">
        <f ca="1"/>
        <v/>
      </c>
      <c r="P50" s="1016" t="str">
        <f ca="1"/>
        <v/>
      </c>
      <c r="Q50" s="1028" t="str">
        <f ca="1"/>
        <v/>
      </c>
      <c r="R50" s="995" t="s">
        <v>12</v>
      </c>
      <c r="S50" s="1015" t="str">
        <f ca="1"/>
        <v/>
      </c>
      <c r="T50" s="1006" t="str">
        <f ca="1"/>
        <v/>
      </c>
      <c r="U50" s="1006" t="str">
        <f ca="1"/>
        <v/>
      </c>
      <c r="V50" s="1016" t="str">
        <f ca="1"/>
        <v/>
      </c>
      <c r="W50" s="1017" t="str">
        <f ca="1"/>
        <v/>
      </c>
      <c r="X50" s="1006" t="str">
        <f ca="1"/>
        <v/>
      </c>
      <c r="Y50" s="1016" t="str">
        <f ca="1"/>
        <v/>
      </c>
      <c r="Z50" s="1016" t="str">
        <f ca="1"/>
        <v/>
      </c>
      <c r="AA50" s="1027" t="str">
        <f ca="1"/>
        <v/>
      </c>
      <c r="AB50" s="1034" t="str">
        <f ca="1"/>
        <v/>
      </c>
      <c r="AC50" s="1036" t="str">
        <f ca="1"/>
        <v/>
      </c>
      <c r="AD50" s="1016" t="str">
        <f ca="1"/>
        <v/>
      </c>
      <c r="AE50" s="1019" t="str">
        <f ca="1"/>
        <v/>
      </c>
      <c r="AF50" s="1016" t="str">
        <f ca="1"/>
        <v/>
      </c>
      <c r="AG50" s="1028" t="str">
        <f ca="1"/>
        <v/>
      </c>
      <c r="AH50" s="995" t="s">
        <v>12</v>
      </c>
    </row>
    <row r="51" spans="5:34">
      <c r="E51" s="1085" t="str">
        <f ca="1"/>
        <v/>
      </c>
      <c r="F51" s="1044" t="str">
        <f ca="1"/>
        <v/>
      </c>
      <c r="G51" s="1045" t="str">
        <f ca="1"/>
        <v/>
      </c>
      <c r="H51" s="1058" t="str">
        <f ca="1"/>
        <v/>
      </c>
      <c r="I51" s="1006" t="str">
        <f ca="1"/>
        <v/>
      </c>
      <c r="J51" s="1016" t="str">
        <f ca="1"/>
        <v/>
      </c>
      <c r="K51" s="1016" t="str">
        <f ca="1"/>
        <v/>
      </c>
      <c r="L51" s="1027" t="str">
        <f ca="1"/>
        <v/>
      </c>
      <c r="M51" s="1249" t="str">
        <f ca="1"/>
        <v/>
      </c>
      <c r="N51" s="1016" t="str">
        <f ca="1"/>
        <v/>
      </c>
      <c r="O51" s="1019" t="str">
        <f ca="1"/>
        <v/>
      </c>
      <c r="P51" s="1016" t="str">
        <f ca="1"/>
        <v/>
      </c>
      <c r="Q51" s="1028" t="str">
        <f ca="1"/>
        <v/>
      </c>
      <c r="R51" s="995" t="s">
        <v>12</v>
      </c>
      <c r="S51" s="1015" t="str">
        <f ca="1"/>
        <v/>
      </c>
      <c r="T51" s="1006" t="str">
        <f ca="1"/>
        <v/>
      </c>
      <c r="U51" s="1006" t="str">
        <f ca="1"/>
        <v/>
      </c>
      <c r="V51" s="1016" t="str">
        <f ca="1"/>
        <v/>
      </c>
      <c r="W51" s="1017" t="str">
        <f ca="1"/>
        <v/>
      </c>
      <c r="X51" s="1006" t="str">
        <f ca="1"/>
        <v/>
      </c>
      <c r="Y51" s="1016" t="str">
        <f ca="1"/>
        <v/>
      </c>
      <c r="Z51" s="1016" t="str">
        <f ca="1"/>
        <v/>
      </c>
      <c r="AA51" s="1027" t="str">
        <f ca="1"/>
        <v/>
      </c>
      <c r="AB51" s="1034" t="str">
        <f ca="1"/>
        <v/>
      </c>
      <c r="AC51" s="1036" t="str">
        <f ca="1"/>
        <v/>
      </c>
      <c r="AD51" s="1016" t="str">
        <f ca="1"/>
        <v/>
      </c>
      <c r="AE51" s="1019" t="str">
        <f ca="1"/>
        <v/>
      </c>
      <c r="AF51" s="1016" t="str">
        <f ca="1"/>
        <v/>
      </c>
      <c r="AG51" s="1028" t="str">
        <f ca="1"/>
        <v/>
      </c>
      <c r="AH51" s="995" t="s">
        <v>12</v>
      </c>
    </row>
    <row r="52" spans="5:34">
      <c r="E52" s="1085" t="str">
        <f ca="1"/>
        <v/>
      </c>
      <c r="F52" s="1044" t="str">
        <f ca="1"/>
        <v/>
      </c>
      <c r="G52" s="1045" t="str">
        <f ca="1"/>
        <v/>
      </c>
      <c r="H52" s="1058" t="str">
        <f ca="1"/>
        <v/>
      </c>
      <c r="I52" s="1006" t="str">
        <f ca="1"/>
        <v/>
      </c>
      <c r="J52" s="1016" t="str">
        <f ca="1"/>
        <v/>
      </c>
      <c r="K52" s="1016" t="str">
        <f ca="1"/>
        <v/>
      </c>
      <c r="L52" s="1027" t="str">
        <f ca="1"/>
        <v/>
      </c>
      <c r="M52" s="1249" t="str">
        <f ca="1"/>
        <v/>
      </c>
      <c r="N52" s="1016" t="str">
        <f ca="1"/>
        <v/>
      </c>
      <c r="O52" s="1019" t="str">
        <f ca="1"/>
        <v/>
      </c>
      <c r="P52" s="1016" t="str">
        <f ca="1"/>
        <v/>
      </c>
      <c r="Q52" s="1028" t="str">
        <f ca="1"/>
        <v/>
      </c>
      <c r="R52" s="995" t="s">
        <v>12</v>
      </c>
      <c r="S52" s="1015" t="str">
        <f ca="1"/>
        <v/>
      </c>
      <c r="T52" s="1006" t="str">
        <f ca="1"/>
        <v/>
      </c>
      <c r="U52" s="1006" t="str">
        <f ca="1"/>
        <v/>
      </c>
      <c r="V52" s="1016" t="str">
        <f ca="1"/>
        <v/>
      </c>
      <c r="W52" s="1017" t="str">
        <f ca="1"/>
        <v/>
      </c>
      <c r="X52" s="1006" t="str">
        <f ca="1"/>
        <v/>
      </c>
      <c r="Y52" s="1016" t="str">
        <f ca="1"/>
        <v/>
      </c>
      <c r="Z52" s="1016" t="str">
        <f ca="1"/>
        <v/>
      </c>
      <c r="AA52" s="1027" t="str">
        <f ca="1"/>
        <v/>
      </c>
      <c r="AB52" s="1034" t="str">
        <f ca="1"/>
        <v/>
      </c>
      <c r="AC52" s="1036" t="str">
        <f ca="1"/>
        <v/>
      </c>
      <c r="AD52" s="1016" t="str">
        <f ca="1"/>
        <v/>
      </c>
      <c r="AE52" s="1019" t="str">
        <f ca="1"/>
        <v/>
      </c>
      <c r="AF52" s="1016" t="str">
        <f ca="1"/>
        <v/>
      </c>
      <c r="AG52" s="1028" t="str">
        <f ca="1"/>
        <v/>
      </c>
      <c r="AH52" s="995" t="s">
        <v>12</v>
      </c>
    </row>
    <row r="53" spans="5:34">
      <c r="E53" s="1085" t="str">
        <f ca="1"/>
        <v/>
      </c>
      <c r="F53" s="1044" t="str">
        <f ca="1"/>
        <v/>
      </c>
      <c r="G53" s="1045" t="str">
        <f ca="1"/>
        <v/>
      </c>
      <c r="H53" s="1058" t="str">
        <f ca="1"/>
        <v/>
      </c>
      <c r="I53" s="1006" t="str">
        <f ca="1"/>
        <v/>
      </c>
      <c r="J53" s="1016" t="str">
        <f ca="1"/>
        <v/>
      </c>
      <c r="K53" s="1016" t="str">
        <f ca="1"/>
        <v/>
      </c>
      <c r="L53" s="1027" t="str">
        <f ca="1"/>
        <v/>
      </c>
      <c r="M53" s="1249" t="str">
        <f ca="1"/>
        <v/>
      </c>
      <c r="N53" s="1016" t="str">
        <f ca="1"/>
        <v/>
      </c>
      <c r="O53" s="1019" t="str">
        <f ca="1"/>
        <v/>
      </c>
      <c r="P53" s="1016" t="str">
        <f ca="1"/>
        <v/>
      </c>
      <c r="Q53" s="1028" t="str">
        <f ca="1"/>
        <v/>
      </c>
      <c r="R53" s="995" t="s">
        <v>12</v>
      </c>
      <c r="S53" s="1015" t="str">
        <f ca="1"/>
        <v/>
      </c>
      <c r="T53" s="1006" t="str">
        <f ca="1"/>
        <v/>
      </c>
      <c r="U53" s="1006" t="str">
        <f ca="1"/>
        <v/>
      </c>
      <c r="V53" s="1016" t="str">
        <f ca="1"/>
        <v/>
      </c>
      <c r="W53" s="1017" t="str">
        <f ca="1"/>
        <v/>
      </c>
      <c r="X53" s="1006" t="str">
        <f ca="1"/>
        <v/>
      </c>
      <c r="Y53" s="1016" t="str">
        <f ca="1"/>
        <v/>
      </c>
      <c r="Z53" s="1016" t="str">
        <f ca="1"/>
        <v/>
      </c>
      <c r="AA53" s="1027" t="str">
        <f ca="1"/>
        <v/>
      </c>
      <c r="AB53" s="1034" t="str">
        <f ca="1"/>
        <v/>
      </c>
      <c r="AC53" s="1036" t="str">
        <f ca="1"/>
        <v/>
      </c>
      <c r="AD53" s="1016" t="str">
        <f ca="1"/>
        <v/>
      </c>
      <c r="AE53" s="1019" t="str">
        <f ca="1"/>
        <v/>
      </c>
      <c r="AF53" s="1016" t="str">
        <f ca="1"/>
        <v/>
      </c>
      <c r="AG53" s="1028" t="str">
        <f ca="1"/>
        <v/>
      </c>
      <c r="AH53" s="995" t="s">
        <v>12</v>
      </c>
    </row>
    <row r="54" spans="5:34">
      <c r="E54" s="1085" t="str">
        <f ca="1"/>
        <v/>
      </c>
      <c r="F54" s="1044" t="str">
        <f ca="1"/>
        <v/>
      </c>
      <c r="G54" s="1045" t="str">
        <f ca="1"/>
        <v/>
      </c>
      <c r="H54" s="1058" t="str">
        <f ca="1"/>
        <v/>
      </c>
      <c r="I54" s="1006" t="str">
        <f ca="1"/>
        <v/>
      </c>
      <c r="J54" s="1016" t="str">
        <f ca="1"/>
        <v/>
      </c>
      <c r="K54" s="1016" t="str">
        <f ca="1"/>
        <v/>
      </c>
      <c r="L54" s="1027" t="str">
        <f ca="1"/>
        <v/>
      </c>
      <c r="M54" s="1249" t="str">
        <f ca="1"/>
        <v/>
      </c>
      <c r="N54" s="1016" t="str">
        <f ca="1"/>
        <v/>
      </c>
      <c r="O54" s="1019" t="str">
        <f ca="1"/>
        <v/>
      </c>
      <c r="P54" s="1016" t="str">
        <f ca="1"/>
        <v/>
      </c>
      <c r="Q54" s="1028" t="str">
        <f ca="1"/>
        <v/>
      </c>
      <c r="R54" s="995" t="s">
        <v>12</v>
      </c>
      <c r="S54" s="1015" t="str">
        <f ca="1"/>
        <v/>
      </c>
      <c r="T54" s="1006" t="str">
        <f ca="1"/>
        <v/>
      </c>
      <c r="U54" s="1006" t="str">
        <f ca="1"/>
        <v/>
      </c>
      <c r="V54" s="1016" t="str">
        <f ca="1"/>
        <v/>
      </c>
      <c r="W54" s="1017" t="str">
        <f ca="1"/>
        <v/>
      </c>
      <c r="X54" s="1006" t="str">
        <f ca="1"/>
        <v/>
      </c>
      <c r="Y54" s="1016" t="str">
        <f ca="1"/>
        <v/>
      </c>
      <c r="Z54" s="1016" t="str">
        <f ca="1"/>
        <v/>
      </c>
      <c r="AA54" s="1027" t="str">
        <f ca="1"/>
        <v/>
      </c>
      <c r="AB54" s="1034" t="str">
        <f ca="1"/>
        <v/>
      </c>
      <c r="AC54" s="1036" t="str">
        <f ca="1"/>
        <v/>
      </c>
      <c r="AD54" s="1016" t="str">
        <f ca="1"/>
        <v/>
      </c>
      <c r="AE54" s="1019" t="str">
        <f ca="1"/>
        <v/>
      </c>
      <c r="AF54" s="1016" t="str">
        <f ca="1"/>
        <v/>
      </c>
      <c r="AG54" s="1028" t="str">
        <f ca="1"/>
        <v/>
      </c>
      <c r="AH54" s="995" t="s">
        <v>12</v>
      </c>
    </row>
    <row r="55" spans="5:34">
      <c r="E55" s="1085" t="str">
        <f ca="1"/>
        <v/>
      </c>
      <c r="F55" s="1044" t="str">
        <f ca="1"/>
        <v/>
      </c>
      <c r="G55" s="1045" t="str">
        <f ca="1"/>
        <v/>
      </c>
      <c r="H55" s="1058" t="str">
        <f ca="1"/>
        <v/>
      </c>
      <c r="I55" s="1006" t="str">
        <f ca="1"/>
        <v/>
      </c>
      <c r="J55" s="1016" t="str">
        <f ca="1"/>
        <v/>
      </c>
      <c r="K55" s="1016" t="str">
        <f ca="1"/>
        <v/>
      </c>
      <c r="L55" s="1027" t="str">
        <f ca="1"/>
        <v/>
      </c>
      <c r="M55" s="1249" t="str">
        <f ca="1"/>
        <v/>
      </c>
      <c r="N55" s="1016" t="str">
        <f ca="1"/>
        <v/>
      </c>
      <c r="O55" s="1019" t="str">
        <f ca="1"/>
        <v/>
      </c>
      <c r="P55" s="1016" t="str">
        <f ca="1"/>
        <v/>
      </c>
      <c r="Q55" s="1028" t="str">
        <f ca="1"/>
        <v/>
      </c>
      <c r="R55" s="995" t="s">
        <v>12</v>
      </c>
      <c r="S55" s="1015" t="str">
        <f ca="1"/>
        <v/>
      </c>
      <c r="T55" s="1006" t="str">
        <f ca="1"/>
        <v/>
      </c>
      <c r="U55" s="1006" t="str">
        <f ca="1"/>
        <v/>
      </c>
      <c r="V55" s="1016" t="str">
        <f ca="1"/>
        <v/>
      </c>
      <c r="W55" s="1017" t="str">
        <f ca="1"/>
        <v/>
      </c>
      <c r="X55" s="1006" t="str">
        <f ca="1"/>
        <v/>
      </c>
      <c r="Y55" s="1016" t="str">
        <f ca="1"/>
        <v/>
      </c>
      <c r="Z55" s="1016" t="str">
        <f ca="1"/>
        <v/>
      </c>
      <c r="AA55" s="1027" t="str">
        <f ca="1"/>
        <v/>
      </c>
      <c r="AB55" s="1034" t="str">
        <f ca="1"/>
        <v/>
      </c>
      <c r="AC55" s="1036" t="str">
        <f ca="1"/>
        <v/>
      </c>
      <c r="AD55" s="1016" t="str">
        <f ca="1"/>
        <v/>
      </c>
      <c r="AE55" s="1019" t="str">
        <f ca="1"/>
        <v/>
      </c>
      <c r="AF55" s="1016" t="str">
        <f ca="1"/>
        <v/>
      </c>
      <c r="AG55" s="1028" t="str">
        <f ca="1"/>
        <v/>
      </c>
      <c r="AH55" s="995" t="s">
        <v>12</v>
      </c>
    </row>
    <row r="56" spans="5:34">
      <c r="E56" s="1085" t="str">
        <f ca="1"/>
        <v/>
      </c>
      <c r="F56" s="1044" t="str">
        <f ca="1"/>
        <v/>
      </c>
      <c r="G56" s="1045" t="str">
        <f ca="1"/>
        <v/>
      </c>
      <c r="H56" s="1058" t="str">
        <f ca="1"/>
        <v/>
      </c>
      <c r="I56" s="1006" t="str">
        <f ca="1"/>
        <v/>
      </c>
      <c r="J56" s="1016" t="str">
        <f ca="1"/>
        <v/>
      </c>
      <c r="K56" s="1016" t="str">
        <f ca="1"/>
        <v/>
      </c>
      <c r="L56" s="1027" t="str">
        <f ca="1"/>
        <v/>
      </c>
      <c r="M56" s="1249" t="str">
        <f ca="1"/>
        <v/>
      </c>
      <c r="N56" s="1016" t="str">
        <f ca="1"/>
        <v/>
      </c>
      <c r="O56" s="1019" t="str">
        <f ca="1"/>
        <v/>
      </c>
      <c r="P56" s="1016" t="str">
        <f ca="1"/>
        <v/>
      </c>
      <c r="Q56" s="1028" t="str">
        <f ca="1"/>
        <v/>
      </c>
      <c r="R56" s="995" t="s">
        <v>12</v>
      </c>
      <c r="S56" s="1015" t="str">
        <f ca="1"/>
        <v/>
      </c>
      <c r="T56" s="1006" t="str">
        <f ca="1"/>
        <v/>
      </c>
      <c r="U56" s="1006" t="str">
        <f ca="1"/>
        <v/>
      </c>
      <c r="V56" s="1016" t="str">
        <f ca="1"/>
        <v/>
      </c>
      <c r="W56" s="1017" t="str">
        <f ca="1"/>
        <v/>
      </c>
      <c r="X56" s="1006" t="str">
        <f ca="1"/>
        <v/>
      </c>
      <c r="Y56" s="1016" t="str">
        <f ca="1"/>
        <v/>
      </c>
      <c r="Z56" s="1016" t="str">
        <f ca="1"/>
        <v/>
      </c>
      <c r="AA56" s="1027" t="str">
        <f ca="1"/>
        <v/>
      </c>
      <c r="AB56" s="1034" t="str">
        <f ca="1"/>
        <v/>
      </c>
      <c r="AC56" s="1036" t="str">
        <f ca="1"/>
        <v/>
      </c>
      <c r="AD56" s="1016" t="str">
        <f ca="1"/>
        <v/>
      </c>
      <c r="AE56" s="1019" t="str">
        <f ca="1"/>
        <v/>
      </c>
      <c r="AF56" s="1016" t="str">
        <f ca="1"/>
        <v/>
      </c>
      <c r="AG56" s="1028" t="str">
        <f ca="1"/>
        <v/>
      </c>
      <c r="AH56" s="995" t="s">
        <v>12</v>
      </c>
    </row>
    <row r="57" spans="5:34">
      <c r="E57" s="1085" t="str">
        <f ca="1"/>
        <v/>
      </c>
      <c r="F57" s="1044" t="str">
        <f ca="1"/>
        <v/>
      </c>
      <c r="G57" s="1045" t="str">
        <f ca="1"/>
        <v/>
      </c>
      <c r="H57" s="1058" t="str">
        <f ca="1"/>
        <v/>
      </c>
      <c r="I57" s="1006" t="str">
        <f ca="1"/>
        <v/>
      </c>
      <c r="J57" s="1016" t="str">
        <f ca="1"/>
        <v/>
      </c>
      <c r="K57" s="1016" t="str">
        <f ca="1"/>
        <v/>
      </c>
      <c r="L57" s="1027" t="str">
        <f ca="1"/>
        <v/>
      </c>
      <c r="M57" s="1249" t="str">
        <f ca="1"/>
        <v/>
      </c>
      <c r="N57" s="1016" t="str">
        <f ca="1"/>
        <v/>
      </c>
      <c r="O57" s="1019" t="str">
        <f ca="1"/>
        <v/>
      </c>
      <c r="P57" s="1016" t="str">
        <f ca="1"/>
        <v/>
      </c>
      <c r="Q57" s="1028" t="str">
        <f ca="1"/>
        <v/>
      </c>
      <c r="R57" s="995" t="s">
        <v>12</v>
      </c>
      <c r="S57" s="1015" t="str">
        <f ca="1"/>
        <v/>
      </c>
      <c r="T57" s="1006" t="str">
        <f ca="1"/>
        <v/>
      </c>
      <c r="U57" s="1006" t="str">
        <f ca="1"/>
        <v/>
      </c>
      <c r="V57" s="1016" t="str">
        <f ca="1"/>
        <v/>
      </c>
      <c r="W57" s="1017" t="str">
        <f ca="1"/>
        <v/>
      </c>
      <c r="X57" s="1006" t="str">
        <f ca="1"/>
        <v/>
      </c>
      <c r="Y57" s="1016" t="str">
        <f ca="1"/>
        <v/>
      </c>
      <c r="Z57" s="1016" t="str">
        <f ca="1"/>
        <v/>
      </c>
      <c r="AA57" s="1027" t="str">
        <f ca="1"/>
        <v/>
      </c>
      <c r="AB57" s="1034" t="str">
        <f ca="1"/>
        <v/>
      </c>
      <c r="AC57" s="1036" t="str">
        <f ca="1"/>
        <v/>
      </c>
      <c r="AD57" s="1016" t="str">
        <f ca="1"/>
        <v/>
      </c>
      <c r="AE57" s="1019" t="str">
        <f ca="1"/>
        <v/>
      </c>
      <c r="AF57" s="1016" t="str">
        <f ca="1"/>
        <v/>
      </c>
      <c r="AG57" s="1028" t="str">
        <f ca="1"/>
        <v/>
      </c>
      <c r="AH57" s="995" t="s">
        <v>12</v>
      </c>
    </row>
    <row r="58" spans="5:34">
      <c r="E58" s="1085" t="str">
        <f ca="1"/>
        <v/>
      </c>
      <c r="F58" s="1044" t="str">
        <f ca="1"/>
        <v/>
      </c>
      <c r="G58" s="1045" t="str">
        <f ca="1"/>
        <v/>
      </c>
      <c r="H58" s="1058" t="str">
        <f ca="1"/>
        <v/>
      </c>
      <c r="I58" s="1006" t="str">
        <f ca="1"/>
        <v/>
      </c>
      <c r="J58" s="1016" t="str">
        <f ca="1"/>
        <v/>
      </c>
      <c r="K58" s="1016" t="str">
        <f ca="1"/>
        <v/>
      </c>
      <c r="L58" s="1027" t="str">
        <f ca="1"/>
        <v/>
      </c>
      <c r="M58" s="1249" t="str">
        <f ca="1"/>
        <v/>
      </c>
      <c r="N58" s="1016" t="str">
        <f ca="1"/>
        <v/>
      </c>
      <c r="O58" s="1019" t="str">
        <f ca="1"/>
        <v/>
      </c>
      <c r="P58" s="1016" t="str">
        <f ca="1"/>
        <v/>
      </c>
      <c r="Q58" s="1028" t="str">
        <f ca="1"/>
        <v/>
      </c>
      <c r="R58" s="995" t="s">
        <v>12</v>
      </c>
      <c r="S58" s="1015" t="str">
        <f ca="1"/>
        <v/>
      </c>
      <c r="T58" s="1006" t="str">
        <f ca="1"/>
        <v/>
      </c>
      <c r="U58" s="1006" t="str">
        <f ca="1"/>
        <v/>
      </c>
      <c r="V58" s="1016" t="str">
        <f ca="1"/>
        <v/>
      </c>
      <c r="W58" s="1017" t="str">
        <f ca="1"/>
        <v/>
      </c>
      <c r="X58" s="1006" t="str">
        <f ca="1"/>
        <v/>
      </c>
      <c r="Y58" s="1016" t="str">
        <f ca="1"/>
        <v/>
      </c>
      <c r="Z58" s="1016" t="str">
        <f ca="1"/>
        <v/>
      </c>
      <c r="AA58" s="1027" t="str">
        <f ca="1"/>
        <v/>
      </c>
      <c r="AB58" s="1034" t="str">
        <f ca="1"/>
        <v/>
      </c>
      <c r="AC58" s="1036" t="str">
        <f ca="1"/>
        <v/>
      </c>
      <c r="AD58" s="1016" t="str">
        <f ca="1"/>
        <v/>
      </c>
      <c r="AE58" s="1019" t="str">
        <f ca="1"/>
        <v/>
      </c>
      <c r="AF58" s="1016" t="str">
        <f ca="1"/>
        <v/>
      </c>
      <c r="AG58" s="1028" t="str">
        <f ca="1"/>
        <v/>
      </c>
      <c r="AH58" s="995" t="s">
        <v>12</v>
      </c>
    </row>
    <row r="59" spans="5:34">
      <c r="E59" s="1085" t="str">
        <f ca="1"/>
        <v/>
      </c>
      <c r="F59" s="1044" t="str">
        <f ca="1"/>
        <v/>
      </c>
      <c r="G59" s="1045" t="str">
        <f ca="1"/>
        <v/>
      </c>
      <c r="H59" s="1058" t="str">
        <f ca="1"/>
        <v/>
      </c>
      <c r="I59" s="1006" t="str">
        <f ca="1"/>
        <v/>
      </c>
      <c r="J59" s="1016" t="str">
        <f ca="1"/>
        <v/>
      </c>
      <c r="K59" s="1016" t="str">
        <f ca="1"/>
        <v/>
      </c>
      <c r="L59" s="1027" t="str">
        <f ca="1"/>
        <v/>
      </c>
      <c r="M59" s="1249" t="str">
        <f ca="1"/>
        <v/>
      </c>
      <c r="N59" s="1016" t="str">
        <f ca="1"/>
        <v/>
      </c>
      <c r="O59" s="1019" t="str">
        <f ca="1"/>
        <v/>
      </c>
      <c r="P59" s="1016" t="str">
        <f ca="1"/>
        <v/>
      </c>
      <c r="Q59" s="1028" t="str">
        <f ca="1"/>
        <v/>
      </c>
      <c r="R59" s="995" t="s">
        <v>12</v>
      </c>
      <c r="S59" s="1015" t="str">
        <f ca="1"/>
        <v/>
      </c>
      <c r="T59" s="1006" t="str">
        <f ca="1"/>
        <v/>
      </c>
      <c r="U59" s="1006" t="str">
        <f ca="1"/>
        <v/>
      </c>
      <c r="V59" s="1016" t="str">
        <f ca="1"/>
        <v/>
      </c>
      <c r="W59" s="1017" t="str">
        <f ca="1"/>
        <v/>
      </c>
      <c r="X59" s="1006" t="str">
        <f ca="1"/>
        <v/>
      </c>
      <c r="Y59" s="1016" t="str">
        <f ca="1"/>
        <v/>
      </c>
      <c r="Z59" s="1016" t="str">
        <f ca="1"/>
        <v/>
      </c>
      <c r="AA59" s="1027" t="str">
        <f ca="1"/>
        <v/>
      </c>
      <c r="AB59" s="1034" t="str">
        <f ca="1"/>
        <v/>
      </c>
      <c r="AC59" s="1036" t="str">
        <f ca="1"/>
        <v/>
      </c>
      <c r="AD59" s="1016" t="str">
        <f ca="1"/>
        <v/>
      </c>
      <c r="AE59" s="1019" t="str">
        <f ca="1"/>
        <v/>
      </c>
      <c r="AF59" s="1016" t="str">
        <f ca="1"/>
        <v/>
      </c>
      <c r="AG59" s="1028" t="str">
        <f ca="1"/>
        <v/>
      </c>
      <c r="AH59" s="995" t="s">
        <v>12</v>
      </c>
    </row>
    <row r="60" spans="5:34">
      <c r="E60" s="1085" t="str">
        <f ca="1"/>
        <v/>
      </c>
      <c r="F60" s="1044" t="str">
        <f ca="1"/>
        <v/>
      </c>
      <c r="G60" s="1045" t="str">
        <f ca="1"/>
        <v/>
      </c>
      <c r="H60" s="1058" t="str">
        <f ca="1"/>
        <v/>
      </c>
      <c r="I60" s="1006" t="str">
        <f ca="1"/>
        <v/>
      </c>
      <c r="J60" s="1016" t="str">
        <f ca="1"/>
        <v/>
      </c>
      <c r="K60" s="1016" t="str">
        <f ca="1"/>
        <v/>
      </c>
      <c r="L60" s="1027" t="str">
        <f ca="1"/>
        <v/>
      </c>
      <c r="M60" s="1249" t="str">
        <f ca="1"/>
        <v/>
      </c>
      <c r="N60" s="1016" t="str">
        <f ca="1"/>
        <v/>
      </c>
      <c r="O60" s="1019" t="str">
        <f ca="1"/>
        <v/>
      </c>
      <c r="P60" s="1016" t="str">
        <f ca="1"/>
        <v/>
      </c>
      <c r="Q60" s="1028" t="str">
        <f ca="1"/>
        <v/>
      </c>
      <c r="R60" s="995" t="s">
        <v>12</v>
      </c>
      <c r="S60" s="1015" t="str">
        <f ca="1"/>
        <v/>
      </c>
      <c r="T60" s="1006" t="str">
        <f ca="1"/>
        <v/>
      </c>
      <c r="U60" s="1006" t="str">
        <f ca="1"/>
        <v/>
      </c>
      <c r="V60" s="1016" t="str">
        <f ca="1"/>
        <v/>
      </c>
      <c r="W60" s="1017" t="str">
        <f ca="1"/>
        <v/>
      </c>
      <c r="X60" s="1006" t="str">
        <f ca="1"/>
        <v/>
      </c>
      <c r="Y60" s="1016" t="str">
        <f ca="1"/>
        <v/>
      </c>
      <c r="Z60" s="1016" t="str">
        <f ca="1"/>
        <v/>
      </c>
      <c r="AA60" s="1027" t="str">
        <f ca="1"/>
        <v/>
      </c>
      <c r="AB60" s="1034" t="str">
        <f ca="1"/>
        <v/>
      </c>
      <c r="AC60" s="1036" t="str">
        <f ca="1"/>
        <v/>
      </c>
      <c r="AD60" s="1016" t="str">
        <f ca="1"/>
        <v/>
      </c>
      <c r="AE60" s="1019" t="str">
        <f ca="1"/>
        <v/>
      </c>
      <c r="AF60" s="1016" t="str">
        <f ca="1"/>
        <v/>
      </c>
      <c r="AG60" s="1028" t="str">
        <f ca="1"/>
        <v/>
      </c>
      <c r="AH60" s="995" t="s">
        <v>12</v>
      </c>
    </row>
    <row r="61" spans="5:34">
      <c r="E61" s="1085" t="str">
        <f ca="1"/>
        <v/>
      </c>
      <c r="F61" s="1044" t="str">
        <f ca="1"/>
        <v/>
      </c>
      <c r="G61" s="1045" t="str">
        <f ca="1"/>
        <v/>
      </c>
      <c r="H61" s="1058" t="str">
        <f ca="1"/>
        <v/>
      </c>
      <c r="I61" s="1006" t="str">
        <f ca="1"/>
        <v/>
      </c>
      <c r="J61" s="1016" t="str">
        <f ca="1"/>
        <v/>
      </c>
      <c r="K61" s="1016" t="str">
        <f ca="1"/>
        <v/>
      </c>
      <c r="L61" s="1027" t="str">
        <f ca="1"/>
        <v/>
      </c>
      <c r="M61" s="1249" t="str">
        <f ca="1"/>
        <v/>
      </c>
      <c r="N61" s="1016" t="str">
        <f ca="1"/>
        <v/>
      </c>
      <c r="O61" s="1019" t="str">
        <f ca="1"/>
        <v/>
      </c>
      <c r="P61" s="1016" t="str">
        <f ca="1"/>
        <v/>
      </c>
      <c r="Q61" s="1028" t="str">
        <f ca="1"/>
        <v/>
      </c>
      <c r="R61" s="995" t="s">
        <v>12</v>
      </c>
      <c r="S61" s="1015" t="str">
        <f ca="1"/>
        <v/>
      </c>
      <c r="T61" s="1006" t="str">
        <f ca="1"/>
        <v/>
      </c>
      <c r="U61" s="1006" t="str">
        <f ca="1"/>
        <v/>
      </c>
      <c r="V61" s="1016" t="str">
        <f ca="1"/>
        <v/>
      </c>
      <c r="W61" s="1017" t="str">
        <f ca="1"/>
        <v/>
      </c>
      <c r="X61" s="1006" t="str">
        <f ca="1"/>
        <v/>
      </c>
      <c r="Y61" s="1016" t="str">
        <f ca="1"/>
        <v/>
      </c>
      <c r="Z61" s="1016" t="str">
        <f ca="1"/>
        <v/>
      </c>
      <c r="AA61" s="1027" t="str">
        <f ca="1"/>
        <v/>
      </c>
      <c r="AB61" s="1034" t="str">
        <f ca="1"/>
        <v/>
      </c>
      <c r="AC61" s="1036" t="str">
        <f ca="1"/>
        <v/>
      </c>
      <c r="AD61" s="1016" t="str">
        <f ca="1"/>
        <v/>
      </c>
      <c r="AE61" s="1019" t="str">
        <f ca="1"/>
        <v/>
      </c>
      <c r="AF61" s="1016" t="str">
        <f ca="1"/>
        <v/>
      </c>
      <c r="AG61" s="1028" t="str">
        <f ca="1"/>
        <v/>
      </c>
      <c r="AH61" s="995" t="s">
        <v>12</v>
      </c>
    </row>
    <row r="62" spans="5:34">
      <c r="E62" s="1085" t="str">
        <f ca="1"/>
        <v/>
      </c>
      <c r="F62" s="1044" t="str">
        <f ca="1"/>
        <v/>
      </c>
      <c r="G62" s="1045" t="str">
        <f ca="1"/>
        <v/>
      </c>
      <c r="H62" s="1058" t="str">
        <f ca="1"/>
        <v/>
      </c>
      <c r="I62" s="1006" t="str">
        <f ca="1"/>
        <v/>
      </c>
      <c r="J62" s="1016" t="str">
        <f ca="1"/>
        <v/>
      </c>
      <c r="K62" s="1016" t="str">
        <f ca="1"/>
        <v/>
      </c>
      <c r="L62" s="1027" t="str">
        <f ca="1"/>
        <v/>
      </c>
      <c r="M62" s="1249" t="str">
        <f ca="1"/>
        <v/>
      </c>
      <c r="N62" s="1016" t="str">
        <f ca="1"/>
        <v/>
      </c>
      <c r="O62" s="1019" t="str">
        <f ca="1"/>
        <v/>
      </c>
      <c r="P62" s="1016" t="str">
        <f ca="1"/>
        <v/>
      </c>
      <c r="Q62" s="1028" t="str">
        <f ca="1"/>
        <v/>
      </c>
      <c r="R62" s="995" t="s">
        <v>12</v>
      </c>
      <c r="S62" s="1015" t="str">
        <f ca="1"/>
        <v/>
      </c>
      <c r="T62" s="1006" t="str">
        <f ca="1"/>
        <v/>
      </c>
      <c r="U62" s="1006" t="str">
        <f ca="1"/>
        <v/>
      </c>
      <c r="V62" s="1016" t="str">
        <f ca="1"/>
        <v/>
      </c>
      <c r="W62" s="1017" t="str">
        <f ca="1"/>
        <v/>
      </c>
      <c r="X62" s="1006" t="str">
        <f ca="1"/>
        <v/>
      </c>
      <c r="Y62" s="1016" t="str">
        <f ca="1"/>
        <v/>
      </c>
      <c r="Z62" s="1016" t="str">
        <f ca="1"/>
        <v/>
      </c>
      <c r="AA62" s="1027" t="str">
        <f ca="1"/>
        <v/>
      </c>
      <c r="AB62" s="1034" t="str">
        <f ca="1"/>
        <v/>
      </c>
      <c r="AC62" s="1036" t="str">
        <f ca="1"/>
        <v/>
      </c>
      <c r="AD62" s="1016" t="str">
        <f ca="1"/>
        <v/>
      </c>
      <c r="AE62" s="1019" t="str">
        <f ca="1"/>
        <v/>
      </c>
      <c r="AF62" s="1016" t="str">
        <f ca="1"/>
        <v/>
      </c>
      <c r="AG62" s="1028" t="str">
        <f ca="1"/>
        <v/>
      </c>
      <c r="AH62" s="995" t="s">
        <v>12</v>
      </c>
    </row>
    <row r="63" spans="5:34">
      <c r="E63" s="1085" t="str">
        <f ca="1"/>
        <v/>
      </c>
      <c r="F63" s="1044" t="str">
        <f ca="1"/>
        <v/>
      </c>
      <c r="G63" s="1045" t="str">
        <f ca="1"/>
        <v/>
      </c>
      <c r="H63" s="1058" t="str">
        <f ca="1"/>
        <v/>
      </c>
      <c r="I63" s="1006" t="str">
        <f ca="1"/>
        <v/>
      </c>
      <c r="J63" s="1016" t="str">
        <f ca="1"/>
        <v/>
      </c>
      <c r="K63" s="1016" t="str">
        <f ca="1"/>
        <v/>
      </c>
      <c r="L63" s="1027" t="str">
        <f ca="1"/>
        <v/>
      </c>
      <c r="M63" s="1249" t="str">
        <f ca="1"/>
        <v/>
      </c>
      <c r="N63" s="1016" t="str">
        <f ca="1"/>
        <v/>
      </c>
      <c r="O63" s="1019" t="str">
        <f ca="1"/>
        <v/>
      </c>
      <c r="P63" s="1016" t="str">
        <f ca="1"/>
        <v/>
      </c>
      <c r="Q63" s="1028" t="str">
        <f ca="1"/>
        <v/>
      </c>
      <c r="R63" s="995" t="s">
        <v>12</v>
      </c>
      <c r="S63" s="1015" t="str">
        <f ca="1"/>
        <v/>
      </c>
      <c r="T63" s="1006" t="str">
        <f ca="1"/>
        <v/>
      </c>
      <c r="U63" s="1006" t="str">
        <f ca="1"/>
        <v/>
      </c>
      <c r="V63" s="1016" t="str">
        <f ca="1"/>
        <v/>
      </c>
      <c r="W63" s="1017" t="str">
        <f ca="1"/>
        <v/>
      </c>
      <c r="X63" s="1006" t="str">
        <f ca="1"/>
        <v/>
      </c>
      <c r="Y63" s="1016" t="str">
        <f ca="1"/>
        <v/>
      </c>
      <c r="Z63" s="1016" t="str">
        <f ca="1"/>
        <v/>
      </c>
      <c r="AA63" s="1027" t="str">
        <f ca="1"/>
        <v/>
      </c>
      <c r="AB63" s="1034" t="str">
        <f ca="1"/>
        <v/>
      </c>
      <c r="AC63" s="1036" t="str">
        <f ca="1"/>
        <v/>
      </c>
      <c r="AD63" s="1016" t="str">
        <f ca="1"/>
        <v/>
      </c>
      <c r="AE63" s="1019" t="str">
        <f ca="1"/>
        <v/>
      </c>
      <c r="AF63" s="1016" t="str">
        <f ca="1"/>
        <v/>
      </c>
      <c r="AG63" s="1028" t="str">
        <f ca="1"/>
        <v/>
      </c>
      <c r="AH63" s="995" t="s">
        <v>12</v>
      </c>
    </row>
    <row r="64" spans="5:34">
      <c r="E64" s="1085" t="str">
        <f ca="1"/>
        <v/>
      </c>
      <c r="F64" s="1044" t="str">
        <f ca="1"/>
        <v/>
      </c>
      <c r="G64" s="1045" t="str">
        <f ca="1"/>
        <v/>
      </c>
      <c r="H64" s="1058" t="str">
        <f ca="1"/>
        <v/>
      </c>
      <c r="I64" s="1006" t="str">
        <f ca="1"/>
        <v/>
      </c>
      <c r="J64" s="1016" t="str">
        <f ca="1"/>
        <v/>
      </c>
      <c r="K64" s="1016" t="str">
        <f ca="1"/>
        <v/>
      </c>
      <c r="L64" s="1027" t="str">
        <f ca="1"/>
        <v/>
      </c>
      <c r="M64" s="1249" t="str">
        <f ca="1"/>
        <v/>
      </c>
      <c r="N64" s="1016" t="str">
        <f ca="1"/>
        <v/>
      </c>
      <c r="O64" s="1019" t="str">
        <f ca="1"/>
        <v/>
      </c>
      <c r="P64" s="1016" t="str">
        <f ca="1"/>
        <v/>
      </c>
      <c r="Q64" s="1028" t="str">
        <f ca="1"/>
        <v/>
      </c>
      <c r="R64" s="995" t="s">
        <v>12</v>
      </c>
      <c r="S64" s="1015" t="str">
        <f ca="1"/>
        <v/>
      </c>
      <c r="T64" s="1006" t="str">
        <f ca="1"/>
        <v/>
      </c>
      <c r="U64" s="1006" t="str">
        <f ca="1"/>
        <v/>
      </c>
      <c r="V64" s="1016" t="str">
        <f ca="1"/>
        <v/>
      </c>
      <c r="W64" s="1017" t="str">
        <f ca="1"/>
        <v/>
      </c>
      <c r="X64" s="1006" t="str">
        <f ca="1"/>
        <v/>
      </c>
      <c r="Y64" s="1016" t="str">
        <f ca="1"/>
        <v/>
      </c>
      <c r="Z64" s="1016" t="str">
        <f ca="1"/>
        <v/>
      </c>
      <c r="AA64" s="1027" t="str">
        <f ca="1"/>
        <v/>
      </c>
      <c r="AB64" s="1034" t="str">
        <f ca="1"/>
        <v/>
      </c>
      <c r="AC64" s="1036" t="str">
        <f ca="1"/>
        <v/>
      </c>
      <c r="AD64" s="1016" t="str">
        <f ca="1"/>
        <v/>
      </c>
      <c r="AE64" s="1019" t="str">
        <f ca="1"/>
        <v/>
      </c>
      <c r="AF64" s="1016" t="str">
        <f ca="1"/>
        <v/>
      </c>
      <c r="AG64" s="1028" t="str">
        <f ca="1"/>
        <v/>
      </c>
      <c r="AH64" s="995" t="s">
        <v>12</v>
      </c>
    </row>
    <row r="65" spans="5:34">
      <c r="E65" s="1085" t="str">
        <f ca="1"/>
        <v/>
      </c>
      <c r="F65" s="1044" t="str">
        <f ca="1"/>
        <v/>
      </c>
      <c r="G65" s="1045" t="str">
        <f ca="1"/>
        <v/>
      </c>
      <c r="H65" s="1058" t="str">
        <f ca="1"/>
        <v/>
      </c>
      <c r="I65" s="1006" t="str">
        <f ca="1"/>
        <v/>
      </c>
      <c r="J65" s="1016" t="str">
        <f ca="1"/>
        <v/>
      </c>
      <c r="K65" s="1016" t="str">
        <f ca="1"/>
        <v/>
      </c>
      <c r="L65" s="1027" t="str">
        <f ca="1"/>
        <v/>
      </c>
      <c r="M65" s="1249" t="str">
        <f ca="1"/>
        <v/>
      </c>
      <c r="N65" s="1016" t="str">
        <f ca="1"/>
        <v/>
      </c>
      <c r="O65" s="1019" t="str">
        <f ca="1"/>
        <v/>
      </c>
      <c r="P65" s="1016" t="str">
        <f ca="1"/>
        <v/>
      </c>
      <c r="Q65" s="1028" t="str">
        <f ca="1"/>
        <v/>
      </c>
      <c r="R65" s="995" t="s">
        <v>12</v>
      </c>
      <c r="S65" s="1015" t="str">
        <f ca="1"/>
        <v/>
      </c>
      <c r="T65" s="1006" t="str">
        <f ca="1"/>
        <v/>
      </c>
      <c r="U65" s="1006" t="str">
        <f ca="1"/>
        <v/>
      </c>
      <c r="V65" s="1016" t="str">
        <f ca="1"/>
        <v/>
      </c>
      <c r="W65" s="1017" t="str">
        <f ca="1"/>
        <v/>
      </c>
      <c r="X65" s="1006" t="str">
        <f ca="1"/>
        <v/>
      </c>
      <c r="Y65" s="1016" t="str">
        <f ca="1"/>
        <v/>
      </c>
      <c r="Z65" s="1016" t="str">
        <f ca="1"/>
        <v/>
      </c>
      <c r="AA65" s="1027" t="str">
        <f ca="1"/>
        <v/>
      </c>
      <c r="AB65" s="1034" t="str">
        <f ca="1"/>
        <v/>
      </c>
      <c r="AC65" s="1036" t="str">
        <f ca="1"/>
        <v/>
      </c>
      <c r="AD65" s="1016" t="str">
        <f ca="1"/>
        <v/>
      </c>
      <c r="AE65" s="1019" t="str">
        <f ca="1"/>
        <v/>
      </c>
      <c r="AF65" s="1016" t="str">
        <f ca="1"/>
        <v/>
      </c>
      <c r="AG65" s="1028" t="str">
        <f ca="1"/>
        <v/>
      </c>
      <c r="AH65" s="995" t="s">
        <v>12</v>
      </c>
    </row>
    <row r="66" spans="5:34">
      <c r="E66" s="1085" t="str">
        <f ca="1"/>
        <v/>
      </c>
      <c r="F66" s="1044" t="str">
        <f ca="1"/>
        <v/>
      </c>
      <c r="G66" s="1045" t="str">
        <f ca="1"/>
        <v/>
      </c>
      <c r="H66" s="1058" t="str">
        <f ca="1"/>
        <v/>
      </c>
      <c r="I66" s="1006" t="str">
        <f ca="1"/>
        <v/>
      </c>
      <c r="J66" s="1016" t="str">
        <f ca="1"/>
        <v/>
      </c>
      <c r="K66" s="1016" t="str">
        <f ca="1"/>
        <v/>
      </c>
      <c r="L66" s="1027" t="str">
        <f ca="1"/>
        <v/>
      </c>
      <c r="M66" s="1249" t="str">
        <f ca="1"/>
        <v/>
      </c>
      <c r="N66" s="1016" t="str">
        <f ca="1"/>
        <v/>
      </c>
      <c r="O66" s="1019" t="str">
        <f ca="1"/>
        <v/>
      </c>
      <c r="P66" s="1016" t="str">
        <f ca="1"/>
        <v/>
      </c>
      <c r="Q66" s="1028" t="str">
        <f ca="1"/>
        <v/>
      </c>
      <c r="R66" s="995" t="s">
        <v>12</v>
      </c>
      <c r="S66" s="1015" t="str">
        <f ca="1"/>
        <v/>
      </c>
      <c r="T66" s="1006" t="str">
        <f ca="1"/>
        <v/>
      </c>
      <c r="U66" s="1006" t="str">
        <f ca="1"/>
        <v/>
      </c>
      <c r="V66" s="1016" t="str">
        <f ca="1"/>
        <v/>
      </c>
      <c r="W66" s="1017" t="str">
        <f ca="1"/>
        <v/>
      </c>
      <c r="X66" s="1006" t="str">
        <f ca="1"/>
        <v/>
      </c>
      <c r="Y66" s="1016" t="str">
        <f ca="1"/>
        <v/>
      </c>
      <c r="Z66" s="1016" t="str">
        <f ca="1"/>
        <v/>
      </c>
      <c r="AA66" s="1027" t="str">
        <f ca="1"/>
        <v/>
      </c>
      <c r="AB66" s="1034" t="str">
        <f ca="1"/>
        <v/>
      </c>
      <c r="AC66" s="1036" t="str">
        <f ca="1"/>
        <v/>
      </c>
      <c r="AD66" s="1016" t="str">
        <f ca="1"/>
        <v/>
      </c>
      <c r="AE66" s="1019" t="str">
        <f ca="1"/>
        <v/>
      </c>
      <c r="AF66" s="1016" t="str">
        <f ca="1"/>
        <v/>
      </c>
      <c r="AG66" s="1028" t="str">
        <f ca="1"/>
        <v/>
      </c>
      <c r="AH66" s="995" t="s">
        <v>12</v>
      </c>
    </row>
    <row r="67" spans="5:34">
      <c r="E67" s="1085" t="str">
        <f ca="1"/>
        <v/>
      </c>
      <c r="F67" s="1044" t="str">
        <f ca="1"/>
        <v/>
      </c>
      <c r="G67" s="1045" t="str">
        <f ca="1"/>
        <v/>
      </c>
      <c r="H67" s="1058" t="str">
        <f ca="1"/>
        <v/>
      </c>
      <c r="I67" s="1006" t="str">
        <f ca="1"/>
        <v/>
      </c>
      <c r="J67" s="1016" t="str">
        <f ca="1"/>
        <v/>
      </c>
      <c r="K67" s="1016" t="str">
        <f ca="1"/>
        <v/>
      </c>
      <c r="L67" s="1027" t="str">
        <f ca="1"/>
        <v/>
      </c>
      <c r="M67" s="1249" t="str">
        <f ca="1"/>
        <v/>
      </c>
      <c r="N67" s="1016" t="str">
        <f ca="1"/>
        <v/>
      </c>
      <c r="O67" s="1019" t="str">
        <f ca="1"/>
        <v/>
      </c>
      <c r="P67" s="1016" t="str">
        <f ca="1"/>
        <v/>
      </c>
      <c r="Q67" s="1028" t="str">
        <f ca="1"/>
        <v/>
      </c>
      <c r="R67" s="995" t="s">
        <v>12</v>
      </c>
      <c r="S67" s="1015" t="str">
        <f ca="1"/>
        <v/>
      </c>
      <c r="T67" s="1006" t="str">
        <f ca="1"/>
        <v/>
      </c>
      <c r="U67" s="1006" t="str">
        <f ca="1"/>
        <v/>
      </c>
      <c r="V67" s="1016" t="str">
        <f ca="1"/>
        <v/>
      </c>
      <c r="W67" s="1017" t="str">
        <f ca="1"/>
        <v/>
      </c>
      <c r="X67" s="1006" t="str">
        <f ca="1"/>
        <v/>
      </c>
      <c r="Y67" s="1016" t="str">
        <f ca="1"/>
        <v/>
      </c>
      <c r="Z67" s="1016" t="str">
        <f ca="1"/>
        <v/>
      </c>
      <c r="AA67" s="1027" t="str">
        <f ca="1"/>
        <v/>
      </c>
      <c r="AB67" s="1034" t="str">
        <f ca="1"/>
        <v/>
      </c>
      <c r="AC67" s="1036" t="str">
        <f ca="1"/>
        <v/>
      </c>
      <c r="AD67" s="1016" t="str">
        <f ca="1"/>
        <v/>
      </c>
      <c r="AE67" s="1019" t="str">
        <f ca="1"/>
        <v/>
      </c>
      <c r="AF67" s="1016" t="str">
        <f ca="1"/>
        <v/>
      </c>
      <c r="AG67" s="1028" t="str">
        <f ca="1"/>
        <v/>
      </c>
      <c r="AH67" s="995" t="s">
        <v>12</v>
      </c>
    </row>
    <row r="68" spans="5:34">
      <c r="E68" s="1085" t="str">
        <f ca="1"/>
        <v/>
      </c>
      <c r="F68" s="1044" t="str">
        <f ca="1"/>
        <v/>
      </c>
      <c r="G68" s="1045" t="str">
        <f ca="1"/>
        <v/>
      </c>
      <c r="H68" s="1058" t="str">
        <f ca="1"/>
        <v/>
      </c>
      <c r="I68" s="1006" t="str">
        <f ca="1"/>
        <v/>
      </c>
      <c r="J68" s="1016" t="str">
        <f ca="1"/>
        <v/>
      </c>
      <c r="K68" s="1016" t="str">
        <f ca="1"/>
        <v/>
      </c>
      <c r="L68" s="1027" t="str">
        <f ca="1"/>
        <v/>
      </c>
      <c r="M68" s="1249" t="str">
        <f ca="1"/>
        <v/>
      </c>
      <c r="N68" s="1016" t="str">
        <f ca="1"/>
        <v/>
      </c>
      <c r="O68" s="1019" t="str">
        <f ca="1"/>
        <v/>
      </c>
      <c r="P68" s="1016" t="str">
        <f ca="1"/>
        <v/>
      </c>
      <c r="Q68" s="1028" t="str">
        <f ca="1"/>
        <v/>
      </c>
      <c r="R68" s="995" t="s">
        <v>12</v>
      </c>
      <c r="S68" s="1015" t="str">
        <f ca="1"/>
        <v/>
      </c>
      <c r="T68" s="1006" t="str">
        <f ca="1"/>
        <v/>
      </c>
      <c r="U68" s="1006" t="str">
        <f ca="1"/>
        <v/>
      </c>
      <c r="V68" s="1016" t="str">
        <f ca="1"/>
        <v/>
      </c>
      <c r="W68" s="1017" t="str">
        <f ca="1"/>
        <v/>
      </c>
      <c r="X68" s="1006" t="str">
        <f ca="1"/>
        <v/>
      </c>
      <c r="Y68" s="1016" t="str">
        <f ca="1"/>
        <v/>
      </c>
      <c r="Z68" s="1016" t="str">
        <f ca="1"/>
        <v/>
      </c>
      <c r="AA68" s="1027" t="str">
        <f ca="1"/>
        <v/>
      </c>
      <c r="AB68" s="1034" t="str">
        <f ca="1"/>
        <v/>
      </c>
      <c r="AC68" s="1036" t="str">
        <f ca="1"/>
        <v/>
      </c>
      <c r="AD68" s="1016" t="str">
        <f ca="1"/>
        <v/>
      </c>
      <c r="AE68" s="1019" t="str">
        <f ca="1"/>
        <v/>
      </c>
      <c r="AF68" s="1016" t="str">
        <f ca="1"/>
        <v/>
      </c>
      <c r="AG68" s="1028" t="str">
        <f ca="1"/>
        <v/>
      </c>
      <c r="AH68" s="995" t="s">
        <v>12</v>
      </c>
    </row>
    <row r="69" spans="5:34">
      <c r="E69" s="1085" t="str">
        <f ca="1"/>
        <v/>
      </c>
      <c r="F69" s="1044" t="str">
        <f ca="1"/>
        <v/>
      </c>
      <c r="G69" s="1045" t="str">
        <f ca="1"/>
        <v/>
      </c>
      <c r="H69" s="1058" t="str">
        <f ca="1"/>
        <v/>
      </c>
      <c r="I69" s="1006" t="str">
        <f ca="1"/>
        <v/>
      </c>
      <c r="J69" s="1016" t="str">
        <f ca="1"/>
        <v/>
      </c>
      <c r="K69" s="1016" t="str">
        <f ca="1"/>
        <v/>
      </c>
      <c r="L69" s="1027" t="str">
        <f ca="1"/>
        <v/>
      </c>
      <c r="M69" s="1249" t="str">
        <f ca="1"/>
        <v/>
      </c>
      <c r="N69" s="1016" t="str">
        <f ca="1"/>
        <v/>
      </c>
      <c r="O69" s="1019" t="str">
        <f ca="1"/>
        <v/>
      </c>
      <c r="P69" s="1016" t="str">
        <f ca="1"/>
        <v/>
      </c>
      <c r="Q69" s="1028" t="str">
        <f ca="1"/>
        <v/>
      </c>
      <c r="R69" s="995" t="s">
        <v>12</v>
      </c>
      <c r="S69" s="1015" t="str">
        <f ca="1"/>
        <v/>
      </c>
      <c r="T69" s="1006" t="str">
        <f ca="1"/>
        <v/>
      </c>
      <c r="U69" s="1006" t="str">
        <f ca="1"/>
        <v/>
      </c>
      <c r="V69" s="1016" t="str">
        <f ca="1"/>
        <v/>
      </c>
      <c r="W69" s="1017" t="str">
        <f ca="1"/>
        <v/>
      </c>
      <c r="X69" s="1006" t="str">
        <f ca="1"/>
        <v/>
      </c>
      <c r="Y69" s="1016" t="str">
        <f ca="1"/>
        <v/>
      </c>
      <c r="Z69" s="1016" t="str">
        <f ca="1"/>
        <v/>
      </c>
      <c r="AA69" s="1027" t="str">
        <f ca="1"/>
        <v/>
      </c>
      <c r="AB69" s="1034" t="str">
        <f ca="1"/>
        <v/>
      </c>
      <c r="AC69" s="1036" t="str">
        <f ca="1"/>
        <v/>
      </c>
      <c r="AD69" s="1016" t="str">
        <f ca="1"/>
        <v/>
      </c>
      <c r="AE69" s="1019" t="str">
        <f ca="1"/>
        <v/>
      </c>
      <c r="AF69" s="1016" t="str">
        <f ca="1"/>
        <v/>
      </c>
      <c r="AG69" s="1028" t="str">
        <f ca="1"/>
        <v/>
      </c>
      <c r="AH69" s="995" t="s">
        <v>12</v>
      </c>
    </row>
    <row r="70" spans="5:34">
      <c r="E70" s="1085" t="str">
        <f ca="1"/>
        <v/>
      </c>
      <c r="F70" s="1044" t="str">
        <f ca="1"/>
        <v/>
      </c>
      <c r="G70" s="1045" t="str">
        <f ca="1"/>
        <v/>
      </c>
      <c r="H70" s="1058" t="str">
        <f ca="1"/>
        <v/>
      </c>
      <c r="I70" s="1006" t="str">
        <f ca="1"/>
        <v/>
      </c>
      <c r="J70" s="1016" t="str">
        <f ca="1"/>
        <v/>
      </c>
      <c r="K70" s="1016" t="str">
        <f ca="1"/>
        <v/>
      </c>
      <c r="L70" s="1027" t="str">
        <f ca="1"/>
        <v/>
      </c>
      <c r="M70" s="1249" t="str">
        <f ca="1"/>
        <v/>
      </c>
      <c r="N70" s="1016" t="str">
        <f ca="1"/>
        <v/>
      </c>
      <c r="O70" s="1019" t="str">
        <f ca="1"/>
        <v/>
      </c>
      <c r="P70" s="1016" t="str">
        <f ca="1"/>
        <v/>
      </c>
      <c r="Q70" s="1028" t="str">
        <f ca="1"/>
        <v/>
      </c>
      <c r="R70" s="995" t="s">
        <v>12</v>
      </c>
      <c r="S70" s="1015" t="str">
        <f ca="1"/>
        <v/>
      </c>
      <c r="T70" s="1006" t="str">
        <f ca="1"/>
        <v/>
      </c>
      <c r="U70" s="1006" t="str">
        <f ca="1"/>
        <v/>
      </c>
      <c r="V70" s="1016" t="str">
        <f ca="1"/>
        <v/>
      </c>
      <c r="W70" s="1017" t="str">
        <f ca="1"/>
        <v/>
      </c>
      <c r="X70" s="1006" t="str">
        <f ca="1"/>
        <v/>
      </c>
      <c r="Y70" s="1016" t="str">
        <f ca="1"/>
        <v/>
      </c>
      <c r="Z70" s="1016" t="str">
        <f ca="1"/>
        <v/>
      </c>
      <c r="AA70" s="1027" t="str">
        <f ca="1"/>
        <v/>
      </c>
      <c r="AB70" s="1034" t="str">
        <f ca="1"/>
        <v/>
      </c>
      <c r="AC70" s="1036" t="str">
        <f ca="1"/>
        <v/>
      </c>
      <c r="AD70" s="1016" t="str">
        <f ca="1"/>
        <v/>
      </c>
      <c r="AE70" s="1019" t="str">
        <f ca="1"/>
        <v/>
      </c>
      <c r="AF70" s="1016" t="str">
        <f ca="1"/>
        <v/>
      </c>
      <c r="AG70" s="1028" t="str">
        <f ca="1"/>
        <v/>
      </c>
      <c r="AH70" s="995" t="s">
        <v>12</v>
      </c>
    </row>
    <row r="71" spans="5:34">
      <c r="E71" s="1085" t="str">
        <f ca="1"/>
        <v/>
      </c>
      <c r="F71" s="1044" t="str">
        <f ca="1"/>
        <v/>
      </c>
      <c r="G71" s="1045" t="str">
        <f ca="1"/>
        <v/>
      </c>
      <c r="H71" s="1058" t="str">
        <f ca="1"/>
        <v/>
      </c>
      <c r="I71" s="1006" t="str">
        <f ca="1"/>
        <v/>
      </c>
      <c r="J71" s="1016" t="str">
        <f ca="1"/>
        <v/>
      </c>
      <c r="K71" s="1016" t="str">
        <f ca="1"/>
        <v/>
      </c>
      <c r="L71" s="1027" t="str">
        <f ca="1"/>
        <v/>
      </c>
      <c r="M71" s="1249" t="str">
        <f ca="1"/>
        <v/>
      </c>
      <c r="N71" s="1016" t="str">
        <f ca="1"/>
        <v/>
      </c>
      <c r="O71" s="1019" t="str">
        <f ca="1"/>
        <v/>
      </c>
      <c r="P71" s="1016" t="str">
        <f ca="1"/>
        <v/>
      </c>
      <c r="Q71" s="1028" t="str">
        <f ca="1"/>
        <v/>
      </c>
      <c r="R71" s="995" t="s">
        <v>12</v>
      </c>
      <c r="S71" s="1015" t="str">
        <f ca="1"/>
        <v/>
      </c>
      <c r="T71" s="1006" t="str">
        <f ca="1"/>
        <v/>
      </c>
      <c r="U71" s="1006" t="str">
        <f ca="1"/>
        <v/>
      </c>
      <c r="V71" s="1016" t="str">
        <f ca="1"/>
        <v/>
      </c>
      <c r="W71" s="1017" t="str">
        <f ca="1"/>
        <v/>
      </c>
      <c r="X71" s="1006" t="str">
        <f ca="1"/>
        <v/>
      </c>
      <c r="Y71" s="1016" t="str">
        <f ca="1"/>
        <v/>
      </c>
      <c r="Z71" s="1016" t="str">
        <f ca="1"/>
        <v/>
      </c>
      <c r="AA71" s="1027" t="str">
        <f ca="1"/>
        <v/>
      </c>
      <c r="AB71" s="1034" t="str">
        <f ca="1"/>
        <v/>
      </c>
      <c r="AC71" s="1036" t="str">
        <f ca="1"/>
        <v/>
      </c>
      <c r="AD71" s="1016" t="str">
        <f ca="1"/>
        <v/>
      </c>
      <c r="AE71" s="1019" t="str">
        <f ca="1"/>
        <v/>
      </c>
      <c r="AF71" s="1016" t="str">
        <f ca="1"/>
        <v/>
      </c>
      <c r="AG71" s="1028" t="str">
        <f ca="1"/>
        <v/>
      </c>
      <c r="AH71" s="995" t="s">
        <v>12</v>
      </c>
    </row>
    <row r="72" spans="5:34">
      <c r="E72" s="1085" t="str">
        <f ca="1"/>
        <v/>
      </c>
      <c r="F72" s="1044" t="str">
        <f ca="1"/>
        <v/>
      </c>
      <c r="G72" s="1045" t="str">
        <f ca="1"/>
        <v/>
      </c>
      <c r="H72" s="1058" t="str">
        <f ca="1"/>
        <v/>
      </c>
      <c r="I72" s="1006" t="str">
        <f ca="1"/>
        <v/>
      </c>
      <c r="J72" s="1016" t="str">
        <f ca="1"/>
        <v/>
      </c>
      <c r="K72" s="1016" t="str">
        <f ca="1"/>
        <v/>
      </c>
      <c r="L72" s="1027" t="str">
        <f ca="1"/>
        <v/>
      </c>
      <c r="M72" s="1249" t="str">
        <f ca="1"/>
        <v/>
      </c>
      <c r="N72" s="1016" t="str">
        <f ca="1"/>
        <v/>
      </c>
      <c r="O72" s="1019" t="str">
        <f ca="1"/>
        <v/>
      </c>
      <c r="P72" s="1016" t="str">
        <f ca="1"/>
        <v/>
      </c>
      <c r="Q72" s="1028" t="str">
        <f ca="1"/>
        <v/>
      </c>
      <c r="R72" s="995" t="s">
        <v>12</v>
      </c>
      <c r="S72" s="1015" t="str">
        <f ca="1"/>
        <v/>
      </c>
      <c r="T72" s="1006" t="str">
        <f ca="1"/>
        <v/>
      </c>
      <c r="U72" s="1006" t="str">
        <f ca="1"/>
        <v/>
      </c>
      <c r="V72" s="1016" t="str">
        <f ca="1"/>
        <v/>
      </c>
      <c r="W72" s="1017" t="str">
        <f ca="1"/>
        <v/>
      </c>
      <c r="X72" s="1006" t="str">
        <f ca="1"/>
        <v/>
      </c>
      <c r="Y72" s="1016" t="str">
        <f ca="1"/>
        <v/>
      </c>
      <c r="Z72" s="1016" t="str">
        <f ca="1"/>
        <v/>
      </c>
      <c r="AA72" s="1027" t="str">
        <f ca="1"/>
        <v/>
      </c>
      <c r="AB72" s="1034" t="str">
        <f ca="1"/>
        <v/>
      </c>
      <c r="AC72" s="1036" t="str">
        <f ca="1"/>
        <v/>
      </c>
      <c r="AD72" s="1016" t="str">
        <f ca="1"/>
        <v/>
      </c>
      <c r="AE72" s="1019" t="str">
        <f ca="1"/>
        <v/>
      </c>
      <c r="AF72" s="1016" t="str">
        <f ca="1"/>
        <v/>
      </c>
      <c r="AG72" s="1028" t="str">
        <f ca="1"/>
        <v/>
      </c>
      <c r="AH72" s="995" t="s">
        <v>12</v>
      </c>
    </row>
    <row r="73" spans="5:34">
      <c r="E73" s="1085" t="str">
        <f ca="1"/>
        <v/>
      </c>
      <c r="F73" s="1044" t="str">
        <f ca="1"/>
        <v/>
      </c>
      <c r="G73" s="1045" t="str">
        <f ca="1"/>
        <v/>
      </c>
      <c r="H73" s="1058" t="str">
        <f ca="1"/>
        <v/>
      </c>
      <c r="I73" s="1006" t="str">
        <f ca="1"/>
        <v/>
      </c>
      <c r="J73" s="1016" t="str">
        <f ca="1"/>
        <v/>
      </c>
      <c r="K73" s="1016" t="str">
        <f ca="1"/>
        <v/>
      </c>
      <c r="L73" s="1027" t="str">
        <f ca="1"/>
        <v/>
      </c>
      <c r="M73" s="1249" t="str">
        <f ca="1"/>
        <v/>
      </c>
      <c r="N73" s="1016" t="str">
        <f ca="1"/>
        <v/>
      </c>
      <c r="O73" s="1019" t="str">
        <f ca="1"/>
        <v/>
      </c>
      <c r="P73" s="1016" t="str">
        <f ca="1"/>
        <v/>
      </c>
      <c r="Q73" s="1028" t="str">
        <f ca="1"/>
        <v/>
      </c>
      <c r="R73" s="995" t="s">
        <v>12</v>
      </c>
      <c r="S73" s="1015" t="str">
        <f ca="1"/>
        <v/>
      </c>
      <c r="T73" s="1006" t="str">
        <f ca="1"/>
        <v/>
      </c>
      <c r="U73" s="1006" t="str">
        <f ca="1"/>
        <v/>
      </c>
      <c r="V73" s="1016" t="str">
        <f ca="1"/>
        <v/>
      </c>
      <c r="W73" s="1017" t="str">
        <f ca="1"/>
        <v/>
      </c>
      <c r="X73" s="1006" t="str">
        <f ca="1"/>
        <v/>
      </c>
      <c r="Y73" s="1016" t="str">
        <f ca="1"/>
        <v/>
      </c>
      <c r="Z73" s="1016" t="str">
        <f ca="1"/>
        <v/>
      </c>
      <c r="AA73" s="1027" t="str">
        <f ca="1"/>
        <v/>
      </c>
      <c r="AB73" s="1034" t="str">
        <f ca="1"/>
        <v/>
      </c>
      <c r="AC73" s="1036" t="str">
        <f ca="1"/>
        <v/>
      </c>
      <c r="AD73" s="1016" t="str">
        <f ca="1"/>
        <v/>
      </c>
      <c r="AE73" s="1019" t="str">
        <f ca="1"/>
        <v/>
      </c>
      <c r="AF73" s="1016" t="str">
        <f ca="1"/>
        <v/>
      </c>
      <c r="AG73" s="1028" t="str">
        <f ca="1"/>
        <v/>
      </c>
      <c r="AH73" s="995" t="s">
        <v>12</v>
      </c>
    </row>
    <row r="74" spans="5:34">
      <c r="E74" s="1085" t="str">
        <f ca="1"/>
        <v/>
      </c>
      <c r="F74" s="1044" t="str">
        <f ca="1"/>
        <v/>
      </c>
      <c r="G74" s="1045" t="str">
        <f ca="1"/>
        <v/>
      </c>
      <c r="H74" s="1058" t="str">
        <f ca="1"/>
        <v/>
      </c>
      <c r="I74" s="1006" t="str">
        <f ca="1"/>
        <v/>
      </c>
      <c r="J74" s="1016" t="str">
        <f ca="1"/>
        <v/>
      </c>
      <c r="K74" s="1016" t="str">
        <f ca="1"/>
        <v/>
      </c>
      <c r="L74" s="1027" t="str">
        <f ca="1"/>
        <v/>
      </c>
      <c r="M74" s="1249" t="str">
        <f ca="1"/>
        <v/>
      </c>
      <c r="N74" s="1016" t="str">
        <f ca="1"/>
        <v/>
      </c>
      <c r="O74" s="1019" t="str">
        <f ca="1"/>
        <v/>
      </c>
      <c r="P74" s="1016" t="str">
        <f ca="1"/>
        <v/>
      </c>
      <c r="Q74" s="1028" t="str">
        <f ca="1"/>
        <v/>
      </c>
      <c r="R74" s="995" t="s">
        <v>12</v>
      </c>
      <c r="S74" s="1015" t="str">
        <f ca="1"/>
        <v/>
      </c>
      <c r="T74" s="1006" t="str">
        <f ca="1"/>
        <v/>
      </c>
      <c r="U74" s="1006" t="str">
        <f ca="1"/>
        <v/>
      </c>
      <c r="V74" s="1016" t="str">
        <f ca="1"/>
        <v/>
      </c>
      <c r="W74" s="1017" t="str">
        <f ca="1"/>
        <v/>
      </c>
      <c r="X74" s="1006" t="str">
        <f ca="1"/>
        <v/>
      </c>
      <c r="Y74" s="1016" t="str">
        <f ca="1"/>
        <v/>
      </c>
      <c r="Z74" s="1016" t="str">
        <f ca="1"/>
        <v/>
      </c>
      <c r="AA74" s="1027" t="str">
        <f ca="1"/>
        <v/>
      </c>
      <c r="AB74" s="1034" t="str">
        <f ca="1"/>
        <v/>
      </c>
      <c r="AC74" s="1036" t="str">
        <f ca="1"/>
        <v/>
      </c>
      <c r="AD74" s="1016" t="str">
        <f ca="1"/>
        <v/>
      </c>
      <c r="AE74" s="1019" t="str">
        <f ca="1"/>
        <v/>
      </c>
      <c r="AF74" s="1016" t="str">
        <f ca="1"/>
        <v/>
      </c>
      <c r="AG74" s="1028" t="str">
        <f ca="1"/>
        <v/>
      </c>
      <c r="AH74" s="995" t="s">
        <v>12</v>
      </c>
    </row>
    <row r="75" spans="5:34">
      <c r="E75" s="1085" t="str">
        <f ca="1"/>
        <v/>
      </c>
      <c r="F75" s="1044" t="str">
        <f ca="1"/>
        <v/>
      </c>
      <c r="G75" s="1045" t="str">
        <f ca="1"/>
        <v/>
      </c>
      <c r="H75" s="1058" t="str">
        <f ca="1"/>
        <v/>
      </c>
      <c r="I75" s="1006" t="str">
        <f ca="1"/>
        <v/>
      </c>
      <c r="J75" s="1016" t="str">
        <f ca="1"/>
        <v/>
      </c>
      <c r="K75" s="1016" t="str">
        <f ca="1"/>
        <v/>
      </c>
      <c r="L75" s="1027" t="str">
        <f ca="1"/>
        <v/>
      </c>
      <c r="M75" s="1249" t="str">
        <f ca="1"/>
        <v/>
      </c>
      <c r="N75" s="1016" t="str">
        <f ca="1"/>
        <v/>
      </c>
      <c r="O75" s="1019" t="str">
        <f ca="1"/>
        <v/>
      </c>
      <c r="P75" s="1016" t="str">
        <f ca="1"/>
        <v/>
      </c>
      <c r="Q75" s="1028" t="str">
        <f ca="1"/>
        <v/>
      </c>
      <c r="R75" s="995" t="s">
        <v>12</v>
      </c>
      <c r="S75" s="1015" t="str">
        <f ca="1"/>
        <v/>
      </c>
      <c r="T75" s="1006" t="str">
        <f ca="1"/>
        <v/>
      </c>
      <c r="U75" s="1006" t="str">
        <f ca="1"/>
        <v/>
      </c>
      <c r="V75" s="1016" t="str">
        <f ca="1"/>
        <v/>
      </c>
      <c r="W75" s="1017" t="str">
        <f ca="1"/>
        <v/>
      </c>
      <c r="X75" s="1006" t="str">
        <f ca="1"/>
        <v/>
      </c>
      <c r="Y75" s="1016" t="str">
        <f ca="1"/>
        <v/>
      </c>
      <c r="Z75" s="1016" t="str">
        <f ca="1"/>
        <v/>
      </c>
      <c r="AA75" s="1027" t="str">
        <f ca="1"/>
        <v/>
      </c>
      <c r="AB75" s="1034" t="str">
        <f ca="1"/>
        <v/>
      </c>
      <c r="AC75" s="1036" t="str">
        <f ca="1"/>
        <v/>
      </c>
      <c r="AD75" s="1016" t="str">
        <f ca="1"/>
        <v/>
      </c>
      <c r="AE75" s="1019" t="str">
        <f ca="1"/>
        <v/>
      </c>
      <c r="AF75" s="1016" t="str">
        <f ca="1"/>
        <v/>
      </c>
      <c r="AG75" s="1028" t="str">
        <f ca="1"/>
        <v/>
      </c>
      <c r="AH75" s="995" t="s">
        <v>12</v>
      </c>
    </row>
    <row r="76" spans="5:34">
      <c r="E76" s="1085" t="str">
        <f ca="1"/>
        <v/>
      </c>
      <c r="F76" s="1044" t="str">
        <f ca="1"/>
        <v/>
      </c>
      <c r="G76" s="1045" t="str">
        <f ca="1"/>
        <v/>
      </c>
      <c r="H76" s="1058" t="str">
        <f ca="1"/>
        <v/>
      </c>
      <c r="I76" s="1006" t="str">
        <f ca="1"/>
        <v/>
      </c>
      <c r="J76" s="1016" t="str">
        <f ca="1"/>
        <v/>
      </c>
      <c r="K76" s="1016" t="str">
        <f ca="1"/>
        <v/>
      </c>
      <c r="L76" s="1027" t="str">
        <f ca="1"/>
        <v/>
      </c>
      <c r="M76" s="1249" t="str">
        <f ca="1"/>
        <v/>
      </c>
      <c r="N76" s="1016" t="str">
        <f ca="1"/>
        <v/>
      </c>
      <c r="O76" s="1019" t="str">
        <f ca="1"/>
        <v/>
      </c>
      <c r="P76" s="1016" t="str">
        <f ca="1"/>
        <v/>
      </c>
      <c r="Q76" s="1028" t="str">
        <f ca="1"/>
        <v/>
      </c>
      <c r="R76" s="995" t="s">
        <v>12</v>
      </c>
      <c r="S76" s="1015" t="str">
        <f ca="1"/>
        <v/>
      </c>
      <c r="T76" s="1006" t="str">
        <f ca="1"/>
        <v/>
      </c>
      <c r="U76" s="1006" t="str">
        <f ca="1"/>
        <v/>
      </c>
      <c r="V76" s="1016" t="str">
        <f ca="1"/>
        <v/>
      </c>
      <c r="W76" s="1017" t="str">
        <f ca="1"/>
        <v/>
      </c>
      <c r="X76" s="1006" t="str">
        <f ca="1"/>
        <v/>
      </c>
      <c r="Y76" s="1016" t="str">
        <f ca="1"/>
        <v/>
      </c>
      <c r="Z76" s="1016" t="str">
        <f ca="1"/>
        <v/>
      </c>
      <c r="AA76" s="1027" t="str">
        <f ca="1"/>
        <v/>
      </c>
      <c r="AB76" s="1034" t="str">
        <f ca="1"/>
        <v/>
      </c>
      <c r="AC76" s="1036" t="str">
        <f ca="1"/>
        <v/>
      </c>
      <c r="AD76" s="1016" t="str">
        <f ca="1"/>
        <v/>
      </c>
      <c r="AE76" s="1019" t="str">
        <f ca="1"/>
        <v/>
      </c>
      <c r="AF76" s="1016" t="str">
        <f ca="1"/>
        <v/>
      </c>
      <c r="AG76" s="1028" t="str">
        <f ca="1"/>
        <v/>
      </c>
      <c r="AH76" s="995" t="s">
        <v>12</v>
      </c>
    </row>
    <row r="77" spans="5:34">
      <c r="E77" s="1085" t="str">
        <f ca="1"/>
        <v/>
      </c>
      <c r="F77" s="1044" t="str">
        <f ca="1"/>
        <v/>
      </c>
      <c r="G77" s="1045" t="str">
        <f ca="1"/>
        <v/>
      </c>
      <c r="H77" s="1058" t="str">
        <f ca="1"/>
        <v/>
      </c>
      <c r="I77" s="1006" t="str">
        <f ca="1"/>
        <v/>
      </c>
      <c r="J77" s="1016" t="str">
        <f ca="1"/>
        <v/>
      </c>
      <c r="K77" s="1016" t="str">
        <f ca="1"/>
        <v/>
      </c>
      <c r="L77" s="1027" t="str">
        <f ca="1"/>
        <v/>
      </c>
      <c r="M77" s="1249" t="str">
        <f ca="1"/>
        <v/>
      </c>
      <c r="N77" s="1016" t="str">
        <f ca="1"/>
        <v/>
      </c>
      <c r="O77" s="1019" t="str">
        <f ca="1"/>
        <v/>
      </c>
      <c r="P77" s="1016" t="str">
        <f ca="1"/>
        <v/>
      </c>
      <c r="Q77" s="1028" t="str">
        <f ca="1"/>
        <v/>
      </c>
      <c r="R77" s="995" t="s">
        <v>12</v>
      </c>
      <c r="S77" s="1015" t="str">
        <f ca="1"/>
        <v/>
      </c>
      <c r="T77" s="1006" t="str">
        <f ca="1"/>
        <v/>
      </c>
      <c r="U77" s="1006" t="str">
        <f ca="1"/>
        <v/>
      </c>
      <c r="V77" s="1016" t="str">
        <f ca="1"/>
        <v/>
      </c>
      <c r="W77" s="1017" t="str">
        <f ca="1"/>
        <v/>
      </c>
      <c r="X77" s="1006" t="str">
        <f ca="1"/>
        <v/>
      </c>
      <c r="Y77" s="1016" t="str">
        <f ca="1"/>
        <v/>
      </c>
      <c r="Z77" s="1016" t="str">
        <f ca="1"/>
        <v/>
      </c>
      <c r="AA77" s="1027" t="str">
        <f ca="1"/>
        <v/>
      </c>
      <c r="AB77" s="1034" t="str">
        <f ca="1"/>
        <v/>
      </c>
      <c r="AC77" s="1036" t="str">
        <f ca="1"/>
        <v/>
      </c>
      <c r="AD77" s="1016" t="str">
        <f ca="1"/>
        <v/>
      </c>
      <c r="AE77" s="1019" t="str">
        <f ca="1"/>
        <v/>
      </c>
      <c r="AF77" s="1016" t="str">
        <f ca="1"/>
        <v/>
      </c>
      <c r="AG77" s="1028" t="str">
        <f ca="1"/>
        <v/>
      </c>
      <c r="AH77" s="995" t="s">
        <v>12</v>
      </c>
    </row>
    <row r="78" spans="5:34">
      <c r="E78" s="1085" t="str">
        <f ca="1"/>
        <v/>
      </c>
      <c r="F78" s="1044" t="str">
        <f ca="1"/>
        <v/>
      </c>
      <c r="G78" s="1045" t="str">
        <f ca="1"/>
        <v/>
      </c>
      <c r="H78" s="1058" t="str">
        <f ca="1"/>
        <v/>
      </c>
      <c r="I78" s="1006" t="str">
        <f ca="1"/>
        <v/>
      </c>
      <c r="J78" s="1016" t="str">
        <f ca="1"/>
        <v/>
      </c>
      <c r="K78" s="1016" t="str">
        <f ca="1"/>
        <v/>
      </c>
      <c r="L78" s="1027" t="str">
        <f ca="1"/>
        <v/>
      </c>
      <c r="M78" s="1249" t="str">
        <f ca="1"/>
        <v/>
      </c>
      <c r="N78" s="1016" t="str">
        <f ca="1"/>
        <v/>
      </c>
      <c r="O78" s="1019" t="str">
        <f ca="1"/>
        <v/>
      </c>
      <c r="P78" s="1016" t="str">
        <f ca="1"/>
        <v/>
      </c>
      <c r="Q78" s="1028" t="str">
        <f ca="1"/>
        <v/>
      </c>
      <c r="R78" s="995" t="s">
        <v>12</v>
      </c>
      <c r="S78" s="1015" t="str">
        <f ca="1"/>
        <v/>
      </c>
      <c r="T78" s="1006" t="str">
        <f ca="1"/>
        <v/>
      </c>
      <c r="U78" s="1006" t="str">
        <f ca="1"/>
        <v/>
      </c>
      <c r="V78" s="1016" t="str">
        <f ca="1"/>
        <v/>
      </c>
      <c r="W78" s="1017" t="str">
        <f ca="1"/>
        <v/>
      </c>
      <c r="X78" s="1006" t="str">
        <f ca="1"/>
        <v/>
      </c>
      <c r="Y78" s="1016" t="str">
        <f ca="1"/>
        <v/>
      </c>
      <c r="Z78" s="1016" t="str">
        <f ca="1"/>
        <v/>
      </c>
      <c r="AA78" s="1027" t="str">
        <f ca="1"/>
        <v/>
      </c>
      <c r="AB78" s="1034" t="str">
        <f ca="1"/>
        <v/>
      </c>
      <c r="AC78" s="1036" t="str">
        <f ca="1"/>
        <v/>
      </c>
      <c r="AD78" s="1016" t="str">
        <f ca="1"/>
        <v/>
      </c>
      <c r="AE78" s="1019" t="str">
        <f ca="1"/>
        <v/>
      </c>
      <c r="AF78" s="1016" t="str">
        <f ca="1"/>
        <v/>
      </c>
      <c r="AG78" s="1028" t="str">
        <f ca="1"/>
        <v/>
      </c>
      <c r="AH78" s="995" t="s">
        <v>12</v>
      </c>
    </row>
    <row r="79" spans="5:34">
      <c r="E79" s="1085" t="str">
        <f ca="1"/>
        <v/>
      </c>
      <c r="F79" s="1044" t="str">
        <f ca="1"/>
        <v/>
      </c>
      <c r="G79" s="1045" t="str">
        <f ca="1"/>
        <v/>
      </c>
      <c r="H79" s="1058" t="str">
        <f ca="1"/>
        <v/>
      </c>
      <c r="I79" s="1006" t="str">
        <f ca="1"/>
        <v/>
      </c>
      <c r="J79" s="1016" t="str">
        <f ca="1"/>
        <v/>
      </c>
      <c r="K79" s="1016" t="str">
        <f ca="1"/>
        <v/>
      </c>
      <c r="L79" s="1027" t="str">
        <f ca="1"/>
        <v/>
      </c>
      <c r="M79" s="1249" t="str">
        <f ca="1"/>
        <v/>
      </c>
      <c r="N79" s="1016" t="str">
        <f ca="1"/>
        <v/>
      </c>
      <c r="O79" s="1019" t="str">
        <f ca="1"/>
        <v/>
      </c>
      <c r="P79" s="1016" t="str">
        <f ca="1"/>
        <v/>
      </c>
      <c r="Q79" s="1028" t="str">
        <f ca="1"/>
        <v/>
      </c>
      <c r="R79" s="995" t="s">
        <v>12</v>
      </c>
      <c r="S79" s="1015" t="str">
        <f ca="1"/>
        <v/>
      </c>
      <c r="T79" s="1006" t="str">
        <f ca="1"/>
        <v/>
      </c>
      <c r="U79" s="1006" t="str">
        <f ca="1"/>
        <v/>
      </c>
      <c r="V79" s="1016" t="str">
        <f ca="1"/>
        <v/>
      </c>
      <c r="W79" s="1017" t="str">
        <f ca="1"/>
        <v/>
      </c>
      <c r="X79" s="1006" t="str">
        <f ca="1"/>
        <v/>
      </c>
      <c r="Y79" s="1016" t="str">
        <f ca="1"/>
        <v/>
      </c>
      <c r="Z79" s="1016" t="str">
        <f ca="1"/>
        <v/>
      </c>
      <c r="AA79" s="1027" t="str">
        <f ca="1"/>
        <v/>
      </c>
      <c r="AB79" s="1034" t="str">
        <f ca="1"/>
        <v/>
      </c>
      <c r="AC79" s="1036" t="str">
        <f ca="1"/>
        <v/>
      </c>
      <c r="AD79" s="1016" t="str">
        <f ca="1"/>
        <v/>
      </c>
      <c r="AE79" s="1019" t="str">
        <f ca="1"/>
        <v/>
      </c>
      <c r="AF79" s="1016" t="str">
        <f ca="1"/>
        <v/>
      </c>
      <c r="AG79" s="1028" t="str">
        <f ca="1"/>
        <v/>
      </c>
      <c r="AH79" s="995" t="s">
        <v>12</v>
      </c>
    </row>
    <row r="80" spans="5:34">
      <c r="E80" s="1085" t="str">
        <f ca="1"/>
        <v/>
      </c>
      <c r="F80" s="1044" t="str">
        <f ca="1"/>
        <v/>
      </c>
      <c r="G80" s="1045" t="str">
        <f ca="1"/>
        <v/>
      </c>
      <c r="H80" s="1058" t="str">
        <f ca="1"/>
        <v/>
      </c>
      <c r="I80" s="1006" t="str">
        <f ca="1"/>
        <v/>
      </c>
      <c r="J80" s="1016" t="str">
        <f ca="1"/>
        <v/>
      </c>
      <c r="K80" s="1016" t="str">
        <f ca="1"/>
        <v/>
      </c>
      <c r="L80" s="1027" t="str">
        <f ca="1"/>
        <v/>
      </c>
      <c r="M80" s="1249" t="str">
        <f ca="1"/>
        <v/>
      </c>
      <c r="N80" s="1016" t="str">
        <f ca="1"/>
        <v/>
      </c>
      <c r="O80" s="1019" t="str">
        <f ca="1"/>
        <v/>
      </c>
      <c r="P80" s="1016" t="str">
        <f ca="1"/>
        <v/>
      </c>
      <c r="Q80" s="1028" t="str">
        <f ca="1"/>
        <v/>
      </c>
      <c r="R80" s="995" t="s">
        <v>12</v>
      </c>
      <c r="S80" s="1015" t="str">
        <f ca="1"/>
        <v/>
      </c>
      <c r="T80" s="1006" t="str">
        <f ca="1"/>
        <v/>
      </c>
      <c r="U80" s="1006" t="str">
        <f ca="1"/>
        <v/>
      </c>
      <c r="V80" s="1016" t="str">
        <f ca="1"/>
        <v/>
      </c>
      <c r="W80" s="1017" t="str">
        <f ca="1"/>
        <v/>
      </c>
      <c r="X80" s="1006" t="str">
        <f ca="1"/>
        <v/>
      </c>
      <c r="Y80" s="1016" t="str">
        <f ca="1"/>
        <v/>
      </c>
      <c r="Z80" s="1016" t="str">
        <f ca="1"/>
        <v/>
      </c>
      <c r="AA80" s="1027" t="str">
        <f ca="1"/>
        <v/>
      </c>
      <c r="AB80" s="1034" t="str">
        <f ca="1"/>
        <v/>
      </c>
      <c r="AC80" s="1036" t="str">
        <f ca="1"/>
        <v/>
      </c>
      <c r="AD80" s="1016" t="str">
        <f ca="1"/>
        <v/>
      </c>
      <c r="AE80" s="1019" t="str">
        <f ca="1"/>
        <v/>
      </c>
      <c r="AF80" s="1016" t="str">
        <f ca="1"/>
        <v/>
      </c>
      <c r="AG80" s="1028" t="str">
        <f ca="1"/>
        <v/>
      </c>
      <c r="AH80" s="995" t="s">
        <v>12</v>
      </c>
    </row>
    <row r="81" spans="5:34">
      <c r="E81" s="1085" t="str">
        <f ca="1"/>
        <v/>
      </c>
      <c r="F81" s="1044" t="str">
        <f ca="1"/>
        <v/>
      </c>
      <c r="G81" s="1045" t="str">
        <f ca="1"/>
        <v/>
      </c>
      <c r="H81" s="1058" t="str">
        <f ca="1"/>
        <v/>
      </c>
      <c r="I81" s="1006" t="str">
        <f ca="1"/>
        <v/>
      </c>
      <c r="J81" s="1016" t="str">
        <f ca="1"/>
        <v/>
      </c>
      <c r="K81" s="1016" t="str">
        <f ca="1"/>
        <v/>
      </c>
      <c r="L81" s="1027" t="str">
        <f ca="1"/>
        <v/>
      </c>
      <c r="M81" s="1249" t="str">
        <f ca="1"/>
        <v/>
      </c>
      <c r="N81" s="1016" t="str">
        <f ca="1"/>
        <v/>
      </c>
      <c r="O81" s="1019" t="str">
        <f ca="1"/>
        <v/>
      </c>
      <c r="P81" s="1016" t="str">
        <f ca="1"/>
        <v/>
      </c>
      <c r="Q81" s="1028" t="str">
        <f ca="1"/>
        <v/>
      </c>
      <c r="R81" s="995" t="s">
        <v>12</v>
      </c>
      <c r="S81" s="1015" t="str">
        <f ca="1"/>
        <v/>
      </c>
      <c r="T81" s="1006" t="str">
        <f ca="1"/>
        <v/>
      </c>
      <c r="U81" s="1006" t="str">
        <f ca="1"/>
        <v/>
      </c>
      <c r="V81" s="1016" t="str">
        <f ca="1"/>
        <v/>
      </c>
      <c r="W81" s="1017" t="str">
        <f ca="1"/>
        <v/>
      </c>
      <c r="X81" s="1006" t="str">
        <f ca="1"/>
        <v/>
      </c>
      <c r="Y81" s="1016" t="str">
        <f ca="1"/>
        <v/>
      </c>
      <c r="Z81" s="1016" t="str">
        <f ca="1"/>
        <v/>
      </c>
      <c r="AA81" s="1027" t="str">
        <f ca="1"/>
        <v/>
      </c>
      <c r="AB81" s="1034" t="str">
        <f ca="1"/>
        <v/>
      </c>
      <c r="AC81" s="1036" t="str">
        <f ca="1"/>
        <v/>
      </c>
      <c r="AD81" s="1016" t="str">
        <f ca="1"/>
        <v/>
      </c>
      <c r="AE81" s="1019" t="str">
        <f ca="1"/>
        <v/>
      </c>
      <c r="AF81" s="1016" t="str">
        <f ca="1"/>
        <v/>
      </c>
      <c r="AG81" s="1028" t="str">
        <f ca="1"/>
        <v/>
      </c>
      <c r="AH81" s="995" t="s">
        <v>12</v>
      </c>
    </row>
    <row r="82" spans="5:34">
      <c r="E82" s="1085" t="str">
        <f ca="1"/>
        <v/>
      </c>
      <c r="F82" s="1044" t="str">
        <f ca="1"/>
        <v/>
      </c>
      <c r="G82" s="1045" t="str">
        <f ca="1"/>
        <v/>
      </c>
      <c r="H82" s="1058" t="str">
        <f ca="1"/>
        <v/>
      </c>
      <c r="I82" s="1006" t="str">
        <f ca="1"/>
        <v/>
      </c>
      <c r="J82" s="1016" t="str">
        <f ca="1"/>
        <v/>
      </c>
      <c r="K82" s="1016" t="str">
        <f ca="1"/>
        <v/>
      </c>
      <c r="L82" s="1027" t="str">
        <f ca="1"/>
        <v/>
      </c>
      <c r="M82" s="1249" t="str">
        <f ca="1"/>
        <v/>
      </c>
      <c r="N82" s="1016" t="str">
        <f ca="1"/>
        <v/>
      </c>
      <c r="O82" s="1019" t="str">
        <f ca="1"/>
        <v/>
      </c>
      <c r="P82" s="1016" t="str">
        <f ca="1"/>
        <v/>
      </c>
      <c r="Q82" s="1028" t="str">
        <f ca="1"/>
        <v/>
      </c>
      <c r="R82" s="995" t="s">
        <v>12</v>
      </c>
      <c r="S82" s="1015" t="str">
        <f ca="1"/>
        <v/>
      </c>
      <c r="T82" s="1006" t="str">
        <f ca="1"/>
        <v/>
      </c>
      <c r="U82" s="1006" t="str">
        <f ca="1"/>
        <v/>
      </c>
      <c r="V82" s="1016" t="str">
        <f ca="1"/>
        <v/>
      </c>
      <c r="W82" s="1017" t="str">
        <f ca="1"/>
        <v/>
      </c>
      <c r="X82" s="1006" t="str">
        <f ca="1"/>
        <v/>
      </c>
      <c r="Y82" s="1016" t="str">
        <f ca="1"/>
        <v/>
      </c>
      <c r="Z82" s="1016" t="str">
        <f ca="1"/>
        <v/>
      </c>
      <c r="AA82" s="1027" t="str">
        <f ca="1"/>
        <v/>
      </c>
      <c r="AB82" s="1034" t="str">
        <f ca="1"/>
        <v/>
      </c>
      <c r="AC82" s="1036" t="str">
        <f ca="1"/>
        <v/>
      </c>
      <c r="AD82" s="1016" t="str">
        <f ca="1"/>
        <v/>
      </c>
      <c r="AE82" s="1019" t="str">
        <f ca="1"/>
        <v/>
      </c>
      <c r="AF82" s="1016" t="str">
        <f ca="1"/>
        <v/>
      </c>
      <c r="AG82" s="1028" t="str">
        <f ca="1"/>
        <v/>
      </c>
      <c r="AH82" s="995" t="s">
        <v>12</v>
      </c>
    </row>
    <row r="83" spans="5:34">
      <c r="E83" s="1085" t="str">
        <f ca="1"/>
        <v/>
      </c>
      <c r="F83" s="1044" t="str">
        <f ca="1"/>
        <v/>
      </c>
      <c r="G83" s="1045" t="str">
        <f ca="1"/>
        <v/>
      </c>
      <c r="H83" s="1058" t="str">
        <f ca="1"/>
        <v/>
      </c>
      <c r="I83" s="1006" t="str">
        <f ca="1"/>
        <v/>
      </c>
      <c r="J83" s="1016" t="str">
        <f ca="1"/>
        <v/>
      </c>
      <c r="K83" s="1016" t="str">
        <f ca="1"/>
        <v/>
      </c>
      <c r="L83" s="1027" t="str">
        <f ca="1"/>
        <v/>
      </c>
      <c r="M83" s="1249" t="str">
        <f ca="1"/>
        <v/>
      </c>
      <c r="N83" s="1016" t="str">
        <f ca="1"/>
        <v/>
      </c>
      <c r="O83" s="1019" t="str">
        <f ca="1"/>
        <v/>
      </c>
      <c r="P83" s="1016" t="str">
        <f ca="1"/>
        <v/>
      </c>
      <c r="Q83" s="1028" t="str">
        <f ca="1"/>
        <v/>
      </c>
      <c r="R83" s="995" t="s">
        <v>12</v>
      </c>
      <c r="S83" s="1015" t="str">
        <f ca="1"/>
        <v/>
      </c>
      <c r="T83" s="1006" t="str">
        <f ca="1"/>
        <v/>
      </c>
      <c r="U83" s="1006" t="str">
        <f ca="1"/>
        <v/>
      </c>
      <c r="V83" s="1016" t="str">
        <f ca="1"/>
        <v/>
      </c>
      <c r="W83" s="1017" t="str">
        <f ca="1"/>
        <v/>
      </c>
      <c r="X83" s="1006" t="str">
        <f ca="1"/>
        <v/>
      </c>
      <c r="Y83" s="1016" t="str">
        <f ca="1"/>
        <v/>
      </c>
      <c r="Z83" s="1016" t="str">
        <f ca="1"/>
        <v/>
      </c>
      <c r="AA83" s="1027" t="str">
        <f ca="1"/>
        <v/>
      </c>
      <c r="AB83" s="1034" t="str">
        <f ca="1"/>
        <v/>
      </c>
      <c r="AC83" s="1036" t="str">
        <f ca="1"/>
        <v/>
      </c>
      <c r="AD83" s="1016" t="str">
        <f ca="1"/>
        <v/>
      </c>
      <c r="AE83" s="1019" t="str">
        <f ca="1"/>
        <v/>
      </c>
      <c r="AF83" s="1016" t="str">
        <f ca="1"/>
        <v/>
      </c>
      <c r="AG83" s="1028" t="str">
        <f ca="1"/>
        <v/>
      </c>
      <c r="AH83" s="995" t="s">
        <v>12</v>
      </c>
    </row>
    <row r="84" spans="5:34">
      <c r="E84" s="1085" t="str">
        <f ca="1"/>
        <v/>
      </c>
      <c r="F84" s="1044" t="str">
        <f ca="1"/>
        <v/>
      </c>
      <c r="G84" s="1045" t="str">
        <f ca="1"/>
        <v/>
      </c>
      <c r="H84" s="1058" t="str">
        <f ca="1"/>
        <v/>
      </c>
      <c r="I84" s="1006" t="str">
        <f ca="1"/>
        <v/>
      </c>
      <c r="J84" s="1016" t="str">
        <f ca="1"/>
        <v/>
      </c>
      <c r="K84" s="1016" t="str">
        <f ca="1"/>
        <v/>
      </c>
      <c r="L84" s="1027" t="str">
        <f ca="1"/>
        <v/>
      </c>
      <c r="M84" s="1249" t="str">
        <f ca="1"/>
        <v/>
      </c>
      <c r="N84" s="1016" t="str">
        <f ca="1"/>
        <v/>
      </c>
      <c r="O84" s="1019" t="str">
        <f ca="1"/>
        <v/>
      </c>
      <c r="P84" s="1016" t="str">
        <f ca="1"/>
        <v/>
      </c>
      <c r="Q84" s="1028" t="str">
        <f ca="1"/>
        <v/>
      </c>
      <c r="R84" s="995" t="s">
        <v>12</v>
      </c>
      <c r="S84" s="1015" t="str">
        <f ca="1"/>
        <v/>
      </c>
      <c r="T84" s="1006" t="str">
        <f ca="1"/>
        <v/>
      </c>
      <c r="U84" s="1006" t="str">
        <f ca="1"/>
        <v/>
      </c>
      <c r="V84" s="1016" t="str">
        <f ca="1"/>
        <v/>
      </c>
      <c r="W84" s="1017" t="str">
        <f ca="1"/>
        <v/>
      </c>
      <c r="X84" s="1006" t="str">
        <f ca="1"/>
        <v/>
      </c>
      <c r="Y84" s="1016" t="str">
        <f ca="1"/>
        <v/>
      </c>
      <c r="Z84" s="1016" t="str">
        <f ca="1"/>
        <v/>
      </c>
      <c r="AA84" s="1027" t="str">
        <f ca="1"/>
        <v/>
      </c>
      <c r="AB84" s="1034" t="str">
        <f ca="1"/>
        <v/>
      </c>
      <c r="AC84" s="1036" t="str">
        <f ca="1"/>
        <v/>
      </c>
      <c r="AD84" s="1016" t="str">
        <f ca="1"/>
        <v/>
      </c>
      <c r="AE84" s="1019" t="str">
        <f ca="1"/>
        <v/>
      </c>
      <c r="AF84" s="1016" t="str">
        <f ca="1"/>
        <v/>
      </c>
      <c r="AG84" s="1028" t="str">
        <f ca="1"/>
        <v/>
      </c>
      <c r="AH84" s="995" t="s">
        <v>12</v>
      </c>
    </row>
    <row r="85" spans="5:34">
      <c r="E85" s="1085" t="str">
        <f ca="1"/>
        <v/>
      </c>
      <c r="F85" s="1044" t="str">
        <f ca="1"/>
        <v/>
      </c>
      <c r="G85" s="1045" t="str">
        <f ca="1"/>
        <v/>
      </c>
      <c r="H85" s="1058" t="str">
        <f ca="1"/>
        <v/>
      </c>
      <c r="I85" s="1006" t="str">
        <f ca="1"/>
        <v/>
      </c>
      <c r="J85" s="1016" t="str">
        <f ca="1"/>
        <v/>
      </c>
      <c r="K85" s="1016" t="str">
        <f ca="1"/>
        <v/>
      </c>
      <c r="L85" s="1027" t="str">
        <f ca="1"/>
        <v/>
      </c>
      <c r="M85" s="1249" t="str">
        <f ca="1"/>
        <v/>
      </c>
      <c r="N85" s="1016" t="str">
        <f ca="1"/>
        <v/>
      </c>
      <c r="O85" s="1019" t="str">
        <f ca="1"/>
        <v/>
      </c>
      <c r="P85" s="1016" t="str">
        <f ca="1"/>
        <v/>
      </c>
      <c r="Q85" s="1028" t="str">
        <f ca="1"/>
        <v/>
      </c>
      <c r="R85" s="995" t="s">
        <v>12</v>
      </c>
      <c r="S85" s="1015" t="str">
        <f ca="1"/>
        <v/>
      </c>
      <c r="T85" s="1006" t="str">
        <f ca="1"/>
        <v/>
      </c>
      <c r="U85" s="1006" t="str">
        <f ca="1"/>
        <v/>
      </c>
      <c r="V85" s="1016" t="str">
        <f ca="1"/>
        <v/>
      </c>
      <c r="W85" s="1017" t="str">
        <f ca="1"/>
        <v/>
      </c>
      <c r="X85" s="1006" t="str">
        <f ca="1"/>
        <v/>
      </c>
      <c r="Y85" s="1016" t="str">
        <f ca="1"/>
        <v/>
      </c>
      <c r="Z85" s="1016" t="str">
        <f ca="1"/>
        <v/>
      </c>
      <c r="AA85" s="1027" t="str">
        <f ca="1"/>
        <v/>
      </c>
      <c r="AB85" s="1034" t="str">
        <f ca="1"/>
        <v/>
      </c>
      <c r="AC85" s="1036" t="str">
        <f ca="1"/>
        <v/>
      </c>
      <c r="AD85" s="1016" t="str">
        <f ca="1"/>
        <v/>
      </c>
      <c r="AE85" s="1019" t="str">
        <f ca="1"/>
        <v/>
      </c>
      <c r="AF85" s="1016" t="str">
        <f ca="1"/>
        <v/>
      </c>
      <c r="AG85" s="1028" t="str">
        <f ca="1"/>
        <v/>
      </c>
      <c r="AH85" s="995" t="s">
        <v>12</v>
      </c>
    </row>
    <row r="86" spans="5:34">
      <c r="E86" s="1085" t="str">
        <f ca="1"/>
        <v/>
      </c>
      <c r="F86" s="1044" t="str">
        <f ca="1"/>
        <v/>
      </c>
      <c r="G86" s="1045" t="str">
        <f ca="1"/>
        <v/>
      </c>
      <c r="H86" s="1058" t="str">
        <f ca="1"/>
        <v/>
      </c>
      <c r="I86" s="1006" t="str">
        <f ca="1"/>
        <v/>
      </c>
      <c r="J86" s="1016" t="str">
        <f ca="1"/>
        <v/>
      </c>
      <c r="K86" s="1016" t="str">
        <f ca="1"/>
        <v/>
      </c>
      <c r="L86" s="1027" t="str">
        <f ca="1"/>
        <v/>
      </c>
      <c r="M86" s="1249" t="str">
        <f ca="1"/>
        <v/>
      </c>
      <c r="N86" s="1016" t="str">
        <f ca="1"/>
        <v/>
      </c>
      <c r="O86" s="1019" t="str">
        <f ca="1"/>
        <v/>
      </c>
      <c r="P86" s="1016" t="str">
        <f ca="1"/>
        <v/>
      </c>
      <c r="Q86" s="1028" t="str">
        <f ca="1"/>
        <v/>
      </c>
      <c r="R86" s="995" t="s">
        <v>12</v>
      </c>
      <c r="S86" s="1015" t="str">
        <f ca="1"/>
        <v/>
      </c>
      <c r="T86" s="1006" t="str">
        <f ca="1"/>
        <v/>
      </c>
      <c r="U86" s="1006" t="str">
        <f ca="1"/>
        <v/>
      </c>
      <c r="V86" s="1016" t="str">
        <f ca="1"/>
        <v/>
      </c>
      <c r="W86" s="1017" t="str">
        <f ca="1"/>
        <v/>
      </c>
      <c r="X86" s="1006" t="str">
        <f ca="1"/>
        <v/>
      </c>
      <c r="Y86" s="1016" t="str">
        <f ca="1"/>
        <v/>
      </c>
      <c r="Z86" s="1016" t="str">
        <f ca="1"/>
        <v/>
      </c>
      <c r="AA86" s="1027" t="str">
        <f ca="1"/>
        <v/>
      </c>
      <c r="AB86" s="1034" t="str">
        <f ca="1"/>
        <v/>
      </c>
      <c r="AC86" s="1036" t="str">
        <f ca="1"/>
        <v/>
      </c>
      <c r="AD86" s="1016" t="str">
        <f ca="1"/>
        <v/>
      </c>
      <c r="AE86" s="1019" t="str">
        <f ca="1"/>
        <v/>
      </c>
      <c r="AF86" s="1016" t="str">
        <f ca="1"/>
        <v/>
      </c>
      <c r="AG86" s="1028" t="str">
        <f ca="1"/>
        <v/>
      </c>
      <c r="AH86" s="995" t="s">
        <v>12</v>
      </c>
    </row>
    <row r="87" spans="5:34">
      <c r="E87" s="1085" t="str">
        <f ca="1"/>
        <v/>
      </c>
      <c r="F87" s="1044" t="str">
        <f ca="1"/>
        <v/>
      </c>
      <c r="G87" s="1045" t="str">
        <f ca="1"/>
        <v/>
      </c>
      <c r="H87" s="1058" t="str">
        <f ca="1"/>
        <v/>
      </c>
      <c r="I87" s="1006" t="str">
        <f ca="1"/>
        <v/>
      </c>
      <c r="J87" s="1016" t="str">
        <f ca="1"/>
        <v/>
      </c>
      <c r="K87" s="1016" t="str">
        <f ca="1"/>
        <v/>
      </c>
      <c r="L87" s="1027" t="str">
        <f ca="1"/>
        <v/>
      </c>
      <c r="M87" s="1249" t="str">
        <f ca="1"/>
        <v/>
      </c>
      <c r="N87" s="1016" t="str">
        <f ca="1"/>
        <v/>
      </c>
      <c r="O87" s="1019" t="str">
        <f ca="1"/>
        <v/>
      </c>
      <c r="P87" s="1016" t="str">
        <f ca="1"/>
        <v/>
      </c>
      <c r="Q87" s="1028" t="str">
        <f ca="1"/>
        <v/>
      </c>
      <c r="R87" s="995" t="s">
        <v>12</v>
      </c>
      <c r="S87" s="1015" t="str">
        <f ca="1"/>
        <v/>
      </c>
      <c r="T87" s="1006" t="str">
        <f ca="1"/>
        <v/>
      </c>
      <c r="U87" s="1006" t="str">
        <f ca="1"/>
        <v/>
      </c>
      <c r="V87" s="1016" t="str">
        <f ca="1"/>
        <v/>
      </c>
      <c r="W87" s="1017" t="str">
        <f ca="1"/>
        <v/>
      </c>
      <c r="X87" s="1006" t="str">
        <f ca="1"/>
        <v/>
      </c>
      <c r="Y87" s="1016" t="str">
        <f ca="1"/>
        <v/>
      </c>
      <c r="Z87" s="1016" t="str">
        <f ca="1"/>
        <v/>
      </c>
      <c r="AA87" s="1027" t="str">
        <f ca="1"/>
        <v/>
      </c>
      <c r="AB87" s="1034" t="str">
        <f ca="1"/>
        <v/>
      </c>
      <c r="AC87" s="1036" t="str">
        <f ca="1"/>
        <v/>
      </c>
      <c r="AD87" s="1016" t="str">
        <f ca="1"/>
        <v/>
      </c>
      <c r="AE87" s="1019" t="str">
        <f ca="1"/>
        <v/>
      </c>
      <c r="AF87" s="1016" t="str">
        <f ca="1"/>
        <v/>
      </c>
      <c r="AG87" s="1028" t="str">
        <f ca="1"/>
        <v/>
      </c>
      <c r="AH87" s="995" t="s">
        <v>12</v>
      </c>
    </row>
    <row r="88" spans="5:34">
      <c r="E88" s="1085" t="str">
        <f ca="1"/>
        <v/>
      </c>
      <c r="F88" s="1044" t="str">
        <f ca="1"/>
        <v/>
      </c>
      <c r="G88" s="1045" t="str">
        <f ca="1"/>
        <v/>
      </c>
      <c r="H88" s="1058" t="str">
        <f ca="1"/>
        <v/>
      </c>
      <c r="I88" s="1006" t="str">
        <f ca="1"/>
        <v/>
      </c>
      <c r="J88" s="1016" t="str">
        <f ca="1"/>
        <v/>
      </c>
      <c r="K88" s="1016" t="str">
        <f ca="1"/>
        <v/>
      </c>
      <c r="L88" s="1027" t="str">
        <f ca="1"/>
        <v/>
      </c>
      <c r="M88" s="1249" t="str">
        <f ca="1"/>
        <v/>
      </c>
      <c r="N88" s="1016" t="str">
        <f ca="1"/>
        <v/>
      </c>
      <c r="O88" s="1019" t="str">
        <f ca="1"/>
        <v/>
      </c>
      <c r="P88" s="1016" t="str">
        <f ca="1"/>
        <v/>
      </c>
      <c r="Q88" s="1028" t="str">
        <f ca="1"/>
        <v/>
      </c>
      <c r="R88" s="995" t="s">
        <v>12</v>
      </c>
      <c r="S88" s="1015" t="str">
        <f ca="1"/>
        <v/>
      </c>
      <c r="T88" s="1006" t="str">
        <f ca="1"/>
        <v/>
      </c>
      <c r="U88" s="1006" t="str">
        <f ca="1"/>
        <v/>
      </c>
      <c r="V88" s="1016" t="str">
        <f ca="1"/>
        <v/>
      </c>
      <c r="W88" s="1017" t="str">
        <f ca="1"/>
        <v/>
      </c>
      <c r="X88" s="1006" t="str">
        <f ca="1"/>
        <v/>
      </c>
      <c r="Y88" s="1016" t="str">
        <f ca="1"/>
        <v/>
      </c>
      <c r="Z88" s="1016" t="str">
        <f ca="1"/>
        <v/>
      </c>
      <c r="AA88" s="1027" t="str">
        <f ca="1"/>
        <v/>
      </c>
      <c r="AB88" s="1034" t="str">
        <f ca="1"/>
        <v/>
      </c>
      <c r="AC88" s="1036" t="str">
        <f ca="1"/>
        <v/>
      </c>
      <c r="AD88" s="1016" t="str">
        <f ca="1"/>
        <v/>
      </c>
      <c r="AE88" s="1019" t="str">
        <f ca="1"/>
        <v/>
      </c>
      <c r="AF88" s="1016" t="str">
        <f ca="1"/>
        <v/>
      </c>
      <c r="AG88" s="1028" t="str">
        <f ca="1"/>
        <v/>
      </c>
      <c r="AH88" s="995" t="s">
        <v>12</v>
      </c>
    </row>
    <row r="89" spans="5:34">
      <c r="E89" s="1085" t="str">
        <f ca="1"/>
        <v/>
      </c>
      <c r="F89" s="1044" t="str">
        <f ca="1"/>
        <v/>
      </c>
      <c r="G89" s="1045" t="str">
        <f ca="1"/>
        <v/>
      </c>
      <c r="H89" s="1058" t="str">
        <f ca="1"/>
        <v/>
      </c>
      <c r="I89" s="1006" t="str">
        <f ca="1"/>
        <v/>
      </c>
      <c r="J89" s="1016" t="str">
        <f ca="1"/>
        <v/>
      </c>
      <c r="K89" s="1016" t="str">
        <f ca="1"/>
        <v/>
      </c>
      <c r="L89" s="1027" t="str">
        <f ca="1"/>
        <v/>
      </c>
      <c r="M89" s="1249" t="str">
        <f ca="1"/>
        <v/>
      </c>
      <c r="N89" s="1016" t="str">
        <f ca="1"/>
        <v/>
      </c>
      <c r="O89" s="1019" t="str">
        <f ca="1"/>
        <v/>
      </c>
      <c r="P89" s="1016" t="str">
        <f ca="1"/>
        <v/>
      </c>
      <c r="Q89" s="1028" t="str">
        <f ca="1"/>
        <v/>
      </c>
      <c r="R89" s="995" t="s">
        <v>12</v>
      </c>
      <c r="S89" s="1015" t="str">
        <f ca="1"/>
        <v/>
      </c>
      <c r="T89" s="1006" t="str">
        <f ca="1"/>
        <v/>
      </c>
      <c r="U89" s="1006" t="str">
        <f ca="1"/>
        <v/>
      </c>
      <c r="V89" s="1016" t="str">
        <f ca="1"/>
        <v/>
      </c>
      <c r="W89" s="1017" t="str">
        <f ca="1"/>
        <v/>
      </c>
      <c r="X89" s="1006" t="str">
        <f ca="1"/>
        <v/>
      </c>
      <c r="Y89" s="1016" t="str">
        <f ca="1"/>
        <v/>
      </c>
      <c r="Z89" s="1016" t="str">
        <f ca="1"/>
        <v/>
      </c>
      <c r="AA89" s="1027" t="str">
        <f ca="1"/>
        <v/>
      </c>
      <c r="AB89" s="1034" t="str">
        <f ca="1"/>
        <v/>
      </c>
      <c r="AC89" s="1036" t="str">
        <f ca="1"/>
        <v/>
      </c>
      <c r="AD89" s="1016" t="str">
        <f ca="1"/>
        <v/>
      </c>
      <c r="AE89" s="1019" t="str">
        <f ca="1"/>
        <v/>
      </c>
      <c r="AF89" s="1016" t="str">
        <f ca="1"/>
        <v/>
      </c>
      <c r="AG89" s="1028" t="str">
        <f ca="1"/>
        <v/>
      </c>
      <c r="AH89" s="995" t="s">
        <v>12</v>
      </c>
    </row>
    <row r="90" spans="5:34">
      <c r="E90" s="1085" t="str">
        <f ca="1"/>
        <v/>
      </c>
      <c r="F90" s="1044" t="str">
        <f ca="1"/>
        <v/>
      </c>
      <c r="G90" s="1045" t="str">
        <f ca="1"/>
        <v/>
      </c>
      <c r="H90" s="1058" t="str">
        <f ca="1"/>
        <v/>
      </c>
      <c r="I90" s="1006" t="str">
        <f ca="1"/>
        <v/>
      </c>
      <c r="J90" s="1016" t="str">
        <f ca="1"/>
        <v/>
      </c>
      <c r="K90" s="1016" t="str">
        <f ca="1"/>
        <v/>
      </c>
      <c r="L90" s="1027" t="str">
        <f ca="1"/>
        <v/>
      </c>
      <c r="M90" s="1249" t="str">
        <f ca="1"/>
        <v/>
      </c>
      <c r="N90" s="1016" t="str">
        <f ca="1"/>
        <v/>
      </c>
      <c r="O90" s="1019" t="str">
        <f ca="1"/>
        <v/>
      </c>
      <c r="P90" s="1016" t="str">
        <f ca="1"/>
        <v/>
      </c>
      <c r="Q90" s="1028" t="str">
        <f ca="1"/>
        <v/>
      </c>
      <c r="R90" s="995" t="s">
        <v>12</v>
      </c>
      <c r="S90" s="1015" t="str">
        <f ca="1"/>
        <v/>
      </c>
      <c r="T90" s="1006" t="str">
        <f ca="1"/>
        <v/>
      </c>
      <c r="U90" s="1006" t="str">
        <f ca="1"/>
        <v/>
      </c>
      <c r="V90" s="1016" t="str">
        <f ca="1"/>
        <v/>
      </c>
      <c r="W90" s="1017" t="str">
        <f ca="1"/>
        <v/>
      </c>
      <c r="X90" s="1006" t="str">
        <f ca="1"/>
        <v/>
      </c>
      <c r="Y90" s="1016" t="str">
        <f ca="1"/>
        <v/>
      </c>
      <c r="Z90" s="1016" t="str">
        <f ca="1"/>
        <v/>
      </c>
      <c r="AA90" s="1027" t="str">
        <f ca="1"/>
        <v/>
      </c>
      <c r="AB90" s="1034" t="str">
        <f ca="1"/>
        <v/>
      </c>
      <c r="AC90" s="1036" t="str">
        <f ca="1"/>
        <v/>
      </c>
      <c r="AD90" s="1016" t="str">
        <f ca="1"/>
        <v/>
      </c>
      <c r="AE90" s="1019" t="str">
        <f ca="1"/>
        <v/>
      </c>
      <c r="AF90" s="1016" t="str">
        <f ca="1"/>
        <v/>
      </c>
      <c r="AG90" s="1028" t="str">
        <f ca="1"/>
        <v/>
      </c>
      <c r="AH90" s="995" t="s">
        <v>12</v>
      </c>
    </row>
    <row r="91" spans="5:34">
      <c r="E91" s="1085" t="str">
        <f ca="1"/>
        <v/>
      </c>
      <c r="F91" s="1044" t="str">
        <f ca="1"/>
        <v/>
      </c>
      <c r="G91" s="1045" t="str">
        <f ca="1"/>
        <v/>
      </c>
      <c r="H91" s="1058" t="str">
        <f ca="1"/>
        <v/>
      </c>
      <c r="I91" s="1006" t="str">
        <f ca="1"/>
        <v/>
      </c>
      <c r="J91" s="1016" t="str">
        <f ca="1"/>
        <v/>
      </c>
      <c r="K91" s="1016" t="str">
        <f ca="1"/>
        <v/>
      </c>
      <c r="L91" s="1027" t="str">
        <f ca="1"/>
        <v/>
      </c>
      <c r="M91" s="1249" t="str">
        <f ca="1"/>
        <v/>
      </c>
      <c r="N91" s="1016" t="str">
        <f ca="1"/>
        <v/>
      </c>
      <c r="O91" s="1019" t="str">
        <f ca="1"/>
        <v/>
      </c>
      <c r="P91" s="1016" t="str">
        <f ca="1"/>
        <v/>
      </c>
      <c r="Q91" s="1028" t="str">
        <f ca="1"/>
        <v/>
      </c>
      <c r="R91" s="995" t="s">
        <v>12</v>
      </c>
      <c r="S91" s="1015" t="str">
        <f ca="1"/>
        <v/>
      </c>
      <c r="T91" s="1006" t="str">
        <f ca="1"/>
        <v/>
      </c>
      <c r="U91" s="1006" t="str">
        <f ca="1"/>
        <v/>
      </c>
      <c r="V91" s="1016" t="str">
        <f ca="1"/>
        <v/>
      </c>
      <c r="W91" s="1017" t="str">
        <f ca="1"/>
        <v/>
      </c>
      <c r="X91" s="1006" t="str">
        <f ca="1"/>
        <v/>
      </c>
      <c r="Y91" s="1016" t="str">
        <f ca="1"/>
        <v/>
      </c>
      <c r="Z91" s="1016" t="str">
        <f ca="1"/>
        <v/>
      </c>
      <c r="AA91" s="1027" t="str">
        <f ca="1"/>
        <v/>
      </c>
      <c r="AB91" s="1034" t="str">
        <f ca="1"/>
        <v/>
      </c>
      <c r="AC91" s="1036" t="str">
        <f ca="1"/>
        <v/>
      </c>
      <c r="AD91" s="1016" t="str">
        <f ca="1"/>
        <v/>
      </c>
      <c r="AE91" s="1019" t="str">
        <f ca="1"/>
        <v/>
      </c>
      <c r="AF91" s="1016" t="str">
        <f ca="1"/>
        <v/>
      </c>
      <c r="AG91" s="1028" t="str">
        <f ca="1"/>
        <v/>
      </c>
      <c r="AH91" s="995" t="s">
        <v>12</v>
      </c>
    </row>
    <row r="92" spans="5:34">
      <c r="E92" s="1085" t="str">
        <f ca="1"/>
        <v/>
      </c>
      <c r="F92" s="1044" t="str">
        <f ca="1"/>
        <v/>
      </c>
      <c r="G92" s="1045" t="str">
        <f ca="1"/>
        <v/>
      </c>
      <c r="H92" s="1058" t="str">
        <f ca="1"/>
        <v/>
      </c>
      <c r="I92" s="1006" t="str">
        <f ca="1"/>
        <v/>
      </c>
      <c r="J92" s="1016" t="str">
        <f ca="1"/>
        <v/>
      </c>
      <c r="K92" s="1016" t="str">
        <f ca="1"/>
        <v/>
      </c>
      <c r="L92" s="1027" t="str">
        <f ca="1"/>
        <v/>
      </c>
      <c r="M92" s="1249" t="str">
        <f ca="1"/>
        <v/>
      </c>
      <c r="N92" s="1016" t="str">
        <f ca="1"/>
        <v/>
      </c>
      <c r="O92" s="1019" t="str">
        <f ca="1"/>
        <v/>
      </c>
      <c r="P92" s="1016" t="str">
        <f ca="1"/>
        <v/>
      </c>
      <c r="Q92" s="1028" t="str">
        <f ca="1"/>
        <v/>
      </c>
      <c r="R92" s="995" t="s">
        <v>12</v>
      </c>
      <c r="S92" s="1015" t="str">
        <f ca="1"/>
        <v/>
      </c>
      <c r="T92" s="1006" t="str">
        <f ca="1"/>
        <v/>
      </c>
      <c r="U92" s="1006" t="str">
        <f ca="1"/>
        <v/>
      </c>
      <c r="V92" s="1016" t="str">
        <f ca="1"/>
        <v/>
      </c>
      <c r="W92" s="1017" t="str">
        <f ca="1"/>
        <v/>
      </c>
      <c r="X92" s="1006" t="str">
        <f ca="1"/>
        <v/>
      </c>
      <c r="Y92" s="1016" t="str">
        <f ca="1"/>
        <v/>
      </c>
      <c r="Z92" s="1016" t="str">
        <f ca="1"/>
        <v/>
      </c>
      <c r="AA92" s="1027" t="str">
        <f ca="1"/>
        <v/>
      </c>
      <c r="AB92" s="1034" t="str">
        <f ca="1"/>
        <v/>
      </c>
      <c r="AC92" s="1036" t="str">
        <f ca="1"/>
        <v/>
      </c>
      <c r="AD92" s="1016" t="str">
        <f ca="1"/>
        <v/>
      </c>
      <c r="AE92" s="1019" t="str">
        <f ca="1"/>
        <v/>
      </c>
      <c r="AF92" s="1016" t="str">
        <f ca="1"/>
        <v/>
      </c>
      <c r="AG92" s="1028" t="str">
        <f ca="1"/>
        <v/>
      </c>
      <c r="AH92" s="995" t="s">
        <v>12</v>
      </c>
    </row>
    <row r="93" spans="5:34">
      <c r="E93" s="1085" t="str">
        <f ca="1"/>
        <v/>
      </c>
      <c r="F93" s="1044" t="str">
        <f ca="1"/>
        <v/>
      </c>
      <c r="G93" s="1045" t="str">
        <f ca="1"/>
        <v/>
      </c>
      <c r="H93" s="1058" t="str">
        <f ca="1"/>
        <v/>
      </c>
      <c r="I93" s="1006" t="str">
        <f ca="1"/>
        <v/>
      </c>
      <c r="J93" s="1016" t="str">
        <f ca="1"/>
        <v/>
      </c>
      <c r="K93" s="1016" t="str">
        <f ca="1"/>
        <v/>
      </c>
      <c r="L93" s="1027" t="str">
        <f ca="1"/>
        <v/>
      </c>
      <c r="M93" s="1249" t="str">
        <f ca="1"/>
        <v/>
      </c>
      <c r="N93" s="1016" t="str">
        <f ca="1"/>
        <v/>
      </c>
      <c r="O93" s="1019" t="str">
        <f ca="1"/>
        <v/>
      </c>
      <c r="P93" s="1016" t="str">
        <f ca="1"/>
        <v/>
      </c>
      <c r="Q93" s="1028" t="str">
        <f ca="1"/>
        <v/>
      </c>
      <c r="R93" s="995" t="s">
        <v>12</v>
      </c>
      <c r="S93" s="1015" t="str">
        <f ca="1"/>
        <v/>
      </c>
      <c r="T93" s="1006" t="str">
        <f ca="1"/>
        <v/>
      </c>
      <c r="U93" s="1006" t="str">
        <f ca="1"/>
        <v/>
      </c>
      <c r="V93" s="1016" t="str">
        <f ca="1"/>
        <v/>
      </c>
      <c r="W93" s="1017" t="str">
        <f ca="1"/>
        <v/>
      </c>
      <c r="X93" s="1006" t="str">
        <f ca="1"/>
        <v/>
      </c>
      <c r="Y93" s="1016" t="str">
        <f ca="1"/>
        <v/>
      </c>
      <c r="Z93" s="1016" t="str">
        <f ca="1"/>
        <v/>
      </c>
      <c r="AA93" s="1027" t="str">
        <f ca="1"/>
        <v/>
      </c>
      <c r="AB93" s="1034" t="str">
        <f ca="1"/>
        <v/>
      </c>
      <c r="AC93" s="1036" t="str">
        <f ca="1"/>
        <v/>
      </c>
      <c r="AD93" s="1016" t="str">
        <f ca="1"/>
        <v/>
      </c>
      <c r="AE93" s="1019" t="str">
        <f ca="1"/>
        <v/>
      </c>
      <c r="AF93" s="1016" t="str">
        <f ca="1"/>
        <v/>
      </c>
      <c r="AG93" s="1028" t="str">
        <f ca="1"/>
        <v/>
      </c>
      <c r="AH93" s="995" t="s">
        <v>12</v>
      </c>
    </row>
    <row r="94" spans="5:34">
      <c r="E94" s="1085" t="str">
        <f ca="1"/>
        <v/>
      </c>
      <c r="F94" s="1044" t="str">
        <f ca="1"/>
        <v/>
      </c>
      <c r="G94" s="1045" t="str">
        <f ca="1"/>
        <v/>
      </c>
      <c r="H94" s="1058" t="str">
        <f ca="1"/>
        <v/>
      </c>
      <c r="I94" s="1006" t="str">
        <f ca="1"/>
        <v/>
      </c>
      <c r="J94" s="1016" t="str">
        <f ca="1"/>
        <v/>
      </c>
      <c r="K94" s="1016" t="str">
        <f ca="1"/>
        <v/>
      </c>
      <c r="L94" s="1027" t="str">
        <f ca="1"/>
        <v/>
      </c>
      <c r="M94" s="1249" t="str">
        <f ca="1"/>
        <v/>
      </c>
      <c r="N94" s="1016" t="str">
        <f ca="1"/>
        <v/>
      </c>
      <c r="O94" s="1019" t="str">
        <f ca="1"/>
        <v/>
      </c>
      <c r="P94" s="1016" t="str">
        <f ca="1"/>
        <v/>
      </c>
      <c r="Q94" s="1028" t="str">
        <f ca="1"/>
        <v/>
      </c>
      <c r="R94" s="995" t="s">
        <v>12</v>
      </c>
      <c r="S94" s="1015" t="str">
        <f ca="1"/>
        <v/>
      </c>
      <c r="T94" s="1006" t="str">
        <f ca="1"/>
        <v/>
      </c>
      <c r="U94" s="1006" t="str">
        <f ca="1"/>
        <v/>
      </c>
      <c r="V94" s="1016" t="str">
        <f ca="1"/>
        <v/>
      </c>
      <c r="W94" s="1017" t="str">
        <f ca="1"/>
        <v/>
      </c>
      <c r="X94" s="1006" t="str">
        <f ca="1"/>
        <v/>
      </c>
      <c r="Y94" s="1016" t="str">
        <f ca="1"/>
        <v/>
      </c>
      <c r="Z94" s="1016" t="str">
        <f ca="1"/>
        <v/>
      </c>
      <c r="AA94" s="1027" t="str">
        <f ca="1"/>
        <v/>
      </c>
      <c r="AB94" s="1034" t="str">
        <f ca="1"/>
        <v/>
      </c>
      <c r="AC94" s="1036" t="str">
        <f ca="1"/>
        <v/>
      </c>
      <c r="AD94" s="1016" t="str">
        <f ca="1"/>
        <v/>
      </c>
      <c r="AE94" s="1019" t="str">
        <f ca="1"/>
        <v/>
      </c>
      <c r="AF94" s="1016" t="str">
        <f ca="1"/>
        <v/>
      </c>
      <c r="AG94" s="1028" t="str">
        <f ca="1"/>
        <v/>
      </c>
      <c r="AH94" s="995" t="s">
        <v>12</v>
      </c>
    </row>
    <row r="95" spans="5:34">
      <c r="E95" s="1085" t="str">
        <f ca="1"/>
        <v/>
      </c>
      <c r="F95" s="1044" t="str">
        <f ca="1"/>
        <v/>
      </c>
      <c r="G95" s="1045" t="str">
        <f ca="1"/>
        <v/>
      </c>
      <c r="H95" s="1058" t="str">
        <f ca="1"/>
        <v/>
      </c>
      <c r="I95" s="1006" t="str">
        <f ca="1"/>
        <v/>
      </c>
      <c r="J95" s="1016" t="str">
        <f ca="1"/>
        <v/>
      </c>
      <c r="K95" s="1016" t="str">
        <f ca="1"/>
        <v/>
      </c>
      <c r="L95" s="1027" t="str">
        <f ca="1"/>
        <v/>
      </c>
      <c r="M95" s="1249" t="str">
        <f ca="1"/>
        <v/>
      </c>
      <c r="N95" s="1016" t="str">
        <f ca="1"/>
        <v/>
      </c>
      <c r="O95" s="1019" t="str">
        <f ca="1"/>
        <v/>
      </c>
      <c r="P95" s="1016" t="str">
        <f ca="1"/>
        <v/>
      </c>
      <c r="Q95" s="1028" t="str">
        <f ca="1"/>
        <v/>
      </c>
      <c r="R95" s="995" t="s">
        <v>12</v>
      </c>
      <c r="S95" s="1015" t="str">
        <f ca="1"/>
        <v/>
      </c>
      <c r="T95" s="1006" t="str">
        <f ca="1"/>
        <v/>
      </c>
      <c r="U95" s="1006" t="str">
        <f ca="1"/>
        <v/>
      </c>
      <c r="V95" s="1016" t="str">
        <f ca="1"/>
        <v/>
      </c>
      <c r="W95" s="1017" t="str">
        <f ca="1"/>
        <v/>
      </c>
      <c r="X95" s="1006" t="str">
        <f ca="1"/>
        <v/>
      </c>
      <c r="Y95" s="1016" t="str">
        <f ca="1"/>
        <v/>
      </c>
      <c r="Z95" s="1016" t="str">
        <f ca="1"/>
        <v/>
      </c>
      <c r="AA95" s="1027" t="str">
        <f ca="1"/>
        <v/>
      </c>
      <c r="AB95" s="1034" t="str">
        <f ca="1"/>
        <v/>
      </c>
      <c r="AC95" s="1036" t="str">
        <f ca="1"/>
        <v/>
      </c>
      <c r="AD95" s="1016" t="str">
        <f ca="1"/>
        <v/>
      </c>
      <c r="AE95" s="1019" t="str">
        <f ca="1"/>
        <v/>
      </c>
      <c r="AF95" s="1016" t="str">
        <f ca="1"/>
        <v/>
      </c>
      <c r="AG95" s="1028" t="str">
        <f ca="1"/>
        <v/>
      </c>
      <c r="AH95" s="995" t="s">
        <v>12</v>
      </c>
    </row>
    <row r="96" spans="5:34">
      <c r="E96" s="1085" t="str">
        <f ca="1"/>
        <v/>
      </c>
      <c r="F96" s="1044" t="str">
        <f ca="1"/>
        <v/>
      </c>
      <c r="G96" s="1045" t="str">
        <f ca="1"/>
        <v/>
      </c>
      <c r="H96" s="1058" t="str">
        <f ca="1"/>
        <v/>
      </c>
      <c r="I96" s="1006" t="str">
        <f ca="1"/>
        <v/>
      </c>
      <c r="J96" s="1016" t="str">
        <f ca="1"/>
        <v/>
      </c>
      <c r="K96" s="1016" t="str">
        <f ca="1"/>
        <v/>
      </c>
      <c r="L96" s="1027" t="str">
        <f ca="1"/>
        <v/>
      </c>
      <c r="M96" s="1249" t="str">
        <f ca="1"/>
        <v/>
      </c>
      <c r="N96" s="1016" t="str">
        <f ca="1"/>
        <v/>
      </c>
      <c r="O96" s="1019" t="str">
        <f ca="1"/>
        <v/>
      </c>
      <c r="P96" s="1016" t="str">
        <f ca="1"/>
        <v/>
      </c>
      <c r="Q96" s="1028" t="str">
        <f ca="1"/>
        <v/>
      </c>
      <c r="R96" s="995" t="s">
        <v>12</v>
      </c>
      <c r="S96" s="1015" t="str">
        <f ca="1"/>
        <v/>
      </c>
      <c r="T96" s="1006" t="str">
        <f ca="1"/>
        <v/>
      </c>
      <c r="U96" s="1006" t="str">
        <f ca="1"/>
        <v/>
      </c>
      <c r="V96" s="1016" t="str">
        <f ca="1"/>
        <v/>
      </c>
      <c r="W96" s="1017" t="str">
        <f ca="1"/>
        <v/>
      </c>
      <c r="X96" s="1006" t="str">
        <f ca="1"/>
        <v/>
      </c>
      <c r="Y96" s="1016" t="str">
        <f ca="1"/>
        <v/>
      </c>
      <c r="Z96" s="1016" t="str">
        <f ca="1"/>
        <v/>
      </c>
      <c r="AA96" s="1027" t="str">
        <f ca="1"/>
        <v/>
      </c>
      <c r="AB96" s="1034" t="str">
        <f ca="1"/>
        <v/>
      </c>
      <c r="AC96" s="1036" t="str">
        <f ca="1"/>
        <v/>
      </c>
      <c r="AD96" s="1016" t="str">
        <f ca="1"/>
        <v/>
      </c>
      <c r="AE96" s="1019" t="str">
        <f ca="1"/>
        <v/>
      </c>
      <c r="AF96" s="1016" t="str">
        <f ca="1"/>
        <v/>
      </c>
      <c r="AG96" s="1028" t="str">
        <f ca="1"/>
        <v/>
      </c>
      <c r="AH96" s="995" t="s">
        <v>12</v>
      </c>
    </row>
    <row r="97" spans="5:34">
      <c r="E97" s="1085" t="str">
        <f ca="1"/>
        <v/>
      </c>
      <c r="F97" s="1044" t="str">
        <f ca="1"/>
        <v/>
      </c>
      <c r="G97" s="1045" t="str">
        <f ca="1"/>
        <v/>
      </c>
      <c r="H97" s="1058" t="str">
        <f ca="1"/>
        <v/>
      </c>
      <c r="I97" s="1006" t="str">
        <f ca="1"/>
        <v/>
      </c>
      <c r="J97" s="1016" t="str">
        <f ca="1"/>
        <v/>
      </c>
      <c r="K97" s="1016" t="str">
        <f ca="1"/>
        <v/>
      </c>
      <c r="L97" s="1027" t="str">
        <f ca="1"/>
        <v/>
      </c>
      <c r="M97" s="1249" t="str">
        <f ca="1"/>
        <v/>
      </c>
      <c r="N97" s="1016" t="str">
        <f ca="1"/>
        <v/>
      </c>
      <c r="O97" s="1019" t="str">
        <f ca="1"/>
        <v/>
      </c>
      <c r="P97" s="1016" t="str">
        <f ca="1"/>
        <v/>
      </c>
      <c r="Q97" s="1028" t="str">
        <f ca="1"/>
        <v/>
      </c>
      <c r="R97" s="995" t="s">
        <v>12</v>
      </c>
      <c r="S97" s="1015" t="str">
        <f ca="1"/>
        <v/>
      </c>
      <c r="T97" s="1006" t="str">
        <f ca="1"/>
        <v/>
      </c>
      <c r="U97" s="1006" t="str">
        <f ca="1"/>
        <v/>
      </c>
      <c r="V97" s="1016" t="str">
        <f ca="1"/>
        <v/>
      </c>
      <c r="W97" s="1017" t="str">
        <f ca="1"/>
        <v/>
      </c>
      <c r="X97" s="1006" t="str">
        <f ca="1"/>
        <v/>
      </c>
      <c r="Y97" s="1016" t="str">
        <f ca="1"/>
        <v/>
      </c>
      <c r="Z97" s="1016" t="str">
        <f ca="1"/>
        <v/>
      </c>
      <c r="AA97" s="1027" t="str">
        <f ca="1"/>
        <v/>
      </c>
      <c r="AB97" s="1034" t="str">
        <f ca="1"/>
        <v/>
      </c>
      <c r="AC97" s="1036" t="str">
        <f ca="1"/>
        <v/>
      </c>
      <c r="AD97" s="1016" t="str">
        <f ca="1"/>
        <v/>
      </c>
      <c r="AE97" s="1019" t="str">
        <f ca="1"/>
        <v/>
      </c>
      <c r="AF97" s="1016" t="str">
        <f ca="1"/>
        <v/>
      </c>
      <c r="AG97" s="1028" t="str">
        <f ca="1"/>
        <v/>
      </c>
      <c r="AH97" s="995" t="s">
        <v>12</v>
      </c>
    </row>
    <row r="98" spans="5:34">
      <c r="E98" s="1085" t="str">
        <f ca="1"/>
        <v/>
      </c>
      <c r="F98" s="1044" t="str">
        <f ca="1"/>
        <v/>
      </c>
      <c r="G98" s="1045" t="str">
        <f ca="1"/>
        <v/>
      </c>
      <c r="H98" s="1058" t="str">
        <f ca="1"/>
        <v/>
      </c>
      <c r="I98" s="1006" t="str">
        <f ca="1"/>
        <v/>
      </c>
      <c r="J98" s="1016" t="str">
        <f ca="1"/>
        <v/>
      </c>
      <c r="K98" s="1016" t="str">
        <f ca="1"/>
        <v/>
      </c>
      <c r="L98" s="1027" t="str">
        <f ca="1"/>
        <v/>
      </c>
      <c r="M98" s="1249" t="str">
        <f ca="1"/>
        <v/>
      </c>
      <c r="N98" s="1016" t="str">
        <f ca="1"/>
        <v/>
      </c>
      <c r="O98" s="1019" t="str">
        <f ca="1"/>
        <v/>
      </c>
      <c r="P98" s="1016" t="str">
        <f ca="1"/>
        <v/>
      </c>
      <c r="Q98" s="1028" t="str">
        <f ca="1"/>
        <v/>
      </c>
      <c r="R98" s="995" t="s">
        <v>12</v>
      </c>
      <c r="S98" s="1015" t="str">
        <f ca="1"/>
        <v/>
      </c>
      <c r="T98" s="1006" t="str">
        <f ca="1"/>
        <v/>
      </c>
      <c r="U98" s="1006" t="str">
        <f ca="1"/>
        <v/>
      </c>
      <c r="V98" s="1016" t="str">
        <f ca="1"/>
        <v/>
      </c>
      <c r="W98" s="1017" t="str">
        <f ca="1"/>
        <v/>
      </c>
      <c r="X98" s="1006" t="str">
        <f ca="1"/>
        <v/>
      </c>
      <c r="Y98" s="1016" t="str">
        <f ca="1"/>
        <v/>
      </c>
      <c r="Z98" s="1016" t="str">
        <f ca="1"/>
        <v/>
      </c>
      <c r="AA98" s="1027" t="str">
        <f ca="1"/>
        <v/>
      </c>
      <c r="AB98" s="1034" t="str">
        <f ca="1"/>
        <v/>
      </c>
      <c r="AC98" s="1036" t="str">
        <f ca="1"/>
        <v/>
      </c>
      <c r="AD98" s="1016" t="str">
        <f ca="1"/>
        <v/>
      </c>
      <c r="AE98" s="1019" t="str">
        <f ca="1"/>
        <v/>
      </c>
      <c r="AF98" s="1016" t="str">
        <f ca="1"/>
        <v/>
      </c>
      <c r="AG98" s="1028" t="str">
        <f ca="1"/>
        <v/>
      </c>
      <c r="AH98" s="995" t="s">
        <v>12</v>
      </c>
    </row>
    <row r="99" spans="5:34">
      <c r="E99" s="1085" t="str">
        <f ca="1"/>
        <v/>
      </c>
      <c r="F99" s="1044" t="str">
        <f ca="1"/>
        <v/>
      </c>
      <c r="G99" s="1045" t="str">
        <f ca="1"/>
        <v/>
      </c>
      <c r="H99" s="1058" t="str">
        <f ca="1"/>
        <v/>
      </c>
      <c r="I99" s="1006" t="str">
        <f ca="1"/>
        <v/>
      </c>
      <c r="J99" s="1016" t="str">
        <f ca="1"/>
        <v/>
      </c>
      <c r="K99" s="1016" t="str">
        <f ca="1"/>
        <v/>
      </c>
      <c r="L99" s="1027" t="str">
        <f ca="1"/>
        <v/>
      </c>
      <c r="M99" s="1249" t="str">
        <f ca="1"/>
        <v/>
      </c>
      <c r="N99" s="1016" t="str">
        <f ca="1"/>
        <v/>
      </c>
      <c r="O99" s="1019" t="str">
        <f ca="1"/>
        <v/>
      </c>
      <c r="P99" s="1016" t="str">
        <f ca="1"/>
        <v/>
      </c>
      <c r="Q99" s="1028" t="str">
        <f ca="1"/>
        <v/>
      </c>
      <c r="R99" s="995" t="s">
        <v>12</v>
      </c>
      <c r="S99" s="1015" t="str">
        <f ca="1"/>
        <v/>
      </c>
      <c r="T99" s="1006" t="str">
        <f ca="1"/>
        <v/>
      </c>
      <c r="U99" s="1006" t="str">
        <f ca="1"/>
        <v/>
      </c>
      <c r="V99" s="1016" t="str">
        <f ca="1"/>
        <v/>
      </c>
      <c r="W99" s="1017" t="str">
        <f ca="1"/>
        <v/>
      </c>
      <c r="X99" s="1006" t="str">
        <f ca="1"/>
        <v/>
      </c>
      <c r="Y99" s="1016" t="str">
        <f ca="1"/>
        <v/>
      </c>
      <c r="Z99" s="1016" t="str">
        <f ca="1"/>
        <v/>
      </c>
      <c r="AA99" s="1027" t="str">
        <f ca="1"/>
        <v/>
      </c>
      <c r="AB99" s="1034" t="str">
        <f ca="1"/>
        <v/>
      </c>
      <c r="AC99" s="1036" t="str">
        <f ca="1"/>
        <v/>
      </c>
      <c r="AD99" s="1016" t="str">
        <f ca="1"/>
        <v/>
      </c>
      <c r="AE99" s="1019" t="str">
        <f ca="1"/>
        <v/>
      </c>
      <c r="AF99" s="1016" t="str">
        <f ca="1"/>
        <v/>
      </c>
      <c r="AG99" s="1028" t="str">
        <f ca="1"/>
        <v/>
      </c>
      <c r="AH99" s="995" t="s">
        <v>12</v>
      </c>
    </row>
    <row r="100" spans="5:34">
      <c r="E100" s="1086" t="str">
        <f ca="1"/>
        <v/>
      </c>
      <c r="F100" s="1087" t="str">
        <f ca="1"/>
        <v/>
      </c>
      <c r="G100" s="1088" t="str">
        <f ca="1"/>
        <v/>
      </c>
      <c r="H100" s="1089" t="str">
        <f ca="1"/>
        <v/>
      </c>
      <c r="I100" s="1056" t="str">
        <f ca="1"/>
        <v/>
      </c>
      <c r="J100" s="1056" t="str">
        <f ca="1"/>
        <v/>
      </c>
      <c r="K100" s="1107" t="str">
        <f ca="1"/>
        <v/>
      </c>
      <c r="L100" s="1102" t="str">
        <f ca="1"/>
        <v/>
      </c>
      <c r="M100" s="1250" t="str">
        <f ca="1"/>
        <v/>
      </c>
      <c r="N100" s="1107" t="str">
        <f ca="1"/>
        <v/>
      </c>
      <c r="O100" s="1105" t="str">
        <f ca="1"/>
        <v/>
      </c>
      <c r="P100" s="1107" t="str">
        <f ca="1"/>
        <v/>
      </c>
      <c r="Q100" s="1057" t="str">
        <f ca="1"/>
        <v/>
      </c>
      <c r="R100" s="995" t="s">
        <v>12</v>
      </c>
      <c r="S100" s="1055" t="str">
        <f ca="1"/>
        <v/>
      </c>
      <c r="T100" s="1056" t="str">
        <f ca="1"/>
        <v/>
      </c>
      <c r="U100" s="1108" t="str">
        <f ca="1"/>
        <v/>
      </c>
      <c r="V100" s="1107" t="str">
        <f ca="1"/>
        <v/>
      </c>
      <c r="W100" s="1103" t="str">
        <f ca="1"/>
        <v/>
      </c>
      <c r="X100" s="1108" t="str">
        <f ca="1"/>
        <v/>
      </c>
      <c r="Y100" s="1107" t="str">
        <f ca="1"/>
        <v/>
      </c>
      <c r="Z100" s="1107" t="str">
        <f ca="1"/>
        <v/>
      </c>
      <c r="AA100" s="1102" t="str">
        <f ca="1"/>
        <v/>
      </c>
      <c r="AB100" s="1104" t="str">
        <f ca="1"/>
        <v/>
      </c>
      <c r="AC100" s="1109" t="str">
        <f ca="1"/>
        <v/>
      </c>
      <c r="AD100" s="1107" t="str">
        <f ca="1"/>
        <v/>
      </c>
      <c r="AE100" s="1105" t="str">
        <f ca="1"/>
        <v/>
      </c>
      <c r="AF100" s="1107" t="str">
        <f ca="1"/>
        <v/>
      </c>
      <c r="AG100" s="1090" t="str">
        <f ca="1"/>
        <v/>
      </c>
      <c r="AH100" s="995" t="s">
        <v>12</v>
      </c>
    </row>
    <row r="101" spans="5:34">
      <c r="E101" s="995" t="s">
        <v>12</v>
      </c>
    </row>
  </sheetData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7" tint="0.59999389629810485"/>
  </sheetPr>
  <dimension ref="A2:W174"/>
  <sheetViews>
    <sheetView showGridLines="0" workbookViewId="0"/>
  </sheetViews>
  <sheetFormatPr defaultRowHeight="15"/>
  <cols>
    <col min="1" max="1" width="4.7109375" customWidth="1"/>
    <col min="2" max="2" width="20.7109375" customWidth="1"/>
    <col min="3" max="3" width="2.7109375" customWidth="1"/>
    <col min="4" max="4" width="15.140625" style="995" bestFit="1" customWidth="1"/>
    <col min="5" max="5" width="16.85546875" style="995" customWidth="1"/>
    <col min="6" max="6" width="2.7109375" style="995" customWidth="1"/>
    <col min="7" max="8" width="18.7109375" style="995" customWidth="1"/>
    <col min="9" max="9" width="20.5703125" bestFit="1" customWidth="1"/>
    <col min="10" max="10" width="11.28515625" bestFit="1" customWidth="1"/>
    <col min="11" max="11" width="15.7109375" customWidth="1"/>
    <col min="12" max="13" width="14.7109375" customWidth="1"/>
    <col min="14" max="14" width="14.7109375" style="995" customWidth="1"/>
    <col min="15" max="15" width="2.7109375" customWidth="1"/>
    <col min="16" max="17" width="15.7109375" customWidth="1"/>
    <col min="18" max="18" width="2.7109375" style="995" customWidth="1"/>
    <col min="19" max="22" width="15.7109375" customWidth="1"/>
  </cols>
  <sheetData>
    <row r="2" spans="1:23">
      <c r="G2" s="998"/>
    </row>
    <row r="3" spans="1:23" s="995" customFormat="1">
      <c r="L3" s="997"/>
      <c r="M3" s="997"/>
      <c r="N3" s="997"/>
      <c r="S3" s="345"/>
    </row>
    <row r="4" spans="1:23">
      <c r="A4" s="741">
        <f ca="1">COUNTA($B$5:$B$34)-COUNTBLANK(B5:B34)</f>
        <v>30</v>
      </c>
      <c r="B4" s="234" t="s">
        <v>2121</v>
      </c>
      <c r="D4" s="997" t="s">
        <v>1768</v>
      </c>
      <c r="E4" s="1129" t="s">
        <v>1769</v>
      </c>
      <c r="F4" s="1129"/>
      <c r="G4" s="995" t="s">
        <v>1768</v>
      </c>
      <c r="H4" s="424" t="s">
        <v>2019</v>
      </c>
      <c r="I4" s="934" t="s">
        <v>2122</v>
      </c>
      <c r="J4" s="424" t="s">
        <v>2258</v>
      </c>
      <c r="K4" s="424" t="s">
        <v>354</v>
      </c>
      <c r="L4" s="424" t="s">
        <v>2191</v>
      </c>
      <c r="M4" s="997" t="s">
        <v>2192</v>
      </c>
      <c r="N4" s="997" t="s">
        <v>2193</v>
      </c>
      <c r="O4" s="424" t="s">
        <v>12</v>
      </c>
      <c r="P4" s="424" t="s">
        <v>2000</v>
      </c>
      <c r="Q4" s="424" t="s">
        <v>2124</v>
      </c>
      <c r="R4" s="997" t="s">
        <v>12</v>
      </c>
      <c r="S4" s="424" t="s">
        <v>1445</v>
      </c>
      <c r="T4" s="424" t="s">
        <v>1805</v>
      </c>
      <c r="U4" s="424" t="s">
        <v>1077</v>
      </c>
      <c r="V4" s="424" t="s">
        <v>2262</v>
      </c>
    </row>
    <row r="5" spans="1:23">
      <c r="A5" s="424" t="s">
        <v>12</v>
      </c>
      <c r="B5" s="1135" t="str">
        <f t="array" aca="1" ref="B5:B44" ca="1">_xll.meUtilityResize(_xll.meLWOList("SWAP_GENERATOR"),50,1)</f>
        <v>AUD_3ML</v>
      </c>
      <c r="C5" s="203"/>
      <c r="D5" s="1130">
        <f ca="1">IF(OR(G5="",I5=""),"",IF(ISNUMBER($G5),$G5,IF(ISERROR(VALUE(LEFT(G5,1))),_xll.meDateFuturesContract($G5),_xll.meDateFromTenor(INDIRECT(LEFT(I5,3)&amp;"_COB"),$G5,INDIRECT(LEFT(I5,3)&amp;"BusinessDayAdjustment"),INDIRECT(LEFT(I5,3)&amp;"AccrualCalendar")))))</f>
        <v>43230</v>
      </c>
      <c r="E5" s="1131">
        <f ca="1">IF(OR(H5="",I5=""),"",IF(ISNUMBER($H5),$H5,IF(ISERROR(VALUE(LEFT(H5,1))),_xll.meDateFuturesContract($H5),_xll.meDateFromTenor($D5,$H5,INDIRECT(LEFT(I5,3)&amp;"BusinessDayAdjustment"),INDIRECT(LEFT(I5,3)&amp;"AccrualCalendar")))))</f>
        <v>45056</v>
      </c>
      <c r="F5" s="1129"/>
      <c r="G5" s="1149" t="s">
        <v>361</v>
      </c>
      <c r="H5" s="973" t="s">
        <v>31</v>
      </c>
      <c r="I5" s="1125" t="s">
        <v>2189</v>
      </c>
      <c r="J5" s="967" t="s">
        <v>1995</v>
      </c>
      <c r="K5" s="968">
        <v>1000000</v>
      </c>
      <c r="L5" s="974">
        <v>0.01</v>
      </c>
      <c r="M5" s="1144">
        <v>0</v>
      </c>
      <c r="N5" s="1146"/>
      <c r="O5" s="424" t="s">
        <v>12</v>
      </c>
      <c r="P5" s="599" t="str">
        <f ca="1">IF(I5="","",_xll.meLWOSwapCreateFromGenerator("Swap",I5,J5,K5,D5,E5,L5,M5,,,N5))</f>
        <v>SWAP@175:0</v>
      </c>
      <c r="Q5" s="1014" t="str">
        <f>IF(I5="","",LEFT(I5,3)&amp;"YC")</f>
        <v>EURYC</v>
      </c>
      <c r="R5" s="997" t="s">
        <v>12</v>
      </c>
      <c r="S5" s="1134" t="str">
        <f ca="1">IF(I5="","",_xll.meLWOSwapPV(P5,Q5))</f>
        <v>[2018/05/04 09:52] #Error: Invalid Curve: CurveCollection 'EURYC' does not exist</v>
      </c>
      <c r="T5" s="697" t="str">
        <f ca="1">IF(OR(I5="",LEFT(_xll.meLWOSwapParRate(P5,Q5),1)="["),"",_xll.meLWOSwapParRate(P5,Q5))</f>
        <v/>
      </c>
      <c r="U5" s="1033" t="str">
        <f ca="1">IF(OR(I5="",T5=""),"",_xll.meLWOSwapPV01(P5,Q5))</f>
        <v/>
      </c>
      <c r="V5" s="938" t="str">
        <f ca="1">IF(I5="","",IF(T5="",_xll.meLWOSwapParSpread(P5,Q5),""))</f>
        <v>[2018/05/04 09:52] #Error: Invalid Curve: CurveCollection 'EURYC' does not exist</v>
      </c>
      <c r="W5" t="s">
        <v>12</v>
      </c>
    </row>
    <row r="6" spans="1:23">
      <c r="A6" s="424" t="s">
        <v>12</v>
      </c>
      <c r="B6" s="1136" t="str">
        <f ca="1"/>
        <v>AUD_6ML</v>
      </c>
      <c r="C6" s="203"/>
      <c r="D6" s="1015" t="str">
        <f ca="1">IF(OR(G6="",I6=""),"",IF(ISNUMBER($G6),$G6,IF(ISERROR(VALUE(LEFT(G6,1))),_xll.meDateFuturesContract($G6),_xll.meDateFromTenor(INDIRECT(LEFT(I6,3)&amp;"_COB"),$G6,INDIRECT(LEFT(I6,3)&amp;"BusinessDayAdjustment"),INDIRECT(LEFT(I6,3)&amp;"AccrualCalendar")))))</f>
        <v/>
      </c>
      <c r="E6" s="1132" t="str">
        <f ca="1">IF(OR(H6="",I6=""),"",IF(ISNUMBER($H6),$H6,IF(ISERROR(VALUE(LEFT(H6,1))),_xll.meDateFuturesContract($H6),_xll.meDateFromTenor($D6,$H6,INDIRECT(LEFT(I6,3)&amp;"BusinessDayAdjustment"),INDIRECT(LEFT(I6,3)&amp;"AccrualCalendar")))))</f>
        <v/>
      </c>
      <c r="F6" s="1129"/>
      <c r="G6" s="1123"/>
      <c r="H6" s="975"/>
      <c r="I6" s="1126"/>
      <c r="J6" s="969"/>
      <c r="K6" s="970"/>
      <c r="L6" s="976"/>
      <c r="M6" s="1143"/>
      <c r="N6" s="1147"/>
      <c r="O6" s="424" t="s">
        <v>12</v>
      </c>
      <c r="P6" s="684" t="str">
        <f>IF(I6="","",_xll.meLWOSwapCreateFromGenerator("Swap",I6,J6,K6,D6,E6,L6,M6,,,N6))</f>
        <v/>
      </c>
      <c r="Q6" s="1020" t="str">
        <f t="shared" ref="Q6:Q44" si="0">IF(I6="","",LEFT(I6,3)&amp;"YC")</f>
        <v/>
      </c>
      <c r="R6" s="997" t="s">
        <v>12</v>
      </c>
      <c r="S6" s="427" t="str">
        <f>IF(I6="","",_xll.meLWOSwapPV(P6,Q6))</f>
        <v/>
      </c>
      <c r="T6" s="1036" t="str">
        <f ca="1">IF(OR(I6="",LEFT(_xll.meLWOSwapParRate(P6,Q6),1)="["),"",_xll.meLWOSwapParRate(P6,Q6))</f>
        <v/>
      </c>
      <c r="U6" s="1016" t="str">
        <f ca="1">IF(OR(I6="",T6=""),"",_xll.meLWOSwapPV01(P6,Q6))</f>
        <v/>
      </c>
      <c r="V6" s="685" t="str">
        <f>IF(I6="","",IF(T6="",_xll.meLWOSwapParSpread(P6,Q6),""))</f>
        <v/>
      </c>
      <c r="W6" s="995" t="s">
        <v>12</v>
      </c>
    </row>
    <row r="7" spans="1:23">
      <c r="A7" s="424" t="s">
        <v>12</v>
      </c>
      <c r="B7" s="1136" t="str">
        <f ca="1"/>
        <v>AUD_BASIS_LIBOROIS_QUARTERLY</v>
      </c>
      <c r="C7" s="203"/>
      <c r="D7" s="1015" t="str">
        <f ca="1">IF(OR(G7="",I7=""),"",IF(ISNUMBER($G7),$G7,IF(ISERROR(VALUE(LEFT(G7,1))),_xll.meDateFuturesContract($G7),_xll.meDateFromTenor(INDIRECT(LEFT(I7,3)&amp;"_COB"),$G7,INDIRECT(LEFT(I7,3)&amp;"BusinessDayAdjustment"),INDIRECT(LEFT(I7,3)&amp;"AccrualCalendar")))))</f>
        <v/>
      </c>
      <c r="E7" s="1132" t="str">
        <f ca="1">IF(OR(H7="",I7=""),"",IF(ISNUMBER($H7),$H7,IF(ISERROR(VALUE(LEFT(H7,1))),_xll.meDateFuturesContract($H7),_xll.meDateFromTenor($D7,$H7,INDIRECT(LEFT(I7,3)&amp;"BusinessDayAdjustment"),INDIRECT(LEFT(I7,3)&amp;"AccrualCalendar")))))</f>
        <v/>
      </c>
      <c r="F7" s="1129"/>
      <c r="G7" s="1123"/>
      <c r="H7" s="975"/>
      <c r="I7" s="1126"/>
      <c r="J7" s="969"/>
      <c r="K7" s="970"/>
      <c r="L7" s="976"/>
      <c r="M7" s="1143"/>
      <c r="N7" s="1147"/>
      <c r="O7" s="424" t="s">
        <v>12</v>
      </c>
      <c r="P7" s="684" t="str">
        <f>IF(I7="","",_xll.meLWOSwapCreateFromGenerator("Swap",I7,J7,K7,D7,E7,L7,M7,,,N7))</f>
        <v/>
      </c>
      <c r="Q7" s="1020" t="str">
        <f t="shared" si="0"/>
        <v/>
      </c>
      <c r="R7" s="997" t="s">
        <v>12</v>
      </c>
      <c r="S7" s="427" t="str">
        <f>IF(I7="","",_xll.meLWOSwapPV(P7,Q7))</f>
        <v/>
      </c>
      <c r="T7" s="1036" t="str">
        <f ca="1">IF(OR(I7="",LEFT(_xll.meLWOSwapParRate(P7,Q7),1)="["),"",_xll.meLWOSwapParRate(P7,Q7))</f>
        <v/>
      </c>
      <c r="U7" s="1016" t="str">
        <f ca="1">IF(OR(I7="",T7=""),"",_xll.meLWOSwapPV01(P7,Q7))</f>
        <v/>
      </c>
      <c r="V7" s="685" t="str">
        <f>IF(I7="","",IF(T7="",_xll.meLWOSwapParSpread(P7,Q7),""))</f>
        <v/>
      </c>
      <c r="W7" s="995" t="s">
        <v>12</v>
      </c>
    </row>
    <row r="8" spans="1:23">
      <c r="A8" s="424" t="s">
        <v>12</v>
      </c>
      <c r="B8" s="1136" t="str">
        <f ca="1"/>
        <v>AUD_BASIS_LIBOROIS_SEMIANNUAL</v>
      </c>
      <c r="C8" s="203"/>
      <c r="D8" s="1015">
        <f ca="1">IF(OR(G8="",I8=""),"",IF(ISNUMBER($G8),$G8,IF(ISERROR(VALUE(LEFT(G8,1))),_xll.meDateFuturesContract($G8),_xll.meDateFromTenor(INDIRECT(LEFT(I8,3)&amp;"_COB"),$G8,INDIRECT(LEFT(I8,3)&amp;"BusinessDayAdjustment"),INDIRECT(LEFT(I8,3)&amp;"AccrualCalendar")))))</f>
        <v>43230</v>
      </c>
      <c r="E8" s="1132">
        <f ca="1">IF(OR(H8="",I8=""),"",IF(ISNUMBER($H8),$H8,IF(ISERROR(VALUE(LEFT(H8,1))),_xll.meDateFuturesContract($H8),_xll.meDateFromTenor($D8,$H8,INDIRECT(LEFT(I8,3)&amp;"BusinessDayAdjustment"),INDIRECT(LEFT(I8,3)&amp;"AccrualCalendar")))))</f>
        <v>43962</v>
      </c>
      <c r="F8" s="1129"/>
      <c r="G8" s="1123" t="s">
        <v>361</v>
      </c>
      <c r="H8" s="975" t="s">
        <v>40</v>
      </c>
      <c r="I8" s="1126" t="s">
        <v>2187</v>
      </c>
      <c r="J8" s="969" t="s">
        <v>1995</v>
      </c>
      <c r="K8" s="970">
        <v>1000000</v>
      </c>
      <c r="L8" s="976">
        <v>0.01</v>
      </c>
      <c r="M8" s="1143">
        <v>0</v>
      </c>
      <c r="N8" s="1147"/>
      <c r="O8" s="424" t="s">
        <v>12</v>
      </c>
      <c r="P8" s="684" t="str">
        <f ca="1">IF(I8="","",_xll.meLWOSwapCreateFromGenerator("Swap",I8,J8,K8,D8,E8,L8,M8,,,N8))</f>
        <v>SWAP@37:0</v>
      </c>
      <c r="Q8" s="1020" t="str">
        <f t="shared" si="0"/>
        <v>EURYC</v>
      </c>
      <c r="R8" s="997" t="s">
        <v>12</v>
      </c>
      <c r="S8" s="427" t="str">
        <f ca="1">IF(I8="","",_xll.meLWOSwapPV(P8,Q8))</f>
        <v>[2018/05/04 09:52] #Error: Invalid Curve: CurveCollection 'EURYC' does not exist</v>
      </c>
      <c r="T8" s="1036" t="str">
        <f ca="1">IF(OR(I8="",LEFT(_xll.meLWOSwapParRate(P8,Q8),1)="["),"",_xll.meLWOSwapParRate(P8,Q8))</f>
        <v/>
      </c>
      <c r="U8" s="1016" t="str">
        <f ca="1">IF(OR(I8="",T8=""),"",_xll.meLWOSwapPV01(P8,Q8))</f>
        <v/>
      </c>
      <c r="V8" s="685" t="str">
        <f ca="1">IF(I8="","",IF(T8="",_xll.meLWOSwapParSpread(P8,Q8),""))</f>
        <v>[2018/05/04 09:52] #Error: Invalid Curve: CurveCollection 'EURYC' does not exist</v>
      </c>
      <c r="W8" s="995" t="s">
        <v>12</v>
      </c>
    </row>
    <row r="9" spans="1:23">
      <c r="A9" s="424" t="s">
        <v>12</v>
      </c>
      <c r="B9" s="1136" t="str">
        <f ca="1"/>
        <v>AUD_OIS</v>
      </c>
      <c r="C9" s="203"/>
      <c r="D9" s="1015" t="str">
        <f ca="1">IF(OR(G9="",I9=""),"",IF(ISNUMBER($G9),$G9,IF(ISERROR(VALUE(LEFT(G9,1))),_xll.meDateFuturesContract($G9),_xll.meDateFromTenor(INDIRECT(LEFT(I9,3)&amp;"_COB"),$G9,INDIRECT(LEFT(I9,3)&amp;"BusinessDayAdjustment"),INDIRECT(LEFT(I9,3)&amp;"AccrualCalendar")))))</f>
        <v/>
      </c>
      <c r="E9" s="1132" t="str">
        <f ca="1">IF(OR(H9="",I9=""),"",IF(ISNUMBER($H9),$H9,IF(ISERROR(VALUE(LEFT(H9,1))),_xll.meDateFuturesContract($H9),_xll.meDateFromTenor($D9,$H9,INDIRECT(LEFT(I9,3)&amp;"BusinessDayAdjustment"),INDIRECT(LEFT(I9,3)&amp;"AccrualCalendar")))))</f>
        <v/>
      </c>
      <c r="F9" s="1129"/>
      <c r="G9" s="1123"/>
      <c r="H9" s="975"/>
      <c r="I9" s="1126"/>
      <c r="J9" s="969"/>
      <c r="K9" s="970"/>
      <c r="L9" s="976"/>
      <c r="M9" s="1143"/>
      <c r="N9" s="1147"/>
      <c r="O9" s="424" t="s">
        <v>12</v>
      </c>
      <c r="P9" s="684" t="str">
        <f>IF(I9="","",_xll.meLWOSwapCreateFromGenerator("Swap",I9,J9,K9,D9,E9,L9,M9,,,N9))</f>
        <v/>
      </c>
      <c r="Q9" s="1020" t="str">
        <f t="shared" si="0"/>
        <v/>
      </c>
      <c r="R9" s="997" t="s">
        <v>12</v>
      </c>
      <c r="S9" s="427" t="str">
        <f>IF(I9="","",_xll.meLWOSwapPV(P9,Q9))</f>
        <v/>
      </c>
      <c r="T9" s="1036" t="str">
        <f ca="1">IF(OR(I9="",LEFT(_xll.meLWOSwapParRate(P9,Q9),1)="["),"",_xll.meLWOSwapParRate(P9,Q9))</f>
        <v/>
      </c>
      <c r="U9" s="1016" t="str">
        <f ca="1">IF(OR(I9="",T9=""),"",_xll.meLWOSwapPV01(P9,Q9))</f>
        <v/>
      </c>
      <c r="V9" s="685" t="str">
        <f>IF(I9="","",IF(T9="",_xll.meLWOSwapParSpread(P9,Q9),""))</f>
        <v/>
      </c>
      <c r="W9" s="995" t="s">
        <v>12</v>
      </c>
    </row>
    <row r="10" spans="1:23">
      <c r="A10" s="424" t="s">
        <v>12</v>
      </c>
      <c r="B10" s="1136" t="str">
        <f ca="1"/>
        <v>BRL_6ML</v>
      </c>
      <c r="C10" s="203"/>
      <c r="D10" s="1015" t="str">
        <f ca="1">IF(OR(G10="",I10=""),"",IF(ISNUMBER($G10),$G10,IF(ISERROR(VALUE(LEFT(G10,1))),_xll.meDateFuturesContract($G10),_xll.meDateFromTenor(INDIRECT(LEFT(I10,3)&amp;"_COB"),$G10,INDIRECT(LEFT(I10,3)&amp;"BusinessDayAdjustment"),INDIRECT(LEFT(I10,3)&amp;"AccrualCalendar")))))</f>
        <v/>
      </c>
      <c r="E10" s="1132" t="str">
        <f ca="1">IF(OR(H10="",I10=""),"",IF(ISNUMBER($H10),$H10,IF(ISERROR(VALUE(LEFT(H10,1))),_xll.meDateFuturesContract($H10),_xll.meDateFromTenor($D10,$H10,INDIRECT(LEFT(I10,3)&amp;"BusinessDayAdjustment"),INDIRECT(LEFT(I10,3)&amp;"AccrualCalendar")))))</f>
        <v/>
      </c>
      <c r="F10" s="1129"/>
      <c r="G10" s="1123"/>
      <c r="H10" s="975"/>
      <c r="I10" s="1126"/>
      <c r="J10" s="969"/>
      <c r="K10" s="970"/>
      <c r="L10" s="976"/>
      <c r="M10" s="1143"/>
      <c r="N10" s="1147"/>
      <c r="O10" s="424" t="s">
        <v>12</v>
      </c>
      <c r="P10" s="684" t="str">
        <f>IF(I10="","",_xll.meLWOSwapCreateFromGenerator("Swap",I10,J10,K10,D10,E10,L10,M10,,,N10))</f>
        <v/>
      </c>
      <c r="Q10" s="1020" t="str">
        <f t="shared" si="0"/>
        <v/>
      </c>
      <c r="R10" s="997" t="s">
        <v>12</v>
      </c>
      <c r="S10" s="427" t="str">
        <f>IF(I10="","",_xll.meLWOSwapPV(P10,Q10))</f>
        <v/>
      </c>
      <c r="T10" s="1036" t="str">
        <f ca="1">IF(OR(I10="",LEFT(_xll.meLWOSwapParRate(P10,Q10),1)="["),"",_xll.meLWOSwapParRate(P10,Q10))</f>
        <v/>
      </c>
      <c r="U10" s="1016" t="str">
        <f ca="1">IF(OR(I10="",T10=""),"",_xll.meLWOSwapPV01(P10,Q10))</f>
        <v/>
      </c>
      <c r="V10" s="685" t="str">
        <f>IF(I10="","",IF(T10="",_xll.meLWOSwapParSpread(P10,Q10),""))</f>
        <v/>
      </c>
      <c r="W10" s="995" t="s">
        <v>12</v>
      </c>
    </row>
    <row r="11" spans="1:23">
      <c r="A11" s="424" t="s">
        <v>12</v>
      </c>
      <c r="B11" s="1136" t="str">
        <f ca="1"/>
        <v>CHF_3ML</v>
      </c>
      <c r="C11" s="203"/>
      <c r="D11" s="1015">
        <f ca="1">IF(OR(G11="",I11=""),"",IF(ISNUMBER($G11),$G11,IF(ISERROR(VALUE(LEFT(G11,1))),_xll.meDateFuturesContract($G11),_xll.meDateFromTenor(INDIRECT(LEFT(I11,3)&amp;"_COB"),$G11,INDIRECT(LEFT(I11,3)&amp;"BusinessDayAdjustment"),INDIRECT(LEFT(I11,3)&amp;"AccrualCalendar")))))</f>
        <v>43230</v>
      </c>
      <c r="E11" s="1132">
        <f ca="1">IF(OR(H11="",I11=""),"",IF(ISNUMBER($H11),$H11,IF(ISERROR(VALUE(LEFT(H11,1))),_xll.meDateFuturesContract($H11),_xll.meDateFromTenor($D11,$H11,INDIRECT(LEFT(I11,3)&amp;"BusinessDayAdjustment"),INDIRECT(LEFT(I11,3)&amp;"AccrualCalendar")))))</f>
        <v>43962</v>
      </c>
      <c r="F11" s="1129"/>
      <c r="G11" s="1123" t="s">
        <v>361</v>
      </c>
      <c r="H11" s="975" t="s">
        <v>40</v>
      </c>
      <c r="I11" s="1126" t="s">
        <v>2232</v>
      </c>
      <c r="J11" s="969" t="s">
        <v>1995</v>
      </c>
      <c r="K11" s="970">
        <v>1000000</v>
      </c>
      <c r="L11" s="976">
        <v>0.01</v>
      </c>
      <c r="M11" s="1143">
        <v>0</v>
      </c>
      <c r="N11" s="1147"/>
      <c r="O11" s="424" t="s">
        <v>12</v>
      </c>
      <c r="P11" s="684" t="str">
        <f ca="1">IF(I11="","",_xll.meLWOSwapCreateFromGenerator("Swap",I11,J11,K11,D11,E11,L11,M11,,,N11))</f>
        <v>SWAP@106:0</v>
      </c>
      <c r="Q11" s="1020" t="str">
        <f t="shared" si="0"/>
        <v>EURYC</v>
      </c>
      <c r="R11" s="997" t="s">
        <v>12</v>
      </c>
      <c r="S11" s="427" t="str">
        <f ca="1">IF(I11="","",_xll.meLWOSwapPV(P11,Q11))</f>
        <v>[2018/05/04 09:52] #Error: Invalid Curve: CurveCollection 'EURYC' does not exist</v>
      </c>
      <c r="T11" s="1036" t="str">
        <f ca="1">IF(OR(I11="",LEFT(_xll.meLWOSwapParRate(P11,Q11),1)="["),"",_xll.meLWOSwapParRate(P11,Q11))</f>
        <v/>
      </c>
      <c r="U11" s="1016" t="str">
        <f ca="1">IF(OR(I11="",T11=""),"",_xll.meLWOSwapPV01(P11,Q11))</f>
        <v/>
      </c>
      <c r="V11" s="685" t="str">
        <f ca="1">IF(I11="","",IF(T11="",_xll.meLWOSwapParSpread(P11,Q11),""))</f>
        <v>[2018/05/04 09:52] #Error: Invalid Curve: CurveCollection 'EURYC' does not exist</v>
      </c>
      <c r="W11" s="995" t="s">
        <v>12</v>
      </c>
    </row>
    <row r="12" spans="1:23">
      <c r="A12" s="424" t="s">
        <v>12</v>
      </c>
      <c r="B12" s="1136" t="str">
        <f ca="1"/>
        <v>CHF_6ML</v>
      </c>
      <c r="C12" s="203"/>
      <c r="D12" s="1015" t="str">
        <f ca="1">IF(OR(G12="",I12=""),"",IF(ISNUMBER($G12),$G12,IF(ISERROR(VALUE(LEFT(G12,1))),_xll.meDateFuturesContract($G12),_xll.meDateFromTenor(INDIRECT(LEFT(I12,3)&amp;"_COB"),$G12,INDIRECT(LEFT(I12,3)&amp;"BusinessDayAdjustment"),INDIRECT(LEFT(I12,3)&amp;"AccrualCalendar")))))</f>
        <v/>
      </c>
      <c r="E12" s="1132" t="str">
        <f ca="1">IF(OR(H12="",I12=""),"",IF(ISNUMBER($H12),$H12,IF(ISERROR(VALUE(LEFT(H12,1))),_xll.meDateFuturesContract($H12),_xll.meDateFromTenor($D12,$H12,INDIRECT(LEFT(I12,3)&amp;"BusinessDayAdjustment"),INDIRECT(LEFT(I12,3)&amp;"AccrualCalendar")))))</f>
        <v/>
      </c>
      <c r="F12" s="1129"/>
      <c r="G12" s="1123"/>
      <c r="H12" s="975"/>
      <c r="I12" s="1126"/>
      <c r="J12" s="969"/>
      <c r="K12" s="970"/>
      <c r="L12" s="976"/>
      <c r="M12" s="1143"/>
      <c r="N12" s="1147"/>
      <c r="O12" s="424" t="s">
        <v>12</v>
      </c>
      <c r="P12" s="684" t="str">
        <f>IF(I12="","",_xll.meLWOSwapCreateFromGenerator("Swap",I12,J12,K12,D12,E12,L12,M12,,,N12))</f>
        <v/>
      </c>
      <c r="Q12" s="1020" t="str">
        <f t="shared" si="0"/>
        <v/>
      </c>
      <c r="R12" s="997" t="s">
        <v>12</v>
      </c>
      <c r="S12" s="427" t="str">
        <f>IF(I12="","",_xll.meLWOSwapPV(P12,Q12))</f>
        <v/>
      </c>
      <c r="T12" s="1036" t="str">
        <f ca="1">IF(OR(I12="",LEFT(_xll.meLWOSwapParRate(P12,Q12),1)="["),"",_xll.meLWOSwapParRate(P12,Q12))</f>
        <v/>
      </c>
      <c r="U12" s="1016" t="str">
        <f ca="1">IF(OR(I12="",T12=""),"",_xll.meLWOSwapPV01(P12,Q12))</f>
        <v/>
      </c>
      <c r="V12" s="685" t="str">
        <f>IF(I12="","",IF(T12="",_xll.meLWOSwapParSpread(P12,Q12),""))</f>
        <v/>
      </c>
      <c r="W12" s="995" t="s">
        <v>12</v>
      </c>
    </row>
    <row r="13" spans="1:23">
      <c r="A13" s="424" t="s">
        <v>12</v>
      </c>
      <c r="B13" s="1136" t="str">
        <f ca="1"/>
        <v>CNH_3ML</v>
      </c>
      <c r="C13" s="203"/>
      <c r="D13" s="1015" t="str">
        <f ca="1">IF(OR(G13="",I13=""),"",IF(ISNUMBER($G13),$G13,IF(ISERROR(VALUE(LEFT(G13,1))),_xll.meDateFuturesContract($G13),_xll.meDateFromTenor(INDIRECT(LEFT(I13,3)&amp;"_COB"),$G13,INDIRECT(LEFT(I13,3)&amp;"BusinessDayAdjustment"),INDIRECT(LEFT(I13,3)&amp;"AccrualCalendar")))))</f>
        <v/>
      </c>
      <c r="E13" s="1132" t="str">
        <f ca="1">IF(OR(H13="",I13=""),"",IF(ISNUMBER($H13),$H13,IF(ISERROR(VALUE(LEFT(H13,1))),_xll.meDateFuturesContract($H13),_xll.meDateFromTenor($D13,$H13,INDIRECT(LEFT(I13,3)&amp;"BusinessDayAdjustment"),INDIRECT(LEFT(I13,3)&amp;"AccrualCalendar")))))</f>
        <v/>
      </c>
      <c r="F13" s="1129"/>
      <c r="G13" s="1123"/>
      <c r="H13" s="975"/>
      <c r="I13" s="1126"/>
      <c r="J13" s="969"/>
      <c r="K13" s="970"/>
      <c r="L13" s="976"/>
      <c r="M13" s="1143"/>
      <c r="N13" s="1147"/>
      <c r="O13" s="424" t="s">
        <v>12</v>
      </c>
      <c r="P13" s="684" t="str">
        <f>IF(I13="","",_xll.meLWOSwapCreateFromGenerator("Swap",I13,J13,K13,D13,E13,L13,M13,,,N13))</f>
        <v/>
      </c>
      <c r="Q13" s="1020" t="str">
        <f t="shared" si="0"/>
        <v/>
      </c>
      <c r="R13" s="997" t="s">
        <v>12</v>
      </c>
      <c r="S13" s="427" t="str">
        <f>IF(I13="","",_xll.meLWOSwapPV(P13,Q13))</f>
        <v/>
      </c>
      <c r="T13" s="1036" t="str">
        <f ca="1">IF(OR(I13="",LEFT(_xll.meLWOSwapParRate(P13,Q13),1)="["),"",_xll.meLWOSwapParRate(P13,Q13))</f>
        <v/>
      </c>
      <c r="U13" s="1016" t="str">
        <f ca="1">IF(OR(I13="",T13=""),"",_xll.meLWOSwapPV01(P13,Q13))</f>
        <v/>
      </c>
      <c r="V13" s="685" t="str">
        <f>IF(I13="","",IF(T13="",_xll.meLWOSwapParSpread(P13,Q13),""))</f>
        <v/>
      </c>
      <c r="W13" s="995" t="s">
        <v>12</v>
      </c>
    </row>
    <row r="14" spans="1:23">
      <c r="A14" s="424" t="s">
        <v>12</v>
      </c>
      <c r="B14" s="1136" t="str">
        <f ca="1"/>
        <v>EUR_12ML</v>
      </c>
      <c r="C14" s="203"/>
      <c r="D14" s="1015">
        <f ca="1">IF(OR(G14="",I14=""),"",IF(ISNUMBER($G14),$G14,IF(ISERROR(VALUE(LEFT(G14,1))),_xll.meDateFuturesContract($G14),_xll.meDateFromTenor(INDIRECT(LEFT(I14,3)&amp;"_COB"),$G14,INDIRECT(LEFT(I14,3)&amp;"BusinessDayAdjustment"),INDIRECT(LEFT(I14,3)&amp;"AccrualCalendar")))))</f>
        <v>43229</v>
      </c>
      <c r="E14" s="1132">
        <f ca="1">IF(OR(H14="",I14=""),"",IF(ISNUMBER($H14),$H14,IF(ISERROR(VALUE(LEFT(H14,1))),_xll.meDateFuturesContract($H14),_xll.meDateFromTenor($D14,$H14,INDIRECT(LEFT(I14,3)&amp;"BusinessDayAdjustment"),INDIRECT(LEFT(I14,3)&amp;"AccrualCalendar")))))</f>
        <v>43962</v>
      </c>
      <c r="F14" s="1129"/>
      <c r="G14" s="1123" t="s">
        <v>361</v>
      </c>
      <c r="H14" s="975" t="s">
        <v>40</v>
      </c>
      <c r="I14" s="1126" t="s">
        <v>2233</v>
      </c>
      <c r="J14" s="969" t="s">
        <v>1995</v>
      </c>
      <c r="K14" s="970">
        <v>1000000</v>
      </c>
      <c r="L14" s="976">
        <v>0.01</v>
      </c>
      <c r="M14" s="1143">
        <v>0</v>
      </c>
      <c r="N14" s="1147"/>
      <c r="O14" s="424" t="s">
        <v>12</v>
      </c>
      <c r="P14" s="684" t="str">
        <f ca="1">IF(I14="","",_xll.meLWOSwapCreateFromGenerator("Swap",I14,J14,K14,D14,E14,L14,M14,,,N14))</f>
        <v>SWAP@172:0</v>
      </c>
      <c r="Q14" s="1020" t="str">
        <f t="shared" si="0"/>
        <v>GBPYC</v>
      </c>
      <c r="R14" s="997" t="s">
        <v>12</v>
      </c>
      <c r="S14" s="427" t="str">
        <f ca="1">IF(I14="","",_xll.meLWOSwapPV(P14,Q14))</f>
        <v>[2018/05/04 09:52] #Error: Invalid Curve: CurveIndex 'GBP12ML' in collection GBPYC does not exist</v>
      </c>
      <c r="T14" s="1036" t="str">
        <f ca="1">IF(OR(I14="",LEFT(_xll.meLWOSwapParRate(P14,Q14),1)="["),"",_xll.meLWOSwapParRate(P14,Q14))</f>
        <v/>
      </c>
      <c r="U14" s="1016" t="str">
        <f ca="1">IF(OR(I14="",T14=""),"",_xll.meLWOSwapPV01(P14,Q14))</f>
        <v/>
      </c>
      <c r="V14" s="685" t="str">
        <f ca="1">IF(I14="","",IF(T14="",_xll.meLWOSwapParSpread(P14,Q14),""))</f>
        <v>[2018/05/04 09:52] #Error: Invalid Curve: CurveIndex 'GBP12ML' in collection GBPYC does not exist</v>
      </c>
      <c r="W14" s="995" t="s">
        <v>12</v>
      </c>
    </row>
    <row r="15" spans="1:23">
      <c r="A15" s="424" t="s">
        <v>12</v>
      </c>
      <c r="B15" s="1136" t="str">
        <f ca="1"/>
        <v>EUR_1ML</v>
      </c>
      <c r="C15" s="203"/>
      <c r="D15" s="1015" t="str">
        <f ca="1">IF(OR(G15="",I15=""),"",IF(ISNUMBER($G15),$G15,IF(ISERROR(VALUE(LEFT(G15,1))),_xll.meDateFuturesContract($G15),_xll.meDateFromTenor(INDIRECT(LEFT(I15,3)&amp;"_COB"),$G15,INDIRECT(LEFT(I15,3)&amp;"BusinessDayAdjustment"),INDIRECT(LEFT(I15,3)&amp;"AccrualCalendar")))))</f>
        <v/>
      </c>
      <c r="E15" s="1132" t="str">
        <f ca="1">IF(OR(H15="",I15=""),"",IF(ISNUMBER($H15),$H15,IF(ISERROR(VALUE(LEFT(H15,1))),_xll.meDateFuturesContract($H15),_xll.meDateFromTenor($D15,$H15,INDIRECT(LEFT(I15,3)&amp;"BusinessDayAdjustment"),INDIRECT(LEFT(I15,3)&amp;"AccrualCalendar")))))</f>
        <v/>
      </c>
      <c r="F15" s="1129"/>
      <c r="G15" s="1123"/>
      <c r="H15" s="975"/>
      <c r="I15" s="1126"/>
      <c r="J15" s="969"/>
      <c r="K15" s="970"/>
      <c r="L15" s="976"/>
      <c r="M15" s="1143"/>
      <c r="N15" s="1147"/>
      <c r="O15" s="424" t="s">
        <v>12</v>
      </c>
      <c r="P15" s="684" t="str">
        <f>IF(I15="","",_xll.meLWOSwapCreateFromGenerator("Swap",I15,J15,K15,D15,E15,L15,M15,,,N15))</f>
        <v/>
      </c>
      <c r="Q15" s="1020" t="str">
        <f t="shared" si="0"/>
        <v/>
      </c>
      <c r="R15" s="997" t="s">
        <v>12</v>
      </c>
      <c r="S15" s="427" t="str">
        <f>IF(I15="","",_xll.meLWOSwapPV(P15,Q15))</f>
        <v/>
      </c>
      <c r="T15" s="1036" t="str">
        <f ca="1">IF(OR(I15="",LEFT(_xll.meLWOSwapParRate(P15,Q15),1)="["),"",_xll.meLWOSwapParRate(P15,Q15))</f>
        <v/>
      </c>
      <c r="U15" s="1016" t="str">
        <f ca="1">IF(OR(I15="",T15=""),"",_xll.meLWOSwapPV01(P15,Q15))</f>
        <v/>
      </c>
      <c r="V15" s="685" t="str">
        <f>IF(I15="","",IF(T15="",_xll.meLWOSwapParSpread(P15,Q15),""))</f>
        <v/>
      </c>
      <c r="W15" s="995" t="s">
        <v>12</v>
      </c>
    </row>
    <row r="16" spans="1:23">
      <c r="A16" s="424" t="s">
        <v>12</v>
      </c>
      <c r="B16" s="1136" t="str">
        <f ca="1"/>
        <v>EUR_3ML</v>
      </c>
      <c r="C16" s="203"/>
      <c r="D16" s="1015" t="str">
        <f ca="1">IF(OR(G16="",I16=""),"",IF(ISNUMBER($G16),$G16,IF(ISERROR(VALUE(LEFT(G16,1))),_xll.meDateFuturesContract($G16),_xll.meDateFromTenor(INDIRECT(LEFT(I16,3)&amp;"_COB"),$G16,INDIRECT(LEFT(I16,3)&amp;"BusinessDayAdjustment"),INDIRECT(LEFT(I16,3)&amp;"AccrualCalendar")))))</f>
        <v/>
      </c>
      <c r="E16" s="1132" t="str">
        <f ca="1">IF(OR(H16="",I16=""),"",IF(ISNUMBER($H16),$H16,IF(ISERROR(VALUE(LEFT(H16,1))),_xll.meDateFuturesContract($H16),_xll.meDateFromTenor($D16,$H16,INDIRECT(LEFT(I16,3)&amp;"BusinessDayAdjustment"),INDIRECT(LEFT(I16,3)&amp;"AccrualCalendar")))))</f>
        <v/>
      </c>
      <c r="F16" s="1129"/>
      <c r="G16" s="1123"/>
      <c r="H16" s="975"/>
      <c r="I16" s="1126"/>
      <c r="J16" s="969"/>
      <c r="K16" s="970"/>
      <c r="L16" s="976"/>
      <c r="M16" s="1143"/>
      <c r="N16" s="1147"/>
      <c r="O16" s="424" t="s">
        <v>12</v>
      </c>
      <c r="P16" s="684" t="str">
        <f>IF(I16="","",_xll.meLWOSwapCreateFromGenerator("Swap",I16,J16,K16,D16,E16,L16,M16,,,N16))</f>
        <v/>
      </c>
      <c r="Q16" s="1020" t="str">
        <f t="shared" si="0"/>
        <v/>
      </c>
      <c r="R16" s="997" t="s">
        <v>12</v>
      </c>
      <c r="S16" s="427" t="str">
        <f>IF(I16="","",_xll.meLWOSwapPV(P16,Q16))</f>
        <v/>
      </c>
      <c r="T16" s="1036" t="str">
        <f ca="1">IF(OR(I16="",LEFT(_xll.meLWOSwapParRate(P16,Q16),1)="["),"",_xll.meLWOSwapParRate(P16,Q16))</f>
        <v/>
      </c>
      <c r="U16" s="1016" t="str">
        <f ca="1">IF(OR(I16="",T16=""),"",_xll.meLWOSwapPV01(P16,Q16))</f>
        <v/>
      </c>
      <c r="V16" s="685" t="str">
        <f>IF(I16="","",IF(T16="",_xll.meLWOSwapParSpread(P16,Q16),""))</f>
        <v/>
      </c>
      <c r="W16" s="995" t="s">
        <v>12</v>
      </c>
    </row>
    <row r="17" spans="1:23">
      <c r="A17" s="424" t="s">
        <v>12</v>
      </c>
      <c r="B17" s="1136" t="str">
        <f ca="1"/>
        <v>EUR_6ML</v>
      </c>
      <c r="C17" s="203"/>
      <c r="D17" s="1015">
        <f ca="1">IF(OR(G17="",I17=""),"",IF(ISNUMBER($G17),$G17,IF(ISERROR(VALUE(LEFT(G17,1))),_xll.meDateFuturesContract($G17),_xll.meDateFromTenor(INDIRECT(LEFT(I17,3)&amp;"_COB"),$G17,INDIRECT(LEFT(I17,3)&amp;"BusinessDayAdjustment"),INDIRECT(LEFT(I17,3)&amp;"AccrualCalendar")))))</f>
        <v>43230</v>
      </c>
      <c r="E17" s="1132">
        <f ca="1">IF(OR(H17="",I17=""),"",IF(ISNUMBER($H17),$H17,IF(ISERROR(VALUE(LEFT(H17,1))),_xll.meDateFuturesContract($H17),_xll.meDateFromTenor($D17,$H17,INDIRECT(LEFT(I17,3)&amp;"BusinessDayAdjustment"),INDIRECT(LEFT(I17,3)&amp;"AccrualCalendar")))))</f>
        <v>43962</v>
      </c>
      <c r="F17" s="1129"/>
      <c r="G17" s="1123" t="s">
        <v>361</v>
      </c>
      <c r="H17" s="975" t="s">
        <v>40</v>
      </c>
      <c r="I17" s="1126" t="s">
        <v>2234</v>
      </c>
      <c r="J17" s="969" t="s">
        <v>1995</v>
      </c>
      <c r="K17" s="970">
        <v>1000000</v>
      </c>
      <c r="L17" s="980">
        <v>0</v>
      </c>
      <c r="M17" s="1143">
        <v>0</v>
      </c>
      <c r="N17" s="1147"/>
      <c r="O17" s="424" t="s">
        <v>12</v>
      </c>
      <c r="P17" s="684" t="str">
        <f ca="1">IF(I17="","",_xll.meLWOSwapCreateFromGenerator("Swap",I17,J17,K17,D17,E17,L17,M17,,,N17))</f>
        <v>SWAP@174:0</v>
      </c>
      <c r="Q17" s="1020" t="str">
        <f t="shared" si="0"/>
        <v>EURYC</v>
      </c>
      <c r="R17" s="997" t="s">
        <v>12</v>
      </c>
      <c r="S17" s="427" t="str">
        <f ca="1">IF(I17="","",_xll.meLWOSwapPV(P17,Q17))</f>
        <v>[2018/05/04 09:52] #Error: Invalid Curve: CurveCollection 'EURYC' does not exist</v>
      </c>
      <c r="T17" s="1036" t="str">
        <f ca="1">IF(OR(I17="",LEFT(_xll.meLWOSwapParRate(P17,Q17),1)="["),"",_xll.meLWOSwapParRate(P17,Q17))</f>
        <v/>
      </c>
      <c r="U17" s="1016" t="str">
        <f ca="1">IF(OR(I17="",T17=""),"",_xll.meLWOSwapPV01(P17,Q17))</f>
        <v/>
      </c>
      <c r="V17" s="685" t="str">
        <f ca="1">IF(I17="","",IF(T17="",_xll.meLWOSwapParSpread(P17,Q17),""))</f>
        <v>[2018/05/04 09:52] #Error: Invalid Curve: CurveIndex 'EUR1ML' in collection EURYC does not exist</v>
      </c>
      <c r="W17" s="995" t="s">
        <v>12</v>
      </c>
    </row>
    <row r="18" spans="1:23">
      <c r="A18" s="424" t="s">
        <v>12</v>
      </c>
      <c r="B18" s="1136" t="str">
        <f ca="1"/>
        <v>EUR_BASIS_1X3</v>
      </c>
      <c r="C18" s="203"/>
      <c r="D18" s="1015" t="str">
        <f ca="1">IF(OR(G18="",I18=""),"",IF(ISNUMBER($G18),$G18,IF(ISERROR(VALUE(LEFT(G18,1))),_xll.meDateFuturesContract($G18),_xll.meDateFromTenor(INDIRECT(LEFT(I18,3)&amp;"_COB"),$G18,INDIRECT(LEFT(I18,3)&amp;"BusinessDayAdjustment"),INDIRECT(LEFT(I18,3)&amp;"AccrualCalendar")))))</f>
        <v/>
      </c>
      <c r="E18" s="1132" t="str">
        <f ca="1">IF(OR(H18="",I18=""),"",IF(ISNUMBER($H18),$H18,IF(ISERROR(VALUE(LEFT(H18,1))),_xll.meDateFuturesContract($H18),_xll.meDateFromTenor($D18,$H18,INDIRECT(LEFT(I18,3)&amp;"BusinessDayAdjustment"),INDIRECT(LEFT(I18,3)&amp;"AccrualCalendar")))))</f>
        <v/>
      </c>
      <c r="F18" s="1129"/>
      <c r="G18" s="1123"/>
      <c r="H18" s="975"/>
      <c r="I18" s="1126"/>
      <c r="J18" s="969"/>
      <c r="K18" s="970"/>
      <c r="L18" s="980"/>
      <c r="M18" s="1143"/>
      <c r="N18" s="1147"/>
      <c r="O18" s="424" t="s">
        <v>12</v>
      </c>
      <c r="P18" s="684" t="str">
        <f>IF(I18="","",_xll.meLWOSwapCreateFromGenerator("Swap",I18,J18,K18,D18,E18,L18,M18,,,N18))</f>
        <v/>
      </c>
      <c r="Q18" s="1020" t="str">
        <f t="shared" si="0"/>
        <v/>
      </c>
      <c r="R18" s="997" t="s">
        <v>12</v>
      </c>
      <c r="S18" s="427" t="str">
        <f>IF(I18="","",_xll.meLWOSwapPV(P18,Q18))</f>
        <v/>
      </c>
      <c r="T18" s="1036" t="str">
        <f ca="1">IF(OR(I18="",LEFT(_xll.meLWOSwapParRate(P18,Q18),1)="["),"",_xll.meLWOSwapParRate(P18,Q18))</f>
        <v/>
      </c>
      <c r="U18" s="1016" t="str">
        <f ca="1">IF(OR(I18="",T18=""),"",_xll.meLWOSwapPV01(P18,Q18))</f>
        <v/>
      </c>
      <c r="V18" s="685" t="str">
        <f>IF(I18="","",IF(T18="",_xll.meLWOSwapParSpread(P18,Q18),""))</f>
        <v/>
      </c>
      <c r="W18" s="995" t="s">
        <v>12</v>
      </c>
    </row>
    <row r="19" spans="1:23">
      <c r="A19" s="424" t="s">
        <v>12</v>
      </c>
      <c r="B19" s="1136" t="str">
        <f ca="1"/>
        <v>EUR_BASIS_3X6</v>
      </c>
      <c r="C19" s="203"/>
      <c r="D19" s="1015" t="str">
        <f ca="1">IF(OR(G19="",I19=""),"",IF(ISNUMBER($G19),$G19,IF(ISERROR(VALUE(LEFT(G19,1))),_xll.meDateFuturesContract($G19),_xll.meDateFromTenor(INDIRECT(LEFT(I19,3)&amp;"_COB"),$G19,INDIRECT(LEFT(I19,3)&amp;"BusinessDayAdjustment"),INDIRECT(LEFT(I19,3)&amp;"AccrualCalendar")))))</f>
        <v/>
      </c>
      <c r="E19" s="1132" t="str">
        <f ca="1">IF(OR(H19="",I19=""),"",IF(ISNUMBER($H19),$H19,IF(ISERROR(VALUE(LEFT(H19,1))),_xll.meDateFuturesContract($H19),_xll.meDateFromTenor($D19,$H19,INDIRECT(LEFT(I19,3)&amp;"BusinessDayAdjustment"),INDIRECT(LEFT(I19,3)&amp;"AccrualCalendar")))))</f>
        <v/>
      </c>
      <c r="F19" s="1129"/>
      <c r="G19" s="1123"/>
      <c r="H19" s="975"/>
      <c r="I19" s="1126"/>
      <c r="J19" s="969"/>
      <c r="K19" s="970"/>
      <c r="L19" s="976"/>
      <c r="M19" s="1143"/>
      <c r="N19" s="1147"/>
      <c r="O19" s="424" t="s">
        <v>12</v>
      </c>
      <c r="P19" s="684" t="str">
        <f>IF(I19="","",_xll.meLWOSwapCreateFromGenerator("Swap",I19,J19,K19,D19,E19,L19,M19,,,N19))</f>
        <v/>
      </c>
      <c r="Q19" s="1020" t="str">
        <f t="shared" si="0"/>
        <v/>
      </c>
      <c r="R19" s="997" t="s">
        <v>12</v>
      </c>
      <c r="S19" s="427" t="str">
        <f>IF(I19="","",_xll.meLWOSwapPV(P19,Q19))</f>
        <v/>
      </c>
      <c r="T19" s="1036" t="str">
        <f ca="1">IF(OR(I19="",LEFT(_xll.meLWOSwapParRate(P19,Q19),1)="["),"",_xll.meLWOSwapParRate(P19,Q19))</f>
        <v/>
      </c>
      <c r="U19" s="1016" t="str">
        <f ca="1">IF(OR(I19="",T19=""),"",_xll.meLWOSwapPV01(P19,Q19))</f>
        <v/>
      </c>
      <c r="V19" s="685" t="str">
        <f>IF(I19="","",IF(T19="",_xll.meLWOSwapParSpread(P19,Q19),""))</f>
        <v/>
      </c>
      <c r="W19" s="995" t="s">
        <v>12</v>
      </c>
    </row>
    <row r="20" spans="1:23">
      <c r="A20" s="424" t="s">
        <v>12</v>
      </c>
      <c r="B20" s="1136" t="str">
        <f ca="1"/>
        <v>EUR_BASIS_6X12</v>
      </c>
      <c r="C20" s="203"/>
      <c r="D20" s="1015">
        <f ca="1">IF(OR(G20="",I20=""),"",IF(ISNUMBER($G20),$G20,IF(ISERROR(VALUE(LEFT(G20,1))),_xll.meDateFuturesContract($G20),_xll.meDateFromTenor(INDIRECT(LEFT(I20,3)&amp;"_COB"),$G20,INDIRECT(LEFT(I20,3)&amp;"BusinessDayAdjustment"),INDIRECT(LEFT(I20,3)&amp;"AccrualCalendar")))))</f>
        <v>43230</v>
      </c>
      <c r="E20" s="1132">
        <f ca="1">IF(OR(H20="",I20=""),"",IF(ISNUMBER($H20),$H20,IF(ISERROR(VALUE(LEFT(H20,1))),_xll.meDateFuturesContract($H20),_xll.meDateFromTenor($D20,$H20,INDIRECT(LEFT(I20,3)&amp;"BusinessDayAdjustment"),INDIRECT(LEFT(I20,3)&amp;"AccrualCalendar")))))</f>
        <v>43962</v>
      </c>
      <c r="F20" s="1129"/>
      <c r="G20" s="1123" t="s">
        <v>361</v>
      </c>
      <c r="H20" s="975" t="s">
        <v>40</v>
      </c>
      <c r="I20" s="1126" t="s">
        <v>2190</v>
      </c>
      <c r="J20" s="969" t="s">
        <v>1995</v>
      </c>
      <c r="K20" s="970">
        <v>1000000</v>
      </c>
      <c r="L20" s="976">
        <v>0.01</v>
      </c>
      <c r="M20" s="1143">
        <v>0</v>
      </c>
      <c r="N20" s="1147"/>
      <c r="O20" s="424" t="s">
        <v>12</v>
      </c>
      <c r="P20" s="684" t="str">
        <f ca="1">IF(I20="","",_xll.meLWOSwapCreateFromGenerator("Swap",I20,J20,K20,D20,E20,L20,M20,,,N20))</f>
        <v>SWAP@166:0</v>
      </c>
      <c r="Q20" s="1020" t="str">
        <f t="shared" si="0"/>
        <v>EURYC</v>
      </c>
      <c r="R20" s="997" t="s">
        <v>12</v>
      </c>
      <c r="S20" s="427" t="str">
        <f ca="1">IF(I20="","",_xll.meLWOSwapPV(P20,Q20))</f>
        <v>[2018/05/04 09:52] #Error: Invalid Curve: CurveCollection 'EURYC' does not exist</v>
      </c>
      <c r="T20" s="1036" t="str">
        <f ca="1">IF(OR(I20="",LEFT(_xll.meLWOSwapParRate(P20,Q20),1)="["),"",_xll.meLWOSwapParRate(P20,Q20))</f>
        <v/>
      </c>
      <c r="U20" s="1016" t="str">
        <f ca="1">IF(OR(I20="",T20=""),"",_xll.meLWOSwapPV01(P20,Q20))</f>
        <v/>
      </c>
      <c r="V20" s="685" t="str">
        <f ca="1">IF(I20="","",IF(T20="",_xll.meLWOSwapParSpread(P20,Q20),""))</f>
        <v>[2018/05/04 09:52] #Error: Invalid Curve: CurveCollection 'EURYC' does not exist</v>
      </c>
      <c r="W20" s="995" t="s">
        <v>12</v>
      </c>
    </row>
    <row r="21" spans="1:23">
      <c r="A21" s="424" t="s">
        <v>12</v>
      </c>
      <c r="B21" s="1136" t="str">
        <f ca="1"/>
        <v>EUR_BASIS_LIBOROIS</v>
      </c>
      <c r="C21" s="203"/>
      <c r="D21" s="1015" t="str">
        <f ca="1">IF(OR(G21="",I21=""),"",IF(ISNUMBER($G21),$G21,IF(ISERROR(VALUE(LEFT(G21,1))),_xll.meDateFuturesContract($G21),_xll.meDateFromTenor(INDIRECT(LEFT(I21,3)&amp;"_COB"),$G21,INDIRECT(LEFT(I21,3)&amp;"BusinessDayAdjustment"),INDIRECT(LEFT(I21,3)&amp;"AccrualCalendar")))))</f>
        <v/>
      </c>
      <c r="E21" s="1132" t="str">
        <f ca="1">IF(OR(H21="",I21=""),"",IF(ISNUMBER($H21),$H21,IF(ISERROR(VALUE(LEFT(H21,1))),_xll.meDateFuturesContract($H21),_xll.meDateFromTenor($D21,$H21,INDIRECT(LEFT(I21,3)&amp;"BusinessDayAdjustment"),INDIRECT(LEFT(I21,3)&amp;"AccrualCalendar")))))</f>
        <v/>
      </c>
      <c r="F21" s="1129"/>
      <c r="G21" s="1123"/>
      <c r="H21" s="975"/>
      <c r="I21" s="1126"/>
      <c r="J21" s="969"/>
      <c r="K21" s="970"/>
      <c r="L21" s="976"/>
      <c r="M21" s="1143"/>
      <c r="N21" s="1147"/>
      <c r="O21" s="424" t="s">
        <v>12</v>
      </c>
      <c r="P21" s="684" t="str">
        <f>IF(I21="","",_xll.meLWOSwapCreateFromGenerator("Swap",I21,J21,K21,D21,E21,L21,M21,,,N21))</f>
        <v/>
      </c>
      <c r="Q21" s="1020" t="str">
        <f t="shared" si="0"/>
        <v/>
      </c>
      <c r="R21" s="997" t="s">
        <v>12</v>
      </c>
      <c r="S21" s="427" t="str">
        <f>IF(I21="","",_xll.meLWOSwapPV(P21,Q21))</f>
        <v/>
      </c>
      <c r="T21" s="1036" t="str">
        <f ca="1">IF(OR(I21="",LEFT(_xll.meLWOSwapParRate(P21,Q21),1)="["),"",_xll.meLWOSwapParRate(P21,Q21))</f>
        <v/>
      </c>
      <c r="U21" s="1016" t="str">
        <f ca="1">IF(OR(I21="",T21=""),"",_xll.meLWOSwapPV01(P21,Q21))</f>
        <v/>
      </c>
      <c r="V21" s="685" t="str">
        <f>IF(I21="","",IF(T21="",_xll.meLWOSwapParSpread(P21,Q21),""))</f>
        <v/>
      </c>
      <c r="W21" s="995" t="s">
        <v>12</v>
      </c>
    </row>
    <row r="22" spans="1:23">
      <c r="A22" s="424" t="s">
        <v>12</v>
      </c>
      <c r="B22" s="1136" t="str">
        <f ca="1"/>
        <v>EUR_IMM_AB3</v>
      </c>
      <c r="C22" s="203"/>
      <c r="D22" s="1015" t="str">
        <f ca="1">IF(OR(G22="",I22=""),"",IF(ISNUMBER($G22),$G22,IF(ISERROR(VALUE(LEFT(G22,1))),_xll.meDateFuturesContract($G22),_xll.meDateFromTenor(INDIRECT(LEFT(I22,3)&amp;"_COB"),$G22,INDIRECT(LEFT(I22,3)&amp;"BusinessDayAdjustment"),INDIRECT(LEFT(I22,3)&amp;"AccrualCalendar")))))</f>
        <v/>
      </c>
      <c r="E22" s="1132" t="str">
        <f ca="1">IF(OR(H22="",I22=""),"",IF(ISNUMBER($H22),$H22,IF(ISERROR(VALUE(LEFT(H22,1))),_xll.meDateFuturesContract($H22),_xll.meDateFromTenor($D22,$H22,INDIRECT(LEFT(I22,3)&amp;"BusinessDayAdjustment"),INDIRECT(LEFT(I22,3)&amp;"AccrualCalendar")))))</f>
        <v/>
      </c>
      <c r="F22" s="1129"/>
      <c r="G22" s="1123"/>
      <c r="H22" s="975"/>
      <c r="I22" s="1126"/>
      <c r="J22" s="969"/>
      <c r="K22" s="970"/>
      <c r="L22" s="976"/>
      <c r="M22" s="1143"/>
      <c r="N22" s="1147"/>
      <c r="O22" s="424" t="s">
        <v>12</v>
      </c>
      <c r="P22" s="684" t="str">
        <f>IF(I22="","",_xll.meLWOSwapCreateFromGenerator("Swap",I22,J22,K22,D22,E22,L22,M22,,,N22))</f>
        <v/>
      </c>
      <c r="Q22" s="1020" t="str">
        <f t="shared" si="0"/>
        <v/>
      </c>
      <c r="R22" s="997" t="s">
        <v>12</v>
      </c>
      <c r="S22" s="427" t="str">
        <f>IF(I22="","",_xll.meLWOSwapPV(P22,Q22))</f>
        <v/>
      </c>
      <c r="T22" s="1036" t="str">
        <f ca="1">IF(OR(I22="",LEFT(_xll.meLWOSwapParRate(P22,Q22),1)="["),"",_xll.meLWOSwapParRate(P22,Q22))</f>
        <v/>
      </c>
      <c r="U22" s="1016" t="str">
        <f ca="1">IF(OR(I22="",T22=""),"",_xll.meLWOSwapPV01(P22,Q22))</f>
        <v/>
      </c>
      <c r="V22" s="685" t="str">
        <f>IF(I22="","",IF(T22="",_xll.meLWOSwapParSpread(P22,Q22),""))</f>
        <v/>
      </c>
      <c r="W22" s="995" t="s">
        <v>12</v>
      </c>
    </row>
    <row r="23" spans="1:23">
      <c r="A23" s="424" t="s">
        <v>12</v>
      </c>
      <c r="B23" s="1136" t="str">
        <f ca="1"/>
        <v>EUR_IMM_AM3</v>
      </c>
      <c r="C23" s="203"/>
      <c r="D23" s="1015">
        <f ca="1">IF(OR(G23="",I23=""),"",IF(ISNUMBER($G23),$G23,IF(ISERROR(VALUE(LEFT(G23,1))),_xll.meDateFuturesContract($G23),_xll.meDateFromTenor(INDIRECT(LEFT(I23,3)&amp;"_COB"),$G23,INDIRECT(LEFT(I23,3)&amp;"BusinessDayAdjustment"),INDIRECT(LEFT(I23,3)&amp;"AccrualCalendar")))))</f>
        <v>43229</v>
      </c>
      <c r="E23" s="1132">
        <f ca="1">IF(OR(H23="",I23=""),"",IF(ISNUMBER($H23),$H23,IF(ISERROR(VALUE(LEFT(H23,1))),_xll.meDateFuturesContract($H23),_xll.meDateFromTenor($D23,$H23,INDIRECT(LEFT(I23,3)&amp;"BusinessDayAdjustment"),INDIRECT(LEFT(I23,3)&amp;"AccrualCalendar")))))</f>
        <v>43962</v>
      </c>
      <c r="F23" s="1129"/>
      <c r="G23" s="1123" t="s">
        <v>361</v>
      </c>
      <c r="H23" s="975" t="s">
        <v>40</v>
      </c>
      <c r="I23" s="1126" t="s">
        <v>2235</v>
      </c>
      <c r="J23" s="969" t="s">
        <v>1995</v>
      </c>
      <c r="K23" s="970">
        <v>1000000</v>
      </c>
      <c r="L23" s="976">
        <v>0.01</v>
      </c>
      <c r="M23" s="1143">
        <v>0</v>
      </c>
      <c r="N23" s="1147"/>
      <c r="O23" s="424" t="s">
        <v>12</v>
      </c>
      <c r="P23" s="684" t="str">
        <f ca="1">IF(I23="","",_xll.meLWOSwapCreateFromGenerator("Swap",I23,J23,K23,D23,E23,L23,M23,,,N23))</f>
        <v>SWAP@143:0</v>
      </c>
      <c r="Q23" s="1020" t="str">
        <f t="shared" si="0"/>
        <v>GBPYC</v>
      </c>
      <c r="R23" s="997" t="s">
        <v>12</v>
      </c>
      <c r="S23" s="427" t="str">
        <f ca="1">IF(I23="","",_xll.meLWOSwapPV(P23,Q23))</f>
        <v>[2018/05/04 09:52] #Error: Invalid Curve: CurveIndex 'GBP6ML' in collection GBPYC does not exist</v>
      </c>
      <c r="T23" s="1036" t="str">
        <f ca="1">IF(OR(I23="",LEFT(_xll.meLWOSwapParRate(P23,Q23),1)="["),"",_xll.meLWOSwapParRate(P23,Q23))</f>
        <v/>
      </c>
      <c r="U23" s="1016" t="str">
        <f ca="1">IF(OR(I23="",T23=""),"",_xll.meLWOSwapPV01(P23,Q23))</f>
        <v/>
      </c>
      <c r="V23" s="685">
        <f ca="1">IF(I23="","",IF(T23="",_xll.meLWOSwapParSpread(P23,Q23),""))</f>
        <v>-6.2775998415062455</v>
      </c>
      <c r="W23" s="995" t="s">
        <v>12</v>
      </c>
    </row>
    <row r="24" spans="1:23">
      <c r="A24" s="424" t="s">
        <v>12</v>
      </c>
      <c r="B24" s="1136" t="str">
        <f ca="1"/>
        <v>EUR_IRS_AB3</v>
      </c>
      <c r="C24" s="203"/>
      <c r="D24" s="1015" t="str">
        <f ca="1">IF(OR(G24="",I24=""),"",IF(ISNUMBER($G24),$G24,IF(ISERROR(VALUE(LEFT(G24,1))),_xll.meDateFuturesContract($G24),_xll.meDateFromTenor(INDIRECT(LEFT(I24,3)&amp;"_COB"),$G24,INDIRECT(LEFT(I24,3)&amp;"BusinessDayAdjustment"),INDIRECT(LEFT(I24,3)&amp;"AccrualCalendar")))))</f>
        <v/>
      </c>
      <c r="E24" s="1132" t="str">
        <f ca="1">IF(OR(H24="",I24=""),"",IF(ISNUMBER($H24),$H24,IF(ISERROR(VALUE(LEFT(H24,1))),_xll.meDateFuturesContract($H24),_xll.meDateFromTenor($D24,$H24,INDIRECT(LEFT(I24,3)&amp;"BusinessDayAdjustment"),INDIRECT(LEFT(I24,3)&amp;"AccrualCalendar")))))</f>
        <v/>
      </c>
      <c r="F24" s="1129"/>
      <c r="G24" s="1123"/>
      <c r="H24" s="975"/>
      <c r="I24" s="1126"/>
      <c r="J24" s="969"/>
      <c r="K24" s="970"/>
      <c r="L24" s="976"/>
      <c r="M24" s="1143"/>
      <c r="N24" s="1147"/>
      <c r="O24" s="424" t="s">
        <v>12</v>
      </c>
      <c r="P24" s="684" t="str">
        <f>IF(I24="","",_xll.meLWOSwapCreateFromGenerator("Swap",I24,J24,K24,D24,E24,L24,M24,,,N24))</f>
        <v/>
      </c>
      <c r="Q24" s="1020" t="str">
        <f t="shared" si="0"/>
        <v/>
      </c>
      <c r="R24" s="997" t="s">
        <v>12</v>
      </c>
      <c r="S24" s="427" t="str">
        <f>IF(I24="","",_xll.meLWOSwapPV(P24,Q24))</f>
        <v/>
      </c>
      <c r="T24" s="1036" t="str">
        <f ca="1">IF(OR(I24="",LEFT(_xll.meLWOSwapParRate(P24,Q24),1)="["),"",_xll.meLWOSwapParRate(P24,Q24))</f>
        <v/>
      </c>
      <c r="U24" s="1016" t="str">
        <f ca="1">IF(OR(I24="",T24=""),"",_xll.meLWOSwapPV01(P24,Q24))</f>
        <v/>
      </c>
      <c r="V24" s="685" t="str">
        <f>IF(I24="","",IF(T24="",_xll.meLWOSwapParSpread(P24,Q24),""))</f>
        <v/>
      </c>
      <c r="W24" s="995" t="s">
        <v>12</v>
      </c>
    </row>
    <row r="25" spans="1:23">
      <c r="A25" s="424" t="s">
        <v>12</v>
      </c>
      <c r="B25" s="1136" t="str">
        <f ca="1"/>
        <v>EUR_IRS_AB6</v>
      </c>
      <c r="C25" s="203"/>
      <c r="D25" s="1015" t="str">
        <f ca="1">IF(OR(G25="",I25=""),"",IF(ISNUMBER($G25),$G25,IF(ISERROR(VALUE(LEFT(G25,1))),_xll.meDateFuturesContract($G25),_xll.meDateFromTenor(INDIRECT(LEFT(I25,3)&amp;"_COB"),$G25,INDIRECT(LEFT(I25,3)&amp;"BusinessDayAdjustment"),INDIRECT(LEFT(I25,3)&amp;"AccrualCalendar")))))</f>
        <v/>
      </c>
      <c r="E25" s="1132" t="str">
        <f ca="1">IF(OR(H25="",I25=""),"",IF(ISNUMBER($H25),$H25,IF(ISERROR(VALUE(LEFT(H25,1))),_xll.meDateFuturesContract($H25),_xll.meDateFromTenor($D25,$H25,INDIRECT(LEFT(I25,3)&amp;"BusinessDayAdjustment"),INDIRECT(LEFT(I25,3)&amp;"AccrualCalendar")))))</f>
        <v/>
      </c>
      <c r="F25" s="1129"/>
      <c r="G25" s="1123"/>
      <c r="H25" s="975"/>
      <c r="I25" s="1126"/>
      <c r="J25" s="969"/>
      <c r="K25" s="970"/>
      <c r="L25" s="976"/>
      <c r="M25" s="1143"/>
      <c r="N25" s="1147"/>
      <c r="O25" s="424" t="s">
        <v>12</v>
      </c>
      <c r="P25" s="684" t="str">
        <f>IF(I25="","",_xll.meLWOSwapCreateFromGenerator("Swap",I25,J25,K25,D25,E25,L25,M25,,,N25))</f>
        <v/>
      </c>
      <c r="Q25" s="1020" t="str">
        <f t="shared" si="0"/>
        <v/>
      </c>
      <c r="R25" s="997" t="s">
        <v>12</v>
      </c>
      <c r="S25" s="427" t="str">
        <f>IF(I25="","",_xll.meLWOSwapPV(P25,Q25))</f>
        <v/>
      </c>
      <c r="T25" s="1036" t="str">
        <f ca="1">IF(OR(I25="",LEFT(_xll.meLWOSwapParRate(P25,Q25),1)="["),"",_xll.meLWOSwapParRate(P25,Q25))</f>
        <v/>
      </c>
      <c r="U25" s="1016" t="str">
        <f ca="1">IF(OR(I25="",T25=""),"",_xll.meLWOSwapPV01(P25,Q25))</f>
        <v/>
      </c>
      <c r="V25" s="685" t="str">
        <f>IF(I25="","",IF(T25="",_xll.meLWOSwapParSpread(P25,Q25),""))</f>
        <v/>
      </c>
      <c r="W25" s="995" t="s">
        <v>12</v>
      </c>
    </row>
    <row r="26" spans="1:23">
      <c r="A26" s="424" t="s">
        <v>12</v>
      </c>
      <c r="B26" s="1136" t="str">
        <f ca="1"/>
        <v>EUR_OIS</v>
      </c>
      <c r="C26" s="203"/>
      <c r="D26" s="1015">
        <f ca="1">IF(OR(G26="",I26=""),"",IF(ISNUMBER($G26),$G26,IF(ISERROR(VALUE(LEFT(G26,1))),_xll.meDateFuturesContract($G26),_xll.meDateFromTenor(INDIRECT(LEFT(I26,3)&amp;"_COB"),$G26,INDIRECT(LEFT(I26,3)&amp;"BusinessDayAdjustment"),INDIRECT(LEFT(I26,3)&amp;"AccrualCalendar")))))</f>
        <v>43229</v>
      </c>
      <c r="E26" s="1132">
        <f ca="1">IF(OR(H26="",I26=""),"",IF(ISNUMBER($H26),$H26,IF(ISERROR(VALUE(LEFT(H26,1))),_xll.meDateFuturesContract($H26),_xll.meDateFromTenor($D26,$H26,INDIRECT(LEFT(I26,3)&amp;"BusinessDayAdjustment"),INDIRECT(LEFT(I26,3)&amp;"AccrualCalendar")))))</f>
        <v>43962</v>
      </c>
      <c r="F26" s="1129"/>
      <c r="G26" s="1123" t="s">
        <v>361</v>
      </c>
      <c r="H26" s="975" t="s">
        <v>40</v>
      </c>
      <c r="I26" s="1126" t="s">
        <v>2236</v>
      </c>
      <c r="J26" s="969" t="s">
        <v>1995</v>
      </c>
      <c r="K26" s="970">
        <v>1000000</v>
      </c>
      <c r="L26" s="976">
        <v>0.01</v>
      </c>
      <c r="M26" s="1143">
        <v>0</v>
      </c>
      <c r="N26" s="1147"/>
      <c r="O26" s="424" t="s">
        <v>12</v>
      </c>
      <c r="P26" s="684" t="str">
        <f ca="1">IF(I26="","",_xll.meLWOSwapCreateFromGenerator("Swap",I26,J26,K26,D26,E26,L26,M26,,,N26))</f>
        <v>SWAP@67:0</v>
      </c>
      <c r="Q26" s="1020" t="str">
        <f t="shared" si="0"/>
        <v>GBPYC</v>
      </c>
      <c r="R26" s="997" t="s">
        <v>12</v>
      </c>
      <c r="S26" s="427" t="str">
        <f ca="1">IF(I26="","",_xll.meLWOSwapPV(P26,Q26))</f>
        <v>[2018/05/04 09:52] #Error: Invalid Curve: CurveIndex 'GBP1ML' in collection GBPYC does not exist</v>
      </c>
      <c r="T26" s="1036" t="str">
        <f ca="1">IF(OR(I26="",LEFT(_xll.meLWOSwapParRate(P26,Q26),1)="["),"",_xll.meLWOSwapParRate(P26,Q26))</f>
        <v/>
      </c>
      <c r="U26" s="1016" t="str">
        <f ca="1">IF(OR(I26="",T26=""),"",_xll.meLWOSwapPV01(P26,Q26))</f>
        <v/>
      </c>
      <c r="V26" s="685" t="str">
        <f ca="1">IF(I26="","",IF(T26="",_xll.meLWOSwapParSpread(P26,Q26),""))</f>
        <v>[2018/05/04 09:52] #Error: Invalid Curve: CurveIndex 'GBP1ML' in collection GBPYC does not exist</v>
      </c>
      <c r="W26" s="995" t="s">
        <v>12</v>
      </c>
    </row>
    <row r="27" spans="1:23">
      <c r="A27" s="424" t="s">
        <v>12</v>
      </c>
      <c r="B27" s="1137" t="str">
        <f ca="1"/>
        <v>GBP_12ML</v>
      </c>
      <c r="C27" s="203"/>
      <c r="D27" s="1015" t="str">
        <f ca="1">IF(OR(G27="",I27=""),"",IF(ISNUMBER($G27),$G27,IF(ISERROR(VALUE(LEFT(G27,1))),_xll.meDateFuturesContract($G27),_xll.meDateFromTenor(INDIRECT(LEFT(I27,3)&amp;"_COB"),$G27,INDIRECT(LEFT(I27,3)&amp;"BusinessDayAdjustment"),INDIRECT(LEFT(I27,3)&amp;"AccrualCalendar")))))</f>
        <v/>
      </c>
      <c r="E27" s="1132" t="str">
        <f ca="1">IF(OR(H27="",I27=""),"",IF(ISNUMBER($H27),$H27,IF(ISERROR(VALUE(LEFT(H27,1))),_xll.meDateFuturesContract($H27),_xll.meDateFromTenor($D27,$H27,INDIRECT(LEFT(I27,3)&amp;"BusinessDayAdjustment"),INDIRECT(LEFT(I27,3)&amp;"AccrualCalendar")))))</f>
        <v/>
      </c>
      <c r="F27" s="1129"/>
      <c r="G27" s="1123"/>
      <c r="H27" s="975"/>
      <c r="I27" s="1126"/>
      <c r="J27" s="969"/>
      <c r="K27" s="970"/>
      <c r="L27" s="976"/>
      <c r="M27" s="1143"/>
      <c r="N27" s="1147"/>
      <c r="O27" s="424" t="s">
        <v>12</v>
      </c>
      <c r="P27" s="684" t="str">
        <f>IF(I27="","",_xll.meLWOSwapCreateFromGenerator("Swap",I27,J27,K27,D27,E27,L27,M27,,,N27))</f>
        <v/>
      </c>
      <c r="Q27" s="1020" t="str">
        <f t="shared" si="0"/>
        <v/>
      </c>
      <c r="R27" s="997" t="s">
        <v>12</v>
      </c>
      <c r="S27" s="427" t="str">
        <f>IF(I27="","",_xll.meLWOSwapPV(P27,Q27))</f>
        <v/>
      </c>
      <c r="T27" s="1036" t="str">
        <f ca="1">IF(OR(I27="",LEFT(_xll.meLWOSwapParRate(P27,Q27),1)="["),"",_xll.meLWOSwapParRate(P27,Q27))</f>
        <v/>
      </c>
      <c r="U27" s="1016" t="str">
        <f ca="1">IF(OR(I27="",T27=""),"",_xll.meLWOSwapPV01(P27,Q27))</f>
        <v/>
      </c>
      <c r="V27" s="685" t="str">
        <f>IF(I27="","",IF(T27="",_xll.meLWOSwapParSpread(P27,Q27),""))</f>
        <v/>
      </c>
      <c r="W27" s="995" t="s">
        <v>12</v>
      </c>
    </row>
    <row r="28" spans="1:23">
      <c r="A28" s="424" t="s">
        <v>12</v>
      </c>
      <c r="B28" s="1137" t="str">
        <f ca="1"/>
        <v>GBP_1ML</v>
      </c>
      <c r="C28" s="203"/>
      <c r="D28" s="1015" t="str">
        <f ca="1">IF(OR(G28="",I28=""),"",IF(ISNUMBER($G28),$G28,IF(ISERROR(VALUE(LEFT(G28,1))),_xll.meDateFuturesContract($G28),_xll.meDateFromTenor(INDIRECT(LEFT(I28,3)&amp;"_COB"),$G28,INDIRECT(LEFT(I28,3)&amp;"BusinessDayAdjustment"),INDIRECT(LEFT(I28,3)&amp;"AccrualCalendar")))))</f>
        <v/>
      </c>
      <c r="E28" s="1132" t="str">
        <f ca="1">IF(OR(H28="",I28=""),"",IF(ISNUMBER($H28),$H28,IF(ISERROR(VALUE(LEFT(H28,1))),_xll.meDateFuturesContract($H28),_xll.meDateFromTenor($D28,$H28,INDIRECT(LEFT(I28,3)&amp;"BusinessDayAdjustment"),INDIRECT(LEFT(I28,3)&amp;"AccrualCalendar")))))</f>
        <v/>
      </c>
      <c r="F28" s="1129"/>
      <c r="G28" s="1123"/>
      <c r="H28" s="975"/>
      <c r="I28" s="1126"/>
      <c r="J28" s="969"/>
      <c r="K28" s="970"/>
      <c r="L28" s="976"/>
      <c r="M28" s="1143"/>
      <c r="N28" s="1147"/>
      <c r="O28" s="424" t="s">
        <v>12</v>
      </c>
      <c r="P28" s="684" t="str">
        <f>IF(I28="","",_xll.meLWOSwapCreateFromGenerator("Swap",I28,J28,K28,D28,E28,L28,M28,,,N28))</f>
        <v/>
      </c>
      <c r="Q28" s="1020" t="str">
        <f t="shared" si="0"/>
        <v/>
      </c>
      <c r="R28" s="997" t="s">
        <v>12</v>
      </c>
      <c r="S28" s="427" t="str">
        <f>IF(I28="","",_xll.meLWOSwapPV(P28,Q28))</f>
        <v/>
      </c>
      <c r="T28" s="1036" t="str">
        <f ca="1">IF(OR(I28="",LEFT(_xll.meLWOSwapParRate(P28,Q28),1)="["),"",_xll.meLWOSwapParRate(P28,Q28))</f>
        <v/>
      </c>
      <c r="U28" s="1016" t="str">
        <f ca="1">IF(OR(I28="",T28=""),"",_xll.meLWOSwapPV01(P28,Q28))</f>
        <v/>
      </c>
      <c r="V28" s="685" t="str">
        <f>IF(I28="","",IF(T28="",_xll.meLWOSwapParSpread(P28,Q28),""))</f>
        <v/>
      </c>
      <c r="W28" s="995" t="s">
        <v>12</v>
      </c>
    </row>
    <row r="29" spans="1:23">
      <c r="A29" s="424" t="s">
        <v>12</v>
      </c>
      <c r="B29" s="1137" t="str">
        <f ca="1"/>
        <v>GBP_3ML</v>
      </c>
      <c r="C29" s="203"/>
      <c r="D29" s="1015">
        <f ca="1">IF(OR(G29="",I29=""),"",IF(ISNUMBER($G29),$G29,IF(ISERROR(VALUE(LEFT(G29,1))),_xll.meDateFuturesContract($G29),_xll.meDateFromTenor(INDIRECT(LEFT(I29,3)&amp;"_COB"),$G29,INDIRECT(LEFT(I29,3)&amp;"BusinessDayAdjustment"),INDIRECT(LEFT(I29,3)&amp;"AccrualCalendar")))))</f>
        <v>43229</v>
      </c>
      <c r="E29" s="1132">
        <f ca="1">IF(OR(H29="",I29=""),"",IF(ISNUMBER($H29),$H29,IF(ISERROR(VALUE(LEFT(H29,1))),_xll.meDateFuturesContract($H29),_xll.meDateFromTenor($D29,$H29,INDIRECT(LEFT(I29,3)&amp;"BusinessDayAdjustment"),INDIRECT(LEFT(I29,3)&amp;"AccrualCalendar")))))</f>
        <v>43962</v>
      </c>
      <c r="F29" s="1129"/>
      <c r="G29" s="1123" t="s">
        <v>361</v>
      </c>
      <c r="H29" s="975" t="s">
        <v>40</v>
      </c>
      <c r="I29" s="1126" t="s">
        <v>2229</v>
      </c>
      <c r="J29" s="969" t="s">
        <v>1995</v>
      </c>
      <c r="K29" s="970">
        <v>1000000</v>
      </c>
      <c r="L29" s="976">
        <v>0.01</v>
      </c>
      <c r="M29" s="1143">
        <v>0</v>
      </c>
      <c r="N29" s="1147"/>
      <c r="O29" s="424" t="s">
        <v>12</v>
      </c>
      <c r="P29" s="684" t="str">
        <f ca="1">IF(I29="","",_xll.meLWOSwapCreateFromGenerator("Swap",I29,J29,K29,D29,E29,L29,M29,,,N29))</f>
        <v>SWAP@181:0</v>
      </c>
      <c r="Q29" s="1020" t="str">
        <f t="shared" si="0"/>
        <v>GBPYC</v>
      </c>
      <c r="R29" s="997" t="s">
        <v>12</v>
      </c>
      <c r="S29" s="427" t="str">
        <f ca="1">IF(I29="","",_xll.meLWOSwapPV(P29,Q29))</f>
        <v>[2018/05/04 09:52] #Error: Invalid Curve: CurveIndex 'GBP3ML' in collection GBPYC does not exist</v>
      </c>
      <c r="T29" s="1036" t="str">
        <f ca="1">IF(OR(I29="",LEFT(_xll.meLWOSwapParRate(P29,Q29),1)="["),"",_xll.meLWOSwapParRate(P29,Q29))</f>
        <v/>
      </c>
      <c r="U29" s="1016" t="str">
        <f ca="1">IF(OR(I29="",T29=""),"",_xll.meLWOSwapPV01(P29,Q29))</f>
        <v/>
      </c>
      <c r="V29" s="685">
        <f ca="1">IF(I29="","",IF(T29="",_xll.meLWOSwapParSpread(P29,Q29),""))</f>
        <v>5.6594645321128159</v>
      </c>
      <c r="W29" s="995" t="s">
        <v>12</v>
      </c>
    </row>
    <row r="30" spans="1:23">
      <c r="A30" s="424" t="s">
        <v>12</v>
      </c>
      <c r="B30" s="1137" t="str">
        <f ca="1"/>
        <v>GBP_6ML</v>
      </c>
      <c r="C30" s="203"/>
      <c r="D30" s="1015" t="str">
        <f ca="1">IF(OR(G30="",I30=""),"",IF(ISNUMBER($G30),$G30,IF(ISERROR(VALUE(LEFT(G30,1))),_xll.meDateFuturesContract($G30),_xll.meDateFromTenor(INDIRECT(LEFT(I30,3)&amp;"_COB"),$G30,INDIRECT(LEFT(I30,3)&amp;"BusinessDayAdjustment"),INDIRECT(LEFT(I30,3)&amp;"AccrualCalendar")))))</f>
        <v/>
      </c>
      <c r="E30" s="1132" t="str">
        <f ca="1">IF(OR(H30="",I30=""),"",IF(ISNUMBER($H30),$H30,IF(ISERROR(VALUE(LEFT(H30,1))),_xll.meDateFuturesContract($H30),_xll.meDateFromTenor($D30,$H30,INDIRECT(LEFT(I30,3)&amp;"BusinessDayAdjustment"),INDIRECT(LEFT(I30,3)&amp;"AccrualCalendar")))))</f>
        <v/>
      </c>
      <c r="F30" s="1129"/>
      <c r="G30" s="1123"/>
      <c r="H30" s="975"/>
      <c r="I30" s="1126"/>
      <c r="J30" s="969"/>
      <c r="K30" s="970"/>
      <c r="L30" s="976"/>
      <c r="M30" s="1143"/>
      <c r="N30" s="1147"/>
      <c r="O30" s="424" t="s">
        <v>12</v>
      </c>
      <c r="P30" s="684" t="str">
        <f>IF(I30="","",_xll.meLWOSwapCreateFromGenerator("Swap",I30,J30,K30,D30,E30,L30,M30,,,N30))</f>
        <v/>
      </c>
      <c r="Q30" s="1020" t="str">
        <f t="shared" si="0"/>
        <v/>
      </c>
      <c r="R30" s="997" t="s">
        <v>12</v>
      </c>
      <c r="S30" s="427" t="str">
        <f>IF(I30="","",_xll.meLWOSwapPV(P30,Q30))</f>
        <v/>
      </c>
      <c r="T30" s="1036" t="str">
        <f ca="1">IF(OR(I30="",LEFT(_xll.meLWOSwapParRate(P30,Q30),1)="["),"",_xll.meLWOSwapParRate(P30,Q30))</f>
        <v/>
      </c>
      <c r="U30" s="1016" t="str">
        <f ca="1">IF(OR(I30="",T30=""),"",_xll.meLWOSwapPV01(P30,Q30))</f>
        <v/>
      </c>
      <c r="V30" s="685" t="str">
        <f>IF(I30="","",IF(T30="",_xll.meLWOSwapParSpread(P30,Q30),""))</f>
        <v/>
      </c>
      <c r="W30" s="995" t="s">
        <v>12</v>
      </c>
    </row>
    <row r="31" spans="1:23">
      <c r="A31" s="424" t="s">
        <v>12</v>
      </c>
      <c r="B31" s="1137" t="str">
        <f ca="1"/>
        <v>GBP_BASIS_1X3</v>
      </c>
      <c r="C31" s="203"/>
      <c r="D31" s="1015" t="str">
        <f ca="1">IF(OR(G31="",I31=""),"",IF(ISNUMBER($G31),$G31,IF(ISERROR(VALUE(LEFT(G31,1))),_xll.meDateFuturesContract($G31),_xll.meDateFromTenor(INDIRECT(LEFT(I31,3)&amp;"_COB"),$G31,INDIRECT(LEFT(I31,3)&amp;"BusinessDayAdjustment"),INDIRECT(LEFT(I31,3)&amp;"AccrualCalendar")))))</f>
        <v/>
      </c>
      <c r="E31" s="1132" t="str">
        <f ca="1">IF(OR(H31="",I31=""),"",IF(ISNUMBER($H31),$H31,IF(ISERROR(VALUE(LEFT(H31,1))),_xll.meDateFuturesContract($H31),_xll.meDateFromTenor($D31,$H31,INDIRECT(LEFT(I31,3)&amp;"BusinessDayAdjustment"),INDIRECT(LEFT(I31,3)&amp;"AccrualCalendar")))))</f>
        <v/>
      </c>
      <c r="F31" s="1129"/>
      <c r="G31" s="1123"/>
      <c r="H31" s="975"/>
      <c r="I31" s="1126"/>
      <c r="J31" s="969"/>
      <c r="K31" s="970"/>
      <c r="L31" s="976"/>
      <c r="M31" s="1143"/>
      <c r="N31" s="1147"/>
      <c r="O31" s="424" t="s">
        <v>12</v>
      </c>
      <c r="P31" s="684" t="str">
        <f>IF(I31="","",_xll.meLWOSwapCreateFromGenerator("Swap",I31,J31,K31,D31,E31,L31,M31,,,N31))</f>
        <v/>
      </c>
      <c r="Q31" s="1020" t="str">
        <f t="shared" si="0"/>
        <v/>
      </c>
      <c r="R31" s="997" t="s">
        <v>12</v>
      </c>
      <c r="S31" s="427" t="str">
        <f>IF(I31="","",_xll.meLWOSwapPV(P31,Q31))</f>
        <v/>
      </c>
      <c r="T31" s="1036" t="str">
        <f ca="1">IF(OR(I31="",LEFT(_xll.meLWOSwapParRate(P31,Q31),1)="["),"",_xll.meLWOSwapParRate(P31,Q31))</f>
        <v/>
      </c>
      <c r="U31" s="1016" t="str">
        <f ca="1">IF(OR(I31="",T31=""),"",_xll.meLWOSwapPV01(P31,Q31))</f>
        <v/>
      </c>
      <c r="V31" s="685" t="str">
        <f>IF(I31="","",IF(T31="",_xll.meLWOSwapParSpread(P31,Q31),""))</f>
        <v/>
      </c>
      <c r="W31" s="995" t="s">
        <v>12</v>
      </c>
    </row>
    <row r="32" spans="1:23">
      <c r="A32" s="424" t="s">
        <v>12</v>
      </c>
      <c r="B32" s="1137" t="str">
        <f ca="1"/>
        <v>GBP_BASIS_3X6</v>
      </c>
      <c r="C32" s="203"/>
      <c r="D32" s="1015">
        <f ca="1">IF(OR(G32="",I32=""),"",IF(ISNUMBER($G32),$G32,IF(ISERROR(VALUE(LEFT(G32,1))),_xll.meDateFuturesContract($G32),_xll.meDateFromTenor(INDIRECT(LEFT(I32,3)&amp;"_COB"),$G32,INDIRECT(LEFT(I32,3)&amp;"BusinessDayAdjustment"),INDIRECT(LEFT(I32,3)&amp;"AccrualCalendar")))))</f>
        <v>43230</v>
      </c>
      <c r="E32" s="1132">
        <f ca="1">IF(OR(H32="",I32=""),"",IF(ISNUMBER($H32),$H32,IF(ISERROR(VALUE(LEFT(H32,1))),_xll.meDateFuturesContract($H32),_xll.meDateFromTenor($D32,$H32,INDIRECT(LEFT(I32,3)&amp;"BusinessDayAdjustment"),INDIRECT(LEFT(I32,3)&amp;"AccrualCalendar")))))</f>
        <v>43962</v>
      </c>
      <c r="F32" s="1129"/>
      <c r="G32" s="1123" t="s">
        <v>361</v>
      </c>
      <c r="H32" s="975" t="s">
        <v>40</v>
      </c>
      <c r="I32" s="1126" t="s">
        <v>2188</v>
      </c>
      <c r="J32" s="969" t="s">
        <v>1995</v>
      </c>
      <c r="K32" s="970">
        <v>1000000</v>
      </c>
      <c r="L32" s="980">
        <v>0</v>
      </c>
      <c r="M32" s="1143">
        <v>0</v>
      </c>
      <c r="N32" s="1147"/>
      <c r="O32" s="424" t="s">
        <v>12</v>
      </c>
      <c r="P32" s="684" t="str">
        <f ca="1">IF(I32="","",_xll.meLWOSwapCreateFromGenerator("Swap",I32,J32,K32,D32,E32,L32,M32,,,N32))</f>
        <v>SWAP@170:0</v>
      </c>
      <c r="Q32" s="1020" t="str">
        <f t="shared" si="0"/>
        <v>EURYC</v>
      </c>
      <c r="R32" s="997" t="s">
        <v>12</v>
      </c>
      <c r="S32" s="427" t="str">
        <f ca="1">IF(I32="","",_xll.meLWOSwapPV(P32,Q32))</f>
        <v>[2018/05/04 09:52] #Error: Invalid Curve: CurveCollection 'EURYC' does not exist</v>
      </c>
      <c r="T32" s="1036" t="str">
        <f ca="1">IF(OR(I32="",LEFT(_xll.meLWOSwapParRate(P32,Q32),1)="["),"",_xll.meLWOSwapParRate(P32,Q32))</f>
        <v/>
      </c>
      <c r="U32" s="1016" t="str">
        <f ca="1">IF(OR(I32="",T32=""),"",_xll.meLWOSwapPV01(P32,Q32))</f>
        <v/>
      </c>
      <c r="V32" s="685" t="str">
        <f ca="1">IF(I32="","",IF(T32="",_xll.meLWOSwapParSpread(P32,Q32),""))</f>
        <v>[2018/05/04 09:52] #Error: Invalid Curve: CurveCollection 'EURYC' does not exist</v>
      </c>
      <c r="W32" s="995" t="s">
        <v>12</v>
      </c>
    </row>
    <row r="33" spans="1:23">
      <c r="A33" s="424" t="s">
        <v>12</v>
      </c>
      <c r="B33" s="1137" t="str">
        <f ca="1"/>
        <v>GBP_BASIS_6X12</v>
      </c>
      <c r="C33" s="203"/>
      <c r="D33" s="1015" t="str">
        <f ca="1">IF(OR(G33="",I33=""),"",IF(ISNUMBER($G33),$G33,IF(ISERROR(VALUE(LEFT(G33,1))),_xll.meDateFuturesContract($G33),_xll.meDateFromTenor(INDIRECT(LEFT(I33,3)&amp;"_COB"),$G33,INDIRECT(LEFT(I33,3)&amp;"BusinessDayAdjustment"),INDIRECT(LEFT(I33,3)&amp;"AccrualCalendar")))))</f>
        <v/>
      </c>
      <c r="E33" s="1132" t="str">
        <f ca="1">IF(OR(H33="",I33=""),"",IF(ISNUMBER($H33),$H33,IF(ISERROR(VALUE(LEFT(H33,1))),_xll.meDateFuturesContract($H33),_xll.meDateFromTenor($D33,$H33,INDIRECT(LEFT(I33,3)&amp;"BusinessDayAdjustment"),INDIRECT(LEFT(I33,3)&amp;"AccrualCalendar")))))</f>
        <v/>
      </c>
      <c r="F33" s="1129"/>
      <c r="G33" s="1123"/>
      <c r="H33" s="975"/>
      <c r="I33" s="1126"/>
      <c r="J33" s="969"/>
      <c r="K33" s="970"/>
      <c r="L33" s="980"/>
      <c r="M33" s="1143"/>
      <c r="N33" s="1147"/>
      <c r="O33" s="424" t="s">
        <v>12</v>
      </c>
      <c r="P33" s="684" t="str">
        <f>IF(I33="","",_xll.meLWOSwapCreateFromGenerator("Swap",I33,J33,K33,D33,E33,L33,M33,,,N33))</f>
        <v/>
      </c>
      <c r="Q33" s="1020" t="str">
        <f t="shared" si="0"/>
        <v/>
      </c>
      <c r="R33" s="997" t="s">
        <v>12</v>
      </c>
      <c r="S33" s="427" t="str">
        <f>IF(I33="","",_xll.meLWOSwapPV(P33,Q33))</f>
        <v/>
      </c>
      <c r="T33" s="1036" t="str">
        <f ca="1">IF(OR(I33="",LEFT(_xll.meLWOSwapParRate(P33,Q33),1)="["),"",_xll.meLWOSwapParRate(P33,Q33))</f>
        <v/>
      </c>
      <c r="U33" s="1016" t="str">
        <f ca="1">IF(OR(I33="",T33=""),"",_xll.meLWOSwapPV01(P33,Q33))</f>
        <v/>
      </c>
      <c r="V33" s="685" t="str">
        <f>IF(I33="","",IF(T33="",_xll.meLWOSwapParSpread(P33,Q33),""))</f>
        <v/>
      </c>
      <c r="W33" s="995" t="s">
        <v>12</v>
      </c>
    </row>
    <row r="34" spans="1:23">
      <c r="A34" s="424" t="s">
        <v>12</v>
      </c>
      <c r="B34" s="1137" t="str">
        <f ca="1"/>
        <v>GBP_BASIS_LIBOROIS</v>
      </c>
      <c r="C34" s="203"/>
      <c r="D34" s="1015" t="str">
        <f ca="1">IF(OR(G34="",I34=""),"",IF(ISNUMBER($G34),$G34,IF(ISERROR(VALUE(LEFT(G34,1))),_xll.meDateFuturesContract($G34),_xll.meDateFromTenor(INDIRECT(LEFT(I34,3)&amp;"_COB"),$G34,INDIRECT(LEFT(I34,3)&amp;"BusinessDayAdjustment"),INDIRECT(LEFT(I34,3)&amp;"AccrualCalendar")))))</f>
        <v/>
      </c>
      <c r="E34" s="1132" t="str">
        <f ca="1">IF(OR(H34="",I34=""),"",IF(ISNUMBER($H34),$H34,IF(ISERROR(VALUE(LEFT(H34,1))),_xll.meDateFuturesContract($H34),_xll.meDateFromTenor($D34,$H34,INDIRECT(LEFT(I34,3)&amp;"BusinessDayAdjustment"),INDIRECT(LEFT(I34,3)&amp;"AccrualCalendar")))))</f>
        <v/>
      </c>
      <c r="F34" s="1139"/>
      <c r="G34" s="1123"/>
      <c r="H34" s="975"/>
      <c r="I34" s="1126"/>
      <c r="J34" s="969"/>
      <c r="K34" s="970"/>
      <c r="L34" s="976"/>
      <c r="M34" s="1143"/>
      <c r="N34" s="1147"/>
      <c r="O34" s="937" t="s">
        <v>12</v>
      </c>
      <c r="P34" s="684" t="str">
        <f>IF(I34="","",_xll.meLWOSwapCreateFromGenerator("Swap",I34,J34,K34,D34,E34,L34,M34,,,N34))</f>
        <v/>
      </c>
      <c r="Q34" s="1020" t="str">
        <f t="shared" si="0"/>
        <v/>
      </c>
      <c r="R34" s="937" t="s">
        <v>12</v>
      </c>
      <c r="S34" s="427" t="str">
        <f>IF(I34="","",_xll.meLWOSwapPV(P34,Q34))</f>
        <v/>
      </c>
      <c r="T34" s="1036" t="str">
        <f ca="1">IF(OR(I34="",LEFT(_xll.meLWOSwapParRate(P34,Q34),1)="["),"",_xll.meLWOSwapParRate(P34,Q34))</f>
        <v/>
      </c>
      <c r="U34" s="1016" t="str">
        <f ca="1">IF(OR(I34="",T34=""),"",_xll.meLWOSwapPV01(P34,Q34))</f>
        <v/>
      </c>
      <c r="V34" s="685" t="str">
        <f>IF(I34="","",IF(T34="",_xll.meLWOSwapParSpread(P34,Q34),""))</f>
        <v/>
      </c>
      <c r="W34" s="995" t="s">
        <v>12</v>
      </c>
    </row>
    <row r="35" spans="1:23">
      <c r="A35" s="424" t="s">
        <v>12</v>
      </c>
      <c r="B35" s="1136" t="str">
        <f ca="1"/>
        <v>GBP_OIS</v>
      </c>
      <c r="C35" s="424" t="s">
        <v>12</v>
      </c>
      <c r="D35" s="1015" t="str">
        <f ca="1">IF(OR(G35="",I35=""),"",IF(ISNUMBER($G35),$G35,IF(ISERROR(VALUE(LEFT(G35,1))),_xll.meDateFuturesContract($G35),_xll.meDateFromTenor(INDIRECT(LEFT(I35,3)&amp;"_COB"),$G35,INDIRECT(LEFT(I35,3)&amp;"BusinessDayAdjustment"),INDIRECT(LEFT(I35,3)&amp;"AccrualCalendar")))))</f>
        <v/>
      </c>
      <c r="E35" s="1132" t="str">
        <f ca="1">IF(OR(H35="",I35=""),"",IF(ISNUMBER($H35),$H35,IF(ISERROR(VALUE(LEFT(H35,1))),_xll.meDateFuturesContract($H35),_xll.meDateFromTenor($D35,$H35,INDIRECT(LEFT(I35,3)&amp;"BusinessDayAdjustment"),INDIRECT(LEFT(I35,3)&amp;"AccrualCalendar")))))</f>
        <v/>
      </c>
      <c r="F35" s="1139"/>
      <c r="G35" s="1123"/>
      <c r="H35" s="975"/>
      <c r="I35" s="1126"/>
      <c r="J35" s="969"/>
      <c r="K35" s="970"/>
      <c r="L35" s="976"/>
      <c r="M35" s="1143"/>
      <c r="N35" s="1147"/>
      <c r="O35" s="937" t="s">
        <v>12</v>
      </c>
      <c r="P35" s="684" t="str">
        <f>IF(I35="","",_xll.meLWOSwapCreateFromGenerator("Swap",I35,J35,K35,D35,E35,L35,M35,,,N35))</f>
        <v/>
      </c>
      <c r="Q35" s="1020" t="str">
        <f t="shared" si="0"/>
        <v/>
      </c>
      <c r="R35" s="937" t="s">
        <v>12</v>
      </c>
      <c r="S35" s="427" t="str">
        <f>IF(I35="","",_xll.meLWOSwapPV(P35,Q35))</f>
        <v/>
      </c>
      <c r="T35" s="1036" t="str">
        <f ca="1">IF(OR(I35="",LEFT(_xll.meLWOSwapParRate(P35,Q35),1)="["),"",_xll.meLWOSwapParRate(P35,Q35))</f>
        <v/>
      </c>
      <c r="U35" s="1016" t="str">
        <f ca="1">IF(OR(I35="",T35=""),"",_xll.meLWOSwapPV01(P35,Q35))</f>
        <v/>
      </c>
      <c r="V35" s="685" t="str">
        <f>IF(I35="","",IF(T35="",_xll.meLWOSwapParSpread(P35,Q35),""))</f>
        <v/>
      </c>
      <c r="W35" s="995" t="s">
        <v>12</v>
      </c>
    </row>
    <row r="36" spans="1:23">
      <c r="B36" s="1137" t="str">
        <f ca="1"/>
        <v>JPY_1ML</v>
      </c>
      <c r="D36" s="1015" t="str">
        <f ca="1">IF(OR(G36="",I36=""),"",IF(ISNUMBER($G36),$G36,IF(ISERROR(VALUE(LEFT(G36,1))),_xll.meDateFuturesContract($G36),_xll.meDateFromTenor(INDIRECT(LEFT(I36,3)&amp;"_COB"),$G36,INDIRECT(LEFT(I36,3)&amp;"BusinessDayAdjustment"),INDIRECT(LEFT(I36,3)&amp;"AccrualCalendar")))))</f>
        <v/>
      </c>
      <c r="E36" s="1132" t="str">
        <f ca="1">IF(OR(H36="",I36=""),"",IF(ISNUMBER($H36),$H36,IF(ISERROR(VALUE(LEFT(H36,1))),_xll.meDateFuturesContract($H36),_xll.meDateFromTenor($D36,$H36,INDIRECT(LEFT(I36,3)&amp;"BusinessDayAdjustment"),INDIRECT(LEFT(I36,3)&amp;"AccrualCalendar")))))</f>
        <v/>
      </c>
      <c r="F36" s="1139"/>
      <c r="G36" s="1123"/>
      <c r="H36" s="975"/>
      <c r="I36" s="1126"/>
      <c r="J36" s="969"/>
      <c r="K36" s="970"/>
      <c r="L36" s="976"/>
      <c r="M36" s="1143"/>
      <c r="N36" s="1147"/>
      <c r="O36" s="937" t="s">
        <v>12</v>
      </c>
      <c r="P36" s="684" t="str">
        <f>IF(I36="","",_xll.meLWOSwapCreateFromGenerator("Swap",I36,J36,K36,D36,E36,L36,M36,,,N36))</f>
        <v/>
      </c>
      <c r="Q36" s="1020" t="str">
        <f t="shared" si="0"/>
        <v/>
      </c>
      <c r="R36" s="937" t="s">
        <v>12</v>
      </c>
      <c r="S36" s="427" t="str">
        <f>IF(I36="","",_xll.meLWOSwapPV(P36,Q36))</f>
        <v/>
      </c>
      <c r="T36" s="1036" t="str">
        <f ca="1">IF(OR(I36="",LEFT(_xll.meLWOSwapParRate(P36,Q36),1)="["),"",_xll.meLWOSwapParRate(P36,Q36))</f>
        <v/>
      </c>
      <c r="U36" s="1016" t="str">
        <f ca="1">IF(OR(I36="",T36=""),"",_xll.meLWOSwapPV01(P36,Q36))</f>
        <v/>
      </c>
      <c r="V36" s="685" t="str">
        <f>IF(I36="","",IF(T36="",_xll.meLWOSwapParSpread(P36,Q36),""))</f>
        <v/>
      </c>
      <c r="W36" s="995" t="s">
        <v>12</v>
      </c>
    </row>
    <row r="37" spans="1:23">
      <c r="B37" s="1137" t="str">
        <f ca="1"/>
        <v>JPY_1ML_IMM_JSCC</v>
      </c>
      <c r="D37" s="1015" t="str">
        <f ca="1">IF(OR(G37="",I37=""),"",IF(ISNUMBER($G37),$G37,IF(ISERROR(VALUE(LEFT(G37,1))),_xll.meDateFuturesContract($G37),_xll.meDateFromTenor(INDIRECT(LEFT(I37,3)&amp;"_COB"),$G37,INDIRECT(LEFT(I37,3)&amp;"BusinessDayAdjustment"),INDIRECT(LEFT(I37,3)&amp;"AccrualCalendar")))))</f>
        <v/>
      </c>
      <c r="E37" s="1132" t="str">
        <f ca="1">IF(OR(H37="",I37=""),"",IF(ISNUMBER($H37),$H37,IF(ISERROR(VALUE(LEFT(H37,1))),_xll.meDateFuturesContract($H37),_xll.meDateFromTenor($D37,$H37,INDIRECT(LEFT(I37,3)&amp;"BusinessDayAdjustment"),INDIRECT(LEFT(I37,3)&amp;"AccrualCalendar")))))</f>
        <v/>
      </c>
      <c r="F37" s="1139"/>
      <c r="G37" s="1123"/>
      <c r="H37" s="975"/>
      <c r="I37" s="1126"/>
      <c r="J37" s="969"/>
      <c r="K37" s="970"/>
      <c r="L37" s="976"/>
      <c r="M37" s="1143"/>
      <c r="N37" s="1147"/>
      <c r="O37" s="937" t="s">
        <v>12</v>
      </c>
      <c r="P37" s="684" t="str">
        <f>IF(I37="","",_xll.meLWOSwapCreateFromGenerator("Swap",I37,J37,K37,D37,E37,L37,M37,,,N37))</f>
        <v/>
      </c>
      <c r="Q37" s="1020" t="str">
        <f t="shared" si="0"/>
        <v/>
      </c>
      <c r="R37" s="937" t="s">
        <v>12</v>
      </c>
      <c r="S37" s="427" t="str">
        <f>IF(I37="","",_xll.meLWOSwapPV(P37,Q37))</f>
        <v/>
      </c>
      <c r="T37" s="1036" t="str">
        <f ca="1">IF(OR(I37="",LEFT(_xll.meLWOSwapParRate(P37,Q37),1)="["),"",_xll.meLWOSwapParRate(P37,Q37))</f>
        <v/>
      </c>
      <c r="U37" s="1016" t="str">
        <f ca="1">IF(OR(I37="",T37=""),"",_xll.meLWOSwapPV01(P37,Q37))</f>
        <v/>
      </c>
      <c r="V37" s="685" t="str">
        <f>IF(I37="","",IF(T37="",_xll.meLWOSwapParSpread(P37,Q37),""))</f>
        <v/>
      </c>
      <c r="W37" s="995" t="s">
        <v>12</v>
      </c>
    </row>
    <row r="38" spans="1:23">
      <c r="B38" s="1137" t="str">
        <f ca="1"/>
        <v>JPY_1ML_IMM_LCH</v>
      </c>
      <c r="D38" s="1015" t="str">
        <f ca="1">IF(OR(G38="",I38=""),"",IF(ISNUMBER($G38),$G38,IF(ISERROR(VALUE(LEFT(G38,1))),_xll.meDateFuturesContract($G38),_xll.meDateFromTenor(INDIRECT(LEFT(I38,3)&amp;"_COB"),$G38,INDIRECT(LEFT(I38,3)&amp;"BusinessDayAdjustment"),INDIRECT(LEFT(I38,3)&amp;"AccrualCalendar")))))</f>
        <v/>
      </c>
      <c r="E38" s="1132" t="str">
        <f ca="1">IF(OR(H38="",I38=""),"",IF(ISNUMBER($H38),$H38,IF(ISERROR(VALUE(LEFT(H38,1))),_xll.meDateFuturesContract($H38),_xll.meDateFromTenor($D38,$H38,INDIRECT(LEFT(I38,3)&amp;"BusinessDayAdjustment"),INDIRECT(LEFT(I38,3)&amp;"AccrualCalendar")))))</f>
        <v/>
      </c>
      <c r="F38" s="1139"/>
      <c r="G38" s="1123"/>
      <c r="H38" s="975"/>
      <c r="I38" s="1126"/>
      <c r="J38" s="969"/>
      <c r="K38" s="970"/>
      <c r="L38" s="976"/>
      <c r="M38" s="1143"/>
      <c r="N38" s="1147"/>
      <c r="O38" s="937" t="s">
        <v>12</v>
      </c>
      <c r="P38" s="684" t="str">
        <f>IF(I38="","",_xll.meLWOSwapCreateFromGenerator("Swap",I38,J38,K38,D38,E38,L38,M38,,,N38))</f>
        <v/>
      </c>
      <c r="Q38" s="1020" t="str">
        <f t="shared" si="0"/>
        <v/>
      </c>
      <c r="R38" s="937" t="s">
        <v>12</v>
      </c>
      <c r="S38" s="427" t="str">
        <f>IF(I38="","",_xll.meLWOSwapPV(P38,Q38))</f>
        <v/>
      </c>
      <c r="T38" s="1036" t="str">
        <f ca="1">IF(OR(I38="",LEFT(_xll.meLWOSwapParRate(P38,Q38),1)="["),"",_xll.meLWOSwapParRate(P38,Q38))</f>
        <v/>
      </c>
      <c r="U38" s="1016" t="str">
        <f ca="1">IF(OR(I38="",T38=""),"",_xll.meLWOSwapPV01(P38,Q38))</f>
        <v/>
      </c>
      <c r="V38" s="685" t="str">
        <f>IF(I38="","",IF(T38="",_xll.meLWOSwapParSpread(P38,Q38),""))</f>
        <v/>
      </c>
      <c r="W38" s="995" t="s">
        <v>12</v>
      </c>
    </row>
    <row r="39" spans="1:23">
      <c r="B39" s="1137" t="str">
        <f ca="1"/>
        <v>JPY_1ML_IMM_TIBOR</v>
      </c>
      <c r="D39" s="1015" t="str">
        <f ca="1">IF(OR(G39="",I39=""),"",IF(ISNUMBER($G39),$G39,IF(ISERROR(VALUE(LEFT(G39,1))),_xll.meDateFuturesContract($G39),_xll.meDateFromTenor(INDIRECT(LEFT(I39,3)&amp;"_COB"),$G39,INDIRECT(LEFT(I39,3)&amp;"BusinessDayAdjustment"),INDIRECT(LEFT(I39,3)&amp;"AccrualCalendar")))))</f>
        <v/>
      </c>
      <c r="E39" s="1132" t="str">
        <f ca="1">IF(OR(H39="",I39=""),"",IF(ISNUMBER($H39),$H39,IF(ISERROR(VALUE(LEFT(H39,1))),_xll.meDateFuturesContract($H39),_xll.meDateFromTenor($D39,$H39,INDIRECT(LEFT(I39,3)&amp;"BusinessDayAdjustment"),INDIRECT(LEFT(I39,3)&amp;"AccrualCalendar")))))</f>
        <v/>
      </c>
      <c r="F39" s="1139"/>
      <c r="G39" s="1123"/>
      <c r="H39" s="975"/>
      <c r="I39" s="1126"/>
      <c r="J39" s="969"/>
      <c r="K39" s="970"/>
      <c r="L39" s="976"/>
      <c r="M39" s="1143"/>
      <c r="N39" s="1147"/>
      <c r="O39" s="937" t="s">
        <v>12</v>
      </c>
      <c r="P39" s="684" t="str">
        <f>IF(I39="","",_xll.meLWOSwapCreateFromGenerator("Swap",I39,J39,K39,D39,E39,L39,M39,,,N39))</f>
        <v/>
      </c>
      <c r="Q39" s="1020" t="str">
        <f t="shared" si="0"/>
        <v/>
      </c>
      <c r="R39" s="937" t="s">
        <v>12</v>
      </c>
      <c r="S39" s="427" t="str">
        <f>IF(I39="","",_xll.meLWOSwapPV(P39,Q39))</f>
        <v/>
      </c>
      <c r="T39" s="1036" t="str">
        <f ca="1">IF(OR(I39="",LEFT(_xll.meLWOSwapParRate(P39,Q39),1)="["),"",_xll.meLWOSwapParRate(P39,Q39))</f>
        <v/>
      </c>
      <c r="U39" s="1016" t="str">
        <f ca="1">IF(OR(I39="",T39=""),"",_xll.meLWOSwapPV01(P39,Q39))</f>
        <v/>
      </c>
      <c r="V39" s="685" t="str">
        <f>IF(I39="","",IF(T39="",_xll.meLWOSwapParSpread(P39,Q39),""))</f>
        <v/>
      </c>
      <c r="W39" s="995" t="s">
        <v>12</v>
      </c>
    </row>
    <row r="40" spans="1:23">
      <c r="B40" s="1137" t="str">
        <f ca="1"/>
        <v>JPY_1ML_JSCC</v>
      </c>
      <c r="D40" s="1015" t="str">
        <f ca="1">IF(OR(G40="",I40=""),"",IF(ISNUMBER($G40),$G40,IF(ISERROR(VALUE(LEFT(G40,1))),_xll.meDateFuturesContract($G40),_xll.meDateFromTenor(INDIRECT(LEFT(I40,3)&amp;"_COB"),$G40,INDIRECT(LEFT(I40,3)&amp;"BusinessDayAdjustment"),INDIRECT(LEFT(I40,3)&amp;"AccrualCalendar")))))</f>
        <v/>
      </c>
      <c r="E40" s="1132" t="str">
        <f ca="1">IF(OR(H40="",I40=""),"",IF(ISNUMBER($H40),$H40,IF(ISERROR(VALUE(LEFT(H40,1))),_xll.meDateFuturesContract($H40),_xll.meDateFromTenor($D40,$H40,INDIRECT(LEFT(I40,3)&amp;"BusinessDayAdjustment"),INDIRECT(LEFT(I40,3)&amp;"AccrualCalendar")))))</f>
        <v/>
      </c>
      <c r="F40" s="1139"/>
      <c r="G40" s="1123"/>
      <c r="H40" s="975"/>
      <c r="I40" s="1126"/>
      <c r="J40" s="969"/>
      <c r="K40" s="970"/>
      <c r="L40" s="976"/>
      <c r="M40" s="1143"/>
      <c r="N40" s="1147"/>
      <c r="O40" s="937" t="s">
        <v>12</v>
      </c>
      <c r="P40" s="684" t="str">
        <f>IF(I40="","",_xll.meLWOSwapCreateFromGenerator("Swap",I40,J40,K40,D40,E40,L40,M40,,,N40))</f>
        <v/>
      </c>
      <c r="Q40" s="1020" t="str">
        <f t="shared" si="0"/>
        <v/>
      </c>
      <c r="R40" s="937" t="s">
        <v>12</v>
      </c>
      <c r="S40" s="427" t="str">
        <f>IF(I40="","",_xll.meLWOSwapPV(P40,Q40))</f>
        <v/>
      </c>
      <c r="T40" s="1036" t="str">
        <f ca="1">IF(OR(I40="",LEFT(_xll.meLWOSwapParRate(P40,Q40),1)="["),"",_xll.meLWOSwapParRate(P40,Q40))</f>
        <v/>
      </c>
      <c r="U40" s="1016" t="str">
        <f ca="1">IF(OR(I40="",T40=""),"",_xll.meLWOSwapPV01(P40,Q40))</f>
        <v/>
      </c>
      <c r="V40" s="685" t="str">
        <f>IF(I40="","",IF(T40="",_xll.meLWOSwapParSpread(P40,Q40),""))</f>
        <v/>
      </c>
      <c r="W40" s="995" t="s">
        <v>12</v>
      </c>
    </row>
    <row r="41" spans="1:23">
      <c r="B41" s="1137" t="str">
        <f ca="1"/>
        <v>JPY_1ML_LCH</v>
      </c>
      <c r="D41" s="1015" t="str">
        <f ca="1">IF(OR(G41="",I41=""),"",IF(ISNUMBER($G41),$G41,IF(ISERROR(VALUE(LEFT(G41,1))),_xll.meDateFuturesContract($G41),_xll.meDateFromTenor(INDIRECT(LEFT(I41,3)&amp;"_COB"),$G41,INDIRECT(LEFT(I41,3)&amp;"BusinessDayAdjustment"),INDIRECT(LEFT(I41,3)&amp;"AccrualCalendar")))))</f>
        <v/>
      </c>
      <c r="E41" s="1132" t="str">
        <f ca="1">IF(OR(H41="",I41=""),"",IF(ISNUMBER($H41),$H41,IF(ISERROR(VALUE(LEFT(H41,1))),_xll.meDateFuturesContract($H41),_xll.meDateFromTenor($D41,$H41,INDIRECT(LEFT(I41,3)&amp;"BusinessDayAdjustment"),INDIRECT(LEFT(I41,3)&amp;"AccrualCalendar")))))</f>
        <v/>
      </c>
      <c r="F41" s="1139"/>
      <c r="G41" s="1123"/>
      <c r="H41" s="975"/>
      <c r="I41" s="1126"/>
      <c r="J41" s="969"/>
      <c r="K41" s="970"/>
      <c r="L41" s="976"/>
      <c r="M41" s="1143"/>
      <c r="N41" s="1147"/>
      <c r="O41" s="937" t="s">
        <v>12</v>
      </c>
      <c r="P41" s="684" t="str">
        <f>IF(I41="","",_xll.meLWOSwapCreateFromGenerator("Swap",I41,J41,K41,D41,E41,L41,M41,,,N41))</f>
        <v/>
      </c>
      <c r="Q41" s="1020" t="str">
        <f t="shared" si="0"/>
        <v/>
      </c>
      <c r="R41" s="937" t="s">
        <v>12</v>
      </c>
      <c r="S41" s="427" t="str">
        <f>IF(I41="","",_xll.meLWOSwapPV(P41,Q41))</f>
        <v/>
      </c>
      <c r="T41" s="1036" t="str">
        <f ca="1">IF(OR(I41="",LEFT(_xll.meLWOSwapParRate(P41,Q41),1)="["),"",_xll.meLWOSwapParRate(P41,Q41))</f>
        <v/>
      </c>
      <c r="U41" s="1016" t="str">
        <f ca="1">IF(OR(I41="",T41=""),"",_xll.meLWOSwapPV01(P41,Q41))</f>
        <v/>
      </c>
      <c r="V41" s="685" t="str">
        <f>IF(I41="","",IF(T41="",_xll.meLWOSwapParSpread(P41,Q41),""))</f>
        <v/>
      </c>
      <c r="W41" s="995" t="s">
        <v>12</v>
      </c>
    </row>
    <row r="42" spans="1:23">
      <c r="B42" s="1137" t="str">
        <f ca="1"/>
        <v>JPY_1ML_TIBOR</v>
      </c>
      <c r="D42" s="1015" t="str">
        <f ca="1">IF(OR(G42="",I42=""),"",IF(ISNUMBER($G42),$G42,IF(ISERROR(VALUE(LEFT(G42,1))),_xll.meDateFuturesContract($G42),_xll.meDateFromTenor(INDIRECT(LEFT(I42,3)&amp;"_COB"),$G42,INDIRECT(LEFT(I42,3)&amp;"BusinessDayAdjustment"),INDIRECT(LEFT(I42,3)&amp;"AccrualCalendar")))))</f>
        <v/>
      </c>
      <c r="E42" s="1132" t="str">
        <f ca="1">IF(OR(H42="",I42=""),"",IF(ISNUMBER($H42),$H42,IF(ISERROR(VALUE(LEFT(H42,1))),_xll.meDateFuturesContract($H42),_xll.meDateFromTenor($D42,$H42,INDIRECT(LEFT(I42,3)&amp;"BusinessDayAdjustment"),INDIRECT(LEFT(I42,3)&amp;"AccrualCalendar")))))</f>
        <v/>
      </c>
      <c r="F42" s="1139"/>
      <c r="G42" s="1123"/>
      <c r="H42" s="975"/>
      <c r="I42" s="1126"/>
      <c r="J42" s="969"/>
      <c r="K42" s="970"/>
      <c r="L42" s="976"/>
      <c r="M42" s="1143"/>
      <c r="N42" s="1147"/>
      <c r="O42" s="937" t="s">
        <v>12</v>
      </c>
      <c r="P42" s="684" t="str">
        <f>IF(I42="","",_xll.meLWOSwapCreateFromGenerator("Swap",I42,J42,K42,D42,E42,L42,M42,,,N42))</f>
        <v/>
      </c>
      <c r="Q42" s="1020" t="str">
        <f t="shared" si="0"/>
        <v/>
      </c>
      <c r="R42" s="937" t="s">
        <v>12</v>
      </c>
      <c r="S42" s="427" t="str">
        <f>IF(I42="","",_xll.meLWOSwapPV(P42,Q42))</f>
        <v/>
      </c>
      <c r="T42" s="1036" t="str">
        <f ca="1">IF(OR(I42="",LEFT(_xll.meLWOSwapParRate(P42,Q42),1)="["),"",_xll.meLWOSwapParRate(P42,Q42))</f>
        <v/>
      </c>
      <c r="U42" s="1016" t="str">
        <f ca="1">IF(OR(I42="",T42=""),"",_xll.meLWOSwapPV01(P42,Q42))</f>
        <v/>
      </c>
      <c r="V42" s="685" t="str">
        <f>IF(I42="","",IF(T42="",_xll.meLWOSwapParSpread(P42,Q42),""))</f>
        <v/>
      </c>
      <c r="W42" s="995" t="s">
        <v>12</v>
      </c>
    </row>
    <row r="43" spans="1:23">
      <c r="B43" s="1137" t="str">
        <f ca="1"/>
        <v>JPY_3ML</v>
      </c>
      <c r="D43" s="1015" t="str">
        <f ca="1">IF(OR(G43="",I43=""),"",IF(ISNUMBER($G43),$G43,IF(ISERROR(VALUE(LEFT(G43,1))),_xll.meDateFuturesContract($G43),_xll.meDateFromTenor(INDIRECT(LEFT(I43,3)&amp;"_COB"),$G43,INDIRECT(LEFT(I43,3)&amp;"BusinessDayAdjustment"),INDIRECT(LEFT(I43,3)&amp;"AccrualCalendar")))))</f>
        <v/>
      </c>
      <c r="E43" s="1132" t="str">
        <f ca="1">IF(OR(H43="",I43=""),"",IF(ISNUMBER($H43),$H43,IF(ISERROR(VALUE(LEFT(H43,1))),_xll.meDateFuturesContract($H43),_xll.meDateFromTenor($D43,$H43,INDIRECT(LEFT(I43,3)&amp;"BusinessDayAdjustment"),INDIRECT(LEFT(I43,3)&amp;"AccrualCalendar")))))</f>
        <v/>
      </c>
      <c r="F43" s="1139"/>
      <c r="G43" s="1123"/>
      <c r="H43" s="975"/>
      <c r="I43" s="1126"/>
      <c r="J43" s="969"/>
      <c r="K43" s="970"/>
      <c r="L43" s="976"/>
      <c r="M43" s="1143"/>
      <c r="N43" s="1147"/>
      <c r="O43" s="937" t="s">
        <v>12</v>
      </c>
      <c r="P43" s="684" t="str">
        <f>IF(I43="","",_xll.meLWOSwapCreateFromGenerator("Swap",I43,J43,K43,D43,E43,L43,M43,,,N43))</f>
        <v/>
      </c>
      <c r="Q43" s="1020" t="str">
        <f t="shared" si="0"/>
        <v/>
      </c>
      <c r="R43" s="937" t="s">
        <v>12</v>
      </c>
      <c r="S43" s="427" t="str">
        <f>IF(I43="","",_xll.meLWOSwapPV(P43,Q43))</f>
        <v/>
      </c>
      <c r="T43" s="1036" t="str">
        <f ca="1">IF(OR(I43="",LEFT(_xll.meLWOSwapParRate(P43,Q43),1)="["),"",_xll.meLWOSwapParRate(P43,Q43))</f>
        <v/>
      </c>
      <c r="U43" s="1016" t="str">
        <f ca="1">IF(OR(I43="",T43=""),"",_xll.meLWOSwapPV01(P43,Q43))</f>
        <v/>
      </c>
      <c r="V43" s="685" t="str">
        <f>IF(I43="","",IF(T43="",_xll.meLWOSwapParSpread(P43,Q43),""))</f>
        <v/>
      </c>
      <c r="W43" s="995" t="s">
        <v>12</v>
      </c>
    </row>
    <row r="44" spans="1:23">
      <c r="B44" s="1138" t="str">
        <f ca="1"/>
        <v>JPY_3ML_IMM_JSCC</v>
      </c>
      <c r="D44" s="1021" t="str">
        <f ca="1">IF(OR(G44="",I44=""),"",IF(ISNUMBER($G44),$G44,IF(ISERROR(VALUE(LEFT(G44,1))),_xll.meDateFuturesContract($G44),_xll.meDateFromTenor(INDIRECT(LEFT(I44,3)&amp;"_COB"),$G44,INDIRECT(LEFT(I44,3)&amp;"BusinessDayAdjustment"),INDIRECT(LEFT(I44,3)&amp;"AccrualCalendar")))))</f>
        <v/>
      </c>
      <c r="E44" s="1133" t="str">
        <f ca="1">IF(OR(H44="",I44=""),"",IF(ISNUMBER($H44),$H44,IF(ISERROR(VALUE(LEFT(H44,1))),_xll.meDateFuturesContract($H44),_xll.meDateFromTenor($D44,$H44,INDIRECT(LEFT(I44,3)&amp;"BusinessDayAdjustment"),INDIRECT(LEFT(I44,3)&amp;"AccrualCalendar")))))</f>
        <v/>
      </c>
      <c r="F44" s="1139"/>
      <c r="G44" s="1124"/>
      <c r="H44" s="977"/>
      <c r="I44" s="1127"/>
      <c r="J44" s="971"/>
      <c r="K44" s="972"/>
      <c r="L44" s="978"/>
      <c r="M44" s="1145"/>
      <c r="N44" s="1148"/>
      <c r="O44" s="937" t="s">
        <v>12</v>
      </c>
      <c r="P44" s="668" t="str">
        <f>IF(I44="","",_xll.meLWOSwapCreateFromGenerator("Swap",I44,J44,K44,D44,E44,L44,M44,,,N44))</f>
        <v/>
      </c>
      <c r="Q44" s="1026" t="str">
        <f t="shared" si="0"/>
        <v/>
      </c>
      <c r="R44" s="937" t="s">
        <v>12</v>
      </c>
      <c r="S44" s="435" t="str">
        <f>IF(I44="","",_xll.meLWOSwapPV(P44,Q44))</f>
        <v/>
      </c>
      <c r="T44" s="1035" t="str">
        <f ca="1">IF(OR(I44="",LEFT(_xll.meLWOSwapParRate(P44,Q44),1)="["),"",_xll.meLWOSwapParRate(P44,Q44))</f>
        <v/>
      </c>
      <c r="U44" s="1022" t="str">
        <f ca="1">IF(OR(I44="",T44=""),"",_xll.meLWOSwapPV01(P44,Q44))</f>
        <v/>
      </c>
      <c r="V44" s="669" t="str">
        <f>IF(I44="","",IF(T44="",_xll.meLWOSwapParSpread(P44,Q44),""))</f>
        <v/>
      </c>
      <c r="W44" s="995" t="s">
        <v>12</v>
      </c>
    </row>
    <row r="45" spans="1:23">
      <c r="F45" s="1129"/>
      <c r="R45" s="997"/>
    </row>
    <row r="46" spans="1:23">
      <c r="F46" s="1129"/>
      <c r="R46" s="997"/>
    </row>
    <row r="47" spans="1:23">
      <c r="F47" s="1129"/>
      <c r="R47" s="997"/>
    </row>
    <row r="48" spans="1:23">
      <c r="F48" s="1129"/>
      <c r="R48" s="997"/>
    </row>
    <row r="49" spans="6:18">
      <c r="F49" s="1129"/>
      <c r="R49" s="997"/>
    </row>
    <row r="73" spans="2:2">
      <c r="B73" s="579"/>
    </row>
    <row r="75" spans="2:2">
      <c r="B75" s="394"/>
    </row>
    <row r="76" spans="2:2">
      <c r="B76" s="579"/>
    </row>
    <row r="78" spans="2:2">
      <c r="B78" s="394"/>
    </row>
    <row r="79" spans="2:2">
      <c r="B79" s="579"/>
    </row>
    <row r="81" spans="2:2">
      <c r="B81" s="394"/>
    </row>
    <row r="82" spans="2:2">
      <c r="B82" s="579"/>
    </row>
    <row r="87" spans="2:2">
      <c r="B87" s="579"/>
    </row>
    <row r="89" spans="2:2">
      <c r="B89" s="394"/>
    </row>
    <row r="90" spans="2:2">
      <c r="B90" s="579"/>
    </row>
    <row r="92" spans="2:2">
      <c r="B92" s="394"/>
    </row>
    <row r="93" spans="2:2">
      <c r="B93" s="579"/>
    </row>
    <row r="95" spans="2:2">
      <c r="B95" s="394"/>
    </row>
    <row r="96" spans="2:2">
      <c r="B96" s="579"/>
    </row>
    <row r="145" spans="2:2">
      <c r="B145" s="1429" t="s">
        <v>2</v>
      </c>
    </row>
    <row r="146" spans="2:2">
      <c r="B146" s="1429"/>
    </row>
    <row r="147" spans="2:2">
      <c r="B147" s="1200">
        <f ca="1">_xll.meDateFromTenor(COB,"2D",EURBusinessDayAdjustment,EURFixingCalendar)</f>
        <v>43228</v>
      </c>
    </row>
    <row r="148" spans="2:2">
      <c r="B148" s="1201" t="s">
        <v>38</v>
      </c>
    </row>
    <row r="149" spans="2:2">
      <c r="B149" s="1201" t="s">
        <v>0</v>
      </c>
    </row>
    <row r="150" spans="2:2">
      <c r="B150" s="1202" t="s">
        <v>0</v>
      </c>
    </row>
    <row r="153" spans="2:2">
      <c r="B153" s="1429" t="s">
        <v>181</v>
      </c>
    </row>
    <row r="154" spans="2:2">
      <c r="B154" s="1429"/>
    </row>
    <row r="155" spans="2:2">
      <c r="B155" s="1200">
        <f ca="1">_xll.meDateFromTenor(COB,"2D",USDBusinessDayAdjustment,USDAccrualCalendar)</f>
        <v>43229</v>
      </c>
    </row>
    <row r="156" spans="2:2">
      <c r="B156" s="1201" t="s">
        <v>38</v>
      </c>
    </row>
    <row r="157" spans="2:2">
      <c r="B157" s="1201" t="s">
        <v>185</v>
      </c>
    </row>
    <row r="158" spans="2:2">
      <c r="B158" s="1202" t="s">
        <v>357</v>
      </c>
    </row>
    <row r="161" spans="2:2">
      <c r="B161" s="1429" t="s">
        <v>187</v>
      </c>
    </row>
    <row r="162" spans="2:2">
      <c r="B162" s="1429"/>
    </row>
    <row r="163" spans="2:2">
      <c r="B163" s="1200">
        <f ca="1">_xll.meDateFromTenor(COB,"0D",GBPBusinessDayAdjustment,GBPAccrualCalendar)</f>
        <v>43224</v>
      </c>
    </row>
    <row r="164" spans="2:2">
      <c r="B164" s="1201" t="s">
        <v>38</v>
      </c>
    </row>
    <row r="165" spans="2:2">
      <c r="B165" s="1201" t="s">
        <v>185</v>
      </c>
    </row>
    <row r="166" spans="2:2">
      <c r="B166" s="1202" t="s">
        <v>185</v>
      </c>
    </row>
    <row r="169" spans="2:2">
      <c r="B169" s="1429" t="s">
        <v>188</v>
      </c>
    </row>
    <row r="170" spans="2:2">
      <c r="B170" s="1429"/>
    </row>
    <row r="171" spans="2:2">
      <c r="B171" s="1200">
        <f ca="1">_xll.meDateFromTenor(COB,"2D",JPYBusinessDayAdjustment,JPYAccrualCalendar)</f>
        <v>43229</v>
      </c>
    </row>
    <row r="172" spans="2:2">
      <c r="B172" s="1201" t="s">
        <v>38</v>
      </c>
    </row>
    <row r="173" spans="2:2">
      <c r="B173" s="1201" t="s">
        <v>185</v>
      </c>
    </row>
    <row r="174" spans="2:2">
      <c r="B174" s="1202" t="s">
        <v>359</v>
      </c>
    </row>
  </sheetData>
  <mergeCells count="4">
    <mergeCell ref="B145:B146"/>
    <mergeCell ref="B153:B154"/>
    <mergeCell ref="B161:B162"/>
    <mergeCell ref="B169:B170"/>
  </mergeCells>
  <dataValidations disablePrompts="1" count="1">
    <dataValidation type="list" allowBlank="1" showInputMessage="1" showErrorMessage="1" sqref="I5">
      <formula1>GeneratorList</formula1>
    </dataValidation>
  </dataValidations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4" max="17" width="9.140625" customWidth="1"/>
  </cols>
  <sheetData>
    <row r="3" spans="2:4" s="966" customFormat="1">
      <c r="B3" s="965" t="s">
        <v>2144</v>
      </c>
    </row>
    <row r="4" spans="2:4" s="108" customFormat="1">
      <c r="B4" s="755" t="s">
        <v>1805</v>
      </c>
      <c r="C4" s="522" t="str">
        <f ca="1">_xll.meLWOSwapParRate(C$9,C$11)</f>
        <v>[2018/05/04 09:52] #Error: Invalid Curve: CurveCollection 'EURYC' does not exist</v>
      </c>
    </row>
    <row r="5" spans="2:4" s="108" customFormat="1">
      <c r="B5" s="756" t="s">
        <v>1445</v>
      </c>
      <c r="C5" s="523" t="str">
        <f ca="1">_xll.meLWOSwapPV(C$9,C$11)</f>
        <v>[2018/05/04 09:52] #Error: Invalid Curve: CurveCollection 'EURYC' does not exist</v>
      </c>
      <c r="D5" s="935" t="str">
        <f>D$27</f>
        <v>EUR</v>
      </c>
    </row>
    <row r="6" spans="2:4" s="108" customFormat="1">
      <c r="B6" s="763" t="s">
        <v>1077</v>
      </c>
      <c r="C6" s="524" t="str">
        <f ca="1">_xll.meLWOSwapPV01(C$9,C$11)</f>
        <v>[2018/05/04 09:52] #Error: Invalid Curve: CurveCollection 'EURYC' does not exist</v>
      </c>
      <c r="D6" s="935" t="str">
        <f>D$27</f>
        <v>EUR</v>
      </c>
    </row>
    <row r="9" spans="2:4">
      <c r="B9" t="s">
        <v>2000</v>
      </c>
      <c r="C9" s="966" t="str">
        <f ca="1">_xll.meLWOSwapCreate(C$10,B$15:D$48,FALSE)</f>
        <v>EUR_CUSTOM_SWAP@149:0</v>
      </c>
    </row>
    <row r="10" spans="2:4">
      <c r="B10" s="947" t="s">
        <v>2126</v>
      </c>
      <c r="C10" s="936" t="str">
        <f>C$27&amp;"_CUSTOM_SWAP"</f>
        <v>EUR_CUSTOM_SWAP</v>
      </c>
    </row>
    <row r="11" spans="2:4">
      <c r="B11" s="949" t="s">
        <v>1770</v>
      </c>
      <c r="C11" s="939" t="str">
        <f>C$27&amp;"YC"</f>
        <v>EURYC</v>
      </c>
    </row>
    <row r="12" spans="2:4">
      <c r="B12" s="372"/>
    </row>
    <row r="13" spans="2:4">
      <c r="B13" s="372"/>
    </row>
    <row r="14" spans="2:4">
      <c r="B14" s="372" t="s">
        <v>2127</v>
      </c>
    </row>
    <row r="15" spans="2:4">
      <c r="B15" s="947" t="s">
        <v>2017</v>
      </c>
      <c r="C15" s="994" t="s">
        <v>2118</v>
      </c>
      <c r="D15" s="994" t="s">
        <v>2119</v>
      </c>
    </row>
    <row r="16" spans="2:4">
      <c r="B16" s="948" t="s">
        <v>2016</v>
      </c>
      <c r="C16" s="990" t="s">
        <v>2125</v>
      </c>
      <c r="D16" s="990" t="s">
        <v>2125</v>
      </c>
    </row>
    <row r="17" spans="2:4">
      <c r="B17" s="948" t="s">
        <v>354</v>
      </c>
      <c r="C17" s="993">
        <v>1000000</v>
      </c>
      <c r="D17" s="993">
        <v>1000000</v>
      </c>
    </row>
    <row r="18" spans="2:4">
      <c r="B18" s="948" t="s">
        <v>2041</v>
      </c>
      <c r="C18" s="1270">
        <v>100000</v>
      </c>
      <c r="D18" s="1270">
        <v>100000</v>
      </c>
    </row>
    <row r="19" spans="2:4">
      <c r="B19" s="948" t="s">
        <v>2361</v>
      </c>
      <c r="C19" s="1270">
        <v>1</v>
      </c>
      <c r="D19" s="1270">
        <v>2</v>
      </c>
    </row>
    <row r="20" spans="2:4">
      <c r="B20" s="948" t="s">
        <v>1803</v>
      </c>
      <c r="C20" s="989" t="s">
        <v>1995</v>
      </c>
      <c r="D20" s="989" t="s">
        <v>1997</v>
      </c>
    </row>
    <row r="21" spans="2:4" s="995" customFormat="1">
      <c r="B21" s="948" t="s">
        <v>1802</v>
      </c>
      <c r="C21" s="941" t="s">
        <v>361</v>
      </c>
      <c r="D21" s="943" t="s">
        <v>361</v>
      </c>
    </row>
    <row r="22" spans="2:4">
      <c r="B22" s="948" t="s">
        <v>1768</v>
      </c>
      <c r="C22" s="946">
        <f ca="1">_xll.meDateFromTenor(COB,C21,C41,C42)</f>
        <v>43228</v>
      </c>
      <c r="D22" s="946">
        <f ca="1">_xll.meDateFromTenor(COB,D21,D41,D42)</f>
        <v>43228</v>
      </c>
    </row>
    <row r="23" spans="2:4">
      <c r="B23" s="948" t="s">
        <v>1769</v>
      </c>
      <c r="C23" s="1241" t="s">
        <v>31</v>
      </c>
      <c r="D23" s="1241" t="s">
        <v>31</v>
      </c>
    </row>
    <row r="24" spans="2:4">
      <c r="B24" s="948" t="s">
        <v>1</v>
      </c>
      <c r="C24" s="940" t="s">
        <v>146</v>
      </c>
      <c r="D24" s="940" t="s">
        <v>76</v>
      </c>
    </row>
    <row r="25" spans="2:4">
      <c r="B25" s="948" t="s">
        <v>1443</v>
      </c>
      <c r="C25" s="1242"/>
      <c r="D25" s="1242" t="s">
        <v>1039</v>
      </c>
    </row>
    <row r="26" spans="2:4">
      <c r="B26" s="948" t="s">
        <v>1444</v>
      </c>
      <c r="C26" s="952" t="s">
        <v>1870</v>
      </c>
      <c r="D26" s="952" t="s">
        <v>1870</v>
      </c>
    </row>
    <row r="27" spans="2:4">
      <c r="B27" s="948" t="s">
        <v>156</v>
      </c>
      <c r="C27" s="952" t="s">
        <v>2</v>
      </c>
      <c r="D27" s="952" t="s">
        <v>2</v>
      </c>
    </row>
    <row r="28" spans="2:4">
      <c r="B28" s="645" t="s">
        <v>2107</v>
      </c>
      <c r="C28" s="940" t="s">
        <v>2033</v>
      </c>
      <c r="D28" s="940" t="s">
        <v>2033</v>
      </c>
    </row>
    <row r="29" spans="2:4">
      <c r="B29" s="948" t="s">
        <v>2015</v>
      </c>
      <c r="C29" s="951">
        <v>1</v>
      </c>
      <c r="D29" s="951">
        <v>1</v>
      </c>
    </row>
    <row r="30" spans="2:4">
      <c r="B30" s="948" t="s">
        <v>1772</v>
      </c>
      <c r="C30" s="992">
        <v>0.01</v>
      </c>
      <c r="D30" s="992"/>
    </row>
    <row r="31" spans="2:4">
      <c r="B31" s="948" t="s">
        <v>2250</v>
      </c>
      <c r="C31" s="940"/>
      <c r="D31" s="940" t="s">
        <v>2252</v>
      </c>
    </row>
    <row r="32" spans="2:4">
      <c r="B32" s="948" t="s">
        <v>2251</v>
      </c>
      <c r="C32" s="940"/>
      <c r="D32" s="940" t="s">
        <v>2252</v>
      </c>
    </row>
    <row r="33" spans="2:12">
      <c r="B33" s="948" t="s">
        <v>2003</v>
      </c>
      <c r="C33" s="952"/>
      <c r="D33" s="942"/>
    </row>
    <row r="34" spans="2:12">
      <c r="B34" s="948" t="s">
        <v>2002</v>
      </c>
      <c r="C34" s="952"/>
      <c r="D34" s="952"/>
      <c r="K34" s="234" t="s">
        <v>2140</v>
      </c>
    </row>
    <row r="35" spans="2:12">
      <c r="B35" s="948" t="s">
        <v>1784</v>
      </c>
      <c r="C35" s="991"/>
      <c r="D35" s="991">
        <v>0</v>
      </c>
      <c r="K35" s="483" t="s">
        <v>2130</v>
      </c>
      <c r="L35" s="986" t="s">
        <v>2132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2131</v>
      </c>
      <c r="L36" s="987" t="str">
        <f>C10</f>
        <v>EUR_CUSTOM_SWAP</v>
      </c>
    </row>
    <row r="37" spans="2:12">
      <c r="B37" s="948" t="s">
        <v>2012</v>
      </c>
      <c r="C37" s="941"/>
      <c r="D37" s="940" t="s">
        <v>38</v>
      </c>
      <c r="L37" s="934"/>
    </row>
    <row r="38" spans="2:12">
      <c r="B38" s="948" t="s">
        <v>2011</v>
      </c>
      <c r="C38" s="941"/>
      <c r="D38" s="940" t="s">
        <v>0</v>
      </c>
      <c r="K38" s="234" t="s">
        <v>2133</v>
      </c>
    </row>
    <row r="39" spans="2:12">
      <c r="B39" s="948" t="s">
        <v>2014</v>
      </c>
      <c r="C39" s="940" t="s">
        <v>38</v>
      </c>
      <c r="D39" s="940" t="s">
        <v>38</v>
      </c>
      <c r="K39" s="509" t="s">
        <v>2134</v>
      </c>
      <c r="L39" s="988" t="b">
        <v>0</v>
      </c>
    </row>
    <row r="40" spans="2:12">
      <c r="B40" s="948" t="s">
        <v>2013</v>
      </c>
      <c r="C40" s="940" t="s">
        <v>0</v>
      </c>
      <c r="D40" s="940" t="s">
        <v>0</v>
      </c>
      <c r="K40" s="510" t="s">
        <v>2136</v>
      </c>
      <c r="L40" s="983" t="str">
        <f ca="1">C9</f>
        <v>EUR_CUSTOM_SWAP@149:0</v>
      </c>
    </row>
    <row r="41" spans="2:12">
      <c r="B41" s="948" t="s">
        <v>2009</v>
      </c>
      <c r="C41" s="940" t="s">
        <v>38</v>
      </c>
      <c r="D41" s="940" t="s">
        <v>38</v>
      </c>
      <c r="K41" s="510" t="s">
        <v>2137</v>
      </c>
      <c r="L41" s="983" t="s">
        <v>472</v>
      </c>
    </row>
    <row r="42" spans="2:12">
      <c r="B42" s="948" t="s">
        <v>2008</v>
      </c>
      <c r="C42" s="940" t="s">
        <v>0</v>
      </c>
      <c r="D42" s="940" t="s">
        <v>0</v>
      </c>
      <c r="K42" s="510" t="s">
        <v>2129</v>
      </c>
      <c r="L42" s="983" t="str">
        <f>$L$35&amp;$L$36&amp;".JSON"</f>
        <v>C:\Temp\EUR_CUSTOM_SWAP.JSON</v>
      </c>
    </row>
    <row r="43" spans="2:12">
      <c r="B43" s="948" t="s">
        <v>2006</v>
      </c>
      <c r="C43" s="940" t="s">
        <v>2120</v>
      </c>
      <c r="D43" s="940" t="s">
        <v>2120</v>
      </c>
      <c r="K43" s="511" t="s">
        <v>2135</v>
      </c>
      <c r="L43" s="984" t="str">
        <f>IF($L$39,_xll.meLWOSave(L40,L41,L42),"Disabled")</f>
        <v>Disabled</v>
      </c>
    </row>
    <row r="44" spans="2:12">
      <c r="B44" s="948" t="s">
        <v>2010</v>
      </c>
      <c r="C44" s="941"/>
      <c r="D44" s="944" t="s">
        <v>356</v>
      </c>
      <c r="L44" s="934"/>
    </row>
    <row r="45" spans="2:12">
      <c r="B45" s="948" t="s">
        <v>2007</v>
      </c>
      <c r="C45" s="944" t="s">
        <v>356</v>
      </c>
      <c r="D45" s="944" t="s">
        <v>356</v>
      </c>
      <c r="K45" s="234" t="s">
        <v>2138</v>
      </c>
      <c r="L45" s="934"/>
    </row>
    <row r="46" spans="2:12">
      <c r="B46" s="948" t="s">
        <v>2005</v>
      </c>
      <c r="C46" s="1243"/>
      <c r="D46" s="1243"/>
      <c r="K46" s="509" t="s">
        <v>2134</v>
      </c>
      <c r="L46" s="988" t="b">
        <v>0</v>
      </c>
    </row>
    <row r="47" spans="2:12">
      <c r="B47" s="948" t="s">
        <v>2004</v>
      </c>
      <c r="C47" s="1243"/>
      <c r="D47" s="1243"/>
      <c r="K47" s="510" t="s">
        <v>2129</v>
      </c>
      <c r="L47" s="983" t="str">
        <f>$L$35&amp;$L$36&amp;".JSON"</f>
        <v>C:\Temp\EUR_CUSTOM_SWAP.JSON</v>
      </c>
    </row>
    <row r="48" spans="2:12">
      <c r="B48" s="949" t="s">
        <v>2001</v>
      </c>
      <c r="C48" s="945" t="s">
        <v>358</v>
      </c>
      <c r="D48" s="945" t="s">
        <v>358</v>
      </c>
      <c r="K48" s="511" t="s">
        <v>2139</v>
      </c>
      <c r="L48" s="985" t="str">
        <f>IF($L$46,_xll.meLWOLoad($L$47),"Disabled")</f>
        <v>Disabled</v>
      </c>
    </row>
  </sheetData>
  <dataValidations count="9">
    <dataValidation type="list" allowBlank="1" showInputMessage="1" showErrorMessage="1" sqref="C40:D40 D38 C42:D42">
      <formula1>"TGT,NYB:LNB,LNB,TKB:LNB"</formula1>
    </dataValidation>
    <dataValidation type="list" allowBlank="1" showInputMessage="1" showErrorMessage="1" sqref="C41:D41 D37 C39:D39">
      <formula1>"MOD_FOLLOWING,FOLLOWING,MOD_PRECEDING,PRECEDING,NO_CHANGE"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16:D16">
      <formula1>"NONE,START,END,START_AND_END"</formula1>
    </dataValidation>
    <dataValidation type="list" allowBlank="1" showInputMessage="1" showErrorMessage="1" sqref="C20:D20">
      <formula1>"PAY,RECEIVE"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8" tint="0.39997558519241921"/>
  </sheetPr>
  <dimension ref="B2:Q51"/>
  <sheetViews>
    <sheetView showGridLines="0" workbookViewId="0"/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2.42578125" bestFit="1" customWidth="1"/>
    <col min="12" max="12" width="14.28515625" bestFit="1" customWidth="1"/>
    <col min="13" max="13" width="14.42578125" bestFit="1" customWidth="1"/>
    <col min="14" max="15" width="14.28515625" bestFit="1" customWidth="1"/>
    <col min="16" max="16" width="10.28515625" bestFit="1" customWidth="1"/>
  </cols>
  <sheetData>
    <row r="2" spans="2:17">
      <c r="B2" t="s">
        <v>2059</v>
      </c>
      <c r="C2" s="979" t="str">
        <f ca="1">'EUR Custom Swap'!$C$9</f>
        <v>EUR_CUSTOM_SWAP@149:0</v>
      </c>
    </row>
    <row r="3" spans="2:17">
      <c r="B3" t="s">
        <v>1770</v>
      </c>
      <c r="C3" s="979" t="str">
        <f>'EUR Custom Swap'!$C$11</f>
        <v>EURYC</v>
      </c>
    </row>
    <row r="5" spans="2:17">
      <c r="B5" s="345" t="str">
        <f>'EUR Custom Swap'!$C$15</f>
        <v>Leg1:Fixed</v>
      </c>
    </row>
    <row r="6" spans="2:17">
      <c r="B6" s="699" t="str">
        <f t="array" aca="1" ref="B6:Q21" ca="1">_xll.meUtilityResize(_xll.meLWOSwapDisplayCashflows(C$2,C$3,$B$5),50,50)</f>
        <v>[2018/05/04 09:52] #Error: Invalid Curve: CurveCollection 'EURYC' does not exist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/>
      </c>
      <c r="C7" s="956" t="str">
        <f ca="1"/>
        <v/>
      </c>
      <c r="D7" s="687" t="str">
        <f ca="1"/>
        <v/>
      </c>
      <c r="E7" s="687" t="str">
        <f ca="1"/>
        <v/>
      </c>
      <c r="F7" s="956" t="str">
        <f ca="1"/>
        <v/>
      </c>
      <c r="G7" s="957" t="str">
        <f ca="1"/>
        <v/>
      </c>
      <c r="H7" s="957" t="str">
        <f ca="1"/>
        <v/>
      </c>
      <c r="I7" s="687" t="str">
        <f ca="1"/>
        <v/>
      </c>
      <c r="J7" s="687" t="str">
        <f ca="1"/>
        <v/>
      </c>
      <c r="K7" s="687" t="str">
        <f ca="1"/>
        <v/>
      </c>
      <c r="L7" s="957" t="str">
        <f ca="1"/>
        <v/>
      </c>
      <c r="M7" s="958" t="str">
        <f ca="1"/>
        <v/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 t="str">
        <f ca="1"/>
        <v/>
      </c>
      <c r="G8" s="957" t="str">
        <f ca="1"/>
        <v/>
      </c>
      <c r="H8" s="957" t="str">
        <f ca="1"/>
        <v/>
      </c>
      <c r="I8" s="690" t="str">
        <f ca="1"/>
        <v/>
      </c>
      <c r="J8" s="688" t="str">
        <f ca="1"/>
        <v/>
      </c>
      <c r="K8" s="691" t="str">
        <f ca="1"/>
        <v/>
      </c>
      <c r="L8" s="958" t="str">
        <f ca="1"/>
        <v/>
      </c>
      <c r="M8" s="691" t="str">
        <f ca="1"/>
        <v/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 t="str">
        <f ca="1"/>
        <v/>
      </c>
      <c r="C9" s="956" t="str">
        <f ca="1"/>
        <v/>
      </c>
      <c r="D9" s="687" t="str">
        <f ca="1"/>
        <v/>
      </c>
      <c r="E9" s="688" t="str">
        <f ca="1"/>
        <v/>
      </c>
      <c r="F9" s="956" t="str">
        <f ca="1"/>
        <v/>
      </c>
      <c r="G9" s="957" t="str">
        <f ca="1"/>
        <v/>
      </c>
      <c r="H9" s="957" t="str">
        <f ca="1"/>
        <v/>
      </c>
      <c r="I9" s="690" t="str">
        <f ca="1"/>
        <v/>
      </c>
      <c r="J9" s="688" t="str">
        <f ca="1"/>
        <v/>
      </c>
      <c r="K9" s="691" t="str">
        <f ca="1"/>
        <v/>
      </c>
      <c r="L9" s="958" t="str">
        <f ca="1"/>
        <v/>
      </c>
      <c r="M9" s="691" t="str">
        <f ca="1"/>
        <v/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 t="str">
        <f ca="1"/>
        <v/>
      </c>
      <c r="C10" s="956" t="str">
        <f ca="1"/>
        <v/>
      </c>
      <c r="D10" s="687" t="str">
        <f ca="1"/>
        <v/>
      </c>
      <c r="E10" s="688" t="str">
        <f ca="1"/>
        <v/>
      </c>
      <c r="F10" s="956" t="str">
        <f ca="1"/>
        <v/>
      </c>
      <c r="G10" s="957" t="str">
        <f ca="1"/>
        <v/>
      </c>
      <c r="H10" s="957" t="str">
        <f ca="1"/>
        <v/>
      </c>
      <c r="I10" s="690" t="str">
        <f ca="1"/>
        <v/>
      </c>
      <c r="J10" s="688" t="str">
        <f ca="1"/>
        <v/>
      </c>
      <c r="K10" s="691" t="str">
        <f ca="1"/>
        <v/>
      </c>
      <c r="L10" s="958" t="str">
        <f ca="1"/>
        <v/>
      </c>
      <c r="M10" s="691" t="str">
        <f ca="1"/>
        <v/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 t="str">
        <f ca="1"/>
        <v/>
      </c>
      <c r="C11" s="956" t="str">
        <f ca="1"/>
        <v/>
      </c>
      <c r="D11" s="687" t="str">
        <f ca="1"/>
        <v/>
      </c>
      <c r="E11" s="688" t="str">
        <f ca="1"/>
        <v/>
      </c>
      <c r="F11" s="956" t="str">
        <f ca="1"/>
        <v/>
      </c>
      <c r="G11" s="957" t="str">
        <f ca="1"/>
        <v/>
      </c>
      <c r="H11" s="957" t="str">
        <f ca="1"/>
        <v/>
      </c>
      <c r="I11" s="690" t="str">
        <f ca="1"/>
        <v/>
      </c>
      <c r="J11" s="688" t="str">
        <f ca="1"/>
        <v/>
      </c>
      <c r="K11" s="691" t="str">
        <f ca="1"/>
        <v/>
      </c>
      <c r="L11" s="958" t="str">
        <f ca="1"/>
        <v/>
      </c>
      <c r="M11" s="691" t="str">
        <f ca="1"/>
        <v/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 t="str">
        <f ca="1"/>
        <v/>
      </c>
      <c r="C12" s="956" t="str">
        <f ca="1"/>
        <v/>
      </c>
      <c r="D12" s="687" t="str">
        <f ca="1"/>
        <v/>
      </c>
      <c r="E12" s="688" t="str">
        <f ca="1"/>
        <v/>
      </c>
      <c r="F12" s="956" t="str">
        <f ca="1"/>
        <v/>
      </c>
      <c r="G12" s="957" t="str">
        <f ca="1"/>
        <v/>
      </c>
      <c r="H12" s="957" t="str">
        <f ca="1"/>
        <v/>
      </c>
      <c r="I12" s="690" t="str">
        <f ca="1"/>
        <v/>
      </c>
      <c r="J12" s="688" t="str">
        <f ca="1"/>
        <v/>
      </c>
      <c r="K12" s="691" t="str">
        <f ca="1"/>
        <v/>
      </c>
      <c r="L12" s="958" t="str">
        <f ca="1"/>
        <v/>
      </c>
      <c r="M12" s="691" t="str">
        <f ca="1"/>
        <v/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 t="str">
        <f ca="1"/>
        <v/>
      </c>
      <c r="C13" s="956" t="str">
        <f ca="1"/>
        <v/>
      </c>
      <c r="D13" s="687" t="str">
        <f ca="1"/>
        <v/>
      </c>
      <c r="E13" s="688" t="str">
        <f ca="1"/>
        <v/>
      </c>
      <c r="F13" s="956" t="str">
        <f ca="1"/>
        <v/>
      </c>
      <c r="G13" s="957" t="str">
        <f ca="1"/>
        <v/>
      </c>
      <c r="H13" s="957" t="str">
        <f ca="1"/>
        <v/>
      </c>
      <c r="I13" s="690" t="str">
        <f ca="1"/>
        <v/>
      </c>
      <c r="J13" s="688" t="str">
        <f ca="1"/>
        <v/>
      </c>
      <c r="K13" s="691" t="str">
        <f ca="1"/>
        <v/>
      </c>
      <c r="L13" s="958" t="str">
        <f ca="1"/>
        <v/>
      </c>
      <c r="M13" s="691" t="str">
        <f ca="1"/>
        <v/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 t="str">
        <f ca="1"/>
        <v/>
      </c>
      <c r="C14" s="956" t="str">
        <f ca="1"/>
        <v/>
      </c>
      <c r="D14" s="687" t="str">
        <f ca="1"/>
        <v/>
      </c>
      <c r="E14" s="688" t="str">
        <f ca="1"/>
        <v/>
      </c>
      <c r="F14" s="956" t="str">
        <f ca="1"/>
        <v/>
      </c>
      <c r="G14" s="957" t="str">
        <f ca="1"/>
        <v/>
      </c>
      <c r="H14" s="957" t="str">
        <f ca="1"/>
        <v/>
      </c>
      <c r="I14" s="690" t="str">
        <f ca="1"/>
        <v/>
      </c>
      <c r="J14" s="688" t="str">
        <f ca="1"/>
        <v/>
      </c>
      <c r="K14" s="691" t="str">
        <f ca="1"/>
        <v/>
      </c>
      <c r="L14" s="958" t="str">
        <f ca="1"/>
        <v/>
      </c>
      <c r="M14" s="691" t="str">
        <f ca="1"/>
        <v/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 t="str">
        <f ca="1"/>
        <v/>
      </c>
      <c r="C15" s="956" t="str">
        <f ca="1"/>
        <v/>
      </c>
      <c r="D15" s="687" t="str">
        <f ca="1"/>
        <v/>
      </c>
      <c r="E15" s="688" t="str">
        <f ca="1"/>
        <v/>
      </c>
      <c r="F15" s="956" t="str">
        <f ca="1"/>
        <v/>
      </c>
      <c r="G15" s="957" t="str">
        <f ca="1"/>
        <v/>
      </c>
      <c r="H15" s="957" t="str">
        <f ca="1"/>
        <v/>
      </c>
      <c r="I15" s="690" t="str">
        <f ca="1"/>
        <v/>
      </c>
      <c r="J15" s="688" t="str">
        <f ca="1"/>
        <v/>
      </c>
      <c r="K15" s="691" t="str">
        <f ca="1"/>
        <v/>
      </c>
      <c r="L15" s="958" t="str">
        <f ca="1"/>
        <v/>
      </c>
      <c r="M15" s="691" t="str">
        <f ca="1"/>
        <v/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 t="str">
        <f ca="1"/>
        <v/>
      </c>
      <c r="C16" s="956" t="str">
        <f ca="1"/>
        <v/>
      </c>
      <c r="D16" s="687" t="str">
        <f ca="1"/>
        <v/>
      </c>
      <c r="E16" s="688" t="str">
        <f ca="1"/>
        <v/>
      </c>
      <c r="F16" s="956" t="str">
        <f ca="1"/>
        <v/>
      </c>
      <c r="G16" s="957" t="str">
        <f ca="1"/>
        <v/>
      </c>
      <c r="H16" s="957" t="str">
        <f ca="1"/>
        <v/>
      </c>
      <c r="I16" s="690" t="str">
        <f ca="1"/>
        <v/>
      </c>
      <c r="J16" s="688" t="str">
        <f ca="1"/>
        <v/>
      </c>
      <c r="K16" s="691" t="str">
        <f ca="1"/>
        <v/>
      </c>
      <c r="L16" s="958" t="str">
        <f ca="1"/>
        <v/>
      </c>
      <c r="M16" s="691" t="str">
        <f ca="1"/>
        <v/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 t="str">
        <f ca="1"/>
        <v/>
      </c>
      <c r="C17" s="956" t="str">
        <f ca="1"/>
        <v/>
      </c>
      <c r="D17" s="687" t="str">
        <f ca="1"/>
        <v/>
      </c>
      <c r="E17" s="688" t="str">
        <f ca="1"/>
        <v/>
      </c>
      <c r="F17" s="956" t="str">
        <f ca="1"/>
        <v/>
      </c>
      <c r="G17" s="957" t="str">
        <f ca="1"/>
        <v/>
      </c>
      <c r="H17" s="957" t="str">
        <f ca="1"/>
        <v/>
      </c>
      <c r="I17" s="690" t="str">
        <f ca="1"/>
        <v/>
      </c>
      <c r="J17" s="688" t="str">
        <f ca="1"/>
        <v/>
      </c>
      <c r="K17" s="691" t="str">
        <f ca="1"/>
        <v/>
      </c>
      <c r="L17" s="958" t="str">
        <f ca="1"/>
        <v/>
      </c>
      <c r="M17" s="691" t="str">
        <f ca="1"/>
        <v/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 t="str">
        <f ca="1"/>
        <v/>
      </c>
      <c r="C18" s="956" t="str">
        <f ca="1"/>
        <v/>
      </c>
      <c r="D18" s="687" t="str">
        <f ca="1"/>
        <v/>
      </c>
      <c r="E18" s="688" t="str">
        <f ca="1"/>
        <v/>
      </c>
      <c r="F18" s="956" t="str">
        <f ca="1"/>
        <v/>
      </c>
      <c r="G18" s="957" t="str">
        <f ca="1"/>
        <v/>
      </c>
      <c r="H18" s="957" t="str">
        <f ca="1"/>
        <v/>
      </c>
      <c r="I18" s="690" t="str">
        <f ca="1"/>
        <v/>
      </c>
      <c r="J18" s="688" t="str">
        <f ca="1"/>
        <v/>
      </c>
      <c r="K18" s="691" t="str">
        <f ca="1"/>
        <v/>
      </c>
      <c r="L18" s="958" t="str">
        <f ca="1"/>
        <v/>
      </c>
      <c r="M18" s="691" t="str">
        <f ca="1"/>
        <v/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3" spans="2:17">
      <c r="B23" s="345" t="str">
        <f>'EUR Custom Swap'!$D$15</f>
        <v>Leg2:Float</v>
      </c>
    </row>
    <row r="24" spans="2:17">
      <c r="B24" s="699" t="str">
        <f t="array" aca="1" ref="B24:Q51" ca="1">_xll.meUtilityResize(_xll.meLWOSwapDisplayCashflows(C$2,C$3,$B$23),50,50)</f>
        <v>[2018/05/04 09:52] #Error: Invalid Curve: CurveCollection 'EURYC' does not exist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/>
      </c>
      <c r="C25" s="956" t="str">
        <f ca="1"/>
        <v/>
      </c>
      <c r="D25" s="956" t="str">
        <f ca="1"/>
        <v/>
      </c>
      <c r="E25" s="687" t="str">
        <f ca="1"/>
        <v/>
      </c>
      <c r="F25" s="687" t="str">
        <f ca="1"/>
        <v/>
      </c>
      <c r="G25" s="956" t="str">
        <f ca="1"/>
        <v/>
      </c>
      <c r="H25" s="957" t="str">
        <f ca="1"/>
        <v/>
      </c>
      <c r="I25" s="957" t="str">
        <f ca="1"/>
        <v/>
      </c>
      <c r="J25" s="687" t="str">
        <f ca="1"/>
        <v/>
      </c>
      <c r="K25" s="1004" t="str">
        <f ca="1"/>
        <v/>
      </c>
      <c r="L25" s="461" t="str">
        <f ca="1"/>
        <v/>
      </c>
      <c r="M25" s="964" t="str">
        <f ca="1"/>
        <v/>
      </c>
      <c r="N25" s="957" t="str">
        <f ca="1"/>
        <v/>
      </c>
      <c r="O25" s="958" t="str">
        <f ca="1"/>
        <v/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 t="str">
        <f ca="1"/>
        <v/>
      </c>
      <c r="H26" s="957" t="str">
        <f ca="1"/>
        <v/>
      </c>
      <c r="I26" s="957" t="str">
        <f ca="1"/>
        <v/>
      </c>
      <c r="J26" s="690" t="str">
        <f ca="1"/>
        <v/>
      </c>
      <c r="K26" s="1017" t="str">
        <f ca="1"/>
        <v/>
      </c>
      <c r="L26" s="1036" t="str">
        <f ca="1"/>
        <v/>
      </c>
      <c r="M26" s="691" t="str">
        <f ca="1"/>
        <v/>
      </c>
      <c r="N26" s="958" t="str">
        <f ca="1"/>
        <v/>
      </c>
      <c r="O26" s="691" t="str">
        <f ca="1"/>
        <v/>
      </c>
      <c r="P26" s="957" t="str">
        <f ca="1"/>
        <v/>
      </c>
      <c r="Q26" s="539" t="str">
        <f ca="1"/>
        <v/>
      </c>
    </row>
    <row r="27" spans="2:17">
      <c r="B27" s="955" t="str">
        <f ca="1"/>
        <v/>
      </c>
      <c r="C27" s="956" t="str">
        <f ca="1"/>
        <v/>
      </c>
      <c r="D27" s="956" t="str">
        <f ca="1"/>
        <v/>
      </c>
      <c r="E27" s="687" t="str">
        <f ca="1"/>
        <v/>
      </c>
      <c r="F27" s="688" t="str">
        <f ca="1"/>
        <v/>
      </c>
      <c r="G27" s="956" t="str">
        <f ca="1"/>
        <v/>
      </c>
      <c r="H27" s="957" t="str">
        <f ca="1"/>
        <v/>
      </c>
      <c r="I27" s="957" t="str">
        <f ca="1"/>
        <v/>
      </c>
      <c r="J27" s="690" t="str">
        <f ca="1"/>
        <v/>
      </c>
      <c r="K27" s="1017" t="str">
        <f ca="1"/>
        <v/>
      </c>
      <c r="L27" s="1036" t="str">
        <f ca="1"/>
        <v/>
      </c>
      <c r="M27" s="691" t="str">
        <f ca="1"/>
        <v/>
      </c>
      <c r="N27" s="958" t="str">
        <f ca="1"/>
        <v/>
      </c>
      <c r="O27" s="691" t="str">
        <f ca="1"/>
        <v/>
      </c>
      <c r="P27" s="957" t="str">
        <f ca="1"/>
        <v/>
      </c>
      <c r="Q27" s="539" t="str">
        <f ca="1"/>
        <v/>
      </c>
    </row>
    <row r="28" spans="2:17">
      <c r="B28" s="955" t="str">
        <f ca="1"/>
        <v/>
      </c>
      <c r="C28" s="956" t="str">
        <f ca="1"/>
        <v/>
      </c>
      <c r="D28" s="956" t="str">
        <f ca="1"/>
        <v/>
      </c>
      <c r="E28" s="687" t="str">
        <f ca="1"/>
        <v/>
      </c>
      <c r="F28" s="688" t="str">
        <f ca="1"/>
        <v/>
      </c>
      <c r="G28" s="956" t="str">
        <f ca="1"/>
        <v/>
      </c>
      <c r="H28" s="957" t="str">
        <f ca="1"/>
        <v/>
      </c>
      <c r="I28" s="957" t="str">
        <f ca="1"/>
        <v/>
      </c>
      <c r="J28" s="690" t="str">
        <f ca="1"/>
        <v/>
      </c>
      <c r="K28" s="1017" t="str">
        <f ca="1"/>
        <v/>
      </c>
      <c r="L28" s="1036" t="str">
        <f ca="1"/>
        <v/>
      </c>
      <c r="M28" s="691" t="str">
        <f ca="1"/>
        <v/>
      </c>
      <c r="N28" s="958" t="str">
        <f ca="1"/>
        <v/>
      </c>
      <c r="O28" s="691" t="str">
        <f ca="1"/>
        <v/>
      </c>
      <c r="P28" s="957" t="str">
        <f ca="1"/>
        <v/>
      </c>
      <c r="Q28" s="539" t="str">
        <f ca="1"/>
        <v/>
      </c>
    </row>
    <row r="29" spans="2:17">
      <c r="B29" s="955" t="str">
        <f ca="1"/>
        <v/>
      </c>
      <c r="C29" s="956" t="str">
        <f ca="1"/>
        <v/>
      </c>
      <c r="D29" s="956" t="str">
        <f ca="1"/>
        <v/>
      </c>
      <c r="E29" s="687" t="str">
        <f ca="1"/>
        <v/>
      </c>
      <c r="F29" s="688" t="str">
        <f ca="1"/>
        <v/>
      </c>
      <c r="G29" s="956" t="str">
        <f ca="1"/>
        <v/>
      </c>
      <c r="H29" s="957" t="str">
        <f ca="1"/>
        <v/>
      </c>
      <c r="I29" s="957" t="str">
        <f ca="1"/>
        <v/>
      </c>
      <c r="J29" s="690" t="str">
        <f ca="1"/>
        <v/>
      </c>
      <c r="K29" s="1017" t="str">
        <f ca="1"/>
        <v/>
      </c>
      <c r="L29" s="1036" t="str">
        <f ca="1"/>
        <v/>
      </c>
      <c r="M29" s="691" t="str">
        <f ca="1"/>
        <v/>
      </c>
      <c r="N29" s="958" t="str">
        <f ca="1"/>
        <v/>
      </c>
      <c r="O29" s="691" t="str">
        <f ca="1"/>
        <v/>
      </c>
      <c r="P29" s="957" t="str">
        <f ca="1"/>
        <v/>
      </c>
      <c r="Q29" s="539" t="str">
        <f ca="1"/>
        <v/>
      </c>
    </row>
    <row r="30" spans="2:17">
      <c r="B30" s="955" t="str">
        <f ca="1"/>
        <v/>
      </c>
      <c r="C30" s="956" t="str">
        <f ca="1"/>
        <v/>
      </c>
      <c r="D30" s="956" t="str">
        <f ca="1"/>
        <v/>
      </c>
      <c r="E30" s="687" t="str">
        <f ca="1"/>
        <v/>
      </c>
      <c r="F30" s="688" t="str">
        <f ca="1"/>
        <v/>
      </c>
      <c r="G30" s="956" t="str">
        <f ca="1"/>
        <v/>
      </c>
      <c r="H30" s="957" t="str">
        <f ca="1"/>
        <v/>
      </c>
      <c r="I30" s="957" t="str">
        <f ca="1"/>
        <v/>
      </c>
      <c r="J30" s="690" t="str">
        <f ca="1"/>
        <v/>
      </c>
      <c r="K30" s="1017" t="str">
        <f ca="1"/>
        <v/>
      </c>
      <c r="L30" s="1036" t="str">
        <f ca="1"/>
        <v/>
      </c>
      <c r="M30" s="691" t="str">
        <f ca="1"/>
        <v/>
      </c>
      <c r="N30" s="958" t="str">
        <f ca="1"/>
        <v/>
      </c>
      <c r="O30" s="691" t="str">
        <f ca="1"/>
        <v/>
      </c>
      <c r="P30" s="957" t="str">
        <f ca="1"/>
        <v/>
      </c>
      <c r="Q30" s="539" t="str">
        <f ca="1"/>
        <v/>
      </c>
    </row>
    <row r="31" spans="2:17">
      <c r="B31" s="955" t="str">
        <f ca="1"/>
        <v/>
      </c>
      <c r="C31" s="956" t="str">
        <f ca="1"/>
        <v/>
      </c>
      <c r="D31" s="956" t="str">
        <f ca="1"/>
        <v/>
      </c>
      <c r="E31" s="687" t="str">
        <f ca="1"/>
        <v/>
      </c>
      <c r="F31" s="688" t="str">
        <f ca="1"/>
        <v/>
      </c>
      <c r="G31" s="956" t="str">
        <f ca="1"/>
        <v/>
      </c>
      <c r="H31" s="957" t="str">
        <f ca="1"/>
        <v/>
      </c>
      <c r="I31" s="957" t="str">
        <f ca="1"/>
        <v/>
      </c>
      <c r="J31" s="690" t="str">
        <f ca="1"/>
        <v/>
      </c>
      <c r="K31" s="1017" t="str">
        <f ca="1"/>
        <v/>
      </c>
      <c r="L31" s="1036" t="str">
        <f ca="1"/>
        <v/>
      </c>
      <c r="M31" s="691" t="str">
        <f ca="1"/>
        <v/>
      </c>
      <c r="N31" s="958" t="str">
        <f ca="1"/>
        <v/>
      </c>
      <c r="O31" s="691" t="str">
        <f ca="1"/>
        <v/>
      </c>
      <c r="P31" s="957" t="str">
        <f ca="1"/>
        <v/>
      </c>
      <c r="Q31" s="539" t="str">
        <f ca="1"/>
        <v/>
      </c>
    </row>
    <row r="32" spans="2:17">
      <c r="B32" s="955" t="str">
        <f ca="1"/>
        <v/>
      </c>
      <c r="C32" s="956" t="str">
        <f ca="1"/>
        <v/>
      </c>
      <c r="D32" s="956" t="str">
        <f ca="1"/>
        <v/>
      </c>
      <c r="E32" s="687" t="str">
        <f ca="1"/>
        <v/>
      </c>
      <c r="F32" s="688" t="str">
        <f ca="1"/>
        <v/>
      </c>
      <c r="G32" s="956" t="str">
        <f ca="1"/>
        <v/>
      </c>
      <c r="H32" s="957" t="str">
        <f ca="1"/>
        <v/>
      </c>
      <c r="I32" s="957" t="str">
        <f ca="1"/>
        <v/>
      </c>
      <c r="J32" s="690" t="str">
        <f ca="1"/>
        <v/>
      </c>
      <c r="K32" s="1017" t="str">
        <f ca="1"/>
        <v/>
      </c>
      <c r="L32" s="1036" t="str">
        <f ca="1"/>
        <v/>
      </c>
      <c r="M32" s="691" t="str">
        <f ca="1"/>
        <v/>
      </c>
      <c r="N32" s="958" t="str">
        <f ca="1"/>
        <v/>
      </c>
      <c r="O32" s="691" t="str">
        <f ca="1"/>
        <v/>
      </c>
      <c r="P32" s="957" t="str">
        <f ca="1"/>
        <v/>
      </c>
      <c r="Q32" s="539" t="str">
        <f ca="1"/>
        <v/>
      </c>
    </row>
    <row r="33" spans="2:17">
      <c r="B33" s="955" t="str">
        <f ca="1"/>
        <v/>
      </c>
      <c r="C33" s="956" t="str">
        <f ca="1"/>
        <v/>
      </c>
      <c r="D33" s="956" t="str">
        <f ca="1"/>
        <v/>
      </c>
      <c r="E33" s="687" t="str">
        <f ca="1"/>
        <v/>
      </c>
      <c r="F33" s="688" t="str">
        <f ca="1"/>
        <v/>
      </c>
      <c r="G33" s="956" t="str">
        <f ca="1"/>
        <v/>
      </c>
      <c r="H33" s="957" t="str">
        <f ca="1"/>
        <v/>
      </c>
      <c r="I33" s="957" t="str">
        <f ca="1"/>
        <v/>
      </c>
      <c r="J33" s="690" t="str">
        <f ca="1"/>
        <v/>
      </c>
      <c r="K33" s="1017" t="str">
        <f ca="1"/>
        <v/>
      </c>
      <c r="L33" s="1036" t="str">
        <f ca="1"/>
        <v/>
      </c>
      <c r="M33" s="691" t="str">
        <f ca="1"/>
        <v/>
      </c>
      <c r="N33" s="958" t="str">
        <f ca="1"/>
        <v/>
      </c>
      <c r="O33" s="691" t="str">
        <f ca="1"/>
        <v/>
      </c>
      <c r="P33" s="957" t="str">
        <f ca="1"/>
        <v/>
      </c>
      <c r="Q33" s="539" t="str">
        <f ca="1"/>
        <v/>
      </c>
    </row>
    <row r="34" spans="2:17">
      <c r="B34" s="955" t="str">
        <f ca="1"/>
        <v/>
      </c>
      <c r="C34" s="956" t="str">
        <f ca="1"/>
        <v/>
      </c>
      <c r="D34" s="956" t="str">
        <f ca="1"/>
        <v/>
      </c>
      <c r="E34" s="687" t="str">
        <f ca="1"/>
        <v/>
      </c>
      <c r="F34" s="688" t="str">
        <f ca="1"/>
        <v/>
      </c>
      <c r="G34" s="956" t="str">
        <f ca="1"/>
        <v/>
      </c>
      <c r="H34" s="957" t="str">
        <f ca="1"/>
        <v/>
      </c>
      <c r="I34" s="957" t="str">
        <f ca="1"/>
        <v/>
      </c>
      <c r="J34" s="690" t="str">
        <f ca="1"/>
        <v/>
      </c>
      <c r="K34" s="1017" t="str">
        <f ca="1"/>
        <v/>
      </c>
      <c r="L34" s="1036" t="str">
        <f ca="1"/>
        <v/>
      </c>
      <c r="M34" s="691" t="str">
        <f ca="1"/>
        <v/>
      </c>
      <c r="N34" s="958" t="str">
        <f ca="1"/>
        <v/>
      </c>
      <c r="O34" s="691" t="str">
        <f ca="1"/>
        <v/>
      </c>
      <c r="P34" s="957" t="str">
        <f ca="1"/>
        <v/>
      </c>
      <c r="Q34" s="539" t="str">
        <f ca="1"/>
        <v/>
      </c>
    </row>
    <row r="35" spans="2:17">
      <c r="B35" s="955" t="str">
        <f ca="1"/>
        <v/>
      </c>
      <c r="C35" s="956" t="str">
        <f ca="1"/>
        <v/>
      </c>
      <c r="D35" s="956" t="str">
        <f ca="1"/>
        <v/>
      </c>
      <c r="E35" s="687" t="str">
        <f ca="1"/>
        <v/>
      </c>
      <c r="F35" s="688" t="str">
        <f ca="1"/>
        <v/>
      </c>
      <c r="G35" s="956" t="str">
        <f ca="1"/>
        <v/>
      </c>
      <c r="H35" s="957" t="str">
        <f ca="1"/>
        <v/>
      </c>
      <c r="I35" s="957" t="str">
        <f ca="1"/>
        <v/>
      </c>
      <c r="J35" s="690" t="str">
        <f ca="1"/>
        <v/>
      </c>
      <c r="K35" s="1017" t="str">
        <f ca="1"/>
        <v/>
      </c>
      <c r="L35" s="1036" t="str">
        <f ca="1"/>
        <v/>
      </c>
      <c r="M35" s="691" t="str">
        <f ca="1"/>
        <v/>
      </c>
      <c r="N35" s="958" t="str">
        <f ca="1"/>
        <v/>
      </c>
      <c r="O35" s="691" t="str">
        <f ca="1"/>
        <v/>
      </c>
      <c r="P35" s="957" t="str">
        <f ca="1"/>
        <v/>
      </c>
      <c r="Q35" s="539" t="str">
        <f ca="1"/>
        <v/>
      </c>
    </row>
    <row r="36" spans="2:17">
      <c r="B36" s="955" t="str">
        <f ca="1"/>
        <v/>
      </c>
      <c r="C36" s="956" t="str">
        <f ca="1"/>
        <v/>
      </c>
      <c r="D36" s="956" t="str">
        <f ca="1"/>
        <v/>
      </c>
      <c r="E36" s="687" t="str">
        <f ca="1"/>
        <v/>
      </c>
      <c r="F36" s="688" t="str">
        <f ca="1"/>
        <v/>
      </c>
      <c r="G36" s="956" t="str">
        <f ca="1"/>
        <v/>
      </c>
      <c r="H36" s="957" t="str">
        <f ca="1"/>
        <v/>
      </c>
      <c r="I36" s="957" t="str">
        <f ca="1"/>
        <v/>
      </c>
      <c r="J36" s="690" t="str">
        <f ca="1"/>
        <v/>
      </c>
      <c r="K36" s="1017" t="str">
        <f ca="1"/>
        <v/>
      </c>
      <c r="L36" s="1036" t="str">
        <f ca="1"/>
        <v/>
      </c>
      <c r="M36" s="691" t="str">
        <f ca="1"/>
        <v/>
      </c>
      <c r="N36" s="958" t="str">
        <f ca="1"/>
        <v/>
      </c>
      <c r="O36" s="691" t="str">
        <f ca="1"/>
        <v/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 tint="0.39997558519241921"/>
  </sheetPr>
  <dimension ref="B3:L48"/>
  <sheetViews>
    <sheetView showGridLines="0" workbookViewId="0"/>
  </sheetViews>
  <sheetFormatPr defaultRowHeight="15"/>
  <cols>
    <col min="2" max="2" width="35.7109375" customWidth="1"/>
    <col min="3" max="4" width="20.7109375" customWidth="1"/>
    <col min="5" max="10" width="9.140625" customWidth="1"/>
    <col min="11" max="11" width="15.7109375" customWidth="1"/>
    <col min="12" max="12" width="35.7109375" customWidth="1"/>
    <col min="13" max="13" width="9.140625" customWidth="1"/>
    <col min="15" max="18" width="9.140625" customWidth="1"/>
  </cols>
  <sheetData>
    <row r="3" spans="2:5" s="966" customFormat="1">
      <c r="B3" s="965" t="s">
        <v>2145</v>
      </c>
    </row>
    <row r="4" spans="2:5" s="108" customFormat="1">
      <c r="B4" s="755" t="s">
        <v>1805</v>
      </c>
      <c r="C4" s="522" t="str">
        <f ca="1">_xll.meLWOSwapParRate(C$9,C$11)</f>
        <v>[2018/05/04 09:52] #Error: Invalid Curve: CurveCollection 'USDYC' does not exist</v>
      </c>
    </row>
    <row r="5" spans="2:5" s="108" customFormat="1">
      <c r="B5" s="756" t="s">
        <v>1445</v>
      </c>
      <c r="C5" s="523" t="str">
        <f ca="1">_xll.meLWOSwapPV(C$9,C$11)</f>
        <v>[2018/05/04 09:52] #Error: Invalid Curve: CurveCollection 'USDYC' does not exist</v>
      </c>
      <c r="D5" s="935" t="str">
        <f>D$27</f>
        <v>USD</v>
      </c>
    </row>
    <row r="6" spans="2:5" s="108" customFormat="1">
      <c r="B6" s="763" t="s">
        <v>1077</v>
      </c>
      <c r="C6" s="524" t="str">
        <f ca="1">_xll.meLWOSwapPV01(C$9,C$11)</f>
        <v>[2018/05/04 09:52] #Error: Invalid Curve: CurveCollection 'USDYC' does not exist</v>
      </c>
      <c r="D6" s="935" t="str">
        <f>D$27</f>
        <v>USD</v>
      </c>
    </row>
    <row r="9" spans="2:5">
      <c r="B9" t="s">
        <v>2000</v>
      </c>
      <c r="C9" s="966" t="str">
        <f ca="1">_xll.meLWOSwapCreate(C$10,B$15:D$48,FALSE)</f>
        <v>USD_CUSTOM_SWAP@62:0</v>
      </c>
    </row>
    <row r="10" spans="2:5">
      <c r="B10" s="947" t="s">
        <v>2126</v>
      </c>
      <c r="C10" s="936" t="str">
        <f>C$27&amp;"_CUSTOM_SWAP"</f>
        <v>USD_CUSTOM_SWAP</v>
      </c>
    </row>
    <row r="11" spans="2:5">
      <c r="B11" s="949" t="s">
        <v>1770</v>
      </c>
      <c r="C11" s="939" t="str">
        <f>C$27&amp;"YC"</f>
        <v>USDYC</v>
      </c>
      <c r="E11" s="424"/>
    </row>
    <row r="12" spans="2:5">
      <c r="B12" s="950"/>
      <c r="C12" s="950"/>
      <c r="D12" s="950"/>
      <c r="E12" s="732"/>
    </row>
    <row r="13" spans="2:5">
      <c r="B13" s="950"/>
      <c r="C13" s="950"/>
      <c r="D13" s="950"/>
      <c r="E13" s="732"/>
    </row>
    <row r="14" spans="2:5">
      <c r="B14" s="1002" t="s">
        <v>2127</v>
      </c>
      <c r="C14" s="995"/>
      <c r="D14" s="995"/>
      <c r="E14" s="732"/>
    </row>
    <row r="15" spans="2:5">
      <c r="B15" s="947" t="s">
        <v>2017</v>
      </c>
      <c r="C15" s="994" t="s">
        <v>2118</v>
      </c>
      <c r="D15" s="994" t="s">
        <v>2119</v>
      </c>
      <c r="E15" s="732"/>
    </row>
    <row r="16" spans="2:5">
      <c r="B16" s="948" t="s">
        <v>2016</v>
      </c>
      <c r="C16" s="990" t="s">
        <v>2125</v>
      </c>
      <c r="D16" s="990" t="s">
        <v>2125</v>
      </c>
      <c r="E16" s="732"/>
    </row>
    <row r="17" spans="2:5">
      <c r="B17" s="948" t="s">
        <v>354</v>
      </c>
      <c r="C17" s="993">
        <v>1000000</v>
      </c>
      <c r="D17" s="993">
        <v>1000000</v>
      </c>
      <c r="E17" s="732"/>
    </row>
    <row r="18" spans="2:5">
      <c r="B18" s="948" t="s">
        <v>2041</v>
      </c>
      <c r="C18" s="990">
        <v>100000</v>
      </c>
      <c r="D18" s="990">
        <v>100000</v>
      </c>
    </row>
    <row r="19" spans="2:5">
      <c r="B19" s="948" t="s">
        <v>2361</v>
      </c>
      <c r="C19" s="990">
        <v>1</v>
      </c>
      <c r="D19" s="990">
        <v>2</v>
      </c>
    </row>
    <row r="20" spans="2:5">
      <c r="B20" s="948" t="s">
        <v>1803</v>
      </c>
      <c r="C20" s="989" t="s">
        <v>1995</v>
      </c>
      <c r="D20" s="989" t="s">
        <v>1997</v>
      </c>
      <c r="E20" s="732"/>
    </row>
    <row r="21" spans="2:5">
      <c r="B21" s="948" t="s">
        <v>1802</v>
      </c>
      <c r="C21" s="941" t="s">
        <v>361</v>
      </c>
      <c r="D21" s="943" t="s">
        <v>361</v>
      </c>
      <c r="E21" s="732"/>
    </row>
    <row r="22" spans="2:5">
      <c r="B22" s="948" t="s">
        <v>1768</v>
      </c>
      <c r="C22" s="946">
        <f ca="1">_xll.meDateFromTenor(COB,C21,C41,C42)</f>
        <v>43229</v>
      </c>
      <c r="D22" s="946">
        <f ca="1">_xll.meDateFromTenor(COB,D21,D41,D42)</f>
        <v>43229</v>
      </c>
      <c r="E22" s="732"/>
    </row>
    <row r="23" spans="2:5">
      <c r="B23" s="948" t="s">
        <v>1769</v>
      </c>
      <c r="C23" s="1241" t="s">
        <v>31</v>
      </c>
      <c r="D23" s="1241" t="s">
        <v>31</v>
      </c>
      <c r="E23" s="732"/>
    </row>
    <row r="24" spans="2:5">
      <c r="B24" s="948" t="s">
        <v>1</v>
      </c>
      <c r="C24" s="940" t="s">
        <v>76</v>
      </c>
      <c r="D24" s="940" t="s">
        <v>75</v>
      </c>
      <c r="E24" s="732"/>
    </row>
    <row r="25" spans="2:5">
      <c r="B25" s="948" t="s">
        <v>1443</v>
      </c>
      <c r="C25" s="1242"/>
      <c r="D25" s="1242" t="s">
        <v>1040</v>
      </c>
      <c r="E25" s="732"/>
    </row>
    <row r="26" spans="2:5">
      <c r="B26" s="948" t="s">
        <v>1444</v>
      </c>
      <c r="C26" s="952" t="s">
        <v>1915</v>
      </c>
      <c r="D26" s="952" t="s">
        <v>1915</v>
      </c>
      <c r="E26" s="732"/>
    </row>
    <row r="27" spans="2:5">
      <c r="B27" s="948" t="s">
        <v>156</v>
      </c>
      <c r="C27" s="952" t="s">
        <v>181</v>
      </c>
      <c r="D27" s="952" t="s">
        <v>181</v>
      </c>
    </row>
    <row r="28" spans="2:5">
      <c r="B28" s="645" t="s">
        <v>2107</v>
      </c>
      <c r="C28" s="940" t="s">
        <v>2078</v>
      </c>
      <c r="D28" s="940" t="s">
        <v>2078</v>
      </c>
    </row>
    <row r="29" spans="2:5">
      <c r="B29" s="948" t="s">
        <v>2015</v>
      </c>
      <c r="C29" s="951">
        <v>1</v>
      </c>
      <c r="D29" s="951">
        <v>1</v>
      </c>
    </row>
    <row r="30" spans="2:5">
      <c r="B30" s="948" t="s">
        <v>1772</v>
      </c>
      <c r="C30" s="992">
        <v>0.01</v>
      </c>
      <c r="D30" s="992"/>
    </row>
    <row r="31" spans="2:5">
      <c r="B31" s="948" t="s">
        <v>2250</v>
      </c>
      <c r="C31" s="940"/>
      <c r="D31" s="940" t="s">
        <v>2252</v>
      </c>
    </row>
    <row r="32" spans="2:5">
      <c r="B32" s="948" t="s">
        <v>2251</v>
      </c>
      <c r="C32" s="940"/>
      <c r="D32" s="940" t="s">
        <v>2252</v>
      </c>
    </row>
    <row r="33" spans="2:12">
      <c r="B33" s="948" t="s">
        <v>2003</v>
      </c>
      <c r="C33" s="952"/>
      <c r="D33" s="942"/>
    </row>
    <row r="34" spans="2:12">
      <c r="B34" s="948" t="s">
        <v>2002</v>
      </c>
      <c r="C34" s="952"/>
      <c r="D34" s="952"/>
      <c r="K34" s="234" t="s">
        <v>2140</v>
      </c>
    </row>
    <row r="35" spans="2:12">
      <c r="B35" s="948" t="s">
        <v>1784</v>
      </c>
      <c r="C35" s="991"/>
      <c r="D35" s="991">
        <v>0</v>
      </c>
      <c r="K35" s="483" t="s">
        <v>2130</v>
      </c>
      <c r="L35" s="986" t="s">
        <v>2132</v>
      </c>
    </row>
    <row r="36" spans="2:12">
      <c r="B36" s="948" t="s">
        <v>120</v>
      </c>
      <c r="C36" s="944" t="s">
        <v>157</v>
      </c>
      <c r="D36" s="944" t="s">
        <v>3</v>
      </c>
      <c r="K36" s="485" t="s">
        <v>2131</v>
      </c>
      <c r="L36" s="987" t="str">
        <f>C10</f>
        <v>USD_CUSTOM_SWAP</v>
      </c>
    </row>
    <row r="37" spans="2:12">
      <c r="B37" s="948" t="s">
        <v>2012</v>
      </c>
      <c r="C37" s="941"/>
      <c r="D37" s="940" t="s">
        <v>38</v>
      </c>
      <c r="L37" s="934"/>
    </row>
    <row r="38" spans="2:12">
      <c r="B38" s="948" t="s">
        <v>2011</v>
      </c>
      <c r="C38" s="941"/>
      <c r="D38" s="940" t="s">
        <v>357</v>
      </c>
      <c r="K38" s="234" t="s">
        <v>2133</v>
      </c>
    </row>
    <row r="39" spans="2:12">
      <c r="B39" s="948" t="s">
        <v>2014</v>
      </c>
      <c r="C39" s="940" t="s">
        <v>38</v>
      </c>
      <c r="D39" s="940" t="s">
        <v>38</v>
      </c>
      <c r="K39" s="509" t="s">
        <v>2134</v>
      </c>
      <c r="L39" s="988" t="b">
        <v>0</v>
      </c>
    </row>
    <row r="40" spans="2:12">
      <c r="B40" s="948" t="s">
        <v>2013</v>
      </c>
      <c r="C40" s="940" t="s">
        <v>357</v>
      </c>
      <c r="D40" s="940" t="s">
        <v>357</v>
      </c>
      <c r="K40" s="510" t="s">
        <v>2136</v>
      </c>
      <c r="L40" s="983" t="str">
        <f ca="1">C9</f>
        <v>USD_CUSTOM_SWAP@62:0</v>
      </c>
    </row>
    <row r="41" spans="2:12">
      <c r="B41" s="948" t="s">
        <v>2009</v>
      </c>
      <c r="C41" s="940" t="s">
        <v>38</v>
      </c>
      <c r="D41" s="940" t="s">
        <v>38</v>
      </c>
      <c r="K41" s="510" t="s">
        <v>2137</v>
      </c>
      <c r="L41" s="983" t="s">
        <v>472</v>
      </c>
    </row>
    <row r="42" spans="2:12">
      <c r="B42" s="948" t="s">
        <v>2008</v>
      </c>
      <c r="C42" s="940" t="s">
        <v>357</v>
      </c>
      <c r="D42" s="940" t="s">
        <v>357</v>
      </c>
      <c r="K42" s="510" t="s">
        <v>2129</v>
      </c>
      <c r="L42" s="983" t="str">
        <f>$L$35&amp;$L$36&amp;".JSON"</f>
        <v>C:\Temp\USD_CUSTOM_SWAP.JSON</v>
      </c>
    </row>
    <row r="43" spans="2:12">
      <c r="B43" s="948" t="s">
        <v>2006</v>
      </c>
      <c r="C43" s="940" t="s">
        <v>2120</v>
      </c>
      <c r="D43" s="940" t="s">
        <v>2120</v>
      </c>
      <c r="K43" s="511" t="s">
        <v>2135</v>
      </c>
      <c r="L43" s="984" t="str">
        <f>IF($L$39,_xll.meLWOSave(L40,L41,L42),"Disabled")</f>
        <v>Disabled</v>
      </c>
    </row>
    <row r="44" spans="2:12">
      <c r="B44" s="948" t="s">
        <v>2010</v>
      </c>
      <c r="C44" s="941"/>
      <c r="D44" s="944" t="s">
        <v>356</v>
      </c>
      <c r="L44" s="934"/>
    </row>
    <row r="45" spans="2:12">
      <c r="B45" s="948" t="s">
        <v>2007</v>
      </c>
      <c r="C45" s="944" t="s">
        <v>356</v>
      </c>
      <c r="D45" s="944" t="s">
        <v>356</v>
      </c>
      <c r="K45" s="234" t="s">
        <v>2138</v>
      </c>
      <c r="L45" s="934"/>
    </row>
    <row r="46" spans="2:12">
      <c r="B46" s="948" t="s">
        <v>2005</v>
      </c>
      <c r="C46" s="1243"/>
      <c r="D46" s="1243"/>
      <c r="K46" s="509" t="s">
        <v>2134</v>
      </c>
      <c r="L46" s="988" t="b">
        <v>0</v>
      </c>
    </row>
    <row r="47" spans="2:12">
      <c r="B47" s="948" t="s">
        <v>2004</v>
      </c>
      <c r="C47" s="1243"/>
      <c r="D47" s="1243"/>
      <c r="K47" s="510" t="s">
        <v>2129</v>
      </c>
      <c r="L47" s="983" t="str">
        <f>$L$35&amp;$L$36&amp;".JSON"</f>
        <v>C:\Temp\USD_CUSTOM_SWAP.JSON</v>
      </c>
    </row>
    <row r="48" spans="2:12">
      <c r="B48" s="949" t="s">
        <v>2001</v>
      </c>
      <c r="C48" s="945" t="s">
        <v>358</v>
      </c>
      <c r="D48" s="945" t="s">
        <v>358</v>
      </c>
      <c r="K48" s="511" t="s">
        <v>2139</v>
      </c>
      <c r="L48" s="985" t="str">
        <f>IF($L$46,_xll.meLWOLoad($L$47),"Disabled")</f>
        <v>Disabled</v>
      </c>
    </row>
  </sheetData>
  <dataValidations count="7">
    <dataValidation type="list" allowBlank="1" showInputMessage="1" showErrorMessage="1" sqref="C24:D24">
      <formula1>"Annual,Semi-Annual,Quarterly,Monthly"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D37 C39:D39 C41:D41">
      <formula1>"MOD_FOLLOWING,FOLLOWING,MOD_PRECEDING,PRECEDING,NO_CHANGE"</formula1>
    </dataValidation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L39 L46">
      <formula1>"TRUE,FALSE"</formula1>
    </dataValidation>
    <dataValidation type="list" allowBlank="1" showInputMessage="1" showErrorMessage="1" sqref="C32:D32">
      <formula1>"NATURAL,1D,1M,3M,6M,12M"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8" tint="0.39997558519241921"/>
  </sheetPr>
  <dimension ref="B2:Q51"/>
  <sheetViews>
    <sheetView showGridLines="0" workbookViewId="0">
      <selection activeCell="I42" sqref="I42"/>
    </sheetView>
  </sheetViews>
  <sheetFormatPr defaultRowHeight="15"/>
  <cols>
    <col min="2" max="2" width="14.85546875" customWidth="1"/>
    <col min="3" max="3" width="10.85546875" bestFit="1" customWidth="1"/>
    <col min="4" max="4" width="11.7109375" bestFit="1" customWidth="1"/>
    <col min="5" max="5" width="19.7109375" bestFit="1" customWidth="1"/>
    <col min="6" max="6" width="19.5703125" bestFit="1" customWidth="1"/>
    <col min="7" max="7" width="13.140625" bestFit="1" customWidth="1"/>
    <col min="8" max="8" width="17.42578125" bestFit="1" customWidth="1"/>
    <col min="9" max="9" width="17.28515625" bestFit="1" customWidth="1"/>
    <col min="10" max="10" width="11" bestFit="1" customWidth="1"/>
    <col min="11" max="11" width="10.85546875" bestFit="1" customWidth="1"/>
    <col min="12" max="12" width="11.5703125" bestFit="1" customWidth="1"/>
    <col min="13" max="13" width="14.42578125" bestFit="1" customWidth="1"/>
    <col min="14" max="14" width="10.42578125" bestFit="1" customWidth="1"/>
    <col min="15" max="15" width="14.28515625" bestFit="1" customWidth="1"/>
    <col min="16" max="16" width="10.28515625" bestFit="1" customWidth="1"/>
  </cols>
  <sheetData>
    <row r="2" spans="2:17">
      <c r="B2" t="s">
        <v>2059</v>
      </c>
      <c r="C2" s="979" t="str">
        <f ca="1">'USD Custom Swap'!$C$9</f>
        <v>USD_CUSTOM_SWAP@62:0</v>
      </c>
    </row>
    <row r="3" spans="2:17">
      <c r="B3" t="s">
        <v>1770</v>
      </c>
      <c r="C3" s="979" t="str">
        <f>'USD Custom Swap'!$C$11</f>
        <v>USDYC</v>
      </c>
    </row>
    <row r="5" spans="2:17">
      <c r="B5" s="345" t="str">
        <f>'EUR Custom Swap'!$C$15</f>
        <v>Leg1:Fixed</v>
      </c>
      <c r="C5" s="995"/>
      <c r="D5" s="995"/>
      <c r="E5" s="995"/>
      <c r="F5" s="995"/>
      <c r="G5" s="995"/>
      <c r="H5" s="995"/>
      <c r="I5" s="995"/>
      <c r="J5" s="995"/>
      <c r="K5" s="995"/>
      <c r="L5" s="995"/>
      <c r="M5" s="995"/>
      <c r="N5" s="995"/>
      <c r="O5" s="995"/>
      <c r="P5" s="995"/>
      <c r="Q5" s="995"/>
    </row>
    <row r="6" spans="2:17">
      <c r="B6" s="1038" t="str">
        <f t="array" aca="1" ref="B6:Q21" ca="1">_xll.meUtilityResize(_xll.meLWOSwapDisplayCashflows(C$2,C$3,$B$5),50,50)</f>
        <v>[2018/05/04 09:52] #Error: Invalid Curve: CurveCollection 'USDYC' does not exist</v>
      </c>
      <c r="C6" s="701" t="str">
        <f ca="1"/>
        <v/>
      </c>
      <c r="D6" s="701" t="str">
        <f ca="1"/>
        <v/>
      </c>
      <c r="E6" s="701" t="str">
        <f ca="1"/>
        <v/>
      </c>
      <c r="F6" s="701" t="str">
        <f ca="1"/>
        <v/>
      </c>
      <c r="G6" s="701" t="str">
        <f ca="1"/>
        <v/>
      </c>
      <c r="H6" s="701" t="str">
        <f ca="1"/>
        <v/>
      </c>
      <c r="I6" s="701" t="str">
        <f ca="1"/>
        <v/>
      </c>
      <c r="J6" s="701" t="str">
        <f ca="1"/>
        <v/>
      </c>
      <c r="K6" s="701" t="str">
        <f ca="1"/>
        <v/>
      </c>
      <c r="L6" s="701" t="str">
        <f ca="1"/>
        <v/>
      </c>
      <c r="M6" s="953" t="str">
        <f ca="1"/>
        <v/>
      </c>
      <c r="N6" s="954" t="str">
        <f ca="1"/>
        <v/>
      </c>
      <c r="O6" s="701" t="str">
        <f ca="1"/>
        <v/>
      </c>
      <c r="P6" s="701" t="str">
        <f ca="1"/>
        <v/>
      </c>
      <c r="Q6" s="700" t="str">
        <f ca="1"/>
        <v/>
      </c>
    </row>
    <row r="7" spans="2:17">
      <c r="B7" s="955" t="str">
        <f ca="1"/>
        <v/>
      </c>
      <c r="C7" s="956" t="str">
        <f ca="1"/>
        <v/>
      </c>
      <c r="D7" s="687" t="str">
        <f ca="1"/>
        <v/>
      </c>
      <c r="E7" s="687" t="str">
        <f ca="1"/>
        <v/>
      </c>
      <c r="F7" s="956" t="str">
        <f ca="1"/>
        <v/>
      </c>
      <c r="G7" s="957" t="str">
        <f ca="1"/>
        <v/>
      </c>
      <c r="H7" s="957" t="str">
        <f ca="1"/>
        <v/>
      </c>
      <c r="I7" s="687" t="str">
        <f ca="1"/>
        <v/>
      </c>
      <c r="J7" s="687" t="str">
        <f ca="1"/>
        <v/>
      </c>
      <c r="K7" s="687" t="str">
        <f ca="1"/>
        <v/>
      </c>
      <c r="L7" s="957" t="str">
        <f ca="1"/>
        <v/>
      </c>
      <c r="M7" s="958" t="str">
        <f ca="1"/>
        <v/>
      </c>
      <c r="N7" s="957" t="str">
        <f ca="1"/>
        <v/>
      </c>
      <c r="O7" s="687" t="str">
        <f ca="1"/>
        <v/>
      </c>
      <c r="P7" s="687" t="str">
        <f ca="1"/>
        <v/>
      </c>
      <c r="Q7" s="539" t="str">
        <f ca="1"/>
        <v/>
      </c>
    </row>
    <row r="8" spans="2:17">
      <c r="B8" s="955" t="str">
        <f ca="1"/>
        <v/>
      </c>
      <c r="C8" s="956" t="str">
        <f ca="1"/>
        <v/>
      </c>
      <c r="D8" s="687" t="str">
        <f ca="1"/>
        <v/>
      </c>
      <c r="E8" s="688" t="str">
        <f ca="1"/>
        <v/>
      </c>
      <c r="F8" s="956" t="str">
        <f ca="1"/>
        <v/>
      </c>
      <c r="G8" s="957" t="str">
        <f ca="1"/>
        <v/>
      </c>
      <c r="H8" s="957" t="str">
        <f ca="1"/>
        <v/>
      </c>
      <c r="I8" s="690" t="str">
        <f ca="1"/>
        <v/>
      </c>
      <c r="J8" s="688" t="str">
        <f ca="1"/>
        <v/>
      </c>
      <c r="K8" s="691" t="str">
        <f ca="1"/>
        <v/>
      </c>
      <c r="L8" s="958" t="str">
        <f ca="1"/>
        <v/>
      </c>
      <c r="M8" s="691" t="str">
        <f ca="1"/>
        <v/>
      </c>
      <c r="N8" s="957" t="str">
        <f ca="1"/>
        <v/>
      </c>
      <c r="O8" s="687" t="str">
        <f ca="1"/>
        <v/>
      </c>
      <c r="P8" s="687" t="str">
        <f ca="1"/>
        <v/>
      </c>
      <c r="Q8" s="539" t="str">
        <f ca="1"/>
        <v/>
      </c>
    </row>
    <row r="9" spans="2:17">
      <c r="B9" s="955" t="str">
        <f ca="1"/>
        <v/>
      </c>
      <c r="C9" s="956" t="str">
        <f ca="1"/>
        <v/>
      </c>
      <c r="D9" s="687" t="str">
        <f ca="1"/>
        <v/>
      </c>
      <c r="E9" s="688" t="str">
        <f ca="1"/>
        <v/>
      </c>
      <c r="F9" s="956" t="str">
        <f ca="1"/>
        <v/>
      </c>
      <c r="G9" s="957" t="str">
        <f ca="1"/>
        <v/>
      </c>
      <c r="H9" s="957" t="str">
        <f ca="1"/>
        <v/>
      </c>
      <c r="I9" s="690" t="str">
        <f ca="1"/>
        <v/>
      </c>
      <c r="J9" s="688" t="str">
        <f ca="1"/>
        <v/>
      </c>
      <c r="K9" s="691" t="str">
        <f ca="1"/>
        <v/>
      </c>
      <c r="L9" s="958" t="str">
        <f ca="1"/>
        <v/>
      </c>
      <c r="M9" s="691" t="str">
        <f ca="1"/>
        <v/>
      </c>
      <c r="N9" s="957" t="str">
        <f ca="1"/>
        <v/>
      </c>
      <c r="O9" s="687" t="str">
        <f ca="1"/>
        <v/>
      </c>
      <c r="P9" s="687" t="str">
        <f ca="1"/>
        <v/>
      </c>
      <c r="Q9" s="539" t="str">
        <f ca="1"/>
        <v/>
      </c>
    </row>
    <row r="10" spans="2:17">
      <c r="B10" s="955" t="str">
        <f ca="1"/>
        <v/>
      </c>
      <c r="C10" s="956" t="str">
        <f ca="1"/>
        <v/>
      </c>
      <c r="D10" s="687" t="str">
        <f ca="1"/>
        <v/>
      </c>
      <c r="E10" s="688" t="str">
        <f ca="1"/>
        <v/>
      </c>
      <c r="F10" s="956" t="str">
        <f ca="1"/>
        <v/>
      </c>
      <c r="G10" s="957" t="str">
        <f ca="1"/>
        <v/>
      </c>
      <c r="H10" s="957" t="str">
        <f ca="1"/>
        <v/>
      </c>
      <c r="I10" s="690" t="str">
        <f ca="1"/>
        <v/>
      </c>
      <c r="J10" s="688" t="str">
        <f ca="1"/>
        <v/>
      </c>
      <c r="K10" s="691" t="str">
        <f ca="1"/>
        <v/>
      </c>
      <c r="L10" s="958" t="str">
        <f ca="1"/>
        <v/>
      </c>
      <c r="M10" s="691" t="str">
        <f ca="1"/>
        <v/>
      </c>
      <c r="N10" s="957" t="str">
        <f ca="1"/>
        <v/>
      </c>
      <c r="O10" s="687" t="str">
        <f ca="1"/>
        <v/>
      </c>
      <c r="P10" s="687" t="str">
        <f ca="1"/>
        <v/>
      </c>
      <c r="Q10" s="539" t="str">
        <f ca="1"/>
        <v/>
      </c>
    </row>
    <row r="11" spans="2:17">
      <c r="B11" s="955" t="str">
        <f ca="1"/>
        <v/>
      </c>
      <c r="C11" s="956" t="str">
        <f ca="1"/>
        <v/>
      </c>
      <c r="D11" s="687" t="str">
        <f ca="1"/>
        <v/>
      </c>
      <c r="E11" s="688" t="str">
        <f ca="1"/>
        <v/>
      </c>
      <c r="F11" s="956" t="str">
        <f ca="1"/>
        <v/>
      </c>
      <c r="G11" s="957" t="str">
        <f ca="1"/>
        <v/>
      </c>
      <c r="H11" s="957" t="str">
        <f ca="1"/>
        <v/>
      </c>
      <c r="I11" s="690" t="str">
        <f ca="1"/>
        <v/>
      </c>
      <c r="J11" s="688" t="str">
        <f ca="1"/>
        <v/>
      </c>
      <c r="K11" s="691" t="str">
        <f ca="1"/>
        <v/>
      </c>
      <c r="L11" s="958" t="str">
        <f ca="1"/>
        <v/>
      </c>
      <c r="M11" s="691" t="str">
        <f ca="1"/>
        <v/>
      </c>
      <c r="N11" s="957" t="str">
        <f ca="1"/>
        <v/>
      </c>
      <c r="O11" s="687" t="str">
        <f ca="1"/>
        <v/>
      </c>
      <c r="P11" s="687" t="str">
        <f ca="1"/>
        <v/>
      </c>
      <c r="Q11" s="539" t="str">
        <f ca="1"/>
        <v/>
      </c>
    </row>
    <row r="12" spans="2:17">
      <c r="B12" s="955" t="str">
        <f ca="1"/>
        <v/>
      </c>
      <c r="C12" s="956" t="str">
        <f ca="1"/>
        <v/>
      </c>
      <c r="D12" s="687" t="str">
        <f ca="1"/>
        <v/>
      </c>
      <c r="E12" s="688" t="str">
        <f ca="1"/>
        <v/>
      </c>
      <c r="F12" s="956" t="str">
        <f ca="1"/>
        <v/>
      </c>
      <c r="G12" s="957" t="str">
        <f ca="1"/>
        <v/>
      </c>
      <c r="H12" s="957" t="str">
        <f ca="1"/>
        <v/>
      </c>
      <c r="I12" s="690" t="str">
        <f ca="1"/>
        <v/>
      </c>
      <c r="J12" s="688" t="str">
        <f ca="1"/>
        <v/>
      </c>
      <c r="K12" s="691" t="str">
        <f ca="1"/>
        <v/>
      </c>
      <c r="L12" s="958" t="str">
        <f ca="1"/>
        <v/>
      </c>
      <c r="M12" s="691" t="str">
        <f ca="1"/>
        <v/>
      </c>
      <c r="N12" s="957" t="str">
        <f ca="1"/>
        <v/>
      </c>
      <c r="O12" s="687" t="str">
        <f ca="1"/>
        <v/>
      </c>
      <c r="P12" s="687" t="str">
        <f ca="1"/>
        <v/>
      </c>
      <c r="Q12" s="539" t="str">
        <f ca="1"/>
        <v/>
      </c>
    </row>
    <row r="13" spans="2:17">
      <c r="B13" s="955" t="str">
        <f ca="1"/>
        <v/>
      </c>
      <c r="C13" s="956" t="str">
        <f ca="1"/>
        <v/>
      </c>
      <c r="D13" s="687" t="str">
        <f ca="1"/>
        <v/>
      </c>
      <c r="E13" s="688" t="str">
        <f ca="1"/>
        <v/>
      </c>
      <c r="F13" s="956" t="str">
        <f ca="1"/>
        <v/>
      </c>
      <c r="G13" s="957" t="str">
        <f ca="1"/>
        <v/>
      </c>
      <c r="H13" s="957" t="str">
        <f ca="1"/>
        <v/>
      </c>
      <c r="I13" s="690" t="str">
        <f ca="1"/>
        <v/>
      </c>
      <c r="J13" s="688" t="str">
        <f ca="1"/>
        <v/>
      </c>
      <c r="K13" s="691" t="str">
        <f ca="1"/>
        <v/>
      </c>
      <c r="L13" s="958" t="str">
        <f ca="1"/>
        <v/>
      </c>
      <c r="M13" s="691" t="str">
        <f ca="1"/>
        <v/>
      </c>
      <c r="N13" s="957" t="str">
        <f ca="1"/>
        <v/>
      </c>
      <c r="O13" s="687" t="str">
        <f ca="1"/>
        <v/>
      </c>
      <c r="P13" s="687" t="str">
        <f ca="1"/>
        <v/>
      </c>
      <c r="Q13" s="539" t="str">
        <f ca="1"/>
        <v/>
      </c>
    </row>
    <row r="14" spans="2:17">
      <c r="B14" s="955" t="str">
        <f ca="1"/>
        <v/>
      </c>
      <c r="C14" s="956" t="str">
        <f ca="1"/>
        <v/>
      </c>
      <c r="D14" s="687" t="str">
        <f ca="1"/>
        <v/>
      </c>
      <c r="E14" s="688" t="str">
        <f ca="1"/>
        <v/>
      </c>
      <c r="F14" s="956" t="str">
        <f ca="1"/>
        <v/>
      </c>
      <c r="G14" s="957" t="str">
        <f ca="1"/>
        <v/>
      </c>
      <c r="H14" s="957" t="str">
        <f ca="1"/>
        <v/>
      </c>
      <c r="I14" s="690" t="str">
        <f ca="1"/>
        <v/>
      </c>
      <c r="J14" s="688" t="str">
        <f ca="1"/>
        <v/>
      </c>
      <c r="K14" s="691" t="str">
        <f ca="1"/>
        <v/>
      </c>
      <c r="L14" s="958" t="str">
        <f ca="1"/>
        <v/>
      </c>
      <c r="M14" s="691" t="str">
        <f ca="1"/>
        <v/>
      </c>
      <c r="N14" s="957" t="str">
        <f ca="1"/>
        <v/>
      </c>
      <c r="O14" s="687" t="str">
        <f ca="1"/>
        <v/>
      </c>
      <c r="P14" s="687" t="str">
        <f ca="1"/>
        <v/>
      </c>
      <c r="Q14" s="539" t="str">
        <f ca="1"/>
        <v/>
      </c>
    </row>
    <row r="15" spans="2:17">
      <c r="B15" s="955" t="str">
        <f ca="1"/>
        <v/>
      </c>
      <c r="C15" s="956" t="str">
        <f ca="1"/>
        <v/>
      </c>
      <c r="D15" s="687" t="str">
        <f ca="1"/>
        <v/>
      </c>
      <c r="E15" s="688" t="str">
        <f ca="1"/>
        <v/>
      </c>
      <c r="F15" s="956" t="str">
        <f ca="1"/>
        <v/>
      </c>
      <c r="G15" s="957" t="str">
        <f ca="1"/>
        <v/>
      </c>
      <c r="H15" s="957" t="str">
        <f ca="1"/>
        <v/>
      </c>
      <c r="I15" s="690" t="str">
        <f ca="1"/>
        <v/>
      </c>
      <c r="J15" s="688" t="str">
        <f ca="1"/>
        <v/>
      </c>
      <c r="K15" s="691" t="str">
        <f ca="1"/>
        <v/>
      </c>
      <c r="L15" s="958" t="str">
        <f ca="1"/>
        <v/>
      </c>
      <c r="M15" s="691" t="str">
        <f ca="1"/>
        <v/>
      </c>
      <c r="N15" s="957" t="str">
        <f ca="1"/>
        <v/>
      </c>
      <c r="O15" s="687" t="str">
        <f ca="1"/>
        <v/>
      </c>
      <c r="P15" s="687" t="str">
        <f ca="1"/>
        <v/>
      </c>
      <c r="Q15" s="539" t="str">
        <f ca="1"/>
        <v/>
      </c>
    </row>
    <row r="16" spans="2:17">
      <c r="B16" s="955" t="str">
        <f ca="1"/>
        <v/>
      </c>
      <c r="C16" s="956" t="str">
        <f ca="1"/>
        <v/>
      </c>
      <c r="D16" s="687" t="str">
        <f ca="1"/>
        <v/>
      </c>
      <c r="E16" s="688" t="str">
        <f ca="1"/>
        <v/>
      </c>
      <c r="F16" s="956" t="str">
        <f ca="1"/>
        <v/>
      </c>
      <c r="G16" s="957" t="str">
        <f ca="1"/>
        <v/>
      </c>
      <c r="H16" s="957" t="str">
        <f ca="1"/>
        <v/>
      </c>
      <c r="I16" s="690" t="str">
        <f ca="1"/>
        <v/>
      </c>
      <c r="J16" s="688" t="str">
        <f ca="1"/>
        <v/>
      </c>
      <c r="K16" s="691" t="str">
        <f ca="1"/>
        <v/>
      </c>
      <c r="L16" s="958" t="str">
        <f ca="1"/>
        <v/>
      </c>
      <c r="M16" s="691" t="str">
        <f ca="1"/>
        <v/>
      </c>
      <c r="N16" s="957" t="str">
        <f ca="1"/>
        <v/>
      </c>
      <c r="O16" s="687" t="str">
        <f ca="1"/>
        <v/>
      </c>
      <c r="P16" s="687" t="str">
        <f ca="1"/>
        <v/>
      </c>
      <c r="Q16" s="539" t="str">
        <f ca="1"/>
        <v/>
      </c>
    </row>
    <row r="17" spans="2:17">
      <c r="B17" s="955" t="str">
        <f ca="1"/>
        <v/>
      </c>
      <c r="C17" s="956" t="str">
        <f ca="1"/>
        <v/>
      </c>
      <c r="D17" s="687" t="str">
        <f ca="1"/>
        <v/>
      </c>
      <c r="E17" s="688" t="str">
        <f ca="1"/>
        <v/>
      </c>
      <c r="F17" s="956" t="str">
        <f ca="1"/>
        <v/>
      </c>
      <c r="G17" s="957" t="str">
        <f ca="1"/>
        <v/>
      </c>
      <c r="H17" s="957" t="str">
        <f ca="1"/>
        <v/>
      </c>
      <c r="I17" s="690" t="str">
        <f ca="1"/>
        <v/>
      </c>
      <c r="J17" s="688" t="str">
        <f ca="1"/>
        <v/>
      </c>
      <c r="K17" s="691" t="str">
        <f ca="1"/>
        <v/>
      </c>
      <c r="L17" s="958" t="str">
        <f ca="1"/>
        <v/>
      </c>
      <c r="M17" s="691" t="str">
        <f ca="1"/>
        <v/>
      </c>
      <c r="N17" s="957" t="str">
        <f ca="1"/>
        <v/>
      </c>
      <c r="O17" s="687" t="str">
        <f ca="1"/>
        <v/>
      </c>
      <c r="P17" s="687" t="str">
        <f ca="1"/>
        <v/>
      </c>
      <c r="Q17" s="539" t="str">
        <f ca="1"/>
        <v/>
      </c>
    </row>
    <row r="18" spans="2:17">
      <c r="B18" s="955" t="str">
        <f ca="1"/>
        <v/>
      </c>
      <c r="C18" s="956" t="str">
        <f ca="1"/>
        <v/>
      </c>
      <c r="D18" s="687" t="str">
        <f ca="1"/>
        <v/>
      </c>
      <c r="E18" s="688" t="str">
        <f ca="1"/>
        <v/>
      </c>
      <c r="F18" s="956" t="str">
        <f ca="1"/>
        <v/>
      </c>
      <c r="G18" s="957" t="str">
        <f ca="1"/>
        <v/>
      </c>
      <c r="H18" s="957" t="str">
        <f ca="1"/>
        <v/>
      </c>
      <c r="I18" s="690" t="str">
        <f ca="1"/>
        <v/>
      </c>
      <c r="J18" s="688" t="str">
        <f ca="1"/>
        <v/>
      </c>
      <c r="K18" s="691" t="str">
        <f ca="1"/>
        <v/>
      </c>
      <c r="L18" s="958" t="str">
        <f ca="1"/>
        <v/>
      </c>
      <c r="M18" s="691" t="str">
        <f ca="1"/>
        <v/>
      </c>
      <c r="N18" s="957" t="str">
        <f ca="1"/>
        <v/>
      </c>
      <c r="O18" s="687" t="str">
        <f ca="1"/>
        <v/>
      </c>
      <c r="P18" s="687" t="str">
        <f ca="1"/>
        <v/>
      </c>
      <c r="Q18" s="539" t="str">
        <f ca="1"/>
        <v/>
      </c>
    </row>
    <row r="19" spans="2:17">
      <c r="B19" s="955" t="str">
        <f ca="1"/>
        <v/>
      </c>
      <c r="C19" s="956" t="str">
        <f ca="1"/>
        <v/>
      </c>
      <c r="D19" s="687" t="str">
        <f ca="1"/>
        <v/>
      </c>
      <c r="E19" s="688" t="str">
        <f ca="1"/>
        <v/>
      </c>
      <c r="F19" s="956" t="str">
        <f ca="1"/>
        <v/>
      </c>
      <c r="G19" s="957" t="str">
        <f ca="1"/>
        <v/>
      </c>
      <c r="H19" s="957" t="str">
        <f ca="1"/>
        <v/>
      </c>
      <c r="I19" s="690" t="str">
        <f ca="1"/>
        <v/>
      </c>
      <c r="J19" s="688" t="str">
        <f ca="1"/>
        <v/>
      </c>
      <c r="K19" s="691" t="str">
        <f ca="1"/>
        <v/>
      </c>
      <c r="L19" s="958" t="str">
        <f ca="1"/>
        <v/>
      </c>
      <c r="M19" s="691" t="str">
        <f ca="1"/>
        <v/>
      </c>
      <c r="N19" s="957" t="str">
        <f ca="1"/>
        <v/>
      </c>
      <c r="O19" s="687" t="str">
        <f ca="1"/>
        <v/>
      </c>
      <c r="P19" s="687" t="str">
        <f ca="1"/>
        <v/>
      </c>
      <c r="Q19" s="539" t="str">
        <f ca="1"/>
        <v/>
      </c>
    </row>
    <row r="20" spans="2:17">
      <c r="B20" s="955" t="str">
        <f ca="1"/>
        <v/>
      </c>
      <c r="C20" s="956" t="str">
        <f ca="1"/>
        <v/>
      </c>
      <c r="D20" s="687" t="str">
        <f ca="1"/>
        <v/>
      </c>
      <c r="E20" s="688" t="str">
        <f ca="1"/>
        <v/>
      </c>
      <c r="F20" s="956" t="str">
        <f ca="1"/>
        <v/>
      </c>
      <c r="G20" s="957" t="str">
        <f ca="1"/>
        <v/>
      </c>
      <c r="H20" s="957" t="str">
        <f ca="1"/>
        <v/>
      </c>
      <c r="I20" s="690" t="str">
        <f ca="1"/>
        <v/>
      </c>
      <c r="J20" s="688" t="str">
        <f ca="1"/>
        <v/>
      </c>
      <c r="K20" s="691" t="str">
        <f ca="1"/>
        <v/>
      </c>
      <c r="L20" s="958" t="str">
        <f ca="1"/>
        <v/>
      </c>
      <c r="M20" s="691" t="str">
        <f ca="1"/>
        <v/>
      </c>
      <c r="N20" s="957" t="str">
        <f ca="1"/>
        <v/>
      </c>
      <c r="O20" s="687" t="str">
        <f ca="1"/>
        <v/>
      </c>
      <c r="P20" s="687" t="str">
        <f ca="1"/>
        <v/>
      </c>
      <c r="Q20" s="539" t="str">
        <f ca="1"/>
        <v/>
      </c>
    </row>
    <row r="21" spans="2:17">
      <c r="B21" s="959" t="str">
        <f ca="1"/>
        <v/>
      </c>
      <c r="C21" s="960" t="str">
        <f ca="1"/>
        <v/>
      </c>
      <c r="D21" s="672" t="str">
        <f ca="1"/>
        <v/>
      </c>
      <c r="E21" s="673" t="str">
        <f ca="1"/>
        <v/>
      </c>
      <c r="F21" s="960" t="str">
        <f ca="1"/>
        <v/>
      </c>
      <c r="G21" s="961" t="str">
        <f ca="1"/>
        <v/>
      </c>
      <c r="H21" s="961" t="str">
        <f ca="1"/>
        <v/>
      </c>
      <c r="I21" s="675" t="str">
        <f ca="1"/>
        <v/>
      </c>
      <c r="J21" s="673" t="str">
        <f ca="1"/>
        <v/>
      </c>
      <c r="K21" s="676" t="str">
        <f ca="1"/>
        <v/>
      </c>
      <c r="L21" s="962" t="str">
        <f ca="1"/>
        <v/>
      </c>
      <c r="M21" s="676" t="str">
        <f ca="1"/>
        <v/>
      </c>
      <c r="N21" s="961" t="str">
        <f ca="1"/>
        <v/>
      </c>
      <c r="O21" s="672" t="str">
        <f ca="1"/>
        <v/>
      </c>
      <c r="P21" s="672" t="str">
        <f ca="1"/>
        <v/>
      </c>
      <c r="Q21" s="540" t="str">
        <f ca="1"/>
        <v/>
      </c>
    </row>
    <row r="22" spans="2:17">
      <c r="B22" s="995"/>
      <c r="C22" s="995"/>
      <c r="D22" s="995"/>
      <c r="E22" s="995"/>
      <c r="F22" s="995"/>
      <c r="G22" s="995"/>
      <c r="H22" s="995"/>
      <c r="I22" s="995"/>
      <c r="J22" s="995"/>
      <c r="K22" s="995"/>
      <c r="L22" s="995"/>
      <c r="M22" s="995"/>
      <c r="N22" s="995"/>
      <c r="O22" s="995"/>
      <c r="P22" s="995"/>
      <c r="Q22" s="995"/>
    </row>
    <row r="23" spans="2:17">
      <c r="B23" s="345" t="str">
        <f>'EUR Custom Swap'!$D$15</f>
        <v>Leg2:Float</v>
      </c>
      <c r="C23" s="995"/>
      <c r="D23" s="995"/>
      <c r="E23" s="995"/>
      <c r="F23" s="995"/>
      <c r="G23" s="995"/>
      <c r="H23" s="995"/>
      <c r="I23" s="995"/>
      <c r="J23" s="995"/>
      <c r="K23" s="995"/>
      <c r="L23" s="995"/>
      <c r="M23" s="995"/>
      <c r="N23" s="995"/>
      <c r="O23" s="995"/>
      <c r="P23" s="995"/>
      <c r="Q23" s="995"/>
    </row>
    <row r="24" spans="2:17">
      <c r="B24" s="1038" t="str">
        <f t="array" aca="1" ref="B24:Q51" ca="1">_xll.meUtilityResize(_xll.meLWOSwapDisplayCashflows(C$2,C$3,$B$23),50,50)</f>
        <v>[2018/05/04 09:52] #Error: Invalid Curve: CurveCollection 'USDYC' does not exist</v>
      </c>
      <c r="C24" s="701" t="str">
        <f ca="1"/>
        <v/>
      </c>
      <c r="D24" s="701" t="str">
        <f ca="1"/>
        <v/>
      </c>
      <c r="E24" s="701" t="str">
        <f ca="1"/>
        <v/>
      </c>
      <c r="F24" s="701" t="str">
        <f ca="1"/>
        <v/>
      </c>
      <c r="G24" s="701" t="str">
        <f ca="1"/>
        <v/>
      </c>
      <c r="H24" s="701" t="str">
        <f ca="1"/>
        <v/>
      </c>
      <c r="I24" s="701" t="str">
        <f ca="1"/>
        <v/>
      </c>
      <c r="J24" s="701" t="str">
        <f ca="1"/>
        <v/>
      </c>
      <c r="K24" s="1013" t="str">
        <f ca="1"/>
        <v/>
      </c>
      <c r="L24" s="1013" t="str">
        <f ca="1"/>
        <v/>
      </c>
      <c r="M24" s="963" t="str">
        <f ca="1"/>
        <v/>
      </c>
      <c r="N24" s="701" t="str">
        <f ca="1"/>
        <v/>
      </c>
      <c r="O24" s="953" t="str">
        <f ca="1"/>
        <v/>
      </c>
      <c r="P24" s="954" t="str">
        <f ca="1"/>
        <v/>
      </c>
      <c r="Q24" s="700" t="str">
        <f ca="1"/>
        <v/>
      </c>
    </row>
    <row r="25" spans="2:17">
      <c r="B25" s="955" t="str">
        <f ca="1"/>
        <v/>
      </c>
      <c r="C25" s="956" t="str">
        <f ca="1"/>
        <v/>
      </c>
      <c r="D25" s="956" t="str">
        <f ca="1"/>
        <v/>
      </c>
      <c r="E25" s="687" t="str">
        <f ca="1"/>
        <v/>
      </c>
      <c r="F25" s="687" t="str">
        <f ca="1"/>
        <v/>
      </c>
      <c r="G25" s="956" t="str">
        <f ca="1"/>
        <v/>
      </c>
      <c r="H25" s="957" t="str">
        <f ca="1"/>
        <v/>
      </c>
      <c r="I25" s="957" t="str">
        <f ca="1"/>
        <v/>
      </c>
      <c r="J25" s="687" t="str">
        <f ca="1"/>
        <v/>
      </c>
      <c r="K25" s="1004" t="str">
        <f ca="1"/>
        <v/>
      </c>
      <c r="L25" s="461" t="str">
        <f ca="1"/>
        <v/>
      </c>
      <c r="M25" s="964" t="str">
        <f ca="1"/>
        <v/>
      </c>
      <c r="N25" s="957" t="str">
        <f ca="1"/>
        <v/>
      </c>
      <c r="O25" s="958" t="str">
        <f ca="1"/>
        <v/>
      </c>
      <c r="P25" s="957" t="str">
        <f ca="1"/>
        <v/>
      </c>
      <c r="Q25" s="539" t="str">
        <f ca="1"/>
        <v/>
      </c>
    </row>
    <row r="26" spans="2:17">
      <c r="B26" s="955" t="str">
        <f ca="1"/>
        <v/>
      </c>
      <c r="C26" s="956" t="str">
        <f ca="1"/>
        <v/>
      </c>
      <c r="D26" s="956" t="str">
        <f ca="1"/>
        <v/>
      </c>
      <c r="E26" s="687" t="str">
        <f ca="1"/>
        <v/>
      </c>
      <c r="F26" s="688" t="str">
        <f ca="1"/>
        <v/>
      </c>
      <c r="G26" s="956" t="str">
        <f ca="1"/>
        <v/>
      </c>
      <c r="H26" s="957" t="str">
        <f ca="1"/>
        <v/>
      </c>
      <c r="I26" s="957" t="str">
        <f ca="1"/>
        <v/>
      </c>
      <c r="J26" s="690" t="str">
        <f ca="1"/>
        <v/>
      </c>
      <c r="K26" s="1017" t="str">
        <f ca="1"/>
        <v/>
      </c>
      <c r="L26" s="1036" t="str">
        <f ca="1"/>
        <v/>
      </c>
      <c r="M26" s="691" t="str">
        <f ca="1"/>
        <v/>
      </c>
      <c r="N26" s="958" t="str">
        <f ca="1"/>
        <v/>
      </c>
      <c r="O26" s="691" t="str">
        <f ca="1"/>
        <v/>
      </c>
      <c r="P26" s="957" t="str">
        <f ca="1"/>
        <v/>
      </c>
      <c r="Q26" s="539" t="str">
        <f ca="1"/>
        <v/>
      </c>
    </row>
    <row r="27" spans="2:17">
      <c r="B27" s="955" t="str">
        <f ca="1"/>
        <v/>
      </c>
      <c r="C27" s="956" t="str">
        <f ca="1"/>
        <v/>
      </c>
      <c r="D27" s="956" t="str">
        <f ca="1"/>
        <v/>
      </c>
      <c r="E27" s="687" t="str">
        <f ca="1"/>
        <v/>
      </c>
      <c r="F27" s="688" t="str">
        <f ca="1"/>
        <v/>
      </c>
      <c r="G27" s="956" t="str">
        <f ca="1"/>
        <v/>
      </c>
      <c r="H27" s="957" t="str">
        <f ca="1"/>
        <v/>
      </c>
      <c r="I27" s="957" t="str">
        <f ca="1"/>
        <v/>
      </c>
      <c r="J27" s="690" t="str">
        <f ca="1"/>
        <v/>
      </c>
      <c r="K27" s="1017" t="str">
        <f ca="1"/>
        <v/>
      </c>
      <c r="L27" s="1036" t="str">
        <f ca="1"/>
        <v/>
      </c>
      <c r="M27" s="691" t="str">
        <f ca="1"/>
        <v/>
      </c>
      <c r="N27" s="958" t="str">
        <f ca="1"/>
        <v/>
      </c>
      <c r="O27" s="691" t="str">
        <f ca="1"/>
        <v/>
      </c>
      <c r="P27" s="957" t="str">
        <f ca="1"/>
        <v/>
      </c>
      <c r="Q27" s="539" t="str">
        <f ca="1"/>
        <v/>
      </c>
    </row>
    <row r="28" spans="2:17">
      <c r="B28" s="955" t="str">
        <f ca="1"/>
        <v/>
      </c>
      <c r="C28" s="956" t="str">
        <f ca="1"/>
        <v/>
      </c>
      <c r="D28" s="956" t="str">
        <f ca="1"/>
        <v/>
      </c>
      <c r="E28" s="687" t="str">
        <f ca="1"/>
        <v/>
      </c>
      <c r="F28" s="688" t="str">
        <f ca="1"/>
        <v/>
      </c>
      <c r="G28" s="956" t="str">
        <f ca="1"/>
        <v/>
      </c>
      <c r="H28" s="957" t="str">
        <f ca="1"/>
        <v/>
      </c>
      <c r="I28" s="957" t="str">
        <f ca="1"/>
        <v/>
      </c>
      <c r="J28" s="690" t="str">
        <f ca="1"/>
        <v/>
      </c>
      <c r="K28" s="1017" t="str">
        <f ca="1"/>
        <v/>
      </c>
      <c r="L28" s="1036" t="str">
        <f ca="1"/>
        <v/>
      </c>
      <c r="M28" s="691" t="str">
        <f ca="1"/>
        <v/>
      </c>
      <c r="N28" s="958" t="str">
        <f ca="1"/>
        <v/>
      </c>
      <c r="O28" s="691" t="str">
        <f ca="1"/>
        <v/>
      </c>
      <c r="P28" s="957" t="str">
        <f ca="1"/>
        <v/>
      </c>
      <c r="Q28" s="539" t="str">
        <f ca="1"/>
        <v/>
      </c>
    </row>
    <row r="29" spans="2:17">
      <c r="B29" s="955" t="str">
        <f ca="1"/>
        <v/>
      </c>
      <c r="C29" s="956" t="str">
        <f ca="1"/>
        <v/>
      </c>
      <c r="D29" s="956" t="str">
        <f ca="1"/>
        <v/>
      </c>
      <c r="E29" s="687" t="str">
        <f ca="1"/>
        <v/>
      </c>
      <c r="F29" s="688" t="str">
        <f ca="1"/>
        <v/>
      </c>
      <c r="G29" s="956" t="str">
        <f ca="1"/>
        <v/>
      </c>
      <c r="H29" s="957" t="str">
        <f ca="1"/>
        <v/>
      </c>
      <c r="I29" s="957" t="str">
        <f ca="1"/>
        <v/>
      </c>
      <c r="J29" s="690" t="str">
        <f ca="1"/>
        <v/>
      </c>
      <c r="K29" s="1017" t="str">
        <f ca="1"/>
        <v/>
      </c>
      <c r="L29" s="1036" t="str">
        <f ca="1"/>
        <v/>
      </c>
      <c r="M29" s="691" t="str">
        <f ca="1"/>
        <v/>
      </c>
      <c r="N29" s="958" t="str">
        <f ca="1"/>
        <v/>
      </c>
      <c r="O29" s="691" t="str">
        <f ca="1"/>
        <v/>
      </c>
      <c r="P29" s="957" t="str">
        <f ca="1"/>
        <v/>
      </c>
      <c r="Q29" s="539" t="str">
        <f ca="1"/>
        <v/>
      </c>
    </row>
    <row r="30" spans="2:17">
      <c r="B30" s="955" t="str">
        <f ca="1"/>
        <v/>
      </c>
      <c r="C30" s="956" t="str">
        <f ca="1"/>
        <v/>
      </c>
      <c r="D30" s="956" t="str">
        <f ca="1"/>
        <v/>
      </c>
      <c r="E30" s="687" t="str">
        <f ca="1"/>
        <v/>
      </c>
      <c r="F30" s="688" t="str">
        <f ca="1"/>
        <v/>
      </c>
      <c r="G30" s="956" t="str">
        <f ca="1"/>
        <v/>
      </c>
      <c r="H30" s="957" t="str">
        <f ca="1"/>
        <v/>
      </c>
      <c r="I30" s="957" t="str">
        <f ca="1"/>
        <v/>
      </c>
      <c r="J30" s="690" t="str">
        <f ca="1"/>
        <v/>
      </c>
      <c r="K30" s="1017" t="str">
        <f ca="1"/>
        <v/>
      </c>
      <c r="L30" s="1036" t="str">
        <f ca="1"/>
        <v/>
      </c>
      <c r="M30" s="691" t="str">
        <f ca="1"/>
        <v/>
      </c>
      <c r="N30" s="958" t="str">
        <f ca="1"/>
        <v/>
      </c>
      <c r="O30" s="691" t="str">
        <f ca="1"/>
        <v/>
      </c>
      <c r="P30" s="957" t="str">
        <f ca="1"/>
        <v/>
      </c>
      <c r="Q30" s="539" t="str">
        <f ca="1"/>
        <v/>
      </c>
    </row>
    <row r="31" spans="2:17">
      <c r="B31" s="955" t="str">
        <f ca="1"/>
        <v/>
      </c>
      <c r="C31" s="956" t="str">
        <f ca="1"/>
        <v/>
      </c>
      <c r="D31" s="956" t="str">
        <f ca="1"/>
        <v/>
      </c>
      <c r="E31" s="687" t="str">
        <f ca="1"/>
        <v/>
      </c>
      <c r="F31" s="688" t="str">
        <f ca="1"/>
        <v/>
      </c>
      <c r="G31" s="956" t="str">
        <f ca="1"/>
        <v/>
      </c>
      <c r="H31" s="957" t="str">
        <f ca="1"/>
        <v/>
      </c>
      <c r="I31" s="957" t="str">
        <f ca="1"/>
        <v/>
      </c>
      <c r="J31" s="690" t="str">
        <f ca="1"/>
        <v/>
      </c>
      <c r="K31" s="1017" t="str">
        <f ca="1"/>
        <v/>
      </c>
      <c r="L31" s="1036" t="str">
        <f ca="1"/>
        <v/>
      </c>
      <c r="M31" s="691" t="str">
        <f ca="1"/>
        <v/>
      </c>
      <c r="N31" s="958" t="str">
        <f ca="1"/>
        <v/>
      </c>
      <c r="O31" s="691" t="str">
        <f ca="1"/>
        <v/>
      </c>
      <c r="P31" s="957" t="str">
        <f ca="1"/>
        <v/>
      </c>
      <c r="Q31" s="539" t="str">
        <f ca="1"/>
        <v/>
      </c>
    </row>
    <row r="32" spans="2:17">
      <c r="B32" s="955" t="str">
        <f ca="1"/>
        <v/>
      </c>
      <c r="C32" s="956" t="str">
        <f ca="1"/>
        <v/>
      </c>
      <c r="D32" s="956" t="str">
        <f ca="1"/>
        <v/>
      </c>
      <c r="E32" s="687" t="str">
        <f ca="1"/>
        <v/>
      </c>
      <c r="F32" s="688" t="str">
        <f ca="1"/>
        <v/>
      </c>
      <c r="G32" s="956" t="str">
        <f ca="1"/>
        <v/>
      </c>
      <c r="H32" s="957" t="str">
        <f ca="1"/>
        <v/>
      </c>
      <c r="I32" s="957" t="str">
        <f ca="1"/>
        <v/>
      </c>
      <c r="J32" s="690" t="str">
        <f ca="1"/>
        <v/>
      </c>
      <c r="K32" s="1017" t="str">
        <f ca="1"/>
        <v/>
      </c>
      <c r="L32" s="1036" t="str">
        <f ca="1"/>
        <v/>
      </c>
      <c r="M32" s="691" t="str">
        <f ca="1"/>
        <v/>
      </c>
      <c r="N32" s="958" t="str">
        <f ca="1"/>
        <v/>
      </c>
      <c r="O32" s="691" t="str">
        <f ca="1"/>
        <v/>
      </c>
      <c r="P32" s="957" t="str">
        <f ca="1"/>
        <v/>
      </c>
      <c r="Q32" s="539" t="str">
        <f ca="1"/>
        <v/>
      </c>
    </row>
    <row r="33" spans="2:17">
      <c r="B33" s="955" t="str">
        <f ca="1"/>
        <v/>
      </c>
      <c r="C33" s="956" t="str">
        <f ca="1"/>
        <v/>
      </c>
      <c r="D33" s="956" t="str">
        <f ca="1"/>
        <v/>
      </c>
      <c r="E33" s="687" t="str">
        <f ca="1"/>
        <v/>
      </c>
      <c r="F33" s="688" t="str">
        <f ca="1"/>
        <v/>
      </c>
      <c r="G33" s="956" t="str">
        <f ca="1"/>
        <v/>
      </c>
      <c r="H33" s="957" t="str">
        <f ca="1"/>
        <v/>
      </c>
      <c r="I33" s="957" t="str">
        <f ca="1"/>
        <v/>
      </c>
      <c r="J33" s="690" t="str">
        <f ca="1"/>
        <v/>
      </c>
      <c r="K33" s="1017" t="str">
        <f ca="1"/>
        <v/>
      </c>
      <c r="L33" s="1036" t="str">
        <f ca="1"/>
        <v/>
      </c>
      <c r="M33" s="691" t="str">
        <f ca="1"/>
        <v/>
      </c>
      <c r="N33" s="958" t="str">
        <f ca="1"/>
        <v/>
      </c>
      <c r="O33" s="691" t="str">
        <f ca="1"/>
        <v/>
      </c>
      <c r="P33" s="957" t="str">
        <f ca="1"/>
        <v/>
      </c>
      <c r="Q33" s="539" t="str">
        <f ca="1"/>
        <v/>
      </c>
    </row>
    <row r="34" spans="2:17">
      <c r="B34" s="955" t="str">
        <f ca="1"/>
        <v/>
      </c>
      <c r="C34" s="956" t="str">
        <f ca="1"/>
        <v/>
      </c>
      <c r="D34" s="956" t="str">
        <f ca="1"/>
        <v/>
      </c>
      <c r="E34" s="687" t="str">
        <f ca="1"/>
        <v/>
      </c>
      <c r="F34" s="688" t="str">
        <f ca="1"/>
        <v/>
      </c>
      <c r="G34" s="956" t="str">
        <f ca="1"/>
        <v/>
      </c>
      <c r="H34" s="957" t="str">
        <f ca="1"/>
        <v/>
      </c>
      <c r="I34" s="957" t="str">
        <f ca="1"/>
        <v/>
      </c>
      <c r="J34" s="690" t="str">
        <f ca="1"/>
        <v/>
      </c>
      <c r="K34" s="1017" t="str">
        <f ca="1"/>
        <v/>
      </c>
      <c r="L34" s="1036" t="str">
        <f ca="1"/>
        <v/>
      </c>
      <c r="M34" s="691" t="str">
        <f ca="1"/>
        <v/>
      </c>
      <c r="N34" s="958" t="str">
        <f ca="1"/>
        <v/>
      </c>
      <c r="O34" s="691" t="str">
        <f ca="1"/>
        <v/>
      </c>
      <c r="P34" s="957" t="str">
        <f ca="1"/>
        <v/>
      </c>
      <c r="Q34" s="539" t="str">
        <f ca="1"/>
        <v/>
      </c>
    </row>
    <row r="35" spans="2:17">
      <c r="B35" s="955" t="str">
        <f ca="1"/>
        <v/>
      </c>
      <c r="C35" s="956" t="str">
        <f ca="1"/>
        <v/>
      </c>
      <c r="D35" s="956" t="str">
        <f ca="1"/>
        <v/>
      </c>
      <c r="E35" s="687" t="str">
        <f ca="1"/>
        <v/>
      </c>
      <c r="F35" s="688" t="str">
        <f ca="1"/>
        <v/>
      </c>
      <c r="G35" s="956" t="str">
        <f ca="1"/>
        <v/>
      </c>
      <c r="H35" s="957" t="str">
        <f ca="1"/>
        <v/>
      </c>
      <c r="I35" s="957" t="str">
        <f ca="1"/>
        <v/>
      </c>
      <c r="J35" s="690" t="str">
        <f ca="1"/>
        <v/>
      </c>
      <c r="K35" s="1017" t="str">
        <f ca="1"/>
        <v/>
      </c>
      <c r="L35" s="1036" t="str">
        <f ca="1"/>
        <v/>
      </c>
      <c r="M35" s="691" t="str">
        <f ca="1"/>
        <v/>
      </c>
      <c r="N35" s="958" t="str">
        <f ca="1"/>
        <v/>
      </c>
      <c r="O35" s="691" t="str">
        <f ca="1"/>
        <v/>
      </c>
      <c r="P35" s="957" t="str">
        <f ca="1"/>
        <v/>
      </c>
      <c r="Q35" s="539" t="str">
        <f ca="1"/>
        <v/>
      </c>
    </row>
    <row r="36" spans="2:17">
      <c r="B36" s="955" t="str">
        <f ca="1"/>
        <v/>
      </c>
      <c r="C36" s="956" t="str">
        <f ca="1"/>
        <v/>
      </c>
      <c r="D36" s="956" t="str">
        <f ca="1"/>
        <v/>
      </c>
      <c r="E36" s="687" t="str">
        <f ca="1"/>
        <v/>
      </c>
      <c r="F36" s="688" t="str">
        <f ca="1"/>
        <v/>
      </c>
      <c r="G36" s="956" t="str">
        <f ca="1"/>
        <v/>
      </c>
      <c r="H36" s="957" t="str">
        <f ca="1"/>
        <v/>
      </c>
      <c r="I36" s="957" t="str">
        <f ca="1"/>
        <v/>
      </c>
      <c r="J36" s="690" t="str">
        <f ca="1"/>
        <v/>
      </c>
      <c r="K36" s="1017" t="str">
        <f ca="1"/>
        <v/>
      </c>
      <c r="L36" s="1036" t="str">
        <f ca="1"/>
        <v/>
      </c>
      <c r="M36" s="691" t="str">
        <f ca="1"/>
        <v/>
      </c>
      <c r="N36" s="958" t="str">
        <f ca="1"/>
        <v/>
      </c>
      <c r="O36" s="691" t="str">
        <f ca="1"/>
        <v/>
      </c>
      <c r="P36" s="957" t="str">
        <f ca="1"/>
        <v/>
      </c>
      <c r="Q36" s="539" t="str">
        <f ca="1"/>
        <v/>
      </c>
    </row>
    <row r="37" spans="2:17">
      <c r="B37" s="955" t="str">
        <f ca="1"/>
        <v/>
      </c>
      <c r="C37" s="956" t="str">
        <f ca="1"/>
        <v/>
      </c>
      <c r="D37" s="956" t="str">
        <f ca="1"/>
        <v/>
      </c>
      <c r="E37" s="687" t="str">
        <f ca="1"/>
        <v/>
      </c>
      <c r="F37" s="688" t="str">
        <f ca="1"/>
        <v/>
      </c>
      <c r="G37" s="956" t="str">
        <f ca="1"/>
        <v/>
      </c>
      <c r="H37" s="957" t="str">
        <f ca="1"/>
        <v/>
      </c>
      <c r="I37" s="957" t="str">
        <f ca="1"/>
        <v/>
      </c>
      <c r="J37" s="690" t="str">
        <f ca="1"/>
        <v/>
      </c>
      <c r="K37" s="1017" t="str">
        <f ca="1"/>
        <v/>
      </c>
      <c r="L37" s="1036" t="str">
        <f ca="1"/>
        <v/>
      </c>
      <c r="M37" s="691" t="str">
        <f ca="1"/>
        <v/>
      </c>
      <c r="N37" s="958" t="str">
        <f ca="1"/>
        <v/>
      </c>
      <c r="O37" s="691" t="str">
        <f ca="1"/>
        <v/>
      </c>
      <c r="P37" s="957" t="str">
        <f ca="1"/>
        <v/>
      </c>
      <c r="Q37" s="539" t="str">
        <f ca="1"/>
        <v/>
      </c>
    </row>
    <row r="38" spans="2:17">
      <c r="B38" s="955" t="str">
        <f ca="1"/>
        <v/>
      </c>
      <c r="C38" s="956" t="str">
        <f ca="1"/>
        <v/>
      </c>
      <c r="D38" s="956" t="str">
        <f ca="1"/>
        <v/>
      </c>
      <c r="E38" s="687" t="str">
        <f ca="1"/>
        <v/>
      </c>
      <c r="F38" s="688" t="str">
        <f ca="1"/>
        <v/>
      </c>
      <c r="G38" s="956" t="str">
        <f ca="1"/>
        <v/>
      </c>
      <c r="H38" s="957" t="str">
        <f ca="1"/>
        <v/>
      </c>
      <c r="I38" s="957" t="str">
        <f ca="1"/>
        <v/>
      </c>
      <c r="J38" s="690" t="str">
        <f ca="1"/>
        <v/>
      </c>
      <c r="K38" s="1017" t="str">
        <f ca="1"/>
        <v/>
      </c>
      <c r="L38" s="1036" t="str">
        <f ca="1"/>
        <v/>
      </c>
      <c r="M38" s="691" t="str">
        <f ca="1"/>
        <v/>
      </c>
      <c r="N38" s="958" t="str">
        <f ca="1"/>
        <v/>
      </c>
      <c r="O38" s="691" t="str">
        <f ca="1"/>
        <v/>
      </c>
      <c r="P38" s="957" t="str">
        <f ca="1"/>
        <v/>
      </c>
      <c r="Q38" s="539" t="str">
        <f ca="1"/>
        <v/>
      </c>
    </row>
    <row r="39" spans="2:17">
      <c r="B39" s="955" t="str">
        <f ca="1"/>
        <v/>
      </c>
      <c r="C39" s="956" t="str">
        <f ca="1"/>
        <v/>
      </c>
      <c r="D39" s="956" t="str">
        <f ca="1"/>
        <v/>
      </c>
      <c r="E39" s="687" t="str">
        <f ca="1"/>
        <v/>
      </c>
      <c r="F39" s="688" t="str">
        <f ca="1"/>
        <v/>
      </c>
      <c r="G39" s="956" t="str">
        <f ca="1"/>
        <v/>
      </c>
      <c r="H39" s="957" t="str">
        <f ca="1"/>
        <v/>
      </c>
      <c r="I39" s="957" t="str">
        <f ca="1"/>
        <v/>
      </c>
      <c r="J39" s="690" t="str">
        <f ca="1"/>
        <v/>
      </c>
      <c r="K39" s="1017" t="str">
        <f ca="1"/>
        <v/>
      </c>
      <c r="L39" s="1036" t="str">
        <f ca="1"/>
        <v/>
      </c>
      <c r="M39" s="691" t="str">
        <f ca="1"/>
        <v/>
      </c>
      <c r="N39" s="958" t="str">
        <f ca="1"/>
        <v/>
      </c>
      <c r="O39" s="691" t="str">
        <f ca="1"/>
        <v/>
      </c>
      <c r="P39" s="957" t="str">
        <f ca="1"/>
        <v/>
      </c>
      <c r="Q39" s="539" t="str">
        <f ca="1"/>
        <v/>
      </c>
    </row>
    <row r="40" spans="2:17">
      <c r="B40" s="955" t="str">
        <f ca="1"/>
        <v/>
      </c>
      <c r="C40" s="956" t="str">
        <f ca="1"/>
        <v/>
      </c>
      <c r="D40" s="956" t="str">
        <f ca="1"/>
        <v/>
      </c>
      <c r="E40" s="687" t="str">
        <f ca="1"/>
        <v/>
      </c>
      <c r="F40" s="688" t="str">
        <f ca="1"/>
        <v/>
      </c>
      <c r="G40" s="956" t="str">
        <f ca="1"/>
        <v/>
      </c>
      <c r="H40" s="957" t="str">
        <f ca="1"/>
        <v/>
      </c>
      <c r="I40" s="957" t="str">
        <f ca="1"/>
        <v/>
      </c>
      <c r="J40" s="690" t="str">
        <f ca="1"/>
        <v/>
      </c>
      <c r="K40" s="1017" t="str">
        <f ca="1"/>
        <v/>
      </c>
      <c r="L40" s="1036" t="str">
        <f ca="1"/>
        <v/>
      </c>
      <c r="M40" s="691" t="str">
        <f ca="1"/>
        <v/>
      </c>
      <c r="N40" s="958" t="str">
        <f ca="1"/>
        <v/>
      </c>
      <c r="O40" s="691" t="str">
        <f ca="1"/>
        <v/>
      </c>
      <c r="P40" s="957" t="str">
        <f ca="1"/>
        <v/>
      </c>
      <c r="Q40" s="981" t="str">
        <f ca="1"/>
        <v/>
      </c>
    </row>
    <row r="41" spans="2:17">
      <c r="B41" s="955" t="str">
        <f ca="1"/>
        <v/>
      </c>
      <c r="C41" s="956" t="str">
        <f ca="1"/>
        <v/>
      </c>
      <c r="D41" s="956" t="str">
        <f ca="1"/>
        <v/>
      </c>
      <c r="E41" s="687" t="str">
        <f ca="1"/>
        <v/>
      </c>
      <c r="F41" s="688" t="str">
        <f ca="1"/>
        <v/>
      </c>
      <c r="G41" s="956" t="str">
        <f ca="1"/>
        <v/>
      </c>
      <c r="H41" s="957" t="str">
        <f ca="1"/>
        <v/>
      </c>
      <c r="I41" s="957" t="str">
        <f ca="1"/>
        <v/>
      </c>
      <c r="J41" s="690" t="str">
        <f ca="1"/>
        <v/>
      </c>
      <c r="K41" s="1017" t="str">
        <f ca="1"/>
        <v/>
      </c>
      <c r="L41" s="1036" t="str">
        <f ca="1"/>
        <v/>
      </c>
      <c r="M41" s="691" t="str">
        <f ca="1"/>
        <v/>
      </c>
      <c r="N41" s="958" t="str">
        <f ca="1"/>
        <v/>
      </c>
      <c r="O41" s="691" t="str">
        <f ca="1"/>
        <v/>
      </c>
      <c r="P41" s="957" t="str">
        <f ca="1"/>
        <v/>
      </c>
      <c r="Q41" s="981" t="str">
        <f ca="1"/>
        <v/>
      </c>
    </row>
    <row r="42" spans="2:17">
      <c r="B42" s="955" t="str">
        <f ca="1"/>
        <v/>
      </c>
      <c r="C42" s="956" t="str">
        <f ca="1"/>
        <v/>
      </c>
      <c r="D42" s="956" t="str">
        <f ca="1"/>
        <v/>
      </c>
      <c r="E42" s="687" t="str">
        <f ca="1"/>
        <v/>
      </c>
      <c r="F42" s="688" t="str">
        <f ca="1"/>
        <v/>
      </c>
      <c r="G42" s="956" t="str">
        <f ca="1"/>
        <v/>
      </c>
      <c r="H42" s="957" t="str">
        <f ca="1"/>
        <v/>
      </c>
      <c r="I42" s="957" t="str">
        <f ca="1"/>
        <v/>
      </c>
      <c r="J42" s="690" t="str">
        <f ca="1"/>
        <v/>
      </c>
      <c r="K42" s="1017" t="str">
        <f ca="1"/>
        <v/>
      </c>
      <c r="L42" s="1036" t="str">
        <f ca="1"/>
        <v/>
      </c>
      <c r="M42" s="691" t="str">
        <f ca="1"/>
        <v/>
      </c>
      <c r="N42" s="958" t="str">
        <f ca="1"/>
        <v/>
      </c>
      <c r="O42" s="691" t="str">
        <f ca="1"/>
        <v/>
      </c>
      <c r="P42" s="957" t="str">
        <f ca="1"/>
        <v/>
      </c>
      <c r="Q42" s="981" t="str">
        <f ca="1"/>
        <v/>
      </c>
    </row>
    <row r="43" spans="2:17">
      <c r="B43" s="955" t="str">
        <f ca="1"/>
        <v/>
      </c>
      <c r="C43" s="956" t="str">
        <f ca="1"/>
        <v/>
      </c>
      <c r="D43" s="956" t="str">
        <f ca="1"/>
        <v/>
      </c>
      <c r="E43" s="687" t="str">
        <f ca="1"/>
        <v/>
      </c>
      <c r="F43" s="688" t="str">
        <f ca="1"/>
        <v/>
      </c>
      <c r="G43" s="956" t="str">
        <f ca="1"/>
        <v/>
      </c>
      <c r="H43" s="957" t="str">
        <f ca="1"/>
        <v/>
      </c>
      <c r="I43" s="957" t="str">
        <f ca="1"/>
        <v/>
      </c>
      <c r="J43" s="690" t="str">
        <f ca="1"/>
        <v/>
      </c>
      <c r="K43" s="1017" t="str">
        <f ca="1"/>
        <v/>
      </c>
      <c r="L43" s="1036" t="str">
        <f ca="1"/>
        <v/>
      </c>
      <c r="M43" s="691" t="str">
        <f ca="1"/>
        <v/>
      </c>
      <c r="N43" s="958" t="str">
        <f ca="1"/>
        <v/>
      </c>
      <c r="O43" s="691" t="str">
        <f ca="1"/>
        <v/>
      </c>
      <c r="P43" s="957" t="str">
        <f ca="1"/>
        <v/>
      </c>
      <c r="Q43" s="981" t="str">
        <f ca="1"/>
        <v/>
      </c>
    </row>
    <row r="44" spans="2:17">
      <c r="B44" s="955" t="str">
        <f ca="1"/>
        <v/>
      </c>
      <c r="C44" s="956" t="str">
        <f ca="1"/>
        <v/>
      </c>
      <c r="D44" s="956" t="str">
        <f ca="1"/>
        <v/>
      </c>
      <c r="E44" s="687" t="str">
        <f ca="1"/>
        <v/>
      </c>
      <c r="F44" s="688" t="str">
        <f ca="1"/>
        <v/>
      </c>
      <c r="G44" s="956" t="str">
        <f ca="1"/>
        <v/>
      </c>
      <c r="H44" s="957" t="str">
        <f ca="1"/>
        <v/>
      </c>
      <c r="I44" s="957" t="str">
        <f ca="1"/>
        <v/>
      </c>
      <c r="J44" s="690" t="str">
        <f ca="1"/>
        <v/>
      </c>
      <c r="K44" s="1017" t="str">
        <f ca="1"/>
        <v/>
      </c>
      <c r="L44" s="1036" t="str">
        <f ca="1"/>
        <v/>
      </c>
      <c r="M44" s="691" t="str">
        <f ca="1"/>
        <v/>
      </c>
      <c r="N44" s="958" t="str">
        <f ca="1"/>
        <v/>
      </c>
      <c r="O44" s="691" t="str">
        <f ca="1"/>
        <v/>
      </c>
      <c r="P44" s="957" t="str">
        <f ca="1"/>
        <v/>
      </c>
      <c r="Q44" s="981" t="str">
        <f ca="1"/>
        <v/>
      </c>
    </row>
    <row r="45" spans="2:17">
      <c r="B45" s="955" t="str">
        <f ca="1"/>
        <v/>
      </c>
      <c r="C45" s="956" t="str">
        <f ca="1"/>
        <v/>
      </c>
      <c r="D45" s="956" t="str">
        <f ca="1"/>
        <v/>
      </c>
      <c r="E45" s="687" t="str">
        <f ca="1"/>
        <v/>
      </c>
      <c r="F45" s="688" t="str">
        <f ca="1"/>
        <v/>
      </c>
      <c r="G45" s="956" t="str">
        <f ca="1"/>
        <v/>
      </c>
      <c r="H45" s="957" t="str">
        <f ca="1"/>
        <v/>
      </c>
      <c r="I45" s="957" t="str">
        <f ca="1"/>
        <v/>
      </c>
      <c r="J45" s="690" t="str">
        <f ca="1"/>
        <v/>
      </c>
      <c r="K45" s="1017" t="str">
        <f ca="1"/>
        <v/>
      </c>
      <c r="L45" s="1036" t="str">
        <f ca="1"/>
        <v/>
      </c>
      <c r="M45" s="691" t="str">
        <f ca="1"/>
        <v/>
      </c>
      <c r="N45" s="958" t="str">
        <f ca="1"/>
        <v/>
      </c>
      <c r="O45" s="691" t="str">
        <f ca="1"/>
        <v/>
      </c>
      <c r="P45" s="957" t="str">
        <f ca="1"/>
        <v/>
      </c>
      <c r="Q45" s="981" t="str">
        <f ca="1"/>
        <v/>
      </c>
    </row>
    <row r="46" spans="2:17">
      <c r="B46" s="955" t="str">
        <f ca="1"/>
        <v/>
      </c>
      <c r="C46" s="956" t="str">
        <f ca="1"/>
        <v/>
      </c>
      <c r="D46" s="956" t="str">
        <f ca="1"/>
        <v/>
      </c>
      <c r="E46" s="687" t="str">
        <f ca="1"/>
        <v/>
      </c>
      <c r="F46" s="688" t="str">
        <f ca="1"/>
        <v/>
      </c>
      <c r="G46" s="956" t="str">
        <f ca="1"/>
        <v/>
      </c>
      <c r="H46" s="957" t="str">
        <f ca="1"/>
        <v/>
      </c>
      <c r="I46" s="957" t="str">
        <f ca="1"/>
        <v/>
      </c>
      <c r="J46" s="690" t="str">
        <f ca="1"/>
        <v/>
      </c>
      <c r="K46" s="1017" t="str">
        <f ca="1"/>
        <v/>
      </c>
      <c r="L46" s="1036" t="str">
        <f ca="1"/>
        <v/>
      </c>
      <c r="M46" s="691" t="str">
        <f ca="1"/>
        <v/>
      </c>
      <c r="N46" s="958" t="str">
        <f ca="1"/>
        <v/>
      </c>
      <c r="O46" s="691" t="str">
        <f ca="1"/>
        <v/>
      </c>
      <c r="P46" s="957" t="str">
        <f ca="1"/>
        <v/>
      </c>
      <c r="Q46" s="981" t="str">
        <f ca="1"/>
        <v/>
      </c>
    </row>
    <row r="47" spans="2:17">
      <c r="B47" s="955" t="str">
        <f ca="1"/>
        <v/>
      </c>
      <c r="C47" s="956" t="str">
        <f ca="1"/>
        <v/>
      </c>
      <c r="D47" s="956" t="str">
        <f ca="1"/>
        <v/>
      </c>
      <c r="E47" s="687" t="str">
        <f ca="1"/>
        <v/>
      </c>
      <c r="F47" s="688" t="str">
        <f ca="1"/>
        <v/>
      </c>
      <c r="G47" s="956" t="str">
        <f ca="1"/>
        <v/>
      </c>
      <c r="H47" s="957" t="str">
        <f ca="1"/>
        <v/>
      </c>
      <c r="I47" s="957" t="str">
        <f ca="1"/>
        <v/>
      </c>
      <c r="J47" s="690" t="str">
        <f ca="1"/>
        <v/>
      </c>
      <c r="K47" s="1017" t="str">
        <f ca="1"/>
        <v/>
      </c>
      <c r="L47" s="1036" t="str">
        <f ca="1"/>
        <v/>
      </c>
      <c r="M47" s="691" t="str">
        <f ca="1"/>
        <v/>
      </c>
      <c r="N47" s="958" t="str">
        <f ca="1"/>
        <v/>
      </c>
      <c r="O47" s="691" t="str">
        <f ca="1"/>
        <v/>
      </c>
      <c r="P47" s="957" t="str">
        <f ca="1"/>
        <v/>
      </c>
      <c r="Q47" s="981" t="str">
        <f ca="1"/>
        <v/>
      </c>
    </row>
    <row r="48" spans="2:17">
      <c r="B48" s="955" t="str">
        <f ca="1"/>
        <v/>
      </c>
      <c r="C48" s="956" t="str">
        <f ca="1"/>
        <v/>
      </c>
      <c r="D48" s="956" t="str">
        <f ca="1"/>
        <v/>
      </c>
      <c r="E48" s="687" t="str">
        <f ca="1"/>
        <v/>
      </c>
      <c r="F48" s="688" t="str">
        <f ca="1"/>
        <v/>
      </c>
      <c r="G48" s="956" t="str">
        <f ca="1"/>
        <v/>
      </c>
      <c r="H48" s="957" t="str">
        <f ca="1"/>
        <v/>
      </c>
      <c r="I48" s="957" t="str">
        <f ca="1"/>
        <v/>
      </c>
      <c r="J48" s="690" t="str">
        <f ca="1"/>
        <v/>
      </c>
      <c r="K48" s="1017" t="str">
        <f ca="1"/>
        <v/>
      </c>
      <c r="L48" s="1036" t="str">
        <f ca="1"/>
        <v/>
      </c>
      <c r="M48" s="691" t="str">
        <f ca="1"/>
        <v/>
      </c>
      <c r="N48" s="958" t="str">
        <f ca="1"/>
        <v/>
      </c>
      <c r="O48" s="691" t="str">
        <f ca="1"/>
        <v/>
      </c>
      <c r="P48" s="957" t="str">
        <f ca="1"/>
        <v/>
      </c>
      <c r="Q48" s="981" t="str">
        <f ca="1"/>
        <v/>
      </c>
    </row>
    <row r="49" spans="2:17">
      <c r="B49" s="955" t="str">
        <f ca="1"/>
        <v/>
      </c>
      <c r="C49" s="956" t="str">
        <f ca="1"/>
        <v/>
      </c>
      <c r="D49" s="956" t="str">
        <f ca="1"/>
        <v/>
      </c>
      <c r="E49" s="687" t="str">
        <f ca="1"/>
        <v/>
      </c>
      <c r="F49" s="688" t="str">
        <f ca="1"/>
        <v/>
      </c>
      <c r="G49" s="956" t="str">
        <f ca="1"/>
        <v/>
      </c>
      <c r="H49" s="957" t="str">
        <f ca="1"/>
        <v/>
      </c>
      <c r="I49" s="957" t="str">
        <f ca="1"/>
        <v/>
      </c>
      <c r="J49" s="690" t="str">
        <f ca="1"/>
        <v/>
      </c>
      <c r="K49" s="1017" t="str">
        <f ca="1"/>
        <v/>
      </c>
      <c r="L49" s="1036" t="str">
        <f ca="1"/>
        <v/>
      </c>
      <c r="M49" s="691" t="str">
        <f ca="1"/>
        <v/>
      </c>
      <c r="N49" s="958" t="str">
        <f ca="1"/>
        <v/>
      </c>
      <c r="O49" s="691" t="str">
        <f ca="1"/>
        <v/>
      </c>
      <c r="P49" s="957" t="str">
        <f ca="1"/>
        <v/>
      </c>
      <c r="Q49" s="981" t="str">
        <f ca="1"/>
        <v/>
      </c>
    </row>
    <row r="50" spans="2:17">
      <c r="B50" s="955" t="str">
        <f ca="1"/>
        <v/>
      </c>
      <c r="C50" s="956" t="str">
        <f ca="1"/>
        <v/>
      </c>
      <c r="D50" s="956" t="str">
        <f ca="1"/>
        <v/>
      </c>
      <c r="E50" s="687" t="str">
        <f ca="1"/>
        <v/>
      </c>
      <c r="F50" s="688" t="str">
        <f ca="1"/>
        <v/>
      </c>
      <c r="G50" s="956" t="str">
        <f ca="1"/>
        <v/>
      </c>
      <c r="H50" s="957" t="str">
        <f ca="1"/>
        <v/>
      </c>
      <c r="I50" s="957" t="str">
        <f ca="1"/>
        <v/>
      </c>
      <c r="J50" s="690" t="str">
        <f ca="1"/>
        <v/>
      </c>
      <c r="K50" s="1017" t="str">
        <f ca="1"/>
        <v/>
      </c>
      <c r="L50" s="1036" t="str">
        <f ca="1"/>
        <v/>
      </c>
      <c r="M50" s="691" t="str">
        <f ca="1"/>
        <v/>
      </c>
      <c r="N50" s="958" t="str">
        <f ca="1"/>
        <v/>
      </c>
      <c r="O50" s="691" t="str">
        <f ca="1"/>
        <v/>
      </c>
      <c r="P50" s="957" t="str">
        <f ca="1"/>
        <v/>
      </c>
      <c r="Q50" s="981" t="str">
        <f ca="1"/>
        <v/>
      </c>
    </row>
    <row r="51" spans="2:17">
      <c r="B51" s="959" t="str">
        <f ca="1"/>
        <v/>
      </c>
      <c r="C51" s="960" t="str">
        <f ca="1"/>
        <v/>
      </c>
      <c r="D51" s="960" t="str">
        <f ca="1"/>
        <v/>
      </c>
      <c r="E51" s="672" t="str">
        <f ca="1"/>
        <v/>
      </c>
      <c r="F51" s="673" t="str">
        <f ca="1"/>
        <v/>
      </c>
      <c r="G51" s="960" t="str">
        <f ca="1"/>
        <v/>
      </c>
      <c r="H51" s="961" t="str">
        <f ca="1"/>
        <v/>
      </c>
      <c r="I51" s="961" t="str">
        <f ca="1"/>
        <v/>
      </c>
      <c r="J51" s="675" t="str">
        <f ca="1"/>
        <v/>
      </c>
      <c r="K51" s="1023" t="str">
        <f ca="1"/>
        <v/>
      </c>
      <c r="L51" s="1035" t="str">
        <f ca="1"/>
        <v/>
      </c>
      <c r="M51" s="676" t="str">
        <f ca="1"/>
        <v/>
      </c>
      <c r="N51" s="962" t="str">
        <f ca="1"/>
        <v/>
      </c>
      <c r="O51" s="676" t="str">
        <f ca="1"/>
        <v/>
      </c>
      <c r="P51" s="961" t="str">
        <f ca="1"/>
        <v/>
      </c>
      <c r="Q51" s="982" t="str">
        <f ca="1"/>
        <v/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5" tint="0.39997558519241921"/>
  </sheetPr>
  <dimension ref="A1:DT61"/>
  <sheetViews>
    <sheetView showGridLines="0" topLeftCell="D1" workbookViewId="0">
      <selection activeCell="D1" sqref="D1"/>
    </sheetView>
  </sheetViews>
  <sheetFormatPr defaultRowHeight="15" outlineLevelCol="1"/>
  <cols>
    <col min="1" max="1" width="4.7109375" hidden="1" customWidth="1" outlineLevel="1"/>
    <col min="2" max="3" width="14.7109375" style="995" hidden="1" customWidth="1" outlineLevel="1"/>
    <col min="4" max="4" width="6.42578125" style="995" customWidth="1" collapsed="1"/>
    <col min="5" max="5" width="13.140625" style="995" customWidth="1"/>
    <col min="6" max="8" width="12.7109375" style="995" customWidth="1"/>
    <col min="9" max="10" width="9.28515625" style="995" customWidth="1"/>
    <col min="11" max="11" width="9.5703125" style="995" customWidth="1"/>
    <col min="12" max="12" width="9.7109375" style="995" customWidth="1"/>
    <col min="13" max="13" width="11.140625" style="995" bestFit="1" customWidth="1"/>
    <col min="14" max="14" width="5.7109375" style="995" customWidth="1"/>
    <col min="15" max="15" width="12" style="995" bestFit="1" customWidth="1"/>
    <col min="16" max="16" width="11.140625" style="995" bestFit="1" customWidth="1"/>
    <col min="17" max="17" width="11.140625" style="995" customWidth="1"/>
    <col min="18" max="19" width="9.140625" style="995" customWidth="1"/>
    <col min="20" max="20" width="11.140625" style="995" bestFit="1" customWidth="1"/>
    <col min="21" max="21" width="5.7109375" style="995" customWidth="1"/>
    <col min="22" max="22" width="12" style="995" bestFit="1" customWidth="1"/>
    <col min="23" max="23" width="11.140625" style="995" bestFit="1" customWidth="1"/>
    <col min="24" max="25" width="9.140625" style="995" customWidth="1"/>
    <col min="26" max="26" width="11" style="995" customWidth="1"/>
    <col min="27" max="27" width="4.7109375" style="995" hidden="1" customWidth="1" outlineLevel="1"/>
    <col min="28" max="28" width="15.42578125" hidden="1" customWidth="1" outlineLevel="1"/>
    <col min="29" max="29" width="12.140625" hidden="1" customWidth="1" outlineLevel="1"/>
    <col min="30" max="30" width="17.5703125" hidden="1" customWidth="1" outlineLevel="1"/>
    <col min="31" max="31" width="11.140625" hidden="1" customWidth="1" outlineLevel="1"/>
    <col min="32" max="32" width="14.28515625" hidden="1" customWidth="1" outlineLevel="1"/>
    <col min="33" max="33" width="14.42578125" hidden="1" customWidth="1" outlineLevel="1"/>
    <col min="34" max="34" width="8.85546875" hidden="1" customWidth="1" outlineLevel="1"/>
    <col min="35" max="35" width="9" hidden="1" customWidth="1" outlineLevel="1"/>
    <col min="36" max="36" width="11" hidden="1" customWidth="1" outlineLevel="1"/>
    <col min="37" max="37" width="19.28515625" style="995" hidden="1" customWidth="1" outlineLevel="1"/>
    <col min="38" max="38" width="18.85546875" style="995" hidden="1" customWidth="1" outlineLevel="1"/>
    <col min="39" max="39" width="10.140625" hidden="1" customWidth="1" outlineLevel="1"/>
    <col min="40" max="40" width="9.7109375" hidden="1" customWidth="1" outlineLevel="1"/>
    <col min="41" max="41" width="11.5703125" hidden="1" customWidth="1" outlineLevel="1"/>
    <col min="42" max="42" width="14.42578125" hidden="1" customWidth="1" outlineLevel="1"/>
    <col min="43" max="43" width="15" hidden="1" customWidth="1" outlineLevel="1"/>
    <col min="44" max="44" width="11" hidden="1" customWidth="1" outlineLevel="1"/>
    <col min="45" max="45" width="9.28515625" hidden="1" customWidth="1" outlineLevel="1"/>
    <col min="46" max="46" width="28.28515625" hidden="1" customWidth="1" outlineLevel="1"/>
    <col min="47" max="47" width="14.28515625" hidden="1" customWidth="1" outlineLevel="1"/>
    <col min="48" max="48" width="29.42578125" hidden="1" customWidth="1" outlineLevel="1"/>
    <col min="49" max="49" width="15.42578125" hidden="1" customWidth="1" outlineLevel="1"/>
    <col min="50" max="50" width="31" hidden="1" customWidth="1" outlineLevel="1"/>
    <col min="51" max="51" width="16.85546875" hidden="1" customWidth="1" outlineLevel="1"/>
    <col min="52" max="52" width="13.140625" hidden="1" customWidth="1" outlineLevel="1"/>
    <col min="53" max="53" width="12.5703125" hidden="1" customWidth="1" outlineLevel="1"/>
    <col min="54" max="54" width="8.85546875" hidden="1" customWidth="1" outlineLevel="1"/>
    <col min="55" max="55" width="9.140625" hidden="1" customWidth="1" outlineLevel="1"/>
    <col min="56" max="56" width="13.140625" hidden="1" customWidth="1" outlineLevel="1"/>
    <col min="57" max="57" width="11.7109375" hidden="1" customWidth="1" outlineLevel="1"/>
    <col min="58" max="58" width="13.140625" hidden="1" customWidth="1" outlineLevel="1"/>
    <col min="59" max="59" width="15.140625" hidden="1" customWidth="1" outlineLevel="1"/>
    <col min="60" max="60" width="12.5703125" hidden="1" customWidth="1" outlineLevel="1"/>
    <col min="61" max="61" width="17.28515625" hidden="1" customWidth="1" outlineLevel="1"/>
    <col min="62" max="62" width="11.140625" hidden="1" customWidth="1" outlineLevel="1"/>
    <col min="63" max="63" width="13.7109375" hidden="1" customWidth="1" outlineLevel="1"/>
    <col min="64" max="64" width="14.7109375" hidden="1" customWidth="1" outlineLevel="1"/>
    <col min="65" max="65" width="8.85546875" hidden="1" customWidth="1" outlineLevel="1"/>
    <col min="66" max="66" width="9" hidden="1" customWidth="1" outlineLevel="1"/>
    <col min="67" max="67" width="9.85546875" hidden="1" customWidth="1" outlineLevel="1"/>
    <col min="68" max="68" width="19.28515625" style="995" hidden="1" customWidth="1" outlineLevel="1"/>
    <col min="69" max="69" width="18.85546875" style="995" hidden="1" customWidth="1" outlineLevel="1"/>
    <col min="70" max="70" width="10.140625" hidden="1" customWidth="1" outlineLevel="1"/>
    <col min="71" max="71" width="9.7109375" hidden="1" customWidth="1" outlineLevel="1"/>
    <col min="72" max="72" width="11.5703125" hidden="1" customWidth="1" outlineLevel="1"/>
    <col min="73" max="73" width="14.5703125" hidden="1" customWidth="1" outlineLevel="1"/>
    <col min="74" max="74" width="16.42578125" hidden="1" customWidth="1" outlineLevel="1"/>
    <col min="75" max="75" width="12.42578125" hidden="1" customWidth="1" outlineLevel="1"/>
    <col min="76" max="76" width="9.28515625" hidden="1" customWidth="1" outlineLevel="1"/>
    <col min="77" max="77" width="28.28515625" hidden="1" customWidth="1" outlineLevel="1"/>
    <col min="78" max="78" width="14.28515625" hidden="1" customWidth="1" outlineLevel="1"/>
    <col min="79" max="79" width="29.42578125" hidden="1" customWidth="1" outlineLevel="1"/>
    <col min="80" max="80" width="15.42578125" hidden="1" customWidth="1" outlineLevel="1"/>
    <col min="81" max="81" width="31" hidden="1" customWidth="1" outlineLevel="1"/>
    <col min="82" max="82" width="16.85546875" hidden="1" customWidth="1" outlineLevel="1"/>
    <col min="83" max="83" width="13.140625" hidden="1" customWidth="1" outlineLevel="1"/>
    <col min="84" max="84" width="12.5703125" hidden="1" customWidth="1" outlineLevel="1"/>
    <col min="85" max="85" width="8.85546875" hidden="1" customWidth="1" outlineLevel="1"/>
    <col min="86" max="86" width="9.140625" hidden="1" customWidth="1" outlineLevel="1"/>
    <col min="87" max="87" width="13.140625" hidden="1" customWidth="1" outlineLevel="1"/>
    <col min="88" max="88" width="11.7109375" hidden="1" customWidth="1" outlineLevel="1"/>
    <col min="89" max="89" width="9.85546875" hidden="1" customWidth="1" outlineLevel="1"/>
    <col min="90" max="90" width="15.140625" hidden="1" customWidth="1" outlineLevel="1"/>
    <col min="91" max="91" width="17.7109375" hidden="1" customWidth="1" outlineLevel="1"/>
    <col min="92" max="92" width="7.5703125" hidden="1" customWidth="1" outlineLevel="1"/>
    <col min="93" max="93" width="22" hidden="1" customWidth="1" outlineLevel="1"/>
    <col min="94" max="94" width="4.7109375" hidden="1" customWidth="1" outlineLevel="1"/>
    <col min="95" max="95" width="20" hidden="1" customWidth="1" outlineLevel="1"/>
    <col min="96" max="96" width="21.28515625" style="995" hidden="1" customWidth="1" outlineLevel="1"/>
    <col min="97" max="97" width="20" style="995" hidden="1" customWidth="1" outlineLevel="1"/>
    <col min="98" max="98" width="4.7109375" style="995" customWidth="1" collapsed="1"/>
    <col min="99" max="99" width="15.140625" customWidth="1"/>
    <col min="100" max="100" width="9.85546875" customWidth="1"/>
    <col min="101" max="101" width="4.7109375" customWidth="1"/>
    <col min="103" max="103" width="12.7109375" customWidth="1"/>
    <col min="105" max="105" width="9.140625" style="995"/>
    <col min="106" max="106" width="4.7109375" hidden="1" customWidth="1" outlineLevel="1"/>
    <col min="107" max="109" width="14.7109375" hidden="1" customWidth="1" outlineLevel="1"/>
    <col min="110" max="110" width="11.5703125" style="997" hidden="1" customWidth="1" outlineLevel="1"/>
    <col min="111" max="111" width="19.5703125" style="997" hidden="1" customWidth="1" outlineLevel="1"/>
    <col min="112" max="112" width="14.7109375" style="997" hidden="1" customWidth="1" outlineLevel="1"/>
    <col min="113" max="113" width="12.42578125" style="997" hidden="1" customWidth="1" outlineLevel="1"/>
    <col min="114" max="114" width="17.28515625" style="997" hidden="1" customWidth="1" outlineLevel="1"/>
    <col min="115" max="115" width="9.140625" style="997" hidden="1" customWidth="1" outlineLevel="1"/>
    <col min="116" max="116" width="11.5703125" style="997" hidden="1" customWidth="1" outlineLevel="1"/>
    <col min="117" max="118" width="12.7109375" style="997" hidden="1" customWidth="1" outlineLevel="1"/>
    <col min="119" max="119" width="14.28515625" style="997" hidden="1" customWidth="1" outlineLevel="1"/>
    <col min="120" max="120" width="12.42578125" style="997" hidden="1" customWidth="1" outlineLevel="1"/>
    <col min="121" max="121" width="14.28515625" style="997" hidden="1" customWidth="1" outlineLevel="1"/>
    <col min="122" max="122" width="12.42578125" style="997" hidden="1" customWidth="1" outlineLevel="1"/>
    <col min="123" max="123" width="9.140625" style="997" hidden="1" customWidth="1" outlineLevel="1"/>
    <col min="124" max="124" width="9.140625" collapsed="1"/>
  </cols>
  <sheetData>
    <row r="1" spans="1:124" s="995" customFormat="1">
      <c r="D1" s="110" t="s">
        <v>2212</v>
      </c>
      <c r="H1" s="526" t="s">
        <v>2228</v>
      </c>
      <c r="J1" s="526" t="s">
        <v>2259</v>
      </c>
      <c r="CP1" s="110"/>
      <c r="CT1" s="110" t="s">
        <v>1813</v>
      </c>
      <c r="DF1" s="997"/>
      <c r="DG1" s="997"/>
      <c r="DH1" s="997"/>
      <c r="DI1" s="997"/>
      <c r="DJ1" s="997"/>
      <c r="DK1" s="997"/>
      <c r="DL1" s="997"/>
      <c r="DM1" s="997"/>
      <c r="DN1" s="997"/>
      <c r="DO1" s="997"/>
      <c r="DP1" s="997"/>
      <c r="DQ1" s="997"/>
      <c r="DR1" s="997"/>
      <c r="DS1" s="997"/>
      <c r="DT1" s="110" t="s">
        <v>2226</v>
      </c>
    </row>
    <row r="2" spans="1:124" s="995" customFormat="1" ht="23.25">
      <c r="D2" s="110"/>
      <c r="E2" s="371" t="s">
        <v>2225</v>
      </c>
      <c r="H2" s="1192" t="str">
        <f ca="1">IF($L6="USD",_xll.BDP("EURUSD Curncy","BID"),_xll.BDP("USDEUR Curncy","BID"))</f>
        <v>#N/A Requesting Data...</v>
      </c>
      <c r="J2" s="1254">
        <v>1.0436000000000001</v>
      </c>
      <c r="CP2" s="110"/>
      <c r="CT2" s="110"/>
      <c r="DC2" s="867"/>
      <c r="DF2" s="997"/>
      <c r="DG2" s="997"/>
      <c r="DH2" s="997"/>
      <c r="DI2" s="997"/>
      <c r="DJ2" s="997"/>
      <c r="DK2" s="997"/>
      <c r="DL2" s="997"/>
      <c r="DM2" s="997"/>
      <c r="DN2" s="997"/>
      <c r="DO2" s="997"/>
      <c r="DP2" s="997"/>
      <c r="DQ2" s="997"/>
      <c r="DR2" s="997"/>
      <c r="DS2" s="997"/>
      <c r="DT2" s="110"/>
    </row>
    <row r="3" spans="1:124" s="995" customFormat="1">
      <c r="D3" s="110"/>
      <c r="CP3" s="110"/>
      <c r="CT3" s="110"/>
      <c r="CV3" s="10"/>
      <c r="DF3" s="997"/>
      <c r="DG3" s="997"/>
      <c r="DH3" s="997"/>
      <c r="DI3" s="997"/>
      <c r="DJ3" s="997"/>
      <c r="DK3" s="997"/>
      <c r="DL3" s="997"/>
      <c r="DM3" s="997"/>
      <c r="DN3" s="997"/>
      <c r="DO3" s="997"/>
      <c r="DP3" s="997"/>
      <c r="DQ3" s="997"/>
      <c r="DR3" s="997"/>
      <c r="DS3" s="997"/>
      <c r="DT3" s="110"/>
    </row>
    <row r="4" spans="1:124">
      <c r="B4" s="2" t="s">
        <v>2212</v>
      </c>
      <c r="E4" s="2" t="s">
        <v>2207</v>
      </c>
      <c r="M4" s="2" t="s">
        <v>2191</v>
      </c>
      <c r="T4" s="2" t="s">
        <v>2192</v>
      </c>
      <c r="AB4" s="2" t="s">
        <v>2191</v>
      </c>
      <c r="BG4" s="2" t="s">
        <v>2192</v>
      </c>
      <c r="CL4" s="2" t="s">
        <v>2200</v>
      </c>
      <c r="CO4" s="394" t="s">
        <v>2213</v>
      </c>
      <c r="CQ4" s="2" t="s">
        <v>2218</v>
      </c>
      <c r="CR4" s="647"/>
      <c r="CS4" s="647"/>
      <c r="CT4" s="647"/>
      <c r="CU4" s="2" t="s">
        <v>2219</v>
      </c>
      <c r="CX4" s="2" t="s">
        <v>2220</v>
      </c>
      <c r="CY4" s="995"/>
      <c r="DC4" s="2" t="s">
        <v>2221</v>
      </c>
      <c r="DE4" s="1187" t="s">
        <v>2222</v>
      </c>
      <c r="DF4" s="1188">
        <v>1</v>
      </c>
      <c r="DG4" s="1151" t="str">
        <f ca="1">INDEX(CQ6:CQ26,DF4,1)</f>
        <v>XCCY1@169:0</v>
      </c>
      <c r="DT4" s="110"/>
    </row>
    <row r="5" spans="1:124" s="995" customFormat="1">
      <c r="B5" s="526" t="s">
        <v>1768</v>
      </c>
      <c r="C5" s="526" t="s">
        <v>1769</v>
      </c>
      <c r="E5" s="526" t="s">
        <v>2123</v>
      </c>
      <c r="F5" s="526" t="s">
        <v>2202</v>
      </c>
      <c r="G5" s="526" t="s">
        <v>2019</v>
      </c>
      <c r="H5" s="526" t="s">
        <v>354</v>
      </c>
      <c r="I5" s="526" t="s">
        <v>2208</v>
      </c>
      <c r="J5" s="526" t="s">
        <v>2211</v>
      </c>
      <c r="K5" s="526" t="s">
        <v>2209</v>
      </c>
      <c r="L5" s="526" t="s">
        <v>2210</v>
      </c>
      <c r="M5" s="526" t="s">
        <v>2205</v>
      </c>
      <c r="N5" s="526" t="s">
        <v>2206</v>
      </c>
      <c r="O5" s="526" t="s">
        <v>2227</v>
      </c>
      <c r="P5" s="526" t="s">
        <v>1</v>
      </c>
      <c r="Q5" s="526" t="s">
        <v>120</v>
      </c>
      <c r="R5" s="526" t="s">
        <v>2203</v>
      </c>
      <c r="S5" s="526" t="s">
        <v>2204</v>
      </c>
      <c r="T5" s="526" t="s">
        <v>2205</v>
      </c>
      <c r="U5" s="526" t="s">
        <v>2206</v>
      </c>
      <c r="V5" s="526" t="s">
        <v>2227</v>
      </c>
      <c r="W5" s="526" t="s">
        <v>1</v>
      </c>
      <c r="X5" s="526" t="s">
        <v>120</v>
      </c>
      <c r="Y5" s="526" t="s">
        <v>2203</v>
      </c>
      <c r="Z5" s="526" t="s">
        <v>2204</v>
      </c>
      <c r="AB5" s="1152" t="s">
        <v>2017</v>
      </c>
      <c r="AC5" s="1152" t="s">
        <v>354</v>
      </c>
      <c r="AD5" s="1152" t="s">
        <v>2016</v>
      </c>
      <c r="AE5" s="1152" t="s">
        <v>1803</v>
      </c>
      <c r="AF5" s="1152" t="s">
        <v>1443</v>
      </c>
      <c r="AG5" s="1152" t="s">
        <v>1444</v>
      </c>
      <c r="AH5" s="1152" t="s">
        <v>156</v>
      </c>
      <c r="AI5" s="1152" t="s">
        <v>2015</v>
      </c>
      <c r="AJ5" s="1152" t="s">
        <v>1772</v>
      </c>
      <c r="AK5" s="1152" t="s">
        <v>2250</v>
      </c>
      <c r="AL5" s="1152" t="s">
        <v>2251</v>
      </c>
      <c r="AM5" s="1152" t="s">
        <v>2003</v>
      </c>
      <c r="AN5" s="1152" t="s">
        <v>2002</v>
      </c>
      <c r="AO5" s="1152" t="s">
        <v>1784</v>
      </c>
      <c r="AP5" s="1152" t="s">
        <v>1768</v>
      </c>
      <c r="AQ5" s="1152" t="s">
        <v>1769</v>
      </c>
      <c r="AR5" s="1152" t="s">
        <v>1</v>
      </c>
      <c r="AS5" s="1152" t="s">
        <v>120</v>
      </c>
      <c r="AT5" s="1152" t="s">
        <v>2012</v>
      </c>
      <c r="AU5" s="1152" t="s">
        <v>2011</v>
      </c>
      <c r="AV5" s="1152" t="s">
        <v>2014</v>
      </c>
      <c r="AW5" s="1152" t="s">
        <v>2013</v>
      </c>
      <c r="AX5" s="1152" t="s">
        <v>2009</v>
      </c>
      <c r="AY5" s="1152" t="s">
        <v>2008</v>
      </c>
      <c r="AZ5" s="1152" t="s">
        <v>2005</v>
      </c>
      <c r="BA5" s="1152" t="s">
        <v>2004</v>
      </c>
      <c r="BB5" s="1152" t="s">
        <v>2006</v>
      </c>
      <c r="BC5" s="1152" t="s">
        <v>2010</v>
      </c>
      <c r="BD5" s="1152" t="s">
        <v>2194</v>
      </c>
      <c r="BE5" s="1152" t="s">
        <v>2007</v>
      </c>
      <c r="BF5" s="1152" t="s">
        <v>2001</v>
      </c>
      <c r="BG5" s="1152" t="s">
        <v>2017</v>
      </c>
      <c r="BH5" s="1152" t="s">
        <v>354</v>
      </c>
      <c r="BI5" s="1152" t="s">
        <v>2016</v>
      </c>
      <c r="BJ5" s="1152" t="s">
        <v>1803</v>
      </c>
      <c r="BK5" s="1152" t="s">
        <v>1443</v>
      </c>
      <c r="BL5" s="1152" t="s">
        <v>1444</v>
      </c>
      <c r="BM5" s="1152" t="s">
        <v>156</v>
      </c>
      <c r="BN5" s="1152" t="s">
        <v>2015</v>
      </c>
      <c r="BO5" s="1152" t="s">
        <v>1772</v>
      </c>
      <c r="BP5" s="1152" t="s">
        <v>2250</v>
      </c>
      <c r="BQ5" s="1152" t="s">
        <v>2251</v>
      </c>
      <c r="BR5" s="1152" t="s">
        <v>2003</v>
      </c>
      <c r="BS5" s="1152" t="s">
        <v>2002</v>
      </c>
      <c r="BT5" s="1152" t="s">
        <v>1784</v>
      </c>
      <c r="BU5" s="1152" t="s">
        <v>1768</v>
      </c>
      <c r="BV5" s="1152" t="s">
        <v>1769</v>
      </c>
      <c r="BW5" s="1152" t="s">
        <v>1</v>
      </c>
      <c r="BX5" s="1152" t="s">
        <v>120</v>
      </c>
      <c r="BY5" s="1152" t="s">
        <v>2012</v>
      </c>
      <c r="BZ5" s="1152" t="s">
        <v>2011</v>
      </c>
      <c r="CA5" s="1152" t="s">
        <v>2014</v>
      </c>
      <c r="CB5" s="1152" t="s">
        <v>2013</v>
      </c>
      <c r="CC5" s="1152" t="s">
        <v>2009</v>
      </c>
      <c r="CD5" s="1152" t="s">
        <v>2008</v>
      </c>
      <c r="CE5" s="1152" t="s">
        <v>2005</v>
      </c>
      <c r="CF5" s="1152" t="s">
        <v>2004</v>
      </c>
      <c r="CG5" s="1152" t="s">
        <v>2006</v>
      </c>
      <c r="CH5" s="1152" t="s">
        <v>2010</v>
      </c>
      <c r="CI5" s="1152" t="s">
        <v>2194</v>
      </c>
      <c r="CJ5" s="1152" t="s">
        <v>2007</v>
      </c>
      <c r="CK5" s="1152" t="s">
        <v>2001</v>
      </c>
      <c r="CL5" s="1152" t="s">
        <v>2195</v>
      </c>
      <c r="CM5" s="1152" t="s">
        <v>2197</v>
      </c>
      <c r="CN5" s="1152" t="s">
        <v>2198</v>
      </c>
      <c r="CO5" s="1152" t="s">
        <v>2199</v>
      </c>
      <c r="CQ5" s="526" t="s">
        <v>2201</v>
      </c>
      <c r="CR5" s="526" t="s">
        <v>2214</v>
      </c>
      <c r="CS5" s="526" t="s">
        <v>2215</v>
      </c>
      <c r="CT5" s="526"/>
      <c r="CU5" s="526" t="s">
        <v>1445</v>
      </c>
      <c r="CV5" s="526" t="s">
        <v>1998</v>
      </c>
      <c r="CW5" s="998" t="s">
        <v>12</v>
      </c>
      <c r="CX5" s="1178" t="s">
        <v>890</v>
      </c>
      <c r="CY5" s="1178" t="s">
        <v>2216</v>
      </c>
      <c r="CZ5" s="1179" t="s">
        <v>2217</v>
      </c>
      <c r="DA5" s="1180" t="s">
        <v>1999</v>
      </c>
      <c r="DB5" s="1180"/>
      <c r="DG5" s="1150"/>
      <c r="DH5" s="1150"/>
    </row>
    <row r="6" spans="1:124" s="995" customFormat="1">
      <c r="A6" s="995" t="s">
        <v>12</v>
      </c>
      <c r="B6" s="1130">
        <f ca="1">IF(ISBLANK($F6),"",IF(ISNUMBER($F6),$F6,_xll.meDateFromTenor(COB,$F6,$AV6,$AW6)))</f>
        <v>43229</v>
      </c>
      <c r="C6" s="1131">
        <f ca="1">IF(ISBLANK($G6),"",IF(ISNUMBER($G6),$G6,_xll.meDateFromTenor($B6,$G6,$AV6,$AW6)))</f>
        <v>43594</v>
      </c>
      <c r="D6" s="110">
        <v>1</v>
      </c>
      <c r="E6" s="1154" t="s">
        <v>1995</v>
      </c>
      <c r="F6" s="973" t="s">
        <v>361</v>
      </c>
      <c r="G6" s="973" t="s">
        <v>154</v>
      </c>
      <c r="H6" s="968">
        <v>1000000</v>
      </c>
      <c r="I6" s="968" t="b">
        <v>1</v>
      </c>
      <c r="J6" s="1193">
        <f t="shared" ref="J6:J26" si="0">$J$2</f>
        <v>1.0436000000000001</v>
      </c>
      <c r="K6" s="968" t="s">
        <v>181</v>
      </c>
      <c r="L6" s="1155" t="s">
        <v>181</v>
      </c>
      <c r="M6" s="1154" t="s">
        <v>2053</v>
      </c>
      <c r="N6" s="967" t="s">
        <v>2</v>
      </c>
      <c r="O6" s="1189"/>
      <c r="P6" s="967" t="s">
        <v>1996</v>
      </c>
      <c r="Q6" s="967" t="s">
        <v>3</v>
      </c>
      <c r="R6" s="1160"/>
      <c r="S6" s="1146"/>
      <c r="T6" s="1154" t="s">
        <v>2053</v>
      </c>
      <c r="U6" s="967" t="s">
        <v>181</v>
      </c>
      <c r="V6" s="1189"/>
      <c r="W6" s="967" t="s">
        <v>1996</v>
      </c>
      <c r="X6" s="967" t="s">
        <v>3</v>
      </c>
      <c r="Y6" s="1160"/>
      <c r="Z6" s="1146"/>
      <c r="AB6" s="599" t="str">
        <f>AB$4&amp;":"&amp;$M6</f>
        <v>Leg1:FLOAT</v>
      </c>
      <c r="AC6" s="1033">
        <f t="shared" ref="AC6:AC26" si="1">H6</f>
        <v>1000000</v>
      </c>
      <c r="AD6" s="491" t="s">
        <v>2125</v>
      </c>
      <c r="AE6" s="1013" t="str">
        <f>IF($E6="PAY","PAYER","RECEIVER")</f>
        <v>PAYER</v>
      </c>
      <c r="AF6" s="1013" t="str">
        <f>$N6&amp;IF($P$6="ANNUAL","12M",IF($P6="SEMI-ANNUAL","6M",IF($P6="QUARTERLY","3M","1M")))&amp;"L"</f>
        <v>EUR3ML</v>
      </c>
      <c r="AG6" s="1013" t="str">
        <f>$N6&amp;"DF_"&amp;$K6&amp;"CSA"</f>
        <v>EURDF_USDCSA</v>
      </c>
      <c r="AH6" s="1013" t="str">
        <f>$N6</f>
        <v>EUR</v>
      </c>
      <c r="AI6" s="1166">
        <v>1</v>
      </c>
      <c r="AJ6" s="1167" t="str">
        <f>IF(UPPER($M6)="FIXED",$O6,"")</f>
        <v/>
      </c>
      <c r="AK6" s="1244" t="s">
        <v>2252</v>
      </c>
      <c r="AL6" s="1244" t="s">
        <v>2252</v>
      </c>
      <c r="AM6" s="1167" t="str">
        <f>IF(ISBLANK($R6),"",$R6)</f>
        <v/>
      </c>
      <c r="AN6" s="1167" t="str">
        <f>IF(ISBLANK($S6),"",$S6)</f>
        <v/>
      </c>
      <c r="AO6" s="1167">
        <f>IF(UPPER($M6)="FLOAT",$O6,"")</f>
        <v>0</v>
      </c>
      <c r="AP6" s="1032">
        <f ca="1">$B6</f>
        <v>43229</v>
      </c>
      <c r="AQ6" s="1032">
        <f ca="1">$C6</f>
        <v>43594</v>
      </c>
      <c r="AR6" s="1013" t="str">
        <f>$P6</f>
        <v>QUARTERLY</v>
      </c>
      <c r="AS6" s="1013" t="str">
        <f>$Q6</f>
        <v>ACT/360</v>
      </c>
      <c r="AT6" s="1168" t="s">
        <v>38</v>
      </c>
      <c r="AU6" s="1168" t="s">
        <v>2036</v>
      </c>
      <c r="AV6" s="1168" t="s">
        <v>38</v>
      </c>
      <c r="AW6" s="1168" t="s">
        <v>2036</v>
      </c>
      <c r="AX6" s="1168" t="s">
        <v>38</v>
      </c>
      <c r="AY6" s="1168" t="s">
        <v>2036</v>
      </c>
      <c r="AZ6" s="1013"/>
      <c r="BA6" s="1013"/>
      <c r="BB6" s="1013">
        <f ca="1">DAY($B6)</f>
        <v>9</v>
      </c>
      <c r="BC6" s="1168" t="s">
        <v>356</v>
      </c>
      <c r="BD6" s="1168" t="s">
        <v>356</v>
      </c>
      <c r="BE6" s="1168" t="s">
        <v>356</v>
      </c>
      <c r="BF6" s="1169" t="s">
        <v>358</v>
      </c>
      <c r="BG6" s="599" t="str">
        <f>BG$4&amp;":"&amp;$T6</f>
        <v>Leg2:FLOAT</v>
      </c>
      <c r="BH6" s="1033">
        <f>$H6</f>
        <v>1000000</v>
      </c>
      <c r="BI6" s="491" t="s">
        <v>2125</v>
      </c>
      <c r="BJ6" s="1013" t="str">
        <f>IF(UPPER($E6)="PAY","RECEIVER","PAYER")</f>
        <v>RECEIVER</v>
      </c>
      <c r="BK6" s="1013" t="str">
        <f>$U6&amp;IF($W$6="ANNUAL","12M",IF($W6="SEMI-ANNUAL","6M",IF($W6="QUARTERLY","3M","1M")))&amp;"L"</f>
        <v>USD3ML</v>
      </c>
      <c r="BL6" s="1013" t="str">
        <f t="shared" ref="BL6:BL26" si="2">$U6&amp;"DF_"&amp;$K6&amp;"CSA"</f>
        <v>USDDF_USDCSA</v>
      </c>
      <c r="BM6" s="1013" t="str">
        <f>$U6</f>
        <v>USD</v>
      </c>
      <c r="BN6" s="1166">
        <v>1</v>
      </c>
      <c r="BO6" s="1167" t="str">
        <f>IF(UPPER($T6)="FIXED",$V6,"")</f>
        <v/>
      </c>
      <c r="BP6" s="1244" t="s">
        <v>2252</v>
      </c>
      <c r="BQ6" s="1244" t="s">
        <v>2252</v>
      </c>
      <c r="BR6" s="1167" t="str">
        <f>IF(ISBLANK($Y6),"",$Y6)</f>
        <v/>
      </c>
      <c r="BS6" s="1167" t="str">
        <f>IF(ISBLANK($Z6),"",$Z6)</f>
        <v/>
      </c>
      <c r="BT6" s="1167">
        <f>IF(UPPER($T6)="FLOAT",$V6,"")</f>
        <v>0</v>
      </c>
      <c r="BU6" s="1032">
        <f ca="1">$B6</f>
        <v>43229</v>
      </c>
      <c r="BV6" s="1032">
        <f ca="1">$C6</f>
        <v>43594</v>
      </c>
      <c r="BW6" s="1013" t="str">
        <f>$W6</f>
        <v>QUARTERLY</v>
      </c>
      <c r="BX6" s="1013" t="str">
        <f>$X6</f>
        <v>ACT/360</v>
      </c>
      <c r="BY6" s="1168" t="s">
        <v>38</v>
      </c>
      <c r="BZ6" s="1168" t="s">
        <v>2036</v>
      </c>
      <c r="CA6" s="1168" t="s">
        <v>38</v>
      </c>
      <c r="CB6" s="1168" t="s">
        <v>2036</v>
      </c>
      <c r="CC6" s="1168" t="s">
        <v>38</v>
      </c>
      <c r="CD6" s="1168" t="s">
        <v>2036</v>
      </c>
      <c r="CE6" s="1013"/>
      <c r="CF6" s="1013"/>
      <c r="CG6" s="1013">
        <f ca="1">DAY($B6)</f>
        <v>9</v>
      </c>
      <c r="CH6" s="1168" t="s">
        <v>356</v>
      </c>
      <c r="CI6" s="1168" t="s">
        <v>356</v>
      </c>
      <c r="CJ6" s="1168" t="s">
        <v>356</v>
      </c>
      <c r="CK6" s="1169" t="s">
        <v>358</v>
      </c>
      <c r="CL6" s="1134" t="b">
        <f>$I6</f>
        <v>1</v>
      </c>
      <c r="CM6" s="1033" t="str">
        <f>$L6</f>
        <v>USD</v>
      </c>
      <c r="CN6" s="1113">
        <f>$J6</f>
        <v>1.0436000000000001</v>
      </c>
      <c r="CO6" s="1163"/>
      <c r="CP6" s="394">
        <v>1</v>
      </c>
      <c r="CQ6" s="599" t="str">
        <f ca="1">IF(OR($H6="",$G6=""),"",_xll.meLWOXccySwapCreate("XCCY"&amp;$CP6,_xll.meUtilityLVBFromKeysAndMultipleValues($AB$5:$BF$5,$AB6:$BF6,$BG6:$CK6),_xll.meUtilityLVBFromKeysValues($CL$5:$CO$5,$CL6:$CO6)))</f>
        <v>XCCY1@169:0</v>
      </c>
      <c r="CR6" s="1013" t="str">
        <f>IF(OR($H6="",$G6=""),"",$N6&amp;"YC")</f>
        <v>EURYC</v>
      </c>
      <c r="CS6" s="1014" t="str">
        <f>IF(OR($H6="",$G6=""),"",$U6&amp;"YC")</f>
        <v>USDYC</v>
      </c>
      <c r="CT6" s="526"/>
      <c r="CU6" s="1134" t="str">
        <f ca="1">IF(OR($H6="",$G6=""),"",_xll.meLWOSwapPV($CQ6,_xll.meUtilityLVBFromMultipleKeysValues("Leg1:Float",$CR6,,"Leg2:Float",$CS6)))</f>
        <v>[2018/05/04 09:52] #Error: Invalid Curve: CurveCollection 'USDYC' does not exist</v>
      </c>
      <c r="CV6" s="1175" t="str">
        <f ca="1">IF(OR($H6="",$G6=""),"",_xll.meLWOXccySwapParSpread($CQ6,_xll.meUtilityLVBFromMultipleKeysValues("Leg1:Float",$CR6,,"Leg2:Float",$CS6)))</f>
        <v>[2018/05/04 09:52] #Error: Invalid Curve: CurveCollection 'USDYC' does not exist</v>
      </c>
      <c r="CW6" s="995" t="s">
        <v>12</v>
      </c>
      <c r="CX6" s="599" t="str">
        <f t="array" ref="CX6:CY26">'EUR Curve Config'!XccyBasisData</f>
        <v>1Y</v>
      </c>
      <c r="CY6" s="1167">
        <v>-2.4125000000000001E-3</v>
      </c>
      <c r="CZ6" s="1175">
        <f>IF($CY6="","",$CY6*10000)</f>
        <v>-24.125</v>
      </c>
      <c r="DA6" s="1181" t="e">
        <f ca="1">IF($CY6="","",$CV6-$CZ6)</f>
        <v>#VALUE!</v>
      </c>
      <c r="DB6" s="995" t="s">
        <v>12</v>
      </c>
      <c r="DC6" s="1182" t="str">
        <f t="array" aca="1" ref="DC6:DS61" ca="1">_xll.meUtilityResize(_xll.meLWOSwapDisplayCashflows(INDEX($CQ$6:$CQ$26,$DF$4),_xll.meUtilityLVBFromMultipleKeysValues("Leg1:Float",INDEX($CR$6:$CR$26,$DF$4,1),,"Leg2:Float",INDEX($CS$6:$CS$26,$DF$4,1))),100,100)</f>
        <v>[2018/05/04 09:52] #Error: Invalid Curve: CurveCollection 'EURYC' does not exist</v>
      </c>
      <c r="DD6" s="1183" t="str">
        <f ca="1"/>
        <v/>
      </c>
      <c r="DE6" s="1183" t="str">
        <f ca="1"/>
        <v/>
      </c>
      <c r="DF6" s="1013" t="str">
        <f ca="1"/>
        <v/>
      </c>
      <c r="DG6" s="1037" t="str">
        <f ca="1"/>
        <v/>
      </c>
      <c r="DH6" s="1183" t="str">
        <f ca="1"/>
        <v/>
      </c>
      <c r="DI6" s="1033" t="str">
        <f ca="1"/>
        <v/>
      </c>
      <c r="DJ6" s="1033" t="str">
        <f ca="1"/>
        <v/>
      </c>
      <c r="DK6" s="1054" t="str">
        <f ca="1"/>
        <v/>
      </c>
      <c r="DL6" s="1054" t="str">
        <f ca="1"/>
        <v/>
      </c>
      <c r="DM6" s="697" t="str">
        <f ca="1"/>
        <v/>
      </c>
      <c r="DN6" s="1033" t="str">
        <f ca="1"/>
        <v/>
      </c>
      <c r="DO6" s="1111" t="str">
        <f ca="1"/>
        <v/>
      </c>
      <c r="DP6" s="1033" t="str">
        <f ca="1"/>
        <v/>
      </c>
      <c r="DQ6" s="1111" t="str">
        <f ca="1"/>
        <v/>
      </c>
      <c r="DR6" s="1033" t="str">
        <f ca="1"/>
        <v/>
      </c>
      <c r="DS6" s="1014" t="str">
        <f ca="1"/>
        <v/>
      </c>
    </row>
    <row r="7" spans="1:124" s="995" customFormat="1">
      <c r="A7" s="995" t="s">
        <v>12</v>
      </c>
      <c r="B7" s="1015">
        <f ca="1">IF(ISBLANK($F7),"",IF(ISNUMBER($F7),$F7,_xll.meDateFromTenor(COB,$F7,$AV7,$AW7)))</f>
        <v>43229</v>
      </c>
      <c r="C7" s="1132">
        <f ca="1">IF(ISBLANK($G7),"",IF(ISNUMBER($G7),$G7,_xll.meDateFromTenor($B7,$G7,$AV7,$AW7)))</f>
        <v>43962</v>
      </c>
      <c r="D7" s="110">
        <f>D6+1</f>
        <v>2</v>
      </c>
      <c r="E7" s="1156" t="s">
        <v>1995</v>
      </c>
      <c r="F7" s="975" t="s">
        <v>361</v>
      </c>
      <c r="G7" s="975" t="s">
        <v>40</v>
      </c>
      <c r="H7" s="970">
        <v>1000000</v>
      </c>
      <c r="I7" s="970" t="b">
        <v>1</v>
      </c>
      <c r="J7" s="1194">
        <f t="shared" si="0"/>
        <v>1.0436000000000001</v>
      </c>
      <c r="K7" s="970" t="s">
        <v>181</v>
      </c>
      <c r="L7" s="1157" t="s">
        <v>181</v>
      </c>
      <c r="M7" s="1156" t="s">
        <v>2053</v>
      </c>
      <c r="N7" s="969" t="s">
        <v>2</v>
      </c>
      <c r="O7" s="1190"/>
      <c r="P7" s="969" t="s">
        <v>1996</v>
      </c>
      <c r="Q7" s="969" t="s">
        <v>3</v>
      </c>
      <c r="R7" s="1153"/>
      <c r="S7" s="1147"/>
      <c r="T7" s="1156" t="s">
        <v>2053</v>
      </c>
      <c r="U7" s="969" t="s">
        <v>181</v>
      </c>
      <c r="V7" s="1190"/>
      <c r="W7" s="969" t="s">
        <v>1996</v>
      </c>
      <c r="X7" s="969" t="s">
        <v>3</v>
      </c>
      <c r="Y7" s="1153"/>
      <c r="Z7" s="1147"/>
      <c r="AB7" s="684" t="str">
        <f t="shared" ref="AB7:AB26" si="3">AB$4&amp;":"&amp;$M7</f>
        <v>Leg1:FLOAT</v>
      </c>
      <c r="AC7" s="1016">
        <f t="shared" si="1"/>
        <v>1000000</v>
      </c>
      <c r="AD7" s="351" t="s">
        <v>2125</v>
      </c>
      <c r="AE7" s="1004" t="str">
        <f t="shared" ref="AE7:AE26" si="4">IF($E7="PAY","PAYER","RECEIVER")</f>
        <v>PAYER</v>
      </c>
      <c r="AF7" s="1004" t="str">
        <f t="shared" ref="AF7:AF26" si="5">$N7&amp;IF($P$6="ANNUAL","12M",IF($P7="SEMI-ANNUAL","6M",IF($P7="QUARTERLY","3M","1M")))&amp;"L"</f>
        <v>EUR3ML</v>
      </c>
      <c r="AG7" s="1004" t="str">
        <f t="shared" ref="AG7:AG26" si="6">$N7&amp;"DF_"&amp;$K7&amp;"CSA"</f>
        <v>EURDF_USDCSA</v>
      </c>
      <c r="AH7" s="1004" t="str">
        <f t="shared" ref="AH7:AH26" si="7">$N7</f>
        <v>EUR</v>
      </c>
      <c r="AI7" s="1170">
        <v>1</v>
      </c>
      <c r="AJ7" s="1018" t="str">
        <f t="shared" ref="AJ7:AJ26" si="8">IF(UPPER($M7)="FIXED",$O7,"")</f>
        <v/>
      </c>
      <c r="AK7" s="1245" t="s">
        <v>2252</v>
      </c>
      <c r="AL7" s="1245" t="s">
        <v>2252</v>
      </c>
      <c r="AM7" s="1018" t="str">
        <f t="shared" ref="AM7:AM26" si="9">IF(ISBLANK($R7),"",$R7)</f>
        <v/>
      </c>
      <c r="AN7" s="1018" t="str">
        <f t="shared" ref="AN7:AN26" si="10">IF(ISBLANK($S7),"",$S7)</f>
        <v/>
      </c>
      <c r="AO7" s="1018">
        <f t="shared" ref="AO7:AO26" si="11">IF(UPPER($M7)="FLOAT",$O7,"")</f>
        <v>0</v>
      </c>
      <c r="AP7" s="1006">
        <f t="shared" ref="AP7:AP26" ca="1" si="12">$B7</f>
        <v>43229</v>
      </c>
      <c r="AQ7" s="1006">
        <f t="shared" ref="AQ7:AQ26" ca="1" si="13">$C7</f>
        <v>43962</v>
      </c>
      <c r="AR7" s="1004" t="str">
        <f t="shared" ref="AR7:AR26" si="14">$P7</f>
        <v>QUARTERLY</v>
      </c>
      <c r="AS7" s="1004" t="str">
        <f t="shared" ref="AS7:AS26" si="15">$Q7</f>
        <v>ACT/360</v>
      </c>
      <c r="AT7" s="1171" t="s">
        <v>38</v>
      </c>
      <c r="AU7" s="1171" t="s">
        <v>2036</v>
      </c>
      <c r="AV7" s="1171" t="s">
        <v>38</v>
      </c>
      <c r="AW7" s="1171" t="s">
        <v>2036</v>
      </c>
      <c r="AX7" s="1171" t="s">
        <v>38</v>
      </c>
      <c r="AY7" s="1171" t="s">
        <v>2036</v>
      </c>
      <c r="AZ7" s="1004"/>
      <c r="BA7" s="1004"/>
      <c r="BB7" s="1004">
        <f t="shared" ref="BB7:BB26" ca="1" si="16">DAY($B7)</f>
        <v>9</v>
      </c>
      <c r="BC7" s="1171" t="s">
        <v>356</v>
      </c>
      <c r="BD7" s="1171" t="s">
        <v>356</v>
      </c>
      <c r="BE7" s="1171" t="s">
        <v>356</v>
      </c>
      <c r="BF7" s="1172" t="s">
        <v>358</v>
      </c>
      <c r="BG7" s="684" t="str">
        <f t="shared" ref="BG7:BG26" si="17">BG$4&amp;":"&amp;$T7</f>
        <v>Leg2:FLOAT</v>
      </c>
      <c r="BH7" s="1016">
        <f t="shared" ref="BH7:BH26" si="18">$H7</f>
        <v>1000000</v>
      </c>
      <c r="BI7" s="351" t="s">
        <v>2125</v>
      </c>
      <c r="BJ7" s="1004" t="str">
        <f t="shared" ref="BJ7:BJ26" si="19">IF(UPPER($E7)="PAY","RECEIVER","PAYER")</f>
        <v>RECEIVER</v>
      </c>
      <c r="BK7" s="1004" t="str">
        <f t="shared" ref="BK7:BK26" si="20">$U7&amp;IF($W$6="ANNUAL","12M",IF($W7="SEMI-ANNUAL","6M",IF($W7="QUARTERLY","3M","1M")))&amp;"L"</f>
        <v>USD3ML</v>
      </c>
      <c r="BL7" s="1004" t="str">
        <f t="shared" si="2"/>
        <v>USDDF_USDCSA</v>
      </c>
      <c r="BM7" s="1004" t="str">
        <f t="shared" ref="BM7:BM26" si="21">$U7</f>
        <v>USD</v>
      </c>
      <c r="BN7" s="1170">
        <v>1</v>
      </c>
      <c r="BO7" s="1018" t="str">
        <f t="shared" ref="BO7:BO26" si="22">IF(UPPER($T7)="FIXED",$V7,"")</f>
        <v/>
      </c>
      <c r="BP7" s="1245" t="s">
        <v>2252</v>
      </c>
      <c r="BQ7" s="1245" t="s">
        <v>2252</v>
      </c>
      <c r="BR7" s="1018" t="str">
        <f t="shared" ref="BR7:BR26" si="23">IF(ISBLANK($Y7),"",$Y7)</f>
        <v/>
      </c>
      <c r="BS7" s="1018" t="str">
        <f t="shared" ref="BS7:BS26" si="24">IF(ISBLANK($Z7),"",$Z7)</f>
        <v/>
      </c>
      <c r="BT7" s="1018">
        <f t="shared" ref="BT7:BT26" si="25">IF(UPPER($T7)="FLOAT",$V7,"")</f>
        <v>0</v>
      </c>
      <c r="BU7" s="1006">
        <f t="shared" ref="BU7:BU26" ca="1" si="26">$B7</f>
        <v>43229</v>
      </c>
      <c r="BV7" s="1006">
        <f t="shared" ref="BV7:BV26" ca="1" si="27">$C7</f>
        <v>43962</v>
      </c>
      <c r="BW7" s="1004" t="str">
        <f t="shared" ref="BW7:BW26" si="28">$W7</f>
        <v>QUARTERLY</v>
      </c>
      <c r="BX7" s="1004" t="str">
        <f t="shared" ref="BX7:BX26" si="29">$X7</f>
        <v>ACT/360</v>
      </c>
      <c r="BY7" s="1171" t="s">
        <v>38</v>
      </c>
      <c r="BZ7" s="1171" t="s">
        <v>2036</v>
      </c>
      <c r="CA7" s="1171" t="s">
        <v>38</v>
      </c>
      <c r="CB7" s="1171" t="s">
        <v>2036</v>
      </c>
      <c r="CC7" s="1171" t="s">
        <v>38</v>
      </c>
      <c r="CD7" s="1171" t="s">
        <v>2036</v>
      </c>
      <c r="CE7" s="1004"/>
      <c r="CF7" s="1004"/>
      <c r="CG7" s="1004">
        <f t="shared" ref="CG7:CG26" ca="1" si="30">DAY($B7)</f>
        <v>9</v>
      </c>
      <c r="CH7" s="1171" t="s">
        <v>356</v>
      </c>
      <c r="CI7" s="1171" t="s">
        <v>356</v>
      </c>
      <c r="CJ7" s="1171" t="s">
        <v>356</v>
      </c>
      <c r="CK7" s="1172" t="s">
        <v>358</v>
      </c>
      <c r="CL7" s="427" t="b">
        <f t="shared" ref="CL7:CL26" si="31">$I7</f>
        <v>1</v>
      </c>
      <c r="CM7" s="1016" t="str">
        <f t="shared" ref="CM7:CM26" si="32">$L7</f>
        <v>USD</v>
      </c>
      <c r="CN7" s="1034">
        <f t="shared" ref="CN7:CN26" si="33">$J7</f>
        <v>1.0436000000000001</v>
      </c>
      <c r="CO7" s="1164"/>
      <c r="CP7" s="394">
        <f>CP6+1</f>
        <v>2</v>
      </c>
      <c r="CQ7" s="684" t="str">
        <f ca="1">IF(OR($H7="",$G7=""),"",_xll.meLWOXccySwapCreate("XCCY"&amp;$CP7,_xll.meUtilityLVBFromKeysAndMultipleValues($AB$5:$BF$5,$AB7:$BF7,$BG7:$CK7),_xll.meUtilityLVBFromKeysValues($CL$5:$CO$5,$CL7:$CO7)))</f>
        <v>XCCY2@156:0</v>
      </c>
      <c r="CR7" s="1004" t="str">
        <f t="shared" ref="CR7:CR26" si="34">IF(OR($H7="",$G7=""),"",$N7&amp;"YC")</f>
        <v>EURYC</v>
      </c>
      <c r="CS7" s="1020" t="str">
        <f t="shared" ref="CS7:CS26" si="35">IF(OR($H7="",$G7=""),"",$U7&amp;"YC")</f>
        <v>USDYC</v>
      </c>
      <c r="CT7" s="526"/>
      <c r="CU7" s="427" t="str">
        <f ca="1">IF(OR($H7="",$G7=""),"",_xll.meLWOSwapPV($CQ7,_xll.meUtilityLVBFromMultipleKeysValues("Leg1:Float",$CR7,,"Leg2:Float",$CS7)))</f>
        <v>[2018/05/04 09:52] #Error: Invalid Curve: CurveCollection 'USDYC' does not exist</v>
      </c>
      <c r="CV7" s="1176" t="str">
        <f ca="1">IF(OR($H7="",$G7=""),"",_xll.meLWOXccySwapParSpread($CQ7,_xll.meUtilityLVBFromMultipleKeysValues("Leg1:Float",$CR7,,"Leg2:Float",$CS7)))</f>
        <v>[2018/05/04 09:52] #Error: Invalid Curve: CurveCollection 'USDYC' does not exist</v>
      </c>
      <c r="CW7" s="995" t="s">
        <v>12</v>
      </c>
      <c r="CX7" s="684" t="str">
        <v>2Y</v>
      </c>
      <c r="CY7" s="1018">
        <v>-2.4250000000000001E-3</v>
      </c>
      <c r="CZ7" s="1176">
        <f t="shared" ref="CZ7:CZ26" si="36">IF($CY7="","",$CY7*10000)</f>
        <v>-24.25</v>
      </c>
      <c r="DA7" s="1181" t="e">
        <f t="shared" ref="DA7:DA26" ca="1" si="37">IF($CY7="","",$CV7-$CZ7)</f>
        <v>#VALUE!</v>
      </c>
      <c r="DB7" s="995" t="s">
        <v>12</v>
      </c>
      <c r="DC7" s="1184" t="str">
        <f ca="1"/>
        <v/>
      </c>
      <c r="DD7" s="1185" t="str">
        <f ca="1"/>
        <v/>
      </c>
      <c r="DE7" s="1185" t="str">
        <f ca="1"/>
        <v/>
      </c>
      <c r="DF7" s="1004" t="str">
        <f ca="1"/>
        <v/>
      </c>
      <c r="DG7" s="1017" t="str">
        <f ca="1"/>
        <v/>
      </c>
      <c r="DH7" s="1185" t="str">
        <f ca="1"/>
        <v/>
      </c>
      <c r="DI7" s="1016" t="str">
        <f ca="1"/>
        <v/>
      </c>
      <c r="DJ7" s="1016" t="str">
        <f ca="1"/>
        <v/>
      </c>
      <c r="DK7" s="1027" t="str">
        <f ca="1"/>
        <v/>
      </c>
      <c r="DL7" s="1027" t="str">
        <f ca="1"/>
        <v/>
      </c>
      <c r="DM7" s="1036" t="str">
        <f ca="1"/>
        <v/>
      </c>
      <c r="DN7" s="1016" t="str">
        <f ca="1"/>
        <v/>
      </c>
      <c r="DO7" s="1019" t="str">
        <f ca="1"/>
        <v/>
      </c>
      <c r="DP7" s="1016" t="str">
        <f ca="1"/>
        <v/>
      </c>
      <c r="DQ7" s="1019" t="str">
        <f ca="1"/>
        <v/>
      </c>
      <c r="DR7" s="1016" t="str">
        <f ca="1"/>
        <v/>
      </c>
      <c r="DS7" s="1020" t="str">
        <f ca="1"/>
        <v/>
      </c>
    </row>
    <row r="8" spans="1:124" s="995" customFormat="1">
      <c r="A8" s="995" t="s">
        <v>12</v>
      </c>
      <c r="B8" s="1015">
        <f ca="1">IF(ISBLANK($F8),"",IF(ISNUMBER($F8),$F8,_xll.meDateFromTenor(COB,$F8,$AV8,$AW8)))</f>
        <v>43229</v>
      </c>
      <c r="C8" s="1132">
        <f ca="1">IF(ISBLANK($G8),"",IF(ISNUMBER($G8),$G8,_xll.meDateFromTenor($B8,$G8,$AV8,$AW8)))</f>
        <v>44326</v>
      </c>
      <c r="D8" s="110">
        <f t="shared" ref="D8:D26" si="38">D7+1</f>
        <v>3</v>
      </c>
      <c r="E8" s="1156" t="s">
        <v>1995</v>
      </c>
      <c r="F8" s="975" t="s">
        <v>361</v>
      </c>
      <c r="G8" s="975" t="s">
        <v>37</v>
      </c>
      <c r="H8" s="970">
        <v>1000000</v>
      </c>
      <c r="I8" s="970" t="b">
        <v>1</v>
      </c>
      <c r="J8" s="1194">
        <f t="shared" si="0"/>
        <v>1.0436000000000001</v>
      </c>
      <c r="K8" s="970" t="s">
        <v>181</v>
      </c>
      <c r="L8" s="1157" t="s">
        <v>181</v>
      </c>
      <c r="M8" s="1156" t="s">
        <v>2053</v>
      </c>
      <c r="N8" s="969" t="s">
        <v>2</v>
      </c>
      <c r="O8" s="1190"/>
      <c r="P8" s="969" t="s">
        <v>1996</v>
      </c>
      <c r="Q8" s="969" t="s">
        <v>3</v>
      </c>
      <c r="R8" s="1153"/>
      <c r="S8" s="1147"/>
      <c r="T8" s="1156" t="s">
        <v>2053</v>
      </c>
      <c r="U8" s="969" t="s">
        <v>181</v>
      </c>
      <c r="V8" s="1190"/>
      <c r="W8" s="969" t="s">
        <v>1996</v>
      </c>
      <c r="X8" s="969" t="s">
        <v>3</v>
      </c>
      <c r="Y8" s="1153"/>
      <c r="Z8" s="1147"/>
      <c r="AB8" s="684" t="str">
        <f t="shared" si="3"/>
        <v>Leg1:FLOAT</v>
      </c>
      <c r="AC8" s="1016">
        <f t="shared" si="1"/>
        <v>1000000</v>
      </c>
      <c r="AD8" s="351" t="s">
        <v>2125</v>
      </c>
      <c r="AE8" s="1004" t="str">
        <f t="shared" si="4"/>
        <v>PAYER</v>
      </c>
      <c r="AF8" s="1004" t="str">
        <f t="shared" si="5"/>
        <v>EUR3ML</v>
      </c>
      <c r="AG8" s="1004" t="str">
        <f t="shared" si="6"/>
        <v>EURDF_USDCSA</v>
      </c>
      <c r="AH8" s="1004" t="str">
        <f t="shared" si="7"/>
        <v>EUR</v>
      </c>
      <c r="AI8" s="1170">
        <v>1</v>
      </c>
      <c r="AJ8" s="1018" t="str">
        <f t="shared" si="8"/>
        <v/>
      </c>
      <c r="AK8" s="1245" t="s">
        <v>2252</v>
      </c>
      <c r="AL8" s="1245" t="s">
        <v>2252</v>
      </c>
      <c r="AM8" s="1018" t="str">
        <f t="shared" si="9"/>
        <v/>
      </c>
      <c r="AN8" s="1018" t="str">
        <f t="shared" si="10"/>
        <v/>
      </c>
      <c r="AO8" s="1018">
        <f t="shared" si="11"/>
        <v>0</v>
      </c>
      <c r="AP8" s="1006">
        <f t="shared" ca="1" si="12"/>
        <v>43229</v>
      </c>
      <c r="AQ8" s="1006">
        <f t="shared" ca="1" si="13"/>
        <v>44326</v>
      </c>
      <c r="AR8" s="1004" t="str">
        <f t="shared" si="14"/>
        <v>QUARTERLY</v>
      </c>
      <c r="AS8" s="1004" t="str">
        <f t="shared" si="15"/>
        <v>ACT/360</v>
      </c>
      <c r="AT8" s="1171" t="s">
        <v>38</v>
      </c>
      <c r="AU8" s="1171" t="s">
        <v>2036</v>
      </c>
      <c r="AV8" s="1171" t="s">
        <v>38</v>
      </c>
      <c r="AW8" s="1171" t="s">
        <v>2036</v>
      </c>
      <c r="AX8" s="1171" t="s">
        <v>38</v>
      </c>
      <c r="AY8" s="1171" t="s">
        <v>2036</v>
      </c>
      <c r="AZ8" s="1004"/>
      <c r="BA8" s="1004"/>
      <c r="BB8" s="1004">
        <f t="shared" ca="1" si="16"/>
        <v>9</v>
      </c>
      <c r="BC8" s="1171" t="s">
        <v>356</v>
      </c>
      <c r="BD8" s="1171" t="s">
        <v>356</v>
      </c>
      <c r="BE8" s="1171" t="s">
        <v>356</v>
      </c>
      <c r="BF8" s="1172" t="s">
        <v>358</v>
      </c>
      <c r="BG8" s="684" t="str">
        <f t="shared" si="17"/>
        <v>Leg2:FLOAT</v>
      </c>
      <c r="BH8" s="1016">
        <f t="shared" si="18"/>
        <v>1000000</v>
      </c>
      <c r="BI8" s="351" t="s">
        <v>2125</v>
      </c>
      <c r="BJ8" s="1004" t="str">
        <f t="shared" si="19"/>
        <v>RECEIVER</v>
      </c>
      <c r="BK8" s="1004" t="str">
        <f t="shared" si="20"/>
        <v>USD3ML</v>
      </c>
      <c r="BL8" s="1004" t="str">
        <f t="shared" si="2"/>
        <v>USDDF_USDCSA</v>
      </c>
      <c r="BM8" s="1004" t="str">
        <f t="shared" si="21"/>
        <v>USD</v>
      </c>
      <c r="BN8" s="1170">
        <v>1</v>
      </c>
      <c r="BO8" s="1018" t="str">
        <f t="shared" si="22"/>
        <v/>
      </c>
      <c r="BP8" s="1245" t="s">
        <v>2252</v>
      </c>
      <c r="BQ8" s="1245" t="s">
        <v>2252</v>
      </c>
      <c r="BR8" s="1018" t="str">
        <f t="shared" si="23"/>
        <v/>
      </c>
      <c r="BS8" s="1018" t="str">
        <f t="shared" si="24"/>
        <v/>
      </c>
      <c r="BT8" s="1018">
        <f t="shared" si="25"/>
        <v>0</v>
      </c>
      <c r="BU8" s="1006">
        <f t="shared" ca="1" si="26"/>
        <v>43229</v>
      </c>
      <c r="BV8" s="1006">
        <f t="shared" ca="1" si="27"/>
        <v>44326</v>
      </c>
      <c r="BW8" s="1004" t="str">
        <f t="shared" si="28"/>
        <v>QUARTERLY</v>
      </c>
      <c r="BX8" s="1004" t="str">
        <f t="shared" si="29"/>
        <v>ACT/360</v>
      </c>
      <c r="BY8" s="1171" t="s">
        <v>38</v>
      </c>
      <c r="BZ8" s="1171" t="s">
        <v>2036</v>
      </c>
      <c r="CA8" s="1171" t="s">
        <v>38</v>
      </c>
      <c r="CB8" s="1171" t="s">
        <v>2036</v>
      </c>
      <c r="CC8" s="1171" t="s">
        <v>38</v>
      </c>
      <c r="CD8" s="1171" t="s">
        <v>2036</v>
      </c>
      <c r="CE8" s="1004"/>
      <c r="CF8" s="1004"/>
      <c r="CG8" s="1004">
        <f t="shared" ca="1" si="30"/>
        <v>9</v>
      </c>
      <c r="CH8" s="1171" t="s">
        <v>356</v>
      </c>
      <c r="CI8" s="1171" t="s">
        <v>356</v>
      </c>
      <c r="CJ8" s="1171" t="s">
        <v>356</v>
      </c>
      <c r="CK8" s="1172" t="s">
        <v>358</v>
      </c>
      <c r="CL8" s="427" t="b">
        <f t="shared" si="31"/>
        <v>1</v>
      </c>
      <c r="CM8" s="1016" t="str">
        <f t="shared" si="32"/>
        <v>USD</v>
      </c>
      <c r="CN8" s="1034">
        <f t="shared" si="33"/>
        <v>1.0436000000000001</v>
      </c>
      <c r="CO8" s="1164"/>
      <c r="CP8" s="394">
        <f t="shared" ref="CP8:CP26" si="39">CP7+1</f>
        <v>3</v>
      </c>
      <c r="CQ8" s="684" t="str">
        <f ca="1">IF(OR($H8="",$G8=""),"",_xll.meLWOXccySwapCreate("XCCY"&amp;$CP8,_xll.meUtilityLVBFromKeysAndMultipleValues($AB$5:$BF$5,$AB8:$BF8,$BG8:$CK8),_xll.meUtilityLVBFromKeysValues($CL$5:$CO$5,$CL8:$CO8)))</f>
        <v>XCCY3@171:0</v>
      </c>
      <c r="CR8" s="1004" t="str">
        <f t="shared" si="34"/>
        <v>EURYC</v>
      </c>
      <c r="CS8" s="1020" t="str">
        <f t="shared" si="35"/>
        <v>USDYC</v>
      </c>
      <c r="CT8" s="526"/>
      <c r="CU8" s="427" t="str">
        <f ca="1">IF(OR($H8="",$G8=""),"",_xll.meLWOSwapPV($CQ8,_xll.meUtilityLVBFromMultipleKeysValues("Leg1:Float",$CR8,,"Leg2:Float",$CS8)))</f>
        <v>[2018/05/04 09:52] #Error: Invalid Curve: CurveCollection 'USDYC' does not exist</v>
      </c>
      <c r="CV8" s="1176" t="str">
        <f ca="1">IF(OR($H8="",$G8=""),"",_xll.meLWOXccySwapParSpread($CQ8,_xll.meUtilityLVBFromMultipleKeysValues("Leg1:Float",$CR8,,"Leg2:Float",$CS8)))</f>
        <v>[2018/05/04 09:52] #Error: Invalid Curve: CurveCollection 'USDYC' does not exist</v>
      </c>
      <c r="CW8" s="995" t="s">
        <v>12</v>
      </c>
      <c r="CX8" s="684" t="str">
        <v>3Y</v>
      </c>
      <c r="CY8" s="1018">
        <v>-2.4250000000000001E-3</v>
      </c>
      <c r="CZ8" s="1176">
        <f t="shared" si="36"/>
        <v>-24.25</v>
      </c>
      <c r="DA8" s="1181" t="e">
        <f t="shared" ca="1" si="37"/>
        <v>#VALUE!</v>
      </c>
      <c r="DB8" s="995" t="s">
        <v>12</v>
      </c>
      <c r="DC8" s="1184" t="str">
        <f ca="1"/>
        <v/>
      </c>
      <c r="DD8" s="1185" t="str">
        <f ca="1"/>
        <v/>
      </c>
      <c r="DE8" s="1185" t="str">
        <f ca="1"/>
        <v/>
      </c>
      <c r="DF8" s="1004" t="str">
        <f ca="1"/>
        <v/>
      </c>
      <c r="DG8" s="1017" t="str">
        <f ca="1"/>
        <v/>
      </c>
      <c r="DH8" s="1185" t="str">
        <f ca="1"/>
        <v/>
      </c>
      <c r="DI8" s="1016" t="str">
        <f ca="1"/>
        <v/>
      </c>
      <c r="DJ8" s="1016" t="str">
        <f ca="1"/>
        <v/>
      </c>
      <c r="DK8" s="1027" t="str">
        <f ca="1"/>
        <v/>
      </c>
      <c r="DL8" s="1027" t="str">
        <f ca="1"/>
        <v/>
      </c>
      <c r="DM8" s="1036" t="str">
        <f ca="1"/>
        <v/>
      </c>
      <c r="DN8" s="1016" t="str">
        <f ca="1"/>
        <v/>
      </c>
      <c r="DO8" s="1019" t="str">
        <f ca="1"/>
        <v/>
      </c>
      <c r="DP8" s="1016" t="str">
        <f ca="1"/>
        <v/>
      </c>
      <c r="DQ8" s="1019" t="str">
        <f ca="1"/>
        <v/>
      </c>
      <c r="DR8" s="1016" t="str">
        <f ca="1"/>
        <v/>
      </c>
      <c r="DS8" s="1020" t="str">
        <f ca="1"/>
        <v/>
      </c>
    </row>
    <row r="9" spans="1:124" s="995" customFormat="1">
      <c r="A9" s="995" t="s">
        <v>12</v>
      </c>
      <c r="B9" s="1015">
        <f ca="1">IF(ISBLANK($F9),"",IF(ISNUMBER($F9),$F9,_xll.meDateFromTenor(COB,$F9,$AV9,$AW9)))</f>
        <v>43229</v>
      </c>
      <c r="C9" s="1132">
        <f ca="1">IF(ISBLANK($G9),"",IF(ISNUMBER($G9),$G9,_xll.meDateFromTenor($B9,$G9,$AV9,$AW9)))</f>
        <v>44690</v>
      </c>
      <c r="D9" s="110">
        <f t="shared" si="38"/>
        <v>4</v>
      </c>
      <c r="E9" s="1156" t="s">
        <v>1995</v>
      </c>
      <c r="F9" s="975" t="s">
        <v>361</v>
      </c>
      <c r="G9" s="975" t="s">
        <v>33</v>
      </c>
      <c r="H9" s="970">
        <v>1000000</v>
      </c>
      <c r="I9" s="970" t="b">
        <v>1</v>
      </c>
      <c r="J9" s="1194">
        <f t="shared" si="0"/>
        <v>1.0436000000000001</v>
      </c>
      <c r="K9" s="970" t="s">
        <v>181</v>
      </c>
      <c r="L9" s="1157" t="s">
        <v>181</v>
      </c>
      <c r="M9" s="1156" t="s">
        <v>2053</v>
      </c>
      <c r="N9" s="969" t="s">
        <v>2</v>
      </c>
      <c r="O9" s="1190"/>
      <c r="P9" s="969" t="s">
        <v>1996</v>
      </c>
      <c r="Q9" s="969" t="s">
        <v>3</v>
      </c>
      <c r="R9" s="1153"/>
      <c r="S9" s="1147"/>
      <c r="T9" s="1156" t="s">
        <v>2053</v>
      </c>
      <c r="U9" s="969" t="s">
        <v>181</v>
      </c>
      <c r="V9" s="1190"/>
      <c r="W9" s="969" t="s">
        <v>1996</v>
      </c>
      <c r="X9" s="969" t="s">
        <v>3</v>
      </c>
      <c r="Y9" s="1153"/>
      <c r="Z9" s="1147"/>
      <c r="AB9" s="684" t="str">
        <f t="shared" si="3"/>
        <v>Leg1:FLOAT</v>
      </c>
      <c r="AC9" s="1016">
        <f t="shared" si="1"/>
        <v>1000000</v>
      </c>
      <c r="AD9" s="351" t="s">
        <v>2125</v>
      </c>
      <c r="AE9" s="1004" t="str">
        <f t="shared" si="4"/>
        <v>PAYER</v>
      </c>
      <c r="AF9" s="1004" t="str">
        <f t="shared" si="5"/>
        <v>EUR3ML</v>
      </c>
      <c r="AG9" s="1004" t="str">
        <f t="shared" si="6"/>
        <v>EURDF_USDCSA</v>
      </c>
      <c r="AH9" s="1004" t="str">
        <f t="shared" si="7"/>
        <v>EUR</v>
      </c>
      <c r="AI9" s="1170">
        <v>1</v>
      </c>
      <c r="AJ9" s="1018" t="str">
        <f t="shared" si="8"/>
        <v/>
      </c>
      <c r="AK9" s="1245" t="s">
        <v>2252</v>
      </c>
      <c r="AL9" s="1245" t="s">
        <v>2252</v>
      </c>
      <c r="AM9" s="1018" t="str">
        <f t="shared" si="9"/>
        <v/>
      </c>
      <c r="AN9" s="1018" t="str">
        <f t="shared" si="10"/>
        <v/>
      </c>
      <c r="AO9" s="1018">
        <f t="shared" si="11"/>
        <v>0</v>
      </c>
      <c r="AP9" s="1006">
        <f t="shared" ca="1" si="12"/>
        <v>43229</v>
      </c>
      <c r="AQ9" s="1006">
        <f t="shared" ca="1" si="13"/>
        <v>44690</v>
      </c>
      <c r="AR9" s="1004" t="str">
        <f t="shared" si="14"/>
        <v>QUARTERLY</v>
      </c>
      <c r="AS9" s="1004" t="str">
        <f t="shared" si="15"/>
        <v>ACT/360</v>
      </c>
      <c r="AT9" s="1171" t="s">
        <v>38</v>
      </c>
      <c r="AU9" s="1171" t="s">
        <v>2036</v>
      </c>
      <c r="AV9" s="1171" t="s">
        <v>38</v>
      </c>
      <c r="AW9" s="1171" t="s">
        <v>2036</v>
      </c>
      <c r="AX9" s="1171" t="s">
        <v>38</v>
      </c>
      <c r="AY9" s="1171" t="s">
        <v>2036</v>
      </c>
      <c r="AZ9" s="1004"/>
      <c r="BA9" s="1004"/>
      <c r="BB9" s="1004">
        <f t="shared" ca="1" si="16"/>
        <v>9</v>
      </c>
      <c r="BC9" s="1171" t="s">
        <v>356</v>
      </c>
      <c r="BD9" s="1171" t="s">
        <v>356</v>
      </c>
      <c r="BE9" s="1171" t="s">
        <v>356</v>
      </c>
      <c r="BF9" s="1172" t="s">
        <v>358</v>
      </c>
      <c r="BG9" s="684" t="str">
        <f t="shared" si="17"/>
        <v>Leg2:FLOAT</v>
      </c>
      <c r="BH9" s="1016">
        <f t="shared" si="18"/>
        <v>1000000</v>
      </c>
      <c r="BI9" s="351" t="s">
        <v>2125</v>
      </c>
      <c r="BJ9" s="1004" t="str">
        <f t="shared" si="19"/>
        <v>RECEIVER</v>
      </c>
      <c r="BK9" s="1004" t="str">
        <f t="shared" si="20"/>
        <v>USD3ML</v>
      </c>
      <c r="BL9" s="1004" t="str">
        <f t="shared" si="2"/>
        <v>USDDF_USDCSA</v>
      </c>
      <c r="BM9" s="1004" t="str">
        <f t="shared" si="21"/>
        <v>USD</v>
      </c>
      <c r="BN9" s="1170">
        <v>1</v>
      </c>
      <c r="BO9" s="1018" t="str">
        <f t="shared" si="22"/>
        <v/>
      </c>
      <c r="BP9" s="1245" t="s">
        <v>2252</v>
      </c>
      <c r="BQ9" s="1245" t="s">
        <v>2252</v>
      </c>
      <c r="BR9" s="1018" t="str">
        <f t="shared" si="23"/>
        <v/>
      </c>
      <c r="BS9" s="1018" t="str">
        <f t="shared" si="24"/>
        <v/>
      </c>
      <c r="BT9" s="1018">
        <f t="shared" si="25"/>
        <v>0</v>
      </c>
      <c r="BU9" s="1006">
        <f t="shared" ca="1" si="26"/>
        <v>43229</v>
      </c>
      <c r="BV9" s="1006">
        <f t="shared" ca="1" si="27"/>
        <v>44690</v>
      </c>
      <c r="BW9" s="1004" t="str">
        <f t="shared" si="28"/>
        <v>QUARTERLY</v>
      </c>
      <c r="BX9" s="1004" t="str">
        <f t="shared" si="29"/>
        <v>ACT/360</v>
      </c>
      <c r="BY9" s="1171" t="s">
        <v>38</v>
      </c>
      <c r="BZ9" s="1171" t="s">
        <v>2036</v>
      </c>
      <c r="CA9" s="1171" t="s">
        <v>38</v>
      </c>
      <c r="CB9" s="1171" t="s">
        <v>2036</v>
      </c>
      <c r="CC9" s="1171" t="s">
        <v>38</v>
      </c>
      <c r="CD9" s="1171" t="s">
        <v>2036</v>
      </c>
      <c r="CE9" s="1004"/>
      <c r="CF9" s="1004"/>
      <c r="CG9" s="1004">
        <f t="shared" ca="1" si="30"/>
        <v>9</v>
      </c>
      <c r="CH9" s="1171" t="s">
        <v>356</v>
      </c>
      <c r="CI9" s="1171" t="s">
        <v>356</v>
      </c>
      <c r="CJ9" s="1171" t="s">
        <v>356</v>
      </c>
      <c r="CK9" s="1172" t="s">
        <v>358</v>
      </c>
      <c r="CL9" s="427" t="b">
        <f t="shared" si="31"/>
        <v>1</v>
      </c>
      <c r="CM9" s="1016" t="str">
        <f t="shared" si="32"/>
        <v>USD</v>
      </c>
      <c r="CN9" s="1034">
        <f t="shared" si="33"/>
        <v>1.0436000000000001</v>
      </c>
      <c r="CO9" s="1164"/>
      <c r="CP9" s="394">
        <f t="shared" si="39"/>
        <v>4</v>
      </c>
      <c r="CQ9" s="684" t="str">
        <f ca="1">IF(OR($H9="",$G9=""),"",_xll.meLWOXccySwapCreate("XCCY"&amp;$CP9,_xll.meUtilityLVBFromKeysAndMultipleValues($AB$5:$BF$5,$AB9:$BF9,$BG9:$CK9),_xll.meUtilityLVBFromKeysValues($CL$5:$CO$5,$CL9:$CO9)))</f>
        <v>XCCY4@161:0</v>
      </c>
      <c r="CR9" s="1004" t="str">
        <f t="shared" si="34"/>
        <v>EURYC</v>
      </c>
      <c r="CS9" s="1020" t="str">
        <f t="shared" si="35"/>
        <v>USDYC</v>
      </c>
      <c r="CT9" s="526"/>
      <c r="CU9" s="427" t="str">
        <f ca="1">IF(OR($H9="",$G9=""),"",_xll.meLWOSwapPV($CQ9,_xll.meUtilityLVBFromMultipleKeysValues("Leg1:Float",$CR9,,"Leg2:Float",$CS9)))</f>
        <v>[2018/05/04 09:52] #Error: Invalid Curve: CurveCollection 'USDYC' does not exist</v>
      </c>
      <c r="CV9" s="1176" t="str">
        <f ca="1">IF(OR($H9="",$G9=""),"",_xll.meLWOXccySwapParSpread($CQ9,_xll.meUtilityLVBFromMultipleKeysValues("Leg1:Float",$CR9,,"Leg2:Float",$CS9)))</f>
        <v>[2018/05/04 09:52] #Error: Invalid Curve: CurveCollection 'USDYC' does not exist</v>
      </c>
      <c r="CW9" s="995" t="s">
        <v>12</v>
      </c>
      <c r="CX9" s="684" t="str">
        <v>4Y</v>
      </c>
      <c r="CY9" s="1018">
        <v>-2.4499999999999999E-3</v>
      </c>
      <c r="CZ9" s="1176">
        <f t="shared" si="36"/>
        <v>-24.5</v>
      </c>
      <c r="DA9" s="1181" t="e">
        <f t="shared" ca="1" si="37"/>
        <v>#VALUE!</v>
      </c>
      <c r="DB9" s="995" t="s">
        <v>12</v>
      </c>
      <c r="DC9" s="1184" t="str">
        <f ca="1"/>
        <v/>
      </c>
      <c r="DD9" s="1185" t="str">
        <f ca="1"/>
        <v/>
      </c>
      <c r="DE9" s="1185" t="str">
        <f ca="1"/>
        <v/>
      </c>
      <c r="DF9" s="1004" t="str">
        <f ca="1"/>
        <v/>
      </c>
      <c r="DG9" s="1017" t="str">
        <f ca="1"/>
        <v/>
      </c>
      <c r="DH9" s="1185" t="str">
        <f ca="1"/>
        <v/>
      </c>
      <c r="DI9" s="1016" t="str">
        <f ca="1"/>
        <v/>
      </c>
      <c r="DJ9" s="1016" t="str">
        <f ca="1"/>
        <v/>
      </c>
      <c r="DK9" s="1027" t="str">
        <f ca="1"/>
        <v/>
      </c>
      <c r="DL9" s="1027" t="str">
        <f ca="1"/>
        <v/>
      </c>
      <c r="DM9" s="1036" t="str">
        <f ca="1"/>
        <v/>
      </c>
      <c r="DN9" s="1016" t="str">
        <f ca="1"/>
        <v/>
      </c>
      <c r="DO9" s="1019" t="str">
        <f ca="1"/>
        <v/>
      </c>
      <c r="DP9" s="1016" t="str">
        <f ca="1"/>
        <v/>
      </c>
      <c r="DQ9" s="1019" t="str">
        <f ca="1"/>
        <v/>
      </c>
      <c r="DR9" s="1016" t="str">
        <f ca="1"/>
        <v/>
      </c>
      <c r="DS9" s="1020" t="str">
        <f ca="1"/>
        <v/>
      </c>
    </row>
    <row r="10" spans="1:124" s="995" customFormat="1">
      <c r="A10" s="995" t="s">
        <v>12</v>
      </c>
      <c r="B10" s="1015">
        <f ca="1">IF(ISBLANK($F10),"",IF(ISNUMBER($F10),$F10,_xll.meDateFromTenor(COB,$F10,$AV10,$AW10)))</f>
        <v>43229</v>
      </c>
      <c r="C10" s="1132">
        <f ca="1">IF(ISBLANK($G10),"",IF(ISNUMBER($G10),$G10,_xll.meDateFromTenor($B10,$G10,$AV10,$AW10)))</f>
        <v>45055</v>
      </c>
      <c r="D10" s="110">
        <f t="shared" si="38"/>
        <v>5</v>
      </c>
      <c r="E10" s="1156" t="s">
        <v>1995</v>
      </c>
      <c r="F10" s="975" t="s">
        <v>361</v>
      </c>
      <c r="G10" s="975" t="s">
        <v>31</v>
      </c>
      <c r="H10" s="970">
        <v>1000000</v>
      </c>
      <c r="I10" s="970" t="b">
        <v>1</v>
      </c>
      <c r="J10" s="1194">
        <f t="shared" si="0"/>
        <v>1.0436000000000001</v>
      </c>
      <c r="K10" s="970" t="s">
        <v>181</v>
      </c>
      <c r="L10" s="1157" t="s">
        <v>181</v>
      </c>
      <c r="M10" s="1156" t="s">
        <v>2053</v>
      </c>
      <c r="N10" s="969" t="s">
        <v>2</v>
      </c>
      <c r="O10" s="1190"/>
      <c r="P10" s="969" t="s">
        <v>1996</v>
      </c>
      <c r="Q10" s="969" t="s">
        <v>3</v>
      </c>
      <c r="R10" s="1153"/>
      <c r="S10" s="1147"/>
      <c r="T10" s="1156" t="s">
        <v>2053</v>
      </c>
      <c r="U10" s="969" t="s">
        <v>181</v>
      </c>
      <c r="V10" s="1190"/>
      <c r="W10" s="969" t="s">
        <v>1996</v>
      </c>
      <c r="X10" s="969" t="s">
        <v>3</v>
      </c>
      <c r="Y10" s="1153"/>
      <c r="Z10" s="1147"/>
      <c r="AB10" s="684" t="str">
        <f t="shared" si="3"/>
        <v>Leg1:FLOAT</v>
      </c>
      <c r="AC10" s="1016">
        <f t="shared" si="1"/>
        <v>1000000</v>
      </c>
      <c r="AD10" s="351" t="s">
        <v>2125</v>
      </c>
      <c r="AE10" s="1004" t="str">
        <f t="shared" si="4"/>
        <v>PAYER</v>
      </c>
      <c r="AF10" s="1004" t="str">
        <f t="shared" si="5"/>
        <v>EUR3ML</v>
      </c>
      <c r="AG10" s="1004" t="str">
        <f t="shared" si="6"/>
        <v>EURDF_USDCSA</v>
      </c>
      <c r="AH10" s="1004" t="str">
        <f t="shared" si="7"/>
        <v>EUR</v>
      </c>
      <c r="AI10" s="1170">
        <v>1</v>
      </c>
      <c r="AJ10" s="1018" t="str">
        <f t="shared" si="8"/>
        <v/>
      </c>
      <c r="AK10" s="1245" t="s">
        <v>2252</v>
      </c>
      <c r="AL10" s="1245" t="s">
        <v>2252</v>
      </c>
      <c r="AM10" s="1018" t="str">
        <f t="shared" si="9"/>
        <v/>
      </c>
      <c r="AN10" s="1018" t="str">
        <f t="shared" si="10"/>
        <v/>
      </c>
      <c r="AO10" s="1018">
        <f t="shared" si="11"/>
        <v>0</v>
      </c>
      <c r="AP10" s="1006">
        <f t="shared" ca="1" si="12"/>
        <v>43229</v>
      </c>
      <c r="AQ10" s="1006">
        <f t="shared" ca="1" si="13"/>
        <v>45055</v>
      </c>
      <c r="AR10" s="1004" t="str">
        <f t="shared" si="14"/>
        <v>QUARTERLY</v>
      </c>
      <c r="AS10" s="1004" t="str">
        <f t="shared" si="15"/>
        <v>ACT/360</v>
      </c>
      <c r="AT10" s="1171" t="s">
        <v>38</v>
      </c>
      <c r="AU10" s="1171" t="s">
        <v>2036</v>
      </c>
      <c r="AV10" s="1171" t="s">
        <v>38</v>
      </c>
      <c r="AW10" s="1171" t="s">
        <v>2036</v>
      </c>
      <c r="AX10" s="1171" t="s">
        <v>38</v>
      </c>
      <c r="AY10" s="1171" t="s">
        <v>2036</v>
      </c>
      <c r="AZ10" s="1004"/>
      <c r="BA10" s="1004"/>
      <c r="BB10" s="1004">
        <f t="shared" ca="1" si="16"/>
        <v>9</v>
      </c>
      <c r="BC10" s="1171" t="s">
        <v>356</v>
      </c>
      <c r="BD10" s="1171" t="s">
        <v>356</v>
      </c>
      <c r="BE10" s="1171" t="s">
        <v>356</v>
      </c>
      <c r="BF10" s="1172" t="s">
        <v>358</v>
      </c>
      <c r="BG10" s="684" t="str">
        <f t="shared" si="17"/>
        <v>Leg2:FLOAT</v>
      </c>
      <c r="BH10" s="1016">
        <f t="shared" si="18"/>
        <v>1000000</v>
      </c>
      <c r="BI10" s="351" t="s">
        <v>2125</v>
      </c>
      <c r="BJ10" s="1004" t="str">
        <f t="shared" si="19"/>
        <v>RECEIVER</v>
      </c>
      <c r="BK10" s="1004" t="str">
        <f t="shared" si="20"/>
        <v>USD3ML</v>
      </c>
      <c r="BL10" s="1004" t="str">
        <f t="shared" si="2"/>
        <v>USDDF_USDCSA</v>
      </c>
      <c r="BM10" s="1004" t="str">
        <f t="shared" si="21"/>
        <v>USD</v>
      </c>
      <c r="BN10" s="1170">
        <v>1</v>
      </c>
      <c r="BO10" s="1018" t="str">
        <f t="shared" si="22"/>
        <v/>
      </c>
      <c r="BP10" s="1245" t="s">
        <v>2252</v>
      </c>
      <c r="BQ10" s="1245" t="s">
        <v>2252</v>
      </c>
      <c r="BR10" s="1018" t="str">
        <f t="shared" si="23"/>
        <v/>
      </c>
      <c r="BS10" s="1018" t="str">
        <f t="shared" si="24"/>
        <v/>
      </c>
      <c r="BT10" s="1018">
        <f t="shared" si="25"/>
        <v>0</v>
      </c>
      <c r="BU10" s="1006">
        <f t="shared" ca="1" si="26"/>
        <v>43229</v>
      </c>
      <c r="BV10" s="1006">
        <f t="shared" ca="1" si="27"/>
        <v>45055</v>
      </c>
      <c r="BW10" s="1004" t="str">
        <f t="shared" si="28"/>
        <v>QUARTERLY</v>
      </c>
      <c r="BX10" s="1004" t="str">
        <f t="shared" si="29"/>
        <v>ACT/360</v>
      </c>
      <c r="BY10" s="1171" t="s">
        <v>38</v>
      </c>
      <c r="BZ10" s="1171" t="s">
        <v>2036</v>
      </c>
      <c r="CA10" s="1171" t="s">
        <v>38</v>
      </c>
      <c r="CB10" s="1171" t="s">
        <v>2036</v>
      </c>
      <c r="CC10" s="1171" t="s">
        <v>38</v>
      </c>
      <c r="CD10" s="1171" t="s">
        <v>2036</v>
      </c>
      <c r="CE10" s="1004"/>
      <c r="CF10" s="1004"/>
      <c r="CG10" s="1004">
        <f t="shared" ca="1" si="30"/>
        <v>9</v>
      </c>
      <c r="CH10" s="1171" t="s">
        <v>356</v>
      </c>
      <c r="CI10" s="1171" t="s">
        <v>356</v>
      </c>
      <c r="CJ10" s="1171" t="s">
        <v>356</v>
      </c>
      <c r="CK10" s="1172" t="s">
        <v>358</v>
      </c>
      <c r="CL10" s="427" t="b">
        <f t="shared" si="31"/>
        <v>1</v>
      </c>
      <c r="CM10" s="1016" t="str">
        <f t="shared" si="32"/>
        <v>USD</v>
      </c>
      <c r="CN10" s="1034">
        <f t="shared" si="33"/>
        <v>1.0436000000000001</v>
      </c>
      <c r="CO10" s="1164"/>
      <c r="CP10" s="394">
        <f t="shared" si="39"/>
        <v>5</v>
      </c>
      <c r="CQ10" s="684" t="str">
        <f ca="1">IF(OR($H10="",$G10=""),"",_xll.meLWOXccySwapCreate("XCCY"&amp;$CP10,_xll.meUtilityLVBFromKeysAndMultipleValues($AB$5:$BF$5,$AB10:$BF10,$BG10:$CK10),_xll.meUtilityLVBFromKeysValues($CL$5:$CO$5,$CL10:$CO10)))</f>
        <v>XCCY5@164:0</v>
      </c>
      <c r="CR10" s="1004" t="str">
        <f t="shared" si="34"/>
        <v>EURYC</v>
      </c>
      <c r="CS10" s="1020" t="str">
        <f t="shared" si="35"/>
        <v>USDYC</v>
      </c>
      <c r="CT10" s="526"/>
      <c r="CU10" s="427" t="str">
        <f ca="1">IF(OR($H10="",$G10=""),"",_xll.meLWOSwapPV($CQ10,_xll.meUtilityLVBFromMultipleKeysValues("Leg1:Float",$CR10,,"Leg2:Float",$CS10)))</f>
        <v>[2018/05/04 09:52] #Error: Invalid Curve: CurveCollection 'USDYC' does not exist</v>
      </c>
      <c r="CV10" s="1176" t="str">
        <f ca="1">IF(OR($H10="",$G10=""),"",_xll.meLWOXccySwapParSpread($CQ10,_xll.meUtilityLVBFromMultipleKeysValues("Leg1:Float",$CR10,,"Leg2:Float",$CS10)))</f>
        <v>[2018/05/04 09:52] #Error: Invalid Curve: CurveCollection 'USDYC' does not exist</v>
      </c>
      <c r="CW10" s="995" t="s">
        <v>12</v>
      </c>
      <c r="CX10" s="684" t="str">
        <v>5Y</v>
      </c>
      <c r="CY10" s="1018">
        <v>-2.5000000000000001E-3</v>
      </c>
      <c r="CZ10" s="1176">
        <f t="shared" si="36"/>
        <v>-25</v>
      </c>
      <c r="DA10" s="1181" t="e">
        <f t="shared" ca="1" si="37"/>
        <v>#VALUE!</v>
      </c>
      <c r="DB10" s="995" t="s">
        <v>12</v>
      </c>
      <c r="DC10" s="1184" t="str">
        <f ca="1"/>
        <v/>
      </c>
      <c r="DD10" s="1185" t="str">
        <f ca="1"/>
        <v/>
      </c>
      <c r="DE10" s="1185" t="str">
        <f ca="1"/>
        <v/>
      </c>
      <c r="DF10" s="1004" t="str">
        <f ca="1"/>
        <v/>
      </c>
      <c r="DG10" s="1017" t="str">
        <f ca="1"/>
        <v/>
      </c>
      <c r="DH10" s="1185" t="str">
        <f ca="1"/>
        <v/>
      </c>
      <c r="DI10" s="1016" t="str">
        <f ca="1"/>
        <v/>
      </c>
      <c r="DJ10" s="1016" t="str">
        <f ca="1"/>
        <v/>
      </c>
      <c r="DK10" s="1027" t="str">
        <f ca="1"/>
        <v/>
      </c>
      <c r="DL10" s="1027" t="str">
        <f ca="1"/>
        <v/>
      </c>
      <c r="DM10" s="1036" t="str">
        <f ca="1"/>
        <v/>
      </c>
      <c r="DN10" s="1016" t="str">
        <f ca="1"/>
        <v/>
      </c>
      <c r="DO10" s="1019" t="str">
        <f ca="1"/>
        <v/>
      </c>
      <c r="DP10" s="1016" t="str">
        <f ca="1"/>
        <v/>
      </c>
      <c r="DQ10" s="1019" t="str">
        <f ca="1"/>
        <v/>
      </c>
      <c r="DR10" s="1016" t="str">
        <f ca="1"/>
        <v/>
      </c>
      <c r="DS10" s="1020" t="str">
        <f ca="1"/>
        <v/>
      </c>
    </row>
    <row r="11" spans="1:124">
      <c r="A11" s="995" t="s">
        <v>12</v>
      </c>
      <c r="B11" s="1015">
        <f ca="1">IF(ISBLANK($F11),"",IF(ISNUMBER($F11),$F11,_xll.meDateFromTenor(COB,$F11,$AV11,$AW11)))</f>
        <v>43229</v>
      </c>
      <c r="C11" s="1132">
        <f ca="1">IF(ISBLANK($G11),"",IF(ISNUMBER($G11),$G11,_xll.meDateFromTenor($B11,$G11,$AV11,$AW11)))</f>
        <v>45421</v>
      </c>
      <c r="D11" s="110">
        <f t="shared" si="38"/>
        <v>6</v>
      </c>
      <c r="E11" s="1156" t="s">
        <v>1995</v>
      </c>
      <c r="F11" s="975" t="s">
        <v>361</v>
      </c>
      <c r="G11" s="975" t="s">
        <v>127</v>
      </c>
      <c r="H11" s="970">
        <v>1000000</v>
      </c>
      <c r="I11" s="970" t="b">
        <v>1</v>
      </c>
      <c r="J11" s="1194">
        <f t="shared" si="0"/>
        <v>1.0436000000000001</v>
      </c>
      <c r="K11" s="970" t="s">
        <v>181</v>
      </c>
      <c r="L11" s="1157" t="s">
        <v>181</v>
      </c>
      <c r="M11" s="1156" t="s">
        <v>2053</v>
      </c>
      <c r="N11" s="969" t="s">
        <v>2</v>
      </c>
      <c r="O11" s="1190"/>
      <c r="P11" s="969" t="s">
        <v>1996</v>
      </c>
      <c r="Q11" s="969" t="s">
        <v>3</v>
      </c>
      <c r="R11" s="1153"/>
      <c r="S11" s="1147"/>
      <c r="T11" s="1156" t="s">
        <v>2053</v>
      </c>
      <c r="U11" s="969" t="s">
        <v>181</v>
      </c>
      <c r="V11" s="1190"/>
      <c r="W11" s="969" t="s">
        <v>1996</v>
      </c>
      <c r="X11" s="969" t="s">
        <v>3</v>
      </c>
      <c r="Y11" s="1153"/>
      <c r="Z11" s="1147"/>
      <c r="AB11" s="684" t="str">
        <f t="shared" si="3"/>
        <v>Leg1:FLOAT</v>
      </c>
      <c r="AC11" s="1016">
        <f t="shared" si="1"/>
        <v>1000000</v>
      </c>
      <c r="AD11" s="351" t="s">
        <v>2125</v>
      </c>
      <c r="AE11" s="1004" t="str">
        <f t="shared" si="4"/>
        <v>PAYER</v>
      </c>
      <c r="AF11" s="1004" t="str">
        <f t="shared" si="5"/>
        <v>EUR3ML</v>
      </c>
      <c r="AG11" s="1004" t="str">
        <f t="shared" si="6"/>
        <v>EURDF_USDCSA</v>
      </c>
      <c r="AH11" s="1004" t="str">
        <f t="shared" si="7"/>
        <v>EUR</v>
      </c>
      <c r="AI11" s="1170">
        <v>1</v>
      </c>
      <c r="AJ11" s="1018" t="str">
        <f t="shared" si="8"/>
        <v/>
      </c>
      <c r="AK11" s="1245" t="s">
        <v>2252</v>
      </c>
      <c r="AL11" s="1245" t="s">
        <v>2252</v>
      </c>
      <c r="AM11" s="1018" t="str">
        <f t="shared" si="9"/>
        <v/>
      </c>
      <c r="AN11" s="1018" t="str">
        <f t="shared" si="10"/>
        <v/>
      </c>
      <c r="AO11" s="1018">
        <f t="shared" si="11"/>
        <v>0</v>
      </c>
      <c r="AP11" s="1006">
        <f t="shared" ca="1" si="12"/>
        <v>43229</v>
      </c>
      <c r="AQ11" s="1006">
        <f t="shared" ca="1" si="13"/>
        <v>45421</v>
      </c>
      <c r="AR11" s="1004" t="str">
        <f t="shared" si="14"/>
        <v>QUARTERLY</v>
      </c>
      <c r="AS11" s="1004" t="str">
        <f t="shared" si="15"/>
        <v>ACT/360</v>
      </c>
      <c r="AT11" s="1171" t="s">
        <v>38</v>
      </c>
      <c r="AU11" s="1171" t="s">
        <v>2036</v>
      </c>
      <c r="AV11" s="1171" t="s">
        <v>38</v>
      </c>
      <c r="AW11" s="1171" t="s">
        <v>2036</v>
      </c>
      <c r="AX11" s="1171" t="s">
        <v>38</v>
      </c>
      <c r="AY11" s="1171" t="s">
        <v>2036</v>
      </c>
      <c r="AZ11" s="1004"/>
      <c r="BA11" s="1004"/>
      <c r="BB11" s="1004">
        <f t="shared" ca="1" si="16"/>
        <v>9</v>
      </c>
      <c r="BC11" s="1171" t="s">
        <v>356</v>
      </c>
      <c r="BD11" s="1171" t="s">
        <v>356</v>
      </c>
      <c r="BE11" s="1171" t="s">
        <v>356</v>
      </c>
      <c r="BF11" s="1172" t="s">
        <v>358</v>
      </c>
      <c r="BG11" s="684" t="str">
        <f t="shared" si="17"/>
        <v>Leg2:FLOAT</v>
      </c>
      <c r="BH11" s="1016">
        <f t="shared" si="18"/>
        <v>1000000</v>
      </c>
      <c r="BI11" s="351" t="s">
        <v>2125</v>
      </c>
      <c r="BJ11" s="1004" t="str">
        <f t="shared" si="19"/>
        <v>RECEIVER</v>
      </c>
      <c r="BK11" s="1004" t="str">
        <f t="shared" si="20"/>
        <v>USD3ML</v>
      </c>
      <c r="BL11" s="1004" t="str">
        <f t="shared" si="2"/>
        <v>USDDF_USDCSA</v>
      </c>
      <c r="BM11" s="1004" t="str">
        <f t="shared" si="21"/>
        <v>USD</v>
      </c>
      <c r="BN11" s="1170">
        <v>1</v>
      </c>
      <c r="BO11" s="1018" t="str">
        <f t="shared" si="22"/>
        <v/>
      </c>
      <c r="BP11" s="1245" t="s">
        <v>2252</v>
      </c>
      <c r="BQ11" s="1245" t="s">
        <v>2252</v>
      </c>
      <c r="BR11" s="1018" t="str">
        <f t="shared" si="23"/>
        <v/>
      </c>
      <c r="BS11" s="1018" t="str">
        <f t="shared" si="24"/>
        <v/>
      </c>
      <c r="BT11" s="1018">
        <f t="shared" si="25"/>
        <v>0</v>
      </c>
      <c r="BU11" s="1006">
        <f t="shared" ca="1" si="26"/>
        <v>43229</v>
      </c>
      <c r="BV11" s="1006">
        <f t="shared" ca="1" si="27"/>
        <v>45421</v>
      </c>
      <c r="BW11" s="1004" t="str">
        <f t="shared" si="28"/>
        <v>QUARTERLY</v>
      </c>
      <c r="BX11" s="1004" t="str">
        <f t="shared" si="29"/>
        <v>ACT/360</v>
      </c>
      <c r="BY11" s="1171" t="s">
        <v>38</v>
      </c>
      <c r="BZ11" s="1171" t="s">
        <v>2036</v>
      </c>
      <c r="CA11" s="1171" t="s">
        <v>38</v>
      </c>
      <c r="CB11" s="1171" t="s">
        <v>2036</v>
      </c>
      <c r="CC11" s="1171" t="s">
        <v>38</v>
      </c>
      <c r="CD11" s="1171" t="s">
        <v>2036</v>
      </c>
      <c r="CE11" s="1004"/>
      <c r="CF11" s="1004"/>
      <c r="CG11" s="1004">
        <f t="shared" ca="1" si="30"/>
        <v>9</v>
      </c>
      <c r="CH11" s="1171" t="s">
        <v>356</v>
      </c>
      <c r="CI11" s="1171" t="s">
        <v>356</v>
      </c>
      <c r="CJ11" s="1171" t="s">
        <v>356</v>
      </c>
      <c r="CK11" s="1172" t="s">
        <v>358</v>
      </c>
      <c r="CL11" s="427" t="b">
        <f t="shared" si="31"/>
        <v>1</v>
      </c>
      <c r="CM11" s="1016" t="str">
        <f t="shared" si="32"/>
        <v>USD</v>
      </c>
      <c r="CN11" s="1034">
        <f t="shared" si="33"/>
        <v>1.0436000000000001</v>
      </c>
      <c r="CO11" s="1164"/>
      <c r="CP11" s="394">
        <f t="shared" si="39"/>
        <v>6</v>
      </c>
      <c r="CQ11" s="684" t="str">
        <f ca="1">IF(OR($H11="",$G11=""),"",_xll.meLWOXccySwapCreate("XCCY"&amp;$CP11,_xll.meUtilityLVBFromKeysAndMultipleValues($AB$5:$BF$5,$AB11:$BF11,$BG11:$CK11),_xll.meUtilityLVBFromKeysValues($CL$5:$CO$5,$CL11:$CO11)))</f>
        <v>XCCY6@176:0</v>
      </c>
      <c r="CR11" s="1004" t="str">
        <f t="shared" si="34"/>
        <v>EURYC</v>
      </c>
      <c r="CS11" s="1020" t="str">
        <f t="shared" si="35"/>
        <v>USDYC</v>
      </c>
      <c r="CT11" s="526"/>
      <c r="CU11" s="427" t="str">
        <f ca="1">IF(OR($H11="",$G11=""),"",_xll.meLWOSwapPV($CQ11,_xll.meUtilityLVBFromMultipleKeysValues("Leg1:Float",$CR11,,"Leg2:Float",$CS11)))</f>
        <v>[2018/05/04 09:52] #Error: Invalid Curve: CurveCollection 'USDYC' does not exist</v>
      </c>
      <c r="CV11" s="1176" t="str">
        <f ca="1">IF(OR($H11="",$G11=""),"",_xll.meLWOXccySwapParSpread($CQ11,_xll.meUtilityLVBFromMultipleKeysValues("Leg1:Float",$CR11,,"Leg2:Float",$CS11)))</f>
        <v>[2018/05/04 09:52] #Error: Invalid Curve: CurveCollection 'USDYC' does not exist</v>
      </c>
      <c r="CW11" s="995" t="s">
        <v>12</v>
      </c>
      <c r="CX11" s="684" t="str">
        <v>6Y</v>
      </c>
      <c r="CY11" s="1018">
        <v>-2.5625000000000001E-3</v>
      </c>
      <c r="CZ11" s="1176">
        <f t="shared" si="36"/>
        <v>-25.625</v>
      </c>
      <c r="DA11" s="1181" t="e">
        <f t="shared" ca="1" si="37"/>
        <v>#VALUE!</v>
      </c>
      <c r="DB11" s="995" t="s">
        <v>12</v>
      </c>
      <c r="DC11" s="1184" t="str">
        <f ca="1"/>
        <v/>
      </c>
      <c r="DD11" s="1185" t="str">
        <f ca="1"/>
        <v/>
      </c>
      <c r="DE11" s="1185" t="str">
        <f ca="1"/>
        <v/>
      </c>
      <c r="DF11" s="1004" t="str">
        <f ca="1"/>
        <v/>
      </c>
      <c r="DG11" s="1017" t="str">
        <f ca="1"/>
        <v/>
      </c>
      <c r="DH11" s="1185" t="str">
        <f ca="1"/>
        <v/>
      </c>
      <c r="DI11" s="1016" t="str">
        <f ca="1"/>
        <v/>
      </c>
      <c r="DJ11" s="1016" t="str">
        <f ca="1"/>
        <v/>
      </c>
      <c r="DK11" s="1027" t="str">
        <f ca="1"/>
        <v/>
      </c>
      <c r="DL11" s="1027" t="str">
        <f ca="1"/>
        <v/>
      </c>
      <c r="DM11" s="1036" t="str">
        <f ca="1"/>
        <v/>
      </c>
      <c r="DN11" s="1016" t="str">
        <f ca="1"/>
        <v/>
      </c>
      <c r="DO11" s="1019" t="str">
        <f ca="1"/>
        <v/>
      </c>
      <c r="DP11" s="1016" t="str">
        <f ca="1"/>
        <v/>
      </c>
      <c r="DQ11" s="1019" t="str">
        <f ca="1"/>
        <v/>
      </c>
      <c r="DR11" s="1016" t="str">
        <f ca="1"/>
        <v/>
      </c>
      <c r="DS11" s="1020" t="str">
        <f ca="1"/>
        <v/>
      </c>
    </row>
    <row r="12" spans="1:124">
      <c r="A12" s="995" t="s">
        <v>12</v>
      </c>
      <c r="B12" s="1015">
        <f ca="1">IF(ISBLANK($F12),"",IF(ISNUMBER($F12),$F12,_xll.meDateFromTenor(COB,$F12,$AV12,$AW12)))</f>
        <v>43229</v>
      </c>
      <c r="C12" s="1132">
        <f ca="1">IF(ISBLANK($G12),"",IF(ISNUMBER($G12),$G12,_xll.meDateFromTenor($B12,$G12,$AV12,$AW12)))</f>
        <v>45786</v>
      </c>
      <c r="D12" s="110">
        <f t="shared" si="38"/>
        <v>7</v>
      </c>
      <c r="E12" s="1156" t="s">
        <v>1995</v>
      </c>
      <c r="F12" s="975" t="s">
        <v>361</v>
      </c>
      <c r="G12" s="975" t="s">
        <v>29</v>
      </c>
      <c r="H12" s="970">
        <v>1000000</v>
      </c>
      <c r="I12" s="970" t="b">
        <v>1</v>
      </c>
      <c r="J12" s="1194">
        <f t="shared" si="0"/>
        <v>1.0436000000000001</v>
      </c>
      <c r="K12" s="970" t="s">
        <v>181</v>
      </c>
      <c r="L12" s="1157" t="s">
        <v>181</v>
      </c>
      <c r="M12" s="1156" t="s">
        <v>2053</v>
      </c>
      <c r="N12" s="969" t="s">
        <v>2</v>
      </c>
      <c r="O12" s="1190"/>
      <c r="P12" s="969" t="s">
        <v>1996</v>
      </c>
      <c r="Q12" s="969" t="s">
        <v>3</v>
      </c>
      <c r="R12" s="1153"/>
      <c r="S12" s="1147"/>
      <c r="T12" s="1156" t="s">
        <v>2053</v>
      </c>
      <c r="U12" s="969" t="s">
        <v>181</v>
      </c>
      <c r="V12" s="1190"/>
      <c r="W12" s="969" t="s">
        <v>1996</v>
      </c>
      <c r="X12" s="969" t="s">
        <v>3</v>
      </c>
      <c r="Y12" s="1153"/>
      <c r="Z12" s="1147"/>
      <c r="AB12" s="684" t="str">
        <f t="shared" si="3"/>
        <v>Leg1:FLOAT</v>
      </c>
      <c r="AC12" s="1016">
        <f t="shared" si="1"/>
        <v>1000000</v>
      </c>
      <c r="AD12" s="351" t="s">
        <v>2125</v>
      </c>
      <c r="AE12" s="1004" t="str">
        <f t="shared" si="4"/>
        <v>PAYER</v>
      </c>
      <c r="AF12" s="1004" t="str">
        <f t="shared" si="5"/>
        <v>EUR3ML</v>
      </c>
      <c r="AG12" s="1004" t="str">
        <f t="shared" si="6"/>
        <v>EURDF_USDCSA</v>
      </c>
      <c r="AH12" s="1004" t="str">
        <f t="shared" si="7"/>
        <v>EUR</v>
      </c>
      <c r="AI12" s="1170">
        <v>1</v>
      </c>
      <c r="AJ12" s="1018" t="str">
        <f t="shared" si="8"/>
        <v/>
      </c>
      <c r="AK12" s="1245" t="s">
        <v>2252</v>
      </c>
      <c r="AL12" s="1245" t="s">
        <v>2252</v>
      </c>
      <c r="AM12" s="1018" t="str">
        <f t="shared" si="9"/>
        <v/>
      </c>
      <c r="AN12" s="1018" t="str">
        <f t="shared" si="10"/>
        <v/>
      </c>
      <c r="AO12" s="1018">
        <f t="shared" si="11"/>
        <v>0</v>
      </c>
      <c r="AP12" s="1006">
        <f t="shared" ca="1" si="12"/>
        <v>43229</v>
      </c>
      <c r="AQ12" s="1006">
        <f t="shared" ca="1" si="13"/>
        <v>45786</v>
      </c>
      <c r="AR12" s="1004" t="str">
        <f t="shared" si="14"/>
        <v>QUARTERLY</v>
      </c>
      <c r="AS12" s="1004" t="str">
        <f t="shared" si="15"/>
        <v>ACT/360</v>
      </c>
      <c r="AT12" s="1171" t="s">
        <v>38</v>
      </c>
      <c r="AU12" s="1171" t="s">
        <v>2036</v>
      </c>
      <c r="AV12" s="1171" t="s">
        <v>38</v>
      </c>
      <c r="AW12" s="1171" t="s">
        <v>2036</v>
      </c>
      <c r="AX12" s="1171" t="s">
        <v>38</v>
      </c>
      <c r="AY12" s="1171" t="s">
        <v>2036</v>
      </c>
      <c r="AZ12" s="1004"/>
      <c r="BA12" s="1004"/>
      <c r="BB12" s="1004">
        <f t="shared" ca="1" si="16"/>
        <v>9</v>
      </c>
      <c r="BC12" s="1171" t="s">
        <v>356</v>
      </c>
      <c r="BD12" s="1171" t="s">
        <v>356</v>
      </c>
      <c r="BE12" s="1171" t="s">
        <v>356</v>
      </c>
      <c r="BF12" s="1172" t="s">
        <v>358</v>
      </c>
      <c r="BG12" s="684" t="str">
        <f t="shared" si="17"/>
        <v>Leg2:FLOAT</v>
      </c>
      <c r="BH12" s="1016">
        <f t="shared" si="18"/>
        <v>1000000</v>
      </c>
      <c r="BI12" s="351" t="s">
        <v>2125</v>
      </c>
      <c r="BJ12" s="1004" t="str">
        <f t="shared" si="19"/>
        <v>RECEIVER</v>
      </c>
      <c r="BK12" s="1004" t="str">
        <f t="shared" si="20"/>
        <v>USD3ML</v>
      </c>
      <c r="BL12" s="1004" t="str">
        <f t="shared" si="2"/>
        <v>USDDF_USDCSA</v>
      </c>
      <c r="BM12" s="1004" t="str">
        <f t="shared" si="21"/>
        <v>USD</v>
      </c>
      <c r="BN12" s="1170">
        <v>1</v>
      </c>
      <c r="BO12" s="1018" t="str">
        <f t="shared" si="22"/>
        <v/>
      </c>
      <c r="BP12" s="1245" t="s">
        <v>2252</v>
      </c>
      <c r="BQ12" s="1245" t="s">
        <v>2252</v>
      </c>
      <c r="BR12" s="1018" t="str">
        <f t="shared" si="23"/>
        <v/>
      </c>
      <c r="BS12" s="1018" t="str">
        <f t="shared" si="24"/>
        <v/>
      </c>
      <c r="BT12" s="1018">
        <f t="shared" si="25"/>
        <v>0</v>
      </c>
      <c r="BU12" s="1006">
        <f t="shared" ca="1" si="26"/>
        <v>43229</v>
      </c>
      <c r="BV12" s="1006">
        <f t="shared" ca="1" si="27"/>
        <v>45786</v>
      </c>
      <c r="BW12" s="1004" t="str">
        <f t="shared" si="28"/>
        <v>QUARTERLY</v>
      </c>
      <c r="BX12" s="1004" t="str">
        <f t="shared" si="29"/>
        <v>ACT/360</v>
      </c>
      <c r="BY12" s="1171" t="s">
        <v>38</v>
      </c>
      <c r="BZ12" s="1171" t="s">
        <v>2036</v>
      </c>
      <c r="CA12" s="1171" t="s">
        <v>38</v>
      </c>
      <c r="CB12" s="1171" t="s">
        <v>2036</v>
      </c>
      <c r="CC12" s="1171" t="s">
        <v>38</v>
      </c>
      <c r="CD12" s="1171" t="s">
        <v>2036</v>
      </c>
      <c r="CE12" s="1004"/>
      <c r="CF12" s="1004"/>
      <c r="CG12" s="1004">
        <f t="shared" ca="1" si="30"/>
        <v>9</v>
      </c>
      <c r="CH12" s="1171" t="s">
        <v>356</v>
      </c>
      <c r="CI12" s="1171" t="s">
        <v>356</v>
      </c>
      <c r="CJ12" s="1171" t="s">
        <v>356</v>
      </c>
      <c r="CK12" s="1172" t="s">
        <v>358</v>
      </c>
      <c r="CL12" s="427" t="b">
        <f t="shared" si="31"/>
        <v>1</v>
      </c>
      <c r="CM12" s="1016" t="str">
        <f t="shared" si="32"/>
        <v>USD</v>
      </c>
      <c r="CN12" s="1034">
        <f t="shared" si="33"/>
        <v>1.0436000000000001</v>
      </c>
      <c r="CO12" s="1164"/>
      <c r="CP12" s="394">
        <f t="shared" si="39"/>
        <v>7</v>
      </c>
      <c r="CQ12" s="684" t="str">
        <f ca="1">IF(OR($H12="",$G12=""),"",_xll.meLWOXccySwapCreate("XCCY"&amp;$CP12,_xll.meUtilityLVBFromKeysAndMultipleValues($AB$5:$BF$5,$AB12:$BF12,$BG12:$CK12),_xll.meUtilityLVBFromKeysValues($CL$5:$CO$5,$CL12:$CO12)))</f>
        <v>XCCY7@115:0</v>
      </c>
      <c r="CR12" s="1004" t="str">
        <f t="shared" si="34"/>
        <v>EURYC</v>
      </c>
      <c r="CS12" s="1020" t="str">
        <f t="shared" si="35"/>
        <v>USDYC</v>
      </c>
      <c r="CT12" s="526"/>
      <c r="CU12" s="427" t="str">
        <f ca="1">IF(OR($H12="",$G12=""),"",_xll.meLWOSwapPV($CQ12,_xll.meUtilityLVBFromMultipleKeysValues("Leg1:Float",$CR12,,"Leg2:Float",$CS12)))</f>
        <v>[2018/05/04 09:52] #Error: Invalid Curve: CurveCollection 'USDYC' does not exist</v>
      </c>
      <c r="CV12" s="1176" t="str">
        <f ca="1">IF(OR($H12="",$G12=""),"",_xll.meLWOXccySwapParSpread($CQ12,_xll.meUtilityLVBFromMultipleKeysValues("Leg1:Float",$CR12,,"Leg2:Float",$CS12)))</f>
        <v>[2018/05/04 09:52] #Error: Invalid Curve: CurveCollection 'USDYC' does not exist</v>
      </c>
      <c r="CW12" s="995" t="s">
        <v>12</v>
      </c>
      <c r="CX12" s="684" t="str">
        <v>7Y</v>
      </c>
      <c r="CY12" s="1018">
        <v>-2.5999999999999999E-3</v>
      </c>
      <c r="CZ12" s="1176">
        <f t="shared" si="36"/>
        <v>-26</v>
      </c>
      <c r="DA12" s="1181" t="e">
        <f t="shared" ca="1" si="37"/>
        <v>#VALUE!</v>
      </c>
      <c r="DB12" s="995" t="s">
        <v>12</v>
      </c>
      <c r="DC12" s="1184" t="str">
        <f ca="1"/>
        <v/>
      </c>
      <c r="DD12" s="1185" t="str">
        <f ca="1"/>
        <v/>
      </c>
      <c r="DE12" s="1185" t="str">
        <f ca="1"/>
        <v/>
      </c>
      <c r="DF12" s="1004" t="str">
        <f ca="1"/>
        <v/>
      </c>
      <c r="DG12" s="1017" t="str">
        <f ca="1"/>
        <v/>
      </c>
      <c r="DH12" s="1185" t="str">
        <f ca="1"/>
        <v/>
      </c>
      <c r="DI12" s="1016" t="str">
        <f ca="1"/>
        <v/>
      </c>
      <c r="DJ12" s="1016" t="str">
        <f ca="1"/>
        <v/>
      </c>
      <c r="DK12" s="1027" t="str">
        <f ca="1"/>
        <v/>
      </c>
      <c r="DL12" s="1027" t="str">
        <f ca="1"/>
        <v/>
      </c>
      <c r="DM12" s="1036" t="str">
        <f ca="1"/>
        <v/>
      </c>
      <c r="DN12" s="1016" t="str">
        <f ca="1"/>
        <v/>
      </c>
      <c r="DO12" s="1019" t="str">
        <f ca="1"/>
        <v/>
      </c>
      <c r="DP12" s="1016" t="str">
        <f ca="1"/>
        <v/>
      </c>
      <c r="DQ12" s="1019" t="str">
        <f ca="1"/>
        <v/>
      </c>
      <c r="DR12" s="1016" t="str">
        <f ca="1"/>
        <v/>
      </c>
      <c r="DS12" s="1020" t="str">
        <f ca="1"/>
        <v/>
      </c>
    </row>
    <row r="13" spans="1:124">
      <c r="A13" s="995" t="s">
        <v>12</v>
      </c>
      <c r="B13" s="1015">
        <f ca="1">IF(ISBLANK($F13),"",IF(ISNUMBER($F13),$F13,_xll.meDateFromTenor(COB,$F13,$AV13,$AW13)))</f>
        <v>43229</v>
      </c>
      <c r="C13" s="1132">
        <f ca="1">IF(ISBLANK($G13),"",IF(ISNUMBER($G13),$G13,_xll.meDateFromTenor($B13,$G13,$AV13,$AW13)))</f>
        <v>46153</v>
      </c>
      <c r="D13" s="110">
        <f t="shared" si="38"/>
        <v>8</v>
      </c>
      <c r="E13" s="1156" t="s">
        <v>1995</v>
      </c>
      <c r="F13" s="975" t="s">
        <v>361</v>
      </c>
      <c r="G13" s="975" t="s">
        <v>115</v>
      </c>
      <c r="H13" s="970">
        <v>1000000</v>
      </c>
      <c r="I13" s="970" t="b">
        <v>1</v>
      </c>
      <c r="J13" s="1194">
        <f t="shared" si="0"/>
        <v>1.0436000000000001</v>
      </c>
      <c r="K13" s="970" t="s">
        <v>181</v>
      </c>
      <c r="L13" s="1157" t="s">
        <v>181</v>
      </c>
      <c r="M13" s="1156" t="s">
        <v>2053</v>
      </c>
      <c r="N13" s="969" t="s">
        <v>2</v>
      </c>
      <c r="O13" s="1190"/>
      <c r="P13" s="969" t="s">
        <v>1996</v>
      </c>
      <c r="Q13" s="969" t="s">
        <v>3</v>
      </c>
      <c r="R13" s="1153"/>
      <c r="S13" s="1147"/>
      <c r="T13" s="1156" t="s">
        <v>2053</v>
      </c>
      <c r="U13" s="969" t="s">
        <v>181</v>
      </c>
      <c r="V13" s="1190"/>
      <c r="W13" s="969" t="s">
        <v>1996</v>
      </c>
      <c r="X13" s="969" t="s">
        <v>3</v>
      </c>
      <c r="Y13" s="1153"/>
      <c r="Z13" s="1147"/>
      <c r="AB13" s="684" t="str">
        <f t="shared" si="3"/>
        <v>Leg1:FLOAT</v>
      </c>
      <c r="AC13" s="1016">
        <f t="shared" si="1"/>
        <v>1000000</v>
      </c>
      <c r="AD13" s="351" t="s">
        <v>2125</v>
      </c>
      <c r="AE13" s="1004" t="str">
        <f t="shared" si="4"/>
        <v>PAYER</v>
      </c>
      <c r="AF13" s="1004" t="str">
        <f t="shared" si="5"/>
        <v>EUR3ML</v>
      </c>
      <c r="AG13" s="1004" t="str">
        <f t="shared" si="6"/>
        <v>EURDF_USDCSA</v>
      </c>
      <c r="AH13" s="1004" t="str">
        <f t="shared" si="7"/>
        <v>EUR</v>
      </c>
      <c r="AI13" s="1170">
        <v>1</v>
      </c>
      <c r="AJ13" s="1018" t="str">
        <f t="shared" si="8"/>
        <v/>
      </c>
      <c r="AK13" s="1245" t="s">
        <v>2252</v>
      </c>
      <c r="AL13" s="1245" t="s">
        <v>2252</v>
      </c>
      <c r="AM13" s="1018" t="str">
        <f t="shared" si="9"/>
        <v/>
      </c>
      <c r="AN13" s="1018" t="str">
        <f t="shared" si="10"/>
        <v/>
      </c>
      <c r="AO13" s="1018">
        <f t="shared" si="11"/>
        <v>0</v>
      </c>
      <c r="AP13" s="1006">
        <f t="shared" ca="1" si="12"/>
        <v>43229</v>
      </c>
      <c r="AQ13" s="1006">
        <f t="shared" ca="1" si="13"/>
        <v>46153</v>
      </c>
      <c r="AR13" s="1004" t="str">
        <f t="shared" si="14"/>
        <v>QUARTERLY</v>
      </c>
      <c r="AS13" s="1004" t="str">
        <f t="shared" si="15"/>
        <v>ACT/360</v>
      </c>
      <c r="AT13" s="1171" t="s">
        <v>38</v>
      </c>
      <c r="AU13" s="1171" t="s">
        <v>2036</v>
      </c>
      <c r="AV13" s="1171" t="s">
        <v>38</v>
      </c>
      <c r="AW13" s="1171" t="s">
        <v>2036</v>
      </c>
      <c r="AX13" s="1171" t="s">
        <v>38</v>
      </c>
      <c r="AY13" s="1171" t="s">
        <v>2036</v>
      </c>
      <c r="AZ13" s="1004"/>
      <c r="BA13" s="1004"/>
      <c r="BB13" s="1004">
        <f t="shared" ca="1" si="16"/>
        <v>9</v>
      </c>
      <c r="BC13" s="1171" t="s">
        <v>356</v>
      </c>
      <c r="BD13" s="1171" t="s">
        <v>356</v>
      </c>
      <c r="BE13" s="1171" t="s">
        <v>356</v>
      </c>
      <c r="BF13" s="1172" t="s">
        <v>358</v>
      </c>
      <c r="BG13" s="684" t="str">
        <f t="shared" si="17"/>
        <v>Leg2:FLOAT</v>
      </c>
      <c r="BH13" s="1016">
        <f t="shared" si="18"/>
        <v>1000000</v>
      </c>
      <c r="BI13" s="351" t="s">
        <v>2125</v>
      </c>
      <c r="BJ13" s="1004" t="str">
        <f t="shared" si="19"/>
        <v>RECEIVER</v>
      </c>
      <c r="BK13" s="1004" t="str">
        <f t="shared" si="20"/>
        <v>USD3ML</v>
      </c>
      <c r="BL13" s="1004" t="str">
        <f t="shared" si="2"/>
        <v>USDDF_USDCSA</v>
      </c>
      <c r="BM13" s="1004" t="str">
        <f t="shared" si="21"/>
        <v>USD</v>
      </c>
      <c r="BN13" s="1170">
        <v>1</v>
      </c>
      <c r="BO13" s="1018" t="str">
        <f t="shared" si="22"/>
        <v/>
      </c>
      <c r="BP13" s="1245" t="s">
        <v>2252</v>
      </c>
      <c r="BQ13" s="1245" t="s">
        <v>2252</v>
      </c>
      <c r="BR13" s="1018" t="str">
        <f t="shared" si="23"/>
        <v/>
      </c>
      <c r="BS13" s="1018" t="str">
        <f t="shared" si="24"/>
        <v/>
      </c>
      <c r="BT13" s="1018">
        <f t="shared" si="25"/>
        <v>0</v>
      </c>
      <c r="BU13" s="1006">
        <f t="shared" ca="1" si="26"/>
        <v>43229</v>
      </c>
      <c r="BV13" s="1006">
        <f t="shared" ca="1" si="27"/>
        <v>46153</v>
      </c>
      <c r="BW13" s="1004" t="str">
        <f t="shared" si="28"/>
        <v>QUARTERLY</v>
      </c>
      <c r="BX13" s="1004" t="str">
        <f t="shared" si="29"/>
        <v>ACT/360</v>
      </c>
      <c r="BY13" s="1171" t="s">
        <v>38</v>
      </c>
      <c r="BZ13" s="1171" t="s">
        <v>2036</v>
      </c>
      <c r="CA13" s="1171" t="s">
        <v>38</v>
      </c>
      <c r="CB13" s="1171" t="s">
        <v>2036</v>
      </c>
      <c r="CC13" s="1171" t="s">
        <v>38</v>
      </c>
      <c r="CD13" s="1171" t="s">
        <v>2036</v>
      </c>
      <c r="CE13" s="1004"/>
      <c r="CF13" s="1004"/>
      <c r="CG13" s="1004">
        <f t="shared" ca="1" si="30"/>
        <v>9</v>
      </c>
      <c r="CH13" s="1171" t="s">
        <v>356</v>
      </c>
      <c r="CI13" s="1171" t="s">
        <v>356</v>
      </c>
      <c r="CJ13" s="1171" t="s">
        <v>356</v>
      </c>
      <c r="CK13" s="1172" t="s">
        <v>358</v>
      </c>
      <c r="CL13" s="427" t="b">
        <f t="shared" si="31"/>
        <v>1</v>
      </c>
      <c r="CM13" s="1016" t="str">
        <f t="shared" si="32"/>
        <v>USD</v>
      </c>
      <c r="CN13" s="1034">
        <f t="shared" si="33"/>
        <v>1.0436000000000001</v>
      </c>
      <c r="CO13" s="1164"/>
      <c r="CP13" s="394">
        <f t="shared" si="39"/>
        <v>8</v>
      </c>
      <c r="CQ13" s="684" t="str">
        <f ca="1">IF(OR($H13="",$G13=""),"",_xll.meLWOXccySwapCreate("XCCY"&amp;$CP13,_xll.meUtilityLVBFromKeysAndMultipleValues($AB$5:$BF$5,$AB13:$BF13,$BG13:$CK13),_xll.meUtilityLVBFromKeysValues($CL$5:$CO$5,$CL13:$CO13)))</f>
        <v>XCCY8@178:0</v>
      </c>
      <c r="CR13" s="1004" t="str">
        <f t="shared" si="34"/>
        <v>EURYC</v>
      </c>
      <c r="CS13" s="1020" t="str">
        <f t="shared" si="35"/>
        <v>USDYC</v>
      </c>
      <c r="CT13" s="526"/>
      <c r="CU13" s="427" t="str">
        <f ca="1">IF(OR($H13="",$G13=""),"",_xll.meLWOSwapPV($CQ13,_xll.meUtilityLVBFromMultipleKeysValues("Leg1:Float",$CR13,,"Leg2:Float",$CS13)))</f>
        <v>[2018/05/04 09:52] #Error: Invalid Curve: CurveCollection 'USDYC' does not exist</v>
      </c>
      <c r="CV13" s="1176" t="str">
        <f ca="1">IF(OR($H13="",$G13=""),"",_xll.meLWOXccySwapParSpread($CQ13,_xll.meUtilityLVBFromMultipleKeysValues("Leg1:Float",$CR13,,"Leg2:Float",$CS13)))</f>
        <v>[2018/05/04 09:52] #Error: Invalid Curve: CurveCollection 'USDYC' does not exist</v>
      </c>
      <c r="CW13" s="995" t="s">
        <v>12</v>
      </c>
      <c r="CX13" s="684" t="str">
        <v>8Y</v>
      </c>
      <c r="CY13" s="1018">
        <v>-2.6124999999999998E-3</v>
      </c>
      <c r="CZ13" s="1176">
        <f t="shared" si="36"/>
        <v>-26.124999999999996</v>
      </c>
      <c r="DA13" s="1181" t="e">
        <f t="shared" ca="1" si="37"/>
        <v>#VALUE!</v>
      </c>
      <c r="DB13" s="995" t="s">
        <v>12</v>
      </c>
      <c r="DC13" s="1184" t="str">
        <f ca="1"/>
        <v/>
      </c>
      <c r="DD13" s="1185" t="str">
        <f ca="1"/>
        <v/>
      </c>
      <c r="DE13" s="1185" t="str">
        <f ca="1"/>
        <v/>
      </c>
      <c r="DF13" s="1004" t="str">
        <f ca="1"/>
        <v/>
      </c>
      <c r="DG13" s="1017" t="str">
        <f ca="1"/>
        <v/>
      </c>
      <c r="DH13" s="1185" t="str">
        <f ca="1"/>
        <v/>
      </c>
      <c r="DI13" s="1016" t="str">
        <f ca="1"/>
        <v/>
      </c>
      <c r="DJ13" s="1016" t="str">
        <f ca="1"/>
        <v/>
      </c>
      <c r="DK13" s="1027" t="str">
        <f ca="1"/>
        <v/>
      </c>
      <c r="DL13" s="1027" t="str">
        <f ca="1"/>
        <v/>
      </c>
      <c r="DM13" s="1036" t="str">
        <f ca="1"/>
        <v/>
      </c>
      <c r="DN13" s="1016" t="str">
        <f ca="1"/>
        <v/>
      </c>
      <c r="DO13" s="1019" t="str">
        <f ca="1"/>
        <v/>
      </c>
      <c r="DP13" s="1016" t="str">
        <f ca="1"/>
        <v/>
      </c>
      <c r="DQ13" s="1019" t="str">
        <f ca="1"/>
        <v/>
      </c>
      <c r="DR13" s="1016" t="str">
        <f ca="1"/>
        <v/>
      </c>
      <c r="DS13" s="1020" t="str">
        <f ca="1"/>
        <v/>
      </c>
    </row>
    <row r="14" spans="1:124">
      <c r="A14" s="995" t="s">
        <v>12</v>
      </c>
      <c r="B14" s="1015">
        <f ca="1">IF(ISBLANK($F14),"",IF(ISNUMBER($F14),$F14,_xll.meDateFromTenor(COB,$F14,$AV14,$AW14)))</f>
        <v>43229</v>
      </c>
      <c r="C14" s="1132">
        <f ca="1">IF(ISBLANK($G14),"",IF(ISNUMBER($G14),$G14,_xll.meDateFromTenor($B14,$G14,$AV14,$AW14)))</f>
        <v>46517</v>
      </c>
      <c r="D14" s="110">
        <f t="shared" si="38"/>
        <v>9</v>
      </c>
      <c r="E14" s="1156" t="s">
        <v>1995</v>
      </c>
      <c r="F14" s="975" t="s">
        <v>361</v>
      </c>
      <c r="G14" s="975" t="s">
        <v>109</v>
      </c>
      <c r="H14" s="970">
        <v>1000000</v>
      </c>
      <c r="I14" s="970" t="b">
        <v>1</v>
      </c>
      <c r="J14" s="1194">
        <f t="shared" si="0"/>
        <v>1.0436000000000001</v>
      </c>
      <c r="K14" s="970" t="s">
        <v>181</v>
      </c>
      <c r="L14" s="1157" t="s">
        <v>181</v>
      </c>
      <c r="M14" s="1156" t="s">
        <v>2053</v>
      </c>
      <c r="N14" s="969" t="s">
        <v>2</v>
      </c>
      <c r="O14" s="1190"/>
      <c r="P14" s="969" t="s">
        <v>1996</v>
      </c>
      <c r="Q14" s="969" t="s">
        <v>3</v>
      </c>
      <c r="R14" s="1153"/>
      <c r="S14" s="1147"/>
      <c r="T14" s="1156" t="s">
        <v>2053</v>
      </c>
      <c r="U14" s="969" t="s">
        <v>181</v>
      </c>
      <c r="V14" s="1190"/>
      <c r="W14" s="969" t="s">
        <v>1996</v>
      </c>
      <c r="X14" s="969" t="s">
        <v>3</v>
      </c>
      <c r="Y14" s="1153"/>
      <c r="Z14" s="1147"/>
      <c r="AB14" s="684" t="str">
        <f t="shared" si="3"/>
        <v>Leg1:FLOAT</v>
      </c>
      <c r="AC14" s="1016">
        <f t="shared" si="1"/>
        <v>1000000</v>
      </c>
      <c r="AD14" s="351" t="s">
        <v>2125</v>
      </c>
      <c r="AE14" s="1004" t="str">
        <f t="shared" si="4"/>
        <v>PAYER</v>
      </c>
      <c r="AF14" s="1004" t="str">
        <f t="shared" si="5"/>
        <v>EUR3ML</v>
      </c>
      <c r="AG14" s="1004" t="str">
        <f t="shared" si="6"/>
        <v>EURDF_USDCSA</v>
      </c>
      <c r="AH14" s="1004" t="str">
        <f t="shared" si="7"/>
        <v>EUR</v>
      </c>
      <c r="AI14" s="1170">
        <v>1</v>
      </c>
      <c r="AJ14" s="1018" t="str">
        <f t="shared" si="8"/>
        <v/>
      </c>
      <c r="AK14" s="1245" t="s">
        <v>2252</v>
      </c>
      <c r="AL14" s="1245" t="s">
        <v>2252</v>
      </c>
      <c r="AM14" s="1018" t="str">
        <f t="shared" si="9"/>
        <v/>
      </c>
      <c r="AN14" s="1018" t="str">
        <f t="shared" si="10"/>
        <v/>
      </c>
      <c r="AO14" s="1018">
        <f t="shared" si="11"/>
        <v>0</v>
      </c>
      <c r="AP14" s="1006">
        <f t="shared" ca="1" si="12"/>
        <v>43229</v>
      </c>
      <c r="AQ14" s="1006">
        <f t="shared" ca="1" si="13"/>
        <v>46517</v>
      </c>
      <c r="AR14" s="1004" t="str">
        <f t="shared" si="14"/>
        <v>QUARTERLY</v>
      </c>
      <c r="AS14" s="1004" t="str">
        <f t="shared" si="15"/>
        <v>ACT/360</v>
      </c>
      <c r="AT14" s="1171" t="s">
        <v>38</v>
      </c>
      <c r="AU14" s="1171" t="s">
        <v>2036</v>
      </c>
      <c r="AV14" s="1171" t="s">
        <v>38</v>
      </c>
      <c r="AW14" s="1171" t="s">
        <v>2036</v>
      </c>
      <c r="AX14" s="1171" t="s">
        <v>38</v>
      </c>
      <c r="AY14" s="1171" t="s">
        <v>2036</v>
      </c>
      <c r="AZ14" s="1004"/>
      <c r="BA14" s="1004"/>
      <c r="BB14" s="1004">
        <f t="shared" ca="1" si="16"/>
        <v>9</v>
      </c>
      <c r="BC14" s="1171" t="s">
        <v>356</v>
      </c>
      <c r="BD14" s="1171" t="s">
        <v>356</v>
      </c>
      <c r="BE14" s="1171" t="s">
        <v>356</v>
      </c>
      <c r="BF14" s="1172" t="s">
        <v>358</v>
      </c>
      <c r="BG14" s="684" t="str">
        <f t="shared" si="17"/>
        <v>Leg2:FLOAT</v>
      </c>
      <c r="BH14" s="1016">
        <f t="shared" si="18"/>
        <v>1000000</v>
      </c>
      <c r="BI14" s="351" t="s">
        <v>2125</v>
      </c>
      <c r="BJ14" s="1004" t="str">
        <f t="shared" si="19"/>
        <v>RECEIVER</v>
      </c>
      <c r="BK14" s="1004" t="str">
        <f t="shared" si="20"/>
        <v>USD3ML</v>
      </c>
      <c r="BL14" s="1004" t="str">
        <f t="shared" si="2"/>
        <v>USDDF_USDCSA</v>
      </c>
      <c r="BM14" s="1004" t="str">
        <f t="shared" si="21"/>
        <v>USD</v>
      </c>
      <c r="BN14" s="1170">
        <v>1</v>
      </c>
      <c r="BO14" s="1018" t="str">
        <f t="shared" si="22"/>
        <v/>
      </c>
      <c r="BP14" s="1245" t="s">
        <v>2252</v>
      </c>
      <c r="BQ14" s="1245" t="s">
        <v>2252</v>
      </c>
      <c r="BR14" s="1018" t="str">
        <f t="shared" si="23"/>
        <v/>
      </c>
      <c r="BS14" s="1018" t="str">
        <f t="shared" si="24"/>
        <v/>
      </c>
      <c r="BT14" s="1018">
        <f t="shared" si="25"/>
        <v>0</v>
      </c>
      <c r="BU14" s="1006">
        <f t="shared" ca="1" si="26"/>
        <v>43229</v>
      </c>
      <c r="BV14" s="1006">
        <f t="shared" ca="1" si="27"/>
        <v>46517</v>
      </c>
      <c r="BW14" s="1004" t="str">
        <f t="shared" si="28"/>
        <v>QUARTERLY</v>
      </c>
      <c r="BX14" s="1004" t="str">
        <f t="shared" si="29"/>
        <v>ACT/360</v>
      </c>
      <c r="BY14" s="1171" t="s">
        <v>38</v>
      </c>
      <c r="BZ14" s="1171" t="s">
        <v>2036</v>
      </c>
      <c r="CA14" s="1171" t="s">
        <v>38</v>
      </c>
      <c r="CB14" s="1171" t="s">
        <v>2036</v>
      </c>
      <c r="CC14" s="1171" t="s">
        <v>38</v>
      </c>
      <c r="CD14" s="1171" t="s">
        <v>2036</v>
      </c>
      <c r="CE14" s="1004"/>
      <c r="CF14" s="1004"/>
      <c r="CG14" s="1004">
        <f t="shared" ca="1" si="30"/>
        <v>9</v>
      </c>
      <c r="CH14" s="1171" t="s">
        <v>356</v>
      </c>
      <c r="CI14" s="1171" t="s">
        <v>356</v>
      </c>
      <c r="CJ14" s="1171" t="s">
        <v>356</v>
      </c>
      <c r="CK14" s="1172" t="s">
        <v>358</v>
      </c>
      <c r="CL14" s="427" t="b">
        <f t="shared" si="31"/>
        <v>1</v>
      </c>
      <c r="CM14" s="1016" t="str">
        <f t="shared" si="32"/>
        <v>USD</v>
      </c>
      <c r="CN14" s="1034">
        <f t="shared" si="33"/>
        <v>1.0436000000000001</v>
      </c>
      <c r="CO14" s="1164"/>
      <c r="CP14" s="394">
        <f t="shared" si="39"/>
        <v>9</v>
      </c>
      <c r="CQ14" s="684" t="str">
        <f ca="1">IF(OR($H14="",$G14=""),"",_xll.meLWOXccySwapCreate("XCCY"&amp;$CP14,_xll.meUtilityLVBFromKeysAndMultipleValues($AB$5:$BF$5,$AB14:$BF14,$BG14:$CK14),_xll.meUtilityLVBFromKeysValues($CL$5:$CO$5,$CL14:$CO14)))</f>
        <v>XCCY9@163:0</v>
      </c>
      <c r="CR14" s="1004" t="str">
        <f t="shared" si="34"/>
        <v>EURYC</v>
      </c>
      <c r="CS14" s="1020" t="str">
        <f t="shared" si="35"/>
        <v>USDYC</v>
      </c>
      <c r="CT14" s="526"/>
      <c r="CU14" s="427" t="str">
        <f ca="1">IF(OR($H14="",$G14=""),"",_xll.meLWOSwapPV($CQ14,_xll.meUtilityLVBFromMultipleKeysValues("Leg1:Float",$CR14,,"Leg2:Float",$CS14)))</f>
        <v>[2018/05/04 09:52] #Error: Invalid Curve: CurveCollection 'USDYC' does not exist</v>
      </c>
      <c r="CV14" s="1176" t="str">
        <f ca="1">IF(OR($H14="",$G14=""),"",_xll.meLWOXccySwapParSpread($CQ14,_xll.meUtilityLVBFromMultipleKeysValues("Leg1:Float",$CR14,,"Leg2:Float",$CS14)))</f>
        <v>[2018/05/04 09:52] #Error: Invalid Curve: CurveCollection 'USDYC' does not exist</v>
      </c>
      <c r="CW14" s="995" t="s">
        <v>12</v>
      </c>
      <c r="CX14" s="684" t="str">
        <v>9Y</v>
      </c>
      <c r="CY14" s="1018">
        <v>-2.5999999999999999E-3</v>
      </c>
      <c r="CZ14" s="1176">
        <f t="shared" si="36"/>
        <v>-26</v>
      </c>
      <c r="DA14" s="1181" t="e">
        <f t="shared" ca="1" si="37"/>
        <v>#VALUE!</v>
      </c>
      <c r="DB14" s="995" t="s">
        <v>12</v>
      </c>
      <c r="DC14" s="1184" t="str">
        <f ca="1"/>
        <v/>
      </c>
      <c r="DD14" s="1185" t="str">
        <f ca="1"/>
        <v/>
      </c>
      <c r="DE14" s="1185" t="str">
        <f ca="1"/>
        <v/>
      </c>
      <c r="DF14" s="1004" t="str">
        <f ca="1"/>
        <v/>
      </c>
      <c r="DG14" s="1017" t="str">
        <f ca="1"/>
        <v/>
      </c>
      <c r="DH14" s="1185" t="str">
        <f ca="1"/>
        <v/>
      </c>
      <c r="DI14" s="1016" t="str">
        <f ca="1"/>
        <v/>
      </c>
      <c r="DJ14" s="1016" t="str">
        <f ca="1"/>
        <v/>
      </c>
      <c r="DK14" s="1027" t="str">
        <f ca="1"/>
        <v/>
      </c>
      <c r="DL14" s="1027" t="str">
        <f ca="1"/>
        <v/>
      </c>
      <c r="DM14" s="1036" t="str">
        <f ca="1"/>
        <v/>
      </c>
      <c r="DN14" s="1016" t="str">
        <f ca="1"/>
        <v/>
      </c>
      <c r="DO14" s="1019" t="str">
        <f ca="1"/>
        <v/>
      </c>
      <c r="DP14" s="1016" t="str">
        <f ca="1"/>
        <v/>
      </c>
      <c r="DQ14" s="1019" t="str">
        <f ca="1"/>
        <v/>
      </c>
      <c r="DR14" s="1016" t="str">
        <f ca="1"/>
        <v/>
      </c>
      <c r="DS14" s="1020" t="str">
        <f ca="1"/>
        <v/>
      </c>
    </row>
    <row r="15" spans="1:124">
      <c r="A15" s="995" t="s">
        <v>12</v>
      </c>
      <c r="B15" s="1015">
        <f ca="1">IF(ISBLANK($F15),"",IF(ISNUMBER($F15),$F15,_xll.meDateFromTenor(COB,$F15,$AV15,$AW15)))</f>
        <v>43229</v>
      </c>
      <c r="C15" s="1132">
        <f ca="1">IF(ISBLANK($G15),"",IF(ISNUMBER($G15),$G15,_xll.meDateFromTenor($B15,$G15,$AV15,$AW15)))</f>
        <v>46882</v>
      </c>
      <c r="D15" s="110">
        <f t="shared" si="38"/>
        <v>10</v>
      </c>
      <c r="E15" s="1156" t="s">
        <v>1995</v>
      </c>
      <c r="F15" s="975" t="s">
        <v>361</v>
      </c>
      <c r="G15" s="975" t="s">
        <v>27</v>
      </c>
      <c r="H15" s="970">
        <v>1000000</v>
      </c>
      <c r="I15" s="970" t="b">
        <v>1</v>
      </c>
      <c r="J15" s="1194">
        <f t="shared" si="0"/>
        <v>1.0436000000000001</v>
      </c>
      <c r="K15" s="970" t="s">
        <v>181</v>
      </c>
      <c r="L15" s="1157" t="s">
        <v>181</v>
      </c>
      <c r="M15" s="1156" t="s">
        <v>2053</v>
      </c>
      <c r="N15" s="969" t="s">
        <v>2</v>
      </c>
      <c r="O15" s="1190"/>
      <c r="P15" s="969" t="s">
        <v>1996</v>
      </c>
      <c r="Q15" s="969" t="s">
        <v>3</v>
      </c>
      <c r="R15" s="1153"/>
      <c r="S15" s="1147"/>
      <c r="T15" s="1156" t="s">
        <v>2053</v>
      </c>
      <c r="U15" s="969" t="s">
        <v>181</v>
      </c>
      <c r="V15" s="1190"/>
      <c r="W15" s="969" t="s">
        <v>1996</v>
      </c>
      <c r="X15" s="969" t="s">
        <v>3</v>
      </c>
      <c r="Y15" s="1153"/>
      <c r="Z15" s="1147"/>
      <c r="AB15" s="684" t="str">
        <f t="shared" si="3"/>
        <v>Leg1:FLOAT</v>
      </c>
      <c r="AC15" s="1016">
        <f t="shared" si="1"/>
        <v>1000000</v>
      </c>
      <c r="AD15" s="351" t="s">
        <v>2125</v>
      </c>
      <c r="AE15" s="1004" t="str">
        <f t="shared" si="4"/>
        <v>PAYER</v>
      </c>
      <c r="AF15" s="1004" t="str">
        <f t="shared" si="5"/>
        <v>EUR3ML</v>
      </c>
      <c r="AG15" s="1004" t="str">
        <f t="shared" si="6"/>
        <v>EURDF_USDCSA</v>
      </c>
      <c r="AH15" s="1004" t="str">
        <f t="shared" si="7"/>
        <v>EUR</v>
      </c>
      <c r="AI15" s="1170">
        <v>1</v>
      </c>
      <c r="AJ15" s="1018" t="str">
        <f t="shared" si="8"/>
        <v/>
      </c>
      <c r="AK15" s="1245" t="s">
        <v>2252</v>
      </c>
      <c r="AL15" s="1245" t="s">
        <v>2252</v>
      </c>
      <c r="AM15" s="1018" t="str">
        <f t="shared" si="9"/>
        <v/>
      </c>
      <c r="AN15" s="1018" t="str">
        <f t="shared" si="10"/>
        <v/>
      </c>
      <c r="AO15" s="1018">
        <f t="shared" si="11"/>
        <v>0</v>
      </c>
      <c r="AP15" s="1006">
        <f t="shared" ca="1" si="12"/>
        <v>43229</v>
      </c>
      <c r="AQ15" s="1006">
        <f t="shared" ca="1" si="13"/>
        <v>46882</v>
      </c>
      <c r="AR15" s="1004" t="str">
        <f t="shared" si="14"/>
        <v>QUARTERLY</v>
      </c>
      <c r="AS15" s="1004" t="str">
        <f t="shared" si="15"/>
        <v>ACT/360</v>
      </c>
      <c r="AT15" s="1171" t="s">
        <v>38</v>
      </c>
      <c r="AU15" s="1171" t="s">
        <v>2036</v>
      </c>
      <c r="AV15" s="1171" t="s">
        <v>38</v>
      </c>
      <c r="AW15" s="1171" t="s">
        <v>2036</v>
      </c>
      <c r="AX15" s="1171" t="s">
        <v>38</v>
      </c>
      <c r="AY15" s="1171" t="s">
        <v>2036</v>
      </c>
      <c r="AZ15" s="1004"/>
      <c r="BA15" s="1004"/>
      <c r="BB15" s="1004">
        <f t="shared" ca="1" si="16"/>
        <v>9</v>
      </c>
      <c r="BC15" s="1171" t="s">
        <v>356</v>
      </c>
      <c r="BD15" s="1171" t="s">
        <v>356</v>
      </c>
      <c r="BE15" s="1171" t="s">
        <v>356</v>
      </c>
      <c r="BF15" s="1172" t="s">
        <v>358</v>
      </c>
      <c r="BG15" s="684" t="str">
        <f t="shared" si="17"/>
        <v>Leg2:FLOAT</v>
      </c>
      <c r="BH15" s="1016">
        <f t="shared" si="18"/>
        <v>1000000</v>
      </c>
      <c r="BI15" s="351" t="s">
        <v>2125</v>
      </c>
      <c r="BJ15" s="1004" t="str">
        <f t="shared" si="19"/>
        <v>RECEIVER</v>
      </c>
      <c r="BK15" s="1004" t="str">
        <f t="shared" si="20"/>
        <v>USD3ML</v>
      </c>
      <c r="BL15" s="1004" t="str">
        <f t="shared" si="2"/>
        <v>USDDF_USDCSA</v>
      </c>
      <c r="BM15" s="1004" t="str">
        <f t="shared" si="21"/>
        <v>USD</v>
      </c>
      <c r="BN15" s="1170">
        <v>1</v>
      </c>
      <c r="BO15" s="1018" t="str">
        <f t="shared" si="22"/>
        <v/>
      </c>
      <c r="BP15" s="1245" t="s">
        <v>2252</v>
      </c>
      <c r="BQ15" s="1245" t="s">
        <v>2252</v>
      </c>
      <c r="BR15" s="1018" t="str">
        <f t="shared" si="23"/>
        <v/>
      </c>
      <c r="BS15" s="1018" t="str">
        <f t="shared" si="24"/>
        <v/>
      </c>
      <c r="BT15" s="1018">
        <f t="shared" si="25"/>
        <v>0</v>
      </c>
      <c r="BU15" s="1006">
        <f t="shared" ca="1" si="26"/>
        <v>43229</v>
      </c>
      <c r="BV15" s="1006">
        <f t="shared" ca="1" si="27"/>
        <v>46882</v>
      </c>
      <c r="BW15" s="1004" t="str">
        <f t="shared" si="28"/>
        <v>QUARTERLY</v>
      </c>
      <c r="BX15" s="1004" t="str">
        <f t="shared" si="29"/>
        <v>ACT/360</v>
      </c>
      <c r="BY15" s="1171" t="s">
        <v>38</v>
      </c>
      <c r="BZ15" s="1171" t="s">
        <v>2036</v>
      </c>
      <c r="CA15" s="1171" t="s">
        <v>38</v>
      </c>
      <c r="CB15" s="1171" t="s">
        <v>2036</v>
      </c>
      <c r="CC15" s="1171" t="s">
        <v>38</v>
      </c>
      <c r="CD15" s="1171" t="s">
        <v>2036</v>
      </c>
      <c r="CE15" s="1004"/>
      <c r="CF15" s="1004"/>
      <c r="CG15" s="1004">
        <f t="shared" ca="1" si="30"/>
        <v>9</v>
      </c>
      <c r="CH15" s="1171" t="s">
        <v>356</v>
      </c>
      <c r="CI15" s="1171" t="s">
        <v>356</v>
      </c>
      <c r="CJ15" s="1171" t="s">
        <v>356</v>
      </c>
      <c r="CK15" s="1172" t="s">
        <v>358</v>
      </c>
      <c r="CL15" s="427" t="b">
        <f t="shared" si="31"/>
        <v>1</v>
      </c>
      <c r="CM15" s="1016" t="str">
        <f t="shared" si="32"/>
        <v>USD</v>
      </c>
      <c r="CN15" s="1034">
        <f t="shared" si="33"/>
        <v>1.0436000000000001</v>
      </c>
      <c r="CO15" s="1164"/>
      <c r="CP15" s="394">
        <f t="shared" si="39"/>
        <v>10</v>
      </c>
      <c r="CQ15" s="684" t="str">
        <f ca="1">IF(OR($H15="",$G15=""),"",_xll.meLWOXccySwapCreate("XCCY"&amp;$CP15,_xll.meUtilityLVBFromKeysAndMultipleValues($AB$5:$BF$5,$AB15:$BF15,$BG15:$CK15),_xll.meUtilityLVBFromKeysValues($CL$5:$CO$5,$CL15:$CO15)))</f>
        <v>XCCY10@173:0</v>
      </c>
      <c r="CR15" s="1004" t="str">
        <f t="shared" si="34"/>
        <v>EURYC</v>
      </c>
      <c r="CS15" s="1020" t="str">
        <f t="shared" si="35"/>
        <v>USDYC</v>
      </c>
      <c r="CT15" s="526"/>
      <c r="CU15" s="427" t="str">
        <f ca="1">IF(OR($H15="",$G15=""),"",_xll.meLWOSwapPV($CQ15,_xll.meUtilityLVBFromMultipleKeysValues("Leg1:Float",$CR15,,"Leg2:Float",$CS15)))</f>
        <v>[2018/05/04 09:52] #Error: Invalid Curve: CurveCollection 'USDYC' does not exist</v>
      </c>
      <c r="CV15" s="1176" t="str">
        <f ca="1">IF(OR($H15="",$G15=""),"",_xll.meLWOXccySwapParSpread($CQ15,_xll.meUtilityLVBFromMultipleKeysValues("Leg1:Float",$CR15,,"Leg2:Float",$CS15)))</f>
        <v>[2018/05/04 09:52] #Error: Invalid Curve: CurveCollection 'USDYC' does not exist</v>
      </c>
      <c r="CW15" s="995" t="s">
        <v>12</v>
      </c>
      <c r="CX15" s="684" t="str">
        <v>10Y</v>
      </c>
      <c r="CY15" s="1018">
        <v>-2.575E-3</v>
      </c>
      <c r="CZ15" s="1176">
        <f t="shared" si="36"/>
        <v>-25.75</v>
      </c>
      <c r="DA15" s="1181" t="e">
        <f t="shared" ca="1" si="37"/>
        <v>#VALUE!</v>
      </c>
      <c r="DB15" s="995" t="s">
        <v>12</v>
      </c>
      <c r="DC15" s="1184" t="str">
        <f ca="1"/>
        <v/>
      </c>
      <c r="DD15" s="1185" t="str">
        <f ca="1"/>
        <v/>
      </c>
      <c r="DE15" s="1185" t="str">
        <f ca="1"/>
        <v/>
      </c>
      <c r="DF15" s="1004" t="str">
        <f ca="1"/>
        <v/>
      </c>
      <c r="DG15" s="1017" t="str">
        <f ca="1"/>
        <v/>
      </c>
      <c r="DH15" s="1185" t="str">
        <f ca="1"/>
        <v/>
      </c>
      <c r="DI15" s="1016" t="str">
        <f ca="1"/>
        <v/>
      </c>
      <c r="DJ15" s="1016" t="str">
        <f ca="1"/>
        <v/>
      </c>
      <c r="DK15" s="1027" t="str">
        <f ca="1"/>
        <v/>
      </c>
      <c r="DL15" s="1027" t="str">
        <f ca="1"/>
        <v/>
      </c>
      <c r="DM15" s="1036" t="str">
        <f ca="1"/>
        <v/>
      </c>
      <c r="DN15" s="1016" t="str">
        <f ca="1"/>
        <v/>
      </c>
      <c r="DO15" s="1019" t="str">
        <f ca="1"/>
        <v/>
      </c>
      <c r="DP15" s="1016" t="str">
        <f ca="1"/>
        <v/>
      </c>
      <c r="DQ15" s="1019" t="str">
        <f ca="1"/>
        <v/>
      </c>
      <c r="DR15" s="1016" t="str">
        <f ca="1"/>
        <v/>
      </c>
      <c r="DS15" s="1020" t="str">
        <f ca="1"/>
        <v/>
      </c>
    </row>
    <row r="16" spans="1:124">
      <c r="A16" s="995" t="s">
        <v>12</v>
      </c>
      <c r="B16" s="1015">
        <f ca="1">IF(ISBLANK($F16),"",IF(ISNUMBER($F16),$F16,_xll.meDateFromTenor(COB,$F16,$AV16,$AW16)))</f>
        <v>43229</v>
      </c>
      <c r="C16" s="1132">
        <f ca="1">IF(ISBLANK($G16),"",IF(ISNUMBER($G16),$G16,_xll.meDateFromTenor($B16,$G16,$AV16,$AW16)))</f>
        <v>47612</v>
      </c>
      <c r="D16" s="110">
        <f t="shared" si="38"/>
        <v>11</v>
      </c>
      <c r="E16" s="1156" t="s">
        <v>1995</v>
      </c>
      <c r="F16" s="975" t="s">
        <v>361</v>
      </c>
      <c r="G16" s="975" t="s">
        <v>25</v>
      </c>
      <c r="H16" s="970">
        <v>1000000</v>
      </c>
      <c r="I16" s="970" t="b">
        <v>1</v>
      </c>
      <c r="J16" s="1194">
        <f t="shared" si="0"/>
        <v>1.0436000000000001</v>
      </c>
      <c r="K16" s="970" t="s">
        <v>181</v>
      </c>
      <c r="L16" s="1157" t="s">
        <v>181</v>
      </c>
      <c r="M16" s="1156" t="s">
        <v>2053</v>
      </c>
      <c r="N16" s="969" t="s">
        <v>2</v>
      </c>
      <c r="O16" s="1190"/>
      <c r="P16" s="969" t="s">
        <v>1996</v>
      </c>
      <c r="Q16" s="969" t="s">
        <v>3</v>
      </c>
      <c r="R16" s="1153"/>
      <c r="S16" s="1147"/>
      <c r="T16" s="1156" t="s">
        <v>2053</v>
      </c>
      <c r="U16" s="969" t="s">
        <v>181</v>
      </c>
      <c r="V16" s="1190"/>
      <c r="W16" s="969" t="s">
        <v>1996</v>
      </c>
      <c r="X16" s="969" t="s">
        <v>3</v>
      </c>
      <c r="Y16" s="1153"/>
      <c r="Z16" s="1147"/>
      <c r="AB16" s="684" t="str">
        <f t="shared" si="3"/>
        <v>Leg1:FLOAT</v>
      </c>
      <c r="AC16" s="1016">
        <f t="shared" si="1"/>
        <v>1000000</v>
      </c>
      <c r="AD16" s="351" t="s">
        <v>2125</v>
      </c>
      <c r="AE16" s="1004" t="str">
        <f t="shared" si="4"/>
        <v>PAYER</v>
      </c>
      <c r="AF16" s="1004" t="str">
        <f t="shared" si="5"/>
        <v>EUR3ML</v>
      </c>
      <c r="AG16" s="1004" t="str">
        <f t="shared" si="6"/>
        <v>EURDF_USDCSA</v>
      </c>
      <c r="AH16" s="1004" t="str">
        <f t="shared" si="7"/>
        <v>EUR</v>
      </c>
      <c r="AI16" s="1170">
        <v>1</v>
      </c>
      <c r="AJ16" s="1018" t="str">
        <f t="shared" si="8"/>
        <v/>
      </c>
      <c r="AK16" s="1245" t="s">
        <v>2252</v>
      </c>
      <c r="AL16" s="1245" t="s">
        <v>2252</v>
      </c>
      <c r="AM16" s="1018" t="str">
        <f t="shared" si="9"/>
        <v/>
      </c>
      <c r="AN16" s="1018" t="str">
        <f t="shared" si="10"/>
        <v/>
      </c>
      <c r="AO16" s="1018">
        <f t="shared" si="11"/>
        <v>0</v>
      </c>
      <c r="AP16" s="1006">
        <f t="shared" ca="1" si="12"/>
        <v>43229</v>
      </c>
      <c r="AQ16" s="1006">
        <f t="shared" ca="1" si="13"/>
        <v>47612</v>
      </c>
      <c r="AR16" s="1004" t="str">
        <f t="shared" si="14"/>
        <v>QUARTERLY</v>
      </c>
      <c r="AS16" s="1004" t="str">
        <f t="shared" si="15"/>
        <v>ACT/360</v>
      </c>
      <c r="AT16" s="1171" t="s">
        <v>38</v>
      </c>
      <c r="AU16" s="1171" t="s">
        <v>2036</v>
      </c>
      <c r="AV16" s="1171" t="s">
        <v>38</v>
      </c>
      <c r="AW16" s="1171" t="s">
        <v>2036</v>
      </c>
      <c r="AX16" s="1171" t="s">
        <v>38</v>
      </c>
      <c r="AY16" s="1171" t="s">
        <v>2036</v>
      </c>
      <c r="AZ16" s="1004"/>
      <c r="BA16" s="1004"/>
      <c r="BB16" s="1004">
        <f t="shared" ca="1" si="16"/>
        <v>9</v>
      </c>
      <c r="BC16" s="1171" t="s">
        <v>356</v>
      </c>
      <c r="BD16" s="1171" t="s">
        <v>356</v>
      </c>
      <c r="BE16" s="1171" t="s">
        <v>356</v>
      </c>
      <c r="BF16" s="1172" t="s">
        <v>358</v>
      </c>
      <c r="BG16" s="684" t="str">
        <f t="shared" si="17"/>
        <v>Leg2:FLOAT</v>
      </c>
      <c r="BH16" s="1016">
        <f t="shared" si="18"/>
        <v>1000000</v>
      </c>
      <c r="BI16" s="351" t="s">
        <v>2125</v>
      </c>
      <c r="BJ16" s="1004" t="str">
        <f t="shared" si="19"/>
        <v>RECEIVER</v>
      </c>
      <c r="BK16" s="1004" t="str">
        <f t="shared" si="20"/>
        <v>USD3ML</v>
      </c>
      <c r="BL16" s="1004" t="str">
        <f t="shared" si="2"/>
        <v>USDDF_USDCSA</v>
      </c>
      <c r="BM16" s="1004" t="str">
        <f t="shared" si="21"/>
        <v>USD</v>
      </c>
      <c r="BN16" s="1170">
        <v>1</v>
      </c>
      <c r="BO16" s="1018" t="str">
        <f t="shared" si="22"/>
        <v/>
      </c>
      <c r="BP16" s="1245" t="s">
        <v>2252</v>
      </c>
      <c r="BQ16" s="1245" t="s">
        <v>2252</v>
      </c>
      <c r="BR16" s="1018" t="str">
        <f t="shared" si="23"/>
        <v/>
      </c>
      <c r="BS16" s="1018" t="str">
        <f t="shared" si="24"/>
        <v/>
      </c>
      <c r="BT16" s="1018">
        <f t="shared" si="25"/>
        <v>0</v>
      </c>
      <c r="BU16" s="1006">
        <f t="shared" ca="1" si="26"/>
        <v>43229</v>
      </c>
      <c r="BV16" s="1006">
        <f t="shared" ca="1" si="27"/>
        <v>47612</v>
      </c>
      <c r="BW16" s="1004" t="str">
        <f t="shared" si="28"/>
        <v>QUARTERLY</v>
      </c>
      <c r="BX16" s="1004" t="str">
        <f t="shared" si="29"/>
        <v>ACT/360</v>
      </c>
      <c r="BY16" s="1171" t="s">
        <v>38</v>
      </c>
      <c r="BZ16" s="1171" t="s">
        <v>2036</v>
      </c>
      <c r="CA16" s="1171" t="s">
        <v>38</v>
      </c>
      <c r="CB16" s="1171" t="s">
        <v>2036</v>
      </c>
      <c r="CC16" s="1171" t="s">
        <v>38</v>
      </c>
      <c r="CD16" s="1171" t="s">
        <v>2036</v>
      </c>
      <c r="CE16" s="1004"/>
      <c r="CF16" s="1004"/>
      <c r="CG16" s="1004">
        <f t="shared" ca="1" si="30"/>
        <v>9</v>
      </c>
      <c r="CH16" s="1171" t="s">
        <v>356</v>
      </c>
      <c r="CI16" s="1171" t="s">
        <v>356</v>
      </c>
      <c r="CJ16" s="1171" t="s">
        <v>356</v>
      </c>
      <c r="CK16" s="1172" t="s">
        <v>358</v>
      </c>
      <c r="CL16" s="427" t="b">
        <f t="shared" si="31"/>
        <v>1</v>
      </c>
      <c r="CM16" s="1016" t="str">
        <f t="shared" si="32"/>
        <v>USD</v>
      </c>
      <c r="CN16" s="1034">
        <f t="shared" si="33"/>
        <v>1.0436000000000001</v>
      </c>
      <c r="CO16" s="1164"/>
      <c r="CP16" s="394">
        <f t="shared" si="39"/>
        <v>11</v>
      </c>
      <c r="CQ16" s="684" t="str">
        <f ca="1">IF(OR($H16="",$G16=""),"",_xll.meLWOXccySwapCreate("XCCY"&amp;$CP16,_xll.meUtilityLVBFromKeysAndMultipleValues($AB$5:$BF$5,$AB16:$BF16,$BG16:$CK16),_xll.meUtilityLVBFromKeysValues($CL$5:$CO$5,$CL16:$CO16)))</f>
        <v>XCCY11@160:0</v>
      </c>
      <c r="CR16" s="1004" t="str">
        <f t="shared" si="34"/>
        <v>EURYC</v>
      </c>
      <c r="CS16" s="1020" t="str">
        <f t="shared" si="35"/>
        <v>USDYC</v>
      </c>
      <c r="CT16" s="526"/>
      <c r="CU16" s="427" t="str">
        <f ca="1">IF(OR($H16="",$G16=""),"",_xll.meLWOSwapPV($CQ16,_xll.meUtilityLVBFromMultipleKeysValues("Leg1:Float",$CR16,,"Leg2:Float",$CS16)))</f>
        <v>[2018/05/04 09:52] #Error: Invalid Curve: CurveCollection 'USDYC' does not exist</v>
      </c>
      <c r="CV16" s="1176" t="str">
        <f ca="1">IF(OR($H16="",$G16=""),"",_xll.meLWOXccySwapParSpread($CQ16,_xll.meUtilityLVBFromMultipleKeysValues("Leg1:Float",$CR16,,"Leg2:Float",$CS16)))</f>
        <v>[2018/05/04 09:52] #Error: Invalid Curve: CurveCollection 'USDYC' does not exist</v>
      </c>
      <c r="CW16" s="995" t="s">
        <v>12</v>
      </c>
      <c r="CX16" s="684" t="str">
        <v>12Y</v>
      </c>
      <c r="CY16" s="1018">
        <v>-2.4375E-3</v>
      </c>
      <c r="CZ16" s="1176">
        <f t="shared" si="36"/>
        <v>-24.375</v>
      </c>
      <c r="DA16" s="1181" t="e">
        <f t="shared" ca="1" si="37"/>
        <v>#VALUE!</v>
      </c>
      <c r="DB16" s="995" t="s">
        <v>12</v>
      </c>
      <c r="DC16" s="1184" t="str">
        <f ca="1"/>
        <v/>
      </c>
      <c r="DD16" s="1185" t="str">
        <f ca="1"/>
        <v/>
      </c>
      <c r="DE16" s="1185" t="str">
        <f ca="1"/>
        <v/>
      </c>
      <c r="DF16" s="1004" t="str">
        <f ca="1"/>
        <v/>
      </c>
      <c r="DG16" s="1017" t="str">
        <f ca="1"/>
        <v/>
      </c>
      <c r="DH16" s="1185" t="str">
        <f ca="1"/>
        <v/>
      </c>
      <c r="DI16" s="1016" t="str">
        <f ca="1"/>
        <v/>
      </c>
      <c r="DJ16" s="1016" t="str">
        <f ca="1"/>
        <v/>
      </c>
      <c r="DK16" s="1027" t="str">
        <f ca="1"/>
        <v/>
      </c>
      <c r="DL16" s="1027" t="str">
        <f ca="1"/>
        <v/>
      </c>
      <c r="DM16" s="1036" t="str">
        <f ca="1"/>
        <v/>
      </c>
      <c r="DN16" s="1016" t="str">
        <f ca="1"/>
        <v/>
      </c>
      <c r="DO16" s="1019" t="str">
        <f ca="1"/>
        <v/>
      </c>
      <c r="DP16" s="1016" t="str">
        <f ca="1"/>
        <v/>
      </c>
      <c r="DQ16" s="1019" t="str">
        <f ca="1"/>
        <v/>
      </c>
      <c r="DR16" s="1016" t="str">
        <f ca="1"/>
        <v/>
      </c>
      <c r="DS16" s="1020" t="str">
        <f ca="1"/>
        <v/>
      </c>
    </row>
    <row r="17" spans="1:123">
      <c r="A17" s="995" t="s">
        <v>12</v>
      </c>
      <c r="B17" s="1015">
        <f ca="1">IF(ISBLANK($F17),"",IF(ISNUMBER($F17),$F17,_xll.meDateFromTenor(COB,$F17,$AV17,$AW17)))</f>
        <v>43229</v>
      </c>
      <c r="C17" s="1132">
        <f ca="1">IF(ISBLANK($G17),"",IF(ISNUMBER($G17),$G17,_xll.meDateFromTenor($B17,$G17,$AV17,$AW17)))</f>
        <v>48708</v>
      </c>
      <c r="D17" s="110">
        <f t="shared" si="38"/>
        <v>12</v>
      </c>
      <c r="E17" s="1156" t="s">
        <v>1995</v>
      </c>
      <c r="F17" s="975" t="s">
        <v>361</v>
      </c>
      <c r="G17" s="975" t="s">
        <v>23</v>
      </c>
      <c r="H17" s="970">
        <v>1000000</v>
      </c>
      <c r="I17" s="970" t="b">
        <v>1</v>
      </c>
      <c r="J17" s="1194">
        <f t="shared" si="0"/>
        <v>1.0436000000000001</v>
      </c>
      <c r="K17" s="970" t="s">
        <v>181</v>
      </c>
      <c r="L17" s="1157" t="s">
        <v>181</v>
      </c>
      <c r="M17" s="1156" t="s">
        <v>2053</v>
      </c>
      <c r="N17" s="969" t="s">
        <v>2</v>
      </c>
      <c r="O17" s="1190"/>
      <c r="P17" s="969" t="s">
        <v>1996</v>
      </c>
      <c r="Q17" s="969" t="s">
        <v>3</v>
      </c>
      <c r="R17" s="1153"/>
      <c r="S17" s="1147"/>
      <c r="T17" s="1156" t="s">
        <v>2053</v>
      </c>
      <c r="U17" s="969" t="s">
        <v>181</v>
      </c>
      <c r="V17" s="1190"/>
      <c r="W17" s="969" t="s">
        <v>1996</v>
      </c>
      <c r="X17" s="969" t="s">
        <v>3</v>
      </c>
      <c r="Y17" s="1153"/>
      <c r="Z17" s="1147"/>
      <c r="AB17" s="684" t="str">
        <f t="shared" si="3"/>
        <v>Leg1:FLOAT</v>
      </c>
      <c r="AC17" s="1016">
        <f t="shared" si="1"/>
        <v>1000000</v>
      </c>
      <c r="AD17" s="351" t="s">
        <v>2125</v>
      </c>
      <c r="AE17" s="1004" t="str">
        <f t="shared" si="4"/>
        <v>PAYER</v>
      </c>
      <c r="AF17" s="1004" t="str">
        <f t="shared" si="5"/>
        <v>EUR3ML</v>
      </c>
      <c r="AG17" s="1004" t="str">
        <f t="shared" si="6"/>
        <v>EURDF_USDCSA</v>
      </c>
      <c r="AH17" s="1004" t="str">
        <f t="shared" si="7"/>
        <v>EUR</v>
      </c>
      <c r="AI17" s="1170">
        <v>1</v>
      </c>
      <c r="AJ17" s="1018" t="str">
        <f t="shared" si="8"/>
        <v/>
      </c>
      <c r="AK17" s="1245" t="s">
        <v>2252</v>
      </c>
      <c r="AL17" s="1245" t="s">
        <v>2252</v>
      </c>
      <c r="AM17" s="1018" t="str">
        <f t="shared" si="9"/>
        <v/>
      </c>
      <c r="AN17" s="1018" t="str">
        <f t="shared" si="10"/>
        <v/>
      </c>
      <c r="AO17" s="1018">
        <f t="shared" si="11"/>
        <v>0</v>
      </c>
      <c r="AP17" s="1006">
        <f t="shared" ca="1" si="12"/>
        <v>43229</v>
      </c>
      <c r="AQ17" s="1006">
        <f t="shared" ca="1" si="13"/>
        <v>48708</v>
      </c>
      <c r="AR17" s="1004" t="str">
        <f t="shared" si="14"/>
        <v>QUARTERLY</v>
      </c>
      <c r="AS17" s="1004" t="str">
        <f t="shared" si="15"/>
        <v>ACT/360</v>
      </c>
      <c r="AT17" s="1171" t="s">
        <v>38</v>
      </c>
      <c r="AU17" s="1171" t="s">
        <v>2036</v>
      </c>
      <c r="AV17" s="1171" t="s">
        <v>38</v>
      </c>
      <c r="AW17" s="1171" t="s">
        <v>2036</v>
      </c>
      <c r="AX17" s="1171" t="s">
        <v>38</v>
      </c>
      <c r="AY17" s="1171" t="s">
        <v>2036</v>
      </c>
      <c r="AZ17" s="1004"/>
      <c r="BA17" s="1004"/>
      <c r="BB17" s="1004">
        <f t="shared" ca="1" si="16"/>
        <v>9</v>
      </c>
      <c r="BC17" s="1171" t="s">
        <v>356</v>
      </c>
      <c r="BD17" s="1171" t="s">
        <v>356</v>
      </c>
      <c r="BE17" s="1171" t="s">
        <v>356</v>
      </c>
      <c r="BF17" s="1172" t="s">
        <v>358</v>
      </c>
      <c r="BG17" s="684" t="str">
        <f t="shared" si="17"/>
        <v>Leg2:FLOAT</v>
      </c>
      <c r="BH17" s="1016">
        <f t="shared" si="18"/>
        <v>1000000</v>
      </c>
      <c r="BI17" s="351" t="s">
        <v>2125</v>
      </c>
      <c r="BJ17" s="1004" t="str">
        <f t="shared" si="19"/>
        <v>RECEIVER</v>
      </c>
      <c r="BK17" s="1004" t="str">
        <f t="shared" si="20"/>
        <v>USD3ML</v>
      </c>
      <c r="BL17" s="1004" t="str">
        <f t="shared" si="2"/>
        <v>USDDF_USDCSA</v>
      </c>
      <c r="BM17" s="1004" t="str">
        <f t="shared" si="21"/>
        <v>USD</v>
      </c>
      <c r="BN17" s="1170">
        <v>1</v>
      </c>
      <c r="BO17" s="1018" t="str">
        <f t="shared" si="22"/>
        <v/>
      </c>
      <c r="BP17" s="1245" t="s">
        <v>2252</v>
      </c>
      <c r="BQ17" s="1245" t="s">
        <v>2252</v>
      </c>
      <c r="BR17" s="1018" t="str">
        <f t="shared" si="23"/>
        <v/>
      </c>
      <c r="BS17" s="1018" t="str">
        <f t="shared" si="24"/>
        <v/>
      </c>
      <c r="BT17" s="1018">
        <f t="shared" si="25"/>
        <v>0</v>
      </c>
      <c r="BU17" s="1006">
        <f t="shared" ca="1" si="26"/>
        <v>43229</v>
      </c>
      <c r="BV17" s="1006">
        <f t="shared" ca="1" si="27"/>
        <v>48708</v>
      </c>
      <c r="BW17" s="1004" t="str">
        <f t="shared" si="28"/>
        <v>QUARTERLY</v>
      </c>
      <c r="BX17" s="1004" t="str">
        <f t="shared" si="29"/>
        <v>ACT/360</v>
      </c>
      <c r="BY17" s="1171" t="s">
        <v>38</v>
      </c>
      <c r="BZ17" s="1171" t="s">
        <v>2036</v>
      </c>
      <c r="CA17" s="1171" t="s">
        <v>38</v>
      </c>
      <c r="CB17" s="1171" t="s">
        <v>2036</v>
      </c>
      <c r="CC17" s="1171" t="s">
        <v>38</v>
      </c>
      <c r="CD17" s="1171" t="s">
        <v>2036</v>
      </c>
      <c r="CE17" s="1004"/>
      <c r="CF17" s="1004"/>
      <c r="CG17" s="1004">
        <f t="shared" ca="1" si="30"/>
        <v>9</v>
      </c>
      <c r="CH17" s="1171" t="s">
        <v>356</v>
      </c>
      <c r="CI17" s="1171" t="s">
        <v>356</v>
      </c>
      <c r="CJ17" s="1171" t="s">
        <v>356</v>
      </c>
      <c r="CK17" s="1172" t="s">
        <v>358</v>
      </c>
      <c r="CL17" s="427" t="b">
        <f t="shared" si="31"/>
        <v>1</v>
      </c>
      <c r="CM17" s="1016" t="str">
        <f t="shared" si="32"/>
        <v>USD</v>
      </c>
      <c r="CN17" s="1034">
        <f t="shared" si="33"/>
        <v>1.0436000000000001</v>
      </c>
      <c r="CO17" s="1164"/>
      <c r="CP17" s="394">
        <f t="shared" si="39"/>
        <v>12</v>
      </c>
      <c r="CQ17" s="684" t="str">
        <f ca="1">IF(OR($H17="",$G17=""),"",_xll.meLWOXccySwapCreate("XCCY"&amp;$CP17,_xll.meUtilityLVBFromKeysAndMultipleValues($AB$5:$BF$5,$AB17:$BF17,$BG17:$CK17),_xll.meUtilityLVBFromKeysValues($CL$5:$CO$5,$CL17:$CO17)))</f>
        <v>XCCY12@158:0</v>
      </c>
      <c r="CR17" s="1004" t="str">
        <f t="shared" si="34"/>
        <v>EURYC</v>
      </c>
      <c r="CS17" s="1020" t="str">
        <f t="shared" si="35"/>
        <v>USDYC</v>
      </c>
      <c r="CT17" s="526"/>
      <c r="CU17" s="427" t="str">
        <f ca="1">IF(OR($H17="",$G17=""),"",_xll.meLWOSwapPV($CQ17,_xll.meUtilityLVBFromMultipleKeysValues("Leg1:Float",$CR17,,"Leg2:Float",$CS17)))</f>
        <v>[2018/05/04 09:52] #Error: Invalid Curve: CurveCollection 'USDYC' does not exist</v>
      </c>
      <c r="CV17" s="1176" t="str">
        <f ca="1">IF(OR($H17="",$G17=""),"",_xll.meLWOXccySwapParSpread($CQ17,_xll.meUtilityLVBFromMultipleKeysValues("Leg1:Float",$CR17,,"Leg2:Float",$CS17)))</f>
        <v>[2018/05/04 09:52] #Error: Invalid Curve: CurveCollection 'USDYC' does not exist</v>
      </c>
      <c r="CW17" s="995" t="s">
        <v>12</v>
      </c>
      <c r="CX17" s="684" t="str">
        <v>15Y</v>
      </c>
      <c r="CY17" s="1018">
        <v>-2.1124999999999998E-3</v>
      </c>
      <c r="CZ17" s="1176">
        <f t="shared" si="36"/>
        <v>-21.124999999999996</v>
      </c>
      <c r="DA17" s="1181" t="e">
        <f t="shared" ca="1" si="37"/>
        <v>#VALUE!</v>
      </c>
      <c r="DB17" s="995" t="s">
        <v>12</v>
      </c>
      <c r="DC17" s="1184" t="str">
        <f ca="1"/>
        <v/>
      </c>
      <c r="DD17" s="1185" t="str">
        <f ca="1"/>
        <v/>
      </c>
      <c r="DE17" s="1185" t="str">
        <f ca="1"/>
        <v/>
      </c>
      <c r="DF17" s="1004" t="str">
        <f ca="1"/>
        <v/>
      </c>
      <c r="DG17" s="1017" t="str">
        <f ca="1"/>
        <v/>
      </c>
      <c r="DH17" s="1185" t="str">
        <f ca="1"/>
        <v/>
      </c>
      <c r="DI17" s="1016" t="str">
        <f ca="1"/>
        <v/>
      </c>
      <c r="DJ17" s="1016" t="str">
        <f ca="1"/>
        <v/>
      </c>
      <c r="DK17" s="1027" t="str">
        <f ca="1"/>
        <v/>
      </c>
      <c r="DL17" s="1027" t="str">
        <f ca="1"/>
        <v/>
      </c>
      <c r="DM17" s="1036" t="str">
        <f ca="1"/>
        <v/>
      </c>
      <c r="DN17" s="1016" t="str">
        <f ca="1"/>
        <v/>
      </c>
      <c r="DO17" s="1019" t="str">
        <f ca="1"/>
        <v/>
      </c>
      <c r="DP17" s="1016" t="str">
        <f ca="1"/>
        <v/>
      </c>
      <c r="DQ17" s="1019" t="str">
        <f ca="1"/>
        <v/>
      </c>
      <c r="DR17" s="1016" t="str">
        <f ca="1"/>
        <v/>
      </c>
      <c r="DS17" s="1020" t="str">
        <f ca="1"/>
        <v/>
      </c>
    </row>
    <row r="18" spans="1:123">
      <c r="A18" s="995" t="s">
        <v>12</v>
      </c>
      <c r="B18" s="1015">
        <f ca="1">IF(ISBLANK($F18),"",IF(ISNUMBER($F18),$F18,_xll.meDateFromTenor(COB,$F18,$AV18,$AW18)))</f>
        <v>43229</v>
      </c>
      <c r="C18" s="1132">
        <f ca="1">IF(ISBLANK($G18),"",IF(ISNUMBER($G18),$G18,_xll.meDateFromTenor($B18,$G18,$AV18,$AW18)))</f>
        <v>50535</v>
      </c>
      <c r="D18" s="110">
        <f t="shared" si="38"/>
        <v>13</v>
      </c>
      <c r="E18" s="1156" t="s">
        <v>1995</v>
      </c>
      <c r="F18" s="975" t="s">
        <v>361</v>
      </c>
      <c r="G18" s="975" t="s">
        <v>19</v>
      </c>
      <c r="H18" s="970">
        <v>1000000</v>
      </c>
      <c r="I18" s="970" t="b">
        <v>1</v>
      </c>
      <c r="J18" s="1194">
        <f t="shared" si="0"/>
        <v>1.0436000000000001</v>
      </c>
      <c r="K18" s="970" t="s">
        <v>181</v>
      </c>
      <c r="L18" s="1157" t="s">
        <v>181</v>
      </c>
      <c r="M18" s="1156" t="s">
        <v>2053</v>
      </c>
      <c r="N18" s="969" t="s">
        <v>2</v>
      </c>
      <c r="O18" s="1190"/>
      <c r="P18" s="969" t="s">
        <v>1996</v>
      </c>
      <c r="Q18" s="969" t="s">
        <v>3</v>
      </c>
      <c r="R18" s="1153"/>
      <c r="S18" s="1147"/>
      <c r="T18" s="1156" t="s">
        <v>2053</v>
      </c>
      <c r="U18" s="969" t="s">
        <v>181</v>
      </c>
      <c r="V18" s="1190"/>
      <c r="W18" s="969" t="s">
        <v>1996</v>
      </c>
      <c r="X18" s="969" t="s">
        <v>3</v>
      </c>
      <c r="Y18" s="1153"/>
      <c r="Z18" s="1147"/>
      <c r="AB18" s="684" t="str">
        <f t="shared" si="3"/>
        <v>Leg1:FLOAT</v>
      </c>
      <c r="AC18" s="1016">
        <f t="shared" si="1"/>
        <v>1000000</v>
      </c>
      <c r="AD18" s="351" t="s">
        <v>2125</v>
      </c>
      <c r="AE18" s="1004" t="str">
        <f t="shared" si="4"/>
        <v>PAYER</v>
      </c>
      <c r="AF18" s="1004" t="str">
        <f t="shared" si="5"/>
        <v>EUR3ML</v>
      </c>
      <c r="AG18" s="1004" t="str">
        <f t="shared" si="6"/>
        <v>EURDF_USDCSA</v>
      </c>
      <c r="AH18" s="1004" t="str">
        <f t="shared" si="7"/>
        <v>EUR</v>
      </c>
      <c r="AI18" s="1170">
        <v>1</v>
      </c>
      <c r="AJ18" s="1018" t="str">
        <f t="shared" si="8"/>
        <v/>
      </c>
      <c r="AK18" s="1245" t="s">
        <v>2252</v>
      </c>
      <c r="AL18" s="1245" t="s">
        <v>2252</v>
      </c>
      <c r="AM18" s="1018" t="str">
        <f t="shared" si="9"/>
        <v/>
      </c>
      <c r="AN18" s="1018" t="str">
        <f t="shared" si="10"/>
        <v/>
      </c>
      <c r="AO18" s="1018">
        <f t="shared" si="11"/>
        <v>0</v>
      </c>
      <c r="AP18" s="1006">
        <f t="shared" ca="1" si="12"/>
        <v>43229</v>
      </c>
      <c r="AQ18" s="1006">
        <f t="shared" ca="1" si="13"/>
        <v>50535</v>
      </c>
      <c r="AR18" s="1004" t="str">
        <f t="shared" si="14"/>
        <v>QUARTERLY</v>
      </c>
      <c r="AS18" s="1004" t="str">
        <f t="shared" si="15"/>
        <v>ACT/360</v>
      </c>
      <c r="AT18" s="1171" t="s">
        <v>38</v>
      </c>
      <c r="AU18" s="1171" t="s">
        <v>2036</v>
      </c>
      <c r="AV18" s="1171" t="s">
        <v>38</v>
      </c>
      <c r="AW18" s="1171" t="s">
        <v>2036</v>
      </c>
      <c r="AX18" s="1171" t="s">
        <v>38</v>
      </c>
      <c r="AY18" s="1171" t="s">
        <v>2036</v>
      </c>
      <c r="AZ18" s="1004"/>
      <c r="BA18" s="1004"/>
      <c r="BB18" s="1004">
        <f t="shared" ca="1" si="16"/>
        <v>9</v>
      </c>
      <c r="BC18" s="1171" t="s">
        <v>356</v>
      </c>
      <c r="BD18" s="1171" t="s">
        <v>356</v>
      </c>
      <c r="BE18" s="1171" t="s">
        <v>356</v>
      </c>
      <c r="BF18" s="1172" t="s">
        <v>358</v>
      </c>
      <c r="BG18" s="684" t="str">
        <f t="shared" si="17"/>
        <v>Leg2:FLOAT</v>
      </c>
      <c r="BH18" s="1016">
        <f t="shared" si="18"/>
        <v>1000000</v>
      </c>
      <c r="BI18" s="351" t="s">
        <v>2125</v>
      </c>
      <c r="BJ18" s="1004" t="str">
        <f t="shared" si="19"/>
        <v>RECEIVER</v>
      </c>
      <c r="BK18" s="1004" t="str">
        <f t="shared" si="20"/>
        <v>USD3ML</v>
      </c>
      <c r="BL18" s="1004" t="str">
        <f t="shared" si="2"/>
        <v>USDDF_USDCSA</v>
      </c>
      <c r="BM18" s="1004" t="str">
        <f t="shared" si="21"/>
        <v>USD</v>
      </c>
      <c r="BN18" s="1170">
        <v>1</v>
      </c>
      <c r="BO18" s="1018" t="str">
        <f t="shared" si="22"/>
        <v/>
      </c>
      <c r="BP18" s="1245" t="s">
        <v>2252</v>
      </c>
      <c r="BQ18" s="1245" t="s">
        <v>2252</v>
      </c>
      <c r="BR18" s="1018" t="str">
        <f t="shared" si="23"/>
        <v/>
      </c>
      <c r="BS18" s="1018" t="str">
        <f t="shared" si="24"/>
        <v/>
      </c>
      <c r="BT18" s="1018">
        <f t="shared" si="25"/>
        <v>0</v>
      </c>
      <c r="BU18" s="1006">
        <f t="shared" ca="1" si="26"/>
        <v>43229</v>
      </c>
      <c r="BV18" s="1006">
        <f t="shared" ca="1" si="27"/>
        <v>50535</v>
      </c>
      <c r="BW18" s="1004" t="str">
        <f t="shared" si="28"/>
        <v>QUARTERLY</v>
      </c>
      <c r="BX18" s="1004" t="str">
        <f t="shared" si="29"/>
        <v>ACT/360</v>
      </c>
      <c r="BY18" s="1171" t="s">
        <v>38</v>
      </c>
      <c r="BZ18" s="1171" t="s">
        <v>2036</v>
      </c>
      <c r="CA18" s="1171" t="s">
        <v>38</v>
      </c>
      <c r="CB18" s="1171" t="s">
        <v>2036</v>
      </c>
      <c r="CC18" s="1171" t="s">
        <v>38</v>
      </c>
      <c r="CD18" s="1171" t="s">
        <v>2036</v>
      </c>
      <c r="CE18" s="1004"/>
      <c r="CF18" s="1004"/>
      <c r="CG18" s="1004">
        <f t="shared" ca="1" si="30"/>
        <v>9</v>
      </c>
      <c r="CH18" s="1171" t="s">
        <v>356</v>
      </c>
      <c r="CI18" s="1171" t="s">
        <v>356</v>
      </c>
      <c r="CJ18" s="1171" t="s">
        <v>356</v>
      </c>
      <c r="CK18" s="1172" t="s">
        <v>358</v>
      </c>
      <c r="CL18" s="427" t="b">
        <f t="shared" si="31"/>
        <v>1</v>
      </c>
      <c r="CM18" s="1016" t="str">
        <f t="shared" si="32"/>
        <v>USD</v>
      </c>
      <c r="CN18" s="1034">
        <f t="shared" si="33"/>
        <v>1.0436000000000001</v>
      </c>
      <c r="CO18" s="1164"/>
      <c r="CP18" s="394">
        <f t="shared" si="39"/>
        <v>13</v>
      </c>
      <c r="CQ18" s="684" t="str">
        <f ca="1">IF(OR($H18="",$G18=""),"",_xll.meLWOXccySwapCreate("XCCY"&amp;$CP18,_xll.meUtilityLVBFromKeysAndMultipleValues($AB$5:$BF$5,$AB18:$BF18,$BG18:$CK18),_xll.meUtilityLVBFromKeysValues($CL$5:$CO$5,$CL18:$CO18)))</f>
        <v>XCCY13@157:0</v>
      </c>
      <c r="CR18" s="1004" t="str">
        <f t="shared" si="34"/>
        <v>EURYC</v>
      </c>
      <c r="CS18" s="1020" t="str">
        <f t="shared" si="35"/>
        <v>USDYC</v>
      </c>
      <c r="CT18" s="526"/>
      <c r="CU18" s="427" t="str">
        <f ca="1">IF(OR($H18="",$G18=""),"",_xll.meLWOSwapPV($CQ18,_xll.meUtilityLVBFromMultipleKeysValues("Leg1:Float",$CR18,,"Leg2:Float",$CS18)))</f>
        <v>[2018/05/04 09:52] #Error: Invalid Curve: CurveCollection 'USDYC' does not exist</v>
      </c>
      <c r="CV18" s="1176" t="str">
        <f ca="1">IF(OR($H18="",$G18=""),"",_xll.meLWOXccySwapParSpread($CQ18,_xll.meUtilityLVBFromMultipleKeysValues("Leg1:Float",$CR18,,"Leg2:Float",$CS18)))</f>
        <v>[2018/05/04 09:52] #Error: Invalid Curve: CurveCollection 'USDYC' does not exist</v>
      </c>
      <c r="CW18" s="995" t="s">
        <v>12</v>
      </c>
      <c r="CX18" s="684" t="str">
        <v>20Y</v>
      </c>
      <c r="CY18" s="1018">
        <v>-1.475E-3</v>
      </c>
      <c r="CZ18" s="1176">
        <f t="shared" si="36"/>
        <v>-14.75</v>
      </c>
      <c r="DA18" s="1181" t="e">
        <f t="shared" ca="1" si="37"/>
        <v>#VALUE!</v>
      </c>
      <c r="DB18" s="995" t="s">
        <v>12</v>
      </c>
      <c r="DC18" s="1184" t="str">
        <f ca="1"/>
        <v/>
      </c>
      <c r="DD18" s="1185" t="str">
        <f ca="1"/>
        <v/>
      </c>
      <c r="DE18" s="1185" t="str">
        <f ca="1"/>
        <v/>
      </c>
      <c r="DF18" s="1004" t="str">
        <f ca="1"/>
        <v/>
      </c>
      <c r="DG18" s="1017" t="str">
        <f ca="1"/>
        <v/>
      </c>
      <c r="DH18" s="1185" t="str">
        <f ca="1"/>
        <v/>
      </c>
      <c r="DI18" s="1016" t="str">
        <f ca="1"/>
        <v/>
      </c>
      <c r="DJ18" s="1016" t="str">
        <f ca="1"/>
        <v/>
      </c>
      <c r="DK18" s="1027" t="str">
        <f ca="1"/>
        <v/>
      </c>
      <c r="DL18" s="1027" t="str">
        <f ca="1"/>
        <v/>
      </c>
      <c r="DM18" s="1036" t="str">
        <f ca="1"/>
        <v/>
      </c>
      <c r="DN18" s="1016" t="str">
        <f ca="1"/>
        <v/>
      </c>
      <c r="DO18" s="1019" t="str">
        <f ca="1"/>
        <v/>
      </c>
      <c r="DP18" s="1016" t="str">
        <f ca="1"/>
        <v/>
      </c>
      <c r="DQ18" s="1019" t="str">
        <f ca="1"/>
        <v/>
      </c>
      <c r="DR18" s="1016" t="str">
        <f ca="1"/>
        <v/>
      </c>
      <c r="DS18" s="1020" t="str">
        <f ca="1"/>
        <v/>
      </c>
    </row>
    <row r="19" spans="1:123">
      <c r="A19" s="995" t="s">
        <v>12</v>
      </c>
      <c r="B19" s="1015">
        <f ca="1">IF(ISBLANK($F19),"",IF(ISNUMBER($F19),$F19,_xll.meDateFromTenor(COB,$F19,$AV19,$AW19)))</f>
        <v>43229</v>
      </c>
      <c r="C19" s="1132">
        <f ca="1">IF(ISBLANK($G19),"",IF(ISNUMBER($G19),$G19,_xll.meDateFromTenor($B19,$G19,$AV19,$AW19)))</f>
        <v>52362</v>
      </c>
      <c r="D19" s="110">
        <f t="shared" si="38"/>
        <v>14</v>
      </c>
      <c r="E19" s="1156" t="s">
        <v>1995</v>
      </c>
      <c r="F19" s="975" t="s">
        <v>361</v>
      </c>
      <c r="G19" s="975" t="s">
        <v>17</v>
      </c>
      <c r="H19" s="970">
        <v>1000000</v>
      </c>
      <c r="I19" s="970" t="b">
        <v>1</v>
      </c>
      <c r="J19" s="1194">
        <f t="shared" si="0"/>
        <v>1.0436000000000001</v>
      </c>
      <c r="K19" s="970" t="s">
        <v>181</v>
      </c>
      <c r="L19" s="1157" t="s">
        <v>181</v>
      </c>
      <c r="M19" s="1156" t="s">
        <v>2053</v>
      </c>
      <c r="N19" s="969" t="s">
        <v>2</v>
      </c>
      <c r="O19" s="1190"/>
      <c r="P19" s="969" t="s">
        <v>1996</v>
      </c>
      <c r="Q19" s="969" t="s">
        <v>3</v>
      </c>
      <c r="R19" s="1153"/>
      <c r="S19" s="1147"/>
      <c r="T19" s="1156" t="s">
        <v>2053</v>
      </c>
      <c r="U19" s="969" t="s">
        <v>181</v>
      </c>
      <c r="V19" s="1190"/>
      <c r="W19" s="969" t="s">
        <v>1996</v>
      </c>
      <c r="X19" s="969" t="s">
        <v>3</v>
      </c>
      <c r="Y19" s="1153"/>
      <c r="Z19" s="1147"/>
      <c r="AB19" s="684" t="str">
        <f t="shared" si="3"/>
        <v>Leg1:FLOAT</v>
      </c>
      <c r="AC19" s="1016">
        <f t="shared" si="1"/>
        <v>1000000</v>
      </c>
      <c r="AD19" s="351" t="s">
        <v>2125</v>
      </c>
      <c r="AE19" s="1004" t="str">
        <f t="shared" si="4"/>
        <v>PAYER</v>
      </c>
      <c r="AF19" s="1004" t="str">
        <f t="shared" si="5"/>
        <v>EUR3ML</v>
      </c>
      <c r="AG19" s="1004" t="str">
        <f t="shared" si="6"/>
        <v>EURDF_USDCSA</v>
      </c>
      <c r="AH19" s="1004" t="str">
        <f t="shared" si="7"/>
        <v>EUR</v>
      </c>
      <c r="AI19" s="1170">
        <v>1</v>
      </c>
      <c r="AJ19" s="1018" t="str">
        <f t="shared" si="8"/>
        <v/>
      </c>
      <c r="AK19" s="1245" t="s">
        <v>2252</v>
      </c>
      <c r="AL19" s="1245" t="s">
        <v>2252</v>
      </c>
      <c r="AM19" s="1018" t="str">
        <f t="shared" si="9"/>
        <v/>
      </c>
      <c r="AN19" s="1018" t="str">
        <f t="shared" si="10"/>
        <v/>
      </c>
      <c r="AO19" s="1018">
        <f t="shared" si="11"/>
        <v>0</v>
      </c>
      <c r="AP19" s="1006">
        <f t="shared" ca="1" si="12"/>
        <v>43229</v>
      </c>
      <c r="AQ19" s="1006">
        <f t="shared" ca="1" si="13"/>
        <v>52362</v>
      </c>
      <c r="AR19" s="1004" t="str">
        <f t="shared" si="14"/>
        <v>QUARTERLY</v>
      </c>
      <c r="AS19" s="1004" t="str">
        <f t="shared" si="15"/>
        <v>ACT/360</v>
      </c>
      <c r="AT19" s="1171" t="s">
        <v>38</v>
      </c>
      <c r="AU19" s="1171" t="s">
        <v>2036</v>
      </c>
      <c r="AV19" s="1171" t="s">
        <v>38</v>
      </c>
      <c r="AW19" s="1171" t="s">
        <v>2036</v>
      </c>
      <c r="AX19" s="1171" t="s">
        <v>38</v>
      </c>
      <c r="AY19" s="1171" t="s">
        <v>2036</v>
      </c>
      <c r="AZ19" s="1004"/>
      <c r="BA19" s="1004"/>
      <c r="BB19" s="1004">
        <f t="shared" ca="1" si="16"/>
        <v>9</v>
      </c>
      <c r="BC19" s="1171" t="s">
        <v>356</v>
      </c>
      <c r="BD19" s="1171" t="s">
        <v>356</v>
      </c>
      <c r="BE19" s="1171" t="s">
        <v>356</v>
      </c>
      <c r="BF19" s="1172" t="s">
        <v>358</v>
      </c>
      <c r="BG19" s="684" t="str">
        <f t="shared" si="17"/>
        <v>Leg2:FLOAT</v>
      </c>
      <c r="BH19" s="1016">
        <f t="shared" si="18"/>
        <v>1000000</v>
      </c>
      <c r="BI19" s="351" t="s">
        <v>2125</v>
      </c>
      <c r="BJ19" s="1004" t="str">
        <f t="shared" si="19"/>
        <v>RECEIVER</v>
      </c>
      <c r="BK19" s="1004" t="str">
        <f t="shared" si="20"/>
        <v>USD3ML</v>
      </c>
      <c r="BL19" s="1004" t="str">
        <f t="shared" si="2"/>
        <v>USDDF_USDCSA</v>
      </c>
      <c r="BM19" s="1004" t="str">
        <f t="shared" si="21"/>
        <v>USD</v>
      </c>
      <c r="BN19" s="1170">
        <v>1</v>
      </c>
      <c r="BO19" s="1018" t="str">
        <f t="shared" si="22"/>
        <v/>
      </c>
      <c r="BP19" s="1245" t="s">
        <v>2252</v>
      </c>
      <c r="BQ19" s="1245" t="s">
        <v>2252</v>
      </c>
      <c r="BR19" s="1018" t="str">
        <f t="shared" si="23"/>
        <v/>
      </c>
      <c r="BS19" s="1018" t="str">
        <f t="shared" si="24"/>
        <v/>
      </c>
      <c r="BT19" s="1018">
        <f t="shared" si="25"/>
        <v>0</v>
      </c>
      <c r="BU19" s="1006">
        <f t="shared" ca="1" si="26"/>
        <v>43229</v>
      </c>
      <c r="BV19" s="1006">
        <f t="shared" ca="1" si="27"/>
        <v>52362</v>
      </c>
      <c r="BW19" s="1004" t="str">
        <f t="shared" si="28"/>
        <v>QUARTERLY</v>
      </c>
      <c r="BX19" s="1004" t="str">
        <f t="shared" si="29"/>
        <v>ACT/360</v>
      </c>
      <c r="BY19" s="1171" t="s">
        <v>38</v>
      </c>
      <c r="BZ19" s="1171" t="s">
        <v>2036</v>
      </c>
      <c r="CA19" s="1171" t="s">
        <v>38</v>
      </c>
      <c r="CB19" s="1171" t="s">
        <v>2036</v>
      </c>
      <c r="CC19" s="1171" t="s">
        <v>38</v>
      </c>
      <c r="CD19" s="1171" t="s">
        <v>2036</v>
      </c>
      <c r="CE19" s="1004"/>
      <c r="CF19" s="1004"/>
      <c r="CG19" s="1004">
        <f t="shared" ca="1" si="30"/>
        <v>9</v>
      </c>
      <c r="CH19" s="1171" t="s">
        <v>356</v>
      </c>
      <c r="CI19" s="1171" t="s">
        <v>356</v>
      </c>
      <c r="CJ19" s="1171" t="s">
        <v>356</v>
      </c>
      <c r="CK19" s="1172" t="s">
        <v>358</v>
      </c>
      <c r="CL19" s="427" t="b">
        <f t="shared" si="31"/>
        <v>1</v>
      </c>
      <c r="CM19" s="1016" t="str">
        <f t="shared" si="32"/>
        <v>USD</v>
      </c>
      <c r="CN19" s="1034">
        <f t="shared" si="33"/>
        <v>1.0436000000000001</v>
      </c>
      <c r="CO19" s="1164"/>
      <c r="CP19" s="394">
        <f t="shared" si="39"/>
        <v>14</v>
      </c>
      <c r="CQ19" s="684" t="str">
        <f ca="1">IF(OR($H19="",$G19=""),"",_xll.meLWOXccySwapCreate("XCCY"&amp;$CP19,_xll.meUtilityLVBFromKeysAndMultipleValues($AB$5:$BF$5,$AB19:$BF19,$BG19:$CK19),_xll.meUtilityLVBFromKeysValues($CL$5:$CO$5,$CL19:$CO19)))</f>
        <v>XCCY14@165:0</v>
      </c>
      <c r="CR19" s="1004" t="str">
        <f t="shared" si="34"/>
        <v>EURYC</v>
      </c>
      <c r="CS19" s="1020" t="str">
        <f t="shared" si="35"/>
        <v>USDYC</v>
      </c>
      <c r="CT19" s="526"/>
      <c r="CU19" s="427" t="str">
        <f ca="1">IF(OR($H19="",$G19=""),"",_xll.meLWOSwapPV($CQ19,_xll.meUtilityLVBFromMultipleKeysValues("Leg1:Float",$CR19,,"Leg2:Float",$CS19)))</f>
        <v>[2018/05/04 09:52] #Error: Invalid Curve: CurveCollection 'USDYC' does not exist</v>
      </c>
      <c r="CV19" s="1176" t="str">
        <f ca="1">IF(OR($H19="",$G19=""),"",_xll.meLWOXccySwapParSpread($CQ19,_xll.meUtilityLVBFromMultipleKeysValues("Leg1:Float",$CR19,,"Leg2:Float",$CS19)))</f>
        <v>[2018/05/04 09:52] #Error: Invalid Curve: CurveCollection 'USDYC' does not exist</v>
      </c>
      <c r="CW19" s="995" t="s">
        <v>12</v>
      </c>
      <c r="CX19" s="684" t="str">
        <v>25Y</v>
      </c>
      <c r="CY19" s="1018">
        <v>-1E-3</v>
      </c>
      <c r="CZ19" s="1176">
        <f t="shared" si="36"/>
        <v>-10</v>
      </c>
      <c r="DA19" s="1181" t="e">
        <f t="shared" ca="1" si="37"/>
        <v>#VALUE!</v>
      </c>
      <c r="DB19" s="995" t="s">
        <v>12</v>
      </c>
      <c r="DC19" s="1184" t="str">
        <f ca="1"/>
        <v/>
      </c>
      <c r="DD19" s="1185" t="str">
        <f ca="1"/>
        <v/>
      </c>
      <c r="DE19" s="1185" t="str">
        <f ca="1"/>
        <v/>
      </c>
      <c r="DF19" s="1004" t="str">
        <f ca="1"/>
        <v/>
      </c>
      <c r="DG19" s="1017" t="str">
        <f ca="1"/>
        <v/>
      </c>
      <c r="DH19" s="1185" t="str">
        <f ca="1"/>
        <v/>
      </c>
      <c r="DI19" s="1016" t="str">
        <f ca="1"/>
        <v/>
      </c>
      <c r="DJ19" s="1016" t="str">
        <f ca="1"/>
        <v/>
      </c>
      <c r="DK19" s="1027" t="str">
        <f ca="1"/>
        <v/>
      </c>
      <c r="DL19" s="1027" t="str">
        <f ca="1"/>
        <v/>
      </c>
      <c r="DM19" s="1036" t="str">
        <f ca="1"/>
        <v/>
      </c>
      <c r="DN19" s="1016" t="str">
        <f ca="1"/>
        <v/>
      </c>
      <c r="DO19" s="1019" t="str">
        <f ca="1"/>
        <v/>
      </c>
      <c r="DP19" s="1016" t="str">
        <f ca="1"/>
        <v/>
      </c>
      <c r="DQ19" s="1019" t="str">
        <f ca="1"/>
        <v/>
      </c>
      <c r="DR19" s="1016" t="str">
        <f ca="1"/>
        <v/>
      </c>
      <c r="DS19" s="1020" t="str">
        <f ca="1"/>
        <v/>
      </c>
    </row>
    <row r="20" spans="1:123">
      <c r="A20" s="995" t="s">
        <v>12</v>
      </c>
      <c r="B20" s="1015">
        <f ca="1">IF(ISBLANK($F20),"",IF(ISNUMBER($F20),$F20,_xll.meDateFromTenor(COB,$F20,$AV20,$AW20)))</f>
        <v>43229</v>
      </c>
      <c r="C20" s="1132">
        <f ca="1">IF(ISBLANK($G20),"",IF(ISNUMBER($G20),$G20,_xll.meDateFromTenor($B20,$G20,$AV20,$AW20)))</f>
        <v>54189</v>
      </c>
      <c r="D20" s="110">
        <f t="shared" si="38"/>
        <v>15</v>
      </c>
      <c r="E20" s="1156" t="s">
        <v>1995</v>
      </c>
      <c r="F20" s="975" t="s">
        <v>361</v>
      </c>
      <c r="G20" s="975" t="s">
        <v>16</v>
      </c>
      <c r="H20" s="970">
        <v>1000000</v>
      </c>
      <c r="I20" s="970" t="b">
        <v>1</v>
      </c>
      <c r="J20" s="1194">
        <f t="shared" si="0"/>
        <v>1.0436000000000001</v>
      </c>
      <c r="K20" s="970" t="s">
        <v>181</v>
      </c>
      <c r="L20" s="1157" t="s">
        <v>181</v>
      </c>
      <c r="M20" s="1156" t="s">
        <v>2053</v>
      </c>
      <c r="N20" s="969" t="s">
        <v>2</v>
      </c>
      <c r="O20" s="1190"/>
      <c r="P20" s="969" t="s">
        <v>1996</v>
      </c>
      <c r="Q20" s="969" t="s">
        <v>3</v>
      </c>
      <c r="R20" s="1153"/>
      <c r="S20" s="1147"/>
      <c r="T20" s="1156" t="s">
        <v>2053</v>
      </c>
      <c r="U20" s="969" t="s">
        <v>181</v>
      </c>
      <c r="V20" s="1190"/>
      <c r="W20" s="969" t="s">
        <v>1996</v>
      </c>
      <c r="X20" s="969" t="s">
        <v>3</v>
      </c>
      <c r="Y20" s="1153"/>
      <c r="Z20" s="1147"/>
      <c r="AB20" s="684" t="str">
        <f t="shared" si="3"/>
        <v>Leg1:FLOAT</v>
      </c>
      <c r="AC20" s="1016">
        <f t="shared" si="1"/>
        <v>1000000</v>
      </c>
      <c r="AD20" s="351" t="s">
        <v>2125</v>
      </c>
      <c r="AE20" s="1004" t="str">
        <f t="shared" si="4"/>
        <v>PAYER</v>
      </c>
      <c r="AF20" s="1004" t="str">
        <f t="shared" si="5"/>
        <v>EUR3ML</v>
      </c>
      <c r="AG20" s="1004" t="str">
        <f t="shared" si="6"/>
        <v>EURDF_USDCSA</v>
      </c>
      <c r="AH20" s="1004" t="str">
        <f t="shared" si="7"/>
        <v>EUR</v>
      </c>
      <c r="AI20" s="1170">
        <v>1</v>
      </c>
      <c r="AJ20" s="1018" t="str">
        <f t="shared" si="8"/>
        <v/>
      </c>
      <c r="AK20" s="1245" t="s">
        <v>2252</v>
      </c>
      <c r="AL20" s="1245" t="s">
        <v>2252</v>
      </c>
      <c r="AM20" s="1018" t="str">
        <f t="shared" si="9"/>
        <v/>
      </c>
      <c r="AN20" s="1018" t="str">
        <f t="shared" si="10"/>
        <v/>
      </c>
      <c r="AO20" s="1018">
        <f t="shared" si="11"/>
        <v>0</v>
      </c>
      <c r="AP20" s="1006">
        <f t="shared" ca="1" si="12"/>
        <v>43229</v>
      </c>
      <c r="AQ20" s="1006">
        <f t="shared" ca="1" si="13"/>
        <v>54189</v>
      </c>
      <c r="AR20" s="1004" t="str">
        <f t="shared" si="14"/>
        <v>QUARTERLY</v>
      </c>
      <c r="AS20" s="1004" t="str">
        <f t="shared" si="15"/>
        <v>ACT/360</v>
      </c>
      <c r="AT20" s="1171" t="s">
        <v>38</v>
      </c>
      <c r="AU20" s="1171" t="s">
        <v>2036</v>
      </c>
      <c r="AV20" s="1171" t="s">
        <v>38</v>
      </c>
      <c r="AW20" s="1171" t="s">
        <v>2036</v>
      </c>
      <c r="AX20" s="1171" t="s">
        <v>38</v>
      </c>
      <c r="AY20" s="1171" t="s">
        <v>2036</v>
      </c>
      <c r="AZ20" s="1004"/>
      <c r="BA20" s="1004"/>
      <c r="BB20" s="1004">
        <f t="shared" ca="1" si="16"/>
        <v>9</v>
      </c>
      <c r="BC20" s="1171" t="s">
        <v>356</v>
      </c>
      <c r="BD20" s="1171" t="s">
        <v>356</v>
      </c>
      <c r="BE20" s="1171" t="s">
        <v>356</v>
      </c>
      <c r="BF20" s="1172" t="s">
        <v>358</v>
      </c>
      <c r="BG20" s="684" t="str">
        <f t="shared" si="17"/>
        <v>Leg2:FLOAT</v>
      </c>
      <c r="BH20" s="1016">
        <f t="shared" si="18"/>
        <v>1000000</v>
      </c>
      <c r="BI20" s="351" t="s">
        <v>2125</v>
      </c>
      <c r="BJ20" s="1004" t="str">
        <f t="shared" si="19"/>
        <v>RECEIVER</v>
      </c>
      <c r="BK20" s="1004" t="str">
        <f t="shared" si="20"/>
        <v>USD3ML</v>
      </c>
      <c r="BL20" s="1004" t="str">
        <f t="shared" si="2"/>
        <v>USDDF_USDCSA</v>
      </c>
      <c r="BM20" s="1004" t="str">
        <f t="shared" si="21"/>
        <v>USD</v>
      </c>
      <c r="BN20" s="1170">
        <v>1</v>
      </c>
      <c r="BO20" s="1018" t="str">
        <f t="shared" si="22"/>
        <v/>
      </c>
      <c r="BP20" s="1245" t="s">
        <v>2252</v>
      </c>
      <c r="BQ20" s="1245" t="s">
        <v>2252</v>
      </c>
      <c r="BR20" s="1018" t="str">
        <f t="shared" si="23"/>
        <v/>
      </c>
      <c r="BS20" s="1018" t="str">
        <f t="shared" si="24"/>
        <v/>
      </c>
      <c r="BT20" s="1018">
        <f t="shared" si="25"/>
        <v>0</v>
      </c>
      <c r="BU20" s="1006">
        <f t="shared" ca="1" si="26"/>
        <v>43229</v>
      </c>
      <c r="BV20" s="1006">
        <f t="shared" ca="1" si="27"/>
        <v>54189</v>
      </c>
      <c r="BW20" s="1004" t="str">
        <f t="shared" si="28"/>
        <v>QUARTERLY</v>
      </c>
      <c r="BX20" s="1004" t="str">
        <f t="shared" si="29"/>
        <v>ACT/360</v>
      </c>
      <c r="BY20" s="1171" t="s">
        <v>38</v>
      </c>
      <c r="BZ20" s="1171" t="s">
        <v>2036</v>
      </c>
      <c r="CA20" s="1171" t="s">
        <v>38</v>
      </c>
      <c r="CB20" s="1171" t="s">
        <v>2036</v>
      </c>
      <c r="CC20" s="1171" t="s">
        <v>38</v>
      </c>
      <c r="CD20" s="1171" t="s">
        <v>2036</v>
      </c>
      <c r="CE20" s="1004"/>
      <c r="CF20" s="1004"/>
      <c r="CG20" s="1004">
        <f t="shared" ca="1" si="30"/>
        <v>9</v>
      </c>
      <c r="CH20" s="1171" t="s">
        <v>356</v>
      </c>
      <c r="CI20" s="1171" t="s">
        <v>356</v>
      </c>
      <c r="CJ20" s="1171" t="s">
        <v>356</v>
      </c>
      <c r="CK20" s="1172" t="s">
        <v>358</v>
      </c>
      <c r="CL20" s="427" t="b">
        <f t="shared" si="31"/>
        <v>1</v>
      </c>
      <c r="CM20" s="1016" t="str">
        <f t="shared" si="32"/>
        <v>USD</v>
      </c>
      <c r="CN20" s="1034">
        <f t="shared" si="33"/>
        <v>1.0436000000000001</v>
      </c>
      <c r="CO20" s="1164"/>
      <c r="CP20" s="394">
        <f t="shared" si="39"/>
        <v>15</v>
      </c>
      <c r="CQ20" s="684" t="str">
        <f ca="1">IF(OR($H20="",$G20=""),"",_xll.meLWOXccySwapCreate("XCCY"&amp;$CP20,_xll.meUtilityLVBFromKeysAndMultipleValues($AB$5:$BF$5,$AB20:$BF20,$BG20:$CK20),_xll.meUtilityLVBFromKeysValues($CL$5:$CO$5,$CL20:$CO20)))</f>
        <v>XCCY15@162:0</v>
      </c>
      <c r="CR20" s="1004" t="str">
        <f t="shared" si="34"/>
        <v>EURYC</v>
      </c>
      <c r="CS20" s="1020" t="str">
        <f t="shared" si="35"/>
        <v>USDYC</v>
      </c>
      <c r="CT20" s="526"/>
      <c r="CU20" s="427" t="str">
        <f ca="1">IF(OR($H20="",$G20=""),"",_xll.meLWOSwapPV($CQ20,_xll.meUtilityLVBFromMultipleKeysValues("Leg1:Float",$CR20,,"Leg2:Float",$CS20)))</f>
        <v>[2018/05/04 09:52] #Error: Invalid Curve: CurveCollection 'USDYC' does not exist</v>
      </c>
      <c r="CV20" s="1176" t="str">
        <f ca="1">IF(OR($H20="",$G20=""),"",_xll.meLWOXccySwapParSpread($CQ20,_xll.meUtilityLVBFromMultipleKeysValues("Leg1:Float",$CR20,,"Leg2:Float",$CS20)))</f>
        <v>[2018/05/04 09:52] #Error: Invalid Curve: CurveCollection 'USDYC' does not exist</v>
      </c>
      <c r="CW20" s="995" t="s">
        <v>12</v>
      </c>
      <c r="CX20" s="684" t="str">
        <v>30Y</v>
      </c>
      <c r="CY20" s="1018">
        <v>-6.8749999999999996E-4</v>
      </c>
      <c r="CZ20" s="1176">
        <f t="shared" si="36"/>
        <v>-6.875</v>
      </c>
      <c r="DA20" s="1181" t="e">
        <f t="shared" ca="1" si="37"/>
        <v>#VALUE!</v>
      </c>
      <c r="DB20" s="995" t="s">
        <v>12</v>
      </c>
      <c r="DC20" s="1184" t="str">
        <f ca="1"/>
        <v/>
      </c>
      <c r="DD20" s="1185" t="str">
        <f ca="1"/>
        <v/>
      </c>
      <c r="DE20" s="1185" t="str">
        <f ca="1"/>
        <v/>
      </c>
      <c r="DF20" s="1004" t="str">
        <f ca="1"/>
        <v/>
      </c>
      <c r="DG20" s="1017" t="str">
        <f ca="1"/>
        <v/>
      </c>
      <c r="DH20" s="1185" t="str">
        <f ca="1"/>
        <v/>
      </c>
      <c r="DI20" s="1016" t="str">
        <f ca="1"/>
        <v/>
      </c>
      <c r="DJ20" s="1016" t="str">
        <f ca="1"/>
        <v/>
      </c>
      <c r="DK20" s="1027" t="str">
        <f ca="1"/>
        <v/>
      </c>
      <c r="DL20" s="1027" t="str">
        <f ca="1"/>
        <v/>
      </c>
      <c r="DM20" s="1036" t="str">
        <f ca="1"/>
        <v/>
      </c>
      <c r="DN20" s="1016" t="str">
        <f ca="1"/>
        <v/>
      </c>
      <c r="DO20" s="1019" t="str">
        <f ca="1"/>
        <v/>
      </c>
      <c r="DP20" s="1016" t="str">
        <f ca="1"/>
        <v/>
      </c>
      <c r="DQ20" s="1019" t="str">
        <f ca="1"/>
        <v/>
      </c>
      <c r="DR20" s="1016" t="str">
        <f ca="1"/>
        <v/>
      </c>
      <c r="DS20" s="1020" t="str">
        <f ca="1"/>
        <v/>
      </c>
    </row>
    <row r="21" spans="1:123">
      <c r="A21" s="995" t="s">
        <v>12</v>
      </c>
      <c r="B21" s="1015">
        <f ca="1">IF(ISBLANK($F21),"",IF(ISNUMBER($F21),$F21,_xll.meDateFromTenor(COB,$F21,$AV21,$AW21)))</f>
        <v>43229</v>
      </c>
      <c r="C21" s="1132" t="str">
        <f>IF(ISBLANK($G21),"",IF(ISNUMBER($G21),$G21,_xll.meDateFromTenor($B21,$G21,$AV21,$AW21)))</f>
        <v/>
      </c>
      <c r="D21" s="110">
        <f t="shared" si="38"/>
        <v>16</v>
      </c>
      <c r="E21" s="1156" t="s">
        <v>1995</v>
      </c>
      <c r="F21" s="975" t="s">
        <v>361</v>
      </c>
      <c r="G21" s="975"/>
      <c r="H21" s="970"/>
      <c r="I21" s="970" t="b">
        <v>1</v>
      </c>
      <c r="J21" s="1194">
        <f t="shared" si="0"/>
        <v>1.0436000000000001</v>
      </c>
      <c r="K21" s="970" t="s">
        <v>181</v>
      </c>
      <c r="L21" s="1157" t="s">
        <v>181</v>
      </c>
      <c r="M21" s="1156" t="s">
        <v>2053</v>
      </c>
      <c r="N21" s="969" t="s">
        <v>2</v>
      </c>
      <c r="O21" s="1190"/>
      <c r="P21" s="969" t="s">
        <v>1996</v>
      </c>
      <c r="Q21" s="969" t="s">
        <v>3</v>
      </c>
      <c r="R21" s="1153"/>
      <c r="S21" s="1147"/>
      <c r="T21" s="1156" t="s">
        <v>2053</v>
      </c>
      <c r="U21" s="969" t="s">
        <v>181</v>
      </c>
      <c r="V21" s="1190"/>
      <c r="W21" s="969" t="s">
        <v>1996</v>
      </c>
      <c r="X21" s="969" t="s">
        <v>3</v>
      </c>
      <c r="Y21" s="1153"/>
      <c r="Z21" s="1147"/>
      <c r="AB21" s="684" t="str">
        <f t="shared" si="3"/>
        <v>Leg1:FLOAT</v>
      </c>
      <c r="AC21" s="1016">
        <f t="shared" si="1"/>
        <v>0</v>
      </c>
      <c r="AD21" s="351" t="s">
        <v>2125</v>
      </c>
      <c r="AE21" s="1004" t="str">
        <f t="shared" si="4"/>
        <v>PAYER</v>
      </c>
      <c r="AF21" s="1004" t="str">
        <f t="shared" si="5"/>
        <v>EUR3ML</v>
      </c>
      <c r="AG21" s="1004" t="str">
        <f t="shared" si="6"/>
        <v>EURDF_USDCSA</v>
      </c>
      <c r="AH21" s="1004" t="str">
        <f t="shared" si="7"/>
        <v>EUR</v>
      </c>
      <c r="AI21" s="1170">
        <v>1</v>
      </c>
      <c r="AJ21" s="1018" t="str">
        <f t="shared" si="8"/>
        <v/>
      </c>
      <c r="AK21" s="1245" t="s">
        <v>2252</v>
      </c>
      <c r="AL21" s="1245" t="s">
        <v>2252</v>
      </c>
      <c r="AM21" s="1018" t="str">
        <f t="shared" si="9"/>
        <v/>
      </c>
      <c r="AN21" s="1018" t="str">
        <f t="shared" si="10"/>
        <v/>
      </c>
      <c r="AO21" s="1018">
        <f t="shared" si="11"/>
        <v>0</v>
      </c>
      <c r="AP21" s="1006">
        <f t="shared" ca="1" si="12"/>
        <v>43229</v>
      </c>
      <c r="AQ21" s="1006" t="str">
        <f t="shared" si="13"/>
        <v/>
      </c>
      <c r="AR21" s="1004" t="str">
        <f t="shared" si="14"/>
        <v>QUARTERLY</v>
      </c>
      <c r="AS21" s="1004" t="str">
        <f t="shared" si="15"/>
        <v>ACT/360</v>
      </c>
      <c r="AT21" s="1171" t="s">
        <v>38</v>
      </c>
      <c r="AU21" s="1171" t="s">
        <v>2036</v>
      </c>
      <c r="AV21" s="1171" t="s">
        <v>38</v>
      </c>
      <c r="AW21" s="1171" t="s">
        <v>2036</v>
      </c>
      <c r="AX21" s="1171" t="s">
        <v>38</v>
      </c>
      <c r="AY21" s="1171" t="s">
        <v>2036</v>
      </c>
      <c r="AZ21" s="1004"/>
      <c r="BA21" s="1004"/>
      <c r="BB21" s="1004">
        <f t="shared" ca="1" si="16"/>
        <v>9</v>
      </c>
      <c r="BC21" s="1171" t="s">
        <v>356</v>
      </c>
      <c r="BD21" s="1171" t="s">
        <v>356</v>
      </c>
      <c r="BE21" s="1171" t="s">
        <v>356</v>
      </c>
      <c r="BF21" s="1172" t="s">
        <v>358</v>
      </c>
      <c r="BG21" s="684" t="str">
        <f t="shared" si="17"/>
        <v>Leg2:FLOAT</v>
      </c>
      <c r="BH21" s="1016">
        <f t="shared" si="18"/>
        <v>0</v>
      </c>
      <c r="BI21" s="351" t="s">
        <v>2125</v>
      </c>
      <c r="BJ21" s="1004" t="str">
        <f t="shared" si="19"/>
        <v>RECEIVER</v>
      </c>
      <c r="BK21" s="1004" t="str">
        <f t="shared" si="20"/>
        <v>USD3ML</v>
      </c>
      <c r="BL21" s="1004" t="str">
        <f t="shared" si="2"/>
        <v>USDDF_USDCSA</v>
      </c>
      <c r="BM21" s="1004" t="str">
        <f t="shared" si="21"/>
        <v>USD</v>
      </c>
      <c r="BN21" s="1170">
        <v>1</v>
      </c>
      <c r="BO21" s="1018" t="str">
        <f t="shared" si="22"/>
        <v/>
      </c>
      <c r="BP21" s="1245" t="s">
        <v>2252</v>
      </c>
      <c r="BQ21" s="1245" t="s">
        <v>2252</v>
      </c>
      <c r="BR21" s="1018" t="str">
        <f t="shared" si="23"/>
        <v/>
      </c>
      <c r="BS21" s="1018" t="str">
        <f t="shared" si="24"/>
        <v/>
      </c>
      <c r="BT21" s="1018">
        <f t="shared" si="25"/>
        <v>0</v>
      </c>
      <c r="BU21" s="1006">
        <f t="shared" ca="1" si="26"/>
        <v>43229</v>
      </c>
      <c r="BV21" s="1006" t="str">
        <f t="shared" si="27"/>
        <v/>
      </c>
      <c r="BW21" s="1004" t="str">
        <f t="shared" si="28"/>
        <v>QUARTERLY</v>
      </c>
      <c r="BX21" s="1004" t="str">
        <f t="shared" si="29"/>
        <v>ACT/360</v>
      </c>
      <c r="BY21" s="1171" t="s">
        <v>38</v>
      </c>
      <c r="BZ21" s="1171" t="s">
        <v>2036</v>
      </c>
      <c r="CA21" s="1171" t="s">
        <v>38</v>
      </c>
      <c r="CB21" s="1171" t="s">
        <v>2036</v>
      </c>
      <c r="CC21" s="1171" t="s">
        <v>38</v>
      </c>
      <c r="CD21" s="1171" t="s">
        <v>2036</v>
      </c>
      <c r="CE21" s="1004"/>
      <c r="CF21" s="1004"/>
      <c r="CG21" s="1004">
        <f t="shared" ca="1" si="30"/>
        <v>9</v>
      </c>
      <c r="CH21" s="1171" t="s">
        <v>356</v>
      </c>
      <c r="CI21" s="1171" t="s">
        <v>356</v>
      </c>
      <c r="CJ21" s="1171" t="s">
        <v>356</v>
      </c>
      <c r="CK21" s="1172" t="s">
        <v>358</v>
      </c>
      <c r="CL21" s="427" t="b">
        <f t="shared" si="31"/>
        <v>1</v>
      </c>
      <c r="CM21" s="1016" t="str">
        <f t="shared" si="32"/>
        <v>USD</v>
      </c>
      <c r="CN21" s="1034">
        <f t="shared" si="33"/>
        <v>1.0436000000000001</v>
      </c>
      <c r="CO21" s="1164"/>
      <c r="CP21" s="394">
        <f t="shared" si="39"/>
        <v>16</v>
      </c>
      <c r="CQ21" s="684" t="str">
        <f>IF(OR($H21="",$G21=""),"",_xll.meLWOXccySwapCreate("XCCY"&amp;$CP21,_xll.meUtilityLVBFromKeysAndMultipleValues($AB$5:$BF$5,$AB21:$BF21,$BG21:$CK21),_xll.meUtilityLVBFromKeysValues($CL$5:$CO$5,$CL21:$CO21)))</f>
        <v/>
      </c>
      <c r="CR21" s="1004" t="str">
        <f t="shared" si="34"/>
        <v/>
      </c>
      <c r="CS21" s="1020" t="str">
        <f t="shared" si="35"/>
        <v/>
      </c>
      <c r="CT21" s="526"/>
      <c r="CU21" s="427" t="str">
        <f>IF(OR($H21="",$G21=""),"",_xll.meLWOSwapPV($CQ21,_xll.meUtilityLVBFromMultipleKeysValues("Leg1:Float",$CR21,,"Leg2:Float",$CS21)))</f>
        <v/>
      </c>
      <c r="CV21" s="1176" t="str">
        <f>IF(OR($H21="",$G21=""),"",_xll.meLWOXccySwapParSpread($CQ21,_xll.meUtilityLVBFromMultipleKeysValues("Leg1:Float",$CR21,,"Leg2:Float",$CS21)))</f>
        <v/>
      </c>
      <c r="CW21" s="995" t="s">
        <v>12</v>
      </c>
      <c r="CX21" s="1162" t="str">
        <v/>
      </c>
      <c r="CY21" s="1198" t="str">
        <v/>
      </c>
      <c r="CZ21" s="1196" t="str">
        <f t="shared" si="36"/>
        <v/>
      </c>
      <c r="DA21" s="1181" t="str">
        <f t="shared" si="37"/>
        <v/>
      </c>
      <c r="DB21" s="995" t="s">
        <v>12</v>
      </c>
      <c r="DC21" s="1184" t="str">
        <f ca="1"/>
        <v/>
      </c>
      <c r="DD21" s="1185" t="str">
        <f ca="1"/>
        <v/>
      </c>
      <c r="DE21" s="1185" t="str">
        <f ca="1"/>
        <v/>
      </c>
      <c r="DF21" s="1004" t="str">
        <f ca="1"/>
        <v/>
      </c>
      <c r="DG21" s="1017" t="str">
        <f ca="1"/>
        <v/>
      </c>
      <c r="DH21" s="1185" t="str">
        <f ca="1"/>
        <v/>
      </c>
      <c r="DI21" s="1016" t="str">
        <f ca="1"/>
        <v/>
      </c>
      <c r="DJ21" s="1016" t="str">
        <f ca="1"/>
        <v/>
      </c>
      <c r="DK21" s="1027" t="str">
        <f ca="1"/>
        <v/>
      </c>
      <c r="DL21" s="1027" t="str">
        <f ca="1"/>
        <v/>
      </c>
      <c r="DM21" s="1036" t="str">
        <f ca="1"/>
        <v/>
      </c>
      <c r="DN21" s="1016" t="str">
        <f ca="1"/>
        <v/>
      </c>
      <c r="DO21" s="1019" t="str">
        <f ca="1"/>
        <v/>
      </c>
      <c r="DP21" s="1016" t="str">
        <f ca="1"/>
        <v/>
      </c>
      <c r="DQ21" s="1019" t="str">
        <f ca="1"/>
        <v/>
      </c>
      <c r="DR21" s="1016" t="str">
        <f ca="1"/>
        <v/>
      </c>
      <c r="DS21" s="1020" t="str">
        <f ca="1"/>
        <v/>
      </c>
    </row>
    <row r="22" spans="1:123">
      <c r="A22" s="995" t="s">
        <v>12</v>
      </c>
      <c r="B22" s="1015">
        <f ca="1">IF(ISBLANK($F22),"",IF(ISNUMBER($F22),$F22,_xll.meDateFromTenor(COB,$F22,$AV22,$AW22)))</f>
        <v>43229</v>
      </c>
      <c r="C22" s="1132" t="str">
        <f>IF(ISBLANK($G22),"",IF(ISNUMBER($G22),$G22,_xll.meDateFromTenor($B22,$G22,$AV22,$AW22)))</f>
        <v/>
      </c>
      <c r="D22" s="110">
        <f t="shared" si="38"/>
        <v>17</v>
      </c>
      <c r="E22" s="1156" t="s">
        <v>1995</v>
      </c>
      <c r="F22" s="975" t="s">
        <v>361</v>
      </c>
      <c r="G22" s="975"/>
      <c r="H22" s="970"/>
      <c r="I22" s="970" t="b">
        <v>1</v>
      </c>
      <c r="J22" s="1194">
        <f t="shared" si="0"/>
        <v>1.0436000000000001</v>
      </c>
      <c r="K22" s="970" t="s">
        <v>181</v>
      </c>
      <c r="L22" s="1157" t="s">
        <v>181</v>
      </c>
      <c r="M22" s="1156" t="s">
        <v>2053</v>
      </c>
      <c r="N22" s="969" t="s">
        <v>2</v>
      </c>
      <c r="O22" s="1190"/>
      <c r="P22" s="969" t="s">
        <v>1996</v>
      </c>
      <c r="Q22" s="969" t="s">
        <v>3</v>
      </c>
      <c r="R22" s="1153"/>
      <c r="S22" s="1147"/>
      <c r="T22" s="1156" t="s">
        <v>2053</v>
      </c>
      <c r="U22" s="969" t="s">
        <v>181</v>
      </c>
      <c r="V22" s="1190"/>
      <c r="W22" s="969" t="s">
        <v>1996</v>
      </c>
      <c r="X22" s="969" t="s">
        <v>3</v>
      </c>
      <c r="Y22" s="1153"/>
      <c r="Z22" s="1147"/>
      <c r="AB22" s="684" t="str">
        <f t="shared" si="3"/>
        <v>Leg1:FLOAT</v>
      </c>
      <c r="AC22" s="1016">
        <f t="shared" si="1"/>
        <v>0</v>
      </c>
      <c r="AD22" s="351" t="s">
        <v>2125</v>
      </c>
      <c r="AE22" s="1004" t="str">
        <f t="shared" si="4"/>
        <v>PAYER</v>
      </c>
      <c r="AF22" s="1004" t="str">
        <f t="shared" si="5"/>
        <v>EUR3ML</v>
      </c>
      <c r="AG22" s="1004" t="str">
        <f t="shared" si="6"/>
        <v>EURDF_USDCSA</v>
      </c>
      <c r="AH22" s="1004" t="str">
        <f t="shared" si="7"/>
        <v>EUR</v>
      </c>
      <c r="AI22" s="1170">
        <v>1</v>
      </c>
      <c r="AJ22" s="1018" t="str">
        <f t="shared" si="8"/>
        <v/>
      </c>
      <c r="AK22" s="1245" t="s">
        <v>2252</v>
      </c>
      <c r="AL22" s="1245" t="s">
        <v>2252</v>
      </c>
      <c r="AM22" s="1018" t="str">
        <f t="shared" si="9"/>
        <v/>
      </c>
      <c r="AN22" s="1018" t="str">
        <f t="shared" si="10"/>
        <v/>
      </c>
      <c r="AO22" s="1018">
        <f t="shared" si="11"/>
        <v>0</v>
      </c>
      <c r="AP22" s="1006">
        <f t="shared" ca="1" si="12"/>
        <v>43229</v>
      </c>
      <c r="AQ22" s="1006" t="str">
        <f t="shared" si="13"/>
        <v/>
      </c>
      <c r="AR22" s="1004" t="str">
        <f t="shared" si="14"/>
        <v>QUARTERLY</v>
      </c>
      <c r="AS22" s="1004" t="str">
        <f t="shared" si="15"/>
        <v>ACT/360</v>
      </c>
      <c r="AT22" s="1171" t="s">
        <v>38</v>
      </c>
      <c r="AU22" s="1171" t="s">
        <v>2036</v>
      </c>
      <c r="AV22" s="1171" t="s">
        <v>38</v>
      </c>
      <c r="AW22" s="1171" t="s">
        <v>2036</v>
      </c>
      <c r="AX22" s="1171" t="s">
        <v>38</v>
      </c>
      <c r="AY22" s="1171" t="s">
        <v>2036</v>
      </c>
      <c r="AZ22" s="1004"/>
      <c r="BA22" s="1004"/>
      <c r="BB22" s="1004">
        <f t="shared" ca="1" si="16"/>
        <v>9</v>
      </c>
      <c r="BC22" s="1171" t="s">
        <v>356</v>
      </c>
      <c r="BD22" s="1171" t="s">
        <v>356</v>
      </c>
      <c r="BE22" s="1171" t="s">
        <v>356</v>
      </c>
      <c r="BF22" s="1172" t="s">
        <v>358</v>
      </c>
      <c r="BG22" s="684" t="str">
        <f t="shared" si="17"/>
        <v>Leg2:FLOAT</v>
      </c>
      <c r="BH22" s="1016">
        <f t="shared" si="18"/>
        <v>0</v>
      </c>
      <c r="BI22" s="351" t="s">
        <v>2125</v>
      </c>
      <c r="BJ22" s="1004" t="str">
        <f t="shared" si="19"/>
        <v>RECEIVER</v>
      </c>
      <c r="BK22" s="1004" t="str">
        <f t="shared" si="20"/>
        <v>USD3ML</v>
      </c>
      <c r="BL22" s="1004" t="str">
        <f t="shared" si="2"/>
        <v>USDDF_USDCSA</v>
      </c>
      <c r="BM22" s="1004" t="str">
        <f t="shared" si="21"/>
        <v>USD</v>
      </c>
      <c r="BN22" s="1170">
        <v>1</v>
      </c>
      <c r="BO22" s="1018" t="str">
        <f t="shared" si="22"/>
        <v/>
      </c>
      <c r="BP22" s="1245" t="s">
        <v>2252</v>
      </c>
      <c r="BQ22" s="1245" t="s">
        <v>2252</v>
      </c>
      <c r="BR22" s="1018" t="str">
        <f t="shared" si="23"/>
        <v/>
      </c>
      <c r="BS22" s="1018" t="str">
        <f t="shared" si="24"/>
        <v/>
      </c>
      <c r="BT22" s="1018">
        <f t="shared" si="25"/>
        <v>0</v>
      </c>
      <c r="BU22" s="1006">
        <f t="shared" ca="1" si="26"/>
        <v>43229</v>
      </c>
      <c r="BV22" s="1006" t="str">
        <f t="shared" si="27"/>
        <v/>
      </c>
      <c r="BW22" s="1004" t="str">
        <f t="shared" si="28"/>
        <v>QUARTERLY</v>
      </c>
      <c r="BX22" s="1004" t="str">
        <f t="shared" si="29"/>
        <v>ACT/360</v>
      </c>
      <c r="BY22" s="1171" t="s">
        <v>38</v>
      </c>
      <c r="BZ22" s="1171" t="s">
        <v>2036</v>
      </c>
      <c r="CA22" s="1171" t="s">
        <v>38</v>
      </c>
      <c r="CB22" s="1171" t="s">
        <v>2036</v>
      </c>
      <c r="CC22" s="1171" t="s">
        <v>38</v>
      </c>
      <c r="CD22" s="1171" t="s">
        <v>2036</v>
      </c>
      <c r="CE22" s="1004"/>
      <c r="CF22" s="1004"/>
      <c r="CG22" s="1004">
        <f t="shared" ca="1" si="30"/>
        <v>9</v>
      </c>
      <c r="CH22" s="1171" t="s">
        <v>356</v>
      </c>
      <c r="CI22" s="1171" t="s">
        <v>356</v>
      </c>
      <c r="CJ22" s="1171" t="s">
        <v>356</v>
      </c>
      <c r="CK22" s="1172" t="s">
        <v>358</v>
      </c>
      <c r="CL22" s="427" t="b">
        <f t="shared" si="31"/>
        <v>1</v>
      </c>
      <c r="CM22" s="1016" t="str">
        <f t="shared" si="32"/>
        <v>USD</v>
      </c>
      <c r="CN22" s="1034">
        <f t="shared" si="33"/>
        <v>1.0436000000000001</v>
      </c>
      <c r="CO22" s="1164"/>
      <c r="CP22" s="394">
        <f t="shared" si="39"/>
        <v>17</v>
      </c>
      <c r="CQ22" s="684" t="str">
        <f>IF(OR($H22="",$G22=""),"",_xll.meLWOXccySwapCreate("XCCY"&amp;$CP22,_xll.meUtilityLVBFromKeysAndMultipleValues($AB$5:$BF$5,$AB22:$BF22,$BG22:$CK22),_xll.meUtilityLVBFromKeysValues($CL$5:$CO$5,$CL22:$CO22)))</f>
        <v/>
      </c>
      <c r="CR22" s="1004" t="str">
        <f t="shared" si="34"/>
        <v/>
      </c>
      <c r="CS22" s="1020" t="str">
        <f t="shared" si="35"/>
        <v/>
      </c>
      <c r="CT22" s="526"/>
      <c r="CU22" s="427" t="str">
        <f>IF(OR($H22="",$G22=""),"",_xll.meLWOSwapPV($CQ22,_xll.meUtilityLVBFromMultipleKeysValues("Leg1:Float",$CR22,,"Leg2:Float",$CS22)))</f>
        <v/>
      </c>
      <c r="CV22" s="1176" t="str">
        <f>IF(OR($H22="",$G22=""),"",_xll.meLWOXccySwapParSpread($CQ22,_xll.meUtilityLVBFromMultipleKeysValues("Leg1:Float",$CR22,,"Leg2:Float",$CS22)))</f>
        <v/>
      </c>
      <c r="CW22" s="995" t="s">
        <v>12</v>
      </c>
      <c r="CX22" s="1162" t="str">
        <v/>
      </c>
      <c r="CY22" s="1198" t="str">
        <v/>
      </c>
      <c r="CZ22" s="1196" t="str">
        <f t="shared" si="36"/>
        <v/>
      </c>
      <c r="DA22" s="1181" t="str">
        <f t="shared" si="37"/>
        <v/>
      </c>
      <c r="DB22" s="995" t="s">
        <v>12</v>
      </c>
      <c r="DC22" s="1184" t="str">
        <f ca="1"/>
        <v/>
      </c>
      <c r="DD22" s="1185" t="str">
        <f ca="1"/>
        <v/>
      </c>
      <c r="DE22" s="1185" t="str">
        <f ca="1"/>
        <v/>
      </c>
      <c r="DF22" s="1004" t="str">
        <f ca="1"/>
        <v/>
      </c>
      <c r="DG22" s="1017" t="str">
        <f ca="1"/>
        <v/>
      </c>
      <c r="DH22" s="1185" t="str">
        <f ca="1"/>
        <v/>
      </c>
      <c r="DI22" s="1016" t="str">
        <f ca="1"/>
        <v/>
      </c>
      <c r="DJ22" s="1016" t="str">
        <f ca="1"/>
        <v/>
      </c>
      <c r="DK22" s="1027" t="str">
        <f ca="1"/>
        <v/>
      </c>
      <c r="DL22" s="1027" t="str">
        <f ca="1"/>
        <v/>
      </c>
      <c r="DM22" s="1036" t="str">
        <f ca="1"/>
        <v/>
      </c>
      <c r="DN22" s="1016" t="str">
        <f ca="1"/>
        <v/>
      </c>
      <c r="DO22" s="1019" t="str">
        <f ca="1"/>
        <v/>
      </c>
      <c r="DP22" s="1016" t="str">
        <f ca="1"/>
        <v/>
      </c>
      <c r="DQ22" s="1019" t="str">
        <f ca="1"/>
        <v/>
      </c>
      <c r="DR22" s="1016" t="str">
        <f ca="1"/>
        <v/>
      </c>
      <c r="DS22" s="1020" t="str">
        <f ca="1"/>
        <v/>
      </c>
    </row>
    <row r="23" spans="1:123">
      <c r="A23" s="995" t="s">
        <v>12</v>
      </c>
      <c r="B23" s="1015">
        <f ca="1">IF(ISBLANK($F23),"",IF(ISNUMBER($F23),$F23,_xll.meDateFromTenor(COB,$F23,$AV23,$AW23)))</f>
        <v>43229</v>
      </c>
      <c r="C23" s="1132" t="str">
        <f>IF(ISBLANK($G23),"",IF(ISNUMBER($G23),$G23,_xll.meDateFromTenor($B23,$G23,$AV23,$AW23)))</f>
        <v/>
      </c>
      <c r="D23" s="110">
        <f t="shared" si="38"/>
        <v>18</v>
      </c>
      <c r="E23" s="1156" t="s">
        <v>1995</v>
      </c>
      <c r="F23" s="975" t="s">
        <v>361</v>
      </c>
      <c r="G23" s="975"/>
      <c r="H23" s="970"/>
      <c r="I23" s="970" t="b">
        <v>1</v>
      </c>
      <c r="J23" s="1194">
        <f t="shared" si="0"/>
        <v>1.0436000000000001</v>
      </c>
      <c r="K23" s="970" t="s">
        <v>181</v>
      </c>
      <c r="L23" s="1157" t="s">
        <v>181</v>
      </c>
      <c r="M23" s="1156" t="s">
        <v>2053</v>
      </c>
      <c r="N23" s="969" t="s">
        <v>2</v>
      </c>
      <c r="O23" s="1190"/>
      <c r="P23" s="969" t="s">
        <v>1996</v>
      </c>
      <c r="Q23" s="969" t="s">
        <v>3</v>
      </c>
      <c r="R23" s="1153"/>
      <c r="S23" s="1147"/>
      <c r="T23" s="1156" t="s">
        <v>2053</v>
      </c>
      <c r="U23" s="969" t="s">
        <v>181</v>
      </c>
      <c r="V23" s="1190"/>
      <c r="W23" s="969" t="s">
        <v>1996</v>
      </c>
      <c r="X23" s="969" t="s">
        <v>3</v>
      </c>
      <c r="Y23" s="1153"/>
      <c r="Z23" s="1147"/>
      <c r="AB23" s="684" t="str">
        <f t="shared" si="3"/>
        <v>Leg1:FLOAT</v>
      </c>
      <c r="AC23" s="1016">
        <f t="shared" si="1"/>
        <v>0</v>
      </c>
      <c r="AD23" s="351" t="s">
        <v>2125</v>
      </c>
      <c r="AE23" s="1004" t="str">
        <f t="shared" si="4"/>
        <v>PAYER</v>
      </c>
      <c r="AF23" s="1004" t="str">
        <f t="shared" si="5"/>
        <v>EUR3ML</v>
      </c>
      <c r="AG23" s="1004" t="str">
        <f t="shared" si="6"/>
        <v>EURDF_USDCSA</v>
      </c>
      <c r="AH23" s="1004" t="str">
        <f t="shared" si="7"/>
        <v>EUR</v>
      </c>
      <c r="AI23" s="1170">
        <v>1</v>
      </c>
      <c r="AJ23" s="1018" t="str">
        <f t="shared" si="8"/>
        <v/>
      </c>
      <c r="AK23" s="1245" t="s">
        <v>2252</v>
      </c>
      <c r="AL23" s="1245" t="s">
        <v>2252</v>
      </c>
      <c r="AM23" s="1018" t="str">
        <f t="shared" si="9"/>
        <v/>
      </c>
      <c r="AN23" s="1018" t="str">
        <f t="shared" si="10"/>
        <v/>
      </c>
      <c r="AO23" s="1018">
        <f t="shared" si="11"/>
        <v>0</v>
      </c>
      <c r="AP23" s="1006">
        <f t="shared" ca="1" si="12"/>
        <v>43229</v>
      </c>
      <c r="AQ23" s="1006" t="str">
        <f t="shared" si="13"/>
        <v/>
      </c>
      <c r="AR23" s="1004" t="str">
        <f t="shared" si="14"/>
        <v>QUARTERLY</v>
      </c>
      <c r="AS23" s="1004" t="str">
        <f t="shared" si="15"/>
        <v>ACT/360</v>
      </c>
      <c r="AT23" s="1171" t="s">
        <v>38</v>
      </c>
      <c r="AU23" s="1171" t="s">
        <v>2036</v>
      </c>
      <c r="AV23" s="1171" t="s">
        <v>38</v>
      </c>
      <c r="AW23" s="1171" t="s">
        <v>2036</v>
      </c>
      <c r="AX23" s="1171" t="s">
        <v>38</v>
      </c>
      <c r="AY23" s="1171" t="s">
        <v>2036</v>
      </c>
      <c r="AZ23" s="1004"/>
      <c r="BA23" s="1004"/>
      <c r="BB23" s="1004">
        <f t="shared" ca="1" si="16"/>
        <v>9</v>
      </c>
      <c r="BC23" s="1171" t="s">
        <v>356</v>
      </c>
      <c r="BD23" s="1171" t="s">
        <v>356</v>
      </c>
      <c r="BE23" s="1171" t="s">
        <v>356</v>
      </c>
      <c r="BF23" s="1172" t="s">
        <v>358</v>
      </c>
      <c r="BG23" s="684" t="str">
        <f t="shared" si="17"/>
        <v>Leg2:FLOAT</v>
      </c>
      <c r="BH23" s="1016">
        <f t="shared" si="18"/>
        <v>0</v>
      </c>
      <c r="BI23" s="351" t="s">
        <v>2125</v>
      </c>
      <c r="BJ23" s="1004" t="str">
        <f t="shared" si="19"/>
        <v>RECEIVER</v>
      </c>
      <c r="BK23" s="1004" t="str">
        <f t="shared" si="20"/>
        <v>USD3ML</v>
      </c>
      <c r="BL23" s="1004" t="str">
        <f t="shared" si="2"/>
        <v>USDDF_USDCSA</v>
      </c>
      <c r="BM23" s="1004" t="str">
        <f t="shared" si="21"/>
        <v>USD</v>
      </c>
      <c r="BN23" s="1170">
        <v>1</v>
      </c>
      <c r="BO23" s="1018" t="str">
        <f t="shared" si="22"/>
        <v/>
      </c>
      <c r="BP23" s="1245" t="s">
        <v>2252</v>
      </c>
      <c r="BQ23" s="1245" t="s">
        <v>2252</v>
      </c>
      <c r="BR23" s="1018" t="str">
        <f t="shared" si="23"/>
        <v/>
      </c>
      <c r="BS23" s="1018" t="str">
        <f t="shared" si="24"/>
        <v/>
      </c>
      <c r="BT23" s="1018">
        <f t="shared" si="25"/>
        <v>0</v>
      </c>
      <c r="BU23" s="1006">
        <f t="shared" ca="1" si="26"/>
        <v>43229</v>
      </c>
      <c r="BV23" s="1006" t="str">
        <f t="shared" si="27"/>
        <v/>
      </c>
      <c r="BW23" s="1004" t="str">
        <f t="shared" si="28"/>
        <v>QUARTERLY</v>
      </c>
      <c r="BX23" s="1004" t="str">
        <f t="shared" si="29"/>
        <v>ACT/360</v>
      </c>
      <c r="BY23" s="1171" t="s">
        <v>38</v>
      </c>
      <c r="BZ23" s="1171" t="s">
        <v>2036</v>
      </c>
      <c r="CA23" s="1171" t="s">
        <v>38</v>
      </c>
      <c r="CB23" s="1171" t="s">
        <v>2036</v>
      </c>
      <c r="CC23" s="1171" t="s">
        <v>38</v>
      </c>
      <c r="CD23" s="1171" t="s">
        <v>2036</v>
      </c>
      <c r="CE23" s="1004"/>
      <c r="CF23" s="1004"/>
      <c r="CG23" s="1004">
        <f t="shared" ca="1" si="30"/>
        <v>9</v>
      </c>
      <c r="CH23" s="1171" t="s">
        <v>356</v>
      </c>
      <c r="CI23" s="1171" t="s">
        <v>356</v>
      </c>
      <c r="CJ23" s="1171" t="s">
        <v>356</v>
      </c>
      <c r="CK23" s="1172" t="s">
        <v>358</v>
      </c>
      <c r="CL23" s="427" t="b">
        <f t="shared" si="31"/>
        <v>1</v>
      </c>
      <c r="CM23" s="1016" t="str">
        <f t="shared" si="32"/>
        <v>USD</v>
      </c>
      <c r="CN23" s="1034">
        <f t="shared" si="33"/>
        <v>1.0436000000000001</v>
      </c>
      <c r="CO23" s="1164"/>
      <c r="CP23" s="394">
        <f t="shared" si="39"/>
        <v>18</v>
      </c>
      <c r="CQ23" s="684" t="str">
        <f>IF(OR($H23="",$G23=""),"",_xll.meLWOXccySwapCreate("XCCY"&amp;$CP23,_xll.meUtilityLVBFromKeysAndMultipleValues($AB$5:$BF$5,$AB23:$BF23,$BG23:$CK23),_xll.meUtilityLVBFromKeysValues($CL$5:$CO$5,$CL23:$CO23)))</f>
        <v/>
      </c>
      <c r="CR23" s="1004" t="str">
        <f t="shared" si="34"/>
        <v/>
      </c>
      <c r="CS23" s="1020" t="str">
        <f t="shared" si="35"/>
        <v/>
      </c>
      <c r="CT23" s="526"/>
      <c r="CU23" s="427" t="str">
        <f>IF(OR($H23="",$G23=""),"",_xll.meLWOSwapPV($CQ23,_xll.meUtilityLVBFromMultipleKeysValues("Leg1:Float",$CR23,,"Leg2:Float",$CS23)))</f>
        <v/>
      </c>
      <c r="CV23" s="1176" t="str">
        <f>IF(OR($H23="",$G23=""),"",_xll.meLWOXccySwapParSpread($CQ23,_xll.meUtilityLVBFromMultipleKeysValues("Leg1:Float",$CR23,,"Leg2:Float",$CS23)))</f>
        <v/>
      </c>
      <c r="CW23" s="995" t="s">
        <v>12</v>
      </c>
      <c r="CX23" s="1162" t="str">
        <v/>
      </c>
      <c r="CY23" s="1198" t="str">
        <v/>
      </c>
      <c r="CZ23" s="1196" t="str">
        <f t="shared" si="36"/>
        <v/>
      </c>
      <c r="DA23" s="1181" t="str">
        <f t="shared" si="37"/>
        <v/>
      </c>
      <c r="DB23" s="995" t="s">
        <v>12</v>
      </c>
      <c r="DC23" s="1184" t="str">
        <f ca="1"/>
        <v/>
      </c>
      <c r="DD23" s="1185" t="str">
        <f ca="1"/>
        <v/>
      </c>
      <c r="DE23" s="1185" t="str">
        <f ca="1"/>
        <v/>
      </c>
      <c r="DF23" s="1004" t="str">
        <f ca="1"/>
        <v/>
      </c>
      <c r="DG23" s="1017" t="str">
        <f ca="1"/>
        <v/>
      </c>
      <c r="DH23" s="1185" t="str">
        <f ca="1"/>
        <v/>
      </c>
      <c r="DI23" s="1016" t="str">
        <f ca="1"/>
        <v/>
      </c>
      <c r="DJ23" s="1016" t="str">
        <f ca="1"/>
        <v/>
      </c>
      <c r="DK23" s="1027" t="str">
        <f ca="1"/>
        <v/>
      </c>
      <c r="DL23" s="1027" t="str">
        <f ca="1"/>
        <v/>
      </c>
      <c r="DM23" s="1036" t="str">
        <f ca="1"/>
        <v/>
      </c>
      <c r="DN23" s="1016" t="str">
        <f ca="1"/>
        <v/>
      </c>
      <c r="DO23" s="1019" t="str">
        <f ca="1"/>
        <v/>
      </c>
      <c r="DP23" s="1016" t="str">
        <f ca="1"/>
        <v/>
      </c>
      <c r="DQ23" s="1019" t="str">
        <f ca="1"/>
        <v/>
      </c>
      <c r="DR23" s="1016" t="str">
        <f ca="1"/>
        <v/>
      </c>
      <c r="DS23" s="1020" t="str">
        <f ca="1"/>
        <v/>
      </c>
    </row>
    <row r="24" spans="1:123">
      <c r="A24" s="995" t="s">
        <v>12</v>
      </c>
      <c r="B24" s="1015">
        <f ca="1">IF(ISBLANK($F24),"",IF(ISNUMBER($F24),$F24,_xll.meDateFromTenor(COB,$F24,$AV24,$AW24)))</f>
        <v>43229</v>
      </c>
      <c r="C24" s="1132" t="str">
        <f>IF(ISBLANK($G24),"",IF(ISNUMBER($G24),$G24,_xll.meDateFromTenor($B24,$G24,$AV24,$AW24)))</f>
        <v/>
      </c>
      <c r="D24" s="110">
        <f t="shared" si="38"/>
        <v>19</v>
      </c>
      <c r="E24" s="1156" t="s">
        <v>1995</v>
      </c>
      <c r="F24" s="975" t="s">
        <v>361</v>
      </c>
      <c r="G24" s="975"/>
      <c r="H24" s="970"/>
      <c r="I24" s="970" t="b">
        <v>1</v>
      </c>
      <c r="J24" s="1194">
        <f t="shared" si="0"/>
        <v>1.0436000000000001</v>
      </c>
      <c r="K24" s="970" t="s">
        <v>181</v>
      </c>
      <c r="L24" s="1157" t="s">
        <v>181</v>
      </c>
      <c r="M24" s="1156" t="s">
        <v>2053</v>
      </c>
      <c r="N24" s="969" t="s">
        <v>2</v>
      </c>
      <c r="O24" s="1190"/>
      <c r="P24" s="969" t="s">
        <v>1996</v>
      </c>
      <c r="Q24" s="969" t="s">
        <v>3</v>
      </c>
      <c r="R24" s="1153"/>
      <c r="S24" s="1147"/>
      <c r="T24" s="1156" t="s">
        <v>2053</v>
      </c>
      <c r="U24" s="969" t="s">
        <v>181</v>
      </c>
      <c r="V24" s="1190"/>
      <c r="W24" s="969" t="s">
        <v>1996</v>
      </c>
      <c r="X24" s="969" t="s">
        <v>3</v>
      </c>
      <c r="Y24" s="1153"/>
      <c r="Z24" s="1147"/>
      <c r="AB24" s="684" t="str">
        <f t="shared" si="3"/>
        <v>Leg1:FLOAT</v>
      </c>
      <c r="AC24" s="1016">
        <f t="shared" si="1"/>
        <v>0</v>
      </c>
      <c r="AD24" s="351" t="s">
        <v>2125</v>
      </c>
      <c r="AE24" s="1004" t="str">
        <f t="shared" si="4"/>
        <v>PAYER</v>
      </c>
      <c r="AF24" s="1004" t="str">
        <f t="shared" si="5"/>
        <v>EUR3ML</v>
      </c>
      <c r="AG24" s="1004" t="str">
        <f t="shared" si="6"/>
        <v>EURDF_USDCSA</v>
      </c>
      <c r="AH24" s="1004" t="str">
        <f t="shared" si="7"/>
        <v>EUR</v>
      </c>
      <c r="AI24" s="1170">
        <v>1</v>
      </c>
      <c r="AJ24" s="1018" t="str">
        <f t="shared" si="8"/>
        <v/>
      </c>
      <c r="AK24" s="1245" t="s">
        <v>2252</v>
      </c>
      <c r="AL24" s="1245" t="s">
        <v>2252</v>
      </c>
      <c r="AM24" s="1018" t="str">
        <f t="shared" si="9"/>
        <v/>
      </c>
      <c r="AN24" s="1018" t="str">
        <f t="shared" si="10"/>
        <v/>
      </c>
      <c r="AO24" s="1018">
        <f t="shared" si="11"/>
        <v>0</v>
      </c>
      <c r="AP24" s="1006">
        <f t="shared" ca="1" si="12"/>
        <v>43229</v>
      </c>
      <c r="AQ24" s="1006" t="str">
        <f t="shared" si="13"/>
        <v/>
      </c>
      <c r="AR24" s="1004" t="str">
        <f t="shared" si="14"/>
        <v>QUARTERLY</v>
      </c>
      <c r="AS24" s="1004" t="str">
        <f t="shared" si="15"/>
        <v>ACT/360</v>
      </c>
      <c r="AT24" s="1171" t="s">
        <v>38</v>
      </c>
      <c r="AU24" s="1171" t="s">
        <v>2036</v>
      </c>
      <c r="AV24" s="1171" t="s">
        <v>38</v>
      </c>
      <c r="AW24" s="1171" t="s">
        <v>2036</v>
      </c>
      <c r="AX24" s="1171" t="s">
        <v>38</v>
      </c>
      <c r="AY24" s="1171" t="s">
        <v>2036</v>
      </c>
      <c r="AZ24" s="1004"/>
      <c r="BA24" s="1004"/>
      <c r="BB24" s="1004">
        <f t="shared" ca="1" si="16"/>
        <v>9</v>
      </c>
      <c r="BC24" s="1171" t="s">
        <v>356</v>
      </c>
      <c r="BD24" s="1171" t="s">
        <v>356</v>
      </c>
      <c r="BE24" s="1171" t="s">
        <v>356</v>
      </c>
      <c r="BF24" s="1172" t="s">
        <v>358</v>
      </c>
      <c r="BG24" s="684" t="str">
        <f t="shared" si="17"/>
        <v>Leg2:FLOAT</v>
      </c>
      <c r="BH24" s="1016">
        <f t="shared" si="18"/>
        <v>0</v>
      </c>
      <c r="BI24" s="351" t="s">
        <v>2125</v>
      </c>
      <c r="BJ24" s="1004" t="str">
        <f t="shared" si="19"/>
        <v>RECEIVER</v>
      </c>
      <c r="BK24" s="1004" t="str">
        <f t="shared" si="20"/>
        <v>USD3ML</v>
      </c>
      <c r="BL24" s="1004" t="str">
        <f t="shared" si="2"/>
        <v>USDDF_USDCSA</v>
      </c>
      <c r="BM24" s="1004" t="str">
        <f t="shared" si="21"/>
        <v>USD</v>
      </c>
      <c r="BN24" s="1170">
        <v>1</v>
      </c>
      <c r="BO24" s="1018" t="str">
        <f t="shared" si="22"/>
        <v/>
      </c>
      <c r="BP24" s="1245" t="s">
        <v>2252</v>
      </c>
      <c r="BQ24" s="1245" t="s">
        <v>2252</v>
      </c>
      <c r="BR24" s="1018" t="str">
        <f t="shared" si="23"/>
        <v/>
      </c>
      <c r="BS24" s="1018" t="str">
        <f t="shared" si="24"/>
        <v/>
      </c>
      <c r="BT24" s="1018">
        <f t="shared" si="25"/>
        <v>0</v>
      </c>
      <c r="BU24" s="1006">
        <f t="shared" ca="1" si="26"/>
        <v>43229</v>
      </c>
      <c r="BV24" s="1006" t="str">
        <f t="shared" si="27"/>
        <v/>
      </c>
      <c r="BW24" s="1004" t="str">
        <f t="shared" si="28"/>
        <v>QUARTERLY</v>
      </c>
      <c r="BX24" s="1004" t="str">
        <f t="shared" si="29"/>
        <v>ACT/360</v>
      </c>
      <c r="BY24" s="1171" t="s">
        <v>38</v>
      </c>
      <c r="BZ24" s="1171" t="s">
        <v>2036</v>
      </c>
      <c r="CA24" s="1171" t="s">
        <v>38</v>
      </c>
      <c r="CB24" s="1171" t="s">
        <v>2036</v>
      </c>
      <c r="CC24" s="1171" t="s">
        <v>38</v>
      </c>
      <c r="CD24" s="1171" t="s">
        <v>2036</v>
      </c>
      <c r="CE24" s="1004"/>
      <c r="CF24" s="1004"/>
      <c r="CG24" s="1004">
        <f t="shared" ca="1" si="30"/>
        <v>9</v>
      </c>
      <c r="CH24" s="1171" t="s">
        <v>356</v>
      </c>
      <c r="CI24" s="1171" t="s">
        <v>356</v>
      </c>
      <c r="CJ24" s="1171" t="s">
        <v>356</v>
      </c>
      <c r="CK24" s="1172" t="s">
        <v>358</v>
      </c>
      <c r="CL24" s="427" t="b">
        <f t="shared" si="31"/>
        <v>1</v>
      </c>
      <c r="CM24" s="1016" t="str">
        <f t="shared" si="32"/>
        <v>USD</v>
      </c>
      <c r="CN24" s="1034">
        <f t="shared" si="33"/>
        <v>1.0436000000000001</v>
      </c>
      <c r="CO24" s="1164"/>
      <c r="CP24" s="394">
        <f t="shared" si="39"/>
        <v>19</v>
      </c>
      <c r="CQ24" s="684" t="str">
        <f>IF(OR($H24="",$G24=""),"",_xll.meLWOXccySwapCreate("XCCY"&amp;$CP24,_xll.meUtilityLVBFromKeysAndMultipleValues($AB$5:$BF$5,$AB24:$BF24,$BG24:$CK24),_xll.meUtilityLVBFromKeysValues($CL$5:$CO$5,$CL24:$CO24)))</f>
        <v/>
      </c>
      <c r="CR24" s="1004" t="str">
        <f t="shared" si="34"/>
        <v/>
      </c>
      <c r="CS24" s="1020" t="str">
        <f t="shared" si="35"/>
        <v/>
      </c>
      <c r="CT24" s="526"/>
      <c r="CU24" s="427" t="str">
        <f>IF(OR($H24="",$G24=""),"",_xll.meLWOSwapPV($CQ24,_xll.meUtilityLVBFromMultipleKeysValues("Leg1:Float",$CR24,,"Leg2:Float",$CS24)))</f>
        <v/>
      </c>
      <c r="CV24" s="1176" t="str">
        <f>IF(OR($H24="",$G24=""),"",_xll.meLWOXccySwapParSpread($CQ24,_xll.meUtilityLVBFromMultipleKeysValues("Leg1:Float",$CR24,,"Leg2:Float",$CS24)))</f>
        <v/>
      </c>
      <c r="CW24" s="995" t="s">
        <v>12</v>
      </c>
      <c r="CX24" s="1162" t="str">
        <v/>
      </c>
      <c r="CY24" s="1198" t="str">
        <v/>
      </c>
      <c r="CZ24" s="1196" t="str">
        <f t="shared" si="36"/>
        <v/>
      </c>
      <c r="DA24" s="1181" t="str">
        <f t="shared" si="37"/>
        <v/>
      </c>
      <c r="DB24" s="995" t="s">
        <v>12</v>
      </c>
      <c r="DC24" s="1184" t="str">
        <f ca="1"/>
        <v/>
      </c>
      <c r="DD24" s="1185" t="str">
        <f ca="1"/>
        <v/>
      </c>
      <c r="DE24" s="1185" t="str">
        <f ca="1"/>
        <v/>
      </c>
      <c r="DF24" s="1004" t="str">
        <f ca="1"/>
        <v/>
      </c>
      <c r="DG24" s="1017" t="str">
        <f ca="1"/>
        <v/>
      </c>
      <c r="DH24" s="1185" t="str">
        <f ca="1"/>
        <v/>
      </c>
      <c r="DI24" s="1016" t="str">
        <f ca="1"/>
        <v/>
      </c>
      <c r="DJ24" s="1016" t="str">
        <f ca="1"/>
        <v/>
      </c>
      <c r="DK24" s="1027" t="str">
        <f ca="1"/>
        <v/>
      </c>
      <c r="DL24" s="1027" t="str">
        <f ca="1"/>
        <v/>
      </c>
      <c r="DM24" s="1036" t="str">
        <f ca="1"/>
        <v/>
      </c>
      <c r="DN24" s="1016" t="str">
        <f ca="1"/>
        <v/>
      </c>
      <c r="DO24" s="1019" t="str">
        <f ca="1"/>
        <v/>
      </c>
      <c r="DP24" s="1016" t="str">
        <f ca="1"/>
        <v/>
      </c>
      <c r="DQ24" s="1019" t="str">
        <f ca="1"/>
        <v/>
      </c>
      <c r="DR24" s="1016" t="str">
        <f ca="1"/>
        <v/>
      </c>
      <c r="DS24" s="1020" t="str">
        <f ca="1"/>
        <v/>
      </c>
    </row>
    <row r="25" spans="1:123">
      <c r="A25" s="995" t="s">
        <v>12</v>
      </c>
      <c r="B25" s="1015">
        <f ca="1">IF(ISBLANK($F25),"",IF(ISNUMBER($F25),$F25,_xll.meDateFromTenor(COB,$F25,$AV25,$AW25)))</f>
        <v>43229</v>
      </c>
      <c r="C25" s="1132" t="str">
        <f>IF(ISBLANK($G25),"",IF(ISNUMBER($G25),$G25,_xll.meDateFromTenor($B25,$G25,$AV25,$AW25)))</f>
        <v/>
      </c>
      <c r="D25" s="110">
        <f t="shared" si="38"/>
        <v>20</v>
      </c>
      <c r="E25" s="1156" t="s">
        <v>1995</v>
      </c>
      <c r="F25" s="975" t="s">
        <v>361</v>
      </c>
      <c r="G25" s="975"/>
      <c r="H25" s="970"/>
      <c r="I25" s="970" t="b">
        <v>1</v>
      </c>
      <c r="J25" s="1194">
        <f t="shared" si="0"/>
        <v>1.0436000000000001</v>
      </c>
      <c r="K25" s="970" t="s">
        <v>181</v>
      </c>
      <c r="L25" s="1157" t="s">
        <v>181</v>
      </c>
      <c r="M25" s="1156" t="s">
        <v>2053</v>
      </c>
      <c r="N25" s="969" t="s">
        <v>2</v>
      </c>
      <c r="O25" s="1190"/>
      <c r="P25" s="969" t="s">
        <v>1996</v>
      </c>
      <c r="Q25" s="969" t="s">
        <v>3</v>
      </c>
      <c r="R25" s="1153"/>
      <c r="S25" s="1147"/>
      <c r="T25" s="1156" t="s">
        <v>2053</v>
      </c>
      <c r="U25" s="969" t="s">
        <v>181</v>
      </c>
      <c r="V25" s="1190"/>
      <c r="W25" s="969" t="s">
        <v>1996</v>
      </c>
      <c r="X25" s="969" t="s">
        <v>3</v>
      </c>
      <c r="Y25" s="1153"/>
      <c r="Z25" s="1147"/>
      <c r="AB25" s="684" t="str">
        <f t="shared" si="3"/>
        <v>Leg1:FLOAT</v>
      </c>
      <c r="AC25" s="1016">
        <f t="shared" si="1"/>
        <v>0</v>
      </c>
      <c r="AD25" s="351" t="s">
        <v>2125</v>
      </c>
      <c r="AE25" s="1004" t="str">
        <f t="shared" si="4"/>
        <v>PAYER</v>
      </c>
      <c r="AF25" s="1004" t="str">
        <f t="shared" si="5"/>
        <v>EUR3ML</v>
      </c>
      <c r="AG25" s="1004" t="str">
        <f t="shared" si="6"/>
        <v>EURDF_USDCSA</v>
      </c>
      <c r="AH25" s="1004" t="str">
        <f t="shared" si="7"/>
        <v>EUR</v>
      </c>
      <c r="AI25" s="1170">
        <v>1</v>
      </c>
      <c r="AJ25" s="1018" t="str">
        <f t="shared" si="8"/>
        <v/>
      </c>
      <c r="AK25" s="1245" t="s">
        <v>2252</v>
      </c>
      <c r="AL25" s="1245" t="s">
        <v>2252</v>
      </c>
      <c r="AM25" s="1018" t="str">
        <f t="shared" si="9"/>
        <v/>
      </c>
      <c r="AN25" s="1018" t="str">
        <f t="shared" si="10"/>
        <v/>
      </c>
      <c r="AO25" s="1018">
        <f t="shared" si="11"/>
        <v>0</v>
      </c>
      <c r="AP25" s="1006">
        <f t="shared" ca="1" si="12"/>
        <v>43229</v>
      </c>
      <c r="AQ25" s="1006" t="str">
        <f t="shared" si="13"/>
        <v/>
      </c>
      <c r="AR25" s="1004" t="str">
        <f t="shared" si="14"/>
        <v>QUARTERLY</v>
      </c>
      <c r="AS25" s="1004" t="str">
        <f t="shared" si="15"/>
        <v>ACT/360</v>
      </c>
      <c r="AT25" s="1171" t="s">
        <v>38</v>
      </c>
      <c r="AU25" s="1171" t="s">
        <v>2036</v>
      </c>
      <c r="AV25" s="1171" t="s">
        <v>38</v>
      </c>
      <c r="AW25" s="1171" t="s">
        <v>2036</v>
      </c>
      <c r="AX25" s="1171" t="s">
        <v>38</v>
      </c>
      <c r="AY25" s="1171" t="s">
        <v>2036</v>
      </c>
      <c r="AZ25" s="1004"/>
      <c r="BA25" s="1004"/>
      <c r="BB25" s="1004">
        <f t="shared" ca="1" si="16"/>
        <v>9</v>
      </c>
      <c r="BC25" s="1171" t="s">
        <v>356</v>
      </c>
      <c r="BD25" s="1171" t="s">
        <v>356</v>
      </c>
      <c r="BE25" s="1171" t="s">
        <v>356</v>
      </c>
      <c r="BF25" s="1172" t="s">
        <v>358</v>
      </c>
      <c r="BG25" s="684" t="str">
        <f t="shared" si="17"/>
        <v>Leg2:FLOAT</v>
      </c>
      <c r="BH25" s="1016">
        <f t="shared" si="18"/>
        <v>0</v>
      </c>
      <c r="BI25" s="351" t="s">
        <v>2125</v>
      </c>
      <c r="BJ25" s="1004" t="str">
        <f t="shared" si="19"/>
        <v>RECEIVER</v>
      </c>
      <c r="BK25" s="1004" t="str">
        <f t="shared" si="20"/>
        <v>USD3ML</v>
      </c>
      <c r="BL25" s="1004" t="str">
        <f t="shared" si="2"/>
        <v>USDDF_USDCSA</v>
      </c>
      <c r="BM25" s="1004" t="str">
        <f t="shared" si="21"/>
        <v>USD</v>
      </c>
      <c r="BN25" s="1170">
        <v>1</v>
      </c>
      <c r="BO25" s="1018" t="str">
        <f t="shared" si="22"/>
        <v/>
      </c>
      <c r="BP25" s="1245" t="s">
        <v>2252</v>
      </c>
      <c r="BQ25" s="1245" t="s">
        <v>2252</v>
      </c>
      <c r="BR25" s="1018" t="str">
        <f t="shared" si="23"/>
        <v/>
      </c>
      <c r="BS25" s="1018" t="str">
        <f t="shared" si="24"/>
        <v/>
      </c>
      <c r="BT25" s="1018">
        <f t="shared" si="25"/>
        <v>0</v>
      </c>
      <c r="BU25" s="1006">
        <f t="shared" ca="1" si="26"/>
        <v>43229</v>
      </c>
      <c r="BV25" s="1006" t="str">
        <f t="shared" si="27"/>
        <v/>
      </c>
      <c r="BW25" s="1004" t="str">
        <f t="shared" si="28"/>
        <v>QUARTERLY</v>
      </c>
      <c r="BX25" s="1004" t="str">
        <f t="shared" si="29"/>
        <v>ACT/360</v>
      </c>
      <c r="BY25" s="1171" t="s">
        <v>38</v>
      </c>
      <c r="BZ25" s="1171" t="s">
        <v>2036</v>
      </c>
      <c r="CA25" s="1171" t="s">
        <v>38</v>
      </c>
      <c r="CB25" s="1171" t="s">
        <v>2036</v>
      </c>
      <c r="CC25" s="1171" t="s">
        <v>38</v>
      </c>
      <c r="CD25" s="1171" t="s">
        <v>2036</v>
      </c>
      <c r="CE25" s="1004"/>
      <c r="CF25" s="1004"/>
      <c r="CG25" s="1004">
        <f t="shared" ca="1" si="30"/>
        <v>9</v>
      </c>
      <c r="CH25" s="1171" t="s">
        <v>356</v>
      </c>
      <c r="CI25" s="1171" t="s">
        <v>356</v>
      </c>
      <c r="CJ25" s="1171" t="s">
        <v>356</v>
      </c>
      <c r="CK25" s="1172" t="s">
        <v>358</v>
      </c>
      <c r="CL25" s="427" t="b">
        <f t="shared" si="31"/>
        <v>1</v>
      </c>
      <c r="CM25" s="1016" t="str">
        <f t="shared" si="32"/>
        <v>USD</v>
      </c>
      <c r="CN25" s="1034">
        <f t="shared" si="33"/>
        <v>1.0436000000000001</v>
      </c>
      <c r="CO25" s="1164"/>
      <c r="CP25" s="394">
        <f t="shared" si="39"/>
        <v>20</v>
      </c>
      <c r="CQ25" s="684" t="str">
        <f>IF(OR($H25="",$G25=""),"",_xll.meLWOXccySwapCreate("XCCY"&amp;$CP25,_xll.meUtilityLVBFromKeysAndMultipleValues($AB$5:$BF$5,$AB25:$BF25,$BG25:$CK25),_xll.meUtilityLVBFromKeysValues($CL$5:$CO$5,$CL25:$CO25)))</f>
        <v/>
      </c>
      <c r="CR25" s="1004" t="str">
        <f t="shared" si="34"/>
        <v/>
      </c>
      <c r="CS25" s="1020" t="str">
        <f t="shared" si="35"/>
        <v/>
      </c>
      <c r="CT25" s="526"/>
      <c r="CU25" s="427" t="str">
        <f>IF(OR($H25="",$G25=""),"",_xll.meLWOSwapPV($CQ25,_xll.meUtilityLVBFromMultipleKeysValues("Leg1:Float",$CR25,,"Leg2:Float",$CS25)))</f>
        <v/>
      </c>
      <c r="CV25" s="1176" t="str">
        <f>IF(OR($H25="",$G25=""),"",_xll.meLWOXccySwapParSpread($CQ25,_xll.meUtilityLVBFromMultipleKeysValues("Leg1:Float",$CR25,,"Leg2:Float",$CS25)))</f>
        <v/>
      </c>
      <c r="CW25" s="995" t="s">
        <v>12</v>
      </c>
      <c r="CX25" s="1162" t="str">
        <v/>
      </c>
      <c r="CY25" s="1198" t="str">
        <v/>
      </c>
      <c r="CZ25" s="1196" t="str">
        <f t="shared" si="36"/>
        <v/>
      </c>
      <c r="DA25" s="1181" t="str">
        <f t="shared" si="37"/>
        <v/>
      </c>
      <c r="DB25" s="995" t="s">
        <v>12</v>
      </c>
      <c r="DC25" s="1184" t="str">
        <f ca="1"/>
        <v/>
      </c>
      <c r="DD25" s="1185" t="str">
        <f ca="1"/>
        <v/>
      </c>
      <c r="DE25" s="1185" t="str">
        <f ca="1"/>
        <v/>
      </c>
      <c r="DF25" s="1004" t="str">
        <f ca="1"/>
        <v/>
      </c>
      <c r="DG25" s="1017" t="str">
        <f ca="1"/>
        <v/>
      </c>
      <c r="DH25" s="1185" t="str">
        <f ca="1"/>
        <v/>
      </c>
      <c r="DI25" s="1016" t="str">
        <f ca="1"/>
        <v/>
      </c>
      <c r="DJ25" s="1016" t="str">
        <f ca="1"/>
        <v/>
      </c>
      <c r="DK25" s="1027" t="str">
        <f ca="1"/>
        <v/>
      </c>
      <c r="DL25" s="1027" t="str">
        <f ca="1"/>
        <v/>
      </c>
      <c r="DM25" s="1036" t="str">
        <f ca="1"/>
        <v/>
      </c>
      <c r="DN25" s="1016" t="str">
        <f ca="1"/>
        <v/>
      </c>
      <c r="DO25" s="1019" t="str">
        <f ca="1"/>
        <v/>
      </c>
      <c r="DP25" s="1016" t="str">
        <f ca="1"/>
        <v/>
      </c>
      <c r="DQ25" s="1019" t="str">
        <f ca="1"/>
        <v/>
      </c>
      <c r="DR25" s="1016" t="str">
        <f ca="1"/>
        <v/>
      </c>
      <c r="DS25" s="1020" t="str">
        <f ca="1"/>
        <v/>
      </c>
    </row>
    <row r="26" spans="1:123">
      <c r="A26" s="995" t="s">
        <v>12</v>
      </c>
      <c r="B26" s="1021">
        <f ca="1">IF(ISBLANK($F26),"",IF(ISNUMBER($F26),$F26,_xll.meDateFromTenor(COB,$F26,$AV26,$AW26)))</f>
        <v>43229</v>
      </c>
      <c r="C26" s="1133" t="str">
        <f>IF(ISBLANK($G26),"",IF(ISNUMBER($G26),$G26,_xll.meDateFromTenor($B26,$G26,$AV26,$AW26)))</f>
        <v/>
      </c>
      <c r="D26" s="110">
        <f t="shared" si="38"/>
        <v>21</v>
      </c>
      <c r="E26" s="1158" t="s">
        <v>1995</v>
      </c>
      <c r="F26" s="977" t="s">
        <v>361</v>
      </c>
      <c r="G26" s="977"/>
      <c r="H26" s="972"/>
      <c r="I26" s="972" t="b">
        <v>1</v>
      </c>
      <c r="J26" s="1195">
        <f t="shared" si="0"/>
        <v>1.0436000000000001</v>
      </c>
      <c r="K26" s="972" t="s">
        <v>181</v>
      </c>
      <c r="L26" s="1159" t="s">
        <v>181</v>
      </c>
      <c r="M26" s="1158" t="s">
        <v>2053</v>
      </c>
      <c r="N26" s="971" t="s">
        <v>2</v>
      </c>
      <c r="O26" s="1191"/>
      <c r="P26" s="971" t="s">
        <v>1996</v>
      </c>
      <c r="Q26" s="971" t="s">
        <v>3</v>
      </c>
      <c r="R26" s="1161"/>
      <c r="S26" s="1148"/>
      <c r="T26" s="1158" t="s">
        <v>2053</v>
      </c>
      <c r="U26" s="971" t="s">
        <v>181</v>
      </c>
      <c r="V26" s="1191"/>
      <c r="W26" s="971" t="s">
        <v>1996</v>
      </c>
      <c r="X26" s="971" t="s">
        <v>3</v>
      </c>
      <c r="Y26" s="1161"/>
      <c r="Z26" s="1148"/>
      <c r="AB26" s="668" t="str">
        <f t="shared" si="3"/>
        <v>Leg1:FLOAT</v>
      </c>
      <c r="AC26" s="1022">
        <f t="shared" si="1"/>
        <v>0</v>
      </c>
      <c r="AD26" s="558" t="s">
        <v>2125</v>
      </c>
      <c r="AE26" s="1007" t="str">
        <f t="shared" si="4"/>
        <v>PAYER</v>
      </c>
      <c r="AF26" s="1007" t="str">
        <f t="shared" si="5"/>
        <v>EUR3ML</v>
      </c>
      <c r="AG26" s="1007" t="str">
        <f t="shared" si="6"/>
        <v>EURDF_USDCSA</v>
      </c>
      <c r="AH26" s="1007" t="str">
        <f t="shared" si="7"/>
        <v>EUR</v>
      </c>
      <c r="AI26" s="1173">
        <v>1</v>
      </c>
      <c r="AJ26" s="1024" t="str">
        <f t="shared" si="8"/>
        <v/>
      </c>
      <c r="AK26" s="1246" t="s">
        <v>2252</v>
      </c>
      <c r="AL26" s="1246" t="s">
        <v>2252</v>
      </c>
      <c r="AM26" s="1024" t="str">
        <f t="shared" si="9"/>
        <v/>
      </c>
      <c r="AN26" s="1024" t="str">
        <f t="shared" si="10"/>
        <v/>
      </c>
      <c r="AO26" s="1024">
        <f t="shared" si="11"/>
        <v>0</v>
      </c>
      <c r="AP26" s="1005">
        <f t="shared" ca="1" si="12"/>
        <v>43229</v>
      </c>
      <c r="AQ26" s="1005" t="str">
        <f t="shared" si="13"/>
        <v/>
      </c>
      <c r="AR26" s="1007" t="str">
        <f t="shared" si="14"/>
        <v>QUARTERLY</v>
      </c>
      <c r="AS26" s="1007" t="str">
        <f t="shared" si="15"/>
        <v>ACT/360</v>
      </c>
      <c r="AT26" s="711" t="s">
        <v>38</v>
      </c>
      <c r="AU26" s="711" t="s">
        <v>2036</v>
      </c>
      <c r="AV26" s="711" t="s">
        <v>38</v>
      </c>
      <c r="AW26" s="711" t="s">
        <v>2036</v>
      </c>
      <c r="AX26" s="711" t="s">
        <v>38</v>
      </c>
      <c r="AY26" s="711" t="s">
        <v>2036</v>
      </c>
      <c r="AZ26" s="1007"/>
      <c r="BA26" s="1007"/>
      <c r="BB26" s="1007">
        <f t="shared" ca="1" si="16"/>
        <v>9</v>
      </c>
      <c r="BC26" s="711" t="s">
        <v>356</v>
      </c>
      <c r="BD26" s="711" t="s">
        <v>356</v>
      </c>
      <c r="BE26" s="711" t="s">
        <v>356</v>
      </c>
      <c r="BF26" s="1174" t="s">
        <v>358</v>
      </c>
      <c r="BG26" s="668" t="str">
        <f t="shared" si="17"/>
        <v>Leg2:FLOAT</v>
      </c>
      <c r="BH26" s="1022">
        <f t="shared" si="18"/>
        <v>0</v>
      </c>
      <c r="BI26" s="558" t="s">
        <v>2125</v>
      </c>
      <c r="BJ26" s="1007" t="str">
        <f t="shared" si="19"/>
        <v>RECEIVER</v>
      </c>
      <c r="BK26" s="1007" t="str">
        <f t="shared" si="20"/>
        <v>USD3ML</v>
      </c>
      <c r="BL26" s="1007" t="str">
        <f t="shared" si="2"/>
        <v>USDDF_USDCSA</v>
      </c>
      <c r="BM26" s="1007" t="str">
        <f t="shared" si="21"/>
        <v>USD</v>
      </c>
      <c r="BN26" s="1173">
        <v>1</v>
      </c>
      <c r="BO26" s="1024" t="str">
        <f t="shared" si="22"/>
        <v/>
      </c>
      <c r="BP26" s="1246" t="s">
        <v>2252</v>
      </c>
      <c r="BQ26" s="1246" t="s">
        <v>2252</v>
      </c>
      <c r="BR26" s="1024" t="str">
        <f t="shared" si="23"/>
        <v/>
      </c>
      <c r="BS26" s="1024" t="str">
        <f t="shared" si="24"/>
        <v/>
      </c>
      <c r="BT26" s="1024">
        <f t="shared" si="25"/>
        <v>0</v>
      </c>
      <c r="BU26" s="1005">
        <f t="shared" ca="1" si="26"/>
        <v>43229</v>
      </c>
      <c r="BV26" s="1005" t="str">
        <f t="shared" si="27"/>
        <v/>
      </c>
      <c r="BW26" s="1007" t="str">
        <f t="shared" si="28"/>
        <v>QUARTERLY</v>
      </c>
      <c r="BX26" s="1007" t="str">
        <f t="shared" si="29"/>
        <v>ACT/360</v>
      </c>
      <c r="BY26" s="711" t="s">
        <v>38</v>
      </c>
      <c r="BZ26" s="711" t="s">
        <v>2036</v>
      </c>
      <c r="CA26" s="711" t="s">
        <v>38</v>
      </c>
      <c r="CB26" s="711" t="s">
        <v>2036</v>
      </c>
      <c r="CC26" s="711" t="s">
        <v>38</v>
      </c>
      <c r="CD26" s="711" t="s">
        <v>2036</v>
      </c>
      <c r="CE26" s="1007"/>
      <c r="CF26" s="1007"/>
      <c r="CG26" s="1007">
        <f t="shared" ca="1" si="30"/>
        <v>9</v>
      </c>
      <c r="CH26" s="711" t="s">
        <v>356</v>
      </c>
      <c r="CI26" s="711" t="s">
        <v>356</v>
      </c>
      <c r="CJ26" s="711" t="s">
        <v>356</v>
      </c>
      <c r="CK26" s="1174" t="s">
        <v>358</v>
      </c>
      <c r="CL26" s="435" t="b">
        <f t="shared" si="31"/>
        <v>1</v>
      </c>
      <c r="CM26" s="1022" t="str">
        <f t="shared" si="32"/>
        <v>USD</v>
      </c>
      <c r="CN26" s="1140">
        <f t="shared" si="33"/>
        <v>1.0436000000000001</v>
      </c>
      <c r="CO26" s="1165"/>
      <c r="CP26" s="394">
        <f t="shared" si="39"/>
        <v>21</v>
      </c>
      <c r="CQ26" s="668" t="str">
        <f>IF(OR($H26="",$G26=""),"",_xll.meLWOXccySwapCreate("XCCY"&amp;$CP26,_xll.meUtilityLVBFromKeysAndMultipleValues($AB$5:$BF$5,$AB26:$BF26,$BG26:$CK26),_xll.meUtilityLVBFromKeysValues($CL$5:$CO$5,$CL26:$CO26)))</f>
        <v/>
      </c>
      <c r="CR26" s="1007" t="str">
        <f t="shared" si="34"/>
        <v/>
      </c>
      <c r="CS26" s="1026" t="str">
        <f t="shared" si="35"/>
        <v/>
      </c>
      <c r="CT26" s="526"/>
      <c r="CU26" s="435" t="str">
        <f>IF(OR($H26="",$G26=""),"",_xll.meLWOSwapPV($CQ26,_xll.meUtilityLVBFromMultipleKeysValues("Leg1:Float",$CR26,,"Leg2:Float",$CS26)))</f>
        <v/>
      </c>
      <c r="CV26" s="1177" t="str">
        <f>IF(OR($H26="",$G26=""),"",_xll.meLWOXccySwapParSpread($CQ26,_xll.meUtilityLVBFromMultipleKeysValues("Leg1:Float",$CR26,,"Leg2:Float",$CS26)))</f>
        <v/>
      </c>
      <c r="CW26" s="995" t="s">
        <v>12</v>
      </c>
      <c r="CX26" s="1055" t="str">
        <v/>
      </c>
      <c r="CY26" s="1106" t="str">
        <v/>
      </c>
      <c r="CZ26" s="1197" t="str">
        <f t="shared" si="36"/>
        <v/>
      </c>
      <c r="DA26" s="1181" t="str">
        <f t="shared" si="37"/>
        <v/>
      </c>
      <c r="DB26" s="995" t="s">
        <v>12</v>
      </c>
      <c r="DC26" s="1184" t="str">
        <f ca="1"/>
        <v/>
      </c>
      <c r="DD26" s="1185" t="str">
        <f ca="1"/>
        <v/>
      </c>
      <c r="DE26" s="1185" t="str">
        <f ca="1"/>
        <v/>
      </c>
      <c r="DF26" s="1004" t="str">
        <f ca="1"/>
        <v/>
      </c>
      <c r="DG26" s="1017" t="str">
        <f ca="1"/>
        <v/>
      </c>
      <c r="DH26" s="1185" t="str">
        <f ca="1"/>
        <v/>
      </c>
      <c r="DI26" s="1016" t="str">
        <f ca="1"/>
        <v/>
      </c>
      <c r="DJ26" s="1016" t="str">
        <f ca="1"/>
        <v/>
      </c>
      <c r="DK26" s="1027" t="str">
        <f ca="1"/>
        <v/>
      </c>
      <c r="DL26" s="1027" t="str">
        <f ca="1"/>
        <v/>
      </c>
      <c r="DM26" s="1036" t="str">
        <f ca="1"/>
        <v/>
      </c>
      <c r="DN26" s="1016" t="str">
        <f ca="1"/>
        <v/>
      </c>
      <c r="DO26" s="1019" t="str">
        <f ca="1"/>
        <v/>
      </c>
      <c r="DP26" s="1016" t="str">
        <f ca="1"/>
        <v/>
      </c>
      <c r="DQ26" s="1019" t="str">
        <f ca="1"/>
        <v/>
      </c>
      <c r="DR26" s="1016" t="str">
        <f ca="1"/>
        <v/>
      </c>
      <c r="DS26" s="1020" t="str">
        <f ca="1"/>
        <v/>
      </c>
    </row>
    <row r="27" spans="1:123">
      <c r="A27" s="995" t="s">
        <v>12</v>
      </c>
      <c r="B27" s="995" t="s">
        <v>12</v>
      </c>
      <c r="C27" s="995" t="s">
        <v>12</v>
      </c>
      <c r="D27" s="394" t="s">
        <v>12</v>
      </c>
      <c r="E27" s="995" t="s">
        <v>12</v>
      </c>
      <c r="F27" s="995" t="s">
        <v>12</v>
      </c>
      <c r="G27" s="995" t="s">
        <v>12</v>
      </c>
      <c r="H27" s="995" t="s">
        <v>12</v>
      </c>
      <c r="I27" s="995" t="s">
        <v>12</v>
      </c>
      <c r="J27" s="995" t="s">
        <v>12</v>
      </c>
      <c r="K27" s="995" t="s">
        <v>12</v>
      </c>
      <c r="L27" s="995" t="s">
        <v>12</v>
      </c>
      <c r="M27" s="995" t="s">
        <v>12</v>
      </c>
      <c r="N27" s="995" t="s">
        <v>12</v>
      </c>
      <c r="O27" s="995" t="s">
        <v>12</v>
      </c>
      <c r="P27" s="995" t="s">
        <v>12</v>
      </c>
      <c r="Q27" s="995" t="s">
        <v>12</v>
      </c>
      <c r="R27" s="995" t="s">
        <v>12</v>
      </c>
      <c r="S27" s="995" t="s">
        <v>12</v>
      </c>
      <c r="T27" s="995" t="s">
        <v>12</v>
      </c>
      <c r="U27" s="995" t="s">
        <v>12</v>
      </c>
      <c r="V27" s="995" t="s">
        <v>12</v>
      </c>
      <c r="W27" s="995" t="s">
        <v>12</v>
      </c>
      <c r="X27" s="995" t="s">
        <v>12</v>
      </c>
      <c r="Y27" s="995" t="s">
        <v>12</v>
      </c>
      <c r="Z27" s="995" t="s">
        <v>12</v>
      </c>
      <c r="AA27" s="995" t="s">
        <v>12</v>
      </c>
      <c r="AB27" s="995" t="s">
        <v>12</v>
      </c>
      <c r="AC27" s="995" t="s">
        <v>12</v>
      </c>
      <c r="AD27" s="995" t="s">
        <v>12</v>
      </c>
      <c r="AE27" s="995" t="s">
        <v>12</v>
      </c>
      <c r="AF27" s="995" t="s">
        <v>12</v>
      </c>
      <c r="AG27" s="995" t="s">
        <v>12</v>
      </c>
      <c r="AH27" s="995" t="s">
        <v>12</v>
      </c>
      <c r="AI27" s="995" t="s">
        <v>12</v>
      </c>
      <c r="AJ27" s="995" t="s">
        <v>12</v>
      </c>
      <c r="AK27" s="106" t="s">
        <v>12</v>
      </c>
      <c r="AL27" s="106" t="s">
        <v>12</v>
      </c>
      <c r="AM27" s="995" t="s">
        <v>12</v>
      </c>
      <c r="AN27" s="995" t="s">
        <v>12</v>
      </c>
      <c r="AO27" s="995" t="s">
        <v>12</v>
      </c>
      <c r="AP27" s="995" t="s">
        <v>12</v>
      </c>
      <c r="AQ27" s="995" t="s">
        <v>12</v>
      </c>
      <c r="AR27" s="995" t="s">
        <v>12</v>
      </c>
      <c r="AS27" s="995" t="s">
        <v>12</v>
      </c>
      <c r="AT27" s="995" t="s">
        <v>12</v>
      </c>
      <c r="AU27" s="995" t="s">
        <v>12</v>
      </c>
      <c r="AV27" s="995" t="s">
        <v>12</v>
      </c>
      <c r="AW27" s="995" t="s">
        <v>12</v>
      </c>
      <c r="AX27" s="995" t="s">
        <v>12</v>
      </c>
      <c r="AY27" s="995" t="s">
        <v>12</v>
      </c>
      <c r="AZ27" s="995" t="s">
        <v>12</v>
      </c>
      <c r="BA27" s="995" t="s">
        <v>12</v>
      </c>
      <c r="BB27" s="995" t="s">
        <v>12</v>
      </c>
      <c r="BC27" s="995" t="s">
        <v>12</v>
      </c>
      <c r="BD27" s="995" t="s">
        <v>12</v>
      </c>
      <c r="BE27" s="995" t="s">
        <v>12</v>
      </c>
      <c r="BF27" s="995" t="s">
        <v>12</v>
      </c>
      <c r="BG27" s="995" t="s">
        <v>12</v>
      </c>
      <c r="BH27" s="995" t="s">
        <v>12</v>
      </c>
      <c r="BI27" s="995" t="s">
        <v>12</v>
      </c>
      <c r="BJ27" s="995" t="s">
        <v>12</v>
      </c>
      <c r="BK27" s="995" t="s">
        <v>12</v>
      </c>
      <c r="BL27" s="995" t="s">
        <v>12</v>
      </c>
      <c r="BM27" s="995" t="s">
        <v>12</v>
      </c>
      <c r="BN27" s="995" t="s">
        <v>12</v>
      </c>
      <c r="BO27" s="995" t="s">
        <v>12</v>
      </c>
      <c r="BP27" s="106" t="s">
        <v>12</v>
      </c>
      <c r="BQ27" s="106" t="s">
        <v>12</v>
      </c>
      <c r="BR27" s="995" t="s">
        <v>12</v>
      </c>
      <c r="BS27" s="995" t="s">
        <v>12</v>
      </c>
      <c r="BT27" s="995" t="s">
        <v>12</v>
      </c>
      <c r="BU27" s="995" t="s">
        <v>12</v>
      </c>
      <c r="BV27" s="995" t="s">
        <v>12</v>
      </c>
      <c r="BW27" s="995" t="s">
        <v>12</v>
      </c>
      <c r="BX27" s="995" t="s">
        <v>12</v>
      </c>
      <c r="BY27" s="995" t="s">
        <v>12</v>
      </c>
      <c r="BZ27" s="995" t="s">
        <v>12</v>
      </c>
      <c r="CA27" s="995" t="s">
        <v>12</v>
      </c>
      <c r="CB27" s="995" t="s">
        <v>12</v>
      </c>
      <c r="CC27" s="995" t="s">
        <v>12</v>
      </c>
      <c r="CD27" s="995" t="s">
        <v>12</v>
      </c>
      <c r="CE27" s="995" t="s">
        <v>12</v>
      </c>
      <c r="CF27" s="995" t="s">
        <v>12</v>
      </c>
      <c r="CG27" s="995" t="s">
        <v>12</v>
      </c>
      <c r="CH27" s="995" t="s">
        <v>12</v>
      </c>
      <c r="CI27" s="995" t="s">
        <v>12</v>
      </c>
      <c r="CJ27" s="995" t="s">
        <v>12</v>
      </c>
      <c r="CK27" s="995" t="s">
        <v>12</v>
      </c>
      <c r="CL27" s="995" t="s">
        <v>12</v>
      </c>
      <c r="CM27" s="995" t="s">
        <v>12</v>
      </c>
      <c r="CN27" s="995" t="s">
        <v>12</v>
      </c>
      <c r="CO27" s="995" t="s">
        <v>12</v>
      </c>
      <c r="CP27" s="995" t="s">
        <v>12</v>
      </c>
      <c r="CQ27" s="995" t="s">
        <v>12</v>
      </c>
      <c r="CR27" s="995" t="s">
        <v>12</v>
      </c>
      <c r="CS27" s="995" t="s">
        <v>12</v>
      </c>
      <c r="CT27" s="995" t="s">
        <v>12</v>
      </c>
      <c r="CU27" s="995" t="s">
        <v>12</v>
      </c>
      <c r="CV27" s="995" t="s">
        <v>12</v>
      </c>
      <c r="CW27" s="995" t="s">
        <v>12</v>
      </c>
      <c r="CX27" s="995" t="s">
        <v>12</v>
      </c>
      <c r="CY27" s="995" t="s">
        <v>12</v>
      </c>
      <c r="CZ27" s="995" t="s">
        <v>12</v>
      </c>
      <c r="DB27" s="995" t="s">
        <v>12</v>
      </c>
      <c r="DC27" s="1184" t="str">
        <f ca="1"/>
        <v/>
      </c>
      <c r="DD27" s="1185" t="str">
        <f ca="1"/>
        <v/>
      </c>
      <c r="DE27" s="1185" t="str">
        <f ca="1"/>
        <v/>
      </c>
      <c r="DF27" s="1004" t="str">
        <f ca="1"/>
        <v/>
      </c>
      <c r="DG27" s="1017" t="str">
        <f ca="1"/>
        <v/>
      </c>
      <c r="DH27" s="1185" t="str">
        <f ca="1"/>
        <v/>
      </c>
      <c r="DI27" s="1016" t="str">
        <f ca="1"/>
        <v/>
      </c>
      <c r="DJ27" s="1016" t="str">
        <f ca="1"/>
        <v/>
      </c>
      <c r="DK27" s="1027" t="str">
        <f ca="1"/>
        <v/>
      </c>
      <c r="DL27" s="1027" t="str">
        <f ca="1"/>
        <v/>
      </c>
      <c r="DM27" s="1036" t="str">
        <f ca="1"/>
        <v/>
      </c>
      <c r="DN27" s="1016" t="str">
        <f ca="1"/>
        <v/>
      </c>
      <c r="DO27" s="1019" t="str">
        <f ca="1"/>
        <v/>
      </c>
      <c r="DP27" s="1016" t="str">
        <f ca="1"/>
        <v/>
      </c>
      <c r="DQ27" s="1019" t="str">
        <f ca="1"/>
        <v/>
      </c>
      <c r="DR27" s="1016" t="str">
        <f ca="1"/>
        <v/>
      </c>
      <c r="DS27" s="1020" t="str">
        <f ca="1"/>
        <v/>
      </c>
    </row>
    <row r="28" spans="1:123">
      <c r="CT28" s="526"/>
      <c r="DC28" s="1184" t="str">
        <f ca="1"/>
        <v/>
      </c>
      <c r="DD28" s="1185" t="str">
        <f ca="1"/>
        <v/>
      </c>
      <c r="DE28" s="1185" t="str">
        <f ca="1"/>
        <v/>
      </c>
      <c r="DF28" s="1004" t="str">
        <f ca="1"/>
        <v/>
      </c>
      <c r="DG28" s="1017" t="str">
        <f ca="1"/>
        <v/>
      </c>
      <c r="DH28" s="1185" t="str">
        <f ca="1"/>
        <v/>
      </c>
      <c r="DI28" s="1016" t="str">
        <f ca="1"/>
        <v/>
      </c>
      <c r="DJ28" s="1016" t="str">
        <f ca="1"/>
        <v/>
      </c>
      <c r="DK28" s="1027" t="str">
        <f ca="1"/>
        <v/>
      </c>
      <c r="DL28" s="1027" t="str">
        <f ca="1"/>
        <v/>
      </c>
      <c r="DM28" s="1036" t="str">
        <f ca="1"/>
        <v/>
      </c>
      <c r="DN28" s="1016" t="str">
        <f ca="1"/>
        <v/>
      </c>
      <c r="DO28" s="1019" t="str">
        <f ca="1"/>
        <v/>
      </c>
      <c r="DP28" s="1016" t="str">
        <f ca="1"/>
        <v/>
      </c>
      <c r="DQ28" s="1019" t="str">
        <f ca="1"/>
        <v/>
      </c>
      <c r="DR28" s="1016" t="str">
        <f ca="1"/>
        <v/>
      </c>
      <c r="DS28" s="1020" t="str">
        <f ca="1"/>
        <v/>
      </c>
    </row>
    <row r="29" spans="1:123">
      <c r="CT29" s="526"/>
      <c r="DC29" s="1184" t="str">
        <f ca="1"/>
        <v/>
      </c>
      <c r="DD29" s="1185" t="str">
        <f ca="1"/>
        <v/>
      </c>
      <c r="DE29" s="1185" t="str">
        <f ca="1"/>
        <v/>
      </c>
      <c r="DF29" s="1004" t="str">
        <f ca="1"/>
        <v/>
      </c>
      <c r="DG29" s="1017" t="str">
        <f ca="1"/>
        <v/>
      </c>
      <c r="DH29" s="1185" t="str">
        <f ca="1"/>
        <v/>
      </c>
      <c r="DI29" s="1016" t="str">
        <f ca="1"/>
        <v/>
      </c>
      <c r="DJ29" s="1016" t="str">
        <f ca="1"/>
        <v/>
      </c>
      <c r="DK29" s="1027" t="str">
        <f ca="1"/>
        <v/>
      </c>
      <c r="DL29" s="1027" t="str">
        <f ca="1"/>
        <v/>
      </c>
      <c r="DM29" s="1036" t="str">
        <f ca="1"/>
        <v/>
      </c>
      <c r="DN29" s="1016" t="str">
        <f ca="1"/>
        <v/>
      </c>
      <c r="DO29" s="1019" t="str">
        <f ca="1"/>
        <v/>
      </c>
      <c r="DP29" s="1016" t="str">
        <f ca="1"/>
        <v/>
      </c>
      <c r="DQ29" s="1019" t="str">
        <f ca="1"/>
        <v/>
      </c>
      <c r="DR29" s="1016" t="str">
        <f ca="1"/>
        <v/>
      </c>
      <c r="DS29" s="1020" t="str">
        <f ca="1"/>
        <v/>
      </c>
    </row>
    <row r="30" spans="1:123">
      <c r="CT30" s="526"/>
      <c r="DC30" s="1184" t="str">
        <f ca="1"/>
        <v/>
      </c>
      <c r="DD30" s="1185" t="str">
        <f ca="1"/>
        <v/>
      </c>
      <c r="DE30" s="1185" t="str">
        <f ca="1"/>
        <v/>
      </c>
      <c r="DF30" s="1004" t="str">
        <f ca="1"/>
        <v/>
      </c>
      <c r="DG30" s="1017" t="str">
        <f ca="1"/>
        <v/>
      </c>
      <c r="DH30" s="1185" t="str">
        <f ca="1"/>
        <v/>
      </c>
      <c r="DI30" s="1016" t="str">
        <f ca="1"/>
        <v/>
      </c>
      <c r="DJ30" s="1016" t="str">
        <f ca="1"/>
        <v/>
      </c>
      <c r="DK30" s="1027" t="str">
        <f ca="1"/>
        <v/>
      </c>
      <c r="DL30" s="1027" t="str">
        <f ca="1"/>
        <v/>
      </c>
      <c r="DM30" s="1036" t="str">
        <f ca="1"/>
        <v/>
      </c>
      <c r="DN30" s="1016" t="str">
        <f ca="1"/>
        <v/>
      </c>
      <c r="DO30" s="1019" t="str">
        <f ca="1"/>
        <v/>
      </c>
      <c r="DP30" s="1016" t="str">
        <f ca="1"/>
        <v/>
      </c>
      <c r="DQ30" s="1019" t="str">
        <f ca="1"/>
        <v/>
      </c>
      <c r="DR30" s="1016" t="str">
        <f ca="1"/>
        <v/>
      </c>
      <c r="DS30" s="1020" t="str">
        <f ca="1"/>
        <v/>
      </c>
    </row>
    <row r="31" spans="1:123">
      <c r="CT31" s="526"/>
      <c r="DC31" s="1184" t="str">
        <f ca="1"/>
        <v/>
      </c>
      <c r="DD31" s="1185" t="str">
        <f ca="1"/>
        <v/>
      </c>
      <c r="DE31" s="1185" t="str">
        <f ca="1"/>
        <v/>
      </c>
      <c r="DF31" s="1004" t="str">
        <f ca="1"/>
        <v/>
      </c>
      <c r="DG31" s="1017" t="str">
        <f ca="1"/>
        <v/>
      </c>
      <c r="DH31" s="1185" t="str">
        <f ca="1"/>
        <v/>
      </c>
      <c r="DI31" s="1016" t="str">
        <f ca="1"/>
        <v/>
      </c>
      <c r="DJ31" s="1016" t="str">
        <f ca="1"/>
        <v/>
      </c>
      <c r="DK31" s="1027" t="str">
        <f ca="1"/>
        <v/>
      </c>
      <c r="DL31" s="1027" t="str">
        <f ca="1"/>
        <v/>
      </c>
      <c r="DM31" s="1036" t="str">
        <f ca="1"/>
        <v/>
      </c>
      <c r="DN31" s="1016" t="str">
        <f ca="1"/>
        <v/>
      </c>
      <c r="DO31" s="1019" t="str">
        <f ca="1"/>
        <v/>
      </c>
      <c r="DP31" s="1016" t="str">
        <f ca="1"/>
        <v/>
      </c>
      <c r="DQ31" s="1019" t="str">
        <f ca="1"/>
        <v/>
      </c>
      <c r="DR31" s="1016" t="str">
        <f ca="1"/>
        <v/>
      </c>
      <c r="DS31" s="1020" t="str">
        <f ca="1"/>
        <v/>
      </c>
    </row>
    <row r="32" spans="1:123">
      <c r="CT32" s="526"/>
      <c r="DC32" s="1184" t="str">
        <f ca="1"/>
        <v/>
      </c>
      <c r="DD32" s="1185" t="str">
        <f ca="1"/>
        <v/>
      </c>
      <c r="DE32" s="1185" t="str">
        <f ca="1"/>
        <v/>
      </c>
      <c r="DF32" s="1004" t="str">
        <f ca="1"/>
        <v/>
      </c>
      <c r="DG32" s="1017" t="str">
        <f ca="1"/>
        <v/>
      </c>
      <c r="DH32" s="1185" t="str">
        <f ca="1"/>
        <v/>
      </c>
      <c r="DI32" s="1016" t="str">
        <f ca="1"/>
        <v/>
      </c>
      <c r="DJ32" s="1016" t="str">
        <f ca="1"/>
        <v/>
      </c>
      <c r="DK32" s="1027" t="str">
        <f ca="1"/>
        <v/>
      </c>
      <c r="DL32" s="1027" t="str">
        <f ca="1"/>
        <v/>
      </c>
      <c r="DM32" s="1036" t="str">
        <f ca="1"/>
        <v/>
      </c>
      <c r="DN32" s="1016" t="str">
        <f ca="1"/>
        <v/>
      </c>
      <c r="DO32" s="1019" t="str">
        <f ca="1"/>
        <v/>
      </c>
      <c r="DP32" s="1016" t="str">
        <f ca="1"/>
        <v/>
      </c>
      <c r="DQ32" s="1019" t="str">
        <f ca="1"/>
        <v/>
      </c>
      <c r="DR32" s="1016" t="str">
        <f ca="1"/>
        <v/>
      </c>
      <c r="DS32" s="1020" t="str">
        <f ca="1"/>
        <v/>
      </c>
    </row>
    <row r="33" spans="26:123">
      <c r="Z33" s="10"/>
      <c r="CT33" s="526"/>
      <c r="CU33" s="10"/>
      <c r="DC33" s="1184" t="str">
        <f ca="1"/>
        <v/>
      </c>
      <c r="DD33" s="1185" t="str">
        <f ca="1"/>
        <v/>
      </c>
      <c r="DE33" s="1185" t="str">
        <f ca="1"/>
        <v/>
      </c>
      <c r="DF33" s="1004" t="str">
        <f ca="1"/>
        <v/>
      </c>
      <c r="DG33" s="1017" t="str">
        <f ca="1"/>
        <v/>
      </c>
      <c r="DH33" s="1185" t="str">
        <f ca="1"/>
        <v/>
      </c>
      <c r="DI33" s="1016" t="str">
        <f ca="1"/>
        <v/>
      </c>
      <c r="DJ33" s="1016" t="str">
        <f ca="1"/>
        <v/>
      </c>
      <c r="DK33" s="1027" t="str">
        <f ca="1"/>
        <v/>
      </c>
      <c r="DL33" s="1027" t="str">
        <f ca="1"/>
        <v/>
      </c>
      <c r="DM33" s="1036" t="str">
        <f ca="1"/>
        <v/>
      </c>
      <c r="DN33" s="1016" t="str">
        <f ca="1"/>
        <v/>
      </c>
      <c r="DO33" s="1019" t="str">
        <f ca="1"/>
        <v/>
      </c>
      <c r="DP33" s="1016" t="str">
        <f ca="1"/>
        <v/>
      </c>
      <c r="DQ33" s="1019" t="str">
        <f ca="1"/>
        <v/>
      </c>
      <c r="DR33" s="1016" t="str">
        <f ca="1"/>
        <v/>
      </c>
      <c r="DS33" s="1020" t="str">
        <f ca="1"/>
        <v/>
      </c>
    </row>
    <row r="34" spans="26:123">
      <c r="Z34" s="10"/>
      <c r="CT34" s="526"/>
      <c r="CU34" s="10"/>
      <c r="DC34" s="1184" t="str">
        <f ca="1"/>
        <v/>
      </c>
      <c r="DD34" s="1185" t="str">
        <f ca="1"/>
        <v/>
      </c>
      <c r="DE34" s="1185" t="str">
        <f ca="1"/>
        <v/>
      </c>
      <c r="DF34" s="1004" t="str">
        <f ca="1"/>
        <v/>
      </c>
      <c r="DG34" s="1017" t="str">
        <f ca="1"/>
        <v/>
      </c>
      <c r="DH34" s="1185" t="str">
        <f ca="1"/>
        <v/>
      </c>
      <c r="DI34" s="1016" t="str">
        <f ca="1"/>
        <v/>
      </c>
      <c r="DJ34" s="1016" t="str">
        <f ca="1"/>
        <v/>
      </c>
      <c r="DK34" s="1027" t="str">
        <f ca="1"/>
        <v/>
      </c>
      <c r="DL34" s="1027" t="str">
        <f ca="1"/>
        <v/>
      </c>
      <c r="DM34" s="1036" t="str">
        <f ca="1"/>
        <v/>
      </c>
      <c r="DN34" s="1016" t="str">
        <f ca="1"/>
        <v/>
      </c>
      <c r="DO34" s="1019" t="str">
        <f ca="1"/>
        <v/>
      </c>
      <c r="DP34" s="1016" t="str">
        <f ca="1"/>
        <v/>
      </c>
      <c r="DQ34" s="1019" t="str">
        <f ca="1"/>
        <v/>
      </c>
      <c r="DR34" s="1016" t="str">
        <f ca="1"/>
        <v/>
      </c>
      <c r="DS34" s="1020" t="str">
        <f ca="1"/>
        <v/>
      </c>
    </row>
    <row r="35" spans="26:123">
      <c r="CT35" s="526"/>
      <c r="DC35" s="1184" t="str">
        <f ca="1"/>
        <v/>
      </c>
      <c r="DD35" s="1185" t="str">
        <f ca="1"/>
        <v/>
      </c>
      <c r="DE35" s="1185" t="str">
        <f ca="1"/>
        <v/>
      </c>
      <c r="DF35" s="1004" t="str">
        <f ca="1"/>
        <v/>
      </c>
      <c r="DG35" s="1017" t="str">
        <f ca="1"/>
        <v/>
      </c>
      <c r="DH35" s="1185" t="str">
        <f ca="1"/>
        <v/>
      </c>
      <c r="DI35" s="1016" t="str">
        <f ca="1"/>
        <v/>
      </c>
      <c r="DJ35" s="1016" t="str">
        <f ca="1"/>
        <v/>
      </c>
      <c r="DK35" s="1027" t="str">
        <f ca="1"/>
        <v/>
      </c>
      <c r="DL35" s="1027" t="str">
        <f ca="1"/>
        <v/>
      </c>
      <c r="DM35" s="1036" t="str">
        <f ca="1"/>
        <v/>
      </c>
      <c r="DN35" s="1016" t="str">
        <f ca="1"/>
        <v/>
      </c>
      <c r="DO35" s="1019" t="str">
        <f ca="1"/>
        <v/>
      </c>
      <c r="DP35" s="1016" t="str">
        <f ca="1"/>
        <v/>
      </c>
      <c r="DQ35" s="1019" t="str">
        <f ca="1"/>
        <v/>
      </c>
      <c r="DR35" s="1016" t="str">
        <f ca="1"/>
        <v/>
      </c>
      <c r="DS35" s="1020" t="str">
        <f ca="1"/>
        <v/>
      </c>
    </row>
    <row r="36" spans="26:123">
      <c r="CT36" s="526"/>
      <c r="DC36" s="1184" t="str">
        <f ca="1"/>
        <v/>
      </c>
      <c r="DD36" s="1185" t="str">
        <f ca="1"/>
        <v/>
      </c>
      <c r="DE36" s="1185" t="str">
        <f ca="1"/>
        <v/>
      </c>
      <c r="DF36" s="1004" t="str">
        <f ca="1"/>
        <v/>
      </c>
      <c r="DG36" s="1017" t="str">
        <f ca="1"/>
        <v/>
      </c>
      <c r="DH36" s="1185" t="str">
        <f ca="1"/>
        <v/>
      </c>
      <c r="DI36" s="1016" t="str">
        <f ca="1"/>
        <v/>
      </c>
      <c r="DJ36" s="1016" t="str">
        <f ca="1"/>
        <v/>
      </c>
      <c r="DK36" s="1027" t="str">
        <f ca="1"/>
        <v/>
      </c>
      <c r="DL36" s="1027" t="str">
        <f ca="1"/>
        <v/>
      </c>
      <c r="DM36" s="1036" t="str">
        <f ca="1"/>
        <v/>
      </c>
      <c r="DN36" s="1016" t="str">
        <f ca="1"/>
        <v/>
      </c>
      <c r="DO36" s="1019" t="str">
        <f ca="1"/>
        <v/>
      </c>
      <c r="DP36" s="1016" t="str">
        <f ca="1"/>
        <v/>
      </c>
      <c r="DQ36" s="1019" t="str">
        <f ca="1"/>
        <v/>
      </c>
      <c r="DR36" s="1016" t="str">
        <f ca="1"/>
        <v/>
      </c>
      <c r="DS36" s="1020" t="str">
        <f ca="1"/>
        <v/>
      </c>
    </row>
    <row r="37" spans="26:123">
      <c r="CT37" s="526"/>
      <c r="DC37" s="1184" t="str">
        <f ca="1"/>
        <v/>
      </c>
      <c r="DD37" s="1185" t="str">
        <f ca="1"/>
        <v/>
      </c>
      <c r="DE37" s="1185" t="str">
        <f ca="1"/>
        <v/>
      </c>
      <c r="DF37" s="1004" t="str">
        <f ca="1"/>
        <v/>
      </c>
      <c r="DG37" s="1017" t="str">
        <f ca="1"/>
        <v/>
      </c>
      <c r="DH37" s="1185" t="str">
        <f ca="1"/>
        <v/>
      </c>
      <c r="DI37" s="1016" t="str">
        <f ca="1"/>
        <v/>
      </c>
      <c r="DJ37" s="1016" t="str">
        <f ca="1"/>
        <v/>
      </c>
      <c r="DK37" s="1027" t="str">
        <f ca="1"/>
        <v/>
      </c>
      <c r="DL37" s="1027" t="str">
        <f ca="1"/>
        <v/>
      </c>
      <c r="DM37" s="1036" t="str">
        <f ca="1"/>
        <v/>
      </c>
      <c r="DN37" s="1016" t="str">
        <f ca="1"/>
        <v/>
      </c>
      <c r="DO37" s="1019" t="str">
        <f ca="1"/>
        <v/>
      </c>
      <c r="DP37" s="1016" t="str">
        <f ca="1"/>
        <v/>
      </c>
      <c r="DQ37" s="1019" t="str">
        <f ca="1"/>
        <v/>
      </c>
      <c r="DR37" s="1016" t="str">
        <f ca="1"/>
        <v/>
      </c>
      <c r="DS37" s="1020" t="str">
        <f ca="1"/>
        <v/>
      </c>
    </row>
    <row r="38" spans="26:123">
      <c r="CT38" s="526"/>
      <c r="DC38" s="1184" t="str">
        <f ca="1"/>
        <v/>
      </c>
      <c r="DD38" s="1185" t="str">
        <f ca="1"/>
        <v/>
      </c>
      <c r="DE38" s="1185" t="str">
        <f ca="1"/>
        <v/>
      </c>
      <c r="DF38" s="1004" t="str">
        <f ca="1"/>
        <v/>
      </c>
      <c r="DG38" s="1017" t="str">
        <f ca="1"/>
        <v/>
      </c>
      <c r="DH38" s="1185" t="str">
        <f ca="1"/>
        <v/>
      </c>
      <c r="DI38" s="1016" t="str">
        <f ca="1"/>
        <v/>
      </c>
      <c r="DJ38" s="1016" t="str">
        <f ca="1"/>
        <v/>
      </c>
      <c r="DK38" s="1027" t="str">
        <f ca="1"/>
        <v/>
      </c>
      <c r="DL38" s="1027" t="str">
        <f ca="1"/>
        <v/>
      </c>
      <c r="DM38" s="1036" t="str">
        <f ca="1"/>
        <v/>
      </c>
      <c r="DN38" s="1016" t="str">
        <f ca="1"/>
        <v/>
      </c>
      <c r="DO38" s="1019" t="str">
        <f ca="1"/>
        <v/>
      </c>
      <c r="DP38" s="1016" t="str">
        <f ca="1"/>
        <v/>
      </c>
      <c r="DQ38" s="1019" t="str">
        <f ca="1"/>
        <v/>
      </c>
      <c r="DR38" s="1016" t="str">
        <f ca="1"/>
        <v/>
      </c>
      <c r="DS38" s="1020" t="str">
        <f ca="1"/>
        <v/>
      </c>
    </row>
    <row r="39" spans="26:123">
      <c r="CT39" s="526"/>
      <c r="DC39" s="1184" t="str">
        <f ca="1"/>
        <v/>
      </c>
      <c r="DD39" s="1185" t="str">
        <f ca="1"/>
        <v/>
      </c>
      <c r="DE39" s="1185" t="str">
        <f ca="1"/>
        <v/>
      </c>
      <c r="DF39" s="1004" t="str">
        <f ca="1"/>
        <v/>
      </c>
      <c r="DG39" s="1017" t="str">
        <f ca="1"/>
        <v/>
      </c>
      <c r="DH39" s="1185" t="str">
        <f ca="1"/>
        <v/>
      </c>
      <c r="DI39" s="1016" t="str">
        <f ca="1"/>
        <v/>
      </c>
      <c r="DJ39" s="1016" t="str">
        <f ca="1"/>
        <v/>
      </c>
      <c r="DK39" s="1027" t="str">
        <f ca="1"/>
        <v/>
      </c>
      <c r="DL39" s="1027" t="str">
        <f ca="1"/>
        <v/>
      </c>
      <c r="DM39" s="1036" t="str">
        <f ca="1"/>
        <v/>
      </c>
      <c r="DN39" s="1016" t="str">
        <f ca="1"/>
        <v/>
      </c>
      <c r="DO39" s="1019" t="str">
        <f ca="1"/>
        <v/>
      </c>
      <c r="DP39" s="1016" t="str">
        <f ca="1"/>
        <v/>
      </c>
      <c r="DQ39" s="1019" t="str">
        <f ca="1"/>
        <v/>
      </c>
      <c r="DR39" s="1016" t="str">
        <f ca="1"/>
        <v/>
      </c>
      <c r="DS39" s="1020" t="str">
        <f ca="1"/>
        <v/>
      </c>
    </row>
    <row r="40" spans="26:123">
      <c r="DC40" s="1184" t="str">
        <f ca="1"/>
        <v/>
      </c>
      <c r="DD40" s="1185" t="str">
        <f ca="1"/>
        <v/>
      </c>
      <c r="DE40" s="1185" t="str">
        <f ca="1"/>
        <v/>
      </c>
      <c r="DF40" s="1004" t="str">
        <f ca="1"/>
        <v/>
      </c>
      <c r="DG40" s="1017" t="str">
        <f ca="1"/>
        <v/>
      </c>
      <c r="DH40" s="1185" t="str">
        <f ca="1"/>
        <v/>
      </c>
      <c r="DI40" s="1016" t="str">
        <f ca="1"/>
        <v/>
      </c>
      <c r="DJ40" s="1016" t="str">
        <f ca="1"/>
        <v/>
      </c>
      <c r="DK40" s="1027" t="str">
        <f ca="1"/>
        <v/>
      </c>
      <c r="DL40" s="1027" t="str">
        <f ca="1"/>
        <v/>
      </c>
      <c r="DM40" s="1036" t="str">
        <f ca="1"/>
        <v/>
      </c>
      <c r="DN40" s="1016" t="str">
        <f ca="1"/>
        <v/>
      </c>
      <c r="DO40" s="1019" t="str">
        <f ca="1"/>
        <v/>
      </c>
      <c r="DP40" s="1016" t="str">
        <f ca="1"/>
        <v/>
      </c>
      <c r="DQ40" s="1019" t="str">
        <f ca="1"/>
        <v/>
      </c>
      <c r="DR40" s="1016" t="str">
        <f ca="1"/>
        <v/>
      </c>
      <c r="DS40" s="1020" t="str">
        <f ca="1"/>
        <v/>
      </c>
    </row>
    <row r="41" spans="26:123">
      <c r="DC41" s="1184" t="str">
        <f ca="1"/>
        <v/>
      </c>
      <c r="DD41" s="1185" t="str">
        <f ca="1"/>
        <v/>
      </c>
      <c r="DE41" s="1185" t="str">
        <f ca="1"/>
        <v/>
      </c>
      <c r="DF41" s="1004" t="str">
        <f ca="1"/>
        <v/>
      </c>
      <c r="DG41" s="1017" t="str">
        <f ca="1"/>
        <v/>
      </c>
      <c r="DH41" s="1185" t="str">
        <f ca="1"/>
        <v/>
      </c>
      <c r="DI41" s="1016" t="str">
        <f ca="1"/>
        <v/>
      </c>
      <c r="DJ41" s="1016" t="str">
        <f ca="1"/>
        <v/>
      </c>
      <c r="DK41" s="1027" t="str">
        <f ca="1"/>
        <v/>
      </c>
      <c r="DL41" s="1027" t="str">
        <f ca="1"/>
        <v/>
      </c>
      <c r="DM41" s="1036" t="str">
        <f ca="1"/>
        <v/>
      </c>
      <c r="DN41" s="1016" t="str">
        <f ca="1"/>
        <v/>
      </c>
      <c r="DO41" s="1019" t="str">
        <f ca="1"/>
        <v/>
      </c>
      <c r="DP41" s="1016" t="str">
        <f ca="1"/>
        <v/>
      </c>
      <c r="DQ41" s="1019" t="str">
        <f ca="1"/>
        <v/>
      </c>
      <c r="DR41" s="1016" t="str">
        <f ca="1"/>
        <v/>
      </c>
      <c r="DS41" s="1020" t="str">
        <f ca="1"/>
        <v/>
      </c>
    </row>
    <row r="42" spans="26:123">
      <c r="DC42" s="1184" t="str">
        <f ca="1"/>
        <v/>
      </c>
      <c r="DD42" s="1185" t="str">
        <f ca="1"/>
        <v/>
      </c>
      <c r="DE42" s="1185" t="str">
        <f ca="1"/>
        <v/>
      </c>
      <c r="DF42" s="1004" t="str">
        <f ca="1"/>
        <v/>
      </c>
      <c r="DG42" s="1017" t="str">
        <f ca="1"/>
        <v/>
      </c>
      <c r="DH42" s="1185" t="str">
        <f ca="1"/>
        <v/>
      </c>
      <c r="DI42" s="1016" t="str">
        <f ca="1"/>
        <v/>
      </c>
      <c r="DJ42" s="1016" t="str">
        <f ca="1"/>
        <v/>
      </c>
      <c r="DK42" s="1027" t="str">
        <f ca="1"/>
        <v/>
      </c>
      <c r="DL42" s="1027" t="str">
        <f ca="1"/>
        <v/>
      </c>
      <c r="DM42" s="1036" t="str">
        <f ca="1"/>
        <v/>
      </c>
      <c r="DN42" s="1016" t="str">
        <f ca="1"/>
        <v/>
      </c>
      <c r="DO42" s="1019" t="str">
        <f ca="1"/>
        <v/>
      </c>
      <c r="DP42" s="1016" t="str">
        <f ca="1"/>
        <v/>
      </c>
      <c r="DQ42" s="1019" t="str">
        <f ca="1"/>
        <v/>
      </c>
      <c r="DR42" s="1016" t="str">
        <f ca="1"/>
        <v/>
      </c>
      <c r="DS42" s="1020" t="str">
        <f ca="1"/>
        <v/>
      </c>
    </row>
    <row r="43" spans="26:123">
      <c r="DC43" s="1184" t="str">
        <f ca="1"/>
        <v/>
      </c>
      <c r="DD43" s="1185" t="str">
        <f ca="1"/>
        <v/>
      </c>
      <c r="DE43" s="1185" t="str">
        <f ca="1"/>
        <v/>
      </c>
      <c r="DF43" s="1004" t="str">
        <f ca="1"/>
        <v/>
      </c>
      <c r="DG43" s="1017" t="str">
        <f ca="1"/>
        <v/>
      </c>
      <c r="DH43" s="1185" t="str">
        <f ca="1"/>
        <v/>
      </c>
      <c r="DI43" s="1016" t="str">
        <f ca="1"/>
        <v/>
      </c>
      <c r="DJ43" s="1016" t="str">
        <f ca="1"/>
        <v/>
      </c>
      <c r="DK43" s="1027" t="str">
        <f ca="1"/>
        <v/>
      </c>
      <c r="DL43" s="1027" t="str">
        <f ca="1"/>
        <v/>
      </c>
      <c r="DM43" s="1036" t="str">
        <f ca="1"/>
        <v/>
      </c>
      <c r="DN43" s="1016" t="str">
        <f ca="1"/>
        <v/>
      </c>
      <c r="DO43" s="1019" t="str">
        <f ca="1"/>
        <v/>
      </c>
      <c r="DP43" s="1016" t="str">
        <f ca="1"/>
        <v/>
      </c>
      <c r="DQ43" s="1019" t="str">
        <f ca="1"/>
        <v/>
      </c>
      <c r="DR43" s="1016" t="str">
        <f ca="1"/>
        <v/>
      </c>
      <c r="DS43" s="1020" t="str">
        <f ca="1"/>
        <v/>
      </c>
    </row>
    <row r="44" spans="26:123">
      <c r="DC44" s="1184" t="str">
        <f ca="1"/>
        <v/>
      </c>
      <c r="DD44" s="1185" t="str">
        <f ca="1"/>
        <v/>
      </c>
      <c r="DE44" s="1185" t="str">
        <f ca="1"/>
        <v/>
      </c>
      <c r="DF44" s="1004" t="str">
        <f ca="1"/>
        <v/>
      </c>
      <c r="DG44" s="1017" t="str">
        <f ca="1"/>
        <v/>
      </c>
      <c r="DH44" s="1185" t="str">
        <f ca="1"/>
        <v/>
      </c>
      <c r="DI44" s="1016" t="str">
        <f ca="1"/>
        <v/>
      </c>
      <c r="DJ44" s="1016" t="str">
        <f ca="1"/>
        <v/>
      </c>
      <c r="DK44" s="1027" t="str">
        <f ca="1"/>
        <v/>
      </c>
      <c r="DL44" s="1027" t="str">
        <f ca="1"/>
        <v/>
      </c>
      <c r="DM44" s="1036" t="str">
        <f ca="1"/>
        <v/>
      </c>
      <c r="DN44" s="1016" t="str">
        <f ca="1"/>
        <v/>
      </c>
      <c r="DO44" s="1019" t="str">
        <f ca="1"/>
        <v/>
      </c>
      <c r="DP44" s="1016" t="str">
        <f ca="1"/>
        <v/>
      </c>
      <c r="DQ44" s="1019" t="str">
        <f ca="1"/>
        <v/>
      </c>
      <c r="DR44" s="1016" t="str">
        <f ca="1"/>
        <v/>
      </c>
      <c r="DS44" s="1020" t="str">
        <f ca="1"/>
        <v/>
      </c>
    </row>
    <row r="45" spans="26:123">
      <c r="DC45" s="1184" t="str">
        <f ca="1"/>
        <v/>
      </c>
      <c r="DD45" s="1185" t="str">
        <f ca="1"/>
        <v/>
      </c>
      <c r="DE45" s="1185" t="str">
        <f ca="1"/>
        <v/>
      </c>
      <c r="DF45" s="1004" t="str">
        <f ca="1"/>
        <v/>
      </c>
      <c r="DG45" s="1017" t="str">
        <f ca="1"/>
        <v/>
      </c>
      <c r="DH45" s="1185" t="str">
        <f ca="1"/>
        <v/>
      </c>
      <c r="DI45" s="1016" t="str">
        <f ca="1"/>
        <v/>
      </c>
      <c r="DJ45" s="1016" t="str">
        <f ca="1"/>
        <v/>
      </c>
      <c r="DK45" s="1027" t="str">
        <f ca="1"/>
        <v/>
      </c>
      <c r="DL45" s="1027" t="str">
        <f ca="1"/>
        <v/>
      </c>
      <c r="DM45" s="1036" t="str">
        <f ca="1"/>
        <v/>
      </c>
      <c r="DN45" s="1016" t="str">
        <f ca="1"/>
        <v/>
      </c>
      <c r="DO45" s="1019" t="str">
        <f ca="1"/>
        <v/>
      </c>
      <c r="DP45" s="1016" t="str">
        <f ca="1"/>
        <v/>
      </c>
      <c r="DQ45" s="1019" t="str">
        <f ca="1"/>
        <v/>
      </c>
      <c r="DR45" s="1016" t="str">
        <f ca="1"/>
        <v/>
      </c>
      <c r="DS45" s="1020" t="str">
        <f ca="1"/>
        <v/>
      </c>
    </row>
    <row r="46" spans="26:123">
      <c r="DC46" s="1184" t="str">
        <f ca="1"/>
        <v/>
      </c>
      <c r="DD46" s="1185" t="str">
        <f ca="1"/>
        <v/>
      </c>
      <c r="DE46" s="1185" t="str">
        <f ca="1"/>
        <v/>
      </c>
      <c r="DF46" s="1004" t="str">
        <f ca="1"/>
        <v/>
      </c>
      <c r="DG46" s="1017" t="str">
        <f ca="1"/>
        <v/>
      </c>
      <c r="DH46" s="1185" t="str">
        <f ca="1"/>
        <v/>
      </c>
      <c r="DI46" s="1016" t="str">
        <f ca="1"/>
        <v/>
      </c>
      <c r="DJ46" s="1016" t="str">
        <f ca="1"/>
        <v/>
      </c>
      <c r="DK46" s="1027" t="str">
        <f ca="1"/>
        <v/>
      </c>
      <c r="DL46" s="1027" t="str">
        <f ca="1"/>
        <v/>
      </c>
      <c r="DM46" s="1036" t="str">
        <f ca="1"/>
        <v/>
      </c>
      <c r="DN46" s="1016" t="str">
        <f ca="1"/>
        <v/>
      </c>
      <c r="DO46" s="1019" t="str">
        <f ca="1"/>
        <v/>
      </c>
      <c r="DP46" s="1016" t="str">
        <f ca="1"/>
        <v/>
      </c>
      <c r="DQ46" s="1019" t="str">
        <f ca="1"/>
        <v/>
      </c>
      <c r="DR46" s="1016" t="str">
        <f ca="1"/>
        <v/>
      </c>
      <c r="DS46" s="1020" t="str">
        <f ca="1"/>
        <v/>
      </c>
    </row>
    <row r="47" spans="26:123">
      <c r="DC47" s="1184" t="str">
        <f ca="1"/>
        <v/>
      </c>
      <c r="DD47" s="1185" t="str">
        <f ca="1"/>
        <v/>
      </c>
      <c r="DE47" s="1185" t="str">
        <f ca="1"/>
        <v/>
      </c>
      <c r="DF47" s="1004" t="str">
        <f ca="1"/>
        <v/>
      </c>
      <c r="DG47" s="1017" t="str">
        <f ca="1"/>
        <v/>
      </c>
      <c r="DH47" s="1185" t="str">
        <f ca="1"/>
        <v/>
      </c>
      <c r="DI47" s="1016" t="str">
        <f ca="1"/>
        <v/>
      </c>
      <c r="DJ47" s="1016" t="str">
        <f ca="1"/>
        <v/>
      </c>
      <c r="DK47" s="1027" t="str">
        <f ca="1"/>
        <v/>
      </c>
      <c r="DL47" s="1027" t="str">
        <f ca="1"/>
        <v/>
      </c>
      <c r="DM47" s="1036" t="str">
        <f ca="1"/>
        <v/>
      </c>
      <c r="DN47" s="1016" t="str">
        <f ca="1"/>
        <v/>
      </c>
      <c r="DO47" s="1019" t="str">
        <f ca="1"/>
        <v/>
      </c>
      <c r="DP47" s="1016" t="str">
        <f ca="1"/>
        <v/>
      </c>
      <c r="DQ47" s="1019" t="str">
        <f ca="1"/>
        <v/>
      </c>
      <c r="DR47" s="1016" t="str">
        <f ca="1"/>
        <v/>
      </c>
      <c r="DS47" s="1020" t="str">
        <f ca="1"/>
        <v/>
      </c>
    </row>
    <row r="48" spans="26:123">
      <c r="DC48" s="1184" t="str">
        <f ca="1"/>
        <v/>
      </c>
      <c r="DD48" s="1185" t="str">
        <f ca="1"/>
        <v/>
      </c>
      <c r="DE48" s="1185" t="str">
        <f ca="1"/>
        <v/>
      </c>
      <c r="DF48" s="1004" t="str">
        <f ca="1"/>
        <v/>
      </c>
      <c r="DG48" s="1017" t="str">
        <f ca="1"/>
        <v/>
      </c>
      <c r="DH48" s="1185" t="str">
        <f ca="1"/>
        <v/>
      </c>
      <c r="DI48" s="1016" t="str">
        <f ca="1"/>
        <v/>
      </c>
      <c r="DJ48" s="1016" t="str">
        <f ca="1"/>
        <v/>
      </c>
      <c r="DK48" s="1027" t="str">
        <f ca="1"/>
        <v/>
      </c>
      <c r="DL48" s="1027" t="str">
        <f ca="1"/>
        <v/>
      </c>
      <c r="DM48" s="1036" t="str">
        <f ca="1"/>
        <v/>
      </c>
      <c r="DN48" s="1016" t="str">
        <f ca="1"/>
        <v/>
      </c>
      <c r="DO48" s="1019" t="str">
        <f ca="1"/>
        <v/>
      </c>
      <c r="DP48" s="1016" t="str">
        <f ca="1"/>
        <v/>
      </c>
      <c r="DQ48" s="1019" t="str">
        <f ca="1"/>
        <v/>
      </c>
      <c r="DR48" s="1016" t="str">
        <f ca="1"/>
        <v/>
      </c>
      <c r="DS48" s="1020" t="str">
        <f ca="1"/>
        <v/>
      </c>
    </row>
    <row r="49" spans="107:123">
      <c r="DC49" s="1184" t="str">
        <f ca="1"/>
        <v/>
      </c>
      <c r="DD49" s="1185" t="str">
        <f ca="1"/>
        <v/>
      </c>
      <c r="DE49" s="1185" t="str">
        <f ca="1"/>
        <v/>
      </c>
      <c r="DF49" s="1004" t="str">
        <f ca="1"/>
        <v/>
      </c>
      <c r="DG49" s="1017" t="str">
        <f ca="1"/>
        <v/>
      </c>
      <c r="DH49" s="1185" t="str">
        <f ca="1"/>
        <v/>
      </c>
      <c r="DI49" s="1016" t="str">
        <f ca="1"/>
        <v/>
      </c>
      <c r="DJ49" s="1016" t="str">
        <f ca="1"/>
        <v/>
      </c>
      <c r="DK49" s="1027" t="str">
        <f ca="1"/>
        <v/>
      </c>
      <c r="DL49" s="1027" t="str">
        <f ca="1"/>
        <v/>
      </c>
      <c r="DM49" s="1036" t="str">
        <f ca="1"/>
        <v/>
      </c>
      <c r="DN49" s="1016" t="str">
        <f ca="1"/>
        <v/>
      </c>
      <c r="DO49" s="1019" t="str">
        <f ca="1"/>
        <v/>
      </c>
      <c r="DP49" s="1016" t="str">
        <f ca="1"/>
        <v/>
      </c>
      <c r="DQ49" s="1019" t="str">
        <f ca="1"/>
        <v/>
      </c>
      <c r="DR49" s="1016" t="str">
        <f ca="1"/>
        <v/>
      </c>
      <c r="DS49" s="1020" t="str">
        <f ca="1"/>
        <v/>
      </c>
    </row>
    <row r="50" spans="107:123">
      <c r="DC50" s="1184" t="str">
        <f ca="1"/>
        <v/>
      </c>
      <c r="DD50" s="1185" t="str">
        <f ca="1"/>
        <v/>
      </c>
      <c r="DE50" s="1185" t="str">
        <f ca="1"/>
        <v/>
      </c>
      <c r="DF50" s="1004" t="str">
        <f ca="1"/>
        <v/>
      </c>
      <c r="DG50" s="1017" t="str">
        <f ca="1"/>
        <v/>
      </c>
      <c r="DH50" s="1185" t="str">
        <f ca="1"/>
        <v/>
      </c>
      <c r="DI50" s="1016" t="str">
        <f ca="1"/>
        <v/>
      </c>
      <c r="DJ50" s="1016" t="str">
        <f ca="1"/>
        <v/>
      </c>
      <c r="DK50" s="1027" t="str">
        <f ca="1"/>
        <v/>
      </c>
      <c r="DL50" s="1027" t="str">
        <f ca="1"/>
        <v/>
      </c>
      <c r="DM50" s="1036" t="str">
        <f ca="1"/>
        <v/>
      </c>
      <c r="DN50" s="1016" t="str">
        <f ca="1"/>
        <v/>
      </c>
      <c r="DO50" s="1019" t="str">
        <f ca="1"/>
        <v/>
      </c>
      <c r="DP50" s="1016" t="str">
        <f ca="1"/>
        <v/>
      </c>
      <c r="DQ50" s="1019" t="str">
        <f ca="1"/>
        <v/>
      </c>
      <c r="DR50" s="1016" t="str">
        <f ca="1"/>
        <v/>
      </c>
      <c r="DS50" s="1020" t="str">
        <f ca="1"/>
        <v/>
      </c>
    </row>
    <row r="51" spans="107:123">
      <c r="DC51" s="1184" t="str">
        <f ca="1"/>
        <v/>
      </c>
      <c r="DD51" s="1185" t="str">
        <f ca="1"/>
        <v/>
      </c>
      <c r="DE51" s="1185" t="str">
        <f ca="1"/>
        <v/>
      </c>
      <c r="DF51" s="1004" t="str">
        <f ca="1"/>
        <v/>
      </c>
      <c r="DG51" s="1017" t="str">
        <f ca="1"/>
        <v/>
      </c>
      <c r="DH51" s="1185" t="str">
        <f ca="1"/>
        <v/>
      </c>
      <c r="DI51" s="1016" t="str">
        <f ca="1"/>
        <v/>
      </c>
      <c r="DJ51" s="1016" t="str">
        <f ca="1"/>
        <v/>
      </c>
      <c r="DK51" s="1027" t="str">
        <f ca="1"/>
        <v/>
      </c>
      <c r="DL51" s="1027" t="str">
        <f ca="1"/>
        <v/>
      </c>
      <c r="DM51" s="1036" t="str">
        <f ca="1"/>
        <v/>
      </c>
      <c r="DN51" s="1016" t="str">
        <f ca="1"/>
        <v/>
      </c>
      <c r="DO51" s="1019" t="str">
        <f ca="1"/>
        <v/>
      </c>
      <c r="DP51" s="1016" t="str">
        <f ca="1"/>
        <v/>
      </c>
      <c r="DQ51" s="1019" t="str">
        <f ca="1"/>
        <v/>
      </c>
      <c r="DR51" s="1016" t="str">
        <f ca="1"/>
        <v/>
      </c>
      <c r="DS51" s="1020" t="str">
        <f ca="1"/>
        <v/>
      </c>
    </row>
    <row r="52" spans="107:123">
      <c r="DC52" s="1184" t="str">
        <f ca="1"/>
        <v/>
      </c>
      <c r="DD52" s="1185" t="str">
        <f ca="1"/>
        <v/>
      </c>
      <c r="DE52" s="1185" t="str">
        <f ca="1"/>
        <v/>
      </c>
      <c r="DF52" s="1004" t="str">
        <f ca="1"/>
        <v/>
      </c>
      <c r="DG52" s="1017" t="str">
        <f ca="1"/>
        <v/>
      </c>
      <c r="DH52" s="1185" t="str">
        <f ca="1"/>
        <v/>
      </c>
      <c r="DI52" s="1016" t="str">
        <f ca="1"/>
        <v/>
      </c>
      <c r="DJ52" s="1016" t="str">
        <f ca="1"/>
        <v/>
      </c>
      <c r="DK52" s="1027" t="str">
        <f ca="1"/>
        <v/>
      </c>
      <c r="DL52" s="1027" t="str">
        <f ca="1"/>
        <v/>
      </c>
      <c r="DM52" s="1036" t="str">
        <f ca="1"/>
        <v/>
      </c>
      <c r="DN52" s="1016" t="str">
        <f ca="1"/>
        <v/>
      </c>
      <c r="DO52" s="1019" t="str">
        <f ca="1"/>
        <v/>
      </c>
      <c r="DP52" s="1016" t="str">
        <f ca="1"/>
        <v/>
      </c>
      <c r="DQ52" s="1019" t="str">
        <f ca="1"/>
        <v/>
      </c>
      <c r="DR52" s="1016" t="str">
        <f ca="1"/>
        <v/>
      </c>
      <c r="DS52" s="1020" t="str">
        <f ca="1"/>
        <v/>
      </c>
    </row>
    <row r="53" spans="107:123">
      <c r="DC53" s="1184" t="str">
        <f ca="1"/>
        <v/>
      </c>
      <c r="DD53" s="1185" t="str">
        <f ca="1"/>
        <v/>
      </c>
      <c r="DE53" s="1185" t="str">
        <f ca="1"/>
        <v/>
      </c>
      <c r="DF53" s="1004" t="str">
        <f ca="1"/>
        <v/>
      </c>
      <c r="DG53" s="1017" t="str">
        <f ca="1"/>
        <v/>
      </c>
      <c r="DH53" s="1185" t="str">
        <f ca="1"/>
        <v/>
      </c>
      <c r="DI53" s="1016" t="str">
        <f ca="1"/>
        <v/>
      </c>
      <c r="DJ53" s="1016" t="str">
        <f ca="1"/>
        <v/>
      </c>
      <c r="DK53" s="1027" t="str">
        <f ca="1"/>
        <v/>
      </c>
      <c r="DL53" s="1027" t="str">
        <f ca="1"/>
        <v/>
      </c>
      <c r="DM53" s="1036" t="str">
        <f ca="1"/>
        <v/>
      </c>
      <c r="DN53" s="1016" t="str">
        <f ca="1"/>
        <v/>
      </c>
      <c r="DO53" s="1019" t="str">
        <f ca="1"/>
        <v/>
      </c>
      <c r="DP53" s="1016" t="str">
        <f ca="1"/>
        <v/>
      </c>
      <c r="DQ53" s="1019" t="str">
        <f ca="1"/>
        <v/>
      </c>
      <c r="DR53" s="1016" t="str">
        <f ca="1"/>
        <v/>
      </c>
      <c r="DS53" s="1020" t="str">
        <f ca="1"/>
        <v/>
      </c>
    </row>
    <row r="54" spans="107:123">
      <c r="DC54" s="1184" t="str">
        <f ca="1"/>
        <v/>
      </c>
      <c r="DD54" s="1185" t="str">
        <f ca="1"/>
        <v/>
      </c>
      <c r="DE54" s="1185" t="str">
        <f ca="1"/>
        <v/>
      </c>
      <c r="DF54" s="1004" t="str">
        <f ca="1"/>
        <v/>
      </c>
      <c r="DG54" s="1017" t="str">
        <f ca="1"/>
        <v/>
      </c>
      <c r="DH54" s="1185" t="str">
        <f ca="1"/>
        <v/>
      </c>
      <c r="DI54" s="1016" t="str">
        <f ca="1"/>
        <v/>
      </c>
      <c r="DJ54" s="1016" t="str">
        <f ca="1"/>
        <v/>
      </c>
      <c r="DK54" s="1027" t="str">
        <f ca="1"/>
        <v/>
      </c>
      <c r="DL54" s="1027" t="str">
        <f ca="1"/>
        <v/>
      </c>
      <c r="DM54" s="1036" t="str">
        <f ca="1"/>
        <v/>
      </c>
      <c r="DN54" s="1016" t="str">
        <f ca="1"/>
        <v/>
      </c>
      <c r="DO54" s="1019" t="str">
        <f ca="1"/>
        <v/>
      </c>
      <c r="DP54" s="1016" t="str">
        <f ca="1"/>
        <v/>
      </c>
      <c r="DQ54" s="1019" t="str">
        <f ca="1"/>
        <v/>
      </c>
      <c r="DR54" s="1016" t="str">
        <f ca="1"/>
        <v/>
      </c>
      <c r="DS54" s="1020" t="str">
        <f ca="1"/>
        <v/>
      </c>
    </row>
    <row r="55" spans="107:123">
      <c r="DC55" s="1184" t="str">
        <f ca="1"/>
        <v/>
      </c>
      <c r="DD55" s="1185" t="str">
        <f ca="1"/>
        <v/>
      </c>
      <c r="DE55" s="1185" t="str">
        <f ca="1"/>
        <v/>
      </c>
      <c r="DF55" s="1004" t="str">
        <f ca="1"/>
        <v/>
      </c>
      <c r="DG55" s="1017" t="str">
        <f ca="1"/>
        <v/>
      </c>
      <c r="DH55" s="1185" t="str">
        <f ca="1"/>
        <v/>
      </c>
      <c r="DI55" s="1016" t="str">
        <f ca="1"/>
        <v/>
      </c>
      <c r="DJ55" s="1016" t="str">
        <f ca="1"/>
        <v/>
      </c>
      <c r="DK55" s="1027" t="str">
        <f ca="1"/>
        <v/>
      </c>
      <c r="DL55" s="1027" t="str">
        <f ca="1"/>
        <v/>
      </c>
      <c r="DM55" s="1036" t="str">
        <f ca="1"/>
        <v/>
      </c>
      <c r="DN55" s="1016" t="str">
        <f ca="1"/>
        <v/>
      </c>
      <c r="DO55" s="1019" t="str">
        <f ca="1"/>
        <v/>
      </c>
      <c r="DP55" s="1016" t="str">
        <f ca="1"/>
        <v/>
      </c>
      <c r="DQ55" s="1019" t="str">
        <f ca="1"/>
        <v/>
      </c>
      <c r="DR55" s="1016" t="str">
        <f ca="1"/>
        <v/>
      </c>
      <c r="DS55" s="1020" t="str">
        <f ca="1"/>
        <v/>
      </c>
    </row>
    <row r="56" spans="107:123">
      <c r="DC56" s="1184" t="str">
        <f ca="1"/>
        <v/>
      </c>
      <c r="DD56" s="1185" t="str">
        <f ca="1"/>
        <v/>
      </c>
      <c r="DE56" s="1185" t="str">
        <f ca="1"/>
        <v/>
      </c>
      <c r="DF56" s="1004" t="str">
        <f ca="1"/>
        <v/>
      </c>
      <c r="DG56" s="1017" t="str">
        <f ca="1"/>
        <v/>
      </c>
      <c r="DH56" s="1185" t="str">
        <f ca="1"/>
        <v/>
      </c>
      <c r="DI56" s="1016" t="str">
        <f ca="1"/>
        <v/>
      </c>
      <c r="DJ56" s="1016" t="str">
        <f ca="1"/>
        <v/>
      </c>
      <c r="DK56" s="1027" t="str">
        <f ca="1"/>
        <v/>
      </c>
      <c r="DL56" s="1027" t="str">
        <f ca="1"/>
        <v/>
      </c>
      <c r="DM56" s="1036" t="str">
        <f ca="1"/>
        <v/>
      </c>
      <c r="DN56" s="1016" t="str">
        <f ca="1"/>
        <v/>
      </c>
      <c r="DO56" s="1019" t="str">
        <f ca="1"/>
        <v/>
      </c>
      <c r="DP56" s="1016" t="str">
        <f ca="1"/>
        <v/>
      </c>
      <c r="DQ56" s="1019" t="str">
        <f ca="1"/>
        <v/>
      </c>
      <c r="DR56" s="1016" t="str">
        <f ca="1"/>
        <v/>
      </c>
      <c r="DS56" s="1020" t="str">
        <f ca="1"/>
        <v/>
      </c>
    </row>
    <row r="57" spans="107:123">
      <c r="DC57" s="1184" t="str">
        <f ca="1"/>
        <v/>
      </c>
      <c r="DD57" s="1185" t="str">
        <f ca="1"/>
        <v/>
      </c>
      <c r="DE57" s="1185" t="str">
        <f ca="1"/>
        <v/>
      </c>
      <c r="DF57" s="1004" t="str">
        <f ca="1"/>
        <v/>
      </c>
      <c r="DG57" s="1017" t="str">
        <f ca="1"/>
        <v/>
      </c>
      <c r="DH57" s="1185" t="str">
        <f ca="1"/>
        <v/>
      </c>
      <c r="DI57" s="1016" t="str">
        <f ca="1"/>
        <v/>
      </c>
      <c r="DJ57" s="1016" t="str">
        <f ca="1"/>
        <v/>
      </c>
      <c r="DK57" s="1027" t="str">
        <f ca="1"/>
        <v/>
      </c>
      <c r="DL57" s="1027" t="str">
        <f ca="1"/>
        <v/>
      </c>
      <c r="DM57" s="1036" t="str">
        <f ca="1"/>
        <v/>
      </c>
      <c r="DN57" s="1016" t="str">
        <f ca="1"/>
        <v/>
      </c>
      <c r="DO57" s="1019" t="str">
        <f ca="1"/>
        <v/>
      </c>
      <c r="DP57" s="1016" t="str">
        <f ca="1"/>
        <v/>
      </c>
      <c r="DQ57" s="1019" t="str">
        <f ca="1"/>
        <v/>
      </c>
      <c r="DR57" s="1016" t="str">
        <f ca="1"/>
        <v/>
      </c>
      <c r="DS57" s="1020" t="str">
        <f ca="1"/>
        <v/>
      </c>
    </row>
    <row r="58" spans="107:123">
      <c r="DC58" s="1184" t="str">
        <f ca="1"/>
        <v/>
      </c>
      <c r="DD58" s="1185" t="str">
        <f ca="1"/>
        <v/>
      </c>
      <c r="DE58" s="1185" t="str">
        <f ca="1"/>
        <v/>
      </c>
      <c r="DF58" s="1004" t="str">
        <f ca="1"/>
        <v/>
      </c>
      <c r="DG58" s="1017" t="str">
        <f ca="1"/>
        <v/>
      </c>
      <c r="DH58" s="1185" t="str">
        <f ca="1"/>
        <v/>
      </c>
      <c r="DI58" s="1016" t="str">
        <f ca="1"/>
        <v/>
      </c>
      <c r="DJ58" s="1016" t="str">
        <f ca="1"/>
        <v/>
      </c>
      <c r="DK58" s="1027" t="str">
        <f ca="1"/>
        <v/>
      </c>
      <c r="DL58" s="1027" t="str">
        <f ca="1"/>
        <v/>
      </c>
      <c r="DM58" s="1036" t="str">
        <f ca="1"/>
        <v/>
      </c>
      <c r="DN58" s="1016" t="str">
        <f ca="1"/>
        <v/>
      </c>
      <c r="DO58" s="1019" t="str">
        <f ca="1"/>
        <v/>
      </c>
      <c r="DP58" s="1016" t="str">
        <f ca="1"/>
        <v/>
      </c>
      <c r="DQ58" s="1019" t="str">
        <f ca="1"/>
        <v/>
      </c>
      <c r="DR58" s="1016" t="str">
        <f ca="1"/>
        <v/>
      </c>
      <c r="DS58" s="1020" t="str">
        <f ca="1"/>
        <v/>
      </c>
    </row>
    <row r="59" spans="107:123">
      <c r="DC59" s="1184" t="str">
        <f ca="1"/>
        <v/>
      </c>
      <c r="DD59" s="1185" t="str">
        <f ca="1"/>
        <v/>
      </c>
      <c r="DE59" s="1185" t="str">
        <f ca="1"/>
        <v/>
      </c>
      <c r="DF59" s="1004" t="str">
        <f ca="1"/>
        <v/>
      </c>
      <c r="DG59" s="1017" t="str">
        <f ca="1"/>
        <v/>
      </c>
      <c r="DH59" s="1185" t="str">
        <f ca="1"/>
        <v/>
      </c>
      <c r="DI59" s="1016" t="str">
        <f ca="1"/>
        <v/>
      </c>
      <c r="DJ59" s="1016" t="str">
        <f ca="1"/>
        <v/>
      </c>
      <c r="DK59" s="1027" t="str">
        <f ca="1"/>
        <v/>
      </c>
      <c r="DL59" s="1027" t="str">
        <f ca="1"/>
        <v/>
      </c>
      <c r="DM59" s="1036" t="str">
        <f ca="1"/>
        <v/>
      </c>
      <c r="DN59" s="1016" t="str">
        <f ca="1"/>
        <v/>
      </c>
      <c r="DO59" s="1019" t="str">
        <f ca="1"/>
        <v/>
      </c>
      <c r="DP59" s="1016" t="str">
        <f ca="1"/>
        <v/>
      </c>
      <c r="DQ59" s="1019" t="str">
        <f ca="1"/>
        <v/>
      </c>
      <c r="DR59" s="1016" t="str">
        <f ca="1"/>
        <v/>
      </c>
      <c r="DS59" s="1020" t="str">
        <f ca="1"/>
        <v/>
      </c>
    </row>
    <row r="60" spans="107:123">
      <c r="DC60" s="1184" t="str">
        <f ca="1"/>
        <v/>
      </c>
      <c r="DD60" s="1185" t="str">
        <f ca="1"/>
        <v/>
      </c>
      <c r="DE60" s="1185" t="str">
        <f ca="1"/>
        <v/>
      </c>
      <c r="DF60" s="1004" t="str">
        <f ca="1"/>
        <v/>
      </c>
      <c r="DG60" s="1017" t="str">
        <f ca="1"/>
        <v/>
      </c>
      <c r="DH60" s="1185" t="str">
        <f ca="1"/>
        <v/>
      </c>
      <c r="DI60" s="1016" t="str">
        <f ca="1"/>
        <v/>
      </c>
      <c r="DJ60" s="1016" t="str">
        <f ca="1"/>
        <v/>
      </c>
      <c r="DK60" s="1027" t="str">
        <f ca="1"/>
        <v/>
      </c>
      <c r="DL60" s="1027" t="str">
        <f ca="1"/>
        <v/>
      </c>
      <c r="DM60" s="1036" t="str">
        <f ca="1"/>
        <v/>
      </c>
      <c r="DN60" s="1016" t="str">
        <f ca="1"/>
        <v/>
      </c>
      <c r="DO60" s="1019" t="str">
        <f ca="1"/>
        <v/>
      </c>
      <c r="DP60" s="1016" t="str">
        <f ca="1"/>
        <v/>
      </c>
      <c r="DQ60" s="1019" t="str">
        <f ca="1"/>
        <v/>
      </c>
      <c r="DR60" s="1016" t="str">
        <f ca="1"/>
        <v/>
      </c>
      <c r="DS60" s="1020" t="str">
        <f ca="1"/>
        <v/>
      </c>
    </row>
    <row r="61" spans="107:123">
      <c r="DC61" s="1186" t="str">
        <f ca="1"/>
        <v/>
      </c>
      <c r="DD61" s="1108" t="str">
        <f ca="1"/>
        <v/>
      </c>
      <c r="DE61" s="1108" t="str">
        <f ca="1"/>
        <v/>
      </c>
      <c r="DF61" s="1007" t="str">
        <f ca="1"/>
        <v/>
      </c>
      <c r="DG61" s="1023" t="str">
        <f ca="1"/>
        <v/>
      </c>
      <c r="DH61" s="1108" t="str">
        <f ca="1"/>
        <v/>
      </c>
      <c r="DI61" s="1022" t="str">
        <f ca="1"/>
        <v/>
      </c>
      <c r="DJ61" s="1022" t="str">
        <f ca="1"/>
        <v/>
      </c>
      <c r="DK61" s="1029" t="str">
        <f ca="1"/>
        <v/>
      </c>
      <c r="DL61" s="1029" t="str">
        <f ca="1"/>
        <v/>
      </c>
      <c r="DM61" s="1035" t="str">
        <f ca="1"/>
        <v/>
      </c>
      <c r="DN61" s="1022" t="str">
        <f ca="1"/>
        <v/>
      </c>
      <c r="DO61" s="1025" t="str">
        <f ca="1"/>
        <v/>
      </c>
      <c r="DP61" s="1022" t="str">
        <f ca="1"/>
        <v/>
      </c>
      <c r="DQ61" s="1025" t="str">
        <f ca="1"/>
        <v/>
      </c>
      <c r="DR61" s="1022" t="str">
        <f ca="1"/>
        <v/>
      </c>
      <c r="DS61" s="1026" t="str">
        <f ca="1"/>
        <v/>
      </c>
    </row>
  </sheetData>
  <dataValidations count="7">
    <dataValidation type="list" allowBlank="1" showInputMessage="1" showErrorMessage="1" sqref="E6:E26">
      <formula1>"PAY,REC"</formula1>
    </dataValidation>
    <dataValidation type="list" allowBlank="1" showInputMessage="1" showErrorMessage="1" sqref="P6:P26 W6:W26">
      <formula1>"ANNUAL,SEMI-ANNUAL,QUARTERLY,MONTHLY"</formula1>
    </dataValidation>
    <dataValidation type="list" allowBlank="1" showInputMessage="1" showErrorMessage="1" sqref="Q6:Q26 X6:X26">
      <formula1>"30/360,ACT/360,ACT/365"</formula1>
    </dataValidation>
    <dataValidation type="list" allowBlank="1" showInputMessage="1" showErrorMessage="1" sqref="K6:L26">
      <formula1>"USD,EUR,GBP,JPY"</formula1>
    </dataValidation>
    <dataValidation type="list" allowBlank="1" showInputMessage="1" showErrorMessage="1" sqref="I6:I26">
      <formula1>"TRUE,FALSE"</formula1>
    </dataValidation>
    <dataValidation type="list" allowBlank="1" showInputMessage="1" showErrorMessage="1" sqref="M6:M26 T6:T26">
      <formula1>"FIXED,FLOAT"</formula1>
    </dataValidation>
    <dataValidation type="list" allowBlank="1" showInputMessage="1" showErrorMessage="1" sqref="DF4">
      <formula1>$CP$6:$CP$26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5" tint="0.39997558519241921"/>
  </sheetPr>
  <dimension ref="A1:AC102"/>
  <sheetViews>
    <sheetView showGridLines="0" workbookViewId="0"/>
  </sheetViews>
  <sheetFormatPr defaultRowHeight="15" outlineLevelCol="1"/>
  <cols>
    <col min="1" max="1" width="4.7109375" customWidth="1"/>
    <col min="2" max="2" width="19.28515625" customWidth="1"/>
    <col min="3" max="4" width="18.7109375" customWidth="1"/>
    <col min="5" max="10" width="18.7109375" hidden="1" customWidth="1" outlineLevel="1"/>
    <col min="11" max="11" width="14.85546875" customWidth="1" collapsed="1"/>
    <col min="12" max="12" width="15.28515625" style="997" customWidth="1" outlineLevel="1"/>
    <col min="13" max="14" width="15.42578125" style="997" bestFit="1" customWidth="1" outlineLevel="1"/>
    <col min="15" max="15" width="11.5703125" style="997" customWidth="1" outlineLevel="1"/>
    <col min="16" max="16" width="19.5703125" style="732" customWidth="1" outlineLevel="1"/>
    <col min="17" max="17" width="15.42578125" style="997" bestFit="1" customWidth="1" outlineLevel="1"/>
    <col min="18" max="18" width="12.7109375" style="338" customWidth="1" outlineLevel="1"/>
    <col min="19" max="19" width="17.28515625" style="338" customWidth="1" outlineLevel="1"/>
    <col min="20" max="20" width="9" style="732" customWidth="1" outlineLevel="1"/>
    <col min="21" max="21" width="11.5703125" style="732" customWidth="1" outlineLevel="1"/>
    <col min="22" max="22" width="12.7109375" style="877" customWidth="1" outlineLevel="1"/>
    <col min="23" max="23" width="15" style="338" customWidth="1" outlineLevel="1"/>
    <col min="24" max="24" width="14.28515625" style="1234" customWidth="1" outlineLevel="1"/>
    <col min="25" max="25" width="12.7109375" style="338" customWidth="1" outlineLevel="1"/>
    <col min="26" max="26" width="14.28515625" style="1235" customWidth="1" outlineLevel="1"/>
    <col min="27" max="27" width="12.7109375" style="338" customWidth="1" outlineLevel="1"/>
    <col min="28" max="28" width="9.140625" style="997" customWidth="1" outlineLevel="1"/>
    <col min="29" max="29" width="13.28515625" bestFit="1" customWidth="1"/>
  </cols>
  <sheetData>
    <row r="1" spans="2:29">
      <c r="K1" s="110" t="s">
        <v>2244</v>
      </c>
      <c r="AC1" s="110" t="s">
        <v>2226</v>
      </c>
    </row>
    <row r="2" spans="2:29" s="995" customFormat="1">
      <c r="K2" s="110"/>
      <c r="L2" s="997"/>
      <c r="M2" s="997"/>
      <c r="N2" s="997"/>
      <c r="O2" s="997"/>
      <c r="P2" s="732"/>
      <c r="Q2" s="997"/>
      <c r="R2" s="338"/>
      <c r="S2" s="338"/>
      <c r="T2" s="732"/>
      <c r="U2" s="732"/>
      <c r="V2" s="877"/>
      <c r="W2" s="338"/>
      <c r="X2" s="1234"/>
      <c r="Y2" s="338"/>
      <c r="Z2" s="1235"/>
      <c r="AA2" s="338"/>
      <c r="AB2" s="997"/>
      <c r="AC2" s="110"/>
    </row>
    <row r="3" spans="2:29" s="995" customFormat="1">
      <c r="K3" s="110"/>
      <c r="L3" s="997"/>
      <c r="M3" s="997"/>
      <c r="N3" s="997"/>
      <c r="O3" s="997"/>
      <c r="P3" s="732"/>
      <c r="Q3" s="997"/>
      <c r="R3" s="338"/>
      <c r="S3" s="338"/>
      <c r="T3" s="732"/>
      <c r="U3" s="732"/>
      <c r="V3" s="877"/>
      <c r="W3" s="338"/>
      <c r="X3" s="1234"/>
      <c r="Y3" s="338"/>
      <c r="Z3" s="1235"/>
      <c r="AA3" s="338"/>
      <c r="AB3" s="997"/>
      <c r="AC3" s="110"/>
    </row>
    <row r="4" spans="2:29" s="995" customFormat="1">
      <c r="B4" s="998" t="s">
        <v>2249</v>
      </c>
      <c r="C4" s="536" t="str">
        <f ca="1">_xll.meLWOXccySwapCreate("Xccy1",_xll.meUtilityLVBFromKeysAndMultipleValues($B$27:$B$57,C27:C57,D27:D57),$B$19:$C$23,FALSE)</f>
        <v>XCCY1@179:0</v>
      </c>
      <c r="D4" s="997"/>
      <c r="E4" s="536" t="str">
        <f ca="1">_xll.meLWOXccySwapCreate("Xccy2",_xll.meUtilityLVBFromKeysAndMultipleValues($B$27:$B$57,E27:E57,F27:F57),$B$19:$C$23,FALSE)</f>
        <v>XCCY2@190:0</v>
      </c>
      <c r="F4" s="997"/>
      <c r="G4" s="536" t="str">
        <f ca="1">_xll.meLWOXccySwapCreate("Xccy3",_xll.meUtilityLVBFromKeysAndMultipleValues($B$27:$B$57,G27:G57,H27:H57),$B$19:$C$23,FALSE)</f>
        <v>XCCY3@159:0</v>
      </c>
      <c r="H4" s="997"/>
      <c r="I4" s="536" t="str">
        <f ca="1">_xll.meLWOXccySwapCreate("Xccy4",_xll.meUtilityLVBFromKeysAndMultipleValues($B$27:$B$57,I27:I57,J27:J57),$B$19:$C$23,FALSE)</f>
        <v>XCCY4@197:0</v>
      </c>
      <c r="K4" s="995" t="s">
        <v>12</v>
      </c>
      <c r="L4" s="1001" t="s">
        <v>2248</v>
      </c>
      <c r="M4" s="997"/>
      <c r="N4" s="997"/>
      <c r="O4" s="997"/>
      <c r="P4" s="732"/>
      <c r="Q4" s="997"/>
      <c r="R4" s="338"/>
      <c r="S4" s="338"/>
      <c r="T4" s="732"/>
      <c r="U4" s="732"/>
      <c r="V4" s="877"/>
      <c r="W4" s="338"/>
      <c r="X4" s="1234"/>
      <c r="Y4" s="338"/>
      <c r="Z4" s="1235"/>
      <c r="AA4" s="338"/>
      <c r="AB4" s="997"/>
    </row>
    <row r="5" spans="2:29" s="995" customFormat="1">
      <c r="B5" s="1213" t="s">
        <v>2015</v>
      </c>
      <c r="C5" s="1229">
        <v>1</v>
      </c>
      <c r="D5" s="1216"/>
      <c r="E5" s="1230">
        <v>0</v>
      </c>
      <c r="F5" s="1209"/>
      <c r="G5" s="1231">
        <v>0</v>
      </c>
      <c r="H5" s="1209"/>
      <c r="I5" s="1231">
        <v>0</v>
      </c>
      <c r="J5" s="1209"/>
      <c r="L5" s="1233" t="s">
        <v>2246</v>
      </c>
      <c r="M5" s="1232">
        <v>1</v>
      </c>
      <c r="N5" s="997"/>
      <c r="O5" s="997"/>
      <c r="P5" s="732"/>
      <c r="Q5" s="997"/>
      <c r="R5" s="338"/>
      <c r="S5" s="338"/>
      <c r="T5" s="732"/>
      <c r="U5" s="732"/>
      <c r="V5" s="877"/>
      <c r="W5" s="338"/>
      <c r="X5" s="1234"/>
      <c r="Y5" s="338"/>
      <c r="Z5" s="1235"/>
      <c r="AA5" s="338"/>
      <c r="AB5" s="997"/>
    </row>
    <row r="6" spans="2:29" s="995" customFormat="1">
      <c r="B6" s="1214" t="s">
        <v>354</v>
      </c>
      <c r="C6" s="1224">
        <v>1000000</v>
      </c>
      <c r="D6" s="1222"/>
      <c r="E6" s="1224"/>
      <c r="F6" s="1228">
        <f>IF(ISBLANK(E$6),$C$6,E$6)</f>
        <v>1000000</v>
      </c>
      <c r="G6" s="1224"/>
      <c r="H6" s="1228">
        <f>IF(ISBLANK(G$6),$C$6,G$6)</f>
        <v>1000000</v>
      </c>
      <c r="I6" s="1224"/>
      <c r="J6" s="1228">
        <f>IF(ISBLANK(I$6),$C$6,I$6)</f>
        <v>1000000</v>
      </c>
      <c r="L6" s="997"/>
      <c r="M6" s="997"/>
      <c r="N6" s="997"/>
      <c r="O6" s="997"/>
      <c r="P6" s="732"/>
      <c r="Q6" s="997"/>
      <c r="R6" s="338"/>
      <c r="S6" s="338"/>
      <c r="T6" s="732"/>
      <c r="U6" s="732"/>
      <c r="V6" s="877"/>
      <c r="W6" s="338"/>
      <c r="X6" s="1234"/>
      <c r="Y6" s="338"/>
      <c r="Z6" s="1235"/>
      <c r="AA6" s="338"/>
      <c r="AB6" s="997"/>
    </row>
    <row r="7" spans="2:29" s="995" customFormat="1">
      <c r="B7" s="1214" t="s">
        <v>2202</v>
      </c>
      <c r="C7" s="1217" t="s">
        <v>361</v>
      </c>
      <c r="D7" s="1208">
        <f ca="1">IF(ISNUMBER(C7),C7,_xll.meDateFromTenor(COB,C7,C47,C48))</f>
        <v>43229</v>
      </c>
      <c r="E7" s="1215"/>
      <c r="F7" s="1211">
        <f ca="1">IF(ISBLANK(E7),$D$7,IF(ISNUMBER(E7),E7,_xll.meDateFromTenor(COB,E7,E47,E48)))</f>
        <v>43229</v>
      </c>
      <c r="G7" s="1210"/>
      <c r="H7" s="1211">
        <f ca="1">IF(ISBLANK(G7),$D$7,IF(ISNUMBER(G7),G7,_xll.meDateFromTenor(COB,G7,G47,G48)))</f>
        <v>43229</v>
      </c>
      <c r="I7" s="1210"/>
      <c r="J7" s="1211">
        <f ca="1">IF(ISBLANK(I7),$D$7,IF(ISNUMBER(I7),I7,_xll.meDateFromTenor(COB,I7,I47,I48)))</f>
        <v>43229</v>
      </c>
      <c r="L7" s="997"/>
      <c r="M7" s="997"/>
      <c r="N7" s="997"/>
      <c r="O7" s="997"/>
      <c r="P7" s="732"/>
      <c r="Q7" s="997"/>
      <c r="R7" s="338"/>
      <c r="S7" s="338"/>
      <c r="T7" s="732"/>
      <c r="U7" s="732"/>
      <c r="V7" s="877"/>
      <c r="W7" s="338"/>
      <c r="X7" s="1234"/>
      <c r="Y7" s="338"/>
      <c r="Z7" s="1235"/>
      <c r="AA7" s="338"/>
      <c r="AB7" s="997"/>
    </row>
    <row r="8" spans="2:29" s="995" customFormat="1">
      <c r="B8" s="1218" t="s">
        <v>2019</v>
      </c>
      <c r="C8" s="1225" t="s">
        <v>31</v>
      </c>
      <c r="D8" s="1219">
        <f ca="1">IF(ISNUMBER(C8),C8,_xll.meDateFromTenor(D7,C8,C47,C48))</f>
        <v>45055</v>
      </c>
      <c r="E8" s="1226"/>
      <c r="F8" s="1212">
        <f ca="1">IF(ISBLANK(E8),$D$8,IF(ISNUMBER(E8),E8,_xll.meDateFromTenor(F7,E8,E47,E48)))</f>
        <v>45055</v>
      </c>
      <c r="G8" s="1227"/>
      <c r="H8" s="1212">
        <f ca="1">IF(ISBLANK(G8),$D$8,IF(ISNUMBER(G8),G8,_xll.meDateFromTenor(H7,G8,G47,G48)))</f>
        <v>45055</v>
      </c>
      <c r="I8" s="1227"/>
      <c r="J8" s="1212">
        <f ca="1">IF(ISBLANK(I8),$D$8,IF(ISNUMBER(I8),I8,_xll.meDateFromTenor(J7,I8,I47,I48)))</f>
        <v>45055</v>
      </c>
      <c r="L8" s="1239"/>
      <c r="M8" s="997"/>
      <c r="N8" s="997"/>
      <c r="O8" s="997"/>
      <c r="P8" s="732"/>
      <c r="Q8" s="997"/>
      <c r="R8" s="338"/>
      <c r="S8" s="338"/>
      <c r="T8" s="732"/>
      <c r="U8" s="732"/>
      <c r="V8" s="877"/>
      <c r="W8" s="338"/>
      <c r="X8" s="1234"/>
      <c r="Y8" s="338"/>
      <c r="Z8" s="1235"/>
      <c r="AA8" s="338"/>
      <c r="AB8" s="997"/>
    </row>
    <row r="9" spans="2:29" s="995" customFormat="1">
      <c r="L9" s="997"/>
      <c r="M9" s="997"/>
      <c r="N9" s="997"/>
      <c r="O9" s="997"/>
      <c r="P9" s="732"/>
      <c r="Q9" s="997"/>
      <c r="R9" s="338"/>
      <c r="S9" s="338"/>
      <c r="T9" s="732"/>
      <c r="U9" s="732"/>
      <c r="V9" s="877"/>
      <c r="W9" s="338"/>
      <c r="X9" s="1234"/>
      <c r="Y9" s="338"/>
      <c r="Z9" s="1235"/>
      <c r="AA9" s="338"/>
      <c r="AB9" s="997"/>
    </row>
    <row r="10" spans="2:29" s="995" customFormat="1">
      <c r="L10" s="1001" t="s">
        <v>2221</v>
      </c>
      <c r="M10" s="997"/>
      <c r="N10" s="997"/>
      <c r="O10" s="997"/>
      <c r="P10" s="732"/>
      <c r="Q10" s="997"/>
      <c r="R10" s="338"/>
      <c r="S10" s="338"/>
      <c r="T10" s="732"/>
      <c r="U10" s="732"/>
      <c r="V10" s="877"/>
      <c r="W10" s="338"/>
      <c r="X10" s="1234"/>
      <c r="Y10" s="338"/>
      <c r="Z10" s="1235"/>
      <c r="AA10" s="338"/>
      <c r="AB10" s="997"/>
    </row>
    <row r="11" spans="2:29" s="995" customFormat="1">
      <c r="B11" s="998" t="s">
        <v>2245</v>
      </c>
      <c r="C11" s="1220" t="e">
        <f ca="1">$C$13+$E$13+$G$13+$I$13</f>
        <v>#VALUE!</v>
      </c>
      <c r="D11" s="345"/>
      <c r="K11" s="995" t="s">
        <v>12</v>
      </c>
      <c r="L11" s="1084" t="str">
        <f t="array" aca="1" ref="L11:AB102" ca="1">_xll.meUtilityResize(_xll.meLWOSwapDisplayCashflows(INDEX($B$60:$B$63,$M$5),_xll.meUtilityLVBFromMultipleKeysValues("Leg1:Float",C$12,,"Leg2:Float",D$12)),100,50)</f>
        <v>[2018/05/04 09:52] #Error: Invalid Curve: CurveCollection 'EURYC' does not exist</v>
      </c>
      <c r="M11" s="1032" t="str">
        <f ca="1"/>
        <v/>
      </c>
      <c r="N11" s="1032" t="str">
        <f ca="1"/>
        <v/>
      </c>
      <c r="O11" s="1013" t="str">
        <f ca="1"/>
        <v/>
      </c>
      <c r="P11" s="1054" t="str">
        <f ca="1"/>
        <v/>
      </c>
      <c r="Q11" s="1032" t="str">
        <f ca="1"/>
        <v/>
      </c>
      <c r="R11" s="1033" t="str">
        <f ca="1"/>
        <v/>
      </c>
      <c r="S11" s="1033" t="str">
        <f ca="1"/>
        <v/>
      </c>
      <c r="T11" s="1054" t="str">
        <f ca="1"/>
        <v/>
      </c>
      <c r="U11" s="1054" t="str">
        <f ca="1"/>
        <v/>
      </c>
      <c r="V11" s="697" t="str">
        <f ca="1"/>
        <v/>
      </c>
      <c r="W11" s="1033" t="str">
        <f ca="1"/>
        <v/>
      </c>
      <c r="X11" s="1113" t="str">
        <f ca="1"/>
        <v/>
      </c>
      <c r="Y11" s="1033" t="str">
        <f ca="1"/>
        <v/>
      </c>
      <c r="Z11" s="1111" t="str">
        <f ca="1"/>
        <v/>
      </c>
      <c r="AA11" s="1033" t="str">
        <f ca="1"/>
        <v/>
      </c>
      <c r="AB11" s="1014" t="str">
        <f ca="1"/>
        <v/>
      </c>
      <c r="AC11" s="995" t="s">
        <v>12</v>
      </c>
    </row>
    <row r="12" spans="2:29" s="995" customFormat="1">
      <c r="B12" s="405" t="s">
        <v>2241</v>
      </c>
      <c r="C12" s="878" t="s">
        <v>1045</v>
      </c>
      <c r="D12" s="1255" t="s">
        <v>1044</v>
      </c>
      <c r="E12" s="878" t="s">
        <v>1045</v>
      </c>
      <c r="F12" s="1256" t="s">
        <v>1044</v>
      </c>
      <c r="G12" s="878" t="s">
        <v>1045</v>
      </c>
      <c r="H12" s="1256" t="s">
        <v>1044</v>
      </c>
      <c r="I12" s="1255" t="s">
        <v>1045</v>
      </c>
      <c r="J12" s="1256" t="s">
        <v>1044</v>
      </c>
      <c r="K12" s="677" t="s">
        <v>12</v>
      </c>
      <c r="L12" s="1141" t="str">
        <f ca="1"/>
        <v/>
      </c>
      <c r="M12" s="1006" t="str">
        <f ca="1"/>
        <v/>
      </c>
      <c r="N12" s="1006" t="str">
        <f ca="1"/>
        <v/>
      </c>
      <c r="O12" s="1004" t="str">
        <f ca="1"/>
        <v/>
      </c>
      <c r="P12" s="1027" t="str">
        <f ca="1"/>
        <v/>
      </c>
      <c r="Q12" s="1006" t="str">
        <f ca="1"/>
        <v/>
      </c>
      <c r="R12" s="1016" t="str">
        <f ca="1"/>
        <v/>
      </c>
      <c r="S12" s="1016" t="str">
        <f ca="1"/>
        <v/>
      </c>
      <c r="T12" s="1027" t="str">
        <f ca="1"/>
        <v/>
      </c>
      <c r="U12" s="1027" t="str">
        <f ca="1"/>
        <v/>
      </c>
      <c r="V12" s="1036" t="str">
        <f ca="1"/>
        <v/>
      </c>
      <c r="W12" s="1016" t="str">
        <f ca="1"/>
        <v/>
      </c>
      <c r="X12" s="1034" t="str">
        <f ca="1"/>
        <v/>
      </c>
      <c r="Y12" s="1016" t="str">
        <f ca="1"/>
        <v/>
      </c>
      <c r="Z12" s="1019" t="str">
        <f ca="1"/>
        <v/>
      </c>
      <c r="AA12" s="1016" t="str">
        <f ca="1"/>
        <v/>
      </c>
      <c r="AB12" s="1020" t="str">
        <f ca="1"/>
        <v/>
      </c>
      <c r="AC12" s="995" t="s">
        <v>12</v>
      </c>
    </row>
    <row r="13" spans="2:29" s="995" customFormat="1">
      <c r="B13" s="651" t="s">
        <v>1806</v>
      </c>
      <c r="C13" s="1257" t="str">
        <f ca="1">_xll.meLWOSwapPV(C$4,_xll.meUtilityLVBFromMultipleKeysValues("Leg1:Float",C$12,,"Leg2:Float",D$12))</f>
        <v>[2018/05/04 09:52] #Error: Invalid Curve: CurveCollection 'USDYC' does not exist</v>
      </c>
      <c r="D13" s="1259"/>
      <c r="E13" s="1257" t="str">
        <f ca="1">_xll.meLWOSwapPV(E$4,_xll.meUtilityLVBFromMultipleKeysValues("Leg1:Float",E$12,,"Leg2:Float",F$12))</f>
        <v>[2018/05/04 09:52] #Error: Invalid Curve: CurveCollection 'USDYC' does not exist</v>
      </c>
      <c r="F13" s="1258"/>
      <c r="G13" s="1257" t="str">
        <f ca="1">_xll.meLWOSwapPV(G$4,_xll.meUtilityLVBFromMultipleKeysValues("Leg1:Float",G$12,,"Leg2:Float",H$12))</f>
        <v>[2018/05/04 09:52] #Error: Invalid Curve: CurveCollection 'USDYC' does not exist</v>
      </c>
      <c r="H13" s="1258"/>
      <c r="I13" s="1260" t="str">
        <f ca="1">_xll.meLWOSwapPV(I$4,_xll.meUtilityLVBFromMultipleKeysValues("Leg1:Float",I$12,,"Leg2:Float",J$12))</f>
        <v>[2018/05/04 09:52] #Error: Invalid Curve: CurveCollection 'USDYC' does not exist</v>
      </c>
      <c r="J13" s="1258"/>
      <c r="K13" s="677" t="s">
        <v>12</v>
      </c>
      <c r="L13" s="1141" t="str">
        <f ca="1"/>
        <v/>
      </c>
      <c r="M13" s="1006" t="str">
        <f ca="1"/>
        <v/>
      </c>
      <c r="N13" s="1006" t="str">
        <f ca="1"/>
        <v/>
      </c>
      <c r="O13" s="1004" t="str">
        <f ca="1"/>
        <v/>
      </c>
      <c r="P13" s="1027" t="str">
        <f ca="1"/>
        <v/>
      </c>
      <c r="Q13" s="1006" t="str">
        <f ca="1"/>
        <v/>
      </c>
      <c r="R13" s="1016" t="str">
        <f ca="1"/>
        <v/>
      </c>
      <c r="S13" s="1016" t="str">
        <f ca="1"/>
        <v/>
      </c>
      <c r="T13" s="1027" t="str">
        <f ca="1"/>
        <v/>
      </c>
      <c r="U13" s="1027" t="str">
        <f ca="1"/>
        <v/>
      </c>
      <c r="V13" s="1036" t="str">
        <f ca="1"/>
        <v/>
      </c>
      <c r="W13" s="1016" t="str">
        <f ca="1"/>
        <v/>
      </c>
      <c r="X13" s="1034" t="str">
        <f ca="1"/>
        <v/>
      </c>
      <c r="Y13" s="1016" t="str">
        <f ca="1"/>
        <v/>
      </c>
      <c r="Z13" s="1019" t="str">
        <f ca="1"/>
        <v/>
      </c>
      <c r="AA13" s="1016" t="str">
        <f ca="1"/>
        <v/>
      </c>
      <c r="AB13" s="1020" t="str">
        <f ca="1"/>
        <v/>
      </c>
      <c r="AC13" s="995" t="s">
        <v>12</v>
      </c>
    </row>
    <row r="14" spans="2:29" s="995" customFormat="1">
      <c r="B14" s="651" t="s">
        <v>2243</v>
      </c>
      <c r="C14" s="1261" t="str">
        <f ca="1">_xll.meLWOSwapPV(C$4,_xll.meUtilityLVBFromMultipleKeysValues("Leg1:Float",C$12,,"Leg2:Float",D$12),C$27)</f>
        <v>[2018/05/04 09:52] #Error: Invalid Curve: CurveCollection 'USDYC' does not exist</v>
      </c>
      <c r="D14" s="897" t="str">
        <f ca="1">_xll.meLWOSwapPV(C$4,_xll.meUtilityLVBFromMultipleKeysValues("Leg1:Float",C$12,,"Leg2:Float",D$12),D$27)</f>
        <v>[2018/05/04 09:52] #Error: Invalid Curve: CurveCollection 'USDYC' does not exist</v>
      </c>
      <c r="E14" s="1261" t="str">
        <f ca="1">_xll.meLWOSwapPV(E$4,_xll.meUtilityLVBFromMultipleKeysValues("Leg1:Float",E$12,,"Leg2:Float",F$12),E$27)</f>
        <v>[2018/05/04 09:52] #Error: Invalid Curve: CurveIndex 'USD3ML' in collection USDYC does not exist</v>
      </c>
      <c r="F14" s="921" t="str">
        <f ca="1">_xll.meLWOSwapPV(E$4,_xll.meUtilityLVBFromMultipleKeysValues("Leg1:Float",E$12,,"Leg2:Float",F$12),F$27)</f>
        <v>[2018/05/04 09:52] #Error: Invalid Curve: CurveCollection 'USDYC' does not exist</v>
      </c>
      <c r="G14" s="1261" t="str">
        <f ca="1">_xll.meLWOSwapPV(G$4,_xll.meUtilityLVBFromMultipleKeysValues("Leg1:Float",G$12,,"Leg2:Float",H$12),G$27)</f>
        <v>[2018/05/04 09:52] #Error: Invalid Curve: CurveCollection 'USDYC' does not exist</v>
      </c>
      <c r="H14" s="921" t="str">
        <f ca="1">_xll.meLWOSwapPV(G$4,_xll.meUtilityLVBFromMultipleKeysValues("Leg1:Float",G$12,,"Leg2:Float",H$12),H$27)</f>
        <v>[2018/05/04 09:52] #Error: Invalid Curve: CurveCollection 'USDYC' does not exist</v>
      </c>
      <c r="I14" s="897" t="str">
        <f ca="1">_xll.meLWOSwapPV(I$4,_xll.meUtilityLVBFromMultipleKeysValues("Leg1:Float",I$12,,"Leg2:Float",J$12),I$27)</f>
        <v>[2018/05/04 09:52] #Error: Invalid Curve: CurveCollection 'USDYC' does not exist</v>
      </c>
      <c r="J14" s="921" t="str">
        <f ca="1">_xll.meLWOSwapPV(I$4,_xll.meUtilityLVBFromMultipleKeysValues("Leg1:Float",I$12,,"Leg2:Float",J$12),J$27)</f>
        <v>[2018/05/04 09:52] #Error: Invalid Curve: CurveCollection 'USDYC' does not exist</v>
      </c>
      <c r="K14" s="677" t="s">
        <v>12</v>
      </c>
      <c r="L14" s="1141" t="str">
        <f ca="1"/>
        <v/>
      </c>
      <c r="M14" s="1006" t="str">
        <f ca="1"/>
        <v/>
      </c>
      <c r="N14" s="1006" t="str">
        <f ca="1"/>
        <v/>
      </c>
      <c r="O14" s="1004" t="str">
        <f ca="1"/>
        <v/>
      </c>
      <c r="P14" s="1027" t="str">
        <f ca="1"/>
        <v/>
      </c>
      <c r="Q14" s="1006" t="str">
        <f ca="1"/>
        <v/>
      </c>
      <c r="R14" s="1016" t="str">
        <f ca="1"/>
        <v/>
      </c>
      <c r="S14" s="1016" t="str">
        <f ca="1"/>
        <v/>
      </c>
      <c r="T14" s="1027" t="str">
        <f ca="1"/>
        <v/>
      </c>
      <c r="U14" s="1027" t="str">
        <f ca="1"/>
        <v/>
      </c>
      <c r="V14" s="1036" t="str">
        <f ca="1"/>
        <v/>
      </c>
      <c r="W14" s="1016" t="str">
        <f ca="1"/>
        <v/>
      </c>
      <c r="X14" s="1034" t="str">
        <f ca="1"/>
        <v/>
      </c>
      <c r="Y14" s="1016" t="str">
        <f ca="1"/>
        <v/>
      </c>
      <c r="Z14" s="1019" t="str">
        <f ca="1"/>
        <v/>
      </c>
      <c r="AA14" s="1016" t="str">
        <f ca="1"/>
        <v/>
      </c>
      <c r="AB14" s="1020" t="str">
        <f ca="1"/>
        <v/>
      </c>
      <c r="AC14" s="995" t="s">
        <v>12</v>
      </c>
    </row>
    <row r="15" spans="2:29" s="995" customFormat="1">
      <c r="B15" s="406" t="s">
        <v>2242</v>
      </c>
      <c r="C15" s="1262" t="str">
        <f ca="1">_xll.meLWOXccySwapParSpread(C$4,_xll.meUtilityLVBFromMultipleKeysValues("Leg1:Float",C$12,,"Leg2:Float",D$12))</f>
        <v>[2018/05/04 09:52] #Error: Invalid Curve: CurveCollection 'USDYC' does not exist</v>
      </c>
      <c r="D15" s="1263"/>
      <c r="E15" s="1262" t="str">
        <f ca="1">_xll.meLWOXccySwapParSpread(E$4,_xll.meUtilityLVBFromMultipleKeysValues("Leg1:Float",E$12,,"Leg2:Float",F$12))</f>
        <v>[2018/05/04 09:52] #Error: Invalid Curve: CurveCollection 'USDYC' does not exist</v>
      </c>
      <c r="F15" s="1265"/>
      <c r="G15" s="1262" t="str">
        <f ca="1">_xll.meLWOXccySwapParSpread(G$4,_xll.meUtilityLVBFromMultipleKeysValues("Leg1:Float",G$12,,"Leg2:Float",H$12))</f>
        <v>[2018/05/04 09:52] #Error: Invalid Curve: CurveCollection 'USDYC' does not exist</v>
      </c>
      <c r="H15" s="1265"/>
      <c r="I15" s="1264" t="str">
        <f ca="1">_xll.meLWOXccySwapParSpread(I$4,_xll.meUtilityLVBFromMultipleKeysValues("Leg1:Float",I$12,,"Leg2:Float",J$12))</f>
        <v>[2018/05/04 09:52] #Error: Invalid Curve: CurveIndex 'USD3ML' in collection USDYC does not exist</v>
      </c>
      <c r="J15" s="1265"/>
      <c r="K15" s="677" t="s">
        <v>12</v>
      </c>
      <c r="L15" s="1141" t="str">
        <f ca="1"/>
        <v/>
      </c>
      <c r="M15" s="1006" t="str">
        <f ca="1"/>
        <v/>
      </c>
      <c r="N15" s="1006" t="str">
        <f ca="1"/>
        <v/>
      </c>
      <c r="O15" s="1004" t="str">
        <f ca="1"/>
        <v/>
      </c>
      <c r="P15" s="1027" t="str">
        <f ca="1"/>
        <v/>
      </c>
      <c r="Q15" s="1006" t="str">
        <f ca="1"/>
        <v/>
      </c>
      <c r="R15" s="1016" t="str">
        <f ca="1"/>
        <v/>
      </c>
      <c r="S15" s="1016" t="str">
        <f ca="1"/>
        <v/>
      </c>
      <c r="T15" s="1027" t="str">
        <f ca="1"/>
        <v/>
      </c>
      <c r="U15" s="1027" t="str">
        <f ca="1"/>
        <v/>
      </c>
      <c r="V15" s="1036" t="str">
        <f ca="1"/>
        <v/>
      </c>
      <c r="W15" s="1016" t="str">
        <f ca="1"/>
        <v/>
      </c>
      <c r="X15" s="1034" t="str">
        <f ca="1"/>
        <v/>
      </c>
      <c r="Y15" s="1016" t="str">
        <f ca="1"/>
        <v/>
      </c>
      <c r="Z15" s="1019" t="str">
        <f ca="1"/>
        <v/>
      </c>
      <c r="AA15" s="1016" t="str">
        <f ca="1"/>
        <v/>
      </c>
      <c r="AB15" s="1020" t="str">
        <f ca="1"/>
        <v/>
      </c>
      <c r="AC15" s="995" t="s">
        <v>12</v>
      </c>
    </row>
    <row r="16" spans="2:29" s="995" customFormat="1">
      <c r="E16" s="899"/>
      <c r="F16" s="897"/>
      <c r="G16" s="899"/>
      <c r="H16" s="897"/>
      <c r="I16" s="899"/>
      <c r="J16" s="897"/>
      <c r="K16" s="995" t="s">
        <v>12</v>
      </c>
      <c r="L16" s="1141" t="str">
        <f ca="1"/>
        <v/>
      </c>
      <c r="M16" s="1006" t="str">
        <f ca="1"/>
        <v/>
      </c>
      <c r="N16" s="1006" t="str">
        <f ca="1"/>
        <v/>
      </c>
      <c r="O16" s="1004" t="str">
        <f ca="1"/>
        <v/>
      </c>
      <c r="P16" s="1027" t="str">
        <f ca="1"/>
        <v/>
      </c>
      <c r="Q16" s="1006" t="str">
        <f ca="1"/>
        <v/>
      </c>
      <c r="R16" s="1016" t="str">
        <f ca="1"/>
        <v/>
      </c>
      <c r="S16" s="1016" t="str">
        <f ca="1"/>
        <v/>
      </c>
      <c r="T16" s="1027" t="str">
        <f ca="1"/>
        <v/>
      </c>
      <c r="U16" s="1027" t="str">
        <f ca="1"/>
        <v/>
      </c>
      <c r="V16" s="1036" t="str">
        <f ca="1"/>
        <v/>
      </c>
      <c r="W16" s="1016" t="str">
        <f ca="1"/>
        <v/>
      </c>
      <c r="X16" s="1034" t="str">
        <f ca="1"/>
        <v/>
      </c>
      <c r="Y16" s="1016" t="str">
        <f ca="1"/>
        <v/>
      </c>
      <c r="Z16" s="1019" t="str">
        <f ca="1"/>
        <v/>
      </c>
      <c r="AA16" s="1016" t="str">
        <f ca="1"/>
        <v/>
      </c>
      <c r="AB16" s="1020" t="str">
        <f ca="1"/>
        <v/>
      </c>
      <c r="AC16" s="995" t="s">
        <v>12</v>
      </c>
    </row>
    <row r="17" spans="1:29" s="995" customFormat="1">
      <c r="K17" s="995" t="s">
        <v>12</v>
      </c>
      <c r="L17" s="1141" t="str">
        <f ca="1"/>
        <v/>
      </c>
      <c r="M17" s="1006" t="str">
        <f ca="1"/>
        <v/>
      </c>
      <c r="N17" s="1006" t="str">
        <f ca="1"/>
        <v/>
      </c>
      <c r="O17" s="1004" t="str">
        <f ca="1"/>
        <v/>
      </c>
      <c r="P17" s="1027" t="str">
        <f ca="1"/>
        <v/>
      </c>
      <c r="Q17" s="1006" t="str">
        <f ca="1"/>
        <v/>
      </c>
      <c r="R17" s="1016" t="str">
        <f ca="1"/>
        <v/>
      </c>
      <c r="S17" s="1016" t="str">
        <f ca="1"/>
        <v/>
      </c>
      <c r="T17" s="1027" t="str">
        <f ca="1"/>
        <v/>
      </c>
      <c r="U17" s="1027" t="str">
        <f ca="1"/>
        <v/>
      </c>
      <c r="V17" s="1036" t="str">
        <f ca="1"/>
        <v/>
      </c>
      <c r="W17" s="1016" t="str">
        <f ca="1"/>
        <v/>
      </c>
      <c r="X17" s="1034" t="str">
        <f ca="1"/>
        <v/>
      </c>
      <c r="Y17" s="1016" t="str">
        <f ca="1"/>
        <v/>
      </c>
      <c r="Z17" s="1019" t="str">
        <f ca="1"/>
        <v/>
      </c>
      <c r="AA17" s="1016" t="str">
        <f ca="1"/>
        <v/>
      </c>
      <c r="AB17" s="1020" t="str">
        <f ca="1"/>
        <v/>
      </c>
      <c r="AC17" s="995" t="s">
        <v>12</v>
      </c>
    </row>
    <row r="18" spans="1:29" s="995" customFormat="1">
      <c r="B18" s="1207" t="s">
        <v>2239</v>
      </c>
      <c r="K18" s="995" t="s">
        <v>12</v>
      </c>
      <c r="L18" s="1141" t="str">
        <f ca="1"/>
        <v/>
      </c>
      <c r="M18" s="1006" t="str">
        <f ca="1"/>
        <v/>
      </c>
      <c r="N18" s="1006" t="str">
        <f ca="1"/>
        <v/>
      </c>
      <c r="O18" s="1004" t="str">
        <f ca="1"/>
        <v/>
      </c>
      <c r="P18" s="1027" t="str">
        <f ca="1"/>
        <v/>
      </c>
      <c r="Q18" s="1006" t="str">
        <f ca="1"/>
        <v/>
      </c>
      <c r="R18" s="1016" t="str">
        <f ca="1"/>
        <v/>
      </c>
      <c r="S18" s="1016" t="str">
        <f ca="1"/>
        <v/>
      </c>
      <c r="T18" s="1027" t="str">
        <f ca="1"/>
        <v/>
      </c>
      <c r="U18" s="1027" t="str">
        <f ca="1"/>
        <v/>
      </c>
      <c r="V18" s="1036" t="str">
        <f ca="1"/>
        <v/>
      </c>
      <c r="W18" s="1016" t="str">
        <f ca="1"/>
        <v/>
      </c>
      <c r="X18" s="1034" t="str">
        <f ca="1"/>
        <v/>
      </c>
      <c r="Y18" s="1016" t="str">
        <f ca="1"/>
        <v/>
      </c>
      <c r="Z18" s="1019" t="str">
        <f ca="1"/>
        <v/>
      </c>
      <c r="AA18" s="1016" t="str">
        <f ca="1"/>
        <v/>
      </c>
      <c r="AB18" s="1020" t="str">
        <f ca="1"/>
        <v/>
      </c>
      <c r="AC18" s="995" t="s">
        <v>12</v>
      </c>
    </row>
    <row r="19" spans="1:29" s="995" customFormat="1">
      <c r="B19" s="1008" t="s">
        <v>2195</v>
      </c>
      <c r="C19" s="1237" t="b">
        <v>1</v>
      </c>
      <c r="D19"/>
      <c r="K19" s="995" t="s">
        <v>12</v>
      </c>
      <c r="L19" s="1141" t="str">
        <f ca="1"/>
        <v/>
      </c>
      <c r="M19" s="1006" t="str">
        <f ca="1"/>
        <v/>
      </c>
      <c r="N19" s="1006" t="str">
        <f ca="1"/>
        <v/>
      </c>
      <c r="O19" s="1004" t="str">
        <f ca="1"/>
        <v/>
      </c>
      <c r="P19" s="1027" t="str">
        <f ca="1"/>
        <v/>
      </c>
      <c r="Q19" s="1006" t="str">
        <f ca="1"/>
        <v/>
      </c>
      <c r="R19" s="1016" t="str">
        <f ca="1"/>
        <v/>
      </c>
      <c r="S19" s="1016" t="str">
        <f ca="1"/>
        <v/>
      </c>
      <c r="T19" s="1027" t="str">
        <f ca="1"/>
        <v/>
      </c>
      <c r="U19" s="1027" t="str">
        <f ca="1"/>
        <v/>
      </c>
      <c r="V19" s="1036" t="str">
        <f ca="1"/>
        <v/>
      </c>
      <c r="W19" s="1016" t="str">
        <f ca="1"/>
        <v/>
      </c>
      <c r="X19" s="1034" t="str">
        <f ca="1"/>
        <v/>
      </c>
      <c r="Y19" s="1016" t="str">
        <f ca="1"/>
        <v/>
      </c>
      <c r="Z19" s="1019" t="str">
        <f ca="1"/>
        <v/>
      </c>
      <c r="AA19" s="1016" t="str">
        <f ca="1"/>
        <v/>
      </c>
      <c r="AB19" s="1020" t="str">
        <f ca="1"/>
        <v/>
      </c>
      <c r="AC19" s="995" t="s">
        <v>12</v>
      </c>
    </row>
    <row r="20" spans="1:29" s="995" customFormat="1">
      <c r="B20" s="510" t="s">
        <v>2196</v>
      </c>
      <c r="C20" s="1238" t="s">
        <v>181</v>
      </c>
      <c r="D20" s="997" t="s">
        <v>1884</v>
      </c>
      <c r="K20" s="995" t="s">
        <v>12</v>
      </c>
      <c r="L20" s="1141" t="str">
        <f ca="1"/>
        <v/>
      </c>
      <c r="M20" s="1006" t="str">
        <f ca="1"/>
        <v/>
      </c>
      <c r="N20" s="1006" t="str">
        <f ca="1"/>
        <v/>
      </c>
      <c r="O20" s="1004" t="str">
        <f ca="1"/>
        <v/>
      </c>
      <c r="P20" s="1027" t="str">
        <f ca="1"/>
        <v/>
      </c>
      <c r="Q20" s="1006" t="str">
        <f ca="1"/>
        <v/>
      </c>
      <c r="R20" s="1016" t="str">
        <f ca="1"/>
        <v/>
      </c>
      <c r="S20" s="1016" t="str">
        <f ca="1"/>
        <v/>
      </c>
      <c r="T20" s="1027" t="str">
        <f ca="1"/>
        <v/>
      </c>
      <c r="U20" s="1027" t="str">
        <f ca="1"/>
        <v/>
      </c>
      <c r="V20" s="1036" t="str">
        <f ca="1"/>
        <v/>
      </c>
      <c r="W20" s="1016" t="str">
        <f ca="1"/>
        <v/>
      </c>
      <c r="X20" s="1034" t="str">
        <f ca="1"/>
        <v/>
      </c>
      <c r="Y20" s="1016" t="str">
        <f ca="1"/>
        <v/>
      </c>
      <c r="Z20" s="1019" t="str">
        <f ca="1"/>
        <v/>
      </c>
      <c r="AA20" s="1016" t="str">
        <f ca="1"/>
        <v/>
      </c>
      <c r="AB20" s="1020" t="str">
        <f ca="1"/>
        <v/>
      </c>
      <c r="AC20" s="995" t="s">
        <v>12</v>
      </c>
    </row>
    <row r="21" spans="1:29" s="995" customFormat="1">
      <c r="B21" s="510" t="s">
        <v>2197</v>
      </c>
      <c r="C21" s="1238" t="s">
        <v>181</v>
      </c>
      <c r="D21" s="1251" t="str">
        <f>IF($C$21="USD","EURUSD","USDEUR")&amp;" Curncy"</f>
        <v>EURUSD Curncy</v>
      </c>
      <c r="K21" s="995" t="s">
        <v>12</v>
      </c>
      <c r="L21" s="1141" t="str">
        <f ca="1"/>
        <v/>
      </c>
      <c r="M21" s="1006" t="str">
        <f ca="1"/>
        <v/>
      </c>
      <c r="N21" s="1006" t="str">
        <f ca="1"/>
        <v/>
      </c>
      <c r="O21" s="1004" t="str">
        <f ca="1"/>
        <v/>
      </c>
      <c r="P21" s="1027" t="str">
        <f ca="1"/>
        <v/>
      </c>
      <c r="Q21" s="1006" t="str">
        <f ca="1"/>
        <v/>
      </c>
      <c r="R21" s="1016" t="str">
        <f ca="1"/>
        <v/>
      </c>
      <c r="S21" s="1016" t="str">
        <f ca="1"/>
        <v/>
      </c>
      <c r="T21" s="1027" t="str">
        <f ca="1"/>
        <v/>
      </c>
      <c r="U21" s="1027" t="str">
        <f ca="1"/>
        <v/>
      </c>
      <c r="V21" s="1036" t="str">
        <f ca="1"/>
        <v/>
      </c>
      <c r="W21" s="1016" t="str">
        <f ca="1"/>
        <v/>
      </c>
      <c r="X21" s="1034" t="str">
        <f ca="1"/>
        <v/>
      </c>
      <c r="Y21" s="1016" t="str">
        <f ca="1"/>
        <v/>
      </c>
      <c r="Z21" s="1019" t="str">
        <f ca="1"/>
        <v/>
      </c>
      <c r="AA21" s="1016" t="str">
        <f ca="1"/>
        <v/>
      </c>
      <c r="AB21" s="1020" t="str">
        <f ca="1"/>
        <v/>
      </c>
      <c r="AC21" s="995" t="s">
        <v>12</v>
      </c>
    </row>
    <row r="22" spans="1:29" s="995" customFormat="1">
      <c r="A22" s="394"/>
      <c r="B22" s="510" t="s">
        <v>2198</v>
      </c>
      <c r="C22" s="1252">
        <v>1.0442</v>
      </c>
      <c r="D22" s="1253" t="str">
        <f ca="1">_xll.BDP(D21,"BID")</f>
        <v>#N/A Requesting Data...</v>
      </c>
      <c r="K22" s="995" t="s">
        <v>12</v>
      </c>
      <c r="L22" s="1141" t="str">
        <f ca="1"/>
        <v/>
      </c>
      <c r="M22" s="1006" t="str">
        <f ca="1"/>
        <v/>
      </c>
      <c r="N22" s="1006" t="str">
        <f ca="1"/>
        <v/>
      </c>
      <c r="O22" s="1004" t="str">
        <f ca="1"/>
        <v/>
      </c>
      <c r="P22" s="1027" t="str">
        <f ca="1"/>
        <v/>
      </c>
      <c r="Q22" s="1006" t="str">
        <f ca="1"/>
        <v/>
      </c>
      <c r="R22" s="1016" t="str">
        <f ca="1"/>
        <v/>
      </c>
      <c r="S22" s="1016" t="str">
        <f ca="1"/>
        <v/>
      </c>
      <c r="T22" s="1027" t="str">
        <f ca="1"/>
        <v/>
      </c>
      <c r="U22" s="1027" t="str">
        <f ca="1"/>
        <v/>
      </c>
      <c r="V22" s="1036" t="str">
        <f ca="1"/>
        <v/>
      </c>
      <c r="W22" s="1016" t="str">
        <f ca="1"/>
        <v/>
      </c>
      <c r="X22" s="1034" t="str">
        <f ca="1"/>
        <v/>
      </c>
      <c r="Y22" s="1016" t="str">
        <f ca="1"/>
        <v/>
      </c>
      <c r="Z22" s="1019" t="str">
        <f ca="1"/>
        <v/>
      </c>
      <c r="AA22" s="1016" t="str">
        <f ca="1"/>
        <v/>
      </c>
      <c r="AB22" s="1020" t="str">
        <f ca="1"/>
        <v/>
      </c>
      <c r="AC22" s="995" t="s">
        <v>12</v>
      </c>
    </row>
    <row r="23" spans="1:29" s="995" customFormat="1">
      <c r="B23" s="1009" t="s">
        <v>2199</v>
      </c>
      <c r="C23" s="1236"/>
      <c r="D23"/>
      <c r="K23" s="995" t="s">
        <v>12</v>
      </c>
      <c r="L23" s="1141" t="str">
        <f ca="1"/>
        <v/>
      </c>
      <c r="M23" s="1006" t="str">
        <f ca="1"/>
        <v/>
      </c>
      <c r="N23" s="1006" t="str">
        <f ca="1"/>
        <v/>
      </c>
      <c r="O23" s="1004" t="str">
        <f ca="1"/>
        <v/>
      </c>
      <c r="P23" s="1027" t="str">
        <f ca="1"/>
        <v/>
      </c>
      <c r="Q23" s="1006" t="str">
        <f ca="1"/>
        <v/>
      </c>
      <c r="R23" s="1016" t="str">
        <f ca="1"/>
        <v/>
      </c>
      <c r="S23" s="1016" t="str">
        <f ca="1"/>
        <v/>
      </c>
      <c r="T23" s="1027" t="str">
        <f ca="1"/>
        <v/>
      </c>
      <c r="U23" s="1027" t="str">
        <f ca="1"/>
        <v/>
      </c>
      <c r="V23" s="1036" t="str">
        <f ca="1"/>
        <v/>
      </c>
      <c r="W23" s="1016" t="str">
        <f ca="1"/>
        <v/>
      </c>
      <c r="X23" s="1034" t="str">
        <f ca="1"/>
        <v/>
      </c>
      <c r="Y23" s="1016" t="str">
        <f ca="1"/>
        <v/>
      </c>
      <c r="Z23" s="1019" t="str">
        <f ca="1"/>
        <v/>
      </c>
      <c r="AA23" s="1016" t="str">
        <f ca="1"/>
        <v/>
      </c>
      <c r="AB23" s="1020" t="str">
        <f ca="1"/>
        <v/>
      </c>
      <c r="AC23" s="995" t="s">
        <v>12</v>
      </c>
    </row>
    <row r="24" spans="1:29">
      <c r="B24" s="6"/>
      <c r="C24" s="995"/>
      <c r="D24" s="995"/>
      <c r="E24" s="995"/>
      <c r="F24" s="995"/>
      <c r="G24" s="995"/>
      <c r="H24" s="995"/>
      <c r="I24" s="995"/>
      <c r="J24" s="995"/>
      <c r="K24" s="995" t="s">
        <v>12</v>
      </c>
      <c r="L24" s="1141" t="str">
        <f ca="1"/>
        <v/>
      </c>
      <c r="M24" s="1006" t="str">
        <f ca="1"/>
        <v/>
      </c>
      <c r="N24" s="1006" t="str">
        <f ca="1"/>
        <v/>
      </c>
      <c r="O24" s="1004" t="str">
        <f ca="1"/>
        <v/>
      </c>
      <c r="P24" s="1027" t="str">
        <f ca="1"/>
        <v/>
      </c>
      <c r="Q24" s="1006" t="str">
        <f ca="1"/>
        <v/>
      </c>
      <c r="R24" s="1016" t="str">
        <f ca="1"/>
        <v/>
      </c>
      <c r="S24" s="1016" t="str">
        <f ca="1"/>
        <v/>
      </c>
      <c r="T24" s="1027" t="str">
        <f ca="1"/>
        <v/>
      </c>
      <c r="U24" s="1027" t="str">
        <f ca="1"/>
        <v/>
      </c>
      <c r="V24" s="1036" t="str">
        <f ca="1"/>
        <v/>
      </c>
      <c r="W24" s="1016" t="str">
        <f ca="1"/>
        <v/>
      </c>
      <c r="X24" s="1034" t="str">
        <f ca="1"/>
        <v/>
      </c>
      <c r="Y24" s="1016" t="str">
        <f ca="1"/>
        <v/>
      </c>
      <c r="Z24" s="1019" t="str">
        <f ca="1"/>
        <v/>
      </c>
      <c r="AA24" s="1016" t="str">
        <f ca="1"/>
        <v/>
      </c>
      <c r="AB24" s="1020" t="str">
        <f ca="1"/>
        <v/>
      </c>
      <c r="AC24" s="995" t="s">
        <v>12</v>
      </c>
    </row>
    <row r="25" spans="1:29">
      <c r="B25" s="995"/>
      <c r="C25" s="995"/>
      <c r="D25" s="995"/>
      <c r="E25" s="995"/>
      <c r="F25" s="995"/>
      <c r="G25" s="995"/>
      <c r="H25" s="995"/>
      <c r="I25" s="995"/>
      <c r="J25" s="995"/>
      <c r="K25" s="995" t="s">
        <v>12</v>
      </c>
      <c r="L25" s="1141" t="str">
        <f ca="1"/>
        <v/>
      </c>
      <c r="M25" s="1006" t="str">
        <f ca="1"/>
        <v/>
      </c>
      <c r="N25" s="1006" t="str">
        <f ca="1"/>
        <v/>
      </c>
      <c r="O25" s="1004" t="str">
        <f ca="1"/>
        <v/>
      </c>
      <c r="P25" s="1027" t="str">
        <f ca="1"/>
        <v/>
      </c>
      <c r="Q25" s="1006" t="str">
        <f ca="1"/>
        <v/>
      </c>
      <c r="R25" s="1016" t="str">
        <f ca="1"/>
        <v/>
      </c>
      <c r="S25" s="1016" t="str">
        <f ca="1"/>
        <v/>
      </c>
      <c r="T25" s="1027" t="str">
        <f ca="1"/>
        <v/>
      </c>
      <c r="U25" s="1027" t="str">
        <f ca="1"/>
        <v/>
      </c>
      <c r="V25" s="1036" t="str">
        <f ca="1"/>
        <v/>
      </c>
      <c r="W25" s="1016" t="str">
        <f ca="1"/>
        <v/>
      </c>
      <c r="X25" s="1034" t="str">
        <f ca="1"/>
        <v/>
      </c>
      <c r="Y25" s="1016" t="str">
        <f ca="1"/>
        <v/>
      </c>
      <c r="Z25" s="1019" t="str">
        <f ca="1"/>
        <v/>
      </c>
      <c r="AA25" s="1016" t="str">
        <f ca="1"/>
        <v/>
      </c>
      <c r="AB25" s="1020" t="str">
        <f ca="1"/>
        <v/>
      </c>
      <c r="AC25" s="995" t="s">
        <v>12</v>
      </c>
    </row>
    <row r="26" spans="1:29">
      <c r="B26" s="998" t="s">
        <v>2240</v>
      </c>
      <c r="C26" s="1203" t="str">
        <f ca="1">C4</f>
        <v>XCCY1@179:0</v>
      </c>
      <c r="E26" s="1203" t="str">
        <f ca="1">E4</f>
        <v>XCCY2@190:0</v>
      </c>
      <c r="G26" s="1203" t="str">
        <f ca="1">G4</f>
        <v>XCCY3@159:0</v>
      </c>
      <c r="I26" s="1203" t="str">
        <f ca="1">I4</f>
        <v>XCCY4@197:0</v>
      </c>
      <c r="K26" s="995" t="s">
        <v>12</v>
      </c>
      <c r="L26" s="1141" t="str">
        <f ca="1"/>
        <v/>
      </c>
      <c r="M26" s="1006" t="str">
        <f ca="1"/>
        <v/>
      </c>
      <c r="N26" s="1006" t="str">
        <f ca="1"/>
        <v/>
      </c>
      <c r="O26" s="1004" t="str">
        <f ca="1"/>
        <v/>
      </c>
      <c r="P26" s="1027" t="str">
        <f ca="1"/>
        <v/>
      </c>
      <c r="Q26" s="1006" t="str">
        <f ca="1"/>
        <v/>
      </c>
      <c r="R26" s="1016" t="str">
        <f ca="1"/>
        <v/>
      </c>
      <c r="S26" s="1016" t="str">
        <f ca="1"/>
        <v/>
      </c>
      <c r="T26" s="1027" t="str">
        <f ca="1"/>
        <v/>
      </c>
      <c r="U26" s="1027" t="str">
        <f ca="1"/>
        <v/>
      </c>
      <c r="V26" s="1036" t="str">
        <f ca="1"/>
        <v/>
      </c>
      <c r="W26" s="1016" t="str">
        <f ca="1"/>
        <v/>
      </c>
      <c r="X26" s="1034" t="str">
        <f ca="1"/>
        <v/>
      </c>
      <c r="Y26" s="1016" t="str">
        <f ca="1"/>
        <v/>
      </c>
      <c r="Z26" s="1019" t="str">
        <f ca="1"/>
        <v/>
      </c>
      <c r="AA26" s="1016" t="str">
        <f ca="1"/>
        <v/>
      </c>
      <c r="AB26" s="1020" t="str">
        <f ca="1"/>
        <v/>
      </c>
      <c r="AC26" s="995" t="s">
        <v>12</v>
      </c>
    </row>
    <row r="27" spans="1:29">
      <c r="B27" s="1008" t="s">
        <v>2017</v>
      </c>
      <c r="C27" s="936" t="s">
        <v>2237</v>
      </c>
      <c r="D27" s="936" t="s">
        <v>2238</v>
      </c>
      <c r="E27" s="936" t="s">
        <v>2237</v>
      </c>
      <c r="F27" s="936" t="s">
        <v>2238</v>
      </c>
      <c r="G27" s="936" t="s">
        <v>2237</v>
      </c>
      <c r="H27" s="936" t="s">
        <v>2238</v>
      </c>
      <c r="I27" s="936" t="s">
        <v>2237</v>
      </c>
      <c r="J27" s="936" t="s">
        <v>2238</v>
      </c>
      <c r="K27" s="995" t="s">
        <v>12</v>
      </c>
      <c r="L27" s="1141" t="str">
        <f ca="1"/>
        <v/>
      </c>
      <c r="M27" s="1006" t="str">
        <f ca="1"/>
        <v/>
      </c>
      <c r="N27" s="1006" t="str">
        <f ca="1"/>
        <v/>
      </c>
      <c r="O27" s="1004" t="str">
        <f ca="1"/>
        <v/>
      </c>
      <c r="P27" s="1027" t="str">
        <f ca="1"/>
        <v/>
      </c>
      <c r="Q27" s="1006" t="str">
        <f ca="1"/>
        <v/>
      </c>
      <c r="R27" s="1016" t="str">
        <f ca="1"/>
        <v/>
      </c>
      <c r="S27" s="1016" t="str">
        <f ca="1"/>
        <v/>
      </c>
      <c r="T27" s="1027" t="str">
        <f ca="1"/>
        <v/>
      </c>
      <c r="U27" s="1027" t="str">
        <f ca="1"/>
        <v/>
      </c>
      <c r="V27" s="1036" t="str">
        <f ca="1"/>
        <v/>
      </c>
      <c r="W27" s="1016" t="str">
        <f ca="1"/>
        <v/>
      </c>
      <c r="X27" s="1034" t="str">
        <f ca="1"/>
        <v/>
      </c>
      <c r="Y27" s="1016" t="str">
        <f ca="1"/>
        <v/>
      </c>
      <c r="Z27" s="1019" t="str">
        <f ca="1"/>
        <v/>
      </c>
      <c r="AA27" s="1016" t="str">
        <f ca="1"/>
        <v/>
      </c>
      <c r="AB27" s="1020" t="str">
        <f ca="1"/>
        <v/>
      </c>
      <c r="AC27" s="995" t="s">
        <v>12</v>
      </c>
    </row>
    <row r="28" spans="1:29">
      <c r="B28" s="510" t="s">
        <v>354</v>
      </c>
      <c r="C28" s="1223">
        <f>C$6</f>
        <v>1000000</v>
      </c>
      <c r="D28" s="1223">
        <f>C$6</f>
        <v>1000000</v>
      </c>
      <c r="E28" s="1223">
        <f>F$6</f>
        <v>1000000</v>
      </c>
      <c r="F28" s="1223">
        <f>F$6</f>
        <v>1000000</v>
      </c>
      <c r="G28" s="1223">
        <f>H$6</f>
        <v>1000000</v>
      </c>
      <c r="H28" s="1223">
        <f>H$6</f>
        <v>1000000</v>
      </c>
      <c r="I28" s="1223">
        <f>J$6</f>
        <v>1000000</v>
      </c>
      <c r="J28" s="1223">
        <f>J$6</f>
        <v>1000000</v>
      </c>
      <c r="K28" s="995" t="s">
        <v>12</v>
      </c>
      <c r="L28" s="1141" t="str">
        <f ca="1"/>
        <v/>
      </c>
      <c r="M28" s="1006" t="str">
        <f ca="1"/>
        <v/>
      </c>
      <c r="N28" s="1006" t="str">
        <f ca="1"/>
        <v/>
      </c>
      <c r="O28" s="1004" t="str">
        <f ca="1"/>
        <v/>
      </c>
      <c r="P28" s="1027" t="str">
        <f ca="1"/>
        <v/>
      </c>
      <c r="Q28" s="1006" t="str">
        <f ca="1"/>
        <v/>
      </c>
      <c r="R28" s="1016" t="str">
        <f ca="1"/>
        <v/>
      </c>
      <c r="S28" s="1016" t="str">
        <f ca="1"/>
        <v/>
      </c>
      <c r="T28" s="1027" t="str">
        <f ca="1"/>
        <v/>
      </c>
      <c r="U28" s="1027" t="str">
        <f ca="1"/>
        <v/>
      </c>
      <c r="V28" s="1036" t="str">
        <f ca="1"/>
        <v/>
      </c>
      <c r="W28" s="1016" t="str">
        <f ca="1"/>
        <v/>
      </c>
      <c r="X28" s="1034" t="str">
        <f ca="1"/>
        <v/>
      </c>
      <c r="Y28" s="1016" t="str">
        <f ca="1"/>
        <v/>
      </c>
      <c r="Z28" s="1019" t="str">
        <f ca="1"/>
        <v/>
      </c>
      <c r="AA28" s="1016" t="str">
        <f ca="1"/>
        <v/>
      </c>
      <c r="AB28" s="1020" t="str">
        <f ca="1"/>
        <v/>
      </c>
      <c r="AC28" s="995" t="s">
        <v>12</v>
      </c>
    </row>
    <row r="29" spans="1:29">
      <c r="B29" s="510" t="s">
        <v>2016</v>
      </c>
      <c r="C29" s="1204" t="s">
        <v>2125</v>
      </c>
      <c r="D29" s="1204" t="s">
        <v>2125</v>
      </c>
      <c r="E29" s="1204" t="s">
        <v>2125</v>
      </c>
      <c r="F29" s="1204" t="s">
        <v>2125</v>
      </c>
      <c r="G29" s="1204" t="s">
        <v>2125</v>
      </c>
      <c r="H29" s="1204" t="s">
        <v>2125</v>
      </c>
      <c r="I29" s="1204" t="s">
        <v>2125</v>
      </c>
      <c r="J29" s="1204" t="s">
        <v>2125</v>
      </c>
      <c r="K29" s="995" t="s">
        <v>12</v>
      </c>
      <c r="L29" s="1141" t="str">
        <f ca="1"/>
        <v/>
      </c>
      <c r="M29" s="1006" t="str">
        <f ca="1"/>
        <v/>
      </c>
      <c r="N29" s="1006" t="str">
        <f ca="1"/>
        <v/>
      </c>
      <c r="O29" s="1004" t="str">
        <f ca="1"/>
        <v/>
      </c>
      <c r="P29" s="1027" t="str">
        <f ca="1"/>
        <v/>
      </c>
      <c r="Q29" s="1006" t="str">
        <f ca="1"/>
        <v/>
      </c>
      <c r="R29" s="1016" t="str">
        <f ca="1"/>
        <v/>
      </c>
      <c r="S29" s="1016" t="str">
        <f ca="1"/>
        <v/>
      </c>
      <c r="T29" s="1027" t="str">
        <f ca="1"/>
        <v/>
      </c>
      <c r="U29" s="1027" t="str">
        <f ca="1"/>
        <v/>
      </c>
      <c r="V29" s="1036" t="str">
        <f ca="1"/>
        <v/>
      </c>
      <c r="W29" s="1016" t="str">
        <f ca="1"/>
        <v/>
      </c>
      <c r="X29" s="1034" t="str">
        <f ca="1"/>
        <v/>
      </c>
      <c r="Y29" s="1016" t="str">
        <f ca="1"/>
        <v/>
      </c>
      <c r="Z29" s="1019" t="str">
        <f ca="1"/>
        <v/>
      </c>
      <c r="AA29" s="1016" t="str">
        <f ca="1"/>
        <v/>
      </c>
      <c r="AB29" s="1020" t="str">
        <f ca="1"/>
        <v/>
      </c>
      <c r="AC29" s="995" t="s">
        <v>12</v>
      </c>
    </row>
    <row r="30" spans="1:29">
      <c r="B30" s="510" t="s">
        <v>1803</v>
      </c>
      <c r="C30" s="1204" t="s">
        <v>1822</v>
      </c>
      <c r="D30" s="1204" t="s">
        <v>1753</v>
      </c>
      <c r="E30" s="1204" t="s">
        <v>1822</v>
      </c>
      <c r="F30" s="1204" t="s">
        <v>1753</v>
      </c>
      <c r="G30" s="1204" t="s">
        <v>1822</v>
      </c>
      <c r="H30" s="1204" t="s">
        <v>1753</v>
      </c>
      <c r="I30" s="1204" t="s">
        <v>1822</v>
      </c>
      <c r="J30" s="1204" t="s">
        <v>1753</v>
      </c>
      <c r="K30" s="995" t="s">
        <v>12</v>
      </c>
      <c r="L30" s="1141" t="str">
        <f ca="1"/>
        <v/>
      </c>
      <c r="M30" s="1006" t="str">
        <f ca="1"/>
        <v/>
      </c>
      <c r="N30" s="1006" t="str">
        <f ca="1"/>
        <v/>
      </c>
      <c r="O30" s="1004" t="str">
        <f ca="1"/>
        <v/>
      </c>
      <c r="P30" s="1027" t="str">
        <f ca="1"/>
        <v/>
      </c>
      <c r="Q30" s="1006" t="str">
        <f ca="1"/>
        <v/>
      </c>
      <c r="R30" s="1016" t="str">
        <f ca="1"/>
        <v/>
      </c>
      <c r="S30" s="1016" t="str">
        <f ca="1"/>
        <v/>
      </c>
      <c r="T30" s="1027" t="str">
        <f ca="1"/>
        <v/>
      </c>
      <c r="U30" s="1027" t="str">
        <f ca="1"/>
        <v/>
      </c>
      <c r="V30" s="1036" t="str">
        <f ca="1"/>
        <v/>
      </c>
      <c r="W30" s="1016" t="str">
        <f ca="1"/>
        <v/>
      </c>
      <c r="X30" s="1034" t="str">
        <f ca="1"/>
        <v/>
      </c>
      <c r="Y30" s="1016" t="str">
        <f ca="1"/>
        <v/>
      </c>
      <c r="Z30" s="1019" t="str">
        <f ca="1"/>
        <v/>
      </c>
      <c r="AA30" s="1016" t="str">
        <f ca="1"/>
        <v/>
      </c>
      <c r="AB30" s="1020" t="str">
        <f ca="1"/>
        <v/>
      </c>
      <c r="AC30" s="995" t="s">
        <v>12</v>
      </c>
    </row>
    <row r="31" spans="1:29">
      <c r="B31" s="510" t="s">
        <v>1443</v>
      </c>
      <c r="C31" s="1204" t="s">
        <v>1031</v>
      </c>
      <c r="D31" s="1204" t="s">
        <v>1040</v>
      </c>
      <c r="E31" s="1204" t="s">
        <v>1031</v>
      </c>
      <c r="F31" s="1204" t="s">
        <v>1040</v>
      </c>
      <c r="G31" s="1204" t="s">
        <v>1031</v>
      </c>
      <c r="H31" s="1204" t="s">
        <v>1040</v>
      </c>
      <c r="I31" s="1204" t="s">
        <v>1031</v>
      </c>
      <c r="J31" s="1204" t="s">
        <v>1040</v>
      </c>
      <c r="K31" s="995" t="s">
        <v>12</v>
      </c>
      <c r="L31" s="1141" t="str">
        <f ca="1"/>
        <v/>
      </c>
      <c r="M31" s="1006" t="str">
        <f ca="1"/>
        <v/>
      </c>
      <c r="N31" s="1006" t="str">
        <f ca="1"/>
        <v/>
      </c>
      <c r="O31" s="1004" t="str">
        <f ca="1"/>
        <v/>
      </c>
      <c r="P31" s="1027" t="str">
        <f ca="1"/>
        <v/>
      </c>
      <c r="Q31" s="1006" t="str">
        <f ca="1"/>
        <v/>
      </c>
      <c r="R31" s="1016" t="str">
        <f ca="1"/>
        <v/>
      </c>
      <c r="S31" s="1016" t="str">
        <f ca="1"/>
        <v/>
      </c>
      <c r="T31" s="1027" t="str">
        <f ca="1"/>
        <v/>
      </c>
      <c r="U31" s="1027" t="str">
        <f ca="1"/>
        <v/>
      </c>
      <c r="V31" s="1036" t="str">
        <f ca="1"/>
        <v/>
      </c>
      <c r="W31" s="1016" t="str">
        <f ca="1"/>
        <v/>
      </c>
      <c r="X31" s="1034" t="str">
        <f ca="1"/>
        <v/>
      </c>
      <c r="Y31" s="1016" t="str">
        <f ca="1"/>
        <v/>
      </c>
      <c r="Z31" s="1019" t="str">
        <f ca="1"/>
        <v/>
      </c>
      <c r="AA31" s="1016" t="str">
        <f ca="1"/>
        <v/>
      </c>
      <c r="AB31" s="1020" t="str">
        <f ca="1"/>
        <v/>
      </c>
      <c r="AC31" s="995" t="s">
        <v>12</v>
      </c>
    </row>
    <row r="32" spans="1:29">
      <c r="B32" s="510" t="s">
        <v>1444</v>
      </c>
      <c r="C32" s="1206" t="str">
        <f t="shared" ref="C32:J32" si="0">C$33&amp;"DF_"&amp;$C$20&amp;"CSA"</f>
        <v>EURDF_USDCSA</v>
      </c>
      <c r="D32" s="1206" t="str">
        <f t="shared" si="0"/>
        <v>USDDF_USDCSA</v>
      </c>
      <c r="E32" s="1206" t="str">
        <f t="shared" si="0"/>
        <v>EURDF_USDCSA</v>
      </c>
      <c r="F32" s="1206" t="str">
        <f t="shared" si="0"/>
        <v>USDDF_USDCSA</v>
      </c>
      <c r="G32" s="1206" t="str">
        <f t="shared" si="0"/>
        <v>EURDF_USDCSA</v>
      </c>
      <c r="H32" s="1206" t="str">
        <f t="shared" si="0"/>
        <v>USDDF_USDCSA</v>
      </c>
      <c r="I32" s="1206" t="str">
        <f t="shared" si="0"/>
        <v>EURDF_USDCSA</v>
      </c>
      <c r="J32" s="1206" t="str">
        <f t="shared" si="0"/>
        <v>USDDF_USDCSA</v>
      </c>
      <c r="K32" s="995" t="s">
        <v>12</v>
      </c>
      <c r="L32" s="1141" t="str">
        <f ca="1"/>
        <v/>
      </c>
      <c r="M32" s="1006" t="str">
        <f ca="1"/>
        <v/>
      </c>
      <c r="N32" s="1006" t="str">
        <f ca="1"/>
        <v/>
      </c>
      <c r="O32" s="1004" t="str">
        <f ca="1"/>
        <v/>
      </c>
      <c r="P32" s="1027" t="str">
        <f ca="1"/>
        <v/>
      </c>
      <c r="Q32" s="1006" t="str">
        <f ca="1"/>
        <v/>
      </c>
      <c r="R32" s="1016" t="str">
        <f ca="1"/>
        <v/>
      </c>
      <c r="S32" s="1016" t="str">
        <f ca="1"/>
        <v/>
      </c>
      <c r="T32" s="1027" t="str">
        <f ca="1"/>
        <v/>
      </c>
      <c r="U32" s="1027" t="str">
        <f ca="1"/>
        <v/>
      </c>
      <c r="V32" s="1036" t="str">
        <f ca="1"/>
        <v/>
      </c>
      <c r="W32" s="1016" t="str">
        <f ca="1"/>
        <v/>
      </c>
      <c r="X32" s="1034" t="str">
        <f ca="1"/>
        <v/>
      </c>
      <c r="Y32" s="1016" t="str">
        <f ca="1"/>
        <v/>
      </c>
      <c r="Z32" s="1019" t="str">
        <f ca="1"/>
        <v/>
      </c>
      <c r="AA32" s="1016" t="str">
        <f ca="1"/>
        <v/>
      </c>
      <c r="AB32" s="1020" t="str">
        <f ca="1"/>
        <v/>
      </c>
      <c r="AC32" s="995" t="s">
        <v>12</v>
      </c>
    </row>
    <row r="33" spans="2:29">
      <c r="B33" s="510" t="s">
        <v>156</v>
      </c>
      <c r="C33" s="1221" t="s">
        <v>2</v>
      </c>
      <c r="D33" s="1221" t="s">
        <v>181</v>
      </c>
      <c r="E33" s="1221" t="s">
        <v>2</v>
      </c>
      <c r="F33" s="1221" t="s">
        <v>181</v>
      </c>
      <c r="G33" s="1221" t="s">
        <v>2</v>
      </c>
      <c r="H33" s="1221" t="s">
        <v>181</v>
      </c>
      <c r="I33" s="1221" t="s">
        <v>2</v>
      </c>
      <c r="J33" s="1221" t="s">
        <v>181</v>
      </c>
      <c r="K33" s="995" t="s">
        <v>12</v>
      </c>
      <c r="L33" s="1141" t="str">
        <f ca="1"/>
        <v/>
      </c>
      <c r="M33" s="1006" t="str">
        <f ca="1"/>
        <v/>
      </c>
      <c r="N33" s="1006" t="str">
        <f ca="1"/>
        <v/>
      </c>
      <c r="O33" s="1004" t="str">
        <f ca="1"/>
        <v/>
      </c>
      <c r="P33" s="1027" t="str">
        <f ca="1"/>
        <v/>
      </c>
      <c r="Q33" s="1006" t="str">
        <f ca="1"/>
        <v/>
      </c>
      <c r="R33" s="1016" t="str">
        <f ca="1"/>
        <v/>
      </c>
      <c r="S33" s="1016" t="str">
        <f ca="1"/>
        <v/>
      </c>
      <c r="T33" s="1027" t="str">
        <f ca="1"/>
        <v/>
      </c>
      <c r="U33" s="1027" t="str">
        <f ca="1"/>
        <v/>
      </c>
      <c r="V33" s="1036" t="str">
        <f ca="1"/>
        <v/>
      </c>
      <c r="W33" s="1016" t="str">
        <f ca="1"/>
        <v/>
      </c>
      <c r="X33" s="1034" t="str">
        <f ca="1"/>
        <v/>
      </c>
      <c r="Y33" s="1016" t="str">
        <f ca="1"/>
        <v/>
      </c>
      <c r="Z33" s="1019" t="str">
        <f ca="1"/>
        <v/>
      </c>
      <c r="AA33" s="1016" t="str">
        <f ca="1"/>
        <v/>
      </c>
      <c r="AB33" s="1020" t="str">
        <f ca="1"/>
        <v/>
      </c>
      <c r="AC33" s="995" t="s">
        <v>12</v>
      </c>
    </row>
    <row r="34" spans="2:29">
      <c r="B34" s="510" t="s">
        <v>2015</v>
      </c>
      <c r="C34" s="1097">
        <f>C5</f>
        <v>1</v>
      </c>
      <c r="D34" s="1097">
        <f>C5</f>
        <v>1</v>
      </c>
      <c r="E34" s="1097">
        <f>E5</f>
        <v>0</v>
      </c>
      <c r="F34" s="1097">
        <f>E5</f>
        <v>0</v>
      </c>
      <c r="G34" s="1097">
        <f>G5</f>
        <v>0</v>
      </c>
      <c r="H34" s="1097">
        <f>G5</f>
        <v>0</v>
      </c>
      <c r="I34" s="1097">
        <f>I5</f>
        <v>0</v>
      </c>
      <c r="J34" s="1097">
        <f>I5</f>
        <v>0</v>
      </c>
      <c r="K34" s="995" t="s">
        <v>12</v>
      </c>
      <c r="L34" s="1141" t="str">
        <f ca="1"/>
        <v/>
      </c>
      <c r="M34" s="1006" t="str">
        <f ca="1"/>
        <v/>
      </c>
      <c r="N34" s="1006" t="str">
        <f ca="1"/>
        <v/>
      </c>
      <c r="O34" s="1004" t="str">
        <f ca="1"/>
        <v/>
      </c>
      <c r="P34" s="1027" t="str">
        <f ca="1"/>
        <v/>
      </c>
      <c r="Q34" s="1006" t="str">
        <f ca="1"/>
        <v/>
      </c>
      <c r="R34" s="1016" t="str">
        <f ca="1"/>
        <v/>
      </c>
      <c r="S34" s="1016" t="str">
        <f ca="1"/>
        <v/>
      </c>
      <c r="T34" s="1027" t="str">
        <f ca="1"/>
        <v/>
      </c>
      <c r="U34" s="1027" t="str">
        <f ca="1"/>
        <v/>
      </c>
      <c r="V34" s="1036" t="str">
        <f ca="1"/>
        <v/>
      </c>
      <c r="W34" s="1016" t="str">
        <f ca="1"/>
        <v/>
      </c>
      <c r="X34" s="1034" t="str">
        <f ca="1"/>
        <v/>
      </c>
      <c r="Y34" s="1016" t="str">
        <f ca="1"/>
        <v/>
      </c>
      <c r="Z34" s="1019" t="str">
        <f ca="1"/>
        <v/>
      </c>
      <c r="AA34" s="1016" t="str">
        <f ca="1"/>
        <v/>
      </c>
      <c r="AB34" s="1020" t="str">
        <f ca="1"/>
        <v/>
      </c>
      <c r="AC34" s="995" t="s">
        <v>12</v>
      </c>
    </row>
    <row r="35" spans="2:29">
      <c r="B35" s="510" t="s">
        <v>1772</v>
      </c>
      <c r="C35" s="1204" t="s">
        <v>86</v>
      </c>
      <c r="D35" s="1204" t="s">
        <v>86</v>
      </c>
      <c r="E35" s="1204" t="s">
        <v>86</v>
      </c>
      <c r="F35" s="1204" t="s">
        <v>86</v>
      </c>
      <c r="G35" s="1204" t="s">
        <v>86</v>
      </c>
      <c r="H35" s="1204" t="s">
        <v>86</v>
      </c>
      <c r="I35" s="1204" t="s">
        <v>86</v>
      </c>
      <c r="J35" s="1204" t="s">
        <v>86</v>
      </c>
      <c r="K35" s="995" t="s">
        <v>12</v>
      </c>
      <c r="L35" s="1141" t="str">
        <f ca="1"/>
        <v/>
      </c>
      <c r="M35" s="1006" t="str">
        <f ca="1"/>
        <v/>
      </c>
      <c r="N35" s="1006" t="str">
        <f ca="1"/>
        <v/>
      </c>
      <c r="O35" s="1004" t="str">
        <f ca="1"/>
        <v/>
      </c>
      <c r="P35" s="1027" t="str">
        <f ca="1"/>
        <v/>
      </c>
      <c r="Q35" s="1006" t="str">
        <f ca="1"/>
        <v/>
      </c>
      <c r="R35" s="1016" t="str">
        <f ca="1"/>
        <v/>
      </c>
      <c r="S35" s="1016" t="str">
        <f ca="1"/>
        <v/>
      </c>
      <c r="T35" s="1027" t="str">
        <f ca="1"/>
        <v/>
      </c>
      <c r="U35" s="1027" t="str">
        <f ca="1"/>
        <v/>
      </c>
      <c r="V35" s="1036" t="str">
        <f ca="1"/>
        <v/>
      </c>
      <c r="W35" s="1016" t="str">
        <f ca="1"/>
        <v/>
      </c>
      <c r="X35" s="1034" t="str">
        <f ca="1"/>
        <v/>
      </c>
      <c r="Y35" s="1016" t="str">
        <f ca="1"/>
        <v/>
      </c>
      <c r="Z35" s="1019" t="str">
        <f ca="1"/>
        <v/>
      </c>
      <c r="AA35" s="1016" t="str">
        <f ca="1"/>
        <v/>
      </c>
      <c r="AB35" s="1020" t="str">
        <f ca="1"/>
        <v/>
      </c>
      <c r="AC35" s="995" t="s">
        <v>12</v>
      </c>
    </row>
    <row r="36" spans="2:29">
      <c r="B36" s="510" t="s">
        <v>2250</v>
      </c>
      <c r="C36" s="1204" t="s">
        <v>2252</v>
      </c>
      <c r="D36" s="1204" t="s">
        <v>2252</v>
      </c>
      <c r="E36" s="1204" t="s">
        <v>2252</v>
      </c>
      <c r="F36" s="1204" t="s">
        <v>2252</v>
      </c>
      <c r="G36" s="1204" t="s">
        <v>2252</v>
      </c>
      <c r="H36" s="1204" t="s">
        <v>2252</v>
      </c>
      <c r="I36" s="1204" t="s">
        <v>2252</v>
      </c>
      <c r="J36" s="1204" t="s">
        <v>2252</v>
      </c>
      <c r="K36" s="995" t="s">
        <v>12</v>
      </c>
      <c r="L36" s="1141" t="str">
        <f ca="1"/>
        <v/>
      </c>
      <c r="M36" s="1006" t="str">
        <f ca="1"/>
        <v/>
      </c>
      <c r="N36" s="1006" t="str">
        <f ca="1"/>
        <v/>
      </c>
      <c r="O36" s="1004" t="str">
        <f ca="1"/>
        <v/>
      </c>
      <c r="P36" s="1027" t="str">
        <f ca="1"/>
        <v/>
      </c>
      <c r="Q36" s="1006" t="str">
        <f ca="1"/>
        <v/>
      </c>
      <c r="R36" s="1016" t="str">
        <f ca="1"/>
        <v/>
      </c>
      <c r="S36" s="1016" t="str">
        <f ca="1"/>
        <v/>
      </c>
      <c r="T36" s="1027" t="str">
        <f ca="1"/>
        <v/>
      </c>
      <c r="U36" s="1027" t="str">
        <f ca="1"/>
        <v/>
      </c>
      <c r="V36" s="1036" t="str">
        <f ca="1"/>
        <v/>
      </c>
      <c r="W36" s="1016" t="str">
        <f ca="1"/>
        <v/>
      </c>
      <c r="X36" s="1034" t="str">
        <f ca="1"/>
        <v/>
      </c>
      <c r="Y36" s="1016" t="str">
        <f ca="1"/>
        <v/>
      </c>
      <c r="Z36" s="1019" t="str">
        <f ca="1"/>
        <v/>
      </c>
      <c r="AA36" s="1016" t="str">
        <f ca="1"/>
        <v/>
      </c>
      <c r="AB36" s="1020" t="str">
        <f ca="1"/>
        <v/>
      </c>
      <c r="AC36" s="995" t="s">
        <v>12</v>
      </c>
    </row>
    <row r="37" spans="2:29">
      <c r="B37" s="510" t="s">
        <v>2251</v>
      </c>
      <c r="C37" s="1204" t="s">
        <v>2252</v>
      </c>
      <c r="D37" s="1204" t="s">
        <v>2252</v>
      </c>
      <c r="E37" s="1204" t="s">
        <v>2252</v>
      </c>
      <c r="F37" s="1204" t="s">
        <v>2252</v>
      </c>
      <c r="G37" s="1204" t="s">
        <v>2252</v>
      </c>
      <c r="H37" s="1204" t="s">
        <v>2252</v>
      </c>
      <c r="I37" s="1204" t="s">
        <v>2252</v>
      </c>
      <c r="J37" s="1204" t="s">
        <v>2252</v>
      </c>
      <c r="K37" s="995" t="s">
        <v>12</v>
      </c>
      <c r="L37" s="1141" t="str">
        <f ca="1"/>
        <v/>
      </c>
      <c r="M37" s="1006" t="str">
        <f ca="1"/>
        <v/>
      </c>
      <c r="N37" s="1006" t="str">
        <f ca="1"/>
        <v/>
      </c>
      <c r="O37" s="1004" t="str">
        <f ca="1"/>
        <v/>
      </c>
      <c r="P37" s="1027" t="str">
        <f ca="1"/>
        <v/>
      </c>
      <c r="Q37" s="1006" t="str">
        <f ca="1"/>
        <v/>
      </c>
      <c r="R37" s="1016" t="str">
        <f ca="1"/>
        <v/>
      </c>
      <c r="S37" s="1016" t="str">
        <f ca="1"/>
        <v/>
      </c>
      <c r="T37" s="1027" t="str">
        <f ca="1"/>
        <v/>
      </c>
      <c r="U37" s="1027" t="str">
        <f ca="1"/>
        <v/>
      </c>
      <c r="V37" s="1036" t="str">
        <f ca="1"/>
        <v/>
      </c>
      <c r="W37" s="1016" t="str">
        <f ca="1"/>
        <v/>
      </c>
      <c r="X37" s="1034" t="str">
        <f ca="1"/>
        <v/>
      </c>
      <c r="Y37" s="1016" t="str">
        <f ca="1"/>
        <v/>
      </c>
      <c r="Z37" s="1019" t="str">
        <f ca="1"/>
        <v/>
      </c>
      <c r="AA37" s="1016" t="str">
        <f ca="1"/>
        <v/>
      </c>
      <c r="AB37" s="1020" t="str">
        <f ca="1"/>
        <v/>
      </c>
      <c r="AC37" s="995" t="s">
        <v>12</v>
      </c>
    </row>
    <row r="38" spans="2:29">
      <c r="B38" s="510" t="s">
        <v>2003</v>
      </c>
      <c r="C38" s="1204" t="s">
        <v>86</v>
      </c>
      <c r="D38" s="1204" t="s">
        <v>86</v>
      </c>
      <c r="E38" s="1204" t="s">
        <v>86</v>
      </c>
      <c r="F38" s="1204" t="s">
        <v>86</v>
      </c>
      <c r="G38" s="1204" t="s">
        <v>86</v>
      </c>
      <c r="H38" s="1204" t="s">
        <v>86</v>
      </c>
      <c r="I38" s="1204" t="s">
        <v>86</v>
      </c>
      <c r="J38" s="1204" t="s">
        <v>86</v>
      </c>
      <c r="K38" s="995" t="s">
        <v>12</v>
      </c>
      <c r="L38" s="1141" t="str">
        <f ca="1"/>
        <v/>
      </c>
      <c r="M38" s="1006" t="str">
        <f ca="1"/>
        <v/>
      </c>
      <c r="N38" s="1006" t="str">
        <f ca="1"/>
        <v/>
      </c>
      <c r="O38" s="1004" t="str">
        <f ca="1"/>
        <v/>
      </c>
      <c r="P38" s="1027" t="str">
        <f ca="1"/>
        <v/>
      </c>
      <c r="Q38" s="1006" t="str">
        <f ca="1"/>
        <v/>
      </c>
      <c r="R38" s="1016" t="str">
        <f ca="1"/>
        <v/>
      </c>
      <c r="S38" s="1016" t="str">
        <f ca="1"/>
        <v/>
      </c>
      <c r="T38" s="1027" t="str">
        <f ca="1"/>
        <v/>
      </c>
      <c r="U38" s="1027" t="str">
        <f ca="1"/>
        <v/>
      </c>
      <c r="V38" s="1036" t="str">
        <f ca="1"/>
        <v/>
      </c>
      <c r="W38" s="1016" t="str">
        <f ca="1"/>
        <v/>
      </c>
      <c r="X38" s="1034" t="str">
        <f ca="1"/>
        <v/>
      </c>
      <c r="Y38" s="1016" t="str">
        <f ca="1"/>
        <v/>
      </c>
      <c r="Z38" s="1019" t="str">
        <f ca="1"/>
        <v/>
      </c>
      <c r="AA38" s="1016" t="str">
        <f ca="1"/>
        <v/>
      </c>
      <c r="AB38" s="1020" t="str">
        <f ca="1"/>
        <v/>
      </c>
      <c r="AC38" s="995" t="s">
        <v>12</v>
      </c>
    </row>
    <row r="39" spans="2:29">
      <c r="B39" s="510" t="s">
        <v>2002</v>
      </c>
      <c r="C39" s="1204" t="s">
        <v>86</v>
      </c>
      <c r="D39" s="1204" t="s">
        <v>86</v>
      </c>
      <c r="E39" s="1204" t="s">
        <v>86</v>
      </c>
      <c r="F39" s="1204" t="s">
        <v>86</v>
      </c>
      <c r="G39" s="1204" t="s">
        <v>86</v>
      </c>
      <c r="H39" s="1204" t="s">
        <v>86</v>
      </c>
      <c r="I39" s="1204" t="s">
        <v>86</v>
      </c>
      <c r="J39" s="1204" t="s">
        <v>86</v>
      </c>
      <c r="K39" s="995" t="s">
        <v>12</v>
      </c>
      <c r="L39" s="1141" t="str">
        <f ca="1"/>
        <v/>
      </c>
      <c r="M39" s="1006" t="str">
        <f ca="1"/>
        <v/>
      </c>
      <c r="N39" s="1006" t="str">
        <f ca="1"/>
        <v/>
      </c>
      <c r="O39" s="1004" t="str">
        <f ca="1"/>
        <v/>
      </c>
      <c r="P39" s="1027" t="str">
        <f ca="1"/>
        <v/>
      </c>
      <c r="Q39" s="1006" t="str">
        <f ca="1"/>
        <v/>
      </c>
      <c r="R39" s="1016" t="str">
        <f ca="1"/>
        <v/>
      </c>
      <c r="S39" s="1016" t="str">
        <f ca="1"/>
        <v/>
      </c>
      <c r="T39" s="1027" t="str">
        <f ca="1"/>
        <v/>
      </c>
      <c r="U39" s="1027" t="str">
        <f ca="1"/>
        <v/>
      </c>
      <c r="V39" s="1036" t="str">
        <f ca="1"/>
        <v/>
      </c>
      <c r="W39" s="1016" t="str">
        <f ca="1"/>
        <v/>
      </c>
      <c r="X39" s="1034" t="str">
        <f ca="1"/>
        <v/>
      </c>
      <c r="Y39" s="1016" t="str">
        <f ca="1"/>
        <v/>
      </c>
      <c r="Z39" s="1019" t="str">
        <f ca="1"/>
        <v/>
      </c>
      <c r="AA39" s="1016" t="str">
        <f ca="1"/>
        <v/>
      </c>
      <c r="AB39" s="1020" t="str">
        <f ca="1"/>
        <v/>
      </c>
      <c r="AC39" s="995" t="s">
        <v>12</v>
      </c>
    </row>
    <row r="40" spans="2:29">
      <c r="B40" s="510" t="s">
        <v>1784</v>
      </c>
      <c r="C40" s="1204">
        <v>0</v>
      </c>
      <c r="D40" s="1204">
        <v>0</v>
      </c>
      <c r="E40" s="1204">
        <v>0</v>
      </c>
      <c r="F40" s="1204">
        <v>0</v>
      </c>
      <c r="G40" s="1204">
        <v>0</v>
      </c>
      <c r="H40" s="1204">
        <v>0</v>
      </c>
      <c r="I40" s="1204">
        <v>0</v>
      </c>
      <c r="J40" s="1204">
        <v>0</v>
      </c>
      <c r="K40" s="995" t="s">
        <v>12</v>
      </c>
      <c r="L40" s="1141" t="str">
        <f ca="1"/>
        <v/>
      </c>
      <c r="M40" s="1006" t="str">
        <f ca="1"/>
        <v/>
      </c>
      <c r="N40" s="1006" t="str">
        <f ca="1"/>
        <v/>
      </c>
      <c r="O40" s="1004" t="str">
        <f ca="1"/>
        <v/>
      </c>
      <c r="P40" s="1027" t="str">
        <f ca="1"/>
        <v/>
      </c>
      <c r="Q40" s="1006" t="str">
        <f ca="1"/>
        <v/>
      </c>
      <c r="R40" s="1016" t="str">
        <f ca="1"/>
        <v/>
      </c>
      <c r="S40" s="1016" t="str">
        <f ca="1"/>
        <v/>
      </c>
      <c r="T40" s="1027" t="str">
        <f ca="1"/>
        <v/>
      </c>
      <c r="U40" s="1027" t="str">
        <f ca="1"/>
        <v/>
      </c>
      <c r="V40" s="1036" t="str">
        <f ca="1"/>
        <v/>
      </c>
      <c r="W40" s="1016" t="str">
        <f ca="1"/>
        <v/>
      </c>
      <c r="X40" s="1034" t="str">
        <f ca="1"/>
        <v/>
      </c>
      <c r="Y40" s="1016" t="str">
        <f ca="1"/>
        <v/>
      </c>
      <c r="Z40" s="1019" t="str">
        <f ca="1"/>
        <v/>
      </c>
      <c r="AA40" s="1016" t="str">
        <f ca="1"/>
        <v/>
      </c>
      <c r="AB40" s="1020" t="str">
        <f ca="1"/>
        <v/>
      </c>
      <c r="AC40" s="995" t="s">
        <v>12</v>
      </c>
    </row>
    <row r="41" spans="2:29">
      <c r="B41" s="510" t="s">
        <v>1768</v>
      </c>
      <c r="C41" s="1201">
        <f ca="1">D7</f>
        <v>43229</v>
      </c>
      <c r="D41" s="1201">
        <f ca="1">D7</f>
        <v>43229</v>
      </c>
      <c r="E41" s="1201">
        <f ca="1">F7</f>
        <v>43229</v>
      </c>
      <c r="F41" s="1201">
        <f ca="1">F7</f>
        <v>43229</v>
      </c>
      <c r="G41" s="1201">
        <f ca="1">H7</f>
        <v>43229</v>
      </c>
      <c r="H41" s="1201">
        <f ca="1">H7</f>
        <v>43229</v>
      </c>
      <c r="I41" s="1201">
        <f ca="1">J7</f>
        <v>43229</v>
      </c>
      <c r="J41" s="1201">
        <f ca="1">J7</f>
        <v>43229</v>
      </c>
      <c r="K41" s="995" t="s">
        <v>12</v>
      </c>
      <c r="L41" s="1141" t="str">
        <f ca="1"/>
        <v/>
      </c>
      <c r="M41" s="1006" t="str">
        <f ca="1"/>
        <v/>
      </c>
      <c r="N41" s="1006" t="str">
        <f ca="1"/>
        <v/>
      </c>
      <c r="O41" s="1004" t="str">
        <f ca="1"/>
        <v/>
      </c>
      <c r="P41" s="1027" t="str">
        <f ca="1"/>
        <v/>
      </c>
      <c r="Q41" s="1006" t="str">
        <f ca="1"/>
        <v/>
      </c>
      <c r="R41" s="1016" t="str">
        <f ca="1"/>
        <v/>
      </c>
      <c r="S41" s="1016" t="str">
        <f ca="1"/>
        <v/>
      </c>
      <c r="T41" s="1027" t="str">
        <f ca="1"/>
        <v/>
      </c>
      <c r="U41" s="1027" t="str">
        <f ca="1"/>
        <v/>
      </c>
      <c r="V41" s="1036" t="str">
        <f ca="1"/>
        <v/>
      </c>
      <c r="W41" s="1016" t="str">
        <f ca="1"/>
        <v/>
      </c>
      <c r="X41" s="1034" t="str">
        <f ca="1"/>
        <v/>
      </c>
      <c r="Y41" s="1016" t="str">
        <f ca="1"/>
        <v/>
      </c>
      <c r="Z41" s="1019" t="str">
        <f ca="1"/>
        <v/>
      </c>
      <c r="AA41" s="1016" t="str">
        <f ca="1"/>
        <v/>
      </c>
      <c r="AB41" s="1020" t="str">
        <f ca="1"/>
        <v/>
      </c>
      <c r="AC41" s="995" t="s">
        <v>12</v>
      </c>
    </row>
    <row r="42" spans="2:29">
      <c r="B42" s="510" t="s">
        <v>1769</v>
      </c>
      <c r="C42" s="1201">
        <f ca="1">D8</f>
        <v>45055</v>
      </c>
      <c r="D42" s="1201">
        <f ca="1">D8</f>
        <v>45055</v>
      </c>
      <c r="E42" s="1201">
        <f ca="1">F8</f>
        <v>45055</v>
      </c>
      <c r="F42" s="1201">
        <f ca="1">F8</f>
        <v>45055</v>
      </c>
      <c r="G42" s="1201">
        <f ca="1">H8</f>
        <v>45055</v>
      </c>
      <c r="H42" s="1201">
        <f ca="1">H8</f>
        <v>45055</v>
      </c>
      <c r="I42" s="1201">
        <f ca="1">J8</f>
        <v>45055</v>
      </c>
      <c r="J42" s="1201">
        <f ca="1">J8</f>
        <v>45055</v>
      </c>
      <c r="K42" s="995" t="s">
        <v>12</v>
      </c>
      <c r="L42" s="1141" t="str">
        <f ca="1"/>
        <v/>
      </c>
      <c r="M42" s="1006" t="str">
        <f ca="1"/>
        <v/>
      </c>
      <c r="N42" s="1006" t="str">
        <f ca="1"/>
        <v/>
      </c>
      <c r="O42" s="1004" t="str">
        <f ca="1"/>
        <v/>
      </c>
      <c r="P42" s="1027" t="str">
        <f ca="1"/>
        <v/>
      </c>
      <c r="Q42" s="1006" t="str">
        <f ca="1"/>
        <v/>
      </c>
      <c r="R42" s="1016" t="str">
        <f ca="1"/>
        <v/>
      </c>
      <c r="S42" s="1016" t="str">
        <f ca="1"/>
        <v/>
      </c>
      <c r="T42" s="1027" t="str">
        <f ca="1"/>
        <v/>
      </c>
      <c r="U42" s="1027" t="str">
        <f ca="1"/>
        <v/>
      </c>
      <c r="V42" s="1036" t="str">
        <f ca="1"/>
        <v/>
      </c>
      <c r="W42" s="1016" t="str">
        <f ca="1"/>
        <v/>
      </c>
      <c r="X42" s="1034" t="str">
        <f ca="1"/>
        <v/>
      </c>
      <c r="Y42" s="1016" t="str">
        <f ca="1"/>
        <v/>
      </c>
      <c r="Z42" s="1019" t="str">
        <f ca="1"/>
        <v/>
      </c>
      <c r="AA42" s="1016" t="str">
        <f ca="1"/>
        <v/>
      </c>
      <c r="AB42" s="1020" t="str">
        <f ca="1"/>
        <v/>
      </c>
      <c r="AC42" s="995" t="s">
        <v>12</v>
      </c>
    </row>
    <row r="43" spans="2:29">
      <c r="B43" s="510" t="s">
        <v>1</v>
      </c>
      <c r="C43" s="1204" t="s">
        <v>1996</v>
      </c>
      <c r="D43" s="1204" t="s">
        <v>1996</v>
      </c>
      <c r="E43" s="1204" t="s">
        <v>1996</v>
      </c>
      <c r="F43" s="1204" t="s">
        <v>1996</v>
      </c>
      <c r="G43" s="1204" t="s">
        <v>1996</v>
      </c>
      <c r="H43" s="1204" t="s">
        <v>1996</v>
      </c>
      <c r="I43" s="1204" t="s">
        <v>1996</v>
      </c>
      <c r="J43" s="1204" t="s">
        <v>1996</v>
      </c>
      <c r="K43" s="995" t="s">
        <v>12</v>
      </c>
      <c r="L43" s="1141" t="str">
        <f ca="1"/>
        <v/>
      </c>
      <c r="M43" s="1006" t="str">
        <f ca="1"/>
        <v/>
      </c>
      <c r="N43" s="1006" t="str">
        <f ca="1"/>
        <v/>
      </c>
      <c r="O43" s="1004" t="str">
        <f ca="1"/>
        <v/>
      </c>
      <c r="P43" s="1027" t="str">
        <f ca="1"/>
        <v/>
      </c>
      <c r="Q43" s="1006" t="str">
        <f ca="1"/>
        <v/>
      </c>
      <c r="R43" s="1016" t="str">
        <f ca="1"/>
        <v/>
      </c>
      <c r="S43" s="1016" t="str">
        <f ca="1"/>
        <v/>
      </c>
      <c r="T43" s="1027" t="str">
        <f ca="1"/>
        <v/>
      </c>
      <c r="U43" s="1027" t="str">
        <f ca="1"/>
        <v/>
      </c>
      <c r="V43" s="1036" t="str">
        <f ca="1"/>
        <v/>
      </c>
      <c r="W43" s="1016" t="str">
        <f ca="1"/>
        <v/>
      </c>
      <c r="X43" s="1034" t="str">
        <f ca="1"/>
        <v/>
      </c>
      <c r="Y43" s="1016" t="str">
        <f ca="1"/>
        <v/>
      </c>
      <c r="Z43" s="1019" t="str">
        <f ca="1"/>
        <v/>
      </c>
      <c r="AA43" s="1016" t="str">
        <f ca="1"/>
        <v/>
      </c>
      <c r="AB43" s="1020" t="str">
        <f ca="1"/>
        <v/>
      </c>
      <c r="AC43" s="995" t="s">
        <v>12</v>
      </c>
    </row>
    <row r="44" spans="2:29">
      <c r="B44" s="510" t="s">
        <v>120</v>
      </c>
      <c r="C44" s="1204" t="s">
        <v>3</v>
      </c>
      <c r="D44" s="1204" t="s">
        <v>3</v>
      </c>
      <c r="E44" s="1204" t="s">
        <v>3</v>
      </c>
      <c r="F44" s="1204" t="s">
        <v>3</v>
      </c>
      <c r="G44" s="1204" t="s">
        <v>3</v>
      </c>
      <c r="H44" s="1204" t="s">
        <v>3</v>
      </c>
      <c r="I44" s="1204" t="s">
        <v>3</v>
      </c>
      <c r="J44" s="1204" t="s">
        <v>3</v>
      </c>
      <c r="K44" s="995" t="s">
        <v>12</v>
      </c>
      <c r="L44" s="1141" t="str">
        <f ca="1"/>
        <v/>
      </c>
      <c r="M44" s="1006" t="str">
        <f ca="1"/>
        <v/>
      </c>
      <c r="N44" s="1006" t="str">
        <f ca="1"/>
        <v/>
      </c>
      <c r="O44" s="1004" t="str">
        <f ca="1"/>
        <v/>
      </c>
      <c r="P44" s="1027" t="str">
        <f ca="1"/>
        <v/>
      </c>
      <c r="Q44" s="1006" t="str">
        <f ca="1"/>
        <v/>
      </c>
      <c r="R44" s="1016" t="str">
        <f ca="1"/>
        <v/>
      </c>
      <c r="S44" s="1016" t="str">
        <f ca="1"/>
        <v/>
      </c>
      <c r="T44" s="1027" t="str">
        <f ca="1"/>
        <v/>
      </c>
      <c r="U44" s="1027" t="str">
        <f ca="1"/>
        <v/>
      </c>
      <c r="V44" s="1036" t="str">
        <f ca="1"/>
        <v/>
      </c>
      <c r="W44" s="1016" t="str">
        <f ca="1"/>
        <v/>
      </c>
      <c r="X44" s="1034" t="str">
        <f ca="1"/>
        <v/>
      </c>
      <c r="Y44" s="1016" t="str">
        <f ca="1"/>
        <v/>
      </c>
      <c r="Z44" s="1019" t="str">
        <f ca="1"/>
        <v/>
      </c>
      <c r="AA44" s="1016" t="str">
        <f ca="1"/>
        <v/>
      </c>
      <c r="AB44" s="1020" t="str">
        <f ca="1"/>
        <v/>
      </c>
      <c r="AC44" s="995" t="s">
        <v>12</v>
      </c>
    </row>
    <row r="45" spans="2:29">
      <c r="B45" s="510" t="s">
        <v>2012</v>
      </c>
      <c r="C45" s="1204" t="s">
        <v>38</v>
      </c>
      <c r="D45" s="1204" t="s">
        <v>38</v>
      </c>
      <c r="E45" s="1204" t="s">
        <v>38</v>
      </c>
      <c r="F45" s="1204" t="s">
        <v>38</v>
      </c>
      <c r="G45" s="1204" t="s">
        <v>38</v>
      </c>
      <c r="H45" s="1204" t="s">
        <v>38</v>
      </c>
      <c r="I45" s="1204" t="s">
        <v>38</v>
      </c>
      <c r="J45" s="1204" t="s">
        <v>38</v>
      </c>
      <c r="K45" s="995" t="s">
        <v>12</v>
      </c>
      <c r="L45" s="1141" t="str">
        <f ca="1"/>
        <v/>
      </c>
      <c r="M45" s="1006" t="str">
        <f ca="1"/>
        <v/>
      </c>
      <c r="N45" s="1006" t="str">
        <f ca="1"/>
        <v/>
      </c>
      <c r="O45" s="1004" t="str">
        <f ca="1"/>
        <v/>
      </c>
      <c r="P45" s="1027" t="str">
        <f ca="1"/>
        <v/>
      </c>
      <c r="Q45" s="1006" t="str">
        <f ca="1"/>
        <v/>
      </c>
      <c r="R45" s="1016" t="str">
        <f ca="1"/>
        <v/>
      </c>
      <c r="S45" s="1016" t="str">
        <f ca="1"/>
        <v/>
      </c>
      <c r="T45" s="1027" t="str">
        <f ca="1"/>
        <v/>
      </c>
      <c r="U45" s="1027" t="str">
        <f ca="1"/>
        <v/>
      </c>
      <c r="V45" s="1036" t="str">
        <f ca="1"/>
        <v/>
      </c>
      <c r="W45" s="1016" t="str">
        <f ca="1"/>
        <v/>
      </c>
      <c r="X45" s="1034" t="str">
        <f ca="1"/>
        <v/>
      </c>
      <c r="Y45" s="1016" t="str">
        <f ca="1"/>
        <v/>
      </c>
      <c r="Z45" s="1019" t="str">
        <f ca="1"/>
        <v/>
      </c>
      <c r="AA45" s="1016" t="str">
        <f ca="1"/>
        <v/>
      </c>
      <c r="AB45" s="1020" t="str">
        <f ca="1"/>
        <v/>
      </c>
      <c r="AC45" s="995" t="s">
        <v>12</v>
      </c>
    </row>
    <row r="46" spans="2:29">
      <c r="B46" s="510" t="s">
        <v>2011</v>
      </c>
      <c r="C46" s="1204" t="s">
        <v>2036</v>
      </c>
      <c r="D46" s="1204" t="s">
        <v>2036</v>
      </c>
      <c r="E46" s="1204" t="s">
        <v>2036</v>
      </c>
      <c r="F46" s="1204" t="s">
        <v>2036</v>
      </c>
      <c r="G46" s="1204" t="s">
        <v>2036</v>
      </c>
      <c r="H46" s="1204" t="s">
        <v>2036</v>
      </c>
      <c r="I46" s="1204" t="s">
        <v>2036</v>
      </c>
      <c r="J46" s="1204" t="s">
        <v>2036</v>
      </c>
      <c r="K46" s="995" t="s">
        <v>12</v>
      </c>
      <c r="L46" s="1141" t="str">
        <f ca="1"/>
        <v/>
      </c>
      <c r="M46" s="1006" t="str">
        <f ca="1"/>
        <v/>
      </c>
      <c r="N46" s="1006" t="str">
        <f ca="1"/>
        <v/>
      </c>
      <c r="O46" s="1004" t="str">
        <f ca="1"/>
        <v/>
      </c>
      <c r="P46" s="1027" t="str">
        <f ca="1"/>
        <v/>
      </c>
      <c r="Q46" s="1006" t="str">
        <f ca="1"/>
        <v/>
      </c>
      <c r="R46" s="1016" t="str">
        <f ca="1"/>
        <v/>
      </c>
      <c r="S46" s="1016" t="str">
        <f ca="1"/>
        <v/>
      </c>
      <c r="T46" s="1027" t="str">
        <f ca="1"/>
        <v/>
      </c>
      <c r="U46" s="1027" t="str">
        <f ca="1"/>
        <v/>
      </c>
      <c r="V46" s="1036" t="str">
        <f ca="1"/>
        <v/>
      </c>
      <c r="W46" s="1016" t="str">
        <f ca="1"/>
        <v/>
      </c>
      <c r="X46" s="1034" t="str">
        <f ca="1"/>
        <v/>
      </c>
      <c r="Y46" s="1016" t="str">
        <f ca="1"/>
        <v/>
      </c>
      <c r="Z46" s="1019" t="str">
        <f ca="1"/>
        <v/>
      </c>
      <c r="AA46" s="1016" t="str">
        <f ca="1"/>
        <v/>
      </c>
      <c r="AB46" s="1020" t="str">
        <f ca="1"/>
        <v/>
      </c>
      <c r="AC46" s="995" t="s">
        <v>12</v>
      </c>
    </row>
    <row r="47" spans="2:29">
      <c r="B47" s="510" t="s">
        <v>2014</v>
      </c>
      <c r="C47" s="1204" t="s">
        <v>38</v>
      </c>
      <c r="D47" s="1204" t="s">
        <v>38</v>
      </c>
      <c r="E47" s="1204" t="s">
        <v>38</v>
      </c>
      <c r="F47" s="1204" t="s">
        <v>38</v>
      </c>
      <c r="G47" s="1204" t="s">
        <v>38</v>
      </c>
      <c r="H47" s="1204" t="s">
        <v>38</v>
      </c>
      <c r="I47" s="1204" t="s">
        <v>38</v>
      </c>
      <c r="J47" s="1204" t="s">
        <v>38</v>
      </c>
      <c r="K47" s="995" t="s">
        <v>12</v>
      </c>
      <c r="L47" s="1141" t="str">
        <f ca="1"/>
        <v/>
      </c>
      <c r="M47" s="1006" t="str">
        <f ca="1"/>
        <v/>
      </c>
      <c r="N47" s="1006" t="str">
        <f ca="1"/>
        <v/>
      </c>
      <c r="O47" s="1004" t="str">
        <f ca="1"/>
        <v/>
      </c>
      <c r="P47" s="1027" t="str">
        <f ca="1"/>
        <v/>
      </c>
      <c r="Q47" s="1006" t="str">
        <f ca="1"/>
        <v/>
      </c>
      <c r="R47" s="1016" t="str">
        <f ca="1"/>
        <v/>
      </c>
      <c r="S47" s="1016" t="str">
        <f ca="1"/>
        <v/>
      </c>
      <c r="T47" s="1027" t="str">
        <f ca="1"/>
        <v/>
      </c>
      <c r="U47" s="1027" t="str">
        <f ca="1"/>
        <v/>
      </c>
      <c r="V47" s="1036" t="str">
        <f ca="1"/>
        <v/>
      </c>
      <c r="W47" s="1016" t="str">
        <f ca="1"/>
        <v/>
      </c>
      <c r="X47" s="1034" t="str">
        <f ca="1"/>
        <v/>
      </c>
      <c r="Y47" s="1016" t="str">
        <f ca="1"/>
        <v/>
      </c>
      <c r="Z47" s="1019" t="str">
        <f ca="1"/>
        <v/>
      </c>
      <c r="AA47" s="1016" t="str">
        <f ca="1"/>
        <v/>
      </c>
      <c r="AB47" s="1020" t="str">
        <f ca="1"/>
        <v/>
      </c>
      <c r="AC47" s="995" t="s">
        <v>12</v>
      </c>
    </row>
    <row r="48" spans="2:29">
      <c r="B48" s="510" t="s">
        <v>2013</v>
      </c>
      <c r="C48" s="1204" t="s">
        <v>2036</v>
      </c>
      <c r="D48" s="1204" t="s">
        <v>2036</v>
      </c>
      <c r="E48" s="1204" t="s">
        <v>2036</v>
      </c>
      <c r="F48" s="1204" t="s">
        <v>2036</v>
      </c>
      <c r="G48" s="1204" t="s">
        <v>2036</v>
      </c>
      <c r="H48" s="1204" t="s">
        <v>2036</v>
      </c>
      <c r="I48" s="1204" t="s">
        <v>2036</v>
      </c>
      <c r="J48" s="1204" t="s">
        <v>2036</v>
      </c>
      <c r="K48" s="995" t="s">
        <v>12</v>
      </c>
      <c r="L48" s="1141" t="str">
        <f ca="1"/>
        <v/>
      </c>
      <c r="M48" s="1006" t="str">
        <f ca="1"/>
        <v/>
      </c>
      <c r="N48" s="1006" t="str">
        <f ca="1"/>
        <v/>
      </c>
      <c r="O48" s="1004" t="str">
        <f ca="1"/>
        <v/>
      </c>
      <c r="P48" s="1027" t="str">
        <f ca="1"/>
        <v/>
      </c>
      <c r="Q48" s="1006" t="str">
        <f ca="1"/>
        <v/>
      </c>
      <c r="R48" s="1016" t="str">
        <f ca="1"/>
        <v/>
      </c>
      <c r="S48" s="1016" t="str">
        <f ca="1"/>
        <v/>
      </c>
      <c r="T48" s="1027" t="str">
        <f ca="1"/>
        <v/>
      </c>
      <c r="U48" s="1027" t="str">
        <f ca="1"/>
        <v/>
      </c>
      <c r="V48" s="1036" t="str">
        <f ca="1"/>
        <v/>
      </c>
      <c r="W48" s="1016" t="str">
        <f ca="1"/>
        <v/>
      </c>
      <c r="X48" s="1034" t="str">
        <f ca="1"/>
        <v/>
      </c>
      <c r="Y48" s="1016" t="str">
        <f ca="1"/>
        <v/>
      </c>
      <c r="Z48" s="1019" t="str">
        <f ca="1"/>
        <v/>
      </c>
      <c r="AA48" s="1016" t="str">
        <f ca="1"/>
        <v/>
      </c>
      <c r="AB48" s="1020" t="str">
        <f ca="1"/>
        <v/>
      </c>
      <c r="AC48" s="995" t="s">
        <v>12</v>
      </c>
    </row>
    <row r="49" spans="1:29">
      <c r="B49" s="510" t="s">
        <v>2009</v>
      </c>
      <c r="C49" s="1204" t="s">
        <v>38</v>
      </c>
      <c r="D49" s="1204" t="s">
        <v>38</v>
      </c>
      <c r="E49" s="1204" t="s">
        <v>38</v>
      </c>
      <c r="F49" s="1204" t="s">
        <v>38</v>
      </c>
      <c r="G49" s="1204" t="s">
        <v>38</v>
      </c>
      <c r="H49" s="1204" t="s">
        <v>38</v>
      </c>
      <c r="I49" s="1204" t="s">
        <v>38</v>
      </c>
      <c r="J49" s="1204" t="s">
        <v>38</v>
      </c>
      <c r="K49" s="995" t="s">
        <v>12</v>
      </c>
      <c r="L49" s="1141" t="str">
        <f ca="1"/>
        <v/>
      </c>
      <c r="M49" s="1006" t="str">
        <f ca="1"/>
        <v/>
      </c>
      <c r="N49" s="1006" t="str">
        <f ca="1"/>
        <v/>
      </c>
      <c r="O49" s="1004" t="str">
        <f ca="1"/>
        <v/>
      </c>
      <c r="P49" s="1027" t="str">
        <f ca="1"/>
        <v/>
      </c>
      <c r="Q49" s="1006" t="str">
        <f ca="1"/>
        <v/>
      </c>
      <c r="R49" s="1016" t="str">
        <f ca="1"/>
        <v/>
      </c>
      <c r="S49" s="1016" t="str">
        <f ca="1"/>
        <v/>
      </c>
      <c r="T49" s="1027" t="str">
        <f ca="1"/>
        <v/>
      </c>
      <c r="U49" s="1027" t="str">
        <f ca="1"/>
        <v/>
      </c>
      <c r="V49" s="1036" t="str">
        <f ca="1"/>
        <v/>
      </c>
      <c r="W49" s="1016" t="str">
        <f ca="1"/>
        <v/>
      </c>
      <c r="X49" s="1034" t="str">
        <f ca="1"/>
        <v/>
      </c>
      <c r="Y49" s="1016" t="str">
        <f ca="1"/>
        <v/>
      </c>
      <c r="Z49" s="1019" t="str">
        <f ca="1"/>
        <v/>
      </c>
      <c r="AA49" s="1016" t="str">
        <f ca="1"/>
        <v/>
      </c>
      <c r="AB49" s="1020" t="str">
        <f ca="1"/>
        <v/>
      </c>
      <c r="AC49" s="995" t="s">
        <v>12</v>
      </c>
    </row>
    <row r="50" spans="1:29">
      <c r="B50" s="510" t="s">
        <v>2008</v>
      </c>
      <c r="C50" s="1204" t="s">
        <v>2036</v>
      </c>
      <c r="D50" s="1204" t="s">
        <v>2036</v>
      </c>
      <c r="E50" s="1204" t="s">
        <v>2036</v>
      </c>
      <c r="F50" s="1204" t="s">
        <v>2036</v>
      </c>
      <c r="G50" s="1204" t="s">
        <v>2036</v>
      </c>
      <c r="H50" s="1204" t="s">
        <v>2036</v>
      </c>
      <c r="I50" s="1204" t="s">
        <v>2036</v>
      </c>
      <c r="J50" s="1204" t="s">
        <v>2036</v>
      </c>
      <c r="K50" s="995" t="s">
        <v>12</v>
      </c>
      <c r="L50" s="1141" t="str">
        <f ca="1"/>
        <v/>
      </c>
      <c r="M50" s="1006" t="str">
        <f ca="1"/>
        <v/>
      </c>
      <c r="N50" s="1006" t="str">
        <f ca="1"/>
        <v/>
      </c>
      <c r="O50" s="1004" t="str">
        <f ca="1"/>
        <v/>
      </c>
      <c r="P50" s="1027" t="str">
        <f ca="1"/>
        <v/>
      </c>
      <c r="Q50" s="1006" t="str">
        <f ca="1"/>
        <v/>
      </c>
      <c r="R50" s="1016" t="str">
        <f ca="1"/>
        <v/>
      </c>
      <c r="S50" s="1016" t="str">
        <f ca="1"/>
        <v/>
      </c>
      <c r="T50" s="1027" t="str">
        <f ca="1"/>
        <v/>
      </c>
      <c r="U50" s="1027" t="str">
        <f ca="1"/>
        <v/>
      </c>
      <c r="V50" s="1036" t="str">
        <f ca="1"/>
        <v/>
      </c>
      <c r="W50" s="1016" t="str">
        <f ca="1"/>
        <v/>
      </c>
      <c r="X50" s="1034" t="str">
        <f ca="1"/>
        <v/>
      </c>
      <c r="Y50" s="1016" t="str">
        <f ca="1"/>
        <v/>
      </c>
      <c r="Z50" s="1019" t="str">
        <f ca="1"/>
        <v/>
      </c>
      <c r="AA50" s="1016" t="str">
        <f ca="1"/>
        <v/>
      </c>
      <c r="AB50" s="1020" t="str">
        <f ca="1"/>
        <v/>
      </c>
      <c r="AC50" s="995" t="s">
        <v>12</v>
      </c>
    </row>
    <row r="51" spans="1:29">
      <c r="B51" s="510" t="s">
        <v>2005</v>
      </c>
      <c r="C51" s="1204"/>
      <c r="D51" s="1204"/>
      <c r="E51" s="1204"/>
      <c r="F51" s="1204"/>
      <c r="G51" s="1204"/>
      <c r="H51" s="1204"/>
      <c r="I51" s="1204"/>
      <c r="J51" s="1204"/>
      <c r="K51" s="995" t="s">
        <v>12</v>
      </c>
      <c r="L51" s="1141" t="str">
        <f ca="1"/>
        <v/>
      </c>
      <c r="M51" s="1006" t="str">
        <f ca="1"/>
        <v/>
      </c>
      <c r="N51" s="1006" t="str">
        <f ca="1"/>
        <v/>
      </c>
      <c r="O51" s="1004" t="str">
        <f ca="1"/>
        <v/>
      </c>
      <c r="P51" s="1027" t="str">
        <f ca="1"/>
        <v/>
      </c>
      <c r="Q51" s="1006" t="str">
        <f ca="1"/>
        <v/>
      </c>
      <c r="R51" s="1016" t="str">
        <f ca="1"/>
        <v/>
      </c>
      <c r="S51" s="1016" t="str">
        <f ca="1"/>
        <v/>
      </c>
      <c r="T51" s="1027" t="str">
        <f ca="1"/>
        <v/>
      </c>
      <c r="U51" s="1027" t="str">
        <f ca="1"/>
        <v/>
      </c>
      <c r="V51" s="1036" t="str">
        <f ca="1"/>
        <v/>
      </c>
      <c r="W51" s="1016" t="str">
        <f ca="1"/>
        <v/>
      </c>
      <c r="X51" s="1034" t="str">
        <f ca="1"/>
        <v/>
      </c>
      <c r="Y51" s="1016" t="str">
        <f ca="1"/>
        <v/>
      </c>
      <c r="Z51" s="1019" t="str">
        <f ca="1"/>
        <v/>
      </c>
      <c r="AA51" s="1016" t="str">
        <f ca="1"/>
        <v/>
      </c>
      <c r="AB51" s="1020" t="str">
        <f ca="1"/>
        <v/>
      </c>
      <c r="AC51" s="995" t="s">
        <v>12</v>
      </c>
    </row>
    <row r="52" spans="1:29">
      <c r="B52" s="510" t="s">
        <v>2004</v>
      </c>
      <c r="C52" s="1204"/>
      <c r="D52" s="1204"/>
      <c r="E52" s="1204"/>
      <c r="F52" s="1204"/>
      <c r="G52" s="1204"/>
      <c r="H52" s="1204"/>
      <c r="I52" s="1204"/>
      <c r="J52" s="1204"/>
      <c r="K52" s="995" t="s">
        <v>12</v>
      </c>
      <c r="L52" s="1141" t="str">
        <f ca="1"/>
        <v/>
      </c>
      <c r="M52" s="1006" t="str">
        <f ca="1"/>
        <v/>
      </c>
      <c r="N52" s="1006" t="str">
        <f ca="1"/>
        <v/>
      </c>
      <c r="O52" s="1004" t="str">
        <f ca="1"/>
        <v/>
      </c>
      <c r="P52" s="1027" t="str">
        <f ca="1"/>
        <v/>
      </c>
      <c r="Q52" s="1006" t="str">
        <f ca="1"/>
        <v/>
      </c>
      <c r="R52" s="1016" t="str">
        <f ca="1"/>
        <v/>
      </c>
      <c r="S52" s="1016" t="str">
        <f ca="1"/>
        <v/>
      </c>
      <c r="T52" s="1027" t="str">
        <f ca="1"/>
        <v/>
      </c>
      <c r="U52" s="1027" t="str">
        <f ca="1"/>
        <v/>
      </c>
      <c r="V52" s="1036" t="str">
        <f ca="1"/>
        <v/>
      </c>
      <c r="W52" s="1016" t="str">
        <f ca="1"/>
        <v/>
      </c>
      <c r="X52" s="1034" t="str">
        <f ca="1"/>
        <v/>
      </c>
      <c r="Y52" s="1016" t="str">
        <f ca="1"/>
        <v/>
      </c>
      <c r="Z52" s="1019" t="str">
        <f ca="1"/>
        <v/>
      </c>
      <c r="AA52" s="1016" t="str">
        <f ca="1"/>
        <v/>
      </c>
      <c r="AB52" s="1020" t="str">
        <f ca="1"/>
        <v/>
      </c>
      <c r="AC52" s="995" t="s">
        <v>12</v>
      </c>
    </row>
    <row r="53" spans="1:29">
      <c r="B53" s="510" t="s">
        <v>2006</v>
      </c>
      <c r="C53" s="1204" t="s">
        <v>2120</v>
      </c>
      <c r="D53" s="1204" t="s">
        <v>2120</v>
      </c>
      <c r="E53" s="1204" t="s">
        <v>2120</v>
      </c>
      <c r="F53" s="1204" t="s">
        <v>2120</v>
      </c>
      <c r="G53" s="1204" t="s">
        <v>2120</v>
      </c>
      <c r="H53" s="1204" t="s">
        <v>2120</v>
      </c>
      <c r="I53" s="1204" t="s">
        <v>2120</v>
      </c>
      <c r="J53" s="1204" t="s">
        <v>2120</v>
      </c>
      <c r="K53" s="995" t="s">
        <v>12</v>
      </c>
      <c r="L53" s="1141" t="str">
        <f ca="1"/>
        <v/>
      </c>
      <c r="M53" s="1006" t="str">
        <f ca="1"/>
        <v/>
      </c>
      <c r="N53" s="1006" t="str">
        <f ca="1"/>
        <v/>
      </c>
      <c r="O53" s="1004" t="str">
        <f ca="1"/>
        <v/>
      </c>
      <c r="P53" s="1027" t="str">
        <f ca="1"/>
        <v/>
      </c>
      <c r="Q53" s="1006" t="str">
        <f ca="1"/>
        <v/>
      </c>
      <c r="R53" s="1016" t="str">
        <f ca="1"/>
        <v/>
      </c>
      <c r="S53" s="1016" t="str">
        <f ca="1"/>
        <v/>
      </c>
      <c r="T53" s="1027" t="str">
        <f ca="1"/>
        <v/>
      </c>
      <c r="U53" s="1027" t="str">
        <f ca="1"/>
        <v/>
      </c>
      <c r="V53" s="1036" t="str">
        <f ca="1"/>
        <v/>
      </c>
      <c r="W53" s="1016" t="str">
        <f ca="1"/>
        <v/>
      </c>
      <c r="X53" s="1034" t="str">
        <f ca="1"/>
        <v/>
      </c>
      <c r="Y53" s="1016" t="str">
        <f ca="1"/>
        <v/>
      </c>
      <c r="Z53" s="1019" t="str">
        <f ca="1"/>
        <v/>
      </c>
      <c r="AA53" s="1016" t="str">
        <f ca="1"/>
        <v/>
      </c>
      <c r="AB53" s="1020" t="str">
        <f ca="1"/>
        <v/>
      </c>
      <c r="AC53" s="995" t="s">
        <v>12</v>
      </c>
    </row>
    <row r="54" spans="1:29">
      <c r="A54" s="394"/>
      <c r="B54" s="510" t="s">
        <v>2010</v>
      </c>
      <c r="C54" s="1204" t="s">
        <v>356</v>
      </c>
      <c r="D54" s="1204" t="s">
        <v>356</v>
      </c>
      <c r="E54" s="1204" t="s">
        <v>356</v>
      </c>
      <c r="F54" s="1204" t="s">
        <v>356</v>
      </c>
      <c r="G54" s="1204" t="s">
        <v>356</v>
      </c>
      <c r="H54" s="1204" t="s">
        <v>356</v>
      </c>
      <c r="I54" s="1204" t="s">
        <v>356</v>
      </c>
      <c r="J54" s="1204" t="s">
        <v>356</v>
      </c>
      <c r="K54" s="995" t="s">
        <v>12</v>
      </c>
      <c r="L54" s="1141" t="str">
        <f ca="1"/>
        <v/>
      </c>
      <c r="M54" s="1006" t="str">
        <f ca="1"/>
        <v/>
      </c>
      <c r="N54" s="1006" t="str">
        <f ca="1"/>
        <v/>
      </c>
      <c r="O54" s="1004" t="str">
        <f ca="1"/>
        <v/>
      </c>
      <c r="P54" s="1027" t="str">
        <f ca="1"/>
        <v/>
      </c>
      <c r="Q54" s="1006" t="str">
        <f ca="1"/>
        <v/>
      </c>
      <c r="R54" s="1016" t="str">
        <f ca="1"/>
        <v/>
      </c>
      <c r="S54" s="1016" t="str">
        <f ca="1"/>
        <v/>
      </c>
      <c r="T54" s="1027" t="str">
        <f ca="1"/>
        <v/>
      </c>
      <c r="U54" s="1027" t="str">
        <f ca="1"/>
        <v/>
      </c>
      <c r="V54" s="1036" t="str">
        <f ca="1"/>
        <v/>
      </c>
      <c r="W54" s="1016" t="str">
        <f ca="1"/>
        <v/>
      </c>
      <c r="X54" s="1034" t="str">
        <f ca="1"/>
        <v/>
      </c>
      <c r="Y54" s="1016" t="str">
        <f ca="1"/>
        <v/>
      </c>
      <c r="Z54" s="1019" t="str">
        <f ca="1"/>
        <v/>
      </c>
      <c r="AA54" s="1016" t="str">
        <f ca="1"/>
        <v/>
      </c>
      <c r="AB54" s="1020" t="str">
        <f ca="1"/>
        <v/>
      </c>
      <c r="AC54" s="995" t="s">
        <v>12</v>
      </c>
    </row>
    <row r="55" spans="1:29" s="995" customFormat="1">
      <c r="B55" s="510" t="s">
        <v>2194</v>
      </c>
      <c r="C55" s="1204" t="s">
        <v>356</v>
      </c>
      <c r="D55" s="1204" t="s">
        <v>356</v>
      </c>
      <c r="E55" s="1204" t="s">
        <v>356</v>
      </c>
      <c r="F55" s="1204" t="s">
        <v>356</v>
      </c>
      <c r="G55" s="1204" t="s">
        <v>356</v>
      </c>
      <c r="H55" s="1204" t="s">
        <v>356</v>
      </c>
      <c r="I55" s="1204" t="s">
        <v>356</v>
      </c>
      <c r="J55" s="1204" t="s">
        <v>356</v>
      </c>
      <c r="K55" s="995" t="s">
        <v>12</v>
      </c>
      <c r="L55" s="1141" t="str">
        <f ca="1"/>
        <v/>
      </c>
      <c r="M55" s="1006" t="str">
        <f ca="1"/>
        <v/>
      </c>
      <c r="N55" s="1006" t="str">
        <f ca="1"/>
        <v/>
      </c>
      <c r="O55" s="1004" t="str">
        <f ca="1"/>
        <v/>
      </c>
      <c r="P55" s="1027" t="str">
        <f ca="1"/>
        <v/>
      </c>
      <c r="Q55" s="1006" t="str">
        <f ca="1"/>
        <v/>
      </c>
      <c r="R55" s="1016" t="str">
        <f ca="1"/>
        <v/>
      </c>
      <c r="S55" s="1016" t="str">
        <f ca="1"/>
        <v/>
      </c>
      <c r="T55" s="1027" t="str">
        <f ca="1"/>
        <v/>
      </c>
      <c r="U55" s="1027" t="str">
        <f ca="1"/>
        <v/>
      </c>
      <c r="V55" s="1036" t="str">
        <f ca="1"/>
        <v/>
      </c>
      <c r="W55" s="1016" t="str">
        <f ca="1"/>
        <v/>
      </c>
      <c r="X55" s="1034" t="str">
        <f ca="1"/>
        <v/>
      </c>
      <c r="Y55" s="1016" t="str">
        <f ca="1"/>
        <v/>
      </c>
      <c r="Z55" s="1019" t="str">
        <f ca="1"/>
        <v/>
      </c>
      <c r="AA55" s="1016" t="str">
        <f ca="1"/>
        <v/>
      </c>
      <c r="AB55" s="1020" t="str">
        <f ca="1"/>
        <v/>
      </c>
      <c r="AC55" s="995" t="s">
        <v>12</v>
      </c>
    </row>
    <row r="56" spans="1:29">
      <c r="B56" s="510" t="s">
        <v>2007</v>
      </c>
      <c r="C56" s="1204" t="s">
        <v>356</v>
      </c>
      <c r="D56" s="1204" t="s">
        <v>356</v>
      </c>
      <c r="E56" s="1204" t="s">
        <v>356</v>
      </c>
      <c r="F56" s="1204" t="s">
        <v>356</v>
      </c>
      <c r="G56" s="1204" t="s">
        <v>356</v>
      </c>
      <c r="H56" s="1204" t="s">
        <v>356</v>
      </c>
      <c r="I56" s="1204" t="s">
        <v>356</v>
      </c>
      <c r="J56" s="1204" t="s">
        <v>356</v>
      </c>
      <c r="K56" s="995" t="s">
        <v>12</v>
      </c>
      <c r="L56" s="1141" t="str">
        <f ca="1"/>
        <v/>
      </c>
      <c r="M56" s="1006" t="str">
        <f ca="1"/>
        <v/>
      </c>
      <c r="N56" s="1006" t="str">
        <f ca="1"/>
        <v/>
      </c>
      <c r="O56" s="1004" t="str">
        <f ca="1"/>
        <v/>
      </c>
      <c r="P56" s="1027" t="str">
        <f ca="1"/>
        <v/>
      </c>
      <c r="Q56" s="1006" t="str">
        <f ca="1"/>
        <v/>
      </c>
      <c r="R56" s="1016" t="str">
        <f ca="1"/>
        <v/>
      </c>
      <c r="S56" s="1016" t="str">
        <f ca="1"/>
        <v/>
      </c>
      <c r="T56" s="1027" t="str">
        <f ca="1"/>
        <v/>
      </c>
      <c r="U56" s="1027" t="str">
        <f ca="1"/>
        <v/>
      </c>
      <c r="V56" s="1036" t="str">
        <f ca="1"/>
        <v/>
      </c>
      <c r="W56" s="1016" t="str">
        <f ca="1"/>
        <v/>
      </c>
      <c r="X56" s="1034" t="str">
        <f ca="1"/>
        <v/>
      </c>
      <c r="Y56" s="1016" t="str">
        <f ca="1"/>
        <v/>
      </c>
      <c r="Z56" s="1019" t="str">
        <f ca="1"/>
        <v/>
      </c>
      <c r="AA56" s="1016" t="str">
        <f ca="1"/>
        <v/>
      </c>
      <c r="AB56" s="1020" t="str">
        <f ca="1"/>
        <v/>
      </c>
      <c r="AC56" s="995" t="s">
        <v>12</v>
      </c>
    </row>
    <row r="57" spans="1:29">
      <c r="B57" s="1009" t="s">
        <v>2001</v>
      </c>
      <c r="C57" s="1205" t="s">
        <v>358</v>
      </c>
      <c r="D57" s="1205" t="s">
        <v>358</v>
      </c>
      <c r="E57" s="1205" t="s">
        <v>358</v>
      </c>
      <c r="F57" s="1205" t="s">
        <v>358</v>
      </c>
      <c r="G57" s="1205" t="s">
        <v>358</v>
      </c>
      <c r="H57" s="1205" t="s">
        <v>358</v>
      </c>
      <c r="I57" s="1205" t="s">
        <v>358</v>
      </c>
      <c r="J57" s="1205" t="s">
        <v>358</v>
      </c>
      <c r="K57" s="995" t="s">
        <v>12</v>
      </c>
      <c r="L57" s="1141" t="str">
        <f ca="1"/>
        <v/>
      </c>
      <c r="M57" s="1006" t="str">
        <f ca="1"/>
        <v/>
      </c>
      <c r="N57" s="1006" t="str">
        <f ca="1"/>
        <v/>
      </c>
      <c r="O57" s="1004" t="str">
        <f ca="1"/>
        <v/>
      </c>
      <c r="P57" s="1027" t="str">
        <f ca="1"/>
        <v/>
      </c>
      <c r="Q57" s="1006" t="str">
        <f ca="1"/>
        <v/>
      </c>
      <c r="R57" s="1016" t="str">
        <f ca="1"/>
        <v/>
      </c>
      <c r="S57" s="1016" t="str">
        <f ca="1"/>
        <v/>
      </c>
      <c r="T57" s="1027" t="str">
        <f ca="1"/>
        <v/>
      </c>
      <c r="U57" s="1027" t="str">
        <f ca="1"/>
        <v/>
      </c>
      <c r="V57" s="1036" t="str">
        <f ca="1"/>
        <v/>
      </c>
      <c r="W57" s="1016" t="str">
        <f ca="1"/>
        <v/>
      </c>
      <c r="X57" s="1034" t="str">
        <f ca="1"/>
        <v/>
      </c>
      <c r="Y57" s="1016" t="str">
        <f ca="1"/>
        <v/>
      </c>
      <c r="Z57" s="1019" t="str">
        <f ca="1"/>
        <v/>
      </c>
      <c r="AA57" s="1016" t="str">
        <f ca="1"/>
        <v/>
      </c>
      <c r="AB57" s="1020" t="str">
        <f ca="1"/>
        <v/>
      </c>
      <c r="AC57" s="995" t="s">
        <v>12</v>
      </c>
    </row>
    <row r="58" spans="1:29">
      <c r="E58" s="995"/>
      <c r="F58" s="995"/>
      <c r="G58" s="995"/>
      <c r="H58" s="995"/>
      <c r="I58" s="995"/>
      <c r="J58" s="995"/>
      <c r="K58" s="995" t="s">
        <v>12</v>
      </c>
      <c r="L58" s="1141" t="str">
        <f ca="1"/>
        <v/>
      </c>
      <c r="M58" s="1006" t="str">
        <f ca="1"/>
        <v/>
      </c>
      <c r="N58" s="1006" t="str">
        <f ca="1"/>
        <v/>
      </c>
      <c r="O58" s="1004" t="str">
        <f ca="1"/>
        <v/>
      </c>
      <c r="P58" s="1027" t="str">
        <f ca="1"/>
        <v/>
      </c>
      <c r="Q58" s="1006" t="str">
        <f ca="1"/>
        <v/>
      </c>
      <c r="R58" s="1016" t="str">
        <f ca="1"/>
        <v/>
      </c>
      <c r="S58" s="1016" t="str">
        <f ca="1"/>
        <v/>
      </c>
      <c r="T58" s="1027" t="str">
        <f ca="1"/>
        <v/>
      </c>
      <c r="U58" s="1027" t="str">
        <f ca="1"/>
        <v/>
      </c>
      <c r="V58" s="1036" t="str">
        <f ca="1"/>
        <v/>
      </c>
      <c r="W58" s="1016" t="str">
        <f ca="1"/>
        <v/>
      </c>
      <c r="X58" s="1034" t="str">
        <f ca="1"/>
        <v/>
      </c>
      <c r="Y58" s="1016" t="str">
        <f ca="1"/>
        <v/>
      </c>
      <c r="Z58" s="1019" t="str">
        <f ca="1"/>
        <v/>
      </c>
      <c r="AA58" s="1016" t="str">
        <f ca="1"/>
        <v/>
      </c>
      <c r="AB58" s="1020" t="str">
        <f ca="1"/>
        <v/>
      </c>
      <c r="AC58" s="995" t="s">
        <v>12</v>
      </c>
    </row>
    <row r="59" spans="1:29">
      <c r="B59" s="998" t="s">
        <v>2247</v>
      </c>
      <c r="C59" s="995"/>
      <c r="D59" s="995"/>
      <c r="K59" s="995" t="s">
        <v>12</v>
      </c>
      <c r="L59" s="1141" t="str">
        <f ca="1"/>
        <v/>
      </c>
      <c r="M59" s="1006" t="str">
        <f ca="1"/>
        <v/>
      </c>
      <c r="N59" s="1006" t="str">
        <f ca="1"/>
        <v/>
      </c>
      <c r="O59" s="1004" t="str">
        <f ca="1"/>
        <v/>
      </c>
      <c r="P59" s="1027" t="str">
        <f ca="1"/>
        <v/>
      </c>
      <c r="Q59" s="1006" t="str">
        <f ca="1"/>
        <v/>
      </c>
      <c r="R59" s="1016" t="str">
        <f ca="1"/>
        <v/>
      </c>
      <c r="S59" s="1016" t="str">
        <f ca="1"/>
        <v/>
      </c>
      <c r="T59" s="1027" t="str">
        <f ca="1"/>
        <v/>
      </c>
      <c r="U59" s="1027" t="str">
        <f ca="1"/>
        <v/>
      </c>
      <c r="V59" s="1036" t="str">
        <f ca="1"/>
        <v/>
      </c>
      <c r="W59" s="1016" t="str">
        <f ca="1"/>
        <v/>
      </c>
      <c r="X59" s="1034" t="str">
        <f ca="1"/>
        <v/>
      </c>
      <c r="Y59" s="1016" t="str">
        <f ca="1"/>
        <v/>
      </c>
      <c r="Z59" s="1019" t="str">
        <f ca="1"/>
        <v/>
      </c>
      <c r="AA59" s="1016" t="str">
        <f ca="1"/>
        <v/>
      </c>
      <c r="AB59" s="1020" t="str">
        <f ca="1"/>
        <v/>
      </c>
      <c r="AC59" s="995" t="s">
        <v>12</v>
      </c>
    </row>
    <row r="60" spans="1:29">
      <c r="B60" s="764" t="str">
        <f ca="1">C4</f>
        <v>XCCY1@179:0</v>
      </c>
      <c r="K60" s="995" t="s">
        <v>12</v>
      </c>
      <c r="L60" s="1141" t="str">
        <f ca="1"/>
        <v/>
      </c>
      <c r="M60" s="1006" t="str">
        <f ca="1"/>
        <v/>
      </c>
      <c r="N60" s="1006" t="str">
        <f ca="1"/>
        <v/>
      </c>
      <c r="O60" s="1004" t="str">
        <f ca="1"/>
        <v/>
      </c>
      <c r="P60" s="1027" t="str">
        <f ca="1"/>
        <v/>
      </c>
      <c r="Q60" s="1006" t="str">
        <f ca="1"/>
        <v/>
      </c>
      <c r="R60" s="1016" t="str">
        <f ca="1"/>
        <v/>
      </c>
      <c r="S60" s="1016" t="str">
        <f ca="1"/>
        <v/>
      </c>
      <c r="T60" s="1027" t="str">
        <f ca="1"/>
        <v/>
      </c>
      <c r="U60" s="1027" t="str">
        <f ca="1"/>
        <v/>
      </c>
      <c r="V60" s="1036" t="str">
        <f ca="1"/>
        <v/>
      </c>
      <c r="W60" s="1016" t="str">
        <f ca="1"/>
        <v/>
      </c>
      <c r="X60" s="1034" t="str">
        <f ca="1"/>
        <v/>
      </c>
      <c r="Y60" s="1016" t="str">
        <f ca="1"/>
        <v/>
      </c>
      <c r="Z60" s="1019" t="str">
        <f ca="1"/>
        <v/>
      </c>
      <c r="AA60" s="1016" t="str">
        <f ca="1"/>
        <v/>
      </c>
      <c r="AB60" s="1020" t="str">
        <f ca="1"/>
        <v/>
      </c>
      <c r="AC60" s="995" t="s">
        <v>12</v>
      </c>
    </row>
    <row r="61" spans="1:29">
      <c r="B61" s="1097" t="str">
        <f ca="1">E4</f>
        <v>XCCY2@190:0</v>
      </c>
      <c r="K61" s="995" t="s">
        <v>12</v>
      </c>
      <c r="L61" s="1141" t="str">
        <f ca="1"/>
        <v/>
      </c>
      <c r="M61" s="1006" t="str">
        <f ca="1"/>
        <v/>
      </c>
      <c r="N61" s="1006" t="str">
        <f ca="1"/>
        <v/>
      </c>
      <c r="O61" s="1004" t="str">
        <f ca="1"/>
        <v/>
      </c>
      <c r="P61" s="1027" t="str">
        <f ca="1"/>
        <v/>
      </c>
      <c r="Q61" s="1006" t="str">
        <f ca="1"/>
        <v/>
      </c>
      <c r="R61" s="1016" t="str">
        <f ca="1"/>
        <v/>
      </c>
      <c r="S61" s="1016" t="str">
        <f ca="1"/>
        <v/>
      </c>
      <c r="T61" s="1027" t="str">
        <f ca="1"/>
        <v/>
      </c>
      <c r="U61" s="1027" t="str">
        <f ca="1"/>
        <v/>
      </c>
      <c r="V61" s="1036" t="str">
        <f ca="1"/>
        <v/>
      </c>
      <c r="W61" s="1016" t="str">
        <f ca="1"/>
        <v/>
      </c>
      <c r="X61" s="1034" t="str">
        <f ca="1"/>
        <v/>
      </c>
      <c r="Y61" s="1016" t="str">
        <f ca="1"/>
        <v/>
      </c>
      <c r="Z61" s="1019" t="str">
        <f ca="1"/>
        <v/>
      </c>
      <c r="AA61" s="1016" t="str">
        <f ca="1"/>
        <v/>
      </c>
      <c r="AB61" s="1020" t="str">
        <f ca="1"/>
        <v/>
      </c>
      <c r="AC61" s="995" t="s">
        <v>12</v>
      </c>
    </row>
    <row r="62" spans="1:29">
      <c r="B62" s="1097" t="str">
        <f ca="1">G4</f>
        <v>XCCY3@159:0</v>
      </c>
      <c r="K62" s="995" t="s">
        <v>12</v>
      </c>
      <c r="L62" s="1141" t="str">
        <f ca="1"/>
        <v/>
      </c>
      <c r="M62" s="1006" t="str">
        <f ca="1"/>
        <v/>
      </c>
      <c r="N62" s="1006" t="str">
        <f ca="1"/>
        <v/>
      </c>
      <c r="O62" s="1004" t="str">
        <f ca="1"/>
        <v/>
      </c>
      <c r="P62" s="1027" t="str">
        <f ca="1"/>
        <v/>
      </c>
      <c r="Q62" s="1006" t="str">
        <f ca="1"/>
        <v/>
      </c>
      <c r="R62" s="1016" t="str">
        <f ca="1"/>
        <v/>
      </c>
      <c r="S62" s="1016" t="str">
        <f ca="1"/>
        <v/>
      </c>
      <c r="T62" s="1027" t="str">
        <f ca="1"/>
        <v/>
      </c>
      <c r="U62" s="1027" t="str">
        <f ca="1"/>
        <v/>
      </c>
      <c r="V62" s="1036" t="str">
        <f ca="1"/>
        <v/>
      </c>
      <c r="W62" s="1016" t="str">
        <f ca="1"/>
        <v/>
      </c>
      <c r="X62" s="1034" t="str">
        <f ca="1"/>
        <v/>
      </c>
      <c r="Y62" s="1016" t="str">
        <f ca="1"/>
        <v/>
      </c>
      <c r="Z62" s="1019" t="str">
        <f ca="1"/>
        <v/>
      </c>
      <c r="AA62" s="1016" t="str">
        <f ca="1"/>
        <v/>
      </c>
      <c r="AB62" s="1020" t="str">
        <f ca="1"/>
        <v/>
      </c>
      <c r="AC62" s="995" t="s">
        <v>12</v>
      </c>
    </row>
    <row r="63" spans="1:29">
      <c r="B63" s="1052" t="str">
        <f ca="1">I4</f>
        <v>XCCY4@197:0</v>
      </c>
      <c r="K63" s="995" t="s">
        <v>12</v>
      </c>
      <c r="L63" s="1141" t="str">
        <f ca="1"/>
        <v/>
      </c>
      <c r="M63" s="1006" t="str">
        <f ca="1"/>
        <v/>
      </c>
      <c r="N63" s="1006" t="str">
        <f ca="1"/>
        <v/>
      </c>
      <c r="O63" s="1004" t="str">
        <f ca="1"/>
        <v/>
      </c>
      <c r="P63" s="1027" t="str">
        <f ca="1"/>
        <v/>
      </c>
      <c r="Q63" s="1006" t="str">
        <f ca="1"/>
        <v/>
      </c>
      <c r="R63" s="1016" t="str">
        <f ca="1"/>
        <v/>
      </c>
      <c r="S63" s="1016" t="str">
        <f ca="1"/>
        <v/>
      </c>
      <c r="T63" s="1027" t="str">
        <f ca="1"/>
        <v/>
      </c>
      <c r="U63" s="1027" t="str">
        <f ca="1"/>
        <v/>
      </c>
      <c r="V63" s="1036" t="str">
        <f ca="1"/>
        <v/>
      </c>
      <c r="W63" s="1016" t="str">
        <f ca="1"/>
        <v/>
      </c>
      <c r="X63" s="1034" t="str">
        <f ca="1"/>
        <v/>
      </c>
      <c r="Y63" s="1016" t="str">
        <f ca="1"/>
        <v/>
      </c>
      <c r="Z63" s="1019" t="str">
        <f ca="1"/>
        <v/>
      </c>
      <c r="AA63" s="1016" t="str">
        <f ca="1"/>
        <v/>
      </c>
      <c r="AB63" s="1020" t="str">
        <f ca="1"/>
        <v/>
      </c>
      <c r="AC63" s="995" t="s">
        <v>12</v>
      </c>
    </row>
    <row r="64" spans="1:29">
      <c r="K64" s="995" t="s">
        <v>12</v>
      </c>
      <c r="L64" s="1141" t="str">
        <f ca="1"/>
        <v/>
      </c>
      <c r="M64" s="1006" t="str">
        <f ca="1"/>
        <v/>
      </c>
      <c r="N64" s="1006" t="str">
        <f ca="1"/>
        <v/>
      </c>
      <c r="O64" s="1004" t="str">
        <f ca="1"/>
        <v/>
      </c>
      <c r="P64" s="1027" t="str">
        <f ca="1"/>
        <v/>
      </c>
      <c r="Q64" s="1006" t="str">
        <f ca="1"/>
        <v/>
      </c>
      <c r="R64" s="1016" t="str">
        <f ca="1"/>
        <v/>
      </c>
      <c r="S64" s="1016" t="str">
        <f ca="1"/>
        <v/>
      </c>
      <c r="T64" s="1027" t="str">
        <f ca="1"/>
        <v/>
      </c>
      <c r="U64" s="1027" t="str">
        <f ca="1"/>
        <v/>
      </c>
      <c r="V64" s="1036" t="str">
        <f ca="1"/>
        <v/>
      </c>
      <c r="W64" s="1016" t="str">
        <f ca="1"/>
        <v/>
      </c>
      <c r="X64" s="1034" t="str">
        <f ca="1"/>
        <v/>
      </c>
      <c r="Y64" s="1016" t="str">
        <f ca="1"/>
        <v/>
      </c>
      <c r="Z64" s="1019" t="str">
        <f ca="1"/>
        <v/>
      </c>
      <c r="AA64" s="1016" t="str">
        <f ca="1"/>
        <v/>
      </c>
      <c r="AB64" s="1020" t="str">
        <f ca="1"/>
        <v/>
      </c>
      <c r="AC64" s="995" t="s">
        <v>12</v>
      </c>
    </row>
    <row r="65" spans="11:29">
      <c r="K65" s="995" t="s">
        <v>12</v>
      </c>
      <c r="L65" s="1141" t="str">
        <f ca="1"/>
        <v/>
      </c>
      <c r="M65" s="1006" t="str">
        <f ca="1"/>
        <v/>
      </c>
      <c r="N65" s="1006" t="str">
        <f ca="1"/>
        <v/>
      </c>
      <c r="O65" s="1004" t="str">
        <f ca="1"/>
        <v/>
      </c>
      <c r="P65" s="1027" t="str">
        <f ca="1"/>
        <v/>
      </c>
      <c r="Q65" s="1006" t="str">
        <f ca="1"/>
        <v/>
      </c>
      <c r="R65" s="1016" t="str">
        <f ca="1"/>
        <v/>
      </c>
      <c r="S65" s="1016" t="str">
        <f ca="1"/>
        <v/>
      </c>
      <c r="T65" s="1027" t="str">
        <f ca="1"/>
        <v/>
      </c>
      <c r="U65" s="1027" t="str">
        <f ca="1"/>
        <v/>
      </c>
      <c r="V65" s="1036" t="str">
        <f ca="1"/>
        <v/>
      </c>
      <c r="W65" s="1016" t="str">
        <f ca="1"/>
        <v/>
      </c>
      <c r="X65" s="1034" t="str">
        <f ca="1"/>
        <v/>
      </c>
      <c r="Y65" s="1016" t="str">
        <f ca="1"/>
        <v/>
      </c>
      <c r="Z65" s="1019" t="str">
        <f ca="1"/>
        <v/>
      </c>
      <c r="AA65" s="1016" t="str">
        <f ca="1"/>
        <v/>
      </c>
      <c r="AB65" s="1020" t="str">
        <f ca="1"/>
        <v/>
      </c>
      <c r="AC65" s="995" t="s">
        <v>12</v>
      </c>
    </row>
    <row r="66" spans="11:29">
      <c r="K66" s="995" t="s">
        <v>12</v>
      </c>
      <c r="L66" s="1141" t="str">
        <f ca="1"/>
        <v/>
      </c>
      <c r="M66" s="1006" t="str">
        <f ca="1"/>
        <v/>
      </c>
      <c r="N66" s="1006" t="str">
        <f ca="1"/>
        <v/>
      </c>
      <c r="O66" s="1004" t="str">
        <f ca="1"/>
        <v/>
      </c>
      <c r="P66" s="1027" t="str">
        <f ca="1"/>
        <v/>
      </c>
      <c r="Q66" s="1006" t="str">
        <f ca="1"/>
        <v/>
      </c>
      <c r="R66" s="1016" t="str">
        <f ca="1"/>
        <v/>
      </c>
      <c r="S66" s="1016" t="str">
        <f ca="1"/>
        <v/>
      </c>
      <c r="T66" s="1027" t="str">
        <f ca="1"/>
        <v/>
      </c>
      <c r="U66" s="1027" t="str">
        <f ca="1"/>
        <v/>
      </c>
      <c r="V66" s="1036" t="str">
        <f ca="1"/>
        <v/>
      </c>
      <c r="W66" s="1016" t="str">
        <f ca="1"/>
        <v/>
      </c>
      <c r="X66" s="1034" t="str">
        <f ca="1"/>
        <v/>
      </c>
      <c r="Y66" s="1016" t="str">
        <f ca="1"/>
        <v/>
      </c>
      <c r="Z66" s="1019" t="str">
        <f ca="1"/>
        <v/>
      </c>
      <c r="AA66" s="1016" t="str">
        <f ca="1"/>
        <v/>
      </c>
      <c r="AB66" s="1020" t="str">
        <f ca="1"/>
        <v/>
      </c>
      <c r="AC66" s="995" t="s">
        <v>12</v>
      </c>
    </row>
    <row r="67" spans="11:29">
      <c r="K67" s="995" t="s">
        <v>12</v>
      </c>
      <c r="L67" s="1141" t="str">
        <f ca="1"/>
        <v/>
      </c>
      <c r="M67" s="1006" t="str">
        <f ca="1"/>
        <v/>
      </c>
      <c r="N67" s="1006" t="str">
        <f ca="1"/>
        <v/>
      </c>
      <c r="O67" s="1004" t="str">
        <f ca="1"/>
        <v/>
      </c>
      <c r="P67" s="1027" t="str">
        <f ca="1"/>
        <v/>
      </c>
      <c r="Q67" s="1006" t="str">
        <f ca="1"/>
        <v/>
      </c>
      <c r="R67" s="1016" t="str">
        <f ca="1"/>
        <v/>
      </c>
      <c r="S67" s="1016" t="str">
        <f ca="1"/>
        <v/>
      </c>
      <c r="T67" s="1027" t="str">
        <f ca="1"/>
        <v/>
      </c>
      <c r="U67" s="1027" t="str">
        <f ca="1"/>
        <v/>
      </c>
      <c r="V67" s="1036" t="str">
        <f ca="1"/>
        <v/>
      </c>
      <c r="W67" s="1016" t="str">
        <f ca="1"/>
        <v/>
      </c>
      <c r="X67" s="1034" t="str">
        <f ca="1"/>
        <v/>
      </c>
      <c r="Y67" s="1016" t="str">
        <f ca="1"/>
        <v/>
      </c>
      <c r="Z67" s="1019" t="str">
        <f ca="1"/>
        <v/>
      </c>
      <c r="AA67" s="1016" t="str">
        <f ca="1"/>
        <v/>
      </c>
      <c r="AB67" s="1020" t="str">
        <f ca="1"/>
        <v/>
      </c>
      <c r="AC67" s="995" t="s">
        <v>12</v>
      </c>
    </row>
    <row r="68" spans="11:29">
      <c r="K68" s="995" t="s">
        <v>12</v>
      </c>
      <c r="L68" s="1141" t="str">
        <f ca="1"/>
        <v/>
      </c>
      <c r="M68" s="1006" t="str">
        <f ca="1"/>
        <v/>
      </c>
      <c r="N68" s="1006" t="str">
        <f ca="1"/>
        <v/>
      </c>
      <c r="O68" s="1004" t="str">
        <f ca="1"/>
        <v/>
      </c>
      <c r="P68" s="1027" t="str">
        <f ca="1"/>
        <v/>
      </c>
      <c r="Q68" s="1006" t="str">
        <f ca="1"/>
        <v/>
      </c>
      <c r="R68" s="1016" t="str">
        <f ca="1"/>
        <v/>
      </c>
      <c r="S68" s="1016" t="str">
        <f ca="1"/>
        <v/>
      </c>
      <c r="T68" s="1027" t="str">
        <f ca="1"/>
        <v/>
      </c>
      <c r="U68" s="1027" t="str">
        <f ca="1"/>
        <v/>
      </c>
      <c r="V68" s="1036" t="str">
        <f ca="1"/>
        <v/>
      </c>
      <c r="W68" s="1016" t="str">
        <f ca="1"/>
        <v/>
      </c>
      <c r="X68" s="1034" t="str">
        <f ca="1"/>
        <v/>
      </c>
      <c r="Y68" s="1016" t="str">
        <f ca="1"/>
        <v/>
      </c>
      <c r="Z68" s="1019" t="str">
        <f ca="1"/>
        <v/>
      </c>
      <c r="AA68" s="1016" t="str">
        <f ca="1"/>
        <v/>
      </c>
      <c r="AB68" s="1020" t="str">
        <f ca="1"/>
        <v/>
      </c>
      <c r="AC68" s="995" t="s">
        <v>12</v>
      </c>
    </row>
    <row r="69" spans="11:29">
      <c r="K69" s="995" t="s">
        <v>12</v>
      </c>
      <c r="L69" s="1141" t="str">
        <f ca="1"/>
        <v/>
      </c>
      <c r="M69" s="1006" t="str">
        <f ca="1"/>
        <v/>
      </c>
      <c r="N69" s="1006" t="str">
        <f ca="1"/>
        <v/>
      </c>
      <c r="O69" s="1004" t="str">
        <f ca="1"/>
        <v/>
      </c>
      <c r="P69" s="1027" t="str">
        <f ca="1"/>
        <v/>
      </c>
      <c r="Q69" s="1006" t="str">
        <f ca="1"/>
        <v/>
      </c>
      <c r="R69" s="1016" t="str">
        <f ca="1"/>
        <v/>
      </c>
      <c r="S69" s="1016" t="str">
        <f ca="1"/>
        <v/>
      </c>
      <c r="T69" s="1027" t="str">
        <f ca="1"/>
        <v/>
      </c>
      <c r="U69" s="1027" t="str">
        <f ca="1"/>
        <v/>
      </c>
      <c r="V69" s="1036" t="str">
        <f ca="1"/>
        <v/>
      </c>
      <c r="W69" s="1016" t="str">
        <f ca="1"/>
        <v/>
      </c>
      <c r="X69" s="1034" t="str">
        <f ca="1"/>
        <v/>
      </c>
      <c r="Y69" s="1016" t="str">
        <f ca="1"/>
        <v/>
      </c>
      <c r="Z69" s="1019" t="str">
        <f ca="1"/>
        <v/>
      </c>
      <c r="AA69" s="1016" t="str">
        <f ca="1"/>
        <v/>
      </c>
      <c r="AB69" s="1020" t="str">
        <f ca="1"/>
        <v/>
      </c>
      <c r="AC69" s="995" t="s">
        <v>12</v>
      </c>
    </row>
    <row r="70" spans="11:29">
      <c r="K70" s="995" t="s">
        <v>12</v>
      </c>
      <c r="L70" s="1141" t="str">
        <f ca="1"/>
        <v/>
      </c>
      <c r="M70" s="1006" t="str">
        <f ca="1"/>
        <v/>
      </c>
      <c r="N70" s="1006" t="str">
        <f ca="1"/>
        <v/>
      </c>
      <c r="O70" s="1004" t="str">
        <f ca="1"/>
        <v/>
      </c>
      <c r="P70" s="1027" t="str">
        <f ca="1"/>
        <v/>
      </c>
      <c r="Q70" s="1006" t="str">
        <f ca="1"/>
        <v/>
      </c>
      <c r="R70" s="1016" t="str">
        <f ca="1"/>
        <v/>
      </c>
      <c r="S70" s="1016" t="str">
        <f ca="1"/>
        <v/>
      </c>
      <c r="T70" s="1027" t="str">
        <f ca="1"/>
        <v/>
      </c>
      <c r="U70" s="1027" t="str">
        <f ca="1"/>
        <v/>
      </c>
      <c r="V70" s="1036" t="str">
        <f ca="1"/>
        <v/>
      </c>
      <c r="W70" s="1016" t="str">
        <f ca="1"/>
        <v/>
      </c>
      <c r="X70" s="1034" t="str">
        <f ca="1"/>
        <v/>
      </c>
      <c r="Y70" s="1016" t="str">
        <f ca="1"/>
        <v/>
      </c>
      <c r="Z70" s="1019" t="str">
        <f ca="1"/>
        <v/>
      </c>
      <c r="AA70" s="1016" t="str">
        <f ca="1"/>
        <v/>
      </c>
      <c r="AB70" s="1020" t="str">
        <f ca="1"/>
        <v/>
      </c>
      <c r="AC70" s="995" t="s">
        <v>12</v>
      </c>
    </row>
    <row r="71" spans="11:29">
      <c r="K71" s="995" t="s">
        <v>12</v>
      </c>
      <c r="L71" s="1141" t="str">
        <f ca="1"/>
        <v/>
      </c>
      <c r="M71" s="1006" t="str">
        <f ca="1"/>
        <v/>
      </c>
      <c r="N71" s="1006" t="str">
        <f ca="1"/>
        <v/>
      </c>
      <c r="O71" s="1004" t="str">
        <f ca="1"/>
        <v/>
      </c>
      <c r="P71" s="1027" t="str">
        <f ca="1"/>
        <v/>
      </c>
      <c r="Q71" s="1006" t="str">
        <f ca="1"/>
        <v/>
      </c>
      <c r="R71" s="1016" t="str">
        <f ca="1"/>
        <v/>
      </c>
      <c r="S71" s="1016" t="str">
        <f ca="1"/>
        <v/>
      </c>
      <c r="T71" s="1027" t="str">
        <f ca="1"/>
        <v/>
      </c>
      <c r="U71" s="1027" t="str">
        <f ca="1"/>
        <v/>
      </c>
      <c r="V71" s="1036" t="str">
        <f ca="1"/>
        <v/>
      </c>
      <c r="W71" s="1016" t="str">
        <f ca="1"/>
        <v/>
      </c>
      <c r="X71" s="1034" t="str">
        <f ca="1"/>
        <v/>
      </c>
      <c r="Y71" s="1016" t="str">
        <f ca="1"/>
        <v/>
      </c>
      <c r="Z71" s="1019" t="str">
        <f ca="1"/>
        <v/>
      </c>
      <c r="AA71" s="1016" t="str">
        <f ca="1"/>
        <v/>
      </c>
      <c r="AB71" s="1020" t="str">
        <f ca="1"/>
        <v/>
      </c>
      <c r="AC71" s="995" t="s">
        <v>12</v>
      </c>
    </row>
    <row r="72" spans="11:29">
      <c r="K72" s="995" t="s">
        <v>12</v>
      </c>
      <c r="L72" s="1141" t="str">
        <f ca="1"/>
        <v/>
      </c>
      <c r="M72" s="1006" t="str">
        <f ca="1"/>
        <v/>
      </c>
      <c r="N72" s="1006" t="str">
        <f ca="1"/>
        <v/>
      </c>
      <c r="O72" s="1004" t="str">
        <f ca="1"/>
        <v/>
      </c>
      <c r="P72" s="1027" t="str">
        <f ca="1"/>
        <v/>
      </c>
      <c r="Q72" s="1006" t="str">
        <f ca="1"/>
        <v/>
      </c>
      <c r="R72" s="1016" t="str">
        <f ca="1"/>
        <v/>
      </c>
      <c r="S72" s="1016" t="str">
        <f ca="1"/>
        <v/>
      </c>
      <c r="T72" s="1027" t="str">
        <f ca="1"/>
        <v/>
      </c>
      <c r="U72" s="1027" t="str">
        <f ca="1"/>
        <v/>
      </c>
      <c r="V72" s="1036" t="str">
        <f ca="1"/>
        <v/>
      </c>
      <c r="W72" s="1016" t="str">
        <f ca="1"/>
        <v/>
      </c>
      <c r="X72" s="1034" t="str">
        <f ca="1"/>
        <v/>
      </c>
      <c r="Y72" s="1016" t="str">
        <f ca="1"/>
        <v/>
      </c>
      <c r="Z72" s="1019" t="str">
        <f ca="1"/>
        <v/>
      </c>
      <c r="AA72" s="1016" t="str">
        <f ca="1"/>
        <v/>
      </c>
      <c r="AB72" s="1020" t="str">
        <f ca="1"/>
        <v/>
      </c>
      <c r="AC72" s="995" t="s">
        <v>12</v>
      </c>
    </row>
    <row r="73" spans="11:29">
      <c r="K73" s="995" t="s">
        <v>12</v>
      </c>
      <c r="L73" s="1141" t="str">
        <f ca="1"/>
        <v/>
      </c>
      <c r="M73" s="1006" t="str">
        <f ca="1"/>
        <v/>
      </c>
      <c r="N73" s="1006" t="str">
        <f ca="1"/>
        <v/>
      </c>
      <c r="O73" s="1004" t="str">
        <f ca="1"/>
        <v/>
      </c>
      <c r="P73" s="1027" t="str">
        <f ca="1"/>
        <v/>
      </c>
      <c r="Q73" s="1006" t="str">
        <f ca="1"/>
        <v/>
      </c>
      <c r="R73" s="1016" t="str">
        <f ca="1"/>
        <v/>
      </c>
      <c r="S73" s="1016" t="str">
        <f ca="1"/>
        <v/>
      </c>
      <c r="T73" s="1027" t="str">
        <f ca="1"/>
        <v/>
      </c>
      <c r="U73" s="1027" t="str">
        <f ca="1"/>
        <v/>
      </c>
      <c r="V73" s="1036" t="str">
        <f ca="1"/>
        <v/>
      </c>
      <c r="W73" s="1016" t="str">
        <f ca="1"/>
        <v/>
      </c>
      <c r="X73" s="1034" t="str">
        <f ca="1"/>
        <v/>
      </c>
      <c r="Y73" s="1016" t="str">
        <f ca="1"/>
        <v/>
      </c>
      <c r="Z73" s="1019" t="str">
        <f ca="1"/>
        <v/>
      </c>
      <c r="AA73" s="1016" t="str">
        <f ca="1"/>
        <v/>
      </c>
      <c r="AB73" s="1020" t="str">
        <f ca="1"/>
        <v/>
      </c>
      <c r="AC73" s="995" t="s">
        <v>12</v>
      </c>
    </row>
    <row r="74" spans="11:29">
      <c r="K74" s="995" t="s">
        <v>12</v>
      </c>
      <c r="L74" s="1141" t="str">
        <f ca="1"/>
        <v/>
      </c>
      <c r="M74" s="1006" t="str">
        <f ca="1"/>
        <v/>
      </c>
      <c r="N74" s="1006" t="str">
        <f ca="1"/>
        <v/>
      </c>
      <c r="O74" s="1004" t="str">
        <f ca="1"/>
        <v/>
      </c>
      <c r="P74" s="1027" t="str">
        <f ca="1"/>
        <v/>
      </c>
      <c r="Q74" s="1006" t="str">
        <f ca="1"/>
        <v/>
      </c>
      <c r="R74" s="1016" t="str">
        <f ca="1"/>
        <v/>
      </c>
      <c r="S74" s="1016" t="str">
        <f ca="1"/>
        <v/>
      </c>
      <c r="T74" s="1027" t="str">
        <f ca="1"/>
        <v/>
      </c>
      <c r="U74" s="1027" t="str">
        <f ca="1"/>
        <v/>
      </c>
      <c r="V74" s="1036" t="str">
        <f ca="1"/>
        <v/>
      </c>
      <c r="W74" s="1016" t="str">
        <f ca="1"/>
        <v/>
      </c>
      <c r="X74" s="1034" t="str">
        <f ca="1"/>
        <v/>
      </c>
      <c r="Y74" s="1016" t="str">
        <f ca="1"/>
        <v/>
      </c>
      <c r="Z74" s="1019" t="str">
        <f ca="1"/>
        <v/>
      </c>
      <c r="AA74" s="1016" t="str">
        <f ca="1"/>
        <v/>
      </c>
      <c r="AB74" s="1020" t="str">
        <f ca="1"/>
        <v/>
      </c>
      <c r="AC74" s="995" t="s">
        <v>12</v>
      </c>
    </row>
    <row r="75" spans="11:29">
      <c r="K75" s="995" t="s">
        <v>12</v>
      </c>
      <c r="L75" s="1141" t="str">
        <f ca="1"/>
        <v/>
      </c>
      <c r="M75" s="1006" t="str">
        <f ca="1"/>
        <v/>
      </c>
      <c r="N75" s="1006" t="str">
        <f ca="1"/>
        <v/>
      </c>
      <c r="O75" s="1004" t="str">
        <f ca="1"/>
        <v/>
      </c>
      <c r="P75" s="1027" t="str">
        <f ca="1"/>
        <v/>
      </c>
      <c r="Q75" s="1006" t="str">
        <f ca="1"/>
        <v/>
      </c>
      <c r="R75" s="1016" t="str">
        <f ca="1"/>
        <v/>
      </c>
      <c r="S75" s="1016" t="str">
        <f ca="1"/>
        <v/>
      </c>
      <c r="T75" s="1027" t="str">
        <f ca="1"/>
        <v/>
      </c>
      <c r="U75" s="1027" t="str">
        <f ca="1"/>
        <v/>
      </c>
      <c r="V75" s="1036" t="str">
        <f ca="1"/>
        <v/>
      </c>
      <c r="W75" s="1016" t="str">
        <f ca="1"/>
        <v/>
      </c>
      <c r="X75" s="1034" t="str">
        <f ca="1"/>
        <v/>
      </c>
      <c r="Y75" s="1016" t="str">
        <f ca="1"/>
        <v/>
      </c>
      <c r="Z75" s="1019" t="str">
        <f ca="1"/>
        <v/>
      </c>
      <c r="AA75" s="1016" t="str">
        <f ca="1"/>
        <v/>
      </c>
      <c r="AB75" s="1020" t="str">
        <f ca="1"/>
        <v/>
      </c>
      <c r="AC75" s="995" t="s">
        <v>12</v>
      </c>
    </row>
    <row r="76" spans="11:29">
      <c r="K76" s="995" t="s">
        <v>12</v>
      </c>
      <c r="L76" s="1141" t="str">
        <f ca="1"/>
        <v/>
      </c>
      <c r="M76" s="1006" t="str">
        <f ca="1"/>
        <v/>
      </c>
      <c r="N76" s="1006" t="str">
        <f ca="1"/>
        <v/>
      </c>
      <c r="O76" s="1004" t="str">
        <f ca="1"/>
        <v/>
      </c>
      <c r="P76" s="1027" t="str">
        <f ca="1"/>
        <v/>
      </c>
      <c r="Q76" s="1006" t="str">
        <f ca="1"/>
        <v/>
      </c>
      <c r="R76" s="1016" t="str">
        <f ca="1"/>
        <v/>
      </c>
      <c r="S76" s="1016" t="str">
        <f ca="1"/>
        <v/>
      </c>
      <c r="T76" s="1027" t="str">
        <f ca="1"/>
        <v/>
      </c>
      <c r="U76" s="1027" t="str">
        <f ca="1"/>
        <v/>
      </c>
      <c r="V76" s="1036" t="str">
        <f ca="1"/>
        <v/>
      </c>
      <c r="W76" s="1016" t="str">
        <f ca="1"/>
        <v/>
      </c>
      <c r="X76" s="1034" t="str">
        <f ca="1"/>
        <v/>
      </c>
      <c r="Y76" s="1016" t="str">
        <f ca="1"/>
        <v/>
      </c>
      <c r="Z76" s="1019" t="str">
        <f ca="1"/>
        <v/>
      </c>
      <c r="AA76" s="1016" t="str">
        <f ca="1"/>
        <v/>
      </c>
      <c r="AB76" s="1020" t="str">
        <f ca="1"/>
        <v/>
      </c>
      <c r="AC76" s="995" t="s">
        <v>12</v>
      </c>
    </row>
    <row r="77" spans="11:29">
      <c r="K77" s="995" t="s">
        <v>12</v>
      </c>
      <c r="L77" s="1141" t="str">
        <f ca="1"/>
        <v/>
      </c>
      <c r="M77" s="1006" t="str">
        <f ca="1"/>
        <v/>
      </c>
      <c r="N77" s="1006" t="str">
        <f ca="1"/>
        <v/>
      </c>
      <c r="O77" s="1004" t="str">
        <f ca="1"/>
        <v/>
      </c>
      <c r="P77" s="1027" t="str">
        <f ca="1"/>
        <v/>
      </c>
      <c r="Q77" s="1006" t="str">
        <f ca="1"/>
        <v/>
      </c>
      <c r="R77" s="1016" t="str">
        <f ca="1"/>
        <v/>
      </c>
      <c r="S77" s="1016" t="str">
        <f ca="1"/>
        <v/>
      </c>
      <c r="T77" s="1027" t="str">
        <f ca="1"/>
        <v/>
      </c>
      <c r="U77" s="1027" t="str">
        <f ca="1"/>
        <v/>
      </c>
      <c r="V77" s="1036" t="str">
        <f ca="1"/>
        <v/>
      </c>
      <c r="W77" s="1016" t="str">
        <f ca="1"/>
        <v/>
      </c>
      <c r="X77" s="1034" t="str">
        <f ca="1"/>
        <v/>
      </c>
      <c r="Y77" s="1016" t="str">
        <f ca="1"/>
        <v/>
      </c>
      <c r="Z77" s="1019" t="str">
        <f ca="1"/>
        <v/>
      </c>
      <c r="AA77" s="1016" t="str">
        <f ca="1"/>
        <v/>
      </c>
      <c r="AB77" s="1020" t="str">
        <f ca="1"/>
        <v/>
      </c>
      <c r="AC77" s="995" t="s">
        <v>12</v>
      </c>
    </row>
    <row r="78" spans="11:29">
      <c r="K78" s="995" t="s">
        <v>12</v>
      </c>
      <c r="L78" s="1141" t="str">
        <f ca="1"/>
        <v/>
      </c>
      <c r="M78" s="1006" t="str">
        <f ca="1"/>
        <v/>
      </c>
      <c r="N78" s="1006" t="str">
        <f ca="1"/>
        <v/>
      </c>
      <c r="O78" s="1004" t="str">
        <f ca="1"/>
        <v/>
      </c>
      <c r="P78" s="1027" t="str">
        <f ca="1"/>
        <v/>
      </c>
      <c r="Q78" s="1006" t="str">
        <f ca="1"/>
        <v/>
      </c>
      <c r="R78" s="1016" t="str">
        <f ca="1"/>
        <v/>
      </c>
      <c r="S78" s="1016" t="str">
        <f ca="1"/>
        <v/>
      </c>
      <c r="T78" s="1027" t="str">
        <f ca="1"/>
        <v/>
      </c>
      <c r="U78" s="1027" t="str">
        <f ca="1"/>
        <v/>
      </c>
      <c r="V78" s="1036" t="str">
        <f ca="1"/>
        <v/>
      </c>
      <c r="W78" s="1016" t="str">
        <f ca="1"/>
        <v/>
      </c>
      <c r="X78" s="1034" t="str">
        <f ca="1"/>
        <v/>
      </c>
      <c r="Y78" s="1016" t="str">
        <f ca="1"/>
        <v/>
      </c>
      <c r="Z78" s="1019" t="str">
        <f ca="1"/>
        <v/>
      </c>
      <c r="AA78" s="1016" t="str">
        <f ca="1"/>
        <v/>
      </c>
      <c r="AB78" s="1020" t="str">
        <f ca="1"/>
        <v/>
      </c>
      <c r="AC78" s="995" t="s">
        <v>12</v>
      </c>
    </row>
    <row r="79" spans="11:29">
      <c r="K79" s="995" t="s">
        <v>12</v>
      </c>
      <c r="L79" s="1141" t="str">
        <f ca="1"/>
        <v/>
      </c>
      <c r="M79" s="1006" t="str">
        <f ca="1"/>
        <v/>
      </c>
      <c r="N79" s="1006" t="str">
        <f ca="1"/>
        <v/>
      </c>
      <c r="O79" s="1004" t="str">
        <f ca="1"/>
        <v/>
      </c>
      <c r="P79" s="1027" t="str">
        <f ca="1"/>
        <v/>
      </c>
      <c r="Q79" s="1006" t="str">
        <f ca="1"/>
        <v/>
      </c>
      <c r="R79" s="1016" t="str">
        <f ca="1"/>
        <v/>
      </c>
      <c r="S79" s="1016" t="str">
        <f ca="1"/>
        <v/>
      </c>
      <c r="T79" s="1027" t="str">
        <f ca="1"/>
        <v/>
      </c>
      <c r="U79" s="1027" t="str">
        <f ca="1"/>
        <v/>
      </c>
      <c r="V79" s="1036" t="str">
        <f ca="1"/>
        <v/>
      </c>
      <c r="W79" s="1016" t="str">
        <f ca="1"/>
        <v/>
      </c>
      <c r="X79" s="1034" t="str">
        <f ca="1"/>
        <v/>
      </c>
      <c r="Y79" s="1016" t="str">
        <f ca="1"/>
        <v/>
      </c>
      <c r="Z79" s="1019" t="str">
        <f ca="1"/>
        <v/>
      </c>
      <c r="AA79" s="1016" t="str">
        <f ca="1"/>
        <v/>
      </c>
      <c r="AB79" s="1020" t="str">
        <f ca="1"/>
        <v/>
      </c>
      <c r="AC79" s="995" t="s">
        <v>12</v>
      </c>
    </row>
    <row r="80" spans="11:29">
      <c r="K80" s="995" t="s">
        <v>12</v>
      </c>
      <c r="L80" s="1141" t="str">
        <f ca="1"/>
        <v/>
      </c>
      <c r="M80" s="1006" t="str">
        <f ca="1"/>
        <v/>
      </c>
      <c r="N80" s="1006" t="str">
        <f ca="1"/>
        <v/>
      </c>
      <c r="O80" s="1004" t="str">
        <f ca="1"/>
        <v/>
      </c>
      <c r="P80" s="1027" t="str">
        <f ca="1"/>
        <v/>
      </c>
      <c r="Q80" s="1006" t="str">
        <f ca="1"/>
        <v/>
      </c>
      <c r="R80" s="1016" t="str">
        <f ca="1"/>
        <v/>
      </c>
      <c r="S80" s="1016" t="str">
        <f ca="1"/>
        <v/>
      </c>
      <c r="T80" s="1027" t="str">
        <f ca="1"/>
        <v/>
      </c>
      <c r="U80" s="1027" t="str">
        <f ca="1"/>
        <v/>
      </c>
      <c r="V80" s="1036" t="str">
        <f ca="1"/>
        <v/>
      </c>
      <c r="W80" s="1016" t="str">
        <f ca="1"/>
        <v/>
      </c>
      <c r="X80" s="1034" t="str">
        <f ca="1"/>
        <v/>
      </c>
      <c r="Y80" s="1016" t="str">
        <f ca="1"/>
        <v/>
      </c>
      <c r="Z80" s="1019" t="str">
        <f ca="1"/>
        <v/>
      </c>
      <c r="AA80" s="1016" t="str">
        <f ca="1"/>
        <v/>
      </c>
      <c r="AB80" s="1020" t="str">
        <f ca="1"/>
        <v/>
      </c>
      <c r="AC80" s="995" t="s">
        <v>12</v>
      </c>
    </row>
    <row r="81" spans="11:29">
      <c r="K81" s="995" t="s">
        <v>12</v>
      </c>
      <c r="L81" s="1141" t="str">
        <f ca="1"/>
        <v/>
      </c>
      <c r="M81" s="1006" t="str">
        <f ca="1"/>
        <v/>
      </c>
      <c r="N81" s="1006" t="str">
        <f ca="1"/>
        <v/>
      </c>
      <c r="O81" s="1004" t="str">
        <f ca="1"/>
        <v/>
      </c>
      <c r="P81" s="1027" t="str">
        <f ca="1"/>
        <v/>
      </c>
      <c r="Q81" s="1006" t="str">
        <f ca="1"/>
        <v/>
      </c>
      <c r="R81" s="1016" t="str">
        <f ca="1"/>
        <v/>
      </c>
      <c r="S81" s="1016" t="str">
        <f ca="1"/>
        <v/>
      </c>
      <c r="T81" s="1027" t="str">
        <f ca="1"/>
        <v/>
      </c>
      <c r="U81" s="1027" t="str">
        <f ca="1"/>
        <v/>
      </c>
      <c r="V81" s="1036" t="str">
        <f ca="1"/>
        <v/>
      </c>
      <c r="W81" s="1016" t="str">
        <f ca="1"/>
        <v/>
      </c>
      <c r="X81" s="1034" t="str">
        <f ca="1"/>
        <v/>
      </c>
      <c r="Y81" s="1016" t="str">
        <f ca="1"/>
        <v/>
      </c>
      <c r="Z81" s="1019" t="str">
        <f ca="1"/>
        <v/>
      </c>
      <c r="AA81" s="1016" t="str">
        <f ca="1"/>
        <v/>
      </c>
      <c r="AB81" s="1020" t="str">
        <f ca="1"/>
        <v/>
      </c>
      <c r="AC81" s="995" t="s">
        <v>12</v>
      </c>
    </row>
    <row r="82" spans="11:29">
      <c r="K82" s="995" t="s">
        <v>12</v>
      </c>
      <c r="L82" s="1141" t="str">
        <f ca="1"/>
        <v/>
      </c>
      <c r="M82" s="1006" t="str">
        <f ca="1"/>
        <v/>
      </c>
      <c r="N82" s="1006" t="str">
        <f ca="1"/>
        <v/>
      </c>
      <c r="O82" s="1004" t="str">
        <f ca="1"/>
        <v/>
      </c>
      <c r="P82" s="1027" t="str">
        <f ca="1"/>
        <v/>
      </c>
      <c r="Q82" s="1006" t="str">
        <f ca="1"/>
        <v/>
      </c>
      <c r="R82" s="1016" t="str">
        <f ca="1"/>
        <v/>
      </c>
      <c r="S82" s="1016" t="str">
        <f ca="1"/>
        <v/>
      </c>
      <c r="T82" s="1027" t="str">
        <f ca="1"/>
        <v/>
      </c>
      <c r="U82" s="1027" t="str">
        <f ca="1"/>
        <v/>
      </c>
      <c r="V82" s="1036" t="str">
        <f ca="1"/>
        <v/>
      </c>
      <c r="W82" s="1016" t="str">
        <f ca="1"/>
        <v/>
      </c>
      <c r="X82" s="1034" t="str">
        <f ca="1"/>
        <v/>
      </c>
      <c r="Y82" s="1016" t="str">
        <f ca="1"/>
        <v/>
      </c>
      <c r="Z82" s="1019" t="str">
        <f ca="1"/>
        <v/>
      </c>
      <c r="AA82" s="1016" t="str">
        <f ca="1"/>
        <v/>
      </c>
      <c r="AB82" s="1020" t="str">
        <f ca="1"/>
        <v/>
      </c>
      <c r="AC82" s="995" t="s">
        <v>12</v>
      </c>
    </row>
    <row r="83" spans="11:29">
      <c r="K83" s="995" t="s">
        <v>12</v>
      </c>
      <c r="L83" s="1141" t="str">
        <f ca="1"/>
        <v/>
      </c>
      <c r="M83" s="1006" t="str">
        <f ca="1"/>
        <v/>
      </c>
      <c r="N83" s="1006" t="str">
        <f ca="1"/>
        <v/>
      </c>
      <c r="O83" s="1004" t="str">
        <f ca="1"/>
        <v/>
      </c>
      <c r="P83" s="1027" t="str">
        <f ca="1"/>
        <v/>
      </c>
      <c r="Q83" s="1006" t="str">
        <f ca="1"/>
        <v/>
      </c>
      <c r="R83" s="1016" t="str">
        <f ca="1"/>
        <v/>
      </c>
      <c r="S83" s="1016" t="str">
        <f ca="1"/>
        <v/>
      </c>
      <c r="T83" s="1027" t="str">
        <f ca="1"/>
        <v/>
      </c>
      <c r="U83" s="1027" t="str">
        <f ca="1"/>
        <v/>
      </c>
      <c r="V83" s="1036" t="str">
        <f ca="1"/>
        <v/>
      </c>
      <c r="W83" s="1016" t="str">
        <f ca="1"/>
        <v/>
      </c>
      <c r="X83" s="1034" t="str">
        <f ca="1"/>
        <v/>
      </c>
      <c r="Y83" s="1016" t="str">
        <f ca="1"/>
        <v/>
      </c>
      <c r="Z83" s="1019" t="str">
        <f ca="1"/>
        <v/>
      </c>
      <c r="AA83" s="1016" t="str">
        <f ca="1"/>
        <v/>
      </c>
      <c r="AB83" s="1020" t="str">
        <f ca="1"/>
        <v/>
      </c>
      <c r="AC83" s="995" t="s">
        <v>12</v>
      </c>
    </row>
    <row r="84" spans="11:29">
      <c r="K84" s="995" t="s">
        <v>12</v>
      </c>
      <c r="L84" s="1141" t="str">
        <f ca="1"/>
        <v/>
      </c>
      <c r="M84" s="1006" t="str">
        <f ca="1"/>
        <v/>
      </c>
      <c r="N84" s="1006" t="str">
        <f ca="1"/>
        <v/>
      </c>
      <c r="O84" s="1004" t="str">
        <f ca="1"/>
        <v/>
      </c>
      <c r="P84" s="1027" t="str">
        <f ca="1"/>
        <v/>
      </c>
      <c r="Q84" s="1006" t="str">
        <f ca="1"/>
        <v/>
      </c>
      <c r="R84" s="1016" t="str">
        <f ca="1"/>
        <v/>
      </c>
      <c r="S84" s="1016" t="str">
        <f ca="1"/>
        <v/>
      </c>
      <c r="T84" s="1027" t="str">
        <f ca="1"/>
        <v/>
      </c>
      <c r="U84" s="1027" t="str">
        <f ca="1"/>
        <v/>
      </c>
      <c r="V84" s="1036" t="str">
        <f ca="1"/>
        <v/>
      </c>
      <c r="W84" s="1016" t="str">
        <f ca="1"/>
        <v/>
      </c>
      <c r="X84" s="1034" t="str">
        <f ca="1"/>
        <v/>
      </c>
      <c r="Y84" s="1016" t="str">
        <f ca="1"/>
        <v/>
      </c>
      <c r="Z84" s="1019" t="str">
        <f ca="1"/>
        <v/>
      </c>
      <c r="AA84" s="1016" t="str">
        <f ca="1"/>
        <v/>
      </c>
      <c r="AB84" s="1020" t="str">
        <f ca="1"/>
        <v/>
      </c>
      <c r="AC84" s="995" t="s">
        <v>12</v>
      </c>
    </row>
    <row r="85" spans="11:29">
      <c r="K85" s="995" t="s">
        <v>12</v>
      </c>
      <c r="L85" s="1141" t="str">
        <f ca="1"/>
        <v/>
      </c>
      <c r="M85" s="1006" t="str">
        <f ca="1"/>
        <v/>
      </c>
      <c r="N85" s="1006" t="str">
        <f ca="1"/>
        <v/>
      </c>
      <c r="O85" s="1004" t="str">
        <f ca="1"/>
        <v/>
      </c>
      <c r="P85" s="1027" t="str">
        <f ca="1"/>
        <v/>
      </c>
      <c r="Q85" s="1006" t="str">
        <f ca="1"/>
        <v/>
      </c>
      <c r="R85" s="1016" t="str">
        <f ca="1"/>
        <v/>
      </c>
      <c r="S85" s="1016" t="str">
        <f ca="1"/>
        <v/>
      </c>
      <c r="T85" s="1027" t="str">
        <f ca="1"/>
        <v/>
      </c>
      <c r="U85" s="1027" t="str">
        <f ca="1"/>
        <v/>
      </c>
      <c r="V85" s="1036" t="str">
        <f ca="1"/>
        <v/>
      </c>
      <c r="W85" s="1016" t="str">
        <f ca="1"/>
        <v/>
      </c>
      <c r="X85" s="1034" t="str">
        <f ca="1"/>
        <v/>
      </c>
      <c r="Y85" s="1016" t="str">
        <f ca="1"/>
        <v/>
      </c>
      <c r="Z85" s="1019" t="str">
        <f ca="1"/>
        <v/>
      </c>
      <c r="AA85" s="1016" t="str">
        <f ca="1"/>
        <v/>
      </c>
      <c r="AB85" s="1020" t="str">
        <f ca="1"/>
        <v/>
      </c>
      <c r="AC85" s="995" t="s">
        <v>12</v>
      </c>
    </row>
    <row r="86" spans="11:29">
      <c r="K86" s="995" t="s">
        <v>12</v>
      </c>
      <c r="L86" s="1141" t="str">
        <f ca="1"/>
        <v/>
      </c>
      <c r="M86" s="1006" t="str">
        <f ca="1"/>
        <v/>
      </c>
      <c r="N86" s="1006" t="str">
        <f ca="1"/>
        <v/>
      </c>
      <c r="O86" s="1004" t="str">
        <f ca="1"/>
        <v/>
      </c>
      <c r="P86" s="1027" t="str">
        <f ca="1"/>
        <v/>
      </c>
      <c r="Q86" s="1006" t="str">
        <f ca="1"/>
        <v/>
      </c>
      <c r="R86" s="1016" t="str">
        <f ca="1"/>
        <v/>
      </c>
      <c r="S86" s="1016" t="str">
        <f ca="1"/>
        <v/>
      </c>
      <c r="T86" s="1027" t="str">
        <f ca="1"/>
        <v/>
      </c>
      <c r="U86" s="1027" t="str">
        <f ca="1"/>
        <v/>
      </c>
      <c r="V86" s="1036" t="str">
        <f ca="1"/>
        <v/>
      </c>
      <c r="W86" s="1016" t="str">
        <f ca="1"/>
        <v/>
      </c>
      <c r="X86" s="1034" t="str">
        <f ca="1"/>
        <v/>
      </c>
      <c r="Y86" s="1016" t="str">
        <f ca="1"/>
        <v/>
      </c>
      <c r="Z86" s="1019" t="str">
        <f ca="1"/>
        <v/>
      </c>
      <c r="AA86" s="1016" t="str">
        <f ca="1"/>
        <v/>
      </c>
      <c r="AB86" s="1020" t="str">
        <f ca="1"/>
        <v/>
      </c>
      <c r="AC86" s="995" t="s">
        <v>12</v>
      </c>
    </row>
    <row r="87" spans="11:29">
      <c r="K87" s="995" t="s">
        <v>12</v>
      </c>
      <c r="L87" s="1141" t="str">
        <f ca="1"/>
        <v/>
      </c>
      <c r="M87" s="1006" t="str">
        <f ca="1"/>
        <v/>
      </c>
      <c r="N87" s="1006" t="str">
        <f ca="1"/>
        <v/>
      </c>
      <c r="O87" s="1004" t="str">
        <f ca="1"/>
        <v/>
      </c>
      <c r="P87" s="1027" t="str">
        <f ca="1"/>
        <v/>
      </c>
      <c r="Q87" s="1006" t="str">
        <f ca="1"/>
        <v/>
      </c>
      <c r="R87" s="1016" t="str">
        <f ca="1"/>
        <v/>
      </c>
      <c r="S87" s="1016" t="str">
        <f ca="1"/>
        <v/>
      </c>
      <c r="T87" s="1027" t="str">
        <f ca="1"/>
        <v/>
      </c>
      <c r="U87" s="1027" t="str">
        <f ca="1"/>
        <v/>
      </c>
      <c r="V87" s="1036" t="str">
        <f ca="1"/>
        <v/>
      </c>
      <c r="W87" s="1016" t="str">
        <f ca="1"/>
        <v/>
      </c>
      <c r="X87" s="1034" t="str">
        <f ca="1"/>
        <v/>
      </c>
      <c r="Y87" s="1016" t="str">
        <f ca="1"/>
        <v/>
      </c>
      <c r="Z87" s="1019" t="str">
        <f ca="1"/>
        <v/>
      </c>
      <c r="AA87" s="1016" t="str">
        <f ca="1"/>
        <v/>
      </c>
      <c r="AB87" s="1020" t="str">
        <f ca="1"/>
        <v/>
      </c>
      <c r="AC87" s="995" t="s">
        <v>12</v>
      </c>
    </row>
    <row r="88" spans="11:29">
      <c r="K88" s="995" t="s">
        <v>12</v>
      </c>
      <c r="L88" s="1141" t="str">
        <f ca="1"/>
        <v/>
      </c>
      <c r="M88" s="1006" t="str">
        <f ca="1"/>
        <v/>
      </c>
      <c r="N88" s="1006" t="str">
        <f ca="1"/>
        <v/>
      </c>
      <c r="O88" s="1004" t="str">
        <f ca="1"/>
        <v/>
      </c>
      <c r="P88" s="1027" t="str">
        <f ca="1"/>
        <v/>
      </c>
      <c r="Q88" s="1006" t="str">
        <f ca="1"/>
        <v/>
      </c>
      <c r="R88" s="1016" t="str">
        <f ca="1"/>
        <v/>
      </c>
      <c r="S88" s="1016" t="str">
        <f ca="1"/>
        <v/>
      </c>
      <c r="T88" s="1027" t="str">
        <f ca="1"/>
        <v/>
      </c>
      <c r="U88" s="1027" t="str">
        <f ca="1"/>
        <v/>
      </c>
      <c r="V88" s="1036" t="str">
        <f ca="1"/>
        <v/>
      </c>
      <c r="W88" s="1016" t="str">
        <f ca="1"/>
        <v/>
      </c>
      <c r="X88" s="1034" t="str">
        <f ca="1"/>
        <v/>
      </c>
      <c r="Y88" s="1016" t="str">
        <f ca="1"/>
        <v/>
      </c>
      <c r="Z88" s="1019" t="str">
        <f ca="1"/>
        <v/>
      </c>
      <c r="AA88" s="1016" t="str">
        <f ca="1"/>
        <v/>
      </c>
      <c r="AB88" s="1020" t="str">
        <f ca="1"/>
        <v/>
      </c>
      <c r="AC88" s="995" t="s">
        <v>12</v>
      </c>
    </row>
    <row r="89" spans="11:29">
      <c r="K89" s="995" t="s">
        <v>12</v>
      </c>
      <c r="L89" s="1141" t="str">
        <f ca="1"/>
        <v/>
      </c>
      <c r="M89" s="1006" t="str">
        <f ca="1"/>
        <v/>
      </c>
      <c r="N89" s="1006" t="str">
        <f ca="1"/>
        <v/>
      </c>
      <c r="O89" s="1004" t="str">
        <f ca="1"/>
        <v/>
      </c>
      <c r="P89" s="1027" t="str">
        <f ca="1"/>
        <v/>
      </c>
      <c r="Q89" s="1006" t="str">
        <f ca="1"/>
        <v/>
      </c>
      <c r="R89" s="1016" t="str">
        <f ca="1"/>
        <v/>
      </c>
      <c r="S89" s="1016" t="str">
        <f ca="1"/>
        <v/>
      </c>
      <c r="T89" s="1027" t="str">
        <f ca="1"/>
        <v/>
      </c>
      <c r="U89" s="1027" t="str">
        <f ca="1"/>
        <v/>
      </c>
      <c r="V89" s="1036" t="str">
        <f ca="1"/>
        <v/>
      </c>
      <c r="W89" s="1016" t="str">
        <f ca="1"/>
        <v/>
      </c>
      <c r="X89" s="1034" t="str">
        <f ca="1"/>
        <v/>
      </c>
      <c r="Y89" s="1016" t="str">
        <f ca="1"/>
        <v/>
      </c>
      <c r="Z89" s="1019" t="str">
        <f ca="1"/>
        <v/>
      </c>
      <c r="AA89" s="1016" t="str">
        <f ca="1"/>
        <v/>
      </c>
      <c r="AB89" s="1020" t="str">
        <f ca="1"/>
        <v/>
      </c>
      <c r="AC89" s="995" t="s">
        <v>12</v>
      </c>
    </row>
    <row r="90" spans="11:29">
      <c r="K90" s="995" t="s">
        <v>12</v>
      </c>
      <c r="L90" s="1141" t="str">
        <f ca="1"/>
        <v/>
      </c>
      <c r="M90" s="1006" t="str">
        <f ca="1"/>
        <v/>
      </c>
      <c r="N90" s="1006" t="str">
        <f ca="1"/>
        <v/>
      </c>
      <c r="O90" s="1004" t="str">
        <f ca="1"/>
        <v/>
      </c>
      <c r="P90" s="1027" t="str">
        <f ca="1"/>
        <v/>
      </c>
      <c r="Q90" s="1006" t="str">
        <f ca="1"/>
        <v/>
      </c>
      <c r="R90" s="1016" t="str">
        <f ca="1"/>
        <v/>
      </c>
      <c r="S90" s="1016" t="str">
        <f ca="1"/>
        <v/>
      </c>
      <c r="T90" s="1027" t="str">
        <f ca="1"/>
        <v/>
      </c>
      <c r="U90" s="1027" t="str">
        <f ca="1"/>
        <v/>
      </c>
      <c r="V90" s="1036" t="str">
        <f ca="1"/>
        <v/>
      </c>
      <c r="W90" s="1016" t="str">
        <f ca="1"/>
        <v/>
      </c>
      <c r="X90" s="1034" t="str">
        <f ca="1"/>
        <v/>
      </c>
      <c r="Y90" s="1016" t="str">
        <f ca="1"/>
        <v/>
      </c>
      <c r="Z90" s="1019" t="str">
        <f ca="1"/>
        <v/>
      </c>
      <c r="AA90" s="1016" t="str">
        <f ca="1"/>
        <v/>
      </c>
      <c r="AB90" s="1020" t="str">
        <f ca="1"/>
        <v/>
      </c>
      <c r="AC90" s="995" t="s">
        <v>12</v>
      </c>
    </row>
    <row r="91" spans="11:29">
      <c r="K91" s="995" t="s">
        <v>12</v>
      </c>
      <c r="L91" s="1141" t="str">
        <f ca="1"/>
        <v/>
      </c>
      <c r="M91" s="1006" t="str">
        <f ca="1"/>
        <v/>
      </c>
      <c r="N91" s="1006" t="str">
        <f ca="1"/>
        <v/>
      </c>
      <c r="O91" s="1004" t="str">
        <f ca="1"/>
        <v/>
      </c>
      <c r="P91" s="1027" t="str">
        <f ca="1"/>
        <v/>
      </c>
      <c r="Q91" s="1006" t="str">
        <f ca="1"/>
        <v/>
      </c>
      <c r="R91" s="1016" t="str">
        <f ca="1"/>
        <v/>
      </c>
      <c r="S91" s="1016" t="str">
        <f ca="1"/>
        <v/>
      </c>
      <c r="T91" s="1027" t="str">
        <f ca="1"/>
        <v/>
      </c>
      <c r="U91" s="1027" t="str">
        <f ca="1"/>
        <v/>
      </c>
      <c r="V91" s="1036" t="str">
        <f ca="1"/>
        <v/>
      </c>
      <c r="W91" s="1016" t="str">
        <f ca="1"/>
        <v/>
      </c>
      <c r="X91" s="1034" t="str">
        <f ca="1"/>
        <v/>
      </c>
      <c r="Y91" s="1016" t="str">
        <f ca="1"/>
        <v/>
      </c>
      <c r="Z91" s="1019" t="str">
        <f ca="1"/>
        <v/>
      </c>
      <c r="AA91" s="1016" t="str">
        <f ca="1"/>
        <v/>
      </c>
      <c r="AB91" s="1020" t="str">
        <f ca="1"/>
        <v/>
      </c>
      <c r="AC91" s="995" t="s">
        <v>12</v>
      </c>
    </row>
    <row r="92" spans="11:29">
      <c r="K92" s="995" t="s">
        <v>12</v>
      </c>
      <c r="L92" s="1141" t="str">
        <f ca="1"/>
        <v/>
      </c>
      <c r="M92" s="1006" t="str">
        <f ca="1"/>
        <v/>
      </c>
      <c r="N92" s="1006" t="str">
        <f ca="1"/>
        <v/>
      </c>
      <c r="O92" s="1004" t="str">
        <f ca="1"/>
        <v/>
      </c>
      <c r="P92" s="1027" t="str">
        <f ca="1"/>
        <v/>
      </c>
      <c r="Q92" s="1006" t="str">
        <f ca="1"/>
        <v/>
      </c>
      <c r="R92" s="1016" t="str">
        <f ca="1"/>
        <v/>
      </c>
      <c r="S92" s="1016" t="str">
        <f ca="1"/>
        <v/>
      </c>
      <c r="T92" s="1027" t="str">
        <f ca="1"/>
        <v/>
      </c>
      <c r="U92" s="1027" t="str">
        <f ca="1"/>
        <v/>
      </c>
      <c r="V92" s="1036" t="str">
        <f ca="1"/>
        <v/>
      </c>
      <c r="W92" s="1016" t="str">
        <f ca="1"/>
        <v/>
      </c>
      <c r="X92" s="1034" t="str">
        <f ca="1"/>
        <v/>
      </c>
      <c r="Y92" s="1016" t="str">
        <f ca="1"/>
        <v/>
      </c>
      <c r="Z92" s="1019" t="str">
        <f ca="1"/>
        <v/>
      </c>
      <c r="AA92" s="1016" t="str">
        <f ca="1"/>
        <v/>
      </c>
      <c r="AB92" s="1020" t="str">
        <f ca="1"/>
        <v/>
      </c>
      <c r="AC92" s="995" t="s">
        <v>12</v>
      </c>
    </row>
    <row r="93" spans="11:29">
      <c r="K93" s="995" t="s">
        <v>12</v>
      </c>
      <c r="L93" s="1141" t="str">
        <f ca="1"/>
        <v/>
      </c>
      <c r="M93" s="1006" t="str">
        <f ca="1"/>
        <v/>
      </c>
      <c r="N93" s="1006" t="str">
        <f ca="1"/>
        <v/>
      </c>
      <c r="O93" s="1004" t="str">
        <f ca="1"/>
        <v/>
      </c>
      <c r="P93" s="1027" t="str">
        <f ca="1"/>
        <v/>
      </c>
      <c r="Q93" s="1006" t="str">
        <f ca="1"/>
        <v/>
      </c>
      <c r="R93" s="1016" t="str">
        <f ca="1"/>
        <v/>
      </c>
      <c r="S93" s="1016" t="str">
        <f ca="1"/>
        <v/>
      </c>
      <c r="T93" s="1027" t="str">
        <f ca="1"/>
        <v/>
      </c>
      <c r="U93" s="1027" t="str">
        <f ca="1"/>
        <v/>
      </c>
      <c r="V93" s="1036" t="str">
        <f ca="1"/>
        <v/>
      </c>
      <c r="W93" s="1016" t="str">
        <f ca="1"/>
        <v/>
      </c>
      <c r="X93" s="1034" t="str">
        <f ca="1"/>
        <v/>
      </c>
      <c r="Y93" s="1016" t="str">
        <f ca="1"/>
        <v/>
      </c>
      <c r="Z93" s="1019" t="str">
        <f ca="1"/>
        <v/>
      </c>
      <c r="AA93" s="1016" t="str">
        <f ca="1"/>
        <v/>
      </c>
      <c r="AB93" s="1020" t="str">
        <f ca="1"/>
        <v/>
      </c>
      <c r="AC93" s="995" t="s">
        <v>12</v>
      </c>
    </row>
    <row r="94" spans="11:29">
      <c r="K94" s="995" t="s">
        <v>12</v>
      </c>
      <c r="L94" s="1141" t="str">
        <f ca="1"/>
        <v/>
      </c>
      <c r="M94" s="1006" t="str">
        <f ca="1"/>
        <v/>
      </c>
      <c r="N94" s="1006" t="str">
        <f ca="1"/>
        <v/>
      </c>
      <c r="O94" s="1004" t="str">
        <f ca="1"/>
        <v/>
      </c>
      <c r="P94" s="1027" t="str">
        <f ca="1"/>
        <v/>
      </c>
      <c r="Q94" s="1006" t="str">
        <f ca="1"/>
        <v/>
      </c>
      <c r="R94" s="1016" t="str">
        <f ca="1"/>
        <v/>
      </c>
      <c r="S94" s="1016" t="str">
        <f ca="1"/>
        <v/>
      </c>
      <c r="T94" s="1027" t="str">
        <f ca="1"/>
        <v/>
      </c>
      <c r="U94" s="1027" t="str">
        <f ca="1"/>
        <v/>
      </c>
      <c r="V94" s="1036" t="str">
        <f ca="1"/>
        <v/>
      </c>
      <c r="W94" s="1016" t="str">
        <f ca="1"/>
        <v/>
      </c>
      <c r="X94" s="1034" t="str">
        <f ca="1"/>
        <v/>
      </c>
      <c r="Y94" s="1016" t="str">
        <f ca="1"/>
        <v/>
      </c>
      <c r="Z94" s="1019" t="str">
        <f ca="1"/>
        <v/>
      </c>
      <c r="AA94" s="1016" t="str">
        <f ca="1"/>
        <v/>
      </c>
      <c r="AB94" s="1020" t="str">
        <f ca="1"/>
        <v/>
      </c>
      <c r="AC94" s="995" t="s">
        <v>12</v>
      </c>
    </row>
    <row r="95" spans="11:29">
      <c r="K95" s="995" t="s">
        <v>12</v>
      </c>
      <c r="L95" s="1141" t="str">
        <f ca="1"/>
        <v/>
      </c>
      <c r="M95" s="1006" t="str">
        <f ca="1"/>
        <v/>
      </c>
      <c r="N95" s="1006" t="str">
        <f ca="1"/>
        <v/>
      </c>
      <c r="O95" s="1004" t="str">
        <f ca="1"/>
        <v/>
      </c>
      <c r="P95" s="1027" t="str">
        <f ca="1"/>
        <v/>
      </c>
      <c r="Q95" s="1006" t="str">
        <f ca="1"/>
        <v/>
      </c>
      <c r="R95" s="1016" t="str">
        <f ca="1"/>
        <v/>
      </c>
      <c r="S95" s="1016" t="str">
        <f ca="1"/>
        <v/>
      </c>
      <c r="T95" s="1027" t="str">
        <f ca="1"/>
        <v/>
      </c>
      <c r="U95" s="1027" t="str">
        <f ca="1"/>
        <v/>
      </c>
      <c r="V95" s="1036" t="str">
        <f ca="1"/>
        <v/>
      </c>
      <c r="W95" s="1016" t="str">
        <f ca="1"/>
        <v/>
      </c>
      <c r="X95" s="1034" t="str">
        <f ca="1"/>
        <v/>
      </c>
      <c r="Y95" s="1016" t="str">
        <f ca="1"/>
        <v/>
      </c>
      <c r="Z95" s="1019" t="str">
        <f ca="1"/>
        <v/>
      </c>
      <c r="AA95" s="1016" t="str">
        <f ca="1"/>
        <v/>
      </c>
      <c r="AB95" s="1020" t="str">
        <f ca="1"/>
        <v/>
      </c>
      <c r="AC95" s="995" t="s">
        <v>12</v>
      </c>
    </row>
    <row r="96" spans="11:29">
      <c r="K96" s="995" t="s">
        <v>12</v>
      </c>
      <c r="L96" s="1141" t="str">
        <f ca="1"/>
        <v/>
      </c>
      <c r="M96" s="1006" t="str">
        <f ca="1"/>
        <v/>
      </c>
      <c r="N96" s="1006" t="str">
        <f ca="1"/>
        <v/>
      </c>
      <c r="O96" s="1004" t="str">
        <f ca="1"/>
        <v/>
      </c>
      <c r="P96" s="1027" t="str">
        <f ca="1"/>
        <v/>
      </c>
      <c r="Q96" s="1006" t="str">
        <f ca="1"/>
        <v/>
      </c>
      <c r="R96" s="1016" t="str">
        <f ca="1"/>
        <v/>
      </c>
      <c r="S96" s="1016" t="str">
        <f ca="1"/>
        <v/>
      </c>
      <c r="T96" s="1027" t="str">
        <f ca="1"/>
        <v/>
      </c>
      <c r="U96" s="1027" t="str">
        <f ca="1"/>
        <v/>
      </c>
      <c r="V96" s="1036" t="str">
        <f ca="1"/>
        <v/>
      </c>
      <c r="W96" s="1016" t="str">
        <f ca="1"/>
        <v/>
      </c>
      <c r="X96" s="1034" t="str">
        <f ca="1"/>
        <v/>
      </c>
      <c r="Y96" s="1016" t="str">
        <f ca="1"/>
        <v/>
      </c>
      <c r="Z96" s="1019" t="str">
        <f ca="1"/>
        <v/>
      </c>
      <c r="AA96" s="1016" t="str">
        <f ca="1"/>
        <v/>
      </c>
      <c r="AB96" s="1020" t="str">
        <f ca="1"/>
        <v/>
      </c>
      <c r="AC96" s="995" t="s">
        <v>12</v>
      </c>
    </row>
    <row r="97" spans="11:29">
      <c r="K97" s="995" t="s">
        <v>12</v>
      </c>
      <c r="L97" s="1141" t="str">
        <f ca="1"/>
        <v/>
      </c>
      <c r="M97" s="1006" t="str">
        <f ca="1"/>
        <v/>
      </c>
      <c r="N97" s="1006" t="str">
        <f ca="1"/>
        <v/>
      </c>
      <c r="O97" s="1004" t="str">
        <f ca="1"/>
        <v/>
      </c>
      <c r="P97" s="1027" t="str">
        <f ca="1"/>
        <v/>
      </c>
      <c r="Q97" s="1006" t="str">
        <f ca="1"/>
        <v/>
      </c>
      <c r="R97" s="1016" t="str">
        <f ca="1"/>
        <v/>
      </c>
      <c r="S97" s="1016" t="str">
        <f ca="1"/>
        <v/>
      </c>
      <c r="T97" s="1027" t="str">
        <f ca="1"/>
        <v/>
      </c>
      <c r="U97" s="1027" t="str">
        <f ca="1"/>
        <v/>
      </c>
      <c r="V97" s="1036" t="str">
        <f ca="1"/>
        <v/>
      </c>
      <c r="W97" s="1016" t="str">
        <f ca="1"/>
        <v/>
      </c>
      <c r="X97" s="1034" t="str">
        <f ca="1"/>
        <v/>
      </c>
      <c r="Y97" s="1016" t="str">
        <f ca="1"/>
        <v/>
      </c>
      <c r="Z97" s="1019" t="str">
        <f ca="1"/>
        <v/>
      </c>
      <c r="AA97" s="1016" t="str">
        <f ca="1"/>
        <v/>
      </c>
      <c r="AB97" s="1020" t="str">
        <f ca="1"/>
        <v/>
      </c>
      <c r="AC97" s="995" t="s">
        <v>12</v>
      </c>
    </row>
    <row r="98" spans="11:29">
      <c r="K98" s="995" t="s">
        <v>12</v>
      </c>
      <c r="L98" s="1141" t="str">
        <f ca="1"/>
        <v/>
      </c>
      <c r="M98" s="1006" t="str">
        <f ca="1"/>
        <v/>
      </c>
      <c r="N98" s="1006" t="str">
        <f ca="1"/>
        <v/>
      </c>
      <c r="O98" s="1004" t="str">
        <f ca="1"/>
        <v/>
      </c>
      <c r="P98" s="1027" t="str">
        <f ca="1"/>
        <v/>
      </c>
      <c r="Q98" s="1006" t="str">
        <f ca="1"/>
        <v/>
      </c>
      <c r="R98" s="1016" t="str">
        <f ca="1"/>
        <v/>
      </c>
      <c r="S98" s="1016" t="str">
        <f ca="1"/>
        <v/>
      </c>
      <c r="T98" s="1027" t="str">
        <f ca="1"/>
        <v/>
      </c>
      <c r="U98" s="1027" t="str">
        <f ca="1"/>
        <v/>
      </c>
      <c r="V98" s="1036" t="str">
        <f ca="1"/>
        <v/>
      </c>
      <c r="W98" s="1016" t="str">
        <f ca="1"/>
        <v/>
      </c>
      <c r="X98" s="1034" t="str">
        <f ca="1"/>
        <v/>
      </c>
      <c r="Y98" s="1016" t="str">
        <f ca="1"/>
        <v/>
      </c>
      <c r="Z98" s="1019" t="str">
        <f ca="1"/>
        <v/>
      </c>
      <c r="AA98" s="1016" t="str">
        <f ca="1"/>
        <v/>
      </c>
      <c r="AB98" s="1020" t="str">
        <f ca="1"/>
        <v/>
      </c>
      <c r="AC98" s="995" t="s">
        <v>12</v>
      </c>
    </row>
    <row r="99" spans="11:29">
      <c r="K99" s="995" t="s">
        <v>12</v>
      </c>
      <c r="L99" s="1141" t="str">
        <f ca="1"/>
        <v/>
      </c>
      <c r="M99" s="1006" t="str">
        <f ca="1"/>
        <v/>
      </c>
      <c r="N99" s="1006" t="str">
        <f ca="1"/>
        <v/>
      </c>
      <c r="O99" s="1004" t="str">
        <f ca="1"/>
        <v/>
      </c>
      <c r="P99" s="1027" t="str">
        <f ca="1"/>
        <v/>
      </c>
      <c r="Q99" s="1006" t="str">
        <f ca="1"/>
        <v/>
      </c>
      <c r="R99" s="1016" t="str">
        <f ca="1"/>
        <v/>
      </c>
      <c r="S99" s="1016" t="str">
        <f ca="1"/>
        <v/>
      </c>
      <c r="T99" s="1027" t="str">
        <f ca="1"/>
        <v/>
      </c>
      <c r="U99" s="1027" t="str">
        <f ca="1"/>
        <v/>
      </c>
      <c r="V99" s="1036" t="str">
        <f ca="1"/>
        <v/>
      </c>
      <c r="W99" s="1016" t="str">
        <f ca="1"/>
        <v/>
      </c>
      <c r="X99" s="1034" t="str">
        <f ca="1"/>
        <v/>
      </c>
      <c r="Y99" s="1016" t="str">
        <f ca="1"/>
        <v/>
      </c>
      <c r="Z99" s="1019" t="str">
        <f ca="1"/>
        <v/>
      </c>
      <c r="AA99" s="1016" t="str">
        <f ca="1"/>
        <v/>
      </c>
      <c r="AB99" s="1020" t="str">
        <f ca="1"/>
        <v/>
      </c>
      <c r="AC99" s="995" t="s">
        <v>12</v>
      </c>
    </row>
    <row r="100" spans="11:29">
      <c r="K100" s="995" t="s">
        <v>12</v>
      </c>
      <c r="L100" s="1141" t="str">
        <f ca="1"/>
        <v/>
      </c>
      <c r="M100" s="1006" t="str">
        <f ca="1"/>
        <v/>
      </c>
      <c r="N100" s="1006" t="str">
        <f ca="1"/>
        <v/>
      </c>
      <c r="O100" s="1004" t="str">
        <f ca="1"/>
        <v/>
      </c>
      <c r="P100" s="1027" t="str">
        <f ca="1"/>
        <v/>
      </c>
      <c r="Q100" s="1006" t="str">
        <f ca="1"/>
        <v/>
      </c>
      <c r="R100" s="1016" t="str">
        <f ca="1"/>
        <v/>
      </c>
      <c r="S100" s="1016" t="str">
        <f ca="1"/>
        <v/>
      </c>
      <c r="T100" s="1027" t="str">
        <f ca="1"/>
        <v/>
      </c>
      <c r="U100" s="1027" t="str">
        <f ca="1"/>
        <v/>
      </c>
      <c r="V100" s="1036" t="str">
        <f ca="1"/>
        <v/>
      </c>
      <c r="W100" s="1016" t="str">
        <f ca="1"/>
        <v/>
      </c>
      <c r="X100" s="1034" t="str">
        <f ca="1"/>
        <v/>
      </c>
      <c r="Y100" s="1016" t="str">
        <f ca="1"/>
        <v/>
      </c>
      <c r="Z100" s="1019" t="str">
        <f ca="1"/>
        <v/>
      </c>
      <c r="AA100" s="1016" t="str">
        <f ca="1"/>
        <v/>
      </c>
      <c r="AB100" s="1020" t="str">
        <f ca="1"/>
        <v/>
      </c>
      <c r="AC100" s="995" t="s">
        <v>12</v>
      </c>
    </row>
    <row r="101" spans="11:29">
      <c r="K101" s="995" t="s">
        <v>12</v>
      </c>
      <c r="L101" s="1141" t="str">
        <f ca="1"/>
        <v/>
      </c>
      <c r="M101" s="1006" t="str">
        <f ca="1"/>
        <v/>
      </c>
      <c r="N101" s="1006" t="str">
        <f ca="1"/>
        <v/>
      </c>
      <c r="O101" s="1004" t="str">
        <f ca="1"/>
        <v/>
      </c>
      <c r="P101" s="1027" t="str">
        <f ca="1"/>
        <v/>
      </c>
      <c r="Q101" s="1006" t="str">
        <f ca="1"/>
        <v/>
      </c>
      <c r="R101" s="1016" t="str">
        <f ca="1"/>
        <v/>
      </c>
      <c r="S101" s="1016" t="str">
        <f ca="1"/>
        <v/>
      </c>
      <c r="T101" s="1027" t="str">
        <f ca="1"/>
        <v/>
      </c>
      <c r="U101" s="1027" t="str">
        <f ca="1"/>
        <v/>
      </c>
      <c r="V101" s="1036" t="str">
        <f ca="1"/>
        <v/>
      </c>
      <c r="W101" s="1016" t="str">
        <f ca="1"/>
        <v/>
      </c>
      <c r="X101" s="1034" t="str">
        <f ca="1"/>
        <v/>
      </c>
      <c r="Y101" s="1016" t="str">
        <f ca="1"/>
        <v/>
      </c>
      <c r="Z101" s="1019" t="str">
        <f ca="1"/>
        <v/>
      </c>
      <c r="AA101" s="1016" t="str">
        <f ca="1"/>
        <v/>
      </c>
      <c r="AB101" s="1020" t="str">
        <f ca="1"/>
        <v/>
      </c>
      <c r="AC101" s="995" t="s">
        <v>12</v>
      </c>
    </row>
    <row r="102" spans="11:29">
      <c r="K102" s="995" t="s">
        <v>12</v>
      </c>
      <c r="L102" s="1142" t="str">
        <f ca="1"/>
        <v/>
      </c>
      <c r="M102" s="1005" t="str">
        <f ca="1"/>
        <v/>
      </c>
      <c r="N102" s="1005" t="str">
        <f ca="1"/>
        <v/>
      </c>
      <c r="O102" s="1007" t="str">
        <f ca="1"/>
        <v/>
      </c>
      <c r="P102" s="1029" t="str">
        <f ca="1"/>
        <v/>
      </c>
      <c r="Q102" s="1005" t="str">
        <f ca="1"/>
        <v/>
      </c>
      <c r="R102" s="1022" t="str">
        <f ca="1"/>
        <v/>
      </c>
      <c r="S102" s="1022" t="str">
        <f ca="1"/>
        <v/>
      </c>
      <c r="T102" s="1029" t="str">
        <f ca="1"/>
        <v/>
      </c>
      <c r="U102" s="1029" t="str">
        <f ca="1"/>
        <v/>
      </c>
      <c r="V102" s="1035" t="str">
        <f ca="1"/>
        <v/>
      </c>
      <c r="W102" s="1022" t="str">
        <f ca="1"/>
        <v/>
      </c>
      <c r="X102" s="1140" t="str">
        <f ca="1"/>
        <v/>
      </c>
      <c r="Y102" s="1022" t="str">
        <f ca="1"/>
        <v/>
      </c>
      <c r="Z102" s="1025" t="str">
        <f ca="1"/>
        <v/>
      </c>
      <c r="AA102" s="1022" t="str">
        <f ca="1"/>
        <v/>
      </c>
      <c r="AB102" s="1026" t="str">
        <f ca="1"/>
        <v/>
      </c>
      <c r="AC102" s="995" t="s">
        <v>12</v>
      </c>
    </row>
  </sheetData>
  <dataValidations disablePrompts="1" count="3">
    <dataValidation type="list" allowBlank="1" showInputMessage="1" showErrorMessage="1" sqref="C20">
      <formula1>"USD,EUR,GBP,JPY"</formula1>
    </dataValidation>
    <dataValidation type="list" allowBlank="1" showInputMessage="1" showErrorMessage="1" sqref="C21">
      <formula1>"EUR,USD"</formula1>
    </dataValidation>
    <dataValidation type="list" allowBlank="1" showInputMessage="1" showErrorMessage="1" sqref="M5">
      <formula1>"1,2,3,4"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892</vt:i4>
      </vt:variant>
    </vt:vector>
  </HeadingPairs>
  <TitlesOfParts>
    <vt:vector size="946" baseType="lpstr">
      <vt:lpstr>Settings</vt:lpstr>
      <vt:lpstr>Instruments</vt:lpstr>
      <vt:lpstr>Instrument Data</vt:lpstr>
      <vt:lpstr>EUR Market Data</vt:lpstr>
      <vt:lpstr>USD Market Data</vt:lpstr>
      <vt:lpstr>GBP Market Data</vt:lpstr>
      <vt:lpstr>JPY Market Data</vt:lpstr>
      <vt:lpstr>EUR Curve Config</vt:lpstr>
      <vt:lpstr>USD Curve Config</vt:lpstr>
      <vt:lpstr>GBP Curve Config</vt:lpstr>
      <vt:lpstr>JPY Curve Config</vt:lpstr>
      <vt:lpstr>Multi-Curves</vt:lpstr>
      <vt:lpstr>Forward Charts</vt:lpstr>
      <vt:lpstr>EUR OIS</vt:lpstr>
      <vt:lpstr>USD OIS</vt:lpstr>
      <vt:lpstr>GBP OIS</vt:lpstr>
      <vt:lpstr>JPY OIS</vt:lpstr>
      <vt:lpstr>JPY-LCH Curve</vt:lpstr>
      <vt:lpstr>EUR Swaps</vt:lpstr>
      <vt:lpstr>USD Swaps</vt:lpstr>
      <vt:lpstr>GBP Swaps</vt:lpstr>
      <vt:lpstr>JPY-JSCC Swaps</vt:lpstr>
      <vt:lpstr>JPY-LCH Swaps</vt:lpstr>
      <vt:lpstr>EUR Swap Cashflows</vt:lpstr>
      <vt:lpstr>USD Swap Cashflows</vt:lpstr>
      <vt:lpstr>GBP Swap Cashflows</vt:lpstr>
      <vt:lpstr>JPY Swap Cashflows</vt:lpstr>
      <vt:lpstr>EUR Asset Swaps</vt:lpstr>
      <vt:lpstr>USD Asset Swaps</vt:lpstr>
      <vt:lpstr>GBP Asset Swaps</vt:lpstr>
      <vt:lpstr>JPY Asset Swaps</vt:lpstr>
      <vt:lpstr>EUR ASW Cashflows</vt:lpstr>
      <vt:lpstr>USD ASW Cashflows</vt:lpstr>
      <vt:lpstr>GBP ASW Cashflows</vt:lpstr>
      <vt:lpstr>JPY ASW Cashflows</vt:lpstr>
      <vt:lpstr>EUR Tenor Basis</vt:lpstr>
      <vt:lpstr>USD Tenor Basis</vt:lpstr>
      <vt:lpstr>GBP Tenor Basis</vt:lpstr>
      <vt:lpstr>JPY Tenor Basis</vt:lpstr>
      <vt:lpstr>EUR VNS Schedules</vt:lpstr>
      <vt:lpstr>EUR VNS</vt:lpstr>
      <vt:lpstr>USD VNS Schedules</vt:lpstr>
      <vt:lpstr>USD VNS</vt:lpstr>
      <vt:lpstr>GBP VNS Schedules</vt:lpstr>
      <vt:lpstr>GBP VNS</vt:lpstr>
      <vt:lpstr>JPY VNS Schedules</vt:lpstr>
      <vt:lpstr>JPY VNS</vt:lpstr>
      <vt:lpstr>Standard Swap Pricing</vt:lpstr>
      <vt:lpstr>EUR Custom Swap</vt:lpstr>
      <vt:lpstr>EUR Cashflows</vt:lpstr>
      <vt:lpstr>USD Custom Swap</vt:lpstr>
      <vt:lpstr>USD Cashflows</vt:lpstr>
      <vt:lpstr>EUR XCCY</vt:lpstr>
      <vt:lpstr>EUR XCCY Structure</vt:lpstr>
      <vt:lpstr>'Instrument Data'!ALL_DATA</vt:lpstr>
      <vt:lpstr>Instruments!ALL_DATA</vt:lpstr>
      <vt:lpstr>'GBP VNS Schedules'!AsOfDate</vt:lpstr>
      <vt:lpstr>'JPY VNS Schedules'!AsOfDate</vt:lpstr>
      <vt:lpstr>'USD VNS Schedules'!AsOfDate</vt:lpstr>
      <vt:lpstr>AsOfDate</vt:lpstr>
      <vt:lpstr>'EUR Asset Swaps'!AssetSwap.FieldNames</vt:lpstr>
      <vt:lpstr>'EUR ASW Cashflows'!AssetSwap.FieldNames</vt:lpstr>
      <vt:lpstr>'GBP Asset Swaps'!AssetSwap.FieldNames</vt:lpstr>
      <vt:lpstr>'GBP ASW Cashflows'!AssetSwap.FieldNames</vt:lpstr>
      <vt:lpstr>'JPY Asset Swaps'!AssetSwap.FieldNames</vt:lpstr>
      <vt:lpstr>'JPY ASW Cashflows'!AssetSwap.FieldNames</vt:lpstr>
      <vt:lpstr>'USD Asset Swaps'!AssetSwap.FieldNames</vt:lpstr>
      <vt:lpstr>'USD ASW Cashflows'!AssetSwap.FieldNames</vt:lpstr>
      <vt:lpstr>'EUR Asset Swaps'!AssetSwap.Fields</vt:lpstr>
      <vt:lpstr>'EUR ASW Cashflows'!AssetSwap.Fields</vt:lpstr>
      <vt:lpstr>'GBP Asset Swaps'!AssetSwap.Fields</vt:lpstr>
      <vt:lpstr>'GBP ASW Cashflows'!AssetSwap.Fields</vt:lpstr>
      <vt:lpstr>'JPY Asset Swaps'!AssetSwap.Fields</vt:lpstr>
      <vt:lpstr>'JPY ASW Cashflows'!AssetSwap.Fields</vt:lpstr>
      <vt:lpstr>'USD Asset Swaps'!AssetSwap.Fields</vt:lpstr>
      <vt:lpstr>'USD ASW Cashflows'!AssetSwap.Fields</vt:lpstr>
      <vt:lpstr>'EUR Asset Swaps'!AssetSwap.ISIN1</vt:lpstr>
      <vt:lpstr>'EUR ASW Cashflows'!AssetSwap.ISIN1</vt:lpstr>
      <vt:lpstr>'GBP Asset Swaps'!AssetSwap.ISIN1</vt:lpstr>
      <vt:lpstr>'GBP ASW Cashflows'!AssetSwap.ISIN1</vt:lpstr>
      <vt:lpstr>'JPY Asset Swaps'!AssetSwap.ISIN1</vt:lpstr>
      <vt:lpstr>'JPY ASW Cashflows'!AssetSwap.ISIN1</vt:lpstr>
      <vt:lpstr>'USD Asset Swaps'!AssetSwap.ISIN1</vt:lpstr>
      <vt:lpstr>'USD ASW Cashflows'!AssetSwap.ISIN1</vt:lpstr>
      <vt:lpstr>'EUR Asset Swaps'!AssetSwap.ISIN2</vt:lpstr>
      <vt:lpstr>'EUR ASW Cashflows'!AssetSwap.ISIN2</vt:lpstr>
      <vt:lpstr>'GBP Asset Swaps'!AssetSwap.ISIN2</vt:lpstr>
      <vt:lpstr>'GBP ASW Cashflows'!AssetSwap.ISIN2</vt:lpstr>
      <vt:lpstr>'JPY Asset Swaps'!AssetSwap.ISIN2</vt:lpstr>
      <vt:lpstr>'JPY ASW Cashflows'!AssetSwap.ISIN2</vt:lpstr>
      <vt:lpstr>'USD Asset Swaps'!AssetSwap.ISIN2</vt:lpstr>
      <vt:lpstr>'USD ASW Cashflows'!AssetSwap.ISIN2</vt:lpstr>
      <vt:lpstr>'EUR Asset Swaps'!AssetSwap.ISIN3</vt:lpstr>
      <vt:lpstr>'EUR ASW Cashflows'!AssetSwap.ISIN3</vt:lpstr>
      <vt:lpstr>'GBP Asset Swaps'!AssetSwap.ISIN3</vt:lpstr>
      <vt:lpstr>'GBP ASW Cashflows'!AssetSwap.ISIN3</vt:lpstr>
      <vt:lpstr>'JPY Asset Swaps'!AssetSwap.ISIN3</vt:lpstr>
      <vt:lpstr>'JPY ASW Cashflows'!AssetSwap.ISIN3</vt:lpstr>
      <vt:lpstr>'USD Asset Swaps'!AssetSwap.ISIN3</vt:lpstr>
      <vt:lpstr>'USD ASW Cashflows'!AssetSwap.ISIN3</vt:lpstr>
      <vt:lpstr>'EUR Asset Swaps'!AssetSwap.ISIN4</vt:lpstr>
      <vt:lpstr>'EUR ASW Cashflows'!AssetSwap.ISIN4</vt:lpstr>
      <vt:lpstr>'GBP Asset Swaps'!AssetSwap.ISIN4</vt:lpstr>
      <vt:lpstr>'GBP ASW Cashflows'!AssetSwap.ISIN4</vt:lpstr>
      <vt:lpstr>'JPY Asset Swaps'!AssetSwap.ISIN4</vt:lpstr>
      <vt:lpstr>'JPY ASW Cashflows'!AssetSwap.ISIN4</vt:lpstr>
      <vt:lpstr>'USD Asset Swaps'!AssetSwap.ISIN4</vt:lpstr>
      <vt:lpstr>'USD ASW Cashflows'!AssetSwap.ISIN4</vt:lpstr>
      <vt:lpstr>'EUR Asset Swaps'!AssetSwap.ISIN5</vt:lpstr>
      <vt:lpstr>'EUR ASW Cashflows'!AssetSwap.ISIN5</vt:lpstr>
      <vt:lpstr>'GBP Asset Swaps'!AssetSwap.ISIN5</vt:lpstr>
      <vt:lpstr>'GBP ASW Cashflows'!AssetSwap.ISIN5</vt:lpstr>
      <vt:lpstr>'JPY Asset Swaps'!AssetSwap.ISIN5</vt:lpstr>
      <vt:lpstr>'JPY ASW Cashflows'!AssetSwap.ISIN5</vt:lpstr>
      <vt:lpstr>'USD Asset Swaps'!AssetSwap.ISIN5</vt:lpstr>
      <vt:lpstr>'USD ASW Cashflows'!AssetSwap.ISIN5</vt:lpstr>
      <vt:lpstr>'EUR Asset Swaps'!AssetSwap.ISIN6</vt:lpstr>
      <vt:lpstr>'EUR ASW Cashflows'!AssetSwap.ISIN6</vt:lpstr>
      <vt:lpstr>'GBP Asset Swaps'!AssetSwap.ISIN6</vt:lpstr>
      <vt:lpstr>'GBP ASW Cashflows'!AssetSwap.ISIN6</vt:lpstr>
      <vt:lpstr>'JPY Asset Swaps'!AssetSwap.ISIN6</vt:lpstr>
      <vt:lpstr>'JPY ASW Cashflows'!AssetSwap.ISIN6</vt:lpstr>
      <vt:lpstr>'USD Asset Swaps'!AssetSwap.ISIN6</vt:lpstr>
      <vt:lpstr>'USD ASW Cashflows'!AssetSwap.ISIN6</vt:lpstr>
      <vt:lpstr>'EUR Asset Swaps'!AssetSwap.Output</vt:lpstr>
      <vt:lpstr>'EUR ASW Cashflows'!AssetSwap.Output</vt:lpstr>
      <vt:lpstr>'GBP Asset Swaps'!AssetSwap.Output</vt:lpstr>
      <vt:lpstr>'GBP ASW Cashflows'!AssetSwap.Output</vt:lpstr>
      <vt:lpstr>'JPY Asset Swaps'!AssetSwap.Output</vt:lpstr>
      <vt:lpstr>'JPY ASW Cashflows'!AssetSwap.Output</vt:lpstr>
      <vt:lpstr>'USD Asset Swaps'!AssetSwap.Output</vt:lpstr>
      <vt:lpstr>'USD ASW Cashflows'!AssetSwap.Output</vt:lpstr>
      <vt:lpstr>'EUR Asset Swaps'!AssetSwap.OutputTopLeft1</vt:lpstr>
      <vt:lpstr>'EUR ASW Cashflows'!AssetSwap.OutputTopLeft1</vt:lpstr>
      <vt:lpstr>'GBP Asset Swaps'!AssetSwap.OutputTopLeft1</vt:lpstr>
      <vt:lpstr>'GBP ASW Cashflows'!AssetSwap.OutputTopLeft1</vt:lpstr>
      <vt:lpstr>'JPY Asset Swaps'!AssetSwap.OutputTopLeft1</vt:lpstr>
      <vt:lpstr>'JPY ASW Cashflows'!AssetSwap.OutputTopLeft1</vt:lpstr>
      <vt:lpstr>'USD Asset Swaps'!AssetSwap.OutputTopLeft1</vt:lpstr>
      <vt:lpstr>'USD ASW Cashflows'!AssetSwap.OutputTopLeft1</vt:lpstr>
      <vt:lpstr>'EUR Asset Swaps'!AssetSwap.OutputTopLeft2</vt:lpstr>
      <vt:lpstr>'EUR ASW Cashflows'!AssetSwap.OutputTopLeft2</vt:lpstr>
      <vt:lpstr>'GBP Asset Swaps'!AssetSwap.OutputTopLeft2</vt:lpstr>
      <vt:lpstr>'GBP ASW Cashflows'!AssetSwap.OutputTopLeft2</vt:lpstr>
      <vt:lpstr>'JPY Asset Swaps'!AssetSwap.OutputTopLeft2</vt:lpstr>
      <vt:lpstr>'JPY ASW Cashflows'!AssetSwap.OutputTopLeft2</vt:lpstr>
      <vt:lpstr>'USD Asset Swaps'!AssetSwap.OutputTopLeft2</vt:lpstr>
      <vt:lpstr>'USD ASW Cashflows'!AssetSwap.OutputTopLeft2</vt:lpstr>
      <vt:lpstr>'EUR Asset Swaps'!AssetSwap.OutputTopLeft3</vt:lpstr>
      <vt:lpstr>'EUR ASW Cashflows'!AssetSwap.OutputTopLeft3</vt:lpstr>
      <vt:lpstr>'GBP Asset Swaps'!AssetSwap.OutputTopLeft3</vt:lpstr>
      <vt:lpstr>'GBP ASW Cashflows'!AssetSwap.OutputTopLeft3</vt:lpstr>
      <vt:lpstr>'JPY Asset Swaps'!AssetSwap.OutputTopLeft3</vt:lpstr>
      <vt:lpstr>'JPY ASW Cashflows'!AssetSwap.OutputTopLeft3</vt:lpstr>
      <vt:lpstr>'USD Asset Swaps'!AssetSwap.OutputTopLeft3</vt:lpstr>
      <vt:lpstr>'USD ASW Cashflows'!AssetSwap.OutputTopLeft3</vt:lpstr>
      <vt:lpstr>'EUR Asset Swaps'!AssetSwap.OutputTopLeft4</vt:lpstr>
      <vt:lpstr>'EUR ASW Cashflows'!AssetSwap.OutputTopLeft4</vt:lpstr>
      <vt:lpstr>'GBP Asset Swaps'!AssetSwap.OutputTopLeft4</vt:lpstr>
      <vt:lpstr>'GBP ASW Cashflows'!AssetSwap.OutputTopLeft4</vt:lpstr>
      <vt:lpstr>'JPY Asset Swaps'!AssetSwap.OutputTopLeft4</vt:lpstr>
      <vt:lpstr>'JPY ASW Cashflows'!AssetSwap.OutputTopLeft4</vt:lpstr>
      <vt:lpstr>'USD Asset Swaps'!AssetSwap.OutputTopLeft4</vt:lpstr>
      <vt:lpstr>'USD ASW Cashflows'!AssetSwap.OutputTopLeft4</vt:lpstr>
      <vt:lpstr>'EUR Asset Swaps'!AssetSwap.OutputTopLeft5</vt:lpstr>
      <vt:lpstr>'EUR ASW Cashflows'!AssetSwap.OutputTopLeft5</vt:lpstr>
      <vt:lpstr>'GBP Asset Swaps'!AssetSwap.OutputTopLeft5</vt:lpstr>
      <vt:lpstr>'GBP ASW Cashflows'!AssetSwap.OutputTopLeft5</vt:lpstr>
      <vt:lpstr>'JPY Asset Swaps'!AssetSwap.OutputTopLeft5</vt:lpstr>
      <vt:lpstr>'JPY ASW Cashflows'!AssetSwap.OutputTopLeft5</vt:lpstr>
      <vt:lpstr>'USD Asset Swaps'!AssetSwap.OutputTopLeft5</vt:lpstr>
      <vt:lpstr>'USD ASW Cashflows'!AssetSwap.OutputTopLeft5</vt:lpstr>
      <vt:lpstr>'EUR Asset Swaps'!AssetSwap.OutputTopLeft6</vt:lpstr>
      <vt:lpstr>'EUR ASW Cashflows'!AssetSwap.OutputTopLeft6</vt:lpstr>
      <vt:lpstr>'GBP Asset Swaps'!AssetSwap.OutputTopLeft6</vt:lpstr>
      <vt:lpstr>'GBP ASW Cashflows'!AssetSwap.OutputTopLeft6</vt:lpstr>
      <vt:lpstr>'JPY Asset Swaps'!AssetSwap.OutputTopLeft6</vt:lpstr>
      <vt:lpstr>'JPY ASW Cashflows'!AssetSwap.OutputTopLeft6</vt:lpstr>
      <vt:lpstr>'USD Asset Swaps'!AssetSwap.OutputTopLeft6</vt:lpstr>
      <vt:lpstr>'USD ASW Cashflows'!AssetSwap.OutputTopLeft6</vt:lpstr>
      <vt:lpstr>'EUR Asset Swaps'!AssetSwap.Request1</vt:lpstr>
      <vt:lpstr>'EUR ASW Cashflows'!AssetSwap.Request1</vt:lpstr>
      <vt:lpstr>'GBP Asset Swaps'!AssetSwap.Request1</vt:lpstr>
      <vt:lpstr>'GBP ASW Cashflows'!AssetSwap.Request1</vt:lpstr>
      <vt:lpstr>'JPY Asset Swaps'!AssetSwap.Request1</vt:lpstr>
      <vt:lpstr>'JPY ASW Cashflows'!AssetSwap.Request1</vt:lpstr>
      <vt:lpstr>'USD Asset Swaps'!AssetSwap.Request1</vt:lpstr>
      <vt:lpstr>'USD ASW Cashflows'!AssetSwap.Request1</vt:lpstr>
      <vt:lpstr>'EUR Asset Swaps'!AssetSwap.Request2</vt:lpstr>
      <vt:lpstr>'EUR ASW Cashflows'!AssetSwap.Request2</vt:lpstr>
      <vt:lpstr>'GBP Asset Swaps'!AssetSwap.Request2</vt:lpstr>
      <vt:lpstr>'GBP ASW Cashflows'!AssetSwap.Request2</vt:lpstr>
      <vt:lpstr>'JPY Asset Swaps'!AssetSwap.Request2</vt:lpstr>
      <vt:lpstr>'JPY ASW Cashflows'!AssetSwap.Request2</vt:lpstr>
      <vt:lpstr>'USD Asset Swaps'!AssetSwap.Request2</vt:lpstr>
      <vt:lpstr>'USD ASW Cashflows'!AssetSwap.Request2</vt:lpstr>
      <vt:lpstr>'EUR Asset Swaps'!AssetSwap.Request3</vt:lpstr>
      <vt:lpstr>'EUR ASW Cashflows'!AssetSwap.Request3</vt:lpstr>
      <vt:lpstr>'GBP Asset Swaps'!AssetSwap.Request3</vt:lpstr>
      <vt:lpstr>'GBP ASW Cashflows'!AssetSwap.Request3</vt:lpstr>
      <vt:lpstr>'JPY Asset Swaps'!AssetSwap.Request3</vt:lpstr>
      <vt:lpstr>'JPY ASW Cashflows'!AssetSwap.Request3</vt:lpstr>
      <vt:lpstr>'USD Asset Swaps'!AssetSwap.Request3</vt:lpstr>
      <vt:lpstr>'USD ASW Cashflows'!AssetSwap.Request3</vt:lpstr>
      <vt:lpstr>'EUR Asset Swaps'!AssetSwap.Request4</vt:lpstr>
      <vt:lpstr>'EUR ASW Cashflows'!AssetSwap.Request4</vt:lpstr>
      <vt:lpstr>'GBP Asset Swaps'!AssetSwap.Request4</vt:lpstr>
      <vt:lpstr>'GBP ASW Cashflows'!AssetSwap.Request4</vt:lpstr>
      <vt:lpstr>'JPY Asset Swaps'!AssetSwap.Request4</vt:lpstr>
      <vt:lpstr>'JPY ASW Cashflows'!AssetSwap.Request4</vt:lpstr>
      <vt:lpstr>'USD Asset Swaps'!AssetSwap.Request4</vt:lpstr>
      <vt:lpstr>'USD ASW Cashflows'!AssetSwap.Request4</vt:lpstr>
      <vt:lpstr>'EUR Asset Swaps'!AssetSwap.Request5</vt:lpstr>
      <vt:lpstr>'EUR ASW Cashflows'!AssetSwap.Request5</vt:lpstr>
      <vt:lpstr>'GBP Asset Swaps'!AssetSwap.Request5</vt:lpstr>
      <vt:lpstr>'GBP ASW Cashflows'!AssetSwap.Request5</vt:lpstr>
      <vt:lpstr>'JPY Asset Swaps'!AssetSwap.Request5</vt:lpstr>
      <vt:lpstr>'JPY ASW Cashflows'!AssetSwap.Request5</vt:lpstr>
      <vt:lpstr>'USD Asset Swaps'!AssetSwap.Request5</vt:lpstr>
      <vt:lpstr>'USD ASW Cashflows'!AssetSwap.Request5</vt:lpstr>
      <vt:lpstr>'EUR Asset Swaps'!AssetSwap.Request6</vt:lpstr>
      <vt:lpstr>'EUR ASW Cashflows'!AssetSwap.Request6</vt:lpstr>
      <vt:lpstr>'GBP Asset Swaps'!AssetSwap.Request6</vt:lpstr>
      <vt:lpstr>'GBP ASW Cashflows'!AssetSwap.Request6</vt:lpstr>
      <vt:lpstr>'JPY Asset Swaps'!AssetSwap.Request6</vt:lpstr>
      <vt:lpstr>'JPY ASW Cashflows'!AssetSwap.Request6</vt:lpstr>
      <vt:lpstr>'USD Asset Swaps'!AssetSwap.Request6</vt:lpstr>
      <vt:lpstr>'USD ASW Cashflows'!AssetSwap.Request6</vt:lpstr>
      <vt:lpstr>'EUR Asset Swaps'!AssetSwap.RequestList</vt:lpstr>
      <vt:lpstr>'EUR ASW Cashflows'!AssetSwap.RequestList</vt:lpstr>
      <vt:lpstr>'GBP Asset Swaps'!AssetSwap.RequestList</vt:lpstr>
      <vt:lpstr>'GBP ASW Cashflows'!AssetSwap.RequestList</vt:lpstr>
      <vt:lpstr>'JPY Asset Swaps'!AssetSwap.RequestList</vt:lpstr>
      <vt:lpstr>'JPY ASW Cashflows'!AssetSwap.RequestList</vt:lpstr>
      <vt:lpstr>'USD Asset Swaps'!AssetSwap.RequestList</vt:lpstr>
      <vt:lpstr>'USD ASW Cashflows'!AssetSwap.RequestList</vt:lpstr>
      <vt:lpstr>'EUR Asset Swaps'!AssetSwapSpread</vt:lpstr>
      <vt:lpstr>'GBP Asset Swaps'!AssetSwapSpread</vt:lpstr>
      <vt:lpstr>'GBP ASW Cashflows'!AssetSwapSpread</vt:lpstr>
      <vt:lpstr>'JPY Asset Swaps'!AssetSwapSpread</vt:lpstr>
      <vt:lpstr>'JPY ASW Cashflows'!AssetSwapSpread</vt:lpstr>
      <vt:lpstr>'USD Asset Swaps'!AssetSwapSpread</vt:lpstr>
      <vt:lpstr>'USD ASW Cashflows'!AssetSwapSpread</vt:lpstr>
      <vt:lpstr>AssetSwapSpread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BloombergAccess</vt:lpstr>
      <vt:lpstr>Bpipe.Response.OIS.EUR</vt:lpstr>
      <vt:lpstr>Bpipe.Response.OIS.GBP</vt:lpstr>
      <vt:lpstr>Bpipe.Response.OIS.JPY</vt:lpstr>
      <vt:lpstr>Bpipe.Response.OIS.USD</vt:lpstr>
      <vt:lpstr>Bpipe.Response.Swaps.EUR</vt:lpstr>
      <vt:lpstr>Bpipe.Response.Swaps.GBP</vt:lpstr>
      <vt:lpstr>Bpipe.Response.Swaps.JPY</vt:lpstr>
      <vt:lpstr>Bpipe.Response.Swaps.USD</vt:lpstr>
      <vt:lpstr>Bpipe.Response.TenorBasis1.EUR</vt:lpstr>
      <vt:lpstr>Bpipe.Response.TenorBasis1.GBP</vt:lpstr>
      <vt:lpstr>Bpipe.Response.TenorBasis1.JPY</vt:lpstr>
      <vt:lpstr>Bpipe.Response.TenorBasis1.USD</vt:lpstr>
      <vt:lpstr>Bpipe.Response.TenorBasis2.EUR</vt:lpstr>
      <vt:lpstr>Bpipe.Response.TenorBasis2.GBP</vt:lpstr>
      <vt:lpstr>Bpipe.Response.TenorBasis2.JPY</vt:lpstr>
      <vt:lpstr>Bpipe.Response.TenorBasis2.USD</vt:lpstr>
      <vt:lpstr>Bpipe.Response.TenorBasis3.EUR</vt:lpstr>
      <vt:lpstr>Bpipe.Response.TenorBasis3.GBP</vt:lpstr>
      <vt:lpstr>Bpipe.Response.TenorBasis3.JPY</vt:lpstr>
      <vt:lpstr>Bpipe.Response.TenorBasis3.USD</vt:lpstr>
      <vt:lpstr>Bpipe.Response.XccyBasis.EUR</vt:lpstr>
      <vt:lpstr>Bpipe.Response.XccyBasis.GBP</vt:lpstr>
      <vt:lpstr>Bpipe.Response.XccyBasis.JPY</vt:lpstr>
      <vt:lpstr>Bpipe.Response.XccyBasis.USD</vt:lpstr>
      <vt:lpstr>Bpipe.Results.OIS.EUR</vt:lpstr>
      <vt:lpstr>Bpipe.Results.OIS.GBP</vt:lpstr>
      <vt:lpstr>Bpipe.Results.OIS.JPY</vt:lpstr>
      <vt:lpstr>Bpipe.Results.OIS.USD</vt:lpstr>
      <vt:lpstr>Bpipe.Results.Swaps.EUR</vt:lpstr>
      <vt:lpstr>Bpipe.Results.Swaps.GBP</vt:lpstr>
      <vt:lpstr>Bpipe.Results.Swaps.JPY</vt:lpstr>
      <vt:lpstr>Bpipe.Results.Swaps.USD</vt:lpstr>
      <vt:lpstr>Bpipe.Results.TenorBasis1.EUR</vt:lpstr>
      <vt:lpstr>Bpipe.Results.TenorBasis1.GBP</vt:lpstr>
      <vt:lpstr>Bpipe.Results.TenorBasis1.JPY</vt:lpstr>
      <vt:lpstr>Bpipe.Results.TenorBasis1.USD</vt:lpstr>
      <vt:lpstr>Bpipe.Results.TenorBasis2.EUR</vt:lpstr>
      <vt:lpstr>Bpipe.Results.TenorBasis2.GBP</vt:lpstr>
      <vt:lpstr>Bpipe.Results.TenorBasis2.JPY</vt:lpstr>
      <vt:lpstr>Bpipe.Results.TenorBasis2.USD</vt:lpstr>
      <vt:lpstr>Bpipe.Results.TenorBasis3.EUR</vt:lpstr>
      <vt:lpstr>Bpipe.Results.TenorBasis3.GBP</vt:lpstr>
      <vt:lpstr>Bpipe.Results.TenorBasis3.JPY</vt:lpstr>
      <vt:lpstr>Bpipe.Results.TenorBasis3.USD</vt:lpstr>
      <vt:lpstr>Bpipe.Results.XccyBasis.EUR</vt:lpstr>
      <vt:lpstr>Bpipe.Results.XccyBasis.GBP</vt:lpstr>
      <vt:lpstr>Bpipe.Results.XccyBasis.JPY</vt:lpstr>
      <vt:lpstr>Bpipe.Results.XccyBasis.USD</vt:lpstr>
      <vt:lpstr>CalculationMode</vt:lpstr>
      <vt:lpstr>'EUR Asset Swaps'!CleanPrice</vt:lpstr>
      <vt:lpstr>'GBP Asset Swaps'!CleanPrice</vt:lpstr>
      <vt:lpstr>'GBP ASW Cashflows'!CleanPrice</vt:lpstr>
      <vt:lpstr>'JPY Asset Swaps'!CleanPrice</vt:lpstr>
      <vt:lpstr>'JPY ASW Cashflows'!CleanPrice</vt:lpstr>
      <vt:lpstr>'USD Asset Swaps'!CleanPrice</vt:lpstr>
      <vt:lpstr>'USD ASW Cashflows'!CleanPrice</vt:lpstr>
      <vt:lpstr>CleanPrice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'Multi-Curves'!CurveBuildErrorCount</vt:lpstr>
      <vt:lpstr>'EUR Curve Config'!CurveConfig.FixingRate</vt:lpstr>
      <vt:lpstr>'GBP Curve Config'!CurveConfig.FixingRate</vt:lpstr>
      <vt:lpstr>'JPY Curve Config'!CurveConfig.FixingRate</vt:lpstr>
      <vt:lpstr>CurveConfig.FixingRate</vt:lpstr>
      <vt:lpstr>CurveDataStatusBasis</vt:lpstr>
      <vt:lpstr>CurveDataStatusOIS</vt:lpstr>
      <vt:lpstr>CurveDataStatusSwaps</vt:lpstr>
      <vt:lpstr>'Multi-Curves'!CurveDependencyTreeAndErrorCounts</vt:lpstr>
      <vt:lpstr>CurveEnablement.EUR</vt:lpstr>
      <vt:lpstr>CurveEnablement.GBP</vt:lpstr>
      <vt:lpstr>CurveEnablement.JPY</vt:lpstr>
      <vt:lpstr>CurveEnablement.USD</vt:lpstr>
      <vt:lpstr>'Multi-Curves'!CurveErrorsEUR</vt:lpstr>
      <vt:lpstr>'Multi-Curves'!CurveErrorsGBP</vt:lpstr>
      <vt:lpstr>'Multi-Curves'!CurveErrorsJPY</vt:lpstr>
      <vt:lpstr>CurveErrorsNativeCSAEUR</vt:lpstr>
      <vt:lpstr>CurveErrorsNativeCSAGBP</vt:lpstr>
      <vt:lpstr>CurveErrorsNativeCSAJPY</vt:lpstr>
      <vt:lpstr>CurveErrorsNativeCSAUSD</vt:lpstr>
      <vt:lpstr>'Multi-Curves'!CurveErrorsUSD</vt:lpstr>
      <vt:lpstr>'Instrument Data'!Data.OIS.EUR</vt:lpstr>
      <vt:lpstr>'Instrument Data'!Data.OIS.GBP</vt:lpstr>
      <vt:lpstr>'Instrument Data'!Data.OIS.JPY</vt:lpstr>
      <vt:lpstr>'Instrument Data'!Data.OIS.USD</vt:lpstr>
      <vt:lpstr>'Instrument Data'!Data.Swaps.EUR</vt:lpstr>
      <vt:lpstr>'Instrument Data'!Data.Swaps.GBP</vt:lpstr>
      <vt:lpstr>Data.Swaps.GBP</vt:lpstr>
      <vt:lpstr>'Instrument Data'!Data.Swaps.JPY</vt:lpstr>
      <vt:lpstr>'Instrument Data'!Data.Swaps.USD</vt:lpstr>
      <vt:lpstr>'Instrument Data'!Data.TenorBasis1.EUR</vt:lpstr>
      <vt:lpstr>'Instrument Data'!Data.TenorBasis1.GBP</vt:lpstr>
      <vt:lpstr>'Instrument Data'!Data.TenorBasis1.JPY</vt:lpstr>
      <vt:lpstr>'Instrument Data'!Data.TenorBasis1.USD</vt:lpstr>
      <vt:lpstr>'Instrument Data'!Data.TenorBasis2.EUR</vt:lpstr>
      <vt:lpstr>'Instrument Data'!Data.TenorBasis2.GBP</vt:lpstr>
      <vt:lpstr>'Instrument Data'!Data.TenorBasis2.JPY</vt:lpstr>
      <vt:lpstr>'Instrument Data'!Data.TenorBasis2.USD</vt:lpstr>
      <vt:lpstr>'Instrument Data'!Data.TenorBasis3.EUR</vt:lpstr>
      <vt:lpstr>'Instrument Data'!Data.TenorBasis3.GBP</vt:lpstr>
      <vt:lpstr>'Instrument Data'!Data.TenorBasis3.JPY</vt:lpstr>
      <vt:lpstr>'Instrument Data'!Data.TenorBasis3.USD</vt:lpstr>
      <vt:lpstr>'Instrument Data'!Data.Xccy.EUR</vt:lpstr>
      <vt:lpstr>'Instrument Data'!Data.Xccy.GBP</vt:lpstr>
      <vt:lpstr>'Instrument Data'!Data.Xccy.JPY</vt:lpstr>
      <vt:lpstr>'Instrument Data'!Data.Xccy.USD</vt:lpstr>
      <vt:lpstr>Data.XccyBasis.EUR</vt:lpstr>
      <vt:lpstr>Data.XccyBasis.GBP</vt:lpstr>
      <vt:lpstr>Data.XccyBasis.JPY</vt:lpstr>
      <vt:lpstr>Data.XccyBasis.USD</vt:lpstr>
      <vt:lpstr>'EUR Asset Swaps'!DirtyPrice</vt:lpstr>
      <vt:lpstr>'GBP Asset Swaps'!DirtyPrice</vt:lpstr>
      <vt:lpstr>'GBP ASW Cashflows'!DirtyPrice</vt:lpstr>
      <vt:lpstr>'JPY Asset Swaps'!DirtyPrice</vt:lpstr>
      <vt:lpstr>'JPY ASW Cashflows'!DirtyPrice</vt:lpstr>
      <vt:lpstr>'USD Asset Swaps'!DirtyPrice</vt:lpstr>
      <vt:lpstr>'USD ASW Cashflows'!DirtyPrice</vt:lpstr>
      <vt:lpstr>DirtyPrice</vt:lpstr>
      <vt:lpstr>'GBP VNS Schedules'!EffectiveLag</vt:lpstr>
      <vt:lpstr>'JPY VNS Schedules'!EffectiveLag</vt:lpstr>
      <vt:lpstr>'USD VNS Schedules'!EffectiveLag</vt:lpstr>
      <vt:lpstr>EffectiveLag</vt:lpstr>
      <vt:lpstr>'Multi-Curves'!ErrorCountEURUSDCSA</vt:lpstr>
      <vt:lpstr>'Multi-Curves'!ErrorCountGBPUSDCSA</vt:lpstr>
      <vt:lpstr>'Multi-Curves'!ErrorCountJPYUSDCSA</vt:lpstr>
      <vt:lpstr>'Multi-Curves'!ErrorCountUSDUSDCSA</vt:lpstr>
      <vt:lpstr>EUR_COB</vt:lpstr>
      <vt:lpstr>'Instrument Data'!EUR_DATA</vt:lpstr>
      <vt:lpstr>Instruments!EUR_DATA</vt:lpstr>
      <vt:lpstr>EURAccrualCalendar</vt:lpstr>
      <vt:lpstr>EURBusinessDayAdjustment</vt:lpstr>
      <vt:lpstr>EURFixingCalendar</vt:lpstr>
      <vt:lpstr>Fields.OIS.EUR</vt:lpstr>
      <vt:lpstr>Fields.OIS.GBP</vt:lpstr>
      <vt:lpstr>Fields.OIS.JPY</vt:lpstr>
      <vt:lpstr>Fields.OIS.USD</vt:lpstr>
      <vt:lpstr>Fields.Swaps.EUR</vt:lpstr>
      <vt:lpstr>Fields.Swaps.GBP</vt:lpstr>
      <vt:lpstr>Fields.Swaps.JPY</vt:lpstr>
      <vt:lpstr>Fields.Swaps.USD</vt:lpstr>
      <vt:lpstr>Fields.TenorBasis1.EUR</vt:lpstr>
      <vt:lpstr>Fields.TenorBasis1.GBP</vt:lpstr>
      <vt:lpstr>Fields.TenorBasis1.JPY</vt:lpstr>
      <vt:lpstr>Fields.TenorBasis1.USD</vt:lpstr>
      <vt:lpstr>Fields.TenorBasis2.EUR</vt:lpstr>
      <vt:lpstr>Fields.TenorBasis2.GBP</vt:lpstr>
      <vt:lpstr>Fields.TenorBasis2.JPY</vt:lpstr>
      <vt:lpstr>Fields.TenorBasis2.USD</vt:lpstr>
      <vt:lpstr>Fields.TenorBasis3.EUR</vt:lpstr>
      <vt:lpstr>Fields.TenorBasis3.GBP</vt:lpstr>
      <vt:lpstr>Fields.TenorBasis3.JPY</vt:lpstr>
      <vt:lpstr>Fields.TenorBasis3.USD</vt:lpstr>
      <vt:lpstr>Fields.XccyBasis.EUR</vt:lpstr>
      <vt:lpstr>Fields.XccyBasis.GBP</vt:lpstr>
      <vt:lpstr>Fields.XccyBasis.JPY</vt:lpstr>
      <vt:lpstr>Fields.XccyBasis.USD</vt:lpstr>
      <vt:lpstr>ForwardCharts.ApplyTension</vt:lpstr>
      <vt:lpstr>ForwardCharts.TensionGap</vt:lpstr>
      <vt:lpstr>ForwardCurves.ChartSeriesName1</vt:lpstr>
      <vt:lpstr>ForwardCurves.ChartSeriesName2</vt:lpstr>
      <vt:lpstr>ForwardCurves.CurveID</vt:lpstr>
      <vt:lpstr>ForwardCurves.DisplayYears</vt:lpstr>
      <vt:lpstr>ForwardCurves.Periodicity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FutureCurve.ChartRows</vt:lpstr>
      <vt:lpstr>'EUR Curve Config'!FuturesConv</vt:lpstr>
      <vt:lpstr>'GBP Curve Config'!FuturesConv</vt:lpstr>
      <vt:lpstr>'JPY Curve Config'!FuturesConv</vt:lpstr>
      <vt:lpstr>FuturesConv</vt:lpstr>
      <vt:lpstr>FuturesCurve.Copy</vt:lpstr>
      <vt:lpstr>FuturesCurve.Paste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Config'!FwdFXConstCurveNamesCombinedEUR</vt:lpstr>
      <vt:lpstr>'GBP Curve Config'!FwdFXConstCurveNamesCombinedEUR</vt:lpstr>
      <vt:lpstr>'JPY Curve Config'!FwdFXConstCurveNamesCombinedEUR</vt:lpstr>
      <vt:lpstr>FwdFXConstCurveNamesCombinedEUR</vt:lpstr>
      <vt:lpstr>'EUR Curve Config'!FwdFXConstCurveNamesCombinedGBP</vt:lpstr>
      <vt:lpstr>'GBP Curve Config'!FwdFXConstCurveNamesCombinedGBP</vt:lpstr>
      <vt:lpstr>'JPY Curve Config'!FwdFXConstCurveNamesCombinedGBP</vt:lpstr>
      <vt:lpstr>FwdFXConstCurveNamesCombinedGBP</vt:lpstr>
      <vt:lpstr>'EUR Curve Config'!FwdFXConstCurveNamesCombinedJPY</vt:lpstr>
      <vt:lpstr>'GBP Curve Config'!FwdFXConstCurveNamesCombinedJPY</vt:lpstr>
      <vt:lpstr>'JPY Curve Config'!FwdFXConstCurveNamesCombinedJPY</vt:lpstr>
      <vt:lpstr>FwdFXConstCurveNamesCombinedJPY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GBP_COB</vt:lpstr>
      <vt:lpstr>'Instrument Data'!GBP_DATA</vt:lpstr>
      <vt:lpstr>Instruments!GBP_DATA</vt:lpstr>
      <vt:lpstr>GBPAccrualCalendar</vt:lpstr>
      <vt:lpstr>GBPBusinessDayAdjustment</vt:lpstr>
      <vt:lpstr>GBPFixingCalendar</vt:lpstr>
      <vt:lpstr>INSTRUMENTS</vt:lpstr>
      <vt:lpstr>Instruments.OIS.EUR</vt:lpstr>
      <vt:lpstr>Instruments.OIS.GBP</vt:lpstr>
      <vt:lpstr>Instruments.OIS.JPY</vt:lpstr>
      <vt:lpstr>Instruments.OIS.USD</vt:lpstr>
      <vt:lpstr>Instruments.Swaps.EUR</vt:lpstr>
      <vt:lpstr>Instruments.Swaps.GBP</vt:lpstr>
      <vt:lpstr>Instruments.Swaps.JPY</vt:lpstr>
      <vt:lpstr>Instruments.Swaps.USD</vt:lpstr>
      <vt:lpstr>Instruments.TenorBasis1.EUR</vt:lpstr>
      <vt:lpstr>Instruments.TenorBasis1.GBP</vt:lpstr>
      <vt:lpstr>Instruments.TenorBasis1.JPY</vt:lpstr>
      <vt:lpstr>Instruments.TenorBasis1.USD</vt:lpstr>
      <vt:lpstr>Instruments.TenorBasis2.EUR</vt:lpstr>
      <vt:lpstr>Instruments.TenorBasis2.GBP</vt:lpstr>
      <vt:lpstr>Instruments.TenorBasis2.JPY</vt:lpstr>
      <vt:lpstr>Instruments.TenorBasis2.USD</vt:lpstr>
      <vt:lpstr>Instruments.TenorBasis3.EUR</vt:lpstr>
      <vt:lpstr>Instruments.TenorBasis3.GBP</vt:lpstr>
      <vt:lpstr>Instruments.TenorBasis3.JPY</vt:lpstr>
      <vt:lpstr>Instruments.TenorBasis3.USD</vt:lpstr>
      <vt:lpstr>Instruments.XccyBasis.EUR</vt:lpstr>
      <vt:lpstr>Instruments.XccyBasis.GBP</vt:lpstr>
      <vt:lpstr>Instruments.XccyBasis.JPY</vt:lpstr>
      <vt:lpstr>Instruments.XccyBasis.USD</vt:lpstr>
      <vt:lpstr>isOISCurveLoaded_JPYJSCC</vt:lpstr>
      <vt:lpstr>isSTDCurveLoaded_JPYJSCC</vt:lpstr>
      <vt:lpstr>JPY_COB</vt:lpstr>
      <vt:lpstr>'Instrument Data'!JPY_DATA</vt:lpstr>
      <vt:lpstr>Instruments!JPY_DATA</vt:lpstr>
      <vt:lpstr>JPYAccrualCalendar</vt:lpstr>
      <vt:lpstr>JPYBusinessDayAdjustment</vt:lpstr>
      <vt:lpstr>JPYFixingCalendar</vt:lpstr>
      <vt:lpstr>'GBP Tenor Basis'!Leg1Keys</vt:lpstr>
      <vt:lpstr>'JPY Tenor Basis'!Leg1Keys</vt:lpstr>
      <vt:lpstr>'USD Tenor Basis'!Leg1Keys</vt:lpstr>
      <vt:lpstr>Leg1Keys</vt:lpstr>
      <vt:lpstr>'GBP Tenor Basis'!Leg2Keys</vt:lpstr>
      <vt:lpstr>'JPY Tenor Basis'!Leg2Keys</vt:lpstr>
      <vt:lpstr>'USD Tenor Basis'!Leg2Keys</vt:lpstr>
      <vt:lpstr>Leg2Keys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'GBP VNS Schedules'!MaturityDate</vt:lpstr>
      <vt:lpstr>'JPY VNS Schedules'!MaturityDate</vt:lpstr>
      <vt:lpstr>'USD VNS Schedules'!MaturityDate</vt:lpstr>
      <vt:lpstr>MaturityDate</vt:lpstr>
      <vt:lpstr>'EUR Curve Config'!MoneyMarketData</vt:lpstr>
      <vt:lpstr>'GBP Curve Config'!MoneyMarketData</vt:lpstr>
      <vt:lpstr>'JPY Curve Config'!MoneyMarketData</vt:lpstr>
      <vt:lpstr>MoneyMarketData</vt:lpstr>
      <vt:lpstr>'EUR Curve Config'!OIS.LOBasisConv</vt:lpstr>
      <vt:lpstr>'GBP Curve Config'!OIS.LOBasisConv</vt:lpstr>
      <vt:lpstr>'JPY Curve Config'!OIS.LOBasisConv</vt:lpstr>
      <vt:lpstr>'USD Curve Config'!OIS.LOBasisConv</vt:lpstr>
      <vt:lpstr>'EUR Curve Config'!OIS.LobRates</vt:lpstr>
      <vt:lpstr>'GBP Curve Config'!OIS.LobRates</vt:lpstr>
      <vt:lpstr>'JPY Curve Config'!OIS.LobRates</vt:lpstr>
      <vt:lpstr>'USD Curve Config'!OIS.LobRates</vt:lpstr>
      <vt:lpstr>'EUR Curve Config'!OIS.SwapConv</vt:lpstr>
      <vt:lpstr>'GBP Curve Config'!OIS.SwapConv</vt:lpstr>
      <vt:lpstr>'JPY Curve Config'!OIS.SwapConv</vt:lpstr>
      <vt:lpstr>'USD Curve Config'!OIS.SwapConv</vt:lpstr>
      <vt:lpstr>'EUR Curve Config'!OIS.SwapRates</vt:lpstr>
      <vt:lpstr>'GBP Curve Config'!OIS.SwapRates</vt:lpstr>
      <vt:lpstr>'JPY Curve Config'!OIS.SwapRates</vt:lpstr>
      <vt:lpstr>'USD Curve Config'!OIS.SwapRates</vt:lpstr>
      <vt:lpstr>'EUR Curve Config'!OISConv</vt:lpstr>
      <vt:lpstr>'GBP Curve Config'!OISConv</vt:lpstr>
      <vt:lpstr>'JPY Curve Config'!OISConv</vt:lpstr>
      <vt:lpstr>OISConv</vt:lpstr>
      <vt:lpstr>'EUR Curve Config'!OISCurveNamesCombined</vt:lpstr>
      <vt:lpstr>'GBP Curve Config'!OISCurveNamesCombined</vt:lpstr>
      <vt:lpstr>'JPY Curve Config'!OISCurveNamesCombined</vt:lpstr>
      <vt:lpstr>OISCurveNamesCombined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PulseSeconds</vt:lpstr>
      <vt:lpstr>RequestID.OIS.EUR</vt:lpstr>
      <vt:lpstr>RequestID.OIS.GBP</vt:lpstr>
      <vt:lpstr>RequestID.OIS.JPY</vt:lpstr>
      <vt:lpstr>RequestID.OIS.USD</vt:lpstr>
      <vt:lpstr>RequestID.Swaps.EUR</vt:lpstr>
      <vt:lpstr>RequestID.Swaps.GBP</vt:lpstr>
      <vt:lpstr>RequestID.Swaps.JPY</vt:lpstr>
      <vt:lpstr>RequestID.Swaps.USD</vt:lpstr>
      <vt:lpstr>RequestID.TenorBasis1.EUR</vt:lpstr>
      <vt:lpstr>RequestID.TenorBasis1.GBP</vt:lpstr>
      <vt:lpstr>RequestID.TenorBasis1.JPY</vt:lpstr>
      <vt:lpstr>RequestID.TenorBasis1.USD</vt:lpstr>
      <vt:lpstr>RequestID.TenorBasis2.EUR</vt:lpstr>
      <vt:lpstr>RequestID.TenorBasis2.GBP</vt:lpstr>
      <vt:lpstr>RequestID.TenorBasis2.JPY</vt:lpstr>
      <vt:lpstr>RequestID.TenorBasis2.USD</vt:lpstr>
      <vt:lpstr>RequestID.TenorBasis3.EUR</vt:lpstr>
      <vt:lpstr>RequestID.TenorBasis3.GBP</vt:lpstr>
      <vt:lpstr>RequestID.TenorBasis3.JPY</vt:lpstr>
      <vt:lpstr>RequestID.TenorBasis3.USD</vt:lpstr>
      <vt:lpstr>RequestID.XccyBasis.EUR</vt:lpstr>
      <vt:lpstr>RequestID.XccyBasis.GBP</vt:lpstr>
      <vt:lpstr>RequestID.XccyBasis.JPY</vt:lpstr>
      <vt:lpstr>RequestID.XccyBasis.USD</vt:lpstr>
      <vt:lpstr>'Forward Charts'!SelectOutputCurve</vt:lpstr>
      <vt:lpstr>Settings.FrequencyLookupTable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Config'!SwapCurveNamesCombined</vt:lpstr>
      <vt:lpstr>'GBP Curve Config'!SwapCurveNamesCombined</vt:lpstr>
      <vt:lpstr>'JPY Curve Config'!SwapCurveNamesCombined</vt:lpstr>
      <vt:lpstr>SwapCurveNamesCombined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Config'!TenorBasis1x3CurveNamesCombined</vt:lpstr>
      <vt:lpstr>TenorBasis1x3CurveNamesCombined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Config'!TenorBasis1x6CurveNamesCombined</vt:lpstr>
      <vt:lpstr>'JPY Curve Config'!TenorBasis1x6CurveNamesCombined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TenorBasis3x12CurveNamesCombined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Config'!TenorBasis3x6CurveNamesCombined</vt:lpstr>
      <vt:lpstr>'GBP Curve Config'!TenorBasis3x6CurveNamesCombined</vt:lpstr>
      <vt:lpstr>'JPY Curve Config'!TenorBasis3x6CurveNamesCombined</vt:lpstr>
      <vt:lpstr>TenorBasis3x6CurveNamesCombined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Config'!TenorBasis6x12CurveNamesCombined</vt:lpstr>
      <vt:lpstr>'GBP Curve Config'!TenorBasis6x12CurveNamesCombined</vt:lpstr>
      <vt:lpstr>'JPY Curve Config'!TenorBasis6x12CurveNamesCombined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Tickers.OIS.EUR</vt:lpstr>
      <vt:lpstr>Tickers.OIS.GBP</vt:lpstr>
      <vt:lpstr>Tickers.OIS.JPY</vt:lpstr>
      <vt:lpstr>Tickers.OIS.USD</vt:lpstr>
      <vt:lpstr>Tickers.Swaps.EUR</vt:lpstr>
      <vt:lpstr>Tickers.Swaps.GBP</vt:lpstr>
      <vt:lpstr>Tickers.Swaps.JPY</vt:lpstr>
      <vt:lpstr>Tickers.Swaps.USD</vt:lpstr>
      <vt:lpstr>Tickers.TenorBasis1.EUR</vt:lpstr>
      <vt:lpstr>Tickers.TenorBasis1.GBP</vt:lpstr>
      <vt:lpstr>Tickers.TenorBasis1.JPY</vt:lpstr>
      <vt:lpstr>Tickers.TenorBasis1.USD</vt:lpstr>
      <vt:lpstr>Tickers.TenorBasis2.EUR</vt:lpstr>
      <vt:lpstr>Tickers.TenorBasis2.GBP</vt:lpstr>
      <vt:lpstr>Tickers.TenorBasis2.JPY</vt:lpstr>
      <vt:lpstr>Tickers.TenorBasis2.USD</vt:lpstr>
      <vt:lpstr>Tickers.TenorBasis3.EUR</vt:lpstr>
      <vt:lpstr>Tickers.TenorBasis3.GBP</vt:lpstr>
      <vt:lpstr>Tickers.TenorBasis3.JPY</vt:lpstr>
      <vt:lpstr>Tickers.TenorBasis3.USD</vt:lpstr>
      <vt:lpstr>Tickers.XccyBasis.EUR</vt:lpstr>
      <vt:lpstr>Tickers.XccyBasis.GBP</vt:lpstr>
      <vt:lpstr>Tickers.XccyBasis.JPY</vt:lpstr>
      <vt:lpstr>Tickers.XccyBasis.USD</vt:lpstr>
      <vt:lpstr>USD_COB</vt:lpstr>
      <vt:lpstr>'Instrument Data'!USD_DATA</vt:lpstr>
      <vt:lpstr>Instruments!USD_DATA</vt:lpstr>
      <vt:lpstr>USDAccrualCalendar</vt:lpstr>
      <vt:lpstr>USDBusinessDayAdjustment</vt:lpstr>
      <vt:lpstr>USDFixingCalendar</vt:lpstr>
      <vt:lpstr>'EUR VNS'!VNS</vt:lpstr>
      <vt:lpstr>'GBP VNS'!VNS</vt:lpstr>
      <vt:lpstr>'JPY VNS'!VNS</vt:lpstr>
      <vt:lpstr>'USD VNS'!VNS</vt:lpstr>
      <vt:lpstr>'EUR VNS Schedules'!VNS.CreateSchedules</vt:lpstr>
      <vt:lpstr>'GBP VNS Schedules'!VNS.CreateSchedules</vt:lpstr>
      <vt:lpstr>'JPY VNS Schedules'!VNS.CreateSchedules</vt:lpstr>
      <vt:lpstr>'USD VNS Schedules'!VNS.CreateSchedules</vt:lpstr>
      <vt:lpstr>'EUR VNS Schedules'!VNS.Daycount.Fixed</vt:lpstr>
      <vt:lpstr>'GBP VNS Schedules'!VNS.Daycount.Fixed</vt:lpstr>
      <vt:lpstr>'JPY VNS Schedules'!VNS.Daycount.Fixed</vt:lpstr>
      <vt:lpstr>'USD VNS Schedules'!VNS.Daycount.Fixed</vt:lpstr>
      <vt:lpstr>'EUR VNS Schedules'!VNS.Daycount.Float</vt:lpstr>
      <vt:lpstr>'GBP VNS Schedules'!VNS.Daycount.Float</vt:lpstr>
      <vt:lpstr>'JPY VNS Schedules'!VNS.Daycount.Float</vt:lpstr>
      <vt:lpstr>'USD VNS Schedules'!VNS.Daycount.Float</vt:lpstr>
      <vt:lpstr>'EUR VNS Schedules'!VNS.FixedAmortization</vt:lpstr>
      <vt:lpstr>'GBP VNS Schedules'!VNS.FixedAmortization</vt:lpstr>
      <vt:lpstr>'JPY VNS Schedules'!VNS.FixedAmortization</vt:lpstr>
      <vt:lpstr>'USD VNS Schedules'!VNS.FixedAmortization</vt:lpstr>
      <vt:lpstr>'EUR VNS Schedules'!VNS.FixedAmortization.Frequency</vt:lpstr>
      <vt:lpstr>'GBP VNS Schedules'!VNS.FixedAmortization.Frequency</vt:lpstr>
      <vt:lpstr>'JPY VNS Schedules'!VNS.FixedAmortization.Frequency</vt:lpstr>
      <vt:lpstr>'USD VNS Schedules'!VNS.FixedAmortization.Frequency</vt:lpstr>
      <vt:lpstr>'EUR VNS Schedules'!VNS.FixedCashflow.Count</vt:lpstr>
      <vt:lpstr>'GBP VNS Schedules'!VNS.FixedCashflow.Count</vt:lpstr>
      <vt:lpstr>'JPY VNS Schedules'!VNS.FixedCashflow.Count</vt:lpstr>
      <vt:lpstr>'USD VNS Schedules'!VNS.FixedCashflow.Count</vt:lpstr>
      <vt:lpstr>'EUR VNS Schedules'!VNS.FixedLegTemplate</vt:lpstr>
      <vt:lpstr>'GBP VNS Schedules'!VNS.FixedLegTemplate</vt:lpstr>
      <vt:lpstr>'JPY VNS Schedules'!VNS.FixedLegTemplate</vt:lpstr>
      <vt:lpstr>'USD VNS Schedules'!VNS.FixedLegTemplate</vt:lpstr>
      <vt:lpstr>'EUR VNS Schedules'!VNS.FixedRate</vt:lpstr>
      <vt:lpstr>'GBP VNS Schedules'!VNS.FixedRate</vt:lpstr>
      <vt:lpstr>'JPY VNS Schedules'!VNS.FixedRate</vt:lpstr>
      <vt:lpstr>'USD VNS Schedules'!VNS.FixedRate</vt:lpstr>
      <vt:lpstr>'EUR VNS Schedules'!VNS.FixedSchedule.Copy</vt:lpstr>
      <vt:lpstr>'GBP VNS Schedules'!VNS.FixedSchedule.Copy</vt:lpstr>
      <vt:lpstr>'JPY VNS Schedules'!VNS.FixedSchedule.Copy</vt:lpstr>
      <vt:lpstr>'USD VNS Schedules'!VNS.FixedSchedule.Copy</vt:lpstr>
      <vt:lpstr>'EUR VNS Schedules'!VNS.FixedSchedule.Paste</vt:lpstr>
      <vt:lpstr>'GBP VNS Schedules'!VNS.FixedSchedule.Paste</vt:lpstr>
      <vt:lpstr>'JPY VNS Schedules'!VNS.FixedSchedule.Paste</vt:lpstr>
      <vt:lpstr>'USD VNS Schedules'!VNS.FixedSchedule.Paste</vt:lpstr>
      <vt:lpstr>'EUR VNS Schedules'!VNS.FixedSchedule.Properties</vt:lpstr>
      <vt:lpstr>'GBP VNS Schedules'!VNS.FixedSchedule.Properties</vt:lpstr>
      <vt:lpstr>'JPY VNS Schedules'!VNS.FixedSchedule.Properties</vt:lpstr>
      <vt:lpstr>'USD VNS Schedules'!VNS.FixedSchedule.Properties</vt:lpstr>
      <vt:lpstr>'EUR VNS Schedules'!VNS.FloatAmortization</vt:lpstr>
      <vt:lpstr>'GBP VNS Schedules'!VNS.FloatAmortization</vt:lpstr>
      <vt:lpstr>'JPY VNS Schedules'!VNS.FloatAmortization</vt:lpstr>
      <vt:lpstr>'USD VNS Schedules'!VNS.FloatAmortization</vt:lpstr>
      <vt:lpstr>'EUR VNS Schedules'!VNS.FloatAmortization.Frequency</vt:lpstr>
      <vt:lpstr>'GBP VNS Schedules'!VNS.FloatAmortization.Frequency</vt:lpstr>
      <vt:lpstr>'JPY VNS Schedules'!VNS.FloatAmortization.Frequency</vt:lpstr>
      <vt:lpstr>'USD VNS Schedules'!VNS.FloatAmortization.Frequency</vt:lpstr>
      <vt:lpstr>'EUR VNS Schedules'!VNS.FloatCashflow.Count</vt:lpstr>
      <vt:lpstr>'GBP VNS Schedules'!VNS.FloatCashflow.Count</vt:lpstr>
      <vt:lpstr>'JPY VNS Schedules'!VNS.FloatCashflow.Count</vt:lpstr>
      <vt:lpstr>'USD VNS Schedules'!VNS.FloatCashflow.Count</vt:lpstr>
      <vt:lpstr>'EUR VNS Schedules'!VNS.FloatLegTemplate</vt:lpstr>
      <vt:lpstr>'GBP VNS Schedules'!VNS.FloatLegTemplate</vt:lpstr>
      <vt:lpstr>'JPY VNS Schedules'!VNS.FloatLegTemplate</vt:lpstr>
      <vt:lpstr>'USD VNS Schedules'!VNS.FloatLegTemplate</vt:lpstr>
      <vt:lpstr>'EUR VNS Schedules'!VNS.FloatSchedule.Copy</vt:lpstr>
      <vt:lpstr>'GBP VNS Schedules'!VNS.FloatSchedule.Copy</vt:lpstr>
      <vt:lpstr>'JPY VNS Schedules'!VNS.FloatSchedule.Copy</vt:lpstr>
      <vt:lpstr>'USD VNS Schedules'!VNS.FloatSchedule.Copy</vt:lpstr>
      <vt:lpstr>'EUR VNS Schedules'!VNS.FloatSchedule.Paste</vt:lpstr>
      <vt:lpstr>'GBP VNS Schedules'!VNS.FloatSchedule.Paste</vt:lpstr>
      <vt:lpstr>'JPY VNS Schedules'!VNS.FloatSchedule.Paste</vt:lpstr>
      <vt:lpstr>'USD VNS Schedules'!VNS.FloatSchedule.Paste</vt:lpstr>
      <vt:lpstr>'EUR VNS Schedules'!VNS.FloatSchedule.Properties</vt:lpstr>
      <vt:lpstr>'GBP VNS Schedules'!VNS.FloatSchedule.Properties</vt:lpstr>
      <vt:lpstr>'JPY VNS Schedules'!VNS.FloatSchedule.Properties</vt:lpstr>
      <vt:lpstr>'USD VNS Schedules'!VNS.FloatSchedule.Properties</vt:lpstr>
      <vt:lpstr>'EUR VNS Schedules'!VNS.FloatSpread</vt:lpstr>
      <vt:lpstr>'GBP VNS Schedules'!VNS.FloatSpread</vt:lpstr>
      <vt:lpstr>'JPY VNS Schedules'!VNS.FloatSpread</vt:lpstr>
      <vt:lpstr>'USD VNS Schedules'!VNS.FloatSpread</vt:lpstr>
      <vt:lpstr>'EUR VNS Schedules'!VNS.Notional.Upfront</vt:lpstr>
      <vt:lpstr>'GBP VNS Schedules'!VNS.Notional.Upfront</vt:lpstr>
      <vt:lpstr>'JPY VNS Schedules'!VNS.Notional.Upfront</vt:lpstr>
      <vt:lpstr>'USD VNS Schedules'!VNS.Notional.Upfront</vt:lpstr>
      <vt:lpstr>'EUR VNS Schedules'!VNS.Schedules.AllRows</vt:lpstr>
      <vt:lpstr>'GBP VNS Schedules'!VNS.Schedules.AllRows</vt:lpstr>
      <vt:lpstr>'JPY VNS Schedules'!VNS.Schedules.AllRows</vt:lpstr>
      <vt:lpstr>'USD VNS Schedules'!VNS.Schedules.AllRows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Config'!XccyBasisCurveNamesCombined</vt:lpstr>
      <vt:lpstr>'GBP Curve Config'!XccyBasisCurveNamesCombined</vt:lpstr>
      <vt:lpstr>'JPY Curve Config'!XccyBasisCurveNamesCombined</vt:lpstr>
      <vt:lpstr>XccyBasisCurveNamesCombined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2018-05-04T08:54:10Z</dcterms:modified>
</cp:coreProperties>
</file>